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A549_lysate_PBS_R2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282" i="1" l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<sst xmlns="http://schemas.openxmlformats.org/spreadsheetml/2006/main" count="50263" uniqueCount="31175">
  <si>
    <t>Protein_ID</t>
  </si>
  <si>
    <t>plot</t>
  </si>
  <si>
    <t>gene_name</t>
  </si>
  <si>
    <t>uniprot_ac</t>
  </si>
  <si>
    <t>auc</t>
  </si>
  <si>
    <t>plot_link</t>
  </si>
  <si>
    <t>A0AVK6_E2F8</t>
  </si>
  <si>
    <t>A0AVT1_UBA6</t>
  </si>
  <si>
    <t>A0JNW5_UHRF1BP1L</t>
  </si>
  <si>
    <t>A0MZ66_KIAA1598</t>
  </si>
  <si>
    <t>A1A4S6_ARHGAP10</t>
  </si>
  <si>
    <t>A1A5A9_KIAA0999</t>
  </si>
  <si>
    <t>A1L188_C17orf89</t>
  </si>
  <si>
    <t>A1L390_PLEKHG3</t>
  </si>
  <si>
    <t>A1X283_SH3PXD2B</t>
  </si>
  <si>
    <t>A2A3N6_PIPSL</t>
  </si>
  <si>
    <t>A2RTX5-2_TARSL2</t>
  </si>
  <si>
    <t>A2RUC4_TYW5</t>
  </si>
  <si>
    <t>A2RUS2-2_DENND3</t>
  </si>
  <si>
    <t>A3KMH1-2_VWA8</t>
  </si>
  <si>
    <t>A3KN83-2_SBNO1</t>
  </si>
  <si>
    <t>A4D1P6-2_WDR91</t>
  </si>
  <si>
    <t>A4D1S0-2_KLRG2</t>
  </si>
  <si>
    <t>A4D1U4_LCHN</t>
  </si>
  <si>
    <t>A4D2B0_MBLAC1</t>
  </si>
  <si>
    <t>A5PLN9-2_TRAPPC13</t>
  </si>
  <si>
    <t>A5YKK6_CNOT1</t>
  </si>
  <si>
    <t>A6H8Y1-7_BDP1</t>
  </si>
  <si>
    <t>A6ND36_FAM83G</t>
  </si>
  <si>
    <t>A6NDG6_PGP</t>
  </si>
  <si>
    <t>A6NDU8_C5orf51</t>
  </si>
  <si>
    <t>A6NED2_RCCD1</t>
  </si>
  <si>
    <t>A6NF31_OFD1</t>
  </si>
  <si>
    <t>A6NF48_ZNF281</t>
  </si>
  <si>
    <t>A6NF51_BPNT1</t>
  </si>
  <si>
    <t>A6NFI3_ZNF316</t>
  </si>
  <si>
    <t>A6NG32_CHMP1A</t>
  </si>
  <si>
    <t>A6NG64_C10orf11</t>
  </si>
  <si>
    <t>A6NG79_PRCC</t>
  </si>
  <si>
    <t>A6NGB9_WIPF3</t>
  </si>
  <si>
    <t>A6NGP5_HN1L</t>
  </si>
  <si>
    <t>A6NHR9_SMCHD1</t>
  </si>
  <si>
    <t>A6NHX0_GATSL2</t>
  </si>
  <si>
    <t>A6NIH7_UNC119B</t>
  </si>
  <si>
    <t>A6NIX2_WTIP</t>
  </si>
  <si>
    <t>A6NJ78-2_METTL15</t>
  </si>
  <si>
    <t>A6NJ97_C13orf23</t>
  </si>
  <si>
    <t>A6NKD9_CCDC85C</t>
  </si>
  <si>
    <t>A6NKT7_RGPD3</t>
  </si>
  <si>
    <t>A6NML8_DIAPH2</t>
  </si>
  <si>
    <t>A6NN40_SHROOM1</t>
  </si>
  <si>
    <t>A6NNV6_ZWINT</t>
  </si>
  <si>
    <t>A6PVM9_AIF1L</t>
  </si>
  <si>
    <t>A6QL63_BTBD11</t>
  </si>
  <si>
    <t>A6ZKI3_FAM127A</t>
  </si>
  <si>
    <t>A7KAX9_ARHGAP32</t>
  </si>
  <si>
    <t>A7Y2D6_PYGO1</t>
  </si>
  <si>
    <t>A8CG34-2_POM121C</t>
  </si>
  <si>
    <t>A8CTX8_ITSN1</t>
  </si>
  <si>
    <t>A8MQB8_FMR1</t>
  </si>
  <si>
    <t>A8MTK3_POT1</t>
  </si>
  <si>
    <t>A8MTZ6_S100PBP</t>
  </si>
  <si>
    <t>A8MU44_HOOK1</t>
  </si>
  <si>
    <t>A8MUB1_TUBA4A</t>
  </si>
  <si>
    <t>A8MVZ6_BICD1</t>
  </si>
  <si>
    <t>A8MWK3_CDH2</t>
  </si>
  <si>
    <t>A8MWR2_WIPF2</t>
  </si>
  <si>
    <t>A8MX75_ERCC2</t>
  </si>
  <si>
    <t>A8MXV4_NUDT19</t>
  </si>
  <si>
    <t>A9Z1X7_SRRM1</t>
  </si>
  <si>
    <t>B0FLL2_PFKFB2</t>
  </si>
  <si>
    <t>B0QY74_MKL1</t>
  </si>
  <si>
    <t>B0QYI3_TBC1D22A</t>
  </si>
  <si>
    <t>B0S8A9_FLOT1</t>
  </si>
  <si>
    <t>B0UX83_BAG6</t>
  </si>
  <si>
    <t>B0UZY3_EHMT2</t>
  </si>
  <si>
    <t>B1AHQ7_CENPM</t>
  </si>
  <si>
    <t>B1AJY7_PSMD10</t>
  </si>
  <si>
    <t>B1AK13_HMGCL</t>
  </si>
  <si>
    <t>B1AKC7_RASAL2</t>
  </si>
  <si>
    <t>B1AKL4_EIF4ENIF1</t>
  </si>
  <si>
    <t>B1AKN7_NFIA</t>
  </si>
  <si>
    <t>B1AL69_CDC37L1</t>
  </si>
  <si>
    <t>B1AMU7_EXOSC1</t>
  </si>
  <si>
    <t>B1AN89_EIF4G3</t>
  </si>
  <si>
    <t>B1AN99_PRSS3</t>
  </si>
  <si>
    <t>B1ANH0_GUK1</t>
  </si>
  <si>
    <t>B1N949_PPFIA4</t>
  </si>
  <si>
    <t>B2R5P6_TXNRD1</t>
  </si>
  <si>
    <t>B2RTY4-5_MYO9A</t>
  </si>
  <si>
    <t>B3KNQ0_CCDC92</t>
  </si>
  <si>
    <t>B3KP87_MDS025</t>
  </si>
  <si>
    <t>B3KRS5_HDAC2</t>
  </si>
  <si>
    <t>B3KSI9_LZTFL1</t>
  </si>
  <si>
    <t>B3KSJ7_DCLRE1C</t>
  </si>
  <si>
    <t>B3KUK2_SOD2</t>
  </si>
  <si>
    <t>B3KVH8_PHF23</t>
  </si>
  <si>
    <t>B3KVZ3_CENPH</t>
  </si>
  <si>
    <t>B3KWN8_PYROXD1</t>
  </si>
  <si>
    <t>B3KY83_RXRA</t>
  </si>
  <si>
    <t>B3V0L1_ARL6IP4</t>
  </si>
  <si>
    <t>B4DDF4_CNN2</t>
  </si>
  <si>
    <t>B4DDF9_ANXA4</t>
  </si>
  <si>
    <t>B4DDY8_HARS2</t>
  </si>
  <si>
    <t>B4DDZ0_MON1B</t>
  </si>
  <si>
    <t>B4DEK4_SNX2</t>
  </si>
  <si>
    <t>B4DGU4_CTNNB1</t>
  </si>
  <si>
    <t>B4DGX2_PIP4K2A</t>
  </si>
  <si>
    <t>B4DH53_MAP1S</t>
  </si>
  <si>
    <t>B4DIL8_TSC2</t>
  </si>
  <si>
    <t>B4DIU3_PADI2</t>
  </si>
  <si>
    <t>B4DJA5_RAB5A</t>
  </si>
  <si>
    <t>B4DJP7_SNRPD3</t>
  </si>
  <si>
    <t>B4DJV2_CS</t>
  </si>
  <si>
    <t>B4DJV5_PWP1</t>
  </si>
  <si>
    <t>B4DKF9_ZNF286A</t>
  </si>
  <si>
    <t>B4DKL4_LSR</t>
  </si>
  <si>
    <t>B4DL05_SHQ1</t>
  </si>
  <si>
    <t>B4DL14_ATP5C1</t>
  </si>
  <si>
    <t>B4DL54_CHURC1-FNTB</t>
  </si>
  <si>
    <t>B4DLE8_CRYBG3</t>
  </si>
  <si>
    <t>B4DLW8_DDX5</t>
  </si>
  <si>
    <t>B4DLZ9_RNF220</t>
  </si>
  <si>
    <t>B4DMD6_RNF185</t>
  </si>
  <si>
    <t>B4DP21_PTGES3</t>
  </si>
  <si>
    <t>B4DPR4_MKRN2</t>
  </si>
  <si>
    <t>B4DPY5_SNX11</t>
  </si>
  <si>
    <t>B4DPY8_TOX4</t>
  </si>
  <si>
    <t>B4DQ14_EIF2A</t>
  </si>
  <si>
    <t>B4DQE7_HDAC8</t>
  </si>
  <si>
    <t>B4DQH9_RANBP10</t>
  </si>
  <si>
    <t>B4DQJ8_PGD</t>
  </si>
  <si>
    <t>B4DRL9_CHM</t>
  </si>
  <si>
    <t>B4DS76_MAP3K11</t>
  </si>
  <si>
    <t>B4DT77_ANXA7</t>
  </si>
  <si>
    <t>B4DTU4_LIG1</t>
  </si>
  <si>
    <t>B4DV96_RBKS</t>
  </si>
  <si>
    <t>B4DVE7_ANXA11</t>
  </si>
  <si>
    <t>B4DVY1_EIF3D</t>
  </si>
  <si>
    <t>B4DWW1_ARL1</t>
  </si>
  <si>
    <t>B4DX32_KIN</t>
  </si>
  <si>
    <t>B4DXZ6_FXR1</t>
  </si>
  <si>
    <t>B4DYB4_NUP35</t>
  </si>
  <si>
    <t>B4DZH6_HDAC6</t>
  </si>
  <si>
    <t>B4DZN9_ARHGAP11A</t>
  </si>
  <si>
    <t>B4E0G4_PHF6</t>
  </si>
  <si>
    <t>B4E0T7_LRCH3</t>
  </si>
  <si>
    <t>B4E1J0_PBXIP1</t>
  </si>
  <si>
    <t>B4E1M0_MSANTD2</t>
  </si>
  <si>
    <t>B4E1N6_RAF1</t>
  </si>
  <si>
    <t>B4E1Q4_RIOK3</t>
  </si>
  <si>
    <t>B4E241_SFRS3</t>
  </si>
  <si>
    <t>B4E2S7_LAMP2</t>
  </si>
  <si>
    <t>B4E2W0_HADHB</t>
  </si>
  <si>
    <t>B4E2X3_METTL13</t>
  </si>
  <si>
    <t>B4E3E5_DVL3</t>
  </si>
  <si>
    <t>B5MCF9_PES1</t>
  </si>
  <si>
    <t>B5MCT7_PPM1F</t>
  </si>
  <si>
    <t>B5MCU0_R3HDM2</t>
  </si>
  <si>
    <t>B5MEB3_CABIN1</t>
  </si>
  <si>
    <t>B7WP27_CWC22</t>
  </si>
  <si>
    <t>B7Z254_PDIA6</t>
  </si>
  <si>
    <t>B7Z2G1_KLHL22</t>
  </si>
  <si>
    <t>B7Z2S5_TXNRD1</t>
  </si>
  <si>
    <t>B7Z2X9_ENO2</t>
  </si>
  <si>
    <t>B7Z2Y2_COG2</t>
  </si>
  <si>
    <t>B7Z367_ZNF346</t>
  </si>
  <si>
    <t>B7Z3I9_ALAD</t>
  </si>
  <si>
    <t>B7Z3P1_TBCE</t>
  </si>
  <si>
    <t>B7Z3Y2_PCYOX1</t>
  </si>
  <si>
    <t>B7Z4K6_DNASE2</t>
  </si>
  <si>
    <t>B7Z4R0_ERF</t>
  </si>
  <si>
    <t>B7Z5D1_MLH3</t>
  </si>
  <si>
    <t>B7Z652_RPL7L1</t>
  </si>
  <si>
    <t>B7Z6B8_DECR1</t>
  </si>
  <si>
    <t>B7Z6J6_TRIML2</t>
  </si>
  <si>
    <t>B7Z755_MLLT3</t>
  </si>
  <si>
    <t>B7Z7J3_AMN1</t>
  </si>
  <si>
    <t>B7Z7U4_NTRK3</t>
  </si>
  <si>
    <t>B7Z815_USP7</t>
  </si>
  <si>
    <t>B7Z848_RFX5</t>
  </si>
  <si>
    <t>B7Z9X4_NDRG4</t>
  </si>
  <si>
    <t>B7ZAX5_GALK2</t>
  </si>
  <si>
    <t>B7ZBB8_PPP1R3G</t>
  </si>
  <si>
    <t>B7ZKK9_PPP2R5E</t>
  </si>
  <si>
    <t>B7ZKP8_UBXN2A</t>
  </si>
  <si>
    <t>B7ZLQ8_CPEB4</t>
  </si>
  <si>
    <t>B7ZM82_WIZ</t>
  </si>
  <si>
    <t>B8ZZJ1_FAM126A</t>
  </si>
  <si>
    <t>B8ZZJ9_EIF4E2</t>
  </si>
  <si>
    <t>B8ZZK4_RPL31</t>
  </si>
  <si>
    <t>B8ZZQ6_PTMA</t>
  </si>
  <si>
    <t>B8ZZT4_VAMP8</t>
  </si>
  <si>
    <t>B9A018_USP39</t>
  </si>
  <si>
    <t>B9A047_ASB1</t>
  </si>
  <si>
    <t>B9ZVT1_RBM12B</t>
  </si>
  <si>
    <t>C4AMC7_WASH3P</t>
  </si>
  <si>
    <t>C6GKU9_MED30S</t>
  </si>
  <si>
    <t>C9J082_NPHP1</t>
  </si>
  <si>
    <t>C9J0I9_ZC3HC1</t>
  </si>
  <si>
    <t>C9J0J7_PFN2</t>
  </si>
  <si>
    <t>C9J0K6_SRI</t>
  </si>
  <si>
    <t>C9J0V9_ZNF655</t>
  </si>
  <si>
    <t>C9J212_UBE2F</t>
  </si>
  <si>
    <t>C9J2N8_ZNF823</t>
  </si>
  <si>
    <t>C9J2U0_CCNE1</t>
  </si>
  <si>
    <t>C9J2V2_IKBKG</t>
  </si>
  <si>
    <t>C9J2Y9_POLR2B</t>
  </si>
  <si>
    <t>C9J366_IQCJ-SCHIP1</t>
  </si>
  <si>
    <t>C9J384_CMSS1</t>
  </si>
  <si>
    <t>C9J406_IMMT</t>
  </si>
  <si>
    <t>C9J5C3_PDCD10</t>
  </si>
  <si>
    <t>C9J5X1_IGF1R</t>
  </si>
  <si>
    <t>C9J5X9_FANCB</t>
  </si>
  <si>
    <t>C9J6A7_RPE</t>
  </si>
  <si>
    <t>C9J710_CEP70</t>
  </si>
  <si>
    <t>C9J712_PFN2</t>
  </si>
  <si>
    <t>C9J718_KRIT1</t>
  </si>
  <si>
    <t>C9J858_RNF8</t>
  </si>
  <si>
    <t>C9J9K3_RPSA</t>
  </si>
  <si>
    <t>C9JA69_BBX</t>
  </si>
  <si>
    <t>C9JAX1_FXN</t>
  </si>
  <si>
    <t>C9JAX3_ZNF467</t>
  </si>
  <si>
    <t>C9JB13_BSDC1</t>
  </si>
  <si>
    <t>C9JBM0_NFE2L2</t>
  </si>
  <si>
    <t>C9JCN8_FOSL2</t>
  </si>
  <si>
    <t>C9JDG0_DIAPH3</t>
  </si>
  <si>
    <t>C9JE98_NCOR2</t>
  </si>
  <si>
    <t>C9JEZ4_CDC42EP3</t>
  </si>
  <si>
    <t>C9JFE4_GPS1</t>
  </si>
  <si>
    <t>C9JFK9_BAG3</t>
  </si>
  <si>
    <t>C9JG97_AAMP</t>
  </si>
  <si>
    <t>C9JIS1_GNB2</t>
  </si>
  <si>
    <t>C9JK89_SH2B2</t>
  </si>
  <si>
    <t>C9JLU1_POLR2H</t>
  </si>
  <si>
    <t>C9JMH6_SERPINF2</t>
  </si>
  <si>
    <t>C9JND4_GXYLT2</t>
  </si>
  <si>
    <t>C9JNE2_OARD1</t>
  </si>
  <si>
    <t>C9JNI7_HSPBP1</t>
  </si>
  <si>
    <t>C9JNU9_USP4</t>
  </si>
  <si>
    <t>C9JP00_MBNL1</t>
  </si>
  <si>
    <t>C9JPC9_USP42</t>
  </si>
  <si>
    <t>C9JQ41_CCDC58</t>
  </si>
  <si>
    <t>C9JQB1_NME6</t>
  </si>
  <si>
    <t>C9JQQ5_ATL2</t>
  </si>
  <si>
    <t>C9JQV3_STK11IP</t>
  </si>
  <si>
    <t>C9JRV0_RNF13</t>
  </si>
  <si>
    <t>C9JRZ8-2_AKR1B15</t>
  </si>
  <si>
    <t>C9JW69_RCC1</t>
  </si>
  <si>
    <t>C9JWL4_AP4M1</t>
  </si>
  <si>
    <t>C9JXB8_RPL24</t>
  </si>
  <si>
    <t>C9JXK0_LBR</t>
  </si>
  <si>
    <t>C9JYM0_POP7</t>
  </si>
  <si>
    <t>C9JYQ9_RPL22L1</t>
  </si>
  <si>
    <t>C9JYY6_NRCAM</t>
  </si>
  <si>
    <t>C9JYY9_NUDT5</t>
  </si>
  <si>
    <t>C9JZY6_UBE2H</t>
  </si>
  <si>
    <t>D0UFD3_PrLZ</t>
  </si>
  <si>
    <t>D3DUE4_ANKS3</t>
  </si>
  <si>
    <t>D3K174_SLC4A7</t>
  </si>
  <si>
    <t>D3YTB1_RPL32</t>
  </si>
  <si>
    <t>D3YTG6_NDOR1</t>
  </si>
  <si>
    <t>D6R966_CXXC5</t>
  </si>
  <si>
    <t>D6R992_RELB</t>
  </si>
  <si>
    <t>D6R9D6_RBM47</t>
  </si>
  <si>
    <t>D6R9U7_POLR3G</t>
  </si>
  <si>
    <t>D6R9V3_CC2D2A</t>
  </si>
  <si>
    <t>D6RB01_FAM169A</t>
  </si>
  <si>
    <t>D6RBC4_ZBTB38</t>
  </si>
  <si>
    <t>D6RBN5_OCIAD1</t>
  </si>
  <si>
    <t>D6RBV2_LMAN2</t>
  </si>
  <si>
    <t>D6RC23_PACRGL</t>
  </si>
  <si>
    <t>D6RCD0_HSD17B11</t>
  </si>
  <si>
    <t>D6RDM1_CCDC111</t>
  </si>
  <si>
    <t>D6RDX3_ATG10</t>
  </si>
  <si>
    <t>D6REA0_PET112</t>
  </si>
  <si>
    <t>D6REW1_PRELID1</t>
  </si>
  <si>
    <t>D6REX3_SEC31A</t>
  </si>
  <si>
    <t>D6RGI3_SEPT11</t>
  </si>
  <si>
    <t>D6RGY3_CPLX2</t>
  </si>
  <si>
    <t>D6RHC4_ANKHD1</t>
  </si>
  <si>
    <t>D6RHD3_CENPK</t>
  </si>
  <si>
    <t>D6RHI7_CCNH</t>
  </si>
  <si>
    <t>D6RHI9_RNASET2</t>
  </si>
  <si>
    <t>D6RHJ6_IGJ</t>
  </si>
  <si>
    <t>D6RJ90_COMMD10</t>
  </si>
  <si>
    <t>E2QRD4_MMS22L</t>
  </si>
  <si>
    <t>E2QRD5_C15orf38-AP3S2</t>
  </si>
  <si>
    <t>E2QRF9_GMNN</t>
  </si>
  <si>
    <t>E5RFH7_FAM92A1</t>
  </si>
  <si>
    <t>E5RFJ1_NSMCE2</t>
  </si>
  <si>
    <t>E5RG13_IMPA1</t>
  </si>
  <si>
    <t>E5RGQ3_RWDD1</t>
  </si>
  <si>
    <t>E5RGX5_STMN2</t>
  </si>
  <si>
    <t>E5RHG8_TCEB1</t>
  </si>
  <si>
    <t>E5RHK8_DNM3</t>
  </si>
  <si>
    <t>E5RIH5_TTI2</t>
  </si>
  <si>
    <t>E5RJ08_CHCHD7</t>
  </si>
  <si>
    <t>E5RJ29_PSD3</t>
  </si>
  <si>
    <t>E5RJ52_AP3M2</t>
  </si>
  <si>
    <t>E5RJ99_ZFAND1</t>
  </si>
  <si>
    <t>E5RJH0_BHMT</t>
  </si>
  <si>
    <t>E5RJR5_SKP1</t>
  </si>
  <si>
    <t>E5RJU9_MTDH</t>
  </si>
  <si>
    <t>E7EM64_COPS6</t>
  </si>
  <si>
    <t>E7EMB8_PTPN18</t>
  </si>
  <si>
    <t>E7EMC3_EPN2</t>
  </si>
  <si>
    <t>E7EMM4_ASAH1</t>
  </si>
  <si>
    <t>E7EMW7_UBR5</t>
  </si>
  <si>
    <t>E7EMZ9_TACC2</t>
  </si>
  <si>
    <t>E7EN68_SETMAR</t>
  </si>
  <si>
    <t>E7ENA9_NCSTN</t>
  </si>
  <si>
    <t>E7ENK0_CALCOCO2</t>
  </si>
  <si>
    <t>E7ENY8_COL3A1</t>
  </si>
  <si>
    <t>E7EPB3_RPL14</t>
  </si>
  <si>
    <t>E7EPD0_TOM1</t>
  </si>
  <si>
    <t>E7EPI0_IBTK</t>
  </si>
  <si>
    <t>E7EPL4_PDXDC1</t>
  </si>
  <si>
    <t>E7EPS8_PTPRM</t>
  </si>
  <si>
    <t>E7EQ69_NAA50</t>
  </si>
  <si>
    <t>E7EQT4_ACIN1</t>
  </si>
  <si>
    <t>E7EQY4_MTA3</t>
  </si>
  <si>
    <t>E7ER32_MKL1</t>
  </si>
  <si>
    <t>E7ER68_FAM91A1</t>
  </si>
  <si>
    <t>E7ER77_ERMP1</t>
  </si>
  <si>
    <t>E7ER81_FAM193B</t>
  </si>
  <si>
    <t>E7ERB7_GMIP</t>
  </si>
  <si>
    <t>E7ERL6_MAST2</t>
  </si>
  <si>
    <t>E7ES08_HMGB3</t>
  </si>
  <si>
    <t>E7ES35_TTC38</t>
  </si>
  <si>
    <t>E7ESD5_EYA4</t>
  </si>
  <si>
    <t>E7ESU4_NAT10</t>
  </si>
  <si>
    <t>E7ET15_U2SURP</t>
  </si>
  <si>
    <t>E7ET33_ITIH3</t>
  </si>
  <si>
    <t>E7ET89_DTX2</t>
  </si>
  <si>
    <t>E7ET96_TNIP1</t>
  </si>
  <si>
    <t>E7ETU5_RBMS1</t>
  </si>
  <si>
    <t>E7ETU9_PLOD2</t>
  </si>
  <si>
    <t>E7ETZ4_BZW2</t>
  </si>
  <si>
    <t>E7EU96_CSNK2A1</t>
  </si>
  <si>
    <t>E7EUC6_NAV3</t>
  </si>
  <si>
    <t>E7EUI8_G6PD</t>
  </si>
  <si>
    <t>E7EUM5_NUP54</t>
  </si>
  <si>
    <t>E7EUR8_FAM193A</t>
  </si>
  <si>
    <t>E7EUU4_EIF4G1</t>
  </si>
  <si>
    <t>E7EUY3_PCCB</t>
  </si>
  <si>
    <t>E7EV07_ARHGEF4</t>
  </si>
  <si>
    <t>E7EV62_ARFGAP1</t>
  </si>
  <si>
    <t>E7EVA0_MAP4</t>
  </si>
  <si>
    <t>E7EVH9_HDHD1</t>
  </si>
  <si>
    <t>E7EVJ5_CYFIP2</t>
  </si>
  <si>
    <t>E7EVY7_POR</t>
  </si>
  <si>
    <t>E7EVZ3_RAI1</t>
  </si>
  <si>
    <t>E7EW69_SEPT10</t>
  </si>
  <si>
    <t>E7EW80_PPIL2</t>
  </si>
  <si>
    <t>E7EW84_EXOC6</t>
  </si>
  <si>
    <t>E7EWC2_IQGAP2</t>
  </si>
  <si>
    <t>E7EWD6_ASXL2</t>
  </si>
  <si>
    <t>E7EX01_MPP2</t>
  </si>
  <si>
    <t>E7EX44_CALD1</t>
  </si>
  <si>
    <t>E7EX48_NEK4</t>
  </si>
  <si>
    <t>E9PAU2_RAVER1</t>
  </si>
  <si>
    <t>E9PAV9_GPATCH4</t>
  </si>
  <si>
    <t>E9PAX8_PPHLN1</t>
  </si>
  <si>
    <t>E9PB14_PDHX</t>
  </si>
  <si>
    <t>E9PB61_ALYREF</t>
  </si>
  <si>
    <t>E9PBS1_PAICS</t>
  </si>
  <si>
    <t>E9PC26_BUB1</t>
  </si>
  <si>
    <t>E9PC74_EIF2B5</t>
  </si>
  <si>
    <t>E9PCH4_FNIP1</t>
  </si>
  <si>
    <t>E9PCV0_GUSB</t>
  </si>
  <si>
    <t>E9PCX3_ELF2</t>
  </si>
  <si>
    <t>E9PCX8_TNS3</t>
  </si>
  <si>
    <t>E9PD68_CRMP1</t>
  </si>
  <si>
    <t>E9PD90_CKAP2</t>
  </si>
  <si>
    <t>E9PDG2_IFT122</t>
  </si>
  <si>
    <t>E9PE82_ACADS</t>
  </si>
  <si>
    <t>E9PEG3_AR</t>
  </si>
  <si>
    <t>E9PEK0_HMGXB3</t>
  </si>
  <si>
    <t>E9PER6_PDPK1</t>
  </si>
  <si>
    <t>E9PEZ3_DIAPH1</t>
  </si>
  <si>
    <t>E9PF10_NUP155</t>
  </si>
  <si>
    <t>E9PF16_ACSF2</t>
  </si>
  <si>
    <t>E9PF99_CEP192</t>
  </si>
  <si>
    <t>E9PFR3_PPP2R5D</t>
  </si>
  <si>
    <t>E9PFU9_ZFAND2B</t>
  </si>
  <si>
    <t>E9PG22_CEP97</t>
  </si>
  <si>
    <t>E9PG35_MCCC1</t>
  </si>
  <si>
    <t>E9PG40_APP</t>
  </si>
  <si>
    <t>E9PGF5_TNS1</t>
  </si>
  <si>
    <t>E9PGT1_TSN</t>
  </si>
  <si>
    <t>E9PGW7_MED22</t>
  </si>
  <si>
    <t>E9PH29_PRDX3</t>
  </si>
  <si>
    <t>E9PHK0_CLEC3B</t>
  </si>
  <si>
    <t>E9PHM2_LARS2</t>
  </si>
  <si>
    <t>E9PHV5_SSFA2</t>
  </si>
  <si>
    <t>E9PHY8_MROH1</t>
  </si>
  <si>
    <t>E9PIB1_HLA-DQB1</t>
  </si>
  <si>
    <t>E9PJ04_SF3B2</t>
  </si>
  <si>
    <t>E9PJ24_PHRF1</t>
  </si>
  <si>
    <t>E9PJ40_EBAG9</t>
  </si>
  <si>
    <t>E9PJ81_UBXN1</t>
  </si>
  <si>
    <t>E9PJD7_CYHR1</t>
  </si>
  <si>
    <t>E9PJF5_BRMS1</t>
  </si>
  <si>
    <t>E9PJK4_ARHGAP42</t>
  </si>
  <si>
    <t>E9PJN1_RPS6KA4</t>
  </si>
  <si>
    <t>E9PJP2_SOGA3</t>
  </si>
  <si>
    <t>E9PJV3_RPUSD4</t>
  </si>
  <si>
    <t>E9PKB7_TEAD1</t>
  </si>
  <si>
    <t>E9PKD1_TOR1AIP1</t>
  </si>
  <si>
    <t>E9PKG1_PRMT1</t>
  </si>
  <si>
    <t>E9PKV8_TTC9C</t>
  </si>
  <si>
    <t>E9PL10_BTF3L4</t>
  </si>
  <si>
    <t>E9PL22_HYOU1</t>
  </si>
  <si>
    <t>E9PL24_PDE4DIP</t>
  </si>
  <si>
    <t>E9PL57_NEDD8-MDP1</t>
  </si>
  <si>
    <t>E9PLK3_NPEPPS</t>
  </si>
  <si>
    <t>E9PLL6_RPL27A</t>
  </si>
  <si>
    <t>E9PLX2_RNF141</t>
  </si>
  <si>
    <t>E9PLY5_MACF1</t>
  </si>
  <si>
    <t>E9PM46_USP47</t>
  </si>
  <si>
    <t>E9PM92_C11orf58</t>
  </si>
  <si>
    <t>E9PMB9_ME3</t>
  </si>
  <si>
    <t>E9PME6_USF1</t>
  </si>
  <si>
    <t>E9PMH5_BIRC2</t>
  </si>
  <si>
    <t>E9PMI6_CLNS1A</t>
  </si>
  <si>
    <t>E9PMJ2_FAM118B</t>
  </si>
  <si>
    <t>E9PML3_AHI1</t>
  </si>
  <si>
    <t>E9PMQ6_HSF1</t>
  </si>
  <si>
    <t>E9PMS5_KCTD21</t>
  </si>
  <si>
    <t>E9PMS6_LMO7</t>
  </si>
  <si>
    <t>E9PN20_ZNF595</t>
  </si>
  <si>
    <t>E9PND2_CSRP1</t>
  </si>
  <si>
    <t>E9PNJ4_STIM1</t>
  </si>
  <si>
    <t>E9PNW4_CD59</t>
  </si>
  <si>
    <t>E9PQ47_ZFPL1</t>
  </si>
  <si>
    <t>E9PR30_FAU</t>
  </si>
  <si>
    <t>E9PR54_CTSB</t>
  </si>
  <si>
    <t>E9PR76_MAF1</t>
  </si>
  <si>
    <t>E9PRI4_RPS6KA1</t>
  </si>
  <si>
    <t>E9PS84_</t>
  </si>
  <si>
    <t>E9PSF2_STIL</t>
  </si>
  <si>
    <t>F2Z2V1_FGGY</t>
  </si>
  <si>
    <t>F2Z2X4_XPO4</t>
  </si>
  <si>
    <t>F5GWF3_C1RL</t>
  </si>
  <si>
    <t>F5GWI9_CCDC53</t>
  </si>
  <si>
    <t>F5GWN5_PIK3C2B</t>
  </si>
  <si>
    <t>F5GWP8_JUP</t>
  </si>
  <si>
    <t>F5GWT4_WNK1</t>
  </si>
  <si>
    <t>F5GWU7_SMAD5</t>
  </si>
  <si>
    <t>F5GX09_FAM76B</t>
  </si>
  <si>
    <t>F5GX82_FRYL</t>
  </si>
  <si>
    <t>F5GXC8_SUCLA2</t>
  </si>
  <si>
    <t>F5GXE4_ATE1</t>
  </si>
  <si>
    <t>F5GXE7_LTBR</t>
  </si>
  <si>
    <t>F5GXQ1_ITIH4</t>
  </si>
  <si>
    <t>F5GXS0_C4B</t>
  </si>
  <si>
    <t>F5GXY5_SASS6</t>
  </si>
  <si>
    <t>F5GY03_SPARC</t>
  </si>
  <si>
    <t>F5GYE8_CEP112</t>
  </si>
  <si>
    <t>F5GYJ5_</t>
  </si>
  <si>
    <t>F5GYK4_TK2</t>
  </si>
  <si>
    <t>F5GZ78_PXN</t>
  </si>
  <si>
    <t>F5GZ90_DTL</t>
  </si>
  <si>
    <t>F5GZY0_APLP2</t>
  </si>
  <si>
    <t>F5H012_TRIM21</t>
  </si>
  <si>
    <t>F5H0B0_TPD52</t>
  </si>
  <si>
    <t>F5H0C4_PAAF1</t>
  </si>
  <si>
    <t>F5H0F9_ANAPC5</t>
  </si>
  <si>
    <t>F5H0I7_TDG</t>
  </si>
  <si>
    <t>F5H0K8_KSR1</t>
  </si>
  <si>
    <t>F5H0L8_SEC23IP</t>
  </si>
  <si>
    <t>F5H0Q6_CLASRP</t>
  </si>
  <si>
    <t>F5H105_ZNF384</t>
  </si>
  <si>
    <t>F5H148_RRN3</t>
  </si>
  <si>
    <t>F5H199_MSRB3</t>
  </si>
  <si>
    <t>F5H1D6_POLE</t>
  </si>
  <si>
    <t>F5H1L4_TXNRD2</t>
  </si>
  <si>
    <t>F5H1M6_P2RX4</t>
  </si>
  <si>
    <t>F5H1N7_KIAA1211</t>
  </si>
  <si>
    <t>F5H1R7_FLJ22184</t>
  </si>
  <si>
    <t>F5H2A0_C12orf43</t>
  </si>
  <si>
    <t>F5H2H5_ANKLE2</t>
  </si>
  <si>
    <t>F5H2Q7_KIAA1715</t>
  </si>
  <si>
    <t>F5H2U2_PRPF4B</t>
  </si>
  <si>
    <t>F5H2U8_HMGA2</t>
  </si>
  <si>
    <t>F5H2X0_TJP3</t>
  </si>
  <si>
    <t>F5H315_XAB2</t>
  </si>
  <si>
    <t>F5H365_SEC23A</t>
  </si>
  <si>
    <t>F5H4B1_PRAME</t>
  </si>
  <si>
    <t>F5H4G7_KPNA6</t>
  </si>
  <si>
    <t>F5H4I2_RNF115</t>
  </si>
  <si>
    <t>F5H4J2_PEX14</t>
  </si>
  <si>
    <t>F5H4N6_GRIP1</t>
  </si>
  <si>
    <t>F5H4Q5_VPS37C</t>
  </si>
  <si>
    <t>F5H4V9_PDCD2</t>
  </si>
  <si>
    <t>F5H555_CASC1</t>
  </si>
  <si>
    <t>F5H5K5_</t>
  </si>
  <si>
    <t>F5H5M7_IFNGR1</t>
  </si>
  <si>
    <t>F5H5X7_CLEC4E</t>
  </si>
  <si>
    <t>F5H604_CLASP2</t>
  </si>
  <si>
    <t>F5H629_ATF2</t>
  </si>
  <si>
    <t>F5H6C2_IFT88</t>
  </si>
  <si>
    <t>F5H6I7_ATL3</t>
  </si>
  <si>
    <t>F5H6S1_KDM6A</t>
  </si>
  <si>
    <t>F5H702_MRPL48</t>
  </si>
  <si>
    <t>F5H721_WBP11</t>
  </si>
  <si>
    <t>F5H780_TXNRD1</t>
  </si>
  <si>
    <t>F5H801_OGDH</t>
  </si>
  <si>
    <t>F5H860_INPP4A</t>
  </si>
  <si>
    <t>F5H897_TRAP1</t>
  </si>
  <si>
    <t>F5H8E6_WDR20</t>
  </si>
  <si>
    <t>F5H8H2_MVK</t>
  </si>
  <si>
    <t>F5H8H4_POGZ</t>
  </si>
  <si>
    <t>F6TQG2_SMARCA1</t>
  </si>
  <si>
    <t>F6U1T9_PPP3R1</t>
  </si>
  <si>
    <t>F6UJY9_HYI</t>
  </si>
  <si>
    <t>F6UYM1_RPS6KB1</t>
  </si>
  <si>
    <t>F6V707_TPD52L1</t>
  </si>
  <si>
    <t>F6XY72_NME2</t>
  </si>
  <si>
    <t>F8VPD4_CAD</t>
  </si>
  <si>
    <t>F8VQZ7_METAP2</t>
  </si>
  <si>
    <t>F8VRH0_PCBP2</t>
  </si>
  <si>
    <t>F8VS47_NEK3</t>
  </si>
  <si>
    <t>F8VSE7_E2F7</t>
  </si>
  <si>
    <t>F8VSL3_NFYB</t>
  </si>
  <si>
    <t>F8VV59_NAP1L1</t>
  </si>
  <si>
    <t>F8VV64_TENC1</t>
  </si>
  <si>
    <t>F8VWA6_MON2</t>
  </si>
  <si>
    <t>F8VWL3_FGD4</t>
  </si>
  <si>
    <t>F8VXG7_SCAF11</t>
  </si>
  <si>
    <t>F8VXY3_OAS1</t>
  </si>
  <si>
    <t>F8VY35_NAP1L1</t>
  </si>
  <si>
    <t>F8VYY5_DNAJC14</t>
  </si>
  <si>
    <t>F8VZJ2_NACA</t>
  </si>
  <si>
    <t>F8W038_C17orf49</t>
  </si>
  <si>
    <t>F8W181_RPL6</t>
  </si>
  <si>
    <t>F8W1T6_RBMS2</t>
  </si>
  <si>
    <t>F8W6D7_CBFA2T2</t>
  </si>
  <si>
    <t>F8W6I7_HNRNPA1</t>
  </si>
  <si>
    <t>F8W6X8_RASA3</t>
  </si>
  <si>
    <t>F8W717_EML1</t>
  </si>
  <si>
    <t>F8W726_UBAP2L</t>
  </si>
  <si>
    <t>F8W8C2_VEZT</t>
  </si>
  <si>
    <t>F8W8H5_RAB24</t>
  </si>
  <si>
    <t>F8W8I6_TIA1</t>
  </si>
  <si>
    <t>F8W8K9_AP1S3</t>
  </si>
  <si>
    <t>F8W8M3_PPP1R12B</t>
  </si>
  <si>
    <t>F8W8M4_ABLIM1</t>
  </si>
  <si>
    <t>F8W9F9_WNK2</t>
  </si>
  <si>
    <t>F8W9L8_PHF20L1</t>
  </si>
  <si>
    <t>F8W9Q9_LENG8</t>
  </si>
  <si>
    <t>F8W9X7_CCDC93</t>
  </si>
  <si>
    <t>F8WAK8_STAG2</t>
  </si>
  <si>
    <t>F8WAS3_NDUFA5</t>
  </si>
  <si>
    <t>F8WB16_CTTNBP2</t>
  </si>
  <si>
    <t>F8WBK5_MRPL40</t>
  </si>
  <si>
    <t>F8WEG4_CBWD2</t>
  </si>
  <si>
    <t>F8WF48_SEC62</t>
  </si>
  <si>
    <t>F8WJN3_CPSF6</t>
  </si>
  <si>
    <t>G3V130_MTERFD1</t>
  </si>
  <si>
    <t>G3V167_PARP2</t>
  </si>
  <si>
    <t>G3V1L9_TJP1</t>
  </si>
  <si>
    <t>G3V1N3_GAS2L3</t>
  </si>
  <si>
    <t>G3V1P3_LOH12CR1</t>
  </si>
  <si>
    <t>G3V1R3_ZEB1</t>
  </si>
  <si>
    <t>G3V1R9_ISYNA1</t>
  </si>
  <si>
    <t>G3V1V0_MYL6</t>
  </si>
  <si>
    <t>G3V3A0_SERPINA3</t>
  </si>
  <si>
    <t>G3V3A4_SNW1</t>
  </si>
  <si>
    <t>G3V3G9_DCAF8</t>
  </si>
  <si>
    <t>G3V3I4_NFKBIA</t>
  </si>
  <si>
    <t>G3V3R7_ATXN3</t>
  </si>
  <si>
    <t>G3V439_SIVA1</t>
  </si>
  <si>
    <t>G3V4J7_DCAF5</t>
  </si>
  <si>
    <t>G3V4W0_HNRNPC</t>
  </si>
  <si>
    <t>G3V529_DDX24</t>
  </si>
  <si>
    <t>G3V577_RPGRIP1</t>
  </si>
  <si>
    <t>G3V583_FAM177A1</t>
  </si>
  <si>
    <t>G3V599_CTAGE5</t>
  </si>
  <si>
    <t>G3V5N7_FOS</t>
  </si>
  <si>
    <t>G3V5T0_GSTZ1</t>
  </si>
  <si>
    <t>G3XAA0_ARID1B</t>
  </si>
  <si>
    <t>G3XAF7_BCAS1</t>
  </si>
  <si>
    <t>G3XAH0_SEPT5</t>
  </si>
  <si>
    <t>G3XAI9_FAM133B</t>
  </si>
  <si>
    <t>G3XAL9_SLC12A2</t>
  </si>
  <si>
    <t>G3XAM2_CFI</t>
  </si>
  <si>
    <t>G3XAN4_TRAM1</t>
  </si>
  <si>
    <t>G5E948_MAP4K4</t>
  </si>
  <si>
    <t>G5E979_ATG4A</t>
  </si>
  <si>
    <t>G5E9A6_USP11</t>
  </si>
  <si>
    <t>G5E9A7_DMWD</t>
  </si>
  <si>
    <t>G5E9B5_TFPT</t>
  </si>
  <si>
    <t>G5E9C8_SOS1</t>
  </si>
  <si>
    <t>G5E9E7_TJP1</t>
  </si>
  <si>
    <t>G5E9I6_MAPRE2</t>
  </si>
  <si>
    <t>G5E9L9_DCLK2</t>
  </si>
  <si>
    <t>G5E9R3_RPL37A</t>
  </si>
  <si>
    <t>G5EA02_C4orf21</t>
  </si>
  <si>
    <t>G5EA37_WIPI1</t>
  </si>
  <si>
    <t>G5EA42_TMOD2</t>
  </si>
  <si>
    <t>G5EA52_PDIA3</t>
  </si>
  <si>
    <t>G8JL95_MAU2</t>
  </si>
  <si>
    <t>G8JLA8_TGFBI</t>
  </si>
  <si>
    <t>G8JLB3_PUS1</t>
  </si>
  <si>
    <t>G8JLI5_WDR45</t>
  </si>
  <si>
    <t>G8JLK3_PACS2</t>
  </si>
  <si>
    <t>G8JLP2_C14orf159</t>
  </si>
  <si>
    <t>H0Y2S9_MPRIP</t>
  </si>
  <si>
    <t>H0Y3P2_EIF4G2</t>
  </si>
  <si>
    <t>H0Y3R8_TJP1</t>
  </si>
  <si>
    <t>H0Y412_PRRC2B</t>
  </si>
  <si>
    <t>H0Y459_NCOR1</t>
  </si>
  <si>
    <t>H0Y498_EDEM3</t>
  </si>
  <si>
    <t>H0Y4R1_IMPDH2</t>
  </si>
  <si>
    <t>H0Y4V9_LARP4B</t>
  </si>
  <si>
    <t>H0Y4W2_TRRAP</t>
  </si>
  <si>
    <t>H0Y507_SH3PXD2A</t>
  </si>
  <si>
    <t>H0Y5B0_EPB41L2</t>
  </si>
  <si>
    <t>H0Y5B5_PBRM1</t>
  </si>
  <si>
    <t>H0Y5C2_ATE1</t>
  </si>
  <si>
    <t>H0Y614_UFM1</t>
  </si>
  <si>
    <t>H0Y6A0_ARFGAP3</t>
  </si>
  <si>
    <t>H0Y6C3_PYCRL</t>
  </si>
  <si>
    <t>H0Y6F0_EFCAB2</t>
  </si>
  <si>
    <t>H0Y7D4_</t>
  </si>
  <si>
    <t>H0Y7F8_MAPKAP1</t>
  </si>
  <si>
    <t>H0Y9S9_PPIP5K2</t>
  </si>
  <si>
    <t>H0Y9V2_UBE2B</t>
  </si>
  <si>
    <t>H0YA52_PCBD2</t>
  </si>
  <si>
    <t>H0YA59_STOX2</t>
  </si>
  <si>
    <t>H0YA68_MAN2B2</t>
  </si>
  <si>
    <t>H0YAI5_RNF4</t>
  </si>
  <si>
    <t>H0YAN8_ARHGEF10</t>
  </si>
  <si>
    <t>H0YBD4_GSR</t>
  </si>
  <si>
    <t>H0YCZ8_LETM2</t>
  </si>
  <si>
    <t>H0YDP7_MRPL49</t>
  </si>
  <si>
    <t>H0YDQ3_LMO7</t>
  </si>
  <si>
    <t>H0YDQ8_CRTC2</t>
  </si>
  <si>
    <t>H0YDR5_SIGIRR</t>
  </si>
  <si>
    <t>H0YDU8_PPP5C</t>
  </si>
  <si>
    <t>H0YEB0_ASAP3</t>
  </si>
  <si>
    <t>H0YEB6_SSSCA1</t>
  </si>
  <si>
    <t>H0YEF3_RNASEH2C</t>
  </si>
  <si>
    <t>H0YEP0_KAT5</t>
  </si>
  <si>
    <t>H0YEP5_SMPD1</t>
  </si>
  <si>
    <t>H0YFI1_LAMTOR1</t>
  </si>
  <si>
    <t>H0YGG2_NUDT22</t>
  </si>
  <si>
    <t>H0YGR4_REXO2</t>
  </si>
  <si>
    <t>H0YGW5_LRP6</t>
  </si>
  <si>
    <t>H0YHD0_BRMS1L</t>
  </si>
  <si>
    <t>H0YIQ8_KANSL2</t>
  </si>
  <si>
    <t>H0YJG9_DHRS2</t>
  </si>
  <si>
    <t>H0YJS3_FANCM</t>
  </si>
  <si>
    <t>H0YL33_ANXA2</t>
  </si>
  <si>
    <t>H0YLB5_POU2F1</t>
  </si>
  <si>
    <t>H0YLF2_HMBOX1</t>
  </si>
  <si>
    <t>H0YLX2_RFX7</t>
  </si>
  <si>
    <t>H0YM91_T</t>
  </si>
  <si>
    <t>H0YMB3_GMPR2</t>
  </si>
  <si>
    <t>H0YMJ0_MORF4L1</t>
  </si>
  <si>
    <t>H0YMM4_ISG20</t>
  </si>
  <si>
    <t>H0YNA7_SPPL2A</t>
  </si>
  <si>
    <t>H0YNH8_UACA</t>
  </si>
  <si>
    <t>H0YNU5_BLM</t>
  </si>
  <si>
    <t>H0YNX7_GCHFR</t>
  </si>
  <si>
    <t>H3BLU7_AKR7A2</t>
  </si>
  <si>
    <t>H3BM42_GLG1</t>
  </si>
  <si>
    <t>H3BM67_NOL3</t>
  </si>
  <si>
    <t>H3BM79_AKTIP</t>
  </si>
  <si>
    <t>H3BMJ2_C15orf39</t>
  </si>
  <si>
    <t>H3BN26_SEZ6L2</t>
  </si>
  <si>
    <t>H3BN72_COX4I1</t>
  </si>
  <si>
    <t>H3BNA7_KIAA0513</t>
  </si>
  <si>
    <t>H3BNG0_FAM219B</t>
  </si>
  <si>
    <t>H3BNK2_LYRM1</t>
  </si>
  <si>
    <t>H3BNM4_INO80E</t>
  </si>
  <si>
    <t>H3BPB8_MPI</t>
  </si>
  <si>
    <t>H3BPE1_MACF1</t>
  </si>
  <si>
    <t>H3BPG5_RNPS1</t>
  </si>
  <si>
    <t>H3BPS8_ALDOA</t>
  </si>
  <si>
    <t>H3BQF6_</t>
  </si>
  <si>
    <t>H3BQQ2_ZNF598</t>
  </si>
  <si>
    <t>H3BQV3_COG8</t>
  </si>
  <si>
    <t>H3BQZ7_hCG_2044799</t>
  </si>
  <si>
    <t>H3BRB6_ZNRF1</t>
  </si>
  <si>
    <t>H3BRF9_ZFYVE19</t>
  </si>
  <si>
    <t>H3BRG4_UQCRC2</t>
  </si>
  <si>
    <t>H3BRL3_UBFD1</t>
  </si>
  <si>
    <t>H3BRS1_NFATC3</t>
  </si>
  <si>
    <t>H3BRV0_EIF3C</t>
  </si>
  <si>
    <t>H3BS88_TEX9</t>
  </si>
  <si>
    <t>H3BSC1_RAB11A</t>
  </si>
  <si>
    <t>H3BSL4_E4F1</t>
  </si>
  <si>
    <t>H3BST1_BLOC1S6</t>
  </si>
  <si>
    <t>H3BSW0_LRRC57</t>
  </si>
  <si>
    <t>H3BTB7_EARS2</t>
  </si>
  <si>
    <t>H3BTL1_MAP1LC3B</t>
  </si>
  <si>
    <t>H3BTX0_</t>
  </si>
  <si>
    <t>H3BU49_ARL2BP</t>
  </si>
  <si>
    <t>H3BUF6_ATXN2L</t>
  </si>
  <si>
    <t>H7BXD8_LGALS8</t>
  </si>
  <si>
    <t>H7BXG2_NPRL3</t>
  </si>
  <si>
    <t>H7BXH2_PPP6R3</t>
  </si>
  <si>
    <t>H7BXI1_ESYT2</t>
  </si>
  <si>
    <t>H7BYY1_TPM1</t>
  </si>
  <si>
    <t>H7BYY2_BCOR</t>
  </si>
  <si>
    <t>H7BZJ3_PDIA3</t>
  </si>
  <si>
    <t>H7BZL0_MKI67IP</t>
  </si>
  <si>
    <t>H7C096_BNIP2</t>
  </si>
  <si>
    <t>H7C0D5_YIPF4</t>
  </si>
  <si>
    <t>H7C0G7_NHEJ1</t>
  </si>
  <si>
    <t>H7C0J3_CHD3</t>
  </si>
  <si>
    <t>H7C0S8_</t>
  </si>
  <si>
    <t>H7C0Y4_DUSP22</t>
  </si>
  <si>
    <t>H7C107_IQSEC1</t>
  </si>
  <si>
    <t>H7C171_INO80B</t>
  </si>
  <si>
    <t>H7C173_MZT2B</t>
  </si>
  <si>
    <t>H7C1F9_RALGAPA2</t>
  </si>
  <si>
    <t>H7C1N2_COBL</t>
  </si>
  <si>
    <t>H7C1U3_CC2D1B</t>
  </si>
  <si>
    <t>H7C284_MFSD6</t>
  </si>
  <si>
    <t>H7C293_MZT2B</t>
  </si>
  <si>
    <t>H7C2G2_ART4</t>
  </si>
  <si>
    <t>H7C2K6_EPB41L1</t>
  </si>
  <si>
    <t>H7C2Z6_GCA</t>
  </si>
  <si>
    <t>H7C331_SDCCAG3</t>
  </si>
  <si>
    <t>H7C3C7_SNAP47</t>
  </si>
  <si>
    <t>H7C3P4_GNS</t>
  </si>
  <si>
    <t>H7C4B9_MDFIC</t>
  </si>
  <si>
    <t>H7C4X9_ZMYND8</t>
  </si>
  <si>
    <t>H7C5A5_STIM2</t>
  </si>
  <si>
    <t>H7C5G1_IAH1</t>
  </si>
  <si>
    <t>H8Y6P7_GCOM1</t>
  </si>
  <si>
    <t>H9KV61_PWWP2B</t>
  </si>
  <si>
    <t>H9KVA7_CEACAM5</t>
  </si>
  <si>
    <t>H9ZYI9_GABPB1</t>
  </si>
  <si>
    <t>I3L077_MYO15B</t>
  </si>
  <si>
    <t>I3L097_</t>
  </si>
  <si>
    <t>I3L0L4_ENDOV</t>
  </si>
  <si>
    <t>I3L0N3_NSF</t>
  </si>
  <si>
    <t>I3L0W4_SAT2</t>
  </si>
  <si>
    <t>I3L121_CLUAP1</t>
  </si>
  <si>
    <t>I3L1H5_DPH1</t>
  </si>
  <si>
    <t>I3L1Q3_ELP5</t>
  </si>
  <si>
    <t>I3L232_B3GNTL1</t>
  </si>
  <si>
    <t>I3L2B0_CLUH</t>
  </si>
  <si>
    <t>I3L2C7_GEMIN4</t>
  </si>
  <si>
    <t>I3L2J0_CIC</t>
  </si>
  <si>
    <t>I3L2N2_DVL2</t>
  </si>
  <si>
    <t>I3L2Z5_MAZ</t>
  </si>
  <si>
    <t>I3L301_TFAP4</t>
  </si>
  <si>
    <t>I3L3P7_RPS15A</t>
  </si>
  <si>
    <t>I3L4B1_MYL4</t>
  </si>
  <si>
    <t>I3L4C3_SPAG7</t>
  </si>
  <si>
    <t>I3L4Q0_FAM195B</t>
  </si>
  <si>
    <t>I3L4X3_NFKBIB</t>
  </si>
  <si>
    <t>I3L4X7_GPS2</t>
  </si>
  <si>
    <t>I6L8B7_FABP5</t>
  </si>
  <si>
    <t>I6L9B4_DNAJC24</t>
  </si>
  <si>
    <t>J3KMW7_UBR5</t>
  </si>
  <si>
    <t>J3KMX2_SMARCD2</t>
  </si>
  <si>
    <t>J3KMY5_NPC2</t>
  </si>
  <si>
    <t>J3KMZ7_INTS2</t>
  </si>
  <si>
    <t>J3KN32_RCOR1</t>
  </si>
  <si>
    <t>J3KN33_CNTLN</t>
  </si>
  <si>
    <t>J3KN68_VGLL4</t>
  </si>
  <si>
    <t>J3KN75_TBC1D8B</t>
  </si>
  <si>
    <t>J3KNB8_MAP3K4</t>
  </si>
  <si>
    <t>J3KND1_SAAL1</t>
  </si>
  <si>
    <t>J3KNF4_CCS</t>
  </si>
  <si>
    <t>J3KNH7_SENP3</t>
  </si>
  <si>
    <t>J3KNK4_AP4S1</t>
  </si>
  <si>
    <t>J3KNL6_SEC16A</t>
  </si>
  <si>
    <t>J3KNL9_ZFYVE1</t>
  </si>
  <si>
    <t>J3KNN7_BRAP</t>
  </si>
  <si>
    <t>J3KNU8_ALDH6A1</t>
  </si>
  <si>
    <t>J3KNZ9_FBRS</t>
  </si>
  <si>
    <t>J3KP15_SRSF2</t>
  </si>
  <si>
    <t>J3KP75_PHACTR2</t>
  </si>
  <si>
    <t>J3KPS2_FAM83H</t>
  </si>
  <si>
    <t>J3KPU4_MYD88</t>
  </si>
  <si>
    <t>J3KPV7_MPST</t>
  </si>
  <si>
    <t>J3KQ34_COPS7B</t>
  </si>
  <si>
    <t>J3KQ72_FBXO6</t>
  </si>
  <si>
    <t>J3KQ98_PPP1R37</t>
  </si>
  <si>
    <t>J3KQG4_GBA</t>
  </si>
  <si>
    <t>J3KQS6_BABAM1</t>
  </si>
  <si>
    <t>J3KQT5_KCTD1</t>
  </si>
  <si>
    <t>J3KRL7_PER1</t>
  </si>
  <si>
    <t>J3KRP6_SS18</t>
  </si>
  <si>
    <t>J3KRR7_CYLD</t>
  </si>
  <si>
    <t>J3KS05_CBX1</t>
  </si>
  <si>
    <t>J3KTD6_AURKB</t>
  </si>
  <si>
    <t>J3KTI7_CDC6</t>
  </si>
  <si>
    <t>J3QKZ1_ZNF286B</t>
  </si>
  <si>
    <t>J3QL56_SCO1</t>
  </si>
  <si>
    <t>J3QQJ0_SAP30BP</t>
  </si>
  <si>
    <t>J3QQJ5_TRAPPC8</t>
  </si>
  <si>
    <t>J3QQM5_LIMD2</t>
  </si>
  <si>
    <t>J3QQT2_RPL17</t>
  </si>
  <si>
    <t>J3QQX3_FDXR</t>
  </si>
  <si>
    <t>J3QQY0_MSL1</t>
  </si>
  <si>
    <t>J3QR09_RPL19</t>
  </si>
  <si>
    <t>J3QRD1_ALDH3A2</t>
  </si>
  <si>
    <t>J3QRK2_hCG_1996301</t>
  </si>
  <si>
    <t>J3QRT4_ZSWIM7</t>
  </si>
  <si>
    <t>J3QRZ6_MIF4GD</t>
  </si>
  <si>
    <t>J3QS27_ZNF207</t>
  </si>
  <si>
    <t>J3QSB2_ERAL1</t>
  </si>
  <si>
    <t>J3QT87_CRBN</t>
  </si>
  <si>
    <t>J9JIC5_C17orf75</t>
  </si>
  <si>
    <t>K4DI92_RWDD4</t>
  </si>
  <si>
    <t>K4DI93_CUL4B</t>
  </si>
  <si>
    <t>K7EIE8_MBD3</t>
  </si>
  <si>
    <t>K7EIG1_CLUH</t>
  </si>
  <si>
    <t>K7EIJ0_WBP2</t>
  </si>
  <si>
    <t>K7EIN2_NUDT16L1</t>
  </si>
  <si>
    <t>K7EIR0_WDR18</t>
  </si>
  <si>
    <t>K7EIU8_SMAD4</t>
  </si>
  <si>
    <t>K7EJ78_RPS15</t>
  </si>
  <si>
    <t>K7EJH0_SPC24</t>
  </si>
  <si>
    <t>K7EK07_H3F3B</t>
  </si>
  <si>
    <t>K7EK35_STAT5A</t>
  </si>
  <si>
    <t>K7EKE6_LONP1</t>
  </si>
  <si>
    <t>K7EKI8_PPL</t>
  </si>
  <si>
    <t>K7EKZ2_</t>
  </si>
  <si>
    <t>K7ELY2_STX10</t>
  </si>
  <si>
    <t>K7EM02_KATNAL2</t>
  </si>
  <si>
    <t>K7EMS3_KRT19</t>
  </si>
  <si>
    <t>K7EMV5_ZNF444</t>
  </si>
  <si>
    <t>K7EN05_ELOF1</t>
  </si>
  <si>
    <t>K7EN65_MBD1</t>
  </si>
  <si>
    <t>K7EN88_hCG_2039718</t>
  </si>
  <si>
    <t>K7ENL9_C18orf8</t>
  </si>
  <si>
    <t>K7ENW0_GGNBP2</t>
  </si>
  <si>
    <t>K7EP32_UBXN6</t>
  </si>
  <si>
    <t>K7EPS8_C19orf12</t>
  </si>
  <si>
    <t>K7EQU4_SAFB2</t>
  </si>
  <si>
    <t>K7EQW8_TPM4</t>
  </si>
  <si>
    <t>K7EQZ3_</t>
  </si>
  <si>
    <t>K7ERF1_EIF3K</t>
  </si>
  <si>
    <t>K7ERI9_APOC1</t>
  </si>
  <si>
    <t>K7ES11_UBE2O</t>
  </si>
  <si>
    <t>K7ES54_FSTL3</t>
  </si>
  <si>
    <t>K7ESE3_RAD23A</t>
  </si>
  <si>
    <t>K7ESI9_DNM2</t>
  </si>
  <si>
    <t>K7ESN2_ZCCHC2</t>
  </si>
  <si>
    <t>M0QWZ7_SARS2</t>
  </si>
  <si>
    <t>M0QX35_PAF1</t>
  </si>
  <si>
    <t>M0QXZ5_ZNF428</t>
  </si>
  <si>
    <t>M0QYJ8_GMFG</t>
  </si>
  <si>
    <t>M0QYM7_TUBB4A</t>
  </si>
  <si>
    <t>M0QZ09_SIRT6</t>
  </si>
  <si>
    <t>M0QZ22_SAMD4B</t>
  </si>
  <si>
    <t>M0QZM1_HNRNPM</t>
  </si>
  <si>
    <t>M0QZR4_ARHGEF1</t>
  </si>
  <si>
    <t>M0R0B4_KXD1</t>
  </si>
  <si>
    <t>M0R0F0_RPS5</t>
  </si>
  <si>
    <t>M0R0P8_MYO9B</t>
  </si>
  <si>
    <t>M0R1E0_RAB4B</t>
  </si>
  <si>
    <t>M0R1G4_</t>
  </si>
  <si>
    <t>M0R2G0_LRRC4B</t>
  </si>
  <si>
    <t>M0R2P6_SHKBP1</t>
  </si>
  <si>
    <t>M0R3D4_RABAC1</t>
  </si>
  <si>
    <t>O00139-2_KIF2A</t>
  </si>
  <si>
    <t>O00148_DDX39A</t>
  </si>
  <si>
    <t>O00151_PDLIM1</t>
  </si>
  <si>
    <t>O00154-4_ACOT7</t>
  </si>
  <si>
    <t>O00159_MYO1C</t>
  </si>
  <si>
    <t>O00161_SNAP23</t>
  </si>
  <si>
    <t>O00165-5_HAX1</t>
  </si>
  <si>
    <t>O00170_AIP</t>
  </si>
  <si>
    <t>O00178_GTPBP1</t>
  </si>
  <si>
    <t>O00186_STXBP3</t>
  </si>
  <si>
    <t>O00194_RAB27B</t>
  </si>
  <si>
    <t>O00203_AP3B1</t>
  </si>
  <si>
    <t>O00204-2_SULT2B1</t>
  </si>
  <si>
    <t>O00213-2_APBB1</t>
  </si>
  <si>
    <t>O00220_TNFRSF10A</t>
  </si>
  <si>
    <t>O00221_NFKBIE</t>
  </si>
  <si>
    <t>O00231_PSMD11</t>
  </si>
  <si>
    <t>O00232_PSMD12</t>
  </si>
  <si>
    <t>O00233_PSMD9</t>
  </si>
  <si>
    <t>O00244_ATOX1</t>
  </si>
  <si>
    <t>O00267-2_SUPT5H</t>
  </si>
  <si>
    <t>O00268_TAF4</t>
  </si>
  <si>
    <t>O00273_DFFA</t>
  </si>
  <si>
    <t>O00273-2_DFFA</t>
  </si>
  <si>
    <t>O00291_HIP1</t>
  </si>
  <si>
    <t>O00299_CLIC1</t>
  </si>
  <si>
    <t>O00303_EIF3F</t>
  </si>
  <si>
    <t>O00308_WWP2</t>
  </si>
  <si>
    <t>O00329_PIK3CD</t>
  </si>
  <si>
    <t>O00399_DCTN6</t>
  </si>
  <si>
    <t>O00401_WASL</t>
  </si>
  <si>
    <t>O00410_IPO5</t>
  </si>
  <si>
    <t>O00411_POLRMT</t>
  </si>
  <si>
    <t>O00418_EEF2K</t>
  </si>
  <si>
    <t>O00425_IGF2BP3</t>
  </si>
  <si>
    <t>O00429-3_DNM1L</t>
  </si>
  <si>
    <t>O00429-4_DNM1L</t>
  </si>
  <si>
    <t>O00442_RTCA</t>
  </si>
  <si>
    <t>O00443_PIK3C2A</t>
  </si>
  <si>
    <t>O00459_PIK3R2</t>
  </si>
  <si>
    <t>O00462_MANBA</t>
  </si>
  <si>
    <t>O00468-2_AGRN</t>
  </si>
  <si>
    <t>O00471_EXOC5</t>
  </si>
  <si>
    <t>O00472_ELL2</t>
  </si>
  <si>
    <t>O00479_HMGN4</t>
  </si>
  <si>
    <t>O00487_PSMD14</t>
  </si>
  <si>
    <t>O00488_ZNF593</t>
  </si>
  <si>
    <t>O00499-6_BIN1</t>
  </si>
  <si>
    <t>O00505_KPNA3</t>
  </si>
  <si>
    <t>O00506_STK25</t>
  </si>
  <si>
    <t>O00512_BCL9</t>
  </si>
  <si>
    <t>O00560-3_SDCBP</t>
  </si>
  <si>
    <t>O00562-2_PITPNM1</t>
  </si>
  <si>
    <t>O00566_MPHOSPH10</t>
  </si>
  <si>
    <t>O00567_NOP56</t>
  </si>
  <si>
    <t>O00571_DDX3X</t>
  </si>
  <si>
    <t>O00592-2_PODXL</t>
  </si>
  <si>
    <t>O00625_PIR</t>
  </si>
  <si>
    <t>O00629_KPNA4</t>
  </si>
  <si>
    <t>O00635_TRIM38</t>
  </si>
  <si>
    <t>O00712_NFIB</t>
  </si>
  <si>
    <t>O00743_PPP6C</t>
  </si>
  <si>
    <t>O00746_NME4</t>
  </si>
  <si>
    <t>O00754-2_MAN2B1</t>
  </si>
  <si>
    <t>O00764_PDXK</t>
  </si>
  <si>
    <t>O14497_ARID1A</t>
  </si>
  <si>
    <t>O14513_NCKAP5</t>
  </si>
  <si>
    <t>O14519-2_CDK2AP1</t>
  </si>
  <si>
    <t>O14530_TXNDC9</t>
  </si>
  <si>
    <t>O14531_DPYSL4</t>
  </si>
  <si>
    <t>O14544_SOCS6</t>
  </si>
  <si>
    <t>O14545_TRAFD1</t>
  </si>
  <si>
    <t>O14561_NDUFAB1</t>
  </si>
  <si>
    <t>O14578-4_CIT</t>
  </si>
  <si>
    <t>O14579_COPE</t>
  </si>
  <si>
    <t>O14602_EIF1AY</t>
  </si>
  <si>
    <t>O14617-4_AP3D1</t>
  </si>
  <si>
    <t>O14640-2_DVL1</t>
  </si>
  <si>
    <t>O14646-2_CHD1</t>
  </si>
  <si>
    <t>O14653-3_GOSR2</t>
  </si>
  <si>
    <t>O14656_TOR1A</t>
  </si>
  <si>
    <t>O14657_TOR1B</t>
  </si>
  <si>
    <t>O14672_ADAM10</t>
  </si>
  <si>
    <t>O14686_MLL2</t>
  </si>
  <si>
    <t>O14713-2_ITGB1BP1</t>
  </si>
  <si>
    <t>O14732-2_IMPA2</t>
  </si>
  <si>
    <t>O14733_MAP2K7</t>
  </si>
  <si>
    <t>O14737_PDCD5</t>
  </si>
  <si>
    <t>O14744_PRMT5</t>
  </si>
  <si>
    <t>O14744-2_PRMT5</t>
  </si>
  <si>
    <t>O14745_SLC9A3R1</t>
  </si>
  <si>
    <t>O14757_CHEK1</t>
  </si>
  <si>
    <t>O14763-2_TNFRSF10B</t>
  </si>
  <si>
    <t>O14772_FPGT</t>
  </si>
  <si>
    <t>O14776-2_TCERG1</t>
  </si>
  <si>
    <t>O14777_NDC80</t>
  </si>
  <si>
    <t>O14782_KIF3C</t>
  </si>
  <si>
    <t>O14787-2_TNPO2</t>
  </si>
  <si>
    <t>O14795_UNC13B</t>
  </si>
  <si>
    <t>O14802_POLR3A</t>
  </si>
  <si>
    <t>O14818_PSMA7</t>
  </si>
  <si>
    <t>O14828_SCAMP3</t>
  </si>
  <si>
    <t>O14841_OPLAH</t>
  </si>
  <si>
    <t>O14867_BACH1</t>
  </si>
  <si>
    <t>O14893-3_GEMIN2</t>
  </si>
  <si>
    <t>O14907_TAX1BP3</t>
  </si>
  <si>
    <t>O14908_GIPC1</t>
  </si>
  <si>
    <t>O14920_IKBKB</t>
  </si>
  <si>
    <t>O14924-2_RGS12</t>
  </si>
  <si>
    <t>O14929_HAT1</t>
  </si>
  <si>
    <t>O14933_UBE2L6</t>
  </si>
  <si>
    <t>O14936-3_CASK</t>
  </si>
  <si>
    <t>O14964_HGS</t>
  </si>
  <si>
    <t>O14965_AURKA</t>
  </si>
  <si>
    <t>O14972_DSCR3</t>
  </si>
  <si>
    <t>O14974_PPP1R12A</t>
  </si>
  <si>
    <t>O14976_GAK</t>
  </si>
  <si>
    <t>O14979_HNRPDL</t>
  </si>
  <si>
    <t>O14980_XPO1</t>
  </si>
  <si>
    <t>O14981_BTAF1</t>
  </si>
  <si>
    <t>O15014_ZNF609</t>
  </si>
  <si>
    <t>O15020-2_SPTBN2</t>
  </si>
  <si>
    <t>O15021-2_MAST4</t>
  </si>
  <si>
    <t>O15031_PLXNB2</t>
  </si>
  <si>
    <t>O15037_KHNYN</t>
  </si>
  <si>
    <t>O15040_TECPR2</t>
  </si>
  <si>
    <t>O15047_SETD1A</t>
  </si>
  <si>
    <t>O15054_KDM6B</t>
  </si>
  <si>
    <t>O15056_SYNJ2</t>
  </si>
  <si>
    <t>O15061_SYNM</t>
  </si>
  <si>
    <t>O15066_KIF3B</t>
  </si>
  <si>
    <t>O15067_PFAS</t>
  </si>
  <si>
    <t>O15084_ANKRD28</t>
  </si>
  <si>
    <t>O15085-2_ARHGEF11</t>
  </si>
  <si>
    <t>O15111_CHUK</t>
  </si>
  <si>
    <t>O15116_LSM1</t>
  </si>
  <si>
    <t>O15118_NPC1</t>
  </si>
  <si>
    <t>O15119-2_TBX3</t>
  </si>
  <si>
    <t>O15143_ARPC1B</t>
  </si>
  <si>
    <t>O15144_ARPC2</t>
  </si>
  <si>
    <t>O15145_ARPC3</t>
  </si>
  <si>
    <t>O15160-2_POLR1C</t>
  </si>
  <si>
    <t>O15164_TRIM24</t>
  </si>
  <si>
    <t>O15169-2_AXIN1</t>
  </si>
  <si>
    <t>O15173_PGRMC2</t>
  </si>
  <si>
    <t>O15212_PFDN6</t>
  </si>
  <si>
    <t>O15226_NKRF</t>
  </si>
  <si>
    <t>O15230_LAMA5</t>
  </si>
  <si>
    <t>O15231_ZNF185</t>
  </si>
  <si>
    <t>O15231-2_ZNF185</t>
  </si>
  <si>
    <t>O15231-3_ZNF185</t>
  </si>
  <si>
    <t>O15234_CASC3</t>
  </si>
  <si>
    <t>O15287_FANCG</t>
  </si>
  <si>
    <t>O15294_OGT</t>
  </si>
  <si>
    <t>O15305_PMM2</t>
  </si>
  <si>
    <t>O15327_INPP4B</t>
  </si>
  <si>
    <t>O15344_MID1</t>
  </si>
  <si>
    <t>O15355_PPM1G</t>
  </si>
  <si>
    <t>O15357_INPPL1</t>
  </si>
  <si>
    <t>O15370_SOX12</t>
  </si>
  <si>
    <t>O15372_EIF3H</t>
  </si>
  <si>
    <t>O15379_HDAC3</t>
  </si>
  <si>
    <t>O15381_NVL</t>
  </si>
  <si>
    <t>O15382_BCAT2</t>
  </si>
  <si>
    <t>O15397_IPO8</t>
  </si>
  <si>
    <t>O15400-2_STX7</t>
  </si>
  <si>
    <t>O15427_SLC16A3</t>
  </si>
  <si>
    <t>O15446_CD3EAP</t>
  </si>
  <si>
    <t>O15460-2_P4HA2</t>
  </si>
  <si>
    <t>O15498_YKT6</t>
  </si>
  <si>
    <t>O15511_ARPC5</t>
  </si>
  <si>
    <t>O15514_POLR2D</t>
  </si>
  <si>
    <t>O15519-13_CFLAR</t>
  </si>
  <si>
    <t>O15541_RNF113A</t>
  </si>
  <si>
    <t>O43143_DHX15</t>
  </si>
  <si>
    <t>O43148_RNMT</t>
  </si>
  <si>
    <t>O43149_ZZEF1</t>
  </si>
  <si>
    <t>O43150_ASAP2</t>
  </si>
  <si>
    <t>O43156_TTI1</t>
  </si>
  <si>
    <t>O43159_RRP8</t>
  </si>
  <si>
    <t>O43164-2_PJA2</t>
  </si>
  <si>
    <t>O43172-2_PRPF4</t>
  </si>
  <si>
    <t>O43175_PHGDH</t>
  </si>
  <si>
    <t>O43237_DYNC1LI2</t>
  </si>
  <si>
    <t>O43242_PSMD3</t>
  </si>
  <si>
    <t>O43251-6_RBFOX2</t>
  </si>
  <si>
    <t>O43252_PAPSS1</t>
  </si>
  <si>
    <t>O43264_ZW10</t>
  </si>
  <si>
    <t>O43290_SART1</t>
  </si>
  <si>
    <t>O43291_SPINT2</t>
  </si>
  <si>
    <t>O43293_DAPK3</t>
  </si>
  <si>
    <t>O43294-2_TGFB1I1</t>
  </si>
  <si>
    <t>O43301_HSPA12A</t>
  </si>
  <si>
    <t>O43303-2_CCP110</t>
  </si>
  <si>
    <t>O43310_CTIF</t>
  </si>
  <si>
    <t>O43314-2_PPIP5K2</t>
  </si>
  <si>
    <t>O43318-2_MAP3K7</t>
  </si>
  <si>
    <t>O43324_EEF1E1</t>
  </si>
  <si>
    <t>O43353_RIPK2</t>
  </si>
  <si>
    <t>O43379_WDR62</t>
  </si>
  <si>
    <t>O43390_HNRNPR</t>
  </si>
  <si>
    <t>O43395_PRPF3</t>
  </si>
  <si>
    <t>O43396_TXNL1</t>
  </si>
  <si>
    <t>O43399-5_TPD52L2</t>
  </si>
  <si>
    <t>O43414-3_ERI3</t>
  </si>
  <si>
    <t>O43427-2_FIBP</t>
  </si>
  <si>
    <t>O43432_EIF4G3</t>
  </si>
  <si>
    <t>O43447_PPIH</t>
  </si>
  <si>
    <t>O43464-3_HTRA2</t>
  </si>
  <si>
    <t>O43482_OIP5</t>
  </si>
  <si>
    <t>O43491_EPB41L2</t>
  </si>
  <si>
    <t>O43493-4_TGOLN2</t>
  </si>
  <si>
    <t>O43502_RAD51C</t>
  </si>
  <si>
    <t>O43513_MED7</t>
  </si>
  <si>
    <t>O43516_WIPF1</t>
  </si>
  <si>
    <t>O43542_XRCC3</t>
  </si>
  <si>
    <t>O43543_XRCC2</t>
  </si>
  <si>
    <t>O43572_AKAP10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</si>
  <si>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</si>
  <si>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</si>
  <si>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</si>
  <si>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</si>
  <si>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</si>
  <si>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</si>
  <si>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</si>
  <si>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O43657_TSPAN6</t>
  </si>
  <si>
    <t>O43660-2_PLRG1</t>
  </si>
  <si>
    <t>O43663_PRC1</t>
  </si>
  <si>
    <t>O43665-2_RGS10</t>
  </si>
  <si>
    <t>O43670-2_ZNF207</t>
  </si>
  <si>
    <t>O43678_NDUFA2</t>
  </si>
  <si>
    <t>O43681_ASNA1</t>
  </si>
  <si>
    <t>O43684-2_BUB3</t>
  </si>
  <si>
    <t>O43707_ACTN4</t>
  </si>
  <si>
    <t>O43709_WBSCR22</t>
  </si>
  <si>
    <t>O43715_TRIAP1</t>
  </si>
  <si>
    <t>O43716_GATC</t>
  </si>
  <si>
    <t>O43719_HTATSF1</t>
  </si>
  <si>
    <t>O43739-2_CYTH3</t>
  </si>
  <si>
    <t>O43747_AP1G1</t>
  </si>
  <si>
    <t>O43752_STX6</t>
  </si>
  <si>
    <t>O43765_SGTA</t>
  </si>
  <si>
    <t>O43766-2_LIAS</t>
  </si>
  <si>
    <t>O43768-2_ENSA</t>
  </si>
  <si>
    <t>O43776_NARS</t>
  </si>
  <si>
    <t>O43795-2_MYO1B</t>
  </si>
  <si>
    <t>O43805_SSNA1</t>
  </si>
  <si>
    <t>O43809_NUDT21</t>
  </si>
  <si>
    <t>O43813_LANCL1</t>
  </si>
  <si>
    <t>O43815_STRN</t>
  </si>
  <si>
    <t>O43818_RRP9</t>
  </si>
  <si>
    <t>O43820-4_HYAL3</t>
  </si>
  <si>
    <t>O43823_AKAP8</t>
  </si>
  <si>
    <t>O43837_IDH3B</t>
  </si>
  <si>
    <t>O43847-2_NRD1</t>
  </si>
  <si>
    <t>O43852_CALU</t>
  </si>
  <si>
    <t>O43865_AHCYL1</t>
  </si>
  <si>
    <t>O43896_KIF1C</t>
  </si>
  <si>
    <t>O43913_ORC5</t>
  </si>
  <si>
    <t>O43924_PDE6D</t>
  </si>
  <si>
    <t>O43929-2_ORC4</t>
  </si>
  <si>
    <t>O60216_RAD21</t>
  </si>
  <si>
    <t>O60218_AKR1B10</t>
  </si>
  <si>
    <t>O60220_TIMM8A</t>
  </si>
  <si>
    <t>O60231_DHX16</t>
  </si>
  <si>
    <t>O60239_SH3BP5</t>
  </si>
  <si>
    <t>O60256_PRPSAP2</t>
  </si>
  <si>
    <t>O60264_SMARCA5</t>
  </si>
  <si>
    <t>O60269_GPRIN2</t>
  </si>
  <si>
    <t>O60271_SPAG9</t>
  </si>
  <si>
    <t>O60271-4_SPAG9</t>
  </si>
  <si>
    <t>O60271-9_SPAG9</t>
  </si>
  <si>
    <t>O60281-2_ZNF292</t>
  </si>
  <si>
    <t>O60292_SIPA1L3</t>
  </si>
  <si>
    <t>O60294_LCMT2</t>
  </si>
  <si>
    <t>O60303_KIAA0556</t>
  </si>
  <si>
    <t>O60306_AQR</t>
  </si>
  <si>
    <t>O60318_MCM3AP</t>
  </si>
  <si>
    <t>O60331-4_PIP5K1C</t>
  </si>
  <si>
    <t>O60333-2_KIF1B</t>
  </si>
  <si>
    <t>O60341_KDM1A</t>
  </si>
  <si>
    <t>O60343-2_TBC1D4</t>
  </si>
  <si>
    <t>O60344-4_ECE2</t>
  </si>
  <si>
    <t>O60347_TBC1D12</t>
  </si>
  <si>
    <t>O60353-2_FZD6</t>
  </si>
  <si>
    <t>O60443_DFNA5</t>
  </si>
  <si>
    <t>O60447_EVI5</t>
  </si>
  <si>
    <t>O60462-4_NRP2</t>
  </si>
  <si>
    <t>O60488-2_ACSL4</t>
  </si>
  <si>
    <t>O60493_SNX3</t>
  </si>
  <si>
    <t>O60502_MGEA5</t>
  </si>
  <si>
    <t>O60504_SORBS3</t>
  </si>
  <si>
    <t>O60506-2_SYNCRIP</t>
  </si>
  <si>
    <t>O60518_RANBP6</t>
  </si>
  <si>
    <t>O60524-4_NEMF</t>
  </si>
  <si>
    <t>O60547-2_GMDS</t>
  </si>
  <si>
    <t>O60551_NMT2</t>
  </si>
  <si>
    <t>O60563_CCNT1</t>
  </si>
  <si>
    <t>O60566_BUB1B</t>
  </si>
  <si>
    <t>O60568_PLOD3</t>
  </si>
  <si>
    <t>O60613_SEP15</t>
  </si>
  <si>
    <t>O60645-3_EXOC3</t>
  </si>
  <si>
    <t>O60664_PLIN3</t>
  </si>
  <si>
    <t>O60671_RAD1</t>
  </si>
  <si>
    <t>O60678_PRMT3</t>
  </si>
  <si>
    <t>O60701_UGDH</t>
  </si>
  <si>
    <t>O60716-5_CTNND1</t>
  </si>
  <si>
    <t>O60749_SNX2</t>
  </si>
  <si>
    <t>O60763_USO1</t>
  </si>
  <si>
    <t>O60826_CCDC22</t>
  </si>
  <si>
    <t>O60828-2_PQBP1</t>
  </si>
  <si>
    <t>O60832_DKC1</t>
  </si>
  <si>
    <t>O60841_EIF5B</t>
  </si>
  <si>
    <t>O60869_EDF1</t>
  </si>
  <si>
    <t>O60884_DNAJA2</t>
  </si>
  <si>
    <t>O60885_BRD4</t>
  </si>
  <si>
    <t>O60888-3_CUTA</t>
  </si>
  <si>
    <t>O60907-2_TBL1X</t>
  </si>
  <si>
    <t>O60921_HUS1</t>
  </si>
  <si>
    <t>O60925_PFDN1</t>
  </si>
  <si>
    <t>O60927_PPP1R11</t>
  </si>
  <si>
    <t>O60934_NBN</t>
  </si>
  <si>
    <t>O60942_RNGTT</t>
  </si>
  <si>
    <t>O75030-12_MITF</t>
  </si>
  <si>
    <t>O75044_SRGAP2</t>
  </si>
  <si>
    <t>O75064_DENND4B</t>
  </si>
  <si>
    <t>O75083_WDR1</t>
  </si>
  <si>
    <t>O75113_N4BP1</t>
  </si>
  <si>
    <t>O75116_ROCK2</t>
  </si>
  <si>
    <t>O75131_CPNE3</t>
  </si>
  <si>
    <t>O75143-3_ATG13</t>
  </si>
  <si>
    <t>O75146_HIP1R</t>
  </si>
  <si>
    <t>O75150_RNF40</t>
  </si>
  <si>
    <t>O75151_PHF2</t>
  </si>
  <si>
    <t>O75152_ZC3H11A</t>
  </si>
  <si>
    <t>O75153_CLUH</t>
  </si>
  <si>
    <t>O75154_RAB11FIP3</t>
  </si>
  <si>
    <t>O75155-2_CAND2</t>
  </si>
  <si>
    <t>O75157-2_TSC22D2</t>
  </si>
  <si>
    <t>O75164_KDM4A</t>
  </si>
  <si>
    <t>O75165_DNAJC13</t>
  </si>
  <si>
    <t>O75170-4_PPP6R2</t>
  </si>
  <si>
    <t>O75175_CNOT3</t>
  </si>
  <si>
    <t>O75177_SS18L1</t>
  </si>
  <si>
    <t>O75179-2_ANKRD17</t>
  </si>
  <si>
    <t>O75190_DNAJB6</t>
  </si>
  <si>
    <t>O75191_XYLB</t>
  </si>
  <si>
    <t>O75208_COQ9</t>
  </si>
  <si>
    <t>O75223_GGCT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</si>
  <si>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</si>
  <si>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</si>
  <si>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</si>
  <si>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</si>
  <si>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</si>
  <si>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</si>
  <si>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</si>
  <si>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O75362_ZNF217</t>
  </si>
  <si>
    <t>O75367-2_H2AFY</t>
  </si>
  <si>
    <t>O75368_SH3BGRL</t>
  </si>
  <si>
    <t>O75369-8_FLNB</t>
  </si>
  <si>
    <t>O75376_NCOR1</t>
  </si>
  <si>
    <t>O75380_NDUFS6</t>
  </si>
  <si>
    <t>O75382-2_TRIM3</t>
  </si>
  <si>
    <t>O75385_ULK1</t>
  </si>
  <si>
    <t>O75391_SPAG7</t>
  </si>
  <si>
    <t>O75396_SEC22B</t>
  </si>
  <si>
    <t>O75400-2_PRPF40A</t>
  </si>
  <si>
    <t>O75410-7_TACC1</t>
  </si>
  <si>
    <t>O75419-2_CDC45</t>
  </si>
  <si>
    <t>O75420_GIGYF1</t>
  </si>
  <si>
    <t>O75436_VPS26A</t>
  </si>
  <si>
    <t>O75439_PMPCB</t>
  </si>
  <si>
    <t>O75449_KATNA1</t>
  </si>
  <si>
    <t>O75475_PSIP1</t>
  </si>
  <si>
    <t>O75489_NDUFS3</t>
  </si>
  <si>
    <t>O75503_CLN5</t>
  </si>
  <si>
    <t>O75506_HSBP1</t>
  </si>
  <si>
    <t>O75521-2_ECI2</t>
  </si>
  <si>
    <t>O75530-3_EED</t>
  </si>
  <si>
    <t>O75531_BANF1</t>
  </si>
  <si>
    <t>O75533_SF3B1</t>
  </si>
  <si>
    <t>O75534_CSDE1</t>
  </si>
  <si>
    <t>O75554_WBP4</t>
  </si>
  <si>
    <t>O75570_MTRF1</t>
  </si>
  <si>
    <t>O75582_RPS6KA5</t>
  </si>
  <si>
    <t>O75607_NPM3</t>
  </si>
  <si>
    <t>O75608-2_LYPLA1</t>
  </si>
  <si>
    <t>O75629_CREG1</t>
  </si>
  <si>
    <t>O75643_SNRNP200</t>
  </si>
  <si>
    <t>O75648_TRMU</t>
  </si>
  <si>
    <t>O75663_TIPRL</t>
  </si>
  <si>
    <t>O75688_PPM1B</t>
  </si>
  <si>
    <t>O75695_RP2</t>
  </si>
  <si>
    <t>O75717_WDHD1</t>
  </si>
  <si>
    <t>O75771-5_RAD51D</t>
  </si>
  <si>
    <t>O75781_PALM</t>
  </si>
  <si>
    <t>O75792_RNASEH2A</t>
  </si>
  <si>
    <t>O75794_CDC123</t>
  </si>
  <si>
    <t>O75808_SOLH</t>
  </si>
  <si>
    <t>O75815_BCAR3</t>
  </si>
  <si>
    <t>O75818-2_RPP40</t>
  </si>
  <si>
    <t>O75821_EIF3G</t>
  </si>
  <si>
    <t>O75822_EIF3J</t>
  </si>
  <si>
    <t>O75828_CBR3</t>
  </si>
  <si>
    <t>O75843_AP1G2</t>
  </si>
  <si>
    <t>O75865_TRAPPC6A</t>
  </si>
  <si>
    <t>O75874_IDH1</t>
  </si>
  <si>
    <t>O75884_RBBP9</t>
  </si>
  <si>
    <t>O75886_STAM2</t>
  </si>
  <si>
    <t>O75896_TUSC2</t>
  </si>
  <si>
    <t>O75909_CCNK</t>
  </si>
  <si>
    <t>O75915_ARL6IP5</t>
  </si>
  <si>
    <t>O75928-3_PIAS2</t>
  </si>
  <si>
    <t>O75934_BCAS2</t>
  </si>
  <si>
    <t>O75935_DCTN3</t>
  </si>
  <si>
    <t>O75937_DNAJC8</t>
  </si>
  <si>
    <t>O75940_SMNDC1</t>
  </si>
  <si>
    <t>O75943-4_RAD17</t>
  </si>
  <si>
    <t>O75962_TRIO</t>
  </si>
  <si>
    <t>O75970-3_MPDZ</t>
  </si>
  <si>
    <t>O75976_CPD</t>
  </si>
  <si>
    <t>O76003_GLRX3</t>
  </si>
  <si>
    <t>O76021_RSL1D1</t>
  </si>
  <si>
    <t>O76024_WFS1</t>
  </si>
  <si>
    <t>O76031_CLPX</t>
  </si>
  <si>
    <t>O76041-2_NEBL</t>
  </si>
  <si>
    <t>O76054_SEC14L2</t>
  </si>
  <si>
    <t>O76070_SNCG</t>
  </si>
  <si>
    <t>O76071_CIAO1</t>
  </si>
  <si>
    <t>O76080_ZFAND5</t>
  </si>
  <si>
    <t>O76094_SRP72</t>
  </si>
  <si>
    <t>O77932_DOM3Z</t>
  </si>
  <si>
    <t>O94760_DDAH1</t>
  </si>
  <si>
    <t>O94763_URI1</t>
  </si>
  <si>
    <t>O94776_MTA2</t>
  </si>
  <si>
    <t>O94804_STK10</t>
  </si>
  <si>
    <t>O94806_PRKD3</t>
  </si>
  <si>
    <t>O94808_GFPT2</t>
  </si>
  <si>
    <t>O94811_TPPP</t>
  </si>
  <si>
    <t>O94817_ATG12</t>
  </si>
  <si>
    <t>O94819_KBTBD11</t>
  </si>
  <si>
    <t>O94822_LTN1</t>
  </si>
  <si>
    <t>O94826_TOMM70A</t>
  </si>
  <si>
    <t>O94829_IPO13</t>
  </si>
  <si>
    <t>O94830_DDHD2</t>
  </si>
  <si>
    <t>O94851-5_MICAL2</t>
  </si>
  <si>
    <t>O94854-2_KIAA0754</t>
  </si>
  <si>
    <t>O94855_SEC24D</t>
  </si>
  <si>
    <t>O94864-2_SUPT7L</t>
  </si>
  <si>
    <t>O94868_FCHSD2</t>
  </si>
  <si>
    <t>O94874_UFL1</t>
  </si>
  <si>
    <t>O94880_PHF14</t>
  </si>
  <si>
    <t>O94885_SASH1</t>
  </si>
  <si>
    <t>O94887_FARP2</t>
  </si>
  <si>
    <t>O94888_UBXN7</t>
  </si>
  <si>
    <t>O94903_PROSC</t>
  </si>
  <si>
    <t>O94906-2_PRPF6</t>
  </si>
  <si>
    <t>O94907_DKK1</t>
  </si>
  <si>
    <t>O94913_PCF11</t>
  </si>
  <si>
    <t>O94916_NFAT5</t>
  </si>
  <si>
    <t>O94925_GLS</t>
  </si>
  <si>
    <t>O94925-3_GLS</t>
  </si>
  <si>
    <t>O94927_HAUS5</t>
  </si>
  <si>
    <t>O94952-1_FBXO21</t>
  </si>
  <si>
    <t>O94964-2_SOGA1</t>
  </si>
  <si>
    <t>O94966-7_USP19</t>
  </si>
  <si>
    <t>O94967-2_WDR47</t>
  </si>
  <si>
    <t>O94972-2_TRIM37</t>
  </si>
  <si>
    <t>O94973_AP2A2</t>
  </si>
  <si>
    <t>O94992_HEXIM1</t>
  </si>
  <si>
    <t>O95059_RPP14</t>
  </si>
  <si>
    <t>O95067_CCNB2</t>
  </si>
  <si>
    <t>O95081_AGFG2</t>
  </si>
  <si>
    <t>O95104_SCAF4</t>
  </si>
  <si>
    <t>O95149_SNUPN</t>
  </si>
  <si>
    <t>O95155-2_UBE4B</t>
  </si>
  <si>
    <t>O95163_IKBKAP</t>
  </si>
  <si>
    <t>O95171-2_SCEL</t>
  </si>
  <si>
    <t>O95197-7_RTN3</t>
  </si>
  <si>
    <t>O95202_LETM1</t>
  </si>
  <si>
    <t>O95218-2_ZRANB2</t>
  </si>
  <si>
    <t>O95219_SNX4</t>
  </si>
  <si>
    <t>O95229_ZWINT</t>
  </si>
  <si>
    <t>O95231_VENTX</t>
  </si>
  <si>
    <t>O95232_LUC7L3</t>
  </si>
  <si>
    <t>O95235_KIF20A</t>
  </si>
  <si>
    <t>O95239_KIF4A</t>
  </si>
  <si>
    <t>O95243-3_MBD4</t>
  </si>
  <si>
    <t>O95248_SBF1</t>
  </si>
  <si>
    <t>O95249_GOSR1</t>
  </si>
  <si>
    <t>O95251-4_KAT7</t>
  </si>
  <si>
    <t>O95273_CCNDBP1</t>
  </si>
  <si>
    <t>O95292_VAPB</t>
  </si>
  <si>
    <t>O95295_SNAPIN</t>
  </si>
  <si>
    <t>O95297-4_MPZL1</t>
  </si>
  <si>
    <t>O95302_FKBP9</t>
  </si>
  <si>
    <t>O95336_PGLS</t>
  </si>
  <si>
    <t>O95340_PAPSS2</t>
  </si>
  <si>
    <t>O95347_SMC2</t>
  </si>
  <si>
    <t>O95352_ATG7</t>
  </si>
  <si>
    <t>O95361_TRIM16</t>
  </si>
  <si>
    <t>O95363_FARS2</t>
  </si>
  <si>
    <t>O95365_ZBTB7A</t>
  </si>
  <si>
    <t>O95372_LYPLA2</t>
  </si>
  <si>
    <t>O95373_IPO7</t>
  </si>
  <si>
    <t>O95376_ARIH2</t>
  </si>
  <si>
    <t>O95379-3_TNFAIP8</t>
  </si>
  <si>
    <t>O95391_SLU7</t>
  </si>
  <si>
    <t>O95394_PGM3</t>
  </si>
  <si>
    <t>O95396_MOCS3</t>
  </si>
  <si>
    <t>O95399_UTS2</t>
  </si>
  <si>
    <t>O95400_CD2BP2</t>
  </si>
  <si>
    <t>O95402_MED26</t>
  </si>
  <si>
    <t>O95405_ZFYVE9</t>
  </si>
  <si>
    <t>O95425_SVIL</t>
  </si>
  <si>
    <t>O95429-2_BAG4</t>
  </si>
  <si>
    <t>O95433_AHSA1</t>
  </si>
  <si>
    <t>O95453-2_PARN</t>
  </si>
  <si>
    <t>O95456_PSMG1</t>
  </si>
  <si>
    <t>O95466_FMNL1</t>
  </si>
  <si>
    <t>O95479_H6PD</t>
  </si>
  <si>
    <t>O95486_SEC24A</t>
  </si>
  <si>
    <t>O95487-2_SEC24B</t>
  </si>
  <si>
    <t>O95544_NADK</t>
  </si>
  <si>
    <t>O95551_TDP2</t>
  </si>
  <si>
    <t>O95568_METTL18</t>
  </si>
  <si>
    <t>O95571_ETHE1</t>
  </si>
  <si>
    <t>O95602_POLR1A</t>
  </si>
  <si>
    <t>O95613_PCNT</t>
  </si>
  <si>
    <t>O95619_YEATS4</t>
  </si>
  <si>
    <t>O95628-3_CNOT4</t>
  </si>
  <si>
    <t>O95630_STAMBP</t>
  </si>
  <si>
    <t>O95671-2_ASMTL</t>
  </si>
  <si>
    <t>O95684_FGFR1OP</t>
  </si>
  <si>
    <t>O95685_PPP1R3D</t>
  </si>
  <si>
    <t>O95707_POP4</t>
  </si>
  <si>
    <t>O95714_HERC2</t>
  </si>
  <si>
    <t>O95716_RAB3D</t>
  </si>
  <si>
    <t>O95721_SNAP29</t>
  </si>
  <si>
    <t>O95747_OXSR1</t>
  </si>
  <si>
    <t>O95749_GGPS1</t>
  </si>
  <si>
    <t>O95757_HSPA4L</t>
  </si>
  <si>
    <t>O95758-1_PTBP3</t>
  </si>
  <si>
    <t>O95759_TBC1D8</t>
  </si>
  <si>
    <t>O95777_NAA38</t>
  </si>
  <si>
    <t>O95782-2_AP2A1</t>
  </si>
  <si>
    <t>O95785_WIZ</t>
  </si>
  <si>
    <t>O95786-2_DDX58</t>
  </si>
  <si>
    <t>O95801_TTC4</t>
  </si>
  <si>
    <t>O95810_SDPR</t>
  </si>
  <si>
    <t>O95816_BAG2</t>
  </si>
  <si>
    <t>O95817_BAG3</t>
  </si>
  <si>
    <t>O95822_MLYCD</t>
  </si>
  <si>
    <t>O95825_CRYZL1</t>
  </si>
  <si>
    <t>O95831-3_AIFM1</t>
  </si>
  <si>
    <t>O95833_CLIC3</t>
  </si>
  <si>
    <t>O95834-2_EML2</t>
  </si>
  <si>
    <t>O95835_LATS1</t>
  </si>
  <si>
    <t>O95848_NUDT14</t>
  </si>
  <si>
    <t>O95861_BPNT1</t>
  </si>
  <si>
    <t>O95865_DDAH2</t>
  </si>
  <si>
    <t>O95881_TXNDC12</t>
  </si>
  <si>
    <t>O95905_ECD</t>
  </si>
  <si>
    <t>O95926_SYF2</t>
  </si>
  <si>
    <t>O95989_NUDT3</t>
  </si>
  <si>
    <t>O95994_AGR2</t>
  </si>
  <si>
    <t>O95997_PTTG1</t>
  </si>
  <si>
    <t>O95999_BCL10</t>
  </si>
  <si>
    <t>O96006_ZBED1</t>
  </si>
  <si>
    <t>O96007_MOCS2</t>
  </si>
  <si>
    <t>O96013_PAK4</t>
  </si>
  <si>
    <t>O96017_CHEK2</t>
  </si>
  <si>
    <t>O96019_ACTL6A</t>
  </si>
  <si>
    <t>O96028_WHSC1</t>
  </si>
  <si>
    <t>O96033_MOCS2</t>
  </si>
  <si>
    <t>P00325_ADH1B</t>
  </si>
  <si>
    <t>P00338_LDHA</t>
  </si>
  <si>
    <t>P00352_ALDH1A1</t>
  </si>
  <si>
    <t>P00374_DHFR</t>
  </si>
  <si>
    <t>P00387-2_CYB5R3</t>
  </si>
  <si>
    <t>P00390-2_GSR</t>
  </si>
  <si>
    <t>P00450_CP</t>
  </si>
  <si>
    <t>P00491_PNP</t>
  </si>
  <si>
    <t>P00492_HPRT1</t>
  </si>
  <si>
    <t>P00505_GOT2</t>
  </si>
  <si>
    <t>P00519_ABL1</t>
  </si>
  <si>
    <t>P00533_EGFR</t>
  </si>
  <si>
    <t>P00558_PGK1</t>
  </si>
  <si>
    <t>P00568_AK1</t>
  </si>
  <si>
    <t>P00813_ADA</t>
  </si>
  <si>
    <t>P00966_ASS1</t>
  </si>
  <si>
    <t>P01009_SERPINA1</t>
  </si>
  <si>
    <t>P01023_A2M</t>
  </si>
  <si>
    <t>P01024_C3</t>
  </si>
  <si>
    <t>P01034_CST3</t>
  </si>
  <si>
    <t>P01042-3_KNG1</t>
  </si>
  <si>
    <t>P01111_NRAS</t>
  </si>
  <si>
    <t>P01116-2_KRAS</t>
  </si>
  <si>
    <t>P01130-3_LDLR</t>
  </si>
  <si>
    <t>P01137_TGFB1</t>
  </si>
  <si>
    <t>P02452_COL1A1</t>
  </si>
  <si>
    <t>P02533_KRT14</t>
  </si>
  <si>
    <t>P02545_LMNA</t>
  </si>
  <si>
    <t>P02545-2_LMNA</t>
  </si>
  <si>
    <t>P02647_APOA1</t>
  </si>
  <si>
    <t>P02656_APOC3</t>
  </si>
  <si>
    <t>P02671-2_FGA</t>
  </si>
  <si>
    <t>P02686-2_MBP</t>
  </si>
  <si>
    <t>P02751-12_FN1</t>
  </si>
  <si>
    <t>P02765_AHSG</t>
  </si>
  <si>
    <t>P02771_AFP</t>
  </si>
  <si>
    <t>P02774_GC</t>
  </si>
  <si>
    <t>P02786_TFRC</t>
  </si>
  <si>
    <t>P02792_FTL</t>
  </si>
  <si>
    <t>P02794_FTH1</t>
  </si>
  <si>
    <t>P02795_MT2A</t>
  </si>
  <si>
    <t>P04066_FUCA1</t>
  </si>
  <si>
    <t>P04075_ALDOA</t>
  </si>
  <si>
    <t>P04080_CSTB</t>
  </si>
  <si>
    <t>P04083_ANXA1</t>
  </si>
  <si>
    <t>P04114_APOB</t>
  </si>
  <si>
    <t>P04150-2_NR3C1</t>
  </si>
  <si>
    <t>P04156-2_PRNP</t>
  </si>
  <si>
    <t>P04181_OAT</t>
  </si>
  <si>
    <t>P04183_TK1</t>
  </si>
  <si>
    <t>P04259_KRT6B</t>
  </si>
  <si>
    <t>P04264_KRT1</t>
  </si>
  <si>
    <t>P04350_TUBB4A</t>
  </si>
  <si>
    <t>P04406_GAPDH</t>
  </si>
  <si>
    <t>P04424_ASL</t>
  </si>
  <si>
    <t>P04626-4_ERBB2</t>
  </si>
  <si>
    <t>P04632_CAPNS1</t>
  </si>
  <si>
    <t>P04731_MT1A</t>
  </si>
  <si>
    <t>P04733_MT1F</t>
  </si>
  <si>
    <t>P04792_HSPB1</t>
  </si>
  <si>
    <t>P04818_TYMS</t>
  </si>
  <si>
    <t>P04899_GNAI2</t>
  </si>
  <si>
    <t>P04920-2_SLC4A2</t>
  </si>
  <si>
    <t>P05091_ALDH2</t>
  </si>
  <si>
    <t>P05114_HMGN1</t>
  </si>
  <si>
    <t>P05161_ISG15</t>
  </si>
  <si>
    <t>P05162_LGALS2</t>
  </si>
  <si>
    <t>P05198_EIF2S1</t>
  </si>
  <si>
    <t>P05204_HMGN2</t>
  </si>
  <si>
    <t>P05386_RPLP1</t>
  </si>
  <si>
    <t>P05387_RPLP2</t>
  </si>
  <si>
    <t>P05388_RPLP0</t>
  </si>
  <si>
    <t>P05412_JUN</t>
  </si>
  <si>
    <t>P05423_POLR3D</t>
  </si>
  <si>
    <t>P05455_SSB</t>
  </si>
  <si>
    <t>P05556_ITGB1</t>
  </si>
  <si>
    <t>P05783_KRT18</t>
  </si>
  <si>
    <t>P05787_KRT8</t>
  </si>
  <si>
    <t>P05814_CSN2</t>
  </si>
  <si>
    <t>P05976-2_MYL1</t>
  </si>
  <si>
    <t>P05997_COL5A2</t>
  </si>
  <si>
    <t>P06132_UROD</t>
  </si>
  <si>
    <t>P06280_GLA</t>
  </si>
  <si>
    <t>P06400_RB1</t>
  </si>
  <si>
    <t>P06493_CDK1</t>
  </si>
  <si>
    <t>P06576_ATP5B</t>
  </si>
  <si>
    <t>P06730_EIF4E</t>
  </si>
  <si>
    <t>P06733_ENO1</t>
  </si>
  <si>
    <t>P06737-2_PYGL</t>
  </si>
  <si>
    <t>P06744_GPI</t>
  </si>
  <si>
    <t>P06748_NPM1</t>
  </si>
  <si>
    <t>P06753-2_TPM3</t>
  </si>
  <si>
    <t>P06753-3_TPM3</t>
  </si>
  <si>
    <t>P06756-3_ITGAV</t>
  </si>
  <si>
    <t>P06865_HEXA</t>
  </si>
  <si>
    <t>P07093-2_SERPINE2</t>
  </si>
  <si>
    <t>P07099_EPHX1</t>
  </si>
  <si>
    <t>P07108_DBI</t>
  </si>
  <si>
    <t>P07148_FABP1</t>
  </si>
  <si>
    <t>P07195_LDHB</t>
  </si>
  <si>
    <t>P07199_CENPB</t>
  </si>
  <si>
    <t>P07203_GPX1</t>
  </si>
  <si>
    <t>P07204_THBD</t>
  </si>
  <si>
    <t>P07237_P4HB</t>
  </si>
  <si>
    <t>P07305-2_H1F0</t>
  </si>
  <si>
    <t>P07311_ACYP1</t>
  </si>
  <si>
    <t>P07355_ANXA2</t>
  </si>
  <si>
    <t>P07384_CAPN1</t>
  </si>
  <si>
    <t>P07602_PSAP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</si>
  <si>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</si>
  <si>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</si>
  <si>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</si>
  <si>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</si>
  <si>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</si>
  <si>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</si>
  <si>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</si>
  <si>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</si>
  <si>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</si>
  <si>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</si>
  <si>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P07942_LAMB1</t>
  </si>
  <si>
    <t>P07951_TPM2</t>
  </si>
  <si>
    <t>P07951-2_TPM2</t>
  </si>
  <si>
    <t>P07954-2_FH</t>
  </si>
  <si>
    <t>P07992_ERCC1</t>
  </si>
  <si>
    <t>P07996_THBS1</t>
  </si>
  <si>
    <t>P08047_SP1</t>
  </si>
  <si>
    <t>P08107_HSPA1A</t>
  </si>
  <si>
    <t>P08133_ANXA6</t>
  </si>
  <si>
    <t>P08195-2_SLC3A2</t>
  </si>
  <si>
    <t>P08237_PFKM</t>
  </si>
  <si>
    <t>P08238_HSP90AB1</t>
  </si>
  <si>
    <t>P08240-2_SRPR</t>
  </si>
  <si>
    <t>P08243-2_ASNS</t>
  </si>
  <si>
    <t>P08397-2_HMBS</t>
  </si>
  <si>
    <t>P08559-3_PDHA1</t>
  </si>
  <si>
    <t>P08572_COL4A2</t>
  </si>
  <si>
    <t>P08579_SNRPB2</t>
  </si>
  <si>
    <t>P08581_MET</t>
  </si>
  <si>
    <t>P08582_MFI2</t>
  </si>
  <si>
    <t>P08621_SNRNP70</t>
  </si>
  <si>
    <t>P08651-2_NFIC</t>
  </si>
  <si>
    <t>P08670_VIM</t>
  </si>
  <si>
    <t>P08727_KRT19</t>
  </si>
  <si>
    <t>P08729_KRT7</t>
  </si>
  <si>
    <t>P08754_GNAI3</t>
  </si>
  <si>
    <t>P08779_KRT16</t>
  </si>
  <si>
    <t>P09012_SNRPA</t>
  </si>
  <si>
    <t>P09038-2_FGF2</t>
  </si>
  <si>
    <t>P09110_ACAA1</t>
  </si>
  <si>
    <t>P09132_SRP19</t>
  </si>
  <si>
    <t>P09234_SNRPC</t>
  </si>
  <si>
    <t>P09327_VIL1</t>
  </si>
  <si>
    <t>P09382_LGALS1</t>
  </si>
  <si>
    <t>P09417_QDPR</t>
  </si>
  <si>
    <t>P09429_HMGB1</t>
  </si>
  <si>
    <t>P09493-10_TPM1</t>
  </si>
  <si>
    <t>P09493-3_TPM1</t>
  </si>
  <si>
    <t>P09493-8_TPM1</t>
  </si>
  <si>
    <t>P09493-9_TPM1</t>
  </si>
  <si>
    <t>P09496-2_CLTA</t>
  </si>
  <si>
    <t>P09497-2_CLTB</t>
  </si>
  <si>
    <t>P09525_ANXA4</t>
  </si>
  <si>
    <t>P09543-2_CNP</t>
  </si>
  <si>
    <t>P09601_HMOX1</t>
  </si>
  <si>
    <t>P09622_DLD</t>
  </si>
  <si>
    <t>P09661_SNRPA1</t>
  </si>
  <si>
    <t>P09668_CTSH</t>
  </si>
  <si>
    <t>P09874_PARP1</t>
  </si>
  <si>
    <t>P09884_POLA1</t>
  </si>
  <si>
    <t>P09936_UCHL1</t>
  </si>
  <si>
    <t>P09960_LTA4H</t>
  </si>
  <si>
    <t>P09972_ALDOC</t>
  </si>
  <si>
    <t>P0C7T5_ATXN1L</t>
  </si>
  <si>
    <t>P0CAP2_POLR2M</t>
  </si>
  <si>
    <t>P0CG12_CHTF8</t>
  </si>
  <si>
    <t>P0CG31_ZNF286B</t>
  </si>
  <si>
    <t>P0CG35_TMSB15B</t>
  </si>
  <si>
    <t>P0CW22_RPS17L</t>
  </si>
  <si>
    <t>P0DI82_TRAPPC2P1</t>
  </si>
  <si>
    <t>P0DI83_RAB34</t>
  </si>
  <si>
    <t>P10070_GLI2</t>
  </si>
  <si>
    <t>P10075_GLI4</t>
  </si>
  <si>
    <t>P10109_FDX1</t>
  </si>
  <si>
    <t>P10155_TROVE2</t>
  </si>
  <si>
    <t>P10253_GAA</t>
  </si>
  <si>
    <t>P10301_RRAS</t>
  </si>
  <si>
    <t>P10398_ARAF</t>
  </si>
  <si>
    <t>P10412_HIST1H1E</t>
  </si>
  <si>
    <t>P10451-5_SPP1</t>
  </si>
  <si>
    <t>P10515_DLAT</t>
  </si>
  <si>
    <t>P10586-2_PTPRF</t>
  </si>
  <si>
    <t>P10606_COX5B</t>
  </si>
  <si>
    <t>P10619_CTSA</t>
  </si>
  <si>
    <t>P10644_PRKAR1A</t>
  </si>
  <si>
    <t>P10746_UROS</t>
  </si>
  <si>
    <t>P10768_ESD</t>
  </si>
  <si>
    <t>P10809_HSPD1</t>
  </si>
  <si>
    <t>P10909-4_CLU</t>
  </si>
  <si>
    <t>P11021_HSPA5</t>
  </si>
  <si>
    <t>P11047_LAMC1</t>
  </si>
  <si>
    <t>P11117_ACP2</t>
  </si>
  <si>
    <t>P11137-3_MAP2</t>
  </si>
  <si>
    <t>P11142_HSPA8</t>
  </si>
  <si>
    <t>P11171-3_EPB41</t>
  </si>
  <si>
    <t>P11172_UMPS</t>
  </si>
  <si>
    <t>P11177-3_PDHB</t>
  </si>
  <si>
    <t>P11182_DBT</t>
  </si>
  <si>
    <t>P11216_PYGB</t>
  </si>
  <si>
    <t>P11233_RALA</t>
  </si>
  <si>
    <t>P11274_BCR</t>
  </si>
  <si>
    <t>P11277-3_SPTB</t>
  </si>
  <si>
    <t>P11279_LAMP1</t>
  </si>
  <si>
    <t>P11310_ACADM</t>
  </si>
  <si>
    <t>P11387_TOP1</t>
  </si>
  <si>
    <t>P11388_TOP2A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</si>
  <si>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</si>
  <si>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</si>
  <si>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</si>
  <si>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</si>
  <si>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</si>
  <si>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</si>
  <si>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</si>
  <si>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P11908_PRPS2</t>
  </si>
  <si>
    <t>P11926_ODC1</t>
  </si>
  <si>
    <t>P11940_PABPC1</t>
  </si>
  <si>
    <t>P12004_PCNA</t>
  </si>
  <si>
    <t>P12109_COL6A1</t>
  </si>
  <si>
    <t>P12270_TPR</t>
  </si>
  <si>
    <t>P12277_CKB</t>
  </si>
  <si>
    <t>P12429_ANXA3</t>
  </si>
  <si>
    <t>P12532_CKMT1A</t>
  </si>
  <si>
    <t>P12694_BCKDHA</t>
  </si>
  <si>
    <t>P12814_ACTN1</t>
  </si>
  <si>
    <t>P12830_CDH1</t>
  </si>
  <si>
    <t>P12931_SRC</t>
  </si>
  <si>
    <t>P12955_PEPD</t>
  </si>
  <si>
    <t>P12956_XRCC6</t>
  </si>
  <si>
    <t>P13010_XRCC5</t>
  </si>
  <si>
    <t>P13051_UNG</t>
  </si>
  <si>
    <t>P13489_RNH1</t>
  </si>
  <si>
    <t>P13639_EEF2</t>
  </si>
  <si>
    <t>P13647_KRT5</t>
  </si>
  <si>
    <t>P13667_PDIA4</t>
  </si>
  <si>
    <t>P13674-2_P4HA1</t>
  </si>
  <si>
    <t>P13693_TPT1</t>
  </si>
  <si>
    <t>P13797_PLS3</t>
  </si>
  <si>
    <t>P13798_APEH</t>
  </si>
  <si>
    <t>P13804_ETFA</t>
  </si>
  <si>
    <t>P13807-2_GYS1</t>
  </si>
  <si>
    <t>P13861_PRKAR2A</t>
  </si>
  <si>
    <t>P13928_ANXA8</t>
  </si>
  <si>
    <t>P13929_ENO3</t>
  </si>
  <si>
    <t>P13984_GTF2F2</t>
  </si>
  <si>
    <t>P13995_MTHFD2</t>
  </si>
  <si>
    <t>P14174_MIF</t>
  </si>
  <si>
    <t>P14209-3_CD99</t>
  </si>
  <si>
    <t>P14314-2_PRKCSH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</si>
  <si>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</si>
  <si>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</si>
  <si>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</si>
  <si>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</si>
  <si>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</si>
  <si>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</si>
  <si>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</si>
  <si>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</si>
  <si>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</si>
  <si>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</si>
  <si>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</si>
  <si>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</si>
  <si>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</si>
  <si>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</si>
  <si>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</si>
  <si>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</si>
  <si>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P15121_AKR1B1</t>
  </si>
  <si>
    <t>P15151-3_PVR</t>
  </si>
  <si>
    <t>P15170-2_GSPT1</t>
  </si>
  <si>
    <t>P15248_IL9</t>
  </si>
  <si>
    <t>P15289_ARSA</t>
  </si>
  <si>
    <t>P15311_EZR</t>
  </si>
  <si>
    <t>P15374_UCHL3</t>
  </si>
  <si>
    <t>P15428_HPGD</t>
  </si>
  <si>
    <t>P15529-15_CD46</t>
  </si>
  <si>
    <t>P15531_NME1</t>
  </si>
  <si>
    <t>P15735-2_PHKG2</t>
  </si>
  <si>
    <t>P15848_ARSB</t>
  </si>
  <si>
    <t>P15880_RPS2</t>
  </si>
  <si>
    <t>P15882_CHN1</t>
  </si>
  <si>
    <t>P15924_DSP</t>
  </si>
  <si>
    <t>P15927_RPA2</t>
  </si>
  <si>
    <t>P16035_TIMP2</t>
  </si>
  <si>
    <t>P16070-18_CD44</t>
  </si>
  <si>
    <t>P16144-4_ITGB4</t>
  </si>
  <si>
    <t>P16152_CBR1</t>
  </si>
  <si>
    <t>P16157-11_ANK1</t>
  </si>
  <si>
    <t>P16220-2_CREB1</t>
  </si>
  <si>
    <t>P16278-3_GLB1</t>
  </si>
  <si>
    <t>P16298_PPP3CB</t>
  </si>
  <si>
    <t>P16333_NCK1</t>
  </si>
  <si>
    <t>P16383_GCFC2</t>
  </si>
  <si>
    <t>P16401_HIST1H1B</t>
  </si>
  <si>
    <t>P16403_HIST1H1C</t>
  </si>
  <si>
    <t>P16455_MGMT</t>
  </si>
  <si>
    <t>P16885_PLCG2</t>
  </si>
  <si>
    <t>P16930_FAH</t>
  </si>
  <si>
    <t>P16949_STMN1</t>
  </si>
  <si>
    <t>P16989_YBX3</t>
  </si>
  <si>
    <t>P16989-2_YBX3</t>
  </si>
  <si>
    <t>P17010-2_ZFX</t>
  </si>
  <si>
    <t>P17028_ZNF24</t>
  </si>
  <si>
    <t>P17029_ZKSCAN1</t>
  </si>
  <si>
    <t>P17039_ZNF30</t>
  </si>
  <si>
    <t>P17050_NAGA</t>
  </si>
  <si>
    <t>P17066_HSPA6</t>
  </si>
  <si>
    <t>P17096_HMGA1</t>
  </si>
  <si>
    <t>P17098_ZNF8</t>
  </si>
  <si>
    <t>P17174_GOT1</t>
  </si>
  <si>
    <t>P17252_PRKCA</t>
  </si>
  <si>
    <t>P17275_JUNB</t>
  </si>
  <si>
    <t>P17302_GJA1</t>
  </si>
  <si>
    <t>P17480-2_UBTF</t>
  </si>
  <si>
    <t>P17535_JUND</t>
  </si>
  <si>
    <t>P17544-4_ATF7</t>
  </si>
  <si>
    <t>P17612_PRKACA</t>
  </si>
  <si>
    <t>P17655_CAPN2</t>
  </si>
  <si>
    <t>P17706-2_PTPN2</t>
  </si>
  <si>
    <t>P17707_AMD1</t>
  </si>
  <si>
    <t>P17812_CTPS1</t>
  </si>
  <si>
    <t>P17858_PFKL</t>
  </si>
  <si>
    <t>P17900_GM2A</t>
  </si>
  <si>
    <t>P17931_LGALS3</t>
  </si>
  <si>
    <t>P17936_IGFBP3</t>
  </si>
  <si>
    <t>P17987_TCP1</t>
  </si>
  <si>
    <t>P18031_PTPN1</t>
  </si>
  <si>
    <t>P18065_IGFBP2</t>
  </si>
  <si>
    <t>P18084_ITGB5</t>
  </si>
  <si>
    <t>P18085_ARF4</t>
  </si>
  <si>
    <t>P18124_RPL7</t>
  </si>
  <si>
    <t>P18206-2_VCL</t>
  </si>
  <si>
    <t>P18283_GPX2</t>
  </si>
  <si>
    <t>P18440_NAT1</t>
  </si>
  <si>
    <t>P18583-10_SON</t>
  </si>
  <si>
    <t>P18615_NELFE</t>
  </si>
  <si>
    <t>P18669_PGAM1</t>
  </si>
  <si>
    <t>P18827_SDC1</t>
  </si>
  <si>
    <t>P18846_ATF1</t>
  </si>
  <si>
    <t>P18858_LIG1</t>
  </si>
  <si>
    <t>P18859_ATP5J</t>
  </si>
  <si>
    <t>P18887_XRCC1</t>
  </si>
  <si>
    <t>P19013_KRT4</t>
  </si>
  <si>
    <t>P19105_MYL12A</t>
  </si>
  <si>
    <t>P19174-2_PLCG1</t>
  </si>
  <si>
    <t>P19338_NCL</t>
  </si>
  <si>
    <t>P19367-4_HK1</t>
  </si>
  <si>
    <t>P19387_POLR2C</t>
  </si>
  <si>
    <t>P19388_POLR2E</t>
  </si>
  <si>
    <t>P19404_NDUFV2</t>
  </si>
  <si>
    <t>P19419_ELK1</t>
  </si>
  <si>
    <t>P19440_GGT1</t>
  </si>
  <si>
    <t>P19447_ERCC3</t>
  </si>
  <si>
    <t>P19525_EIF2AK2</t>
  </si>
  <si>
    <t>P19532_TFE3</t>
  </si>
  <si>
    <t>P19623_SRM</t>
  </si>
  <si>
    <t>P19784_CSNK2A2</t>
  </si>
  <si>
    <t>P19835_CEL</t>
  </si>
  <si>
    <t>P19838_NFKB1</t>
  </si>
  <si>
    <t>P19971_TYMP</t>
  </si>
  <si>
    <t>P20042_EIF2S2</t>
  </si>
  <si>
    <t>P20248_CCNA2</t>
  </si>
  <si>
    <t>P20290_BTF3</t>
  </si>
  <si>
    <t>P20290-2_BTF3</t>
  </si>
  <si>
    <t>P20338_RAB4A</t>
  </si>
  <si>
    <t>P20340-2_RAB6A</t>
  </si>
  <si>
    <t>P20585_MSH3</t>
  </si>
  <si>
    <t>P20618_PSMB1</t>
  </si>
  <si>
    <t>P20674_COX5A</t>
  </si>
  <si>
    <t>P20700_LMNB1</t>
  </si>
  <si>
    <t>P20749_BCL3</t>
  </si>
  <si>
    <t>P20810-5_CAST</t>
  </si>
  <si>
    <t>P20810-6_CAST</t>
  </si>
  <si>
    <t>P20823-3_HNF1A</t>
  </si>
  <si>
    <t>P20839-2_IMPDH1</t>
  </si>
  <si>
    <t>P20908_COL5A1</t>
  </si>
  <si>
    <t>P20936-2_RASA1</t>
  </si>
  <si>
    <t>P20962_PTMS</t>
  </si>
  <si>
    <t>P21127-8_CDK11B</t>
  </si>
  <si>
    <t>P21266_GSTM3</t>
  </si>
  <si>
    <t>P21281_ATP6V1B2</t>
  </si>
  <si>
    <t>P21283_ATP6V1C1</t>
  </si>
  <si>
    <t>P21291_CSRP1</t>
  </si>
  <si>
    <t>P21333-2_FLNA</t>
  </si>
  <si>
    <t>P21359-2_NF1</t>
  </si>
  <si>
    <t>P21399_ACO1</t>
  </si>
  <si>
    <t>P21549_AGXT</t>
  </si>
  <si>
    <t>P21580_TNFAIP3</t>
  </si>
  <si>
    <t>P21589-2_NT5E</t>
  </si>
  <si>
    <t>P21953_BCKDHB</t>
  </si>
  <si>
    <t>P21964-2_COMT</t>
  </si>
  <si>
    <t>P21980_TGM2</t>
  </si>
  <si>
    <t>P22033_MUT</t>
  </si>
  <si>
    <t>P22059_OSBP</t>
  </si>
  <si>
    <t>P22061_PCMT1</t>
  </si>
  <si>
    <t>P22087_FBL</t>
  </si>
  <si>
    <t>P22102_GART</t>
  </si>
  <si>
    <t>P22307-7_SCP2</t>
  </si>
  <si>
    <t>P22314_UBA1</t>
  </si>
  <si>
    <t>P22392-2_NME2</t>
  </si>
  <si>
    <t>P22570_FDXR</t>
  </si>
  <si>
    <t>P22626_HNRNPA2B1</t>
  </si>
  <si>
    <t>P22670_RFX1</t>
  </si>
  <si>
    <t>P22676_CALB2</t>
  </si>
  <si>
    <t>P22681_CBL</t>
  </si>
  <si>
    <t>P22692_IGFBP4</t>
  </si>
  <si>
    <t>P22694_PRKACB</t>
  </si>
  <si>
    <t>P22830_FECH</t>
  </si>
  <si>
    <t>P23025_XPA</t>
  </si>
  <si>
    <t>P23141-3_CES1</t>
  </si>
  <si>
    <t>P23142-3_FBLN1</t>
  </si>
  <si>
    <t>P23193_TCEA1</t>
  </si>
  <si>
    <t>P23246_SFPQ</t>
  </si>
  <si>
    <t>P23258_TUBG1</t>
  </si>
  <si>
    <t>P23284_PPIB</t>
  </si>
  <si>
    <t>P23368_ME2</t>
  </si>
  <si>
    <t>P23378_GLDC</t>
  </si>
  <si>
    <t>P23381_WARS</t>
  </si>
  <si>
    <t>P23396_RPS3</t>
  </si>
  <si>
    <t>P23409_MYF6</t>
  </si>
  <si>
    <t>P23434_GCSH</t>
  </si>
  <si>
    <t>P23497_SP100</t>
  </si>
  <si>
    <t>P23511-2_NFYA</t>
  </si>
  <si>
    <t>P23526_AHCY</t>
  </si>
  <si>
    <t>P23528_CFL1</t>
  </si>
  <si>
    <t>P23588_EIF4B</t>
  </si>
  <si>
    <t>P23610_F8A1</t>
  </si>
  <si>
    <t>P23743_DGKA</t>
  </si>
  <si>
    <t>P23919_DTYMK</t>
  </si>
  <si>
    <t>P23921_RRM1</t>
  </si>
  <si>
    <t>P24534_EEF1B2</t>
  </si>
  <si>
    <t>P24588_AKAP5</t>
  </si>
  <si>
    <t>P24666_ACP1</t>
  </si>
  <si>
    <t>P24666-2_ACP1</t>
  </si>
  <si>
    <t>P24752_ACAT1</t>
  </si>
  <si>
    <t>P24844_MYL9</t>
  </si>
  <si>
    <t>P24928_POLR2A</t>
  </si>
  <si>
    <t>P24941_CDK2</t>
  </si>
  <si>
    <t>P25054-2_APC</t>
  </si>
  <si>
    <t>P25098_ADRBK1</t>
  </si>
  <si>
    <t>P25205_MCM3</t>
  </si>
  <si>
    <t>P25398_RPS12</t>
  </si>
  <si>
    <t>P25440_BRD2</t>
  </si>
  <si>
    <t>P25490_YY1</t>
  </si>
  <si>
    <t>P25685_DNAJB1</t>
  </si>
  <si>
    <t>P25686_DNAJB2</t>
  </si>
  <si>
    <t>P25705_ATP5A1</t>
  </si>
  <si>
    <t>P25713_MT3</t>
  </si>
  <si>
    <t>P25774-2_CTSS</t>
  </si>
  <si>
    <t>P25786_PSMA1</t>
  </si>
  <si>
    <t>P25787_PSMA2</t>
  </si>
  <si>
    <t>P25788-2_PSMA3</t>
  </si>
  <si>
    <t>P25789_PSMA4</t>
  </si>
  <si>
    <t>P25815_S100P</t>
  </si>
  <si>
    <t>P26038_MSN</t>
  </si>
  <si>
    <t>P26045_PTPN3</t>
  </si>
  <si>
    <t>P26196_DDX6</t>
  </si>
  <si>
    <t>P26358_DNMT1</t>
  </si>
  <si>
    <t>P26358-2_DNMT1</t>
  </si>
  <si>
    <t>P26368-2_U2AF2</t>
  </si>
  <si>
    <t>P26373_RPL13</t>
  </si>
  <si>
    <t>P26374_CHML</t>
  </si>
  <si>
    <t>P26440_IVD</t>
  </si>
  <si>
    <t>P26447_S100A4</t>
  </si>
  <si>
    <t>P26583_HMGB2</t>
  </si>
  <si>
    <t>P26599_PTBP1</t>
  </si>
  <si>
    <t>P26639_TARS</t>
  </si>
  <si>
    <t>P26640_VARS</t>
  </si>
  <si>
    <t>P26641_EEF1G</t>
  </si>
  <si>
    <t>P26651_ZFP36</t>
  </si>
  <si>
    <t>P26885_FKBP2</t>
  </si>
  <si>
    <t>P27144_AK4</t>
  </si>
  <si>
    <t>P27216_ANXA13</t>
  </si>
  <si>
    <t>P27348_YWHAQ</t>
  </si>
  <si>
    <t>P27361_MAPK3</t>
  </si>
  <si>
    <t>P27448-8_MARK3</t>
  </si>
  <si>
    <t>P27540-2_ARNT</t>
  </si>
  <si>
    <t>P27635_RPL10</t>
  </si>
  <si>
    <t>P27694_RPA1</t>
  </si>
  <si>
    <t>P27695_APEX1</t>
  </si>
  <si>
    <t>P27707_DCK</t>
  </si>
  <si>
    <t>P27797_CALR</t>
  </si>
  <si>
    <t>P27816_MAP4</t>
  </si>
  <si>
    <t>P27824_CANX</t>
  </si>
  <si>
    <t>P27986_PIK3R1</t>
  </si>
  <si>
    <t>P27987_ITPKB</t>
  </si>
  <si>
    <t>P28062-2_PSMB8</t>
  </si>
  <si>
    <t>P28065_PSMB9</t>
  </si>
  <si>
    <t>P28066_PSMA5</t>
  </si>
  <si>
    <t>P28070_PSMB4</t>
  </si>
  <si>
    <t>P28072_PSMB6</t>
  </si>
  <si>
    <t>P28074_PSMB5</t>
  </si>
  <si>
    <t>P28331-4_NDUFS1</t>
  </si>
  <si>
    <t>P28340_POLD1</t>
  </si>
  <si>
    <t>P28482_MAPK1</t>
  </si>
  <si>
    <t>P28562_DUSP1</t>
  </si>
  <si>
    <t>P28702_RXRB</t>
  </si>
  <si>
    <t>P28715_ERCC5</t>
  </si>
  <si>
    <t>P28749_RBL1</t>
  </si>
  <si>
    <t>P28799_GRN</t>
  </si>
  <si>
    <t>P28838-2_LAP3</t>
  </si>
  <si>
    <t>P29034_S100A2</t>
  </si>
  <si>
    <t>P29083_GTF2E1</t>
  </si>
  <si>
    <t>P29084_GTF2E2</t>
  </si>
  <si>
    <t>P29144_TPP2</t>
  </si>
  <si>
    <t>P29218_IMPA1</t>
  </si>
  <si>
    <t>P29323-2_EPHB2</t>
  </si>
  <si>
    <t>P29350_PTPN6</t>
  </si>
  <si>
    <t>P29353-6_SHC1</t>
  </si>
  <si>
    <t>P29372-5_MPG</t>
  </si>
  <si>
    <t>P29373_CRABP2</t>
  </si>
  <si>
    <t>P29401_TKT</t>
  </si>
  <si>
    <t>P29590_PML</t>
  </si>
  <si>
    <t>P29692_EEF1D</t>
  </si>
  <si>
    <t>P29692-2_EEF1D</t>
  </si>
  <si>
    <t>P29762_CRABP1</t>
  </si>
  <si>
    <t>P29966_MARCKS</t>
  </si>
  <si>
    <t>P30038_ALDH4A1</t>
  </si>
  <si>
    <t>P30039_PBLD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</si>
  <si>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</si>
  <si>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</si>
  <si>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</si>
  <si>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</si>
  <si>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</si>
  <si>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</si>
  <si>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</si>
  <si>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</si>
  <si>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</si>
  <si>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</si>
  <si>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</si>
  <si>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</si>
  <si>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</si>
  <si>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P30260_CDC27</t>
  </si>
  <si>
    <t>P30281_CCND3</t>
  </si>
  <si>
    <t>P30307-2_CDC25C</t>
  </si>
  <si>
    <t>P30405_PPIF</t>
  </si>
  <si>
    <t>P30414_NKTR</t>
  </si>
  <si>
    <t>P30419_NMT1</t>
  </si>
  <si>
    <t>P30519_HMOX2</t>
  </si>
  <si>
    <t>P30520_ADSS</t>
  </si>
  <si>
    <t>P30533_LRPAP1</t>
  </si>
  <si>
    <t>P30566_ADSL</t>
  </si>
  <si>
    <t>P30613-2_PKLR</t>
  </si>
  <si>
    <t>P30622_CLIP1</t>
  </si>
  <si>
    <t>P30622-2_CLIP1</t>
  </si>
  <si>
    <t>P30740_SERPINB1</t>
  </si>
  <si>
    <t>P30837_ALDH1B1</t>
  </si>
  <si>
    <t>P30838_ALDH3A1</t>
  </si>
  <si>
    <t>P31040_SDHA</t>
  </si>
  <si>
    <t>P31146_CORO1A</t>
  </si>
  <si>
    <t>P31150_GDI1</t>
  </si>
  <si>
    <t>P31153_MAT2A</t>
  </si>
  <si>
    <t>P31321_PRKAR1B</t>
  </si>
  <si>
    <t>P31327_CPS1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</si>
  <si>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</si>
  <si>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</si>
  <si>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</si>
  <si>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</si>
  <si>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</si>
  <si>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</si>
  <si>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</si>
  <si>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</si>
  <si>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P31943_HNRNPH1</t>
  </si>
  <si>
    <t>P31944_CASP14</t>
  </si>
  <si>
    <t>P31946_YWHAB</t>
  </si>
  <si>
    <t>P31947_SFN</t>
  </si>
  <si>
    <t>P31948_STIP1</t>
  </si>
  <si>
    <t>P31949_S100A11</t>
  </si>
  <si>
    <t>P32019-3_INPP5B</t>
  </si>
  <si>
    <t>P32121-5_ARRB2</t>
  </si>
  <si>
    <t>P32320_CDA</t>
  </si>
  <si>
    <t>P32321-2_DCTD</t>
  </si>
  <si>
    <t>P32322_PYCR1</t>
  </si>
  <si>
    <t>P32455_GBP1</t>
  </si>
  <si>
    <t>P32519-2_ELF1</t>
  </si>
  <si>
    <t>P32780_GTF2H1</t>
  </si>
  <si>
    <t>P32929_CTH</t>
  </si>
  <si>
    <t>P32969_RPL9</t>
  </si>
  <si>
    <t>P33121-2_ACSL1</t>
  </si>
  <si>
    <t>P33176_KIF5B</t>
  </si>
  <si>
    <t>P33240-2_CSTF2</t>
  </si>
  <si>
    <t>P33241-2_LSP1</t>
  </si>
  <si>
    <t>P33316_DUT</t>
  </si>
  <si>
    <t>P33316-2_DUT</t>
  </si>
  <si>
    <t>P33552_CKS2</t>
  </si>
  <si>
    <t>P33764_S100A3</t>
  </si>
  <si>
    <t>P33981-2_TTK</t>
  </si>
  <si>
    <t>P33991_MCM4</t>
  </si>
  <si>
    <t>P33992_MCM5</t>
  </si>
  <si>
    <t>P33993_MCM7</t>
  </si>
  <si>
    <t>P34059_GALNS</t>
  </si>
  <si>
    <t>P34096_RNASE4</t>
  </si>
  <si>
    <t>P34896-2_SHMT1</t>
  </si>
  <si>
    <t>P34897-3_SHMT2</t>
  </si>
  <si>
    <t>P34913_EPHX2</t>
  </si>
  <si>
    <t>P34932_HSPA4</t>
  </si>
  <si>
    <t>P35219_CA8</t>
  </si>
  <si>
    <t>P35221_CTNNA1</t>
  </si>
  <si>
    <t>P35227_PCGF2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</si>
  <si>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</si>
  <si>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</si>
  <si>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</si>
  <si>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</si>
  <si>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</si>
  <si>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</si>
  <si>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</si>
  <si>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</si>
  <si>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</si>
  <si>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</si>
  <si>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</si>
  <si>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P35556_FBN2</t>
  </si>
  <si>
    <t>P35568_IRS1</t>
  </si>
  <si>
    <t>P35573_AGL</t>
  </si>
  <si>
    <t>P35579_MYH9</t>
  </si>
  <si>
    <t>P35580_MYH10</t>
  </si>
  <si>
    <t>P35580-4_MYH10</t>
  </si>
  <si>
    <t>P35606_COPB2</t>
  </si>
  <si>
    <t>P35611_ADD1</t>
  </si>
  <si>
    <t>P35611-2_ADD1</t>
  </si>
  <si>
    <t>P35612_ADD2</t>
  </si>
  <si>
    <t>P35637-2_FUS</t>
  </si>
  <si>
    <t>P35658-4_NUP214</t>
  </si>
  <si>
    <t>P35659_DEK</t>
  </si>
  <si>
    <t>P35749-4_MYH11</t>
  </si>
  <si>
    <t>P35754_GLRX</t>
  </si>
  <si>
    <t>P35790-2_CHKA</t>
  </si>
  <si>
    <t>P35813_PPM1A</t>
  </si>
  <si>
    <t>P35869_AHR</t>
  </si>
  <si>
    <t>P35998_PSMC2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</si>
  <si>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</si>
  <si>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</si>
  <si>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</si>
  <si>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</si>
  <si>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</si>
  <si>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</si>
  <si>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</si>
  <si>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P36871_PGM1</t>
  </si>
  <si>
    <t>P36873_PPP1CC</t>
  </si>
  <si>
    <t>P36915_GNL1</t>
  </si>
  <si>
    <t>P36952_SERPINB5</t>
  </si>
  <si>
    <t>P36954_POLR2I</t>
  </si>
  <si>
    <t>P36957_DLST</t>
  </si>
  <si>
    <t>P36969-2_GPX4</t>
  </si>
  <si>
    <t>P37108_SRP14</t>
  </si>
  <si>
    <t>P37198_NUP62</t>
  </si>
  <si>
    <t>P37235_HPCAL1</t>
  </si>
  <si>
    <t>P37802_TAGLN2</t>
  </si>
  <si>
    <t>P37837_TALDO1</t>
  </si>
  <si>
    <t>P38117_ETFB</t>
  </si>
  <si>
    <t>P38159_RBMX</t>
  </si>
  <si>
    <t>P38398-4_BRCA1</t>
  </si>
  <si>
    <t>P38432_COIL</t>
  </si>
  <si>
    <t>P38571-2_LIPA</t>
  </si>
  <si>
    <t>P38606_ATP6V1A</t>
  </si>
  <si>
    <t>P38646_HSPA9</t>
  </si>
  <si>
    <t>P38919_EIF4A3</t>
  </si>
  <si>
    <t>P38935_IGHMBP2</t>
  </si>
  <si>
    <t>P38936_CDKN1A</t>
  </si>
  <si>
    <t>P39019_RPS19</t>
  </si>
  <si>
    <t>P39023_RPL3</t>
  </si>
  <si>
    <t>P39060-2_COL18A1</t>
  </si>
  <si>
    <t>P39687_ANP32A</t>
  </si>
  <si>
    <t>P39748_FEN1</t>
  </si>
  <si>
    <t>P39880-3_CUX1</t>
  </si>
  <si>
    <t>P40121-2_CAPG</t>
  </si>
  <si>
    <t>P40123_CAP2</t>
  </si>
  <si>
    <t>P40189-3_IL6ST</t>
  </si>
  <si>
    <t>P40199_CEACAM6</t>
  </si>
  <si>
    <t>P40222_TXLNA</t>
  </si>
  <si>
    <t>P40227_CCT6A</t>
  </si>
  <si>
    <t>P40261_NNMT</t>
  </si>
  <si>
    <t>P40306_PSMB10</t>
  </si>
  <si>
    <t>P40337-3_VHL</t>
  </si>
  <si>
    <t>P40429_RPL13A</t>
  </si>
  <si>
    <t>P40692_MLH1</t>
  </si>
  <si>
    <t>P40763_STAT3</t>
  </si>
  <si>
    <t>P40763-2_STAT3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</si>
  <si>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</si>
  <si>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</si>
  <si>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</si>
  <si>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</si>
  <si>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</si>
  <si>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</si>
  <si>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</si>
  <si>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P41134-2_ID1</t>
  </si>
  <si>
    <t>P41162_ETV3</t>
  </si>
  <si>
    <t>P41208_CETN2</t>
  </si>
  <si>
    <t>P41212_ETV6</t>
  </si>
  <si>
    <t>P41214_EIF2D</t>
  </si>
  <si>
    <t>P41223_BUD31</t>
  </si>
  <si>
    <t>P41227-2_NAA10</t>
  </si>
  <si>
    <t>P41229-2_KDM5C</t>
  </si>
  <si>
    <t>P41236_PPP1R2</t>
  </si>
  <si>
    <t>P41240_CSK</t>
  </si>
  <si>
    <t>P41250_GARS</t>
  </si>
  <si>
    <t>P41252_IARS</t>
  </si>
  <si>
    <t>P41567_EIF1</t>
  </si>
  <si>
    <t>P41743_PRKCI</t>
  </si>
  <si>
    <t>P42025_ACTR1B</t>
  </si>
  <si>
    <t>P42126-2_ECI1</t>
  </si>
  <si>
    <t>P42166_TMPO</t>
  </si>
  <si>
    <t>P42167_TMPO</t>
  </si>
  <si>
    <t>P42224_STAT1</t>
  </si>
  <si>
    <t>P42226_STAT6</t>
  </si>
  <si>
    <t>P42285_SKIV2L2</t>
  </si>
  <si>
    <t>P42330_AKR1C3</t>
  </si>
  <si>
    <t>P42336_PIK3CA</t>
  </si>
  <si>
    <t>P42338_PIK3CB</t>
  </si>
  <si>
    <t>P42345_MTOR</t>
  </si>
  <si>
    <t>P42566_EPS15</t>
  </si>
  <si>
    <t>P42574_CASP3</t>
  </si>
  <si>
    <t>P42575_CASP2</t>
  </si>
  <si>
    <t>P42677_RPS27</t>
  </si>
  <si>
    <t>P42684-6_ABL2</t>
  </si>
  <si>
    <t>P42694_HELZ</t>
  </si>
  <si>
    <t>P42695_NCAPD3</t>
  </si>
  <si>
    <t>P42704_LRPPRC</t>
  </si>
  <si>
    <t>P42765_ACAA2</t>
  </si>
  <si>
    <t>P42766_RPL35</t>
  </si>
  <si>
    <t>P42773_CDKN2C</t>
  </si>
  <si>
    <t>P42785_PRCP</t>
  </si>
  <si>
    <t>P42830_CXCL5</t>
  </si>
  <si>
    <t>P42858_HTT</t>
  </si>
  <si>
    <t>P42898_MTHFR</t>
  </si>
  <si>
    <t>P43034_PAFAH1B1</t>
  </si>
  <si>
    <t>P43155-2_CRAT</t>
  </si>
  <si>
    <t>P43243_MATR3</t>
  </si>
  <si>
    <t>P43246_MSH2</t>
  </si>
  <si>
    <t>P43251_BTD</t>
  </si>
  <si>
    <t>P43353_ALDH3B1</t>
  </si>
  <si>
    <t>P43360_MAGEA6</t>
  </si>
  <si>
    <t>P43378_PTPN9</t>
  </si>
  <si>
    <t>P43487_RANBP1</t>
  </si>
  <si>
    <t>P43490_NAMPT</t>
  </si>
  <si>
    <t>P43686_PSMC4</t>
  </si>
  <si>
    <t>P43897_TSFM</t>
  </si>
  <si>
    <t>P45877_PPIC</t>
  </si>
  <si>
    <t>P45954_ACADSB</t>
  </si>
  <si>
    <t>P45973_CBX5</t>
  </si>
  <si>
    <t>P45974-2_USP5</t>
  </si>
  <si>
    <t>P45984-2_MAPK9</t>
  </si>
  <si>
    <t>P45985_MAP2K4</t>
  </si>
  <si>
    <t>P46013_MKI67</t>
  </si>
  <si>
    <t>P46019_PHKA2</t>
  </si>
  <si>
    <t>P46020-2_PHKA1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</si>
  <si>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</si>
  <si>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</si>
  <si>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</si>
  <si>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</si>
  <si>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</si>
  <si>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</si>
  <si>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</si>
  <si>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</si>
  <si>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P46734_MAP2K3</t>
  </si>
  <si>
    <t>P46736-2_BRCC3</t>
  </si>
  <si>
    <t>P46777_RPL5</t>
  </si>
  <si>
    <t>P46778_RPL21</t>
  </si>
  <si>
    <t>P46779_RPL28</t>
  </si>
  <si>
    <t>P46781_RPS9</t>
  </si>
  <si>
    <t>P46783_RPS10</t>
  </si>
  <si>
    <t>P46821_MAP1B</t>
  </si>
  <si>
    <t>P46926_GNPDA1</t>
  </si>
  <si>
    <t>P46934-4_NEDD4</t>
  </si>
  <si>
    <t>P46937_YAP1</t>
  </si>
  <si>
    <t>P46939_UTRN</t>
  </si>
  <si>
    <t>P46940_IQGAP1</t>
  </si>
  <si>
    <t>P46976-2_GYG1</t>
  </si>
  <si>
    <t>P47224_RABIF</t>
  </si>
  <si>
    <t>P47710-2_CSN1S1</t>
  </si>
  <si>
    <t>P47712_PLA2G4A</t>
  </si>
  <si>
    <t>P47736_RAP1GAP</t>
  </si>
  <si>
    <t>P47755_CAPZA2</t>
  </si>
  <si>
    <t>P47756-2_CAPZB</t>
  </si>
  <si>
    <t>P47813_EIF1AX</t>
  </si>
  <si>
    <t>P47895_ALDH1A3</t>
  </si>
  <si>
    <t>P47897_QARS</t>
  </si>
  <si>
    <t>P47914_RPL29</t>
  </si>
  <si>
    <t>P47974_ZFP36L2</t>
  </si>
  <si>
    <t>P47985_UQCRFS1</t>
  </si>
  <si>
    <t>P47989_XDH</t>
  </si>
  <si>
    <t>P48059_LIMS1</t>
  </si>
  <si>
    <t>P48147_PREP</t>
  </si>
  <si>
    <t>P48163_ME1</t>
  </si>
  <si>
    <t>P48169_GABRA4</t>
  </si>
  <si>
    <t>P48200_IREB2</t>
  </si>
  <si>
    <t>P48307_TFPI2</t>
  </si>
  <si>
    <t>P48431_SOX2</t>
  </si>
  <si>
    <t>P48436_SOX9</t>
  </si>
  <si>
    <t>P48444_ARCN1</t>
  </si>
  <si>
    <t>P48454-2_PPP3CC</t>
  </si>
  <si>
    <t>P48506_GCLC</t>
  </si>
  <si>
    <t>P48507_GCLM</t>
  </si>
  <si>
    <t>P48552_NRIP1</t>
  </si>
  <si>
    <t>P48553_TRAPPC10</t>
  </si>
  <si>
    <t>P48634_PRRC2A</t>
  </si>
  <si>
    <t>P48637_GSS</t>
  </si>
  <si>
    <t>P48643_CCT5</t>
  </si>
  <si>
    <t>P48681_NES</t>
  </si>
  <si>
    <t>P48729_CSNK1A1</t>
  </si>
  <si>
    <t>P48730-2_CSNK1D</t>
  </si>
  <si>
    <t>P48735_IDH2</t>
  </si>
  <si>
    <t>P48739_PITPNB</t>
  </si>
  <si>
    <t>P49005_POLD2</t>
  </si>
  <si>
    <t>P49006_MARCKSL1</t>
  </si>
  <si>
    <t>P49023-3_PXN</t>
  </si>
  <si>
    <t>P49116_NR2C2</t>
  </si>
  <si>
    <t>P49137_MAPKAPK2</t>
  </si>
  <si>
    <t>P49189_ALDH9A1</t>
  </si>
  <si>
    <t>P49207_RPL34</t>
  </si>
  <si>
    <t>P49247_RPIA</t>
  </si>
  <si>
    <t>P49321_NASP</t>
  </si>
  <si>
    <t>P49327_FASN</t>
  </si>
  <si>
    <t>P49336-2_CDK8</t>
  </si>
  <si>
    <t>P49354_FNTA</t>
  </si>
  <si>
    <t>P49366_DHPS</t>
  </si>
  <si>
    <t>P49368_CCT3</t>
  </si>
  <si>
    <t>P49406_MRPL19</t>
  </si>
  <si>
    <t>P49407-2_ARRB1</t>
  </si>
  <si>
    <t>P49411_TUFM</t>
  </si>
  <si>
    <t>P49419-2_ALDH7A1</t>
  </si>
  <si>
    <t>P49427_CDC34</t>
  </si>
  <si>
    <t>P49441_INPP1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</si>
  <si>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</si>
  <si>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</si>
  <si>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</si>
  <si>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</si>
  <si>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</si>
  <si>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</si>
  <si>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</si>
  <si>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P49642_PRIM1</t>
  </si>
  <si>
    <t>P49643_PRIM2</t>
  </si>
  <si>
    <t>P49662-2_CASP4</t>
  </si>
  <si>
    <t>P49674_CSNK1E</t>
  </si>
  <si>
    <t>P49711_CTCF</t>
  </si>
  <si>
    <t>P49716_CEBPD</t>
  </si>
  <si>
    <t>P49720_PSMB3</t>
  </si>
  <si>
    <t>P49721_PSMB2</t>
  </si>
  <si>
    <t>P49736_MCM2</t>
  </si>
  <si>
    <t>P49748_ACADVL</t>
  </si>
  <si>
    <t>P49750-4_YLPM1</t>
  </si>
  <si>
    <t>P49756_RBM25</t>
  </si>
  <si>
    <t>P49757-4_NUMB</t>
  </si>
  <si>
    <t>P49770_EIF2B2</t>
  </si>
  <si>
    <t>P49773_HINT1</t>
  </si>
  <si>
    <t>P49790_NUP153</t>
  </si>
  <si>
    <t>P49792_RANBP2</t>
  </si>
  <si>
    <t>P49796-4_RGS3</t>
  </si>
  <si>
    <t>P49821-2_NDUFV1</t>
  </si>
  <si>
    <t>P49840_GSK3A</t>
  </si>
  <si>
    <t>P49841_GSK3B</t>
  </si>
  <si>
    <t>P49848_TAF6</t>
  </si>
  <si>
    <t>P49902_NT5C2</t>
  </si>
  <si>
    <t>P49903_SEPHS1</t>
  </si>
  <si>
    <t>P49914_MTHFS</t>
  </si>
  <si>
    <t>P49915_GMPS</t>
  </si>
  <si>
    <t>P49916_LIG3</t>
  </si>
  <si>
    <t>P49959_MRE11A</t>
  </si>
  <si>
    <t>P50053_KHK</t>
  </si>
  <si>
    <t>P50135_HNMT</t>
  </si>
  <si>
    <t>P50213_IDH3A</t>
  </si>
  <si>
    <t>P50219_MNX1</t>
  </si>
  <si>
    <t>P50224_SULT1A3</t>
  </si>
  <si>
    <t>P50238_CRIP1</t>
  </si>
  <si>
    <t>P50336_PPOX</t>
  </si>
  <si>
    <t>P50395_GDI2</t>
  </si>
  <si>
    <t>P50402_EMD</t>
  </si>
  <si>
    <t>P50440-2_GATM</t>
  </si>
  <si>
    <t>P50452_SERPINB8</t>
  </si>
  <si>
    <t>P50453_SERPINB9</t>
  </si>
  <si>
    <t>P50454_SERPINH1</t>
  </si>
  <si>
    <t>P50502_ST13</t>
  </si>
  <si>
    <t>P50542_PEX5</t>
  </si>
  <si>
    <t>P50552_VASP</t>
  </si>
  <si>
    <t>P50570-2_DNM2</t>
  </si>
  <si>
    <t>P50570-3_DNM2</t>
  </si>
  <si>
    <t>P50570-4_DNM2</t>
  </si>
  <si>
    <t>P50579_METAP2</t>
  </si>
  <si>
    <t>P50583_NUDT2</t>
  </si>
  <si>
    <t>P50613_CDK7</t>
  </si>
  <si>
    <t>P50616_TOB1</t>
  </si>
  <si>
    <t>P50747_HLCS</t>
  </si>
  <si>
    <t>P50748_KNTC1</t>
  </si>
  <si>
    <t>P50749_RASSF2</t>
  </si>
  <si>
    <t>P50750_CDK9</t>
  </si>
  <si>
    <t>P50851_LRBA</t>
  </si>
  <si>
    <t>P50895_BCAM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</si>
  <si>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</si>
  <si>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</si>
  <si>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</si>
  <si>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</si>
  <si>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</si>
  <si>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</si>
  <si>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</si>
  <si>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P51153_RAB13</t>
  </si>
  <si>
    <t>P51157-3_RAB28</t>
  </si>
  <si>
    <t>P51161_FABP6</t>
  </si>
  <si>
    <t>P51178_PLCD1</t>
  </si>
  <si>
    <t>P51397_DAP</t>
  </si>
  <si>
    <t>P51398-2_DAP3</t>
  </si>
  <si>
    <t>P51452_DUSP3</t>
  </si>
  <si>
    <t>P51513-4_NOVA1</t>
  </si>
  <si>
    <t>P51531-2_SMARCA2</t>
  </si>
  <si>
    <t>P51553_IDH3G</t>
  </si>
  <si>
    <t>P51570_GALK1</t>
  </si>
  <si>
    <t>P51572_BCAP31</t>
  </si>
  <si>
    <t>P51580_TPMT</t>
  </si>
  <si>
    <t>P51587_BRCA2</t>
  </si>
  <si>
    <t>P51589_CYP2J2</t>
  </si>
  <si>
    <t>P51608_MECP2</t>
  </si>
  <si>
    <t>P51610_HCFC1</t>
  </si>
  <si>
    <t>P51610-4_HCFC1</t>
  </si>
  <si>
    <t>P51617_IRAK1</t>
  </si>
  <si>
    <t>P51649_ALDH5A1</t>
  </si>
  <si>
    <t>P51659_HSD17B4</t>
  </si>
  <si>
    <t>P51665_PSMD7</t>
  </si>
  <si>
    <t>P51668_UBE2D1</t>
  </si>
  <si>
    <t>P51687_SUOX</t>
  </si>
  <si>
    <t>P51688_SGSH</t>
  </si>
  <si>
    <t>P51692_STAT5B</t>
  </si>
  <si>
    <t>P51808_DYNLT3</t>
  </si>
  <si>
    <t>P51812_RPS6KA3</t>
  </si>
  <si>
    <t>P51817_PRKX</t>
  </si>
  <si>
    <t>P51825-2_AFF1</t>
  </si>
  <si>
    <t>P51843-2_NR0B1</t>
  </si>
  <si>
    <t>P51857-2_AKR1D1</t>
  </si>
  <si>
    <t>P51858_HDGF</t>
  </si>
  <si>
    <t>P51948_MNAT1</t>
  </si>
  <si>
    <t>P51991_HNRNPA3</t>
  </si>
  <si>
    <t>P52272-2_HNRNPM</t>
  </si>
  <si>
    <t>P52292_KPNA2</t>
  </si>
  <si>
    <t>P52294_KPNA1</t>
  </si>
  <si>
    <t>P52298_NCBP2</t>
  </si>
  <si>
    <t>P52306_RAP1GDS1</t>
  </si>
  <si>
    <t>P52564_MAP2K6</t>
  </si>
  <si>
    <t>P52565_ARHGDIA</t>
  </si>
  <si>
    <t>P52594-2_AGFG1</t>
  </si>
  <si>
    <t>P52597_HNRNPF</t>
  </si>
  <si>
    <t>P52630-4_STAT2</t>
  </si>
  <si>
    <t>P52655_GTF2A1</t>
  </si>
  <si>
    <t>P52657_GTF2A2</t>
  </si>
  <si>
    <t>P52701_MSH6</t>
  </si>
  <si>
    <t>P52732_KIF11</t>
  </si>
  <si>
    <t>P52735-3_VAV2</t>
  </si>
  <si>
    <t>P52739-2_ZNF131</t>
  </si>
  <si>
    <t>P52747-2_ZNF143</t>
  </si>
  <si>
    <t>P52758_HRSP12</t>
  </si>
  <si>
    <t>P52788_SMS</t>
  </si>
  <si>
    <t>P52815_MRPL12</t>
  </si>
  <si>
    <t>P52824_DGKQ</t>
  </si>
  <si>
    <t>P52888_THOP1</t>
  </si>
  <si>
    <t>P52895_AKR1C2</t>
  </si>
  <si>
    <t>P52907_CAPZA1</t>
  </si>
  <si>
    <t>P52943_CRIP2</t>
  </si>
  <si>
    <t>P52948-5_NUP98</t>
  </si>
  <si>
    <t>P53004_BLVRA</t>
  </si>
  <si>
    <t>P53350_PLK1</t>
  </si>
  <si>
    <t>P53365_ARFIP2</t>
  </si>
  <si>
    <t>P53367_ARFIP1</t>
  </si>
  <si>
    <t>P53367-2_ARFIP1</t>
  </si>
  <si>
    <t>P53384-2_NUBP1</t>
  </si>
  <si>
    <t>P53396_ACLY</t>
  </si>
  <si>
    <t>P53396-2_ACLY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</si>
  <si>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</si>
  <si>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</si>
  <si>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</si>
  <si>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</si>
  <si>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</si>
  <si>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</si>
  <si>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</si>
  <si>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</si>
  <si>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P53675-2_CLTCL1</t>
  </si>
  <si>
    <t>P53680_AP2S1</t>
  </si>
  <si>
    <t>P53778_MAPK12</t>
  </si>
  <si>
    <t>P53803_POLR2K</t>
  </si>
  <si>
    <t>P53805_RCAN1</t>
  </si>
  <si>
    <t>P53814-5_SMTN</t>
  </si>
  <si>
    <t>P53985_SLC16A1</t>
  </si>
  <si>
    <t>P53990-2_IST1</t>
  </si>
  <si>
    <t>P53992_SEC24C</t>
  </si>
  <si>
    <t>P53999_SUB1</t>
  </si>
  <si>
    <t>P54136_RARS</t>
  </si>
  <si>
    <t>P54198-2_HIRA</t>
  </si>
  <si>
    <t>P54259_ATN1</t>
  </si>
  <si>
    <t>P54277-3_PMS1</t>
  </si>
  <si>
    <t>P54278_PMS2</t>
  </si>
  <si>
    <t>P54577_YARS</t>
  </si>
  <si>
    <t>P54578_USP14</t>
  </si>
  <si>
    <t>P54619-2_PRKAG1</t>
  </si>
  <si>
    <t>P54646_PRKAA2</t>
  </si>
  <si>
    <t>P54652_HSPA2</t>
  </si>
  <si>
    <t>P54687_BCAT1</t>
  </si>
  <si>
    <t>P54727_RAD23B</t>
  </si>
  <si>
    <t>P54802_NAGLU</t>
  </si>
  <si>
    <t>P54819_AK2</t>
  </si>
  <si>
    <t>P54886-2_ALDH18A1</t>
  </si>
  <si>
    <t>P54920_NAPA</t>
  </si>
  <si>
    <t>P54922_ADPRH</t>
  </si>
  <si>
    <t>P55010_EIF5</t>
  </si>
  <si>
    <t>P55036_PSMD4</t>
  </si>
  <si>
    <t>P55039_DRG2</t>
  </si>
  <si>
    <t>P55060-3_CSE1L</t>
  </si>
  <si>
    <t>P55072_VCP</t>
  </si>
  <si>
    <t>P55081_MFAP1</t>
  </si>
  <si>
    <t>P55145_MANF</t>
  </si>
  <si>
    <t>P55196_MLLT4</t>
  </si>
  <si>
    <t>P55199_ELL</t>
  </si>
  <si>
    <t>P55210_CASP7</t>
  </si>
  <si>
    <t>P55211-2_CASP9</t>
  </si>
  <si>
    <t>P55212_CASP6</t>
  </si>
  <si>
    <t>P55263_ADK</t>
  </si>
  <si>
    <t>P55265-5_ADAR</t>
  </si>
  <si>
    <t>P55268_LAMB2</t>
  </si>
  <si>
    <t>P55273_CDKN2D</t>
  </si>
  <si>
    <t>P55327-2_TPD52</t>
  </si>
  <si>
    <t>P55345_PRMT2</t>
  </si>
  <si>
    <t>P55735_SEC13</t>
  </si>
  <si>
    <t>P55769_NHP2L1</t>
  </si>
  <si>
    <t>P55795_HNRNPH2</t>
  </si>
  <si>
    <t>P55809_OXCT1</t>
  </si>
  <si>
    <t>P55854_SUMO3</t>
  </si>
  <si>
    <t>P55884_EIF3B</t>
  </si>
  <si>
    <t>P56181-2_NDUFV3</t>
  </si>
  <si>
    <t>P56192_MARS</t>
  </si>
  <si>
    <t>P56211_ARPP19</t>
  </si>
  <si>
    <t>P56277_CMC4</t>
  </si>
  <si>
    <t>P56282-2_POLE2</t>
  </si>
  <si>
    <t>P56524_HDAC4</t>
  </si>
  <si>
    <t>P56537_EIF6</t>
  </si>
  <si>
    <t>P56545_CTBP2</t>
  </si>
  <si>
    <t>P56945_BCAR1</t>
  </si>
  <si>
    <t>P56962_STX17</t>
  </si>
  <si>
    <t>P57076_C21orf59</t>
  </si>
  <si>
    <t>P57081_WDR4</t>
  </si>
  <si>
    <t>P57105_SYNJ2BP</t>
  </si>
  <si>
    <t>P57737-3_CORO7</t>
  </si>
  <si>
    <t>P57740_NUP107</t>
  </si>
  <si>
    <t>P57764_GSDMD</t>
  </si>
  <si>
    <t>P57768_SNX16</t>
  </si>
  <si>
    <t>P57772_EEFSEC</t>
  </si>
  <si>
    <t>P58546_MTPN</t>
  </si>
  <si>
    <t>P59780_AP3S2</t>
  </si>
  <si>
    <t>P59998_ARPC4</t>
  </si>
  <si>
    <t>P60174-1_TPI1</t>
  </si>
  <si>
    <t>P60228_EIF3E</t>
  </si>
  <si>
    <t>P60468_SEC61B</t>
  </si>
  <si>
    <t>P60510_PPP4C</t>
  </si>
  <si>
    <t>P60520_GABARAPL2</t>
  </si>
  <si>
    <t>P60660-2_MYL6</t>
  </si>
  <si>
    <t>P60709_ACTB</t>
  </si>
  <si>
    <t>P60763_RAC3</t>
  </si>
  <si>
    <t>P60842_EIF4A1</t>
  </si>
  <si>
    <t>P60866_RPS20</t>
  </si>
  <si>
    <t>P60880-2_SNAP25</t>
  </si>
  <si>
    <t>P60891_PRPS1</t>
  </si>
  <si>
    <t>P60900_PSMA6</t>
  </si>
  <si>
    <t>P60903_S100A10</t>
  </si>
  <si>
    <t>P60953_CDC42</t>
  </si>
  <si>
    <t>P60953-1_CDC42</t>
  </si>
  <si>
    <t>P60981_DSTN</t>
  </si>
  <si>
    <t>P60983_GMFB</t>
  </si>
  <si>
    <t>P61006_RAB8A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</si>
  <si>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</si>
  <si>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</si>
  <si>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</si>
  <si>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</si>
  <si>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</si>
  <si>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</si>
  <si>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</si>
  <si>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</si>
  <si>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</si>
  <si>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</si>
  <si>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</si>
  <si>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</si>
  <si>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</si>
  <si>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</si>
  <si>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</si>
  <si>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</si>
  <si>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</si>
  <si>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P61244-2_MAX</t>
  </si>
  <si>
    <t>P61247_RPS3A</t>
  </si>
  <si>
    <t>P61254_RPL26</t>
  </si>
  <si>
    <t>P61289_PSME3</t>
  </si>
  <si>
    <t>P61313_RPL15</t>
  </si>
  <si>
    <t>P61353_RPL27</t>
  </si>
  <si>
    <t>P61457_PCBD1</t>
  </si>
  <si>
    <t>P61586_RHOA</t>
  </si>
  <si>
    <t>P61587_RND3</t>
  </si>
  <si>
    <t>P61599_NAA20</t>
  </si>
  <si>
    <t>P61604_HSPE1</t>
  </si>
  <si>
    <t>P61758_VBP1</t>
  </si>
  <si>
    <t>P61923_COPZ1</t>
  </si>
  <si>
    <t>P61927_RPL37</t>
  </si>
  <si>
    <t>P61952_GNG11</t>
  </si>
  <si>
    <t>P61956_SUMO2</t>
  </si>
  <si>
    <t>P61962_DCAF7</t>
  </si>
  <si>
    <t>P61964_WDR5</t>
  </si>
  <si>
    <t>P61966_AP1S1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</si>
  <si>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</si>
  <si>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</si>
  <si>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</si>
  <si>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</si>
  <si>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</si>
  <si>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</si>
  <si>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</si>
  <si>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</si>
  <si>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P62158_CALM1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</si>
  <si>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</si>
  <si>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</si>
  <si>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</si>
  <si>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</si>
  <si>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</si>
  <si>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</si>
  <si>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</si>
  <si>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</si>
  <si>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</si>
  <si>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</si>
  <si>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</si>
  <si>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</si>
  <si>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</si>
  <si>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</si>
  <si>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</si>
  <si>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</si>
  <si>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</si>
  <si>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</si>
  <si>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</si>
  <si>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</si>
  <si>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</si>
  <si>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</si>
  <si>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</si>
  <si>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</si>
  <si>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</si>
  <si>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</si>
  <si>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</si>
  <si>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</si>
  <si>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P62701_RPS4X</t>
  </si>
  <si>
    <t>P62714_PPP2CB</t>
  </si>
  <si>
    <t>P62736_ACTA2</t>
  </si>
  <si>
    <t>P62750_RPL23A</t>
  </si>
  <si>
    <t>P62753_RPS6</t>
  </si>
  <si>
    <t>P62805_HIST1H4A</t>
  </si>
  <si>
    <t>P62820_RAB1A</t>
  </si>
  <si>
    <t>P62826_RAN</t>
  </si>
  <si>
    <t>P62829_RPL23</t>
  </si>
  <si>
    <t>P62837_UBE2D2</t>
  </si>
  <si>
    <t>P62847-2_RPS24</t>
  </si>
  <si>
    <t>P62851_RPS25</t>
  </si>
  <si>
    <t>P62854_RPS26</t>
  </si>
  <si>
    <t>P62857_RPS28</t>
  </si>
  <si>
    <t>P62873_GNB1</t>
  </si>
  <si>
    <t>P62875_POLR2L</t>
  </si>
  <si>
    <t>P62877_RBX1</t>
  </si>
  <si>
    <t>P62888_RPL30</t>
  </si>
  <si>
    <t>P62906_RPL10A</t>
  </si>
  <si>
    <t>P62917_RPL8</t>
  </si>
  <si>
    <t>P62942_FKBP1A</t>
  </si>
  <si>
    <t>P62993_GRB2</t>
  </si>
  <si>
    <t>P62995_TRA2B</t>
  </si>
  <si>
    <t>P63000_RAC1</t>
  </si>
  <si>
    <t>P63010_AP2B1</t>
  </si>
  <si>
    <t>P63096_GNAI1</t>
  </si>
  <si>
    <t>P63104_YWHAZ</t>
  </si>
  <si>
    <t>P63151_PPP2R2A</t>
  </si>
  <si>
    <t>P63167_DYNLL1</t>
  </si>
  <si>
    <t>P63173_RPL38</t>
  </si>
  <si>
    <t>P63241_EIF5A</t>
  </si>
  <si>
    <t>P63244_GNB2L1</t>
  </si>
  <si>
    <t>P63261_ACTG1</t>
  </si>
  <si>
    <t>P63272_SUPT4H1</t>
  </si>
  <si>
    <t>P63313_TMSB10</t>
  </si>
  <si>
    <t>P67775_PPP2CA</t>
  </si>
  <si>
    <t>P67809_YBX1</t>
  </si>
  <si>
    <t>P67870_CSNK2B</t>
  </si>
  <si>
    <t>P67936_TPM4</t>
  </si>
  <si>
    <t>P67936-2_TPM4</t>
  </si>
  <si>
    <t>P68036_UBE2L3</t>
  </si>
  <si>
    <t>P68104_EEF1A1</t>
  </si>
  <si>
    <t>P68106_FKBP1B</t>
  </si>
  <si>
    <t>P68133_ACTA1</t>
  </si>
  <si>
    <t>P68363_TUBA1B</t>
  </si>
  <si>
    <t>P68371_TUBB4B</t>
  </si>
  <si>
    <t>P68402_PAFAH1B2</t>
  </si>
  <si>
    <t>P78316_NOP14</t>
  </si>
  <si>
    <t>P78318_IGBP1</t>
  </si>
  <si>
    <t>P78324_SIRPA</t>
  </si>
  <si>
    <t>P78330_PSPH</t>
  </si>
  <si>
    <t>P78332_RBM6</t>
  </si>
  <si>
    <t>P78345_RPP38</t>
  </si>
  <si>
    <t>P78346_RPP30</t>
  </si>
  <si>
    <t>P78347-2_GTF2I</t>
  </si>
  <si>
    <t>P78356_PIP4K2B</t>
  </si>
  <si>
    <t>P78364_PHC1</t>
  </si>
  <si>
    <t>P78371_CCT2</t>
  </si>
  <si>
    <t>P78406_RAE1</t>
  </si>
  <si>
    <t>P78417_GSTO1</t>
  </si>
  <si>
    <t>P78504_JAG1</t>
  </si>
  <si>
    <t>P78527_PRKDC</t>
  </si>
  <si>
    <t>P78537_BLOC1S1</t>
  </si>
  <si>
    <t>P78549_NTHL1</t>
  </si>
  <si>
    <t>P78559_MAP1A</t>
  </si>
  <si>
    <t>P78560_CRADD</t>
  </si>
  <si>
    <t>P80188-2_LCN2</t>
  </si>
  <si>
    <t>P80217_IFI35</t>
  </si>
  <si>
    <t>P80297_MT1X</t>
  </si>
  <si>
    <t>P80303_NUCB2</t>
  </si>
  <si>
    <t>P80723_BASP1</t>
  </si>
  <si>
    <t>P81605_DCD</t>
  </si>
  <si>
    <t>P82094_TMF1</t>
  </si>
  <si>
    <t>P82909_MRPS36</t>
  </si>
  <si>
    <t>P82930_MRPS34</t>
  </si>
  <si>
    <t>P82932_MRPS6</t>
  </si>
  <si>
    <t>P82979_SARNP</t>
  </si>
  <si>
    <t>P83436_COG7</t>
  </si>
  <si>
    <t>P83881_RPL36A</t>
  </si>
  <si>
    <t>P84022_SMAD3</t>
  </si>
  <si>
    <t>P84077_ARF1</t>
  </si>
  <si>
    <t>P84085_ARF5</t>
  </si>
  <si>
    <t>P84090_ERH</t>
  </si>
  <si>
    <t>P84095_RHOG</t>
  </si>
  <si>
    <t>P84101-4_SERF2</t>
  </si>
  <si>
    <t>P85037_FOXK1</t>
  </si>
  <si>
    <t>P85299-2_PRR5</t>
  </si>
  <si>
    <t>P86791_CCZ1</t>
  </si>
  <si>
    <t>P98082-3_DAB2</t>
  </si>
  <si>
    <t>P98088_MUC5AC</t>
  </si>
  <si>
    <t>P98155-2_VLDLR</t>
  </si>
  <si>
    <t>P98160_HSPG2</t>
  </si>
  <si>
    <t>P98170_XIAP</t>
  </si>
  <si>
    <t>P98174_FGD1</t>
  </si>
  <si>
    <t>P98175-4_RBM10</t>
  </si>
  <si>
    <t>P98179_RBM3</t>
  </si>
  <si>
    <t>Q00013-2_MPP1</t>
  </si>
  <si>
    <t>Q00059_TFAM</t>
  </si>
  <si>
    <t>Q00169_PITPNA</t>
  </si>
  <si>
    <t>Q00341_HDLBP</t>
  </si>
  <si>
    <t>Q00403_GTF2B</t>
  </si>
  <si>
    <t>Q00526_CDK3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</si>
  <si>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</si>
  <si>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</si>
  <si>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</si>
  <si>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</si>
  <si>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</si>
  <si>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</si>
  <si>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</si>
  <si>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</si>
  <si>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Q00796_SORD</t>
  </si>
  <si>
    <t>Q00839_HNRNPU</t>
  </si>
  <si>
    <t>Q00839-2_HNRNPU</t>
  </si>
  <si>
    <t>Q00978_IRF9</t>
  </si>
  <si>
    <t>Q01081_U2AF1</t>
  </si>
  <si>
    <t>Q01082_SPTBN1</t>
  </si>
  <si>
    <t>Q01082-3_SPTBN1</t>
  </si>
  <si>
    <t>Q01085-2_TIAL1</t>
  </si>
  <si>
    <t>Q01105_SET</t>
  </si>
  <si>
    <t>Q01105-2_SET</t>
  </si>
  <si>
    <t>Q01167_FOXK2</t>
  </si>
  <si>
    <t>Q01432_AMPD3</t>
  </si>
  <si>
    <t>Q01433_AMPD2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</si>
  <si>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</si>
  <si>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</si>
  <si>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</si>
  <si>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</si>
  <si>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</si>
  <si>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</si>
  <si>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</si>
  <si>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</si>
  <si>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Q01804_OTUD4</t>
  </si>
  <si>
    <t>Q01813_PFKP</t>
  </si>
  <si>
    <t>Q01844-6_EWSR1</t>
  </si>
  <si>
    <t>Q01850_CDR2</t>
  </si>
  <si>
    <t>Q01968-2_OCRL</t>
  </si>
  <si>
    <t>Q01970_PLCB3</t>
  </si>
  <si>
    <t>Q01973_ROR1</t>
  </si>
  <si>
    <t>Q01995_TAGLN</t>
  </si>
  <si>
    <t>Q02040_AKAP17A</t>
  </si>
  <si>
    <t>Q02078-4_MEF2A</t>
  </si>
  <si>
    <t>Q02083-2_NAAA</t>
  </si>
  <si>
    <t>Q02086-2_SP2</t>
  </si>
  <si>
    <t>Q02156_PRKCE</t>
  </si>
  <si>
    <t>Q02224-3_CENPE</t>
  </si>
  <si>
    <t>Q02241_KIF23</t>
  </si>
  <si>
    <t>Q02241-2_KIF23</t>
  </si>
  <si>
    <t>Q02297_NRG1</t>
  </si>
  <si>
    <t>Q02410_APBA1</t>
  </si>
  <si>
    <t>Q02413_DSG1</t>
  </si>
  <si>
    <t>Q02447-3_SP3</t>
  </si>
  <si>
    <t>Q02543_RPL18A</t>
  </si>
  <si>
    <t>Q02750_MAP2K1</t>
  </si>
  <si>
    <t>Q02790_FKBP4</t>
  </si>
  <si>
    <t>Q02809_PLOD1</t>
  </si>
  <si>
    <t>Q02818_NUCB1</t>
  </si>
  <si>
    <t>Q02833-3_RASSF7</t>
  </si>
  <si>
    <t>Q02880-2_TOP2B</t>
  </si>
  <si>
    <t>Q02952-3_AKAP12</t>
  </si>
  <si>
    <t>Q03001_DST</t>
  </si>
  <si>
    <t>Q03001-8_DST</t>
  </si>
  <si>
    <t>Q03111_MLLT1</t>
  </si>
  <si>
    <t>Q03135_CAV1</t>
  </si>
  <si>
    <t>Q03154_ACY1</t>
  </si>
  <si>
    <t>Q03164-2_MLL</t>
  </si>
  <si>
    <t>Q03169_TNFAIP2</t>
  </si>
  <si>
    <t>Q03252_LMNB2</t>
  </si>
  <si>
    <t>Q03393_PTS</t>
  </si>
  <si>
    <t>Q03468_ERCC6</t>
  </si>
  <si>
    <t>Q03701_CEBPZ</t>
  </si>
  <si>
    <t>Q04446_GBE1</t>
  </si>
  <si>
    <t>Q04637-3_EIF4G1</t>
  </si>
  <si>
    <t>Q04656-5_ATP7A</t>
  </si>
  <si>
    <t>Q04724_TLE1</t>
  </si>
  <si>
    <t>Q04726-3_TLE3</t>
  </si>
  <si>
    <t>Q04756_HGFAC</t>
  </si>
  <si>
    <t>Q04760_GLO1</t>
  </si>
  <si>
    <t>Q04828_AKR1C1</t>
  </si>
  <si>
    <t>Q04837_SSBP1</t>
  </si>
  <si>
    <t>Q04917_YWHAH</t>
  </si>
  <si>
    <t>Q05048_CSTF1</t>
  </si>
  <si>
    <t>Q05086-3_UBE3A</t>
  </si>
  <si>
    <t>Q05193_DNM1</t>
  </si>
  <si>
    <t>Q05209_PTPN12</t>
  </si>
  <si>
    <t>Q05513_PRKCZ</t>
  </si>
  <si>
    <t>Q05519-2_SRSF11</t>
  </si>
  <si>
    <t>Q05639_EEF1A2</t>
  </si>
  <si>
    <t>Q05655_PRKCD</t>
  </si>
  <si>
    <t>Q05682_CALD1</t>
  </si>
  <si>
    <t>Q05682-4_CALD1</t>
  </si>
  <si>
    <t>Q05823_RNASEL</t>
  </si>
  <si>
    <t>Q06124_PTPN11</t>
  </si>
  <si>
    <t>Q06190_PPP2R3A</t>
  </si>
  <si>
    <t>Q06203_PPAT</t>
  </si>
  <si>
    <t>Q06210-2_GFPT1</t>
  </si>
  <si>
    <t>Q06265_EXOSC9</t>
  </si>
  <si>
    <t>Q06323_PSME1</t>
  </si>
  <si>
    <t>Q06330-5_RBPJ</t>
  </si>
  <si>
    <t>Q06546_GABPA</t>
  </si>
  <si>
    <t>Q06547-2_GABPB1</t>
  </si>
  <si>
    <t>Q06587_RING1</t>
  </si>
  <si>
    <t>Q06609-3_RAD51</t>
  </si>
  <si>
    <t>Q06787-8_FMR1</t>
  </si>
  <si>
    <t>Q06945_SOX4</t>
  </si>
  <si>
    <t>Q07020_RPL18</t>
  </si>
  <si>
    <t>Q07021_C1QBP</t>
  </si>
  <si>
    <t>Q07065_CKAP4</t>
  </si>
  <si>
    <t>Q07283_TCHH</t>
  </si>
  <si>
    <t>Q07343-3_PDE4B</t>
  </si>
  <si>
    <t>Q07617_SPAG1</t>
  </si>
  <si>
    <t>Q07666_KHDRBS1</t>
  </si>
  <si>
    <t>Q07812-8_BAX</t>
  </si>
  <si>
    <t>Q07820_MCL1</t>
  </si>
  <si>
    <t>Q07866-6_KLC1</t>
  </si>
  <si>
    <t>Q07954_LRP1</t>
  </si>
  <si>
    <t>Q07955_SRSF1</t>
  </si>
  <si>
    <t>Q07960_ARHGAP1</t>
  </si>
  <si>
    <t>Q08117_AES</t>
  </si>
  <si>
    <t>Q08170_SRSF4</t>
  </si>
  <si>
    <t>Q08209-2_PPP3CA</t>
  </si>
  <si>
    <t>Q08211_DHX9</t>
  </si>
  <si>
    <t>Q08257_CRYZ</t>
  </si>
  <si>
    <t>Q08378_GOLGA3</t>
  </si>
  <si>
    <t>Q08379_GOLGA2</t>
  </si>
  <si>
    <t>Q08380_LGALS3BP</t>
  </si>
  <si>
    <t>Q08495_EPB49</t>
  </si>
  <si>
    <t>Q08499-6_PDE4D</t>
  </si>
  <si>
    <t>Q08752_PPID</t>
  </si>
  <si>
    <t>Q08945_SSRP1</t>
  </si>
  <si>
    <t>Q08999_RBL2</t>
  </si>
  <si>
    <t>Q08AD1-2_CAMSAP2</t>
  </si>
  <si>
    <t>Q08AE8-2_SPIRE1</t>
  </si>
  <si>
    <t>Q08AF3_SLFN5</t>
  </si>
  <si>
    <t>Q08AG7_MZT1</t>
  </si>
  <si>
    <t>Q08AM6_VAC14</t>
  </si>
  <si>
    <t>Q08J23_NSUN2</t>
  </si>
  <si>
    <t>Q09028-3_RBBP4</t>
  </si>
  <si>
    <t>Q09161_NCBP1</t>
  </si>
  <si>
    <t>Q09472_EP300</t>
  </si>
  <si>
    <t>Q09666_AHNAK</t>
  </si>
  <si>
    <t>Q09666-2_AHNAK</t>
  </si>
  <si>
    <t>Q0JRZ9_FCHO2</t>
  </si>
  <si>
    <t>Q0PNE2_ELP6</t>
  </si>
  <si>
    <t>Q0VDF9_HSPA14</t>
  </si>
  <si>
    <t>Q0VDG4_SCRN3</t>
  </si>
  <si>
    <t>Q0VF96_CGNL1</t>
  </si>
  <si>
    <t>Q0VG06_FAAP100</t>
  </si>
  <si>
    <t>Q0VGL1_LAMTOR4</t>
  </si>
  <si>
    <t>Q10567-2_AP1B1</t>
  </si>
  <si>
    <t>Q10567-3_AP1B1</t>
  </si>
  <si>
    <t>Q10570_CPSF1</t>
  </si>
  <si>
    <t>Q10713_PMPCA</t>
  </si>
  <si>
    <t>Q12756_KIF1A</t>
  </si>
  <si>
    <t>Q12765_SCRN1</t>
  </si>
  <si>
    <t>Q12768_KIAA0196</t>
  </si>
  <si>
    <t>Q12769_NUP160</t>
  </si>
  <si>
    <t>Q12772_SREBF2</t>
  </si>
  <si>
    <t>Q12774_ARHGEF5</t>
  </si>
  <si>
    <t>Q12789_GTF3C1</t>
  </si>
  <si>
    <t>Q12792_TWF1</t>
  </si>
  <si>
    <t>Q12797_ASPH</t>
  </si>
  <si>
    <t>Q12802_AKAP13</t>
  </si>
  <si>
    <t>Q12824-2_SMARCB1</t>
  </si>
  <si>
    <t>Q12830-4_BPTF</t>
  </si>
  <si>
    <t>Q12841_FSTL1</t>
  </si>
  <si>
    <t>Q12846_STX4</t>
  </si>
  <si>
    <t>Q12849-5_GRSF1</t>
  </si>
  <si>
    <t>Q12860-2_CNTN1</t>
  </si>
  <si>
    <t>Q12872_SFSWAP</t>
  </si>
  <si>
    <t>Q12873_CHD3</t>
  </si>
  <si>
    <t>Q12874_SF3A3</t>
  </si>
  <si>
    <t>Q12882_DPYD</t>
  </si>
  <si>
    <t>Q12888_TP53BP1</t>
  </si>
  <si>
    <t>Q12904_AIMP1</t>
  </si>
  <si>
    <t>Q12905_ILF2</t>
  </si>
  <si>
    <t>Q12906-7_ILF3</t>
  </si>
  <si>
    <t>Q12913_PTPRJ</t>
  </si>
  <si>
    <t>Q12923-2_PTPN13</t>
  </si>
  <si>
    <t>Q12929_EPS8</t>
  </si>
  <si>
    <t>Q12933-3_TRAF2</t>
  </si>
  <si>
    <t>Q12955_ANK3</t>
  </si>
  <si>
    <t>Q12959-5_DLG1</t>
  </si>
  <si>
    <t>Q12962_TAF10</t>
  </si>
  <si>
    <t>Q12965_MYO1E</t>
  </si>
  <si>
    <t>Q12972_PPP1R8</t>
  </si>
  <si>
    <t>Q12974_PTP4A2</t>
  </si>
  <si>
    <t>Q12979-4_ABR</t>
  </si>
  <si>
    <t>Q12981_BNIP1</t>
  </si>
  <si>
    <t>Q12982_BNIP2</t>
  </si>
  <si>
    <t>Q12986_NFX1</t>
  </si>
  <si>
    <t>Q12996_CSTF3</t>
  </si>
  <si>
    <t>Q13011_ECH1</t>
  </si>
  <si>
    <t>Q13017-2_ARHGAP5</t>
  </si>
  <si>
    <t>Q13033-2_STRN3</t>
  </si>
  <si>
    <t>Q13042-3_CDC16</t>
  </si>
  <si>
    <t>Q13043_STK4</t>
  </si>
  <si>
    <t>Q13045_FLII</t>
  </si>
  <si>
    <t>Q13045-2_FLII</t>
  </si>
  <si>
    <t>Q13049_TRIM32</t>
  </si>
  <si>
    <t>Q13057_COASY</t>
  </si>
  <si>
    <t>Q13077_TRAF1</t>
  </si>
  <si>
    <t>Q13085_ACACA</t>
  </si>
  <si>
    <t>Q13107-2_USP4</t>
  </si>
  <si>
    <t>Q13111_CHAF1A</t>
  </si>
  <si>
    <t>Q13112_CHAF1B</t>
  </si>
  <si>
    <t>Q13114-2_TRAF3</t>
  </si>
  <si>
    <t>Q13115_DUSP4</t>
  </si>
  <si>
    <t>Q13118-2_KLF10</t>
  </si>
  <si>
    <t>Q13123_IK</t>
  </si>
  <si>
    <t>Q13127-4_REST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</si>
  <si>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</si>
  <si>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</si>
  <si>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</si>
  <si>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</si>
  <si>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</si>
  <si>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</si>
  <si>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</si>
  <si>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</si>
  <si>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</si>
  <si>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Q13164_MAPK7</t>
  </si>
  <si>
    <t>Q13177_PAK2</t>
  </si>
  <si>
    <t>Q13185_CBX3</t>
  </si>
  <si>
    <t>Q13188_STK3</t>
  </si>
  <si>
    <t>Q13190_STX5</t>
  </si>
  <si>
    <t>Q13191_CBLB</t>
  </si>
  <si>
    <t>Q13200_PSMD2</t>
  </si>
  <si>
    <t>Q13206_DDX10</t>
  </si>
  <si>
    <t>Q13217_DNAJC3</t>
  </si>
  <si>
    <t>Q13219_PAPPA</t>
  </si>
  <si>
    <t>Q13228_SELENBP1</t>
  </si>
  <si>
    <t>Q13232_NME3</t>
  </si>
  <si>
    <t>Q13233_MAP3K1</t>
  </si>
  <si>
    <t>Q13242_SRSF9</t>
  </si>
  <si>
    <t>Q13243-3_SRSF5</t>
  </si>
  <si>
    <t>Q13247-3_SRSF6</t>
  </si>
  <si>
    <t>Q13255_GRM1</t>
  </si>
  <si>
    <t>Q13257_MAD2L1</t>
  </si>
  <si>
    <t>Q13263_TRIM28</t>
  </si>
  <si>
    <t>Q13277-2_STX3</t>
  </si>
  <si>
    <t>Q13283_G3BP1</t>
  </si>
  <si>
    <t>Q13287_NMI</t>
  </si>
  <si>
    <t>Q13303-2_KCNAB2</t>
  </si>
  <si>
    <t>Q13308-3_PTK7</t>
  </si>
  <si>
    <t>Q13309-2_SKP2</t>
  </si>
  <si>
    <t>Q13310-3_PABPC4</t>
  </si>
  <si>
    <t>Q13315_ATM</t>
  </si>
  <si>
    <t>Q13322-2_GRB10</t>
  </si>
  <si>
    <t>Q13325_IFIT5</t>
  </si>
  <si>
    <t>Q13330-3_MTA1</t>
  </si>
  <si>
    <t>Q13332-6_PTPRS</t>
  </si>
  <si>
    <t>Q13347_EIF3I</t>
  </si>
  <si>
    <t>Q13362-4_PPP2R5C</t>
  </si>
  <si>
    <t>Q13363-2_CTBP1</t>
  </si>
  <si>
    <t>Q13371_PDCL</t>
  </si>
  <si>
    <t>Q13395_TARBP1</t>
  </si>
  <si>
    <t>Q13404_UBE2V1</t>
  </si>
  <si>
    <t>Q13409-6_DYNC1I2</t>
  </si>
  <si>
    <t>Q13416_ORC2</t>
  </si>
  <si>
    <t>Q13418_ILK</t>
  </si>
  <si>
    <t>Q13425_SNTB2</t>
  </si>
  <si>
    <t>Q13426_XRCC4</t>
  </si>
  <si>
    <t>Q13427_PPIG</t>
  </si>
  <si>
    <t>Q13428-4_TCOF1</t>
  </si>
  <si>
    <t>Q13432_UNC119</t>
  </si>
  <si>
    <t>Q13433_SLC39A6</t>
  </si>
  <si>
    <t>Q13435_SF3B2</t>
  </si>
  <si>
    <t>Q13439-3_GOLGA4</t>
  </si>
  <si>
    <t>Q13442_PDAP1</t>
  </si>
  <si>
    <t>Q13443_ADAM9</t>
  </si>
  <si>
    <t>Q13451_FKBP5</t>
  </si>
  <si>
    <t>Q13464_ROCK1</t>
  </si>
  <si>
    <t>Q13480-2_GAB1</t>
  </si>
  <si>
    <t>Q13492-3_PICALM</t>
  </si>
  <si>
    <t>Q13496_MTM1</t>
  </si>
  <si>
    <t>Q13501_SQSTM1</t>
  </si>
  <si>
    <t>Q13503_MED21</t>
  </si>
  <si>
    <t>Q13506_NAB1</t>
  </si>
  <si>
    <t>Q13509_TUBB3</t>
  </si>
  <si>
    <t>Q13516_OLIG2</t>
  </si>
  <si>
    <t>Q13526_PIN1</t>
  </si>
  <si>
    <t>Q13535-2_ATR</t>
  </si>
  <si>
    <t>Q13541_EIF4EBP1</t>
  </si>
  <si>
    <t>Q13546_RIPK1</t>
  </si>
  <si>
    <t>Q13547_HDAC1</t>
  </si>
  <si>
    <t>Q13557-8_CAMK2D</t>
  </si>
  <si>
    <t>Q13561_DCTN2</t>
  </si>
  <si>
    <t>Q13563-2_PKD2</t>
  </si>
  <si>
    <t>Q13564-2_NAE1</t>
  </si>
  <si>
    <t>Q13568-5_IRF5</t>
  </si>
  <si>
    <t>Q13572_ITPK1</t>
  </si>
  <si>
    <t>Q13573_SNW1</t>
  </si>
  <si>
    <t>Q13596_SNX1</t>
  </si>
  <si>
    <t>Q13613_MTMR1</t>
  </si>
  <si>
    <t>Q13614_MTMR2</t>
  </si>
  <si>
    <t>Q13615-3_MTMR3</t>
  </si>
  <si>
    <t>Q13616_CUL1</t>
  </si>
  <si>
    <t>Q13617_CUL2</t>
  </si>
  <si>
    <t>Q13618_CUL3</t>
  </si>
  <si>
    <t>Q13619_CUL4A</t>
  </si>
  <si>
    <t>Q13625_TP53BP2</t>
  </si>
  <si>
    <t>Q13627-3_DYRK1A</t>
  </si>
  <si>
    <t>Q13630_TSTA3</t>
  </si>
  <si>
    <t>Q13637_RAB32</t>
  </si>
  <si>
    <t>Q13641_TPBG</t>
  </si>
  <si>
    <t>Q13642-1_FHL1</t>
  </si>
  <si>
    <t>Q13643_FHL3</t>
  </si>
  <si>
    <t>Q13670_PMS2P11</t>
  </si>
  <si>
    <t>Q13671_RIN1</t>
  </si>
  <si>
    <t>Q13686_ALKBH1</t>
  </si>
  <si>
    <t>Q13740-2_ALCAM</t>
  </si>
  <si>
    <t>Q13769_THOC5</t>
  </si>
  <si>
    <t>Q13796_SHROOM2</t>
  </si>
  <si>
    <t>Q13813_SPTAN1</t>
  </si>
  <si>
    <t>Q13813-3_SPTAN1</t>
  </si>
  <si>
    <t>Q13825_AUH</t>
  </si>
  <si>
    <t>Q13838_DDX39B</t>
  </si>
  <si>
    <t>Q13867_BLMH</t>
  </si>
  <si>
    <t>Q13868_EXOSC2</t>
  </si>
  <si>
    <t>Q13885_TUBB2A</t>
  </si>
  <si>
    <t>Q13887_KLF5</t>
  </si>
  <si>
    <t>Q13895_BYSL</t>
  </si>
  <si>
    <t>Q13907_IDI1</t>
  </si>
  <si>
    <t>Q13938_CAPS</t>
  </si>
  <si>
    <t>Q13951_CBFB</t>
  </si>
  <si>
    <t>Q13951-2_CBFB</t>
  </si>
  <si>
    <t>Q13952-3_NFYC</t>
  </si>
  <si>
    <t>Q14004_CDK13</t>
  </si>
  <si>
    <t>Q14008_CKAP5</t>
  </si>
  <si>
    <t>Q14011_CIRBP</t>
  </si>
  <si>
    <t>Q14012_CAMK1</t>
  </si>
  <si>
    <t>Q14019_COTL1</t>
  </si>
  <si>
    <t>Q14032_BAAT</t>
  </si>
  <si>
    <t>Q14061_COX17</t>
  </si>
  <si>
    <t>Q14103-3_HNRNPD</t>
  </si>
  <si>
    <t>Q14108-2_SCARB2</t>
  </si>
  <si>
    <t>Q14114-4_LRP8</t>
  </si>
  <si>
    <t>Q14116-2_IL18</t>
  </si>
  <si>
    <t>Q14118_DAG1</t>
  </si>
  <si>
    <t>Q14123_PDE1C</t>
  </si>
  <si>
    <t>Q14126_DSG2</t>
  </si>
  <si>
    <t>Q14137_BOP1</t>
  </si>
  <si>
    <t>Q14139_UBE4A</t>
  </si>
  <si>
    <t>Q14141-2_SEPT6</t>
  </si>
  <si>
    <t>Q14145_KEAP1</t>
  </si>
  <si>
    <t>Q14147_DHX34</t>
  </si>
  <si>
    <t>Q14149_MORC3</t>
  </si>
  <si>
    <t>Q14151_SAFB2</t>
  </si>
  <si>
    <t>Q14152_EIF3A</t>
  </si>
  <si>
    <t>Q14155-1_ARHGEF7</t>
  </si>
  <si>
    <t>Q14157_UBAP2L</t>
  </si>
  <si>
    <t>Q14157-1_UBAP2L</t>
  </si>
  <si>
    <t>Q14160-3_SCRIB</t>
  </si>
  <si>
    <t>Q14161_GIT2</t>
  </si>
  <si>
    <t>Q14166_TTLL12</t>
  </si>
  <si>
    <t>Q14181_POLA2</t>
  </si>
  <si>
    <t>Q14185_DOCK1</t>
  </si>
  <si>
    <t>Q14191_WRN</t>
  </si>
  <si>
    <t>Q14192_FHL2</t>
  </si>
  <si>
    <t>Q14195-2_DPYSL3</t>
  </si>
  <si>
    <t>Q14202-2_ZMYM3</t>
  </si>
  <si>
    <t>Q14203-3_DCTN1</t>
  </si>
  <si>
    <t>Q14204_DYNC1H1</t>
  </si>
  <si>
    <t>Q14207_NPAT</t>
  </si>
  <si>
    <t>Q14232_EIF2B1</t>
  </si>
  <si>
    <t>Q14240_EIF4A2</t>
  </si>
  <si>
    <t>Q14241_TCEB3</t>
  </si>
  <si>
    <t>Q14244_MAP7</t>
  </si>
  <si>
    <t>Q14247_CTTN</t>
  </si>
  <si>
    <t>Q14247-3_CTTN</t>
  </si>
  <si>
    <t>Q14249_ENDOG</t>
  </si>
  <si>
    <t>Q14257_RCN2</t>
  </si>
  <si>
    <t>Q14258_TRIM25</t>
  </si>
  <si>
    <t>Q14289-2_PTK2B</t>
  </si>
  <si>
    <t>Q14315-2_FLNC</t>
  </si>
  <si>
    <t>Q14320_FAM50A</t>
  </si>
  <si>
    <t>Q14331_FRG1</t>
  </si>
  <si>
    <t>Q14353_GAMT</t>
  </si>
  <si>
    <t>Q14376_GALE</t>
  </si>
  <si>
    <t>Q14432_PDE3A</t>
  </si>
  <si>
    <t>Q14444-2_CAPRIN1</t>
  </si>
  <si>
    <t>Q14449_GRB14</t>
  </si>
  <si>
    <t>Q14451_GRB7</t>
  </si>
  <si>
    <t>Q14457_BECN1</t>
  </si>
  <si>
    <t>Q14469_HES1</t>
  </si>
  <si>
    <t>Q14493_SLBP</t>
  </si>
  <si>
    <t>Q14498-2_RBM39</t>
  </si>
  <si>
    <t>Q14511-3_NEDD9</t>
  </si>
  <si>
    <t>Q14517_FAT1</t>
  </si>
  <si>
    <t>Q14520-2_HABP2</t>
  </si>
  <si>
    <t>Q14527_HLTF</t>
  </si>
  <si>
    <t>Q14554_PDIA5</t>
  </si>
  <si>
    <t>Q14558-2_PRPSAP1</t>
  </si>
  <si>
    <t>Q14562_DHX8</t>
  </si>
  <si>
    <t>Q14566_MCM6</t>
  </si>
  <si>
    <t>Q14651_PLS1</t>
  </si>
  <si>
    <t>Q14653_IRF3</t>
  </si>
  <si>
    <t>Q14657_LAGE3</t>
  </si>
  <si>
    <t>Q14669-3_TRIP12</t>
  </si>
  <si>
    <t>Q14671-2_PUM1</t>
  </si>
  <si>
    <t>Q14676_MDC1</t>
  </si>
  <si>
    <t>Q14677_CLINT1</t>
  </si>
  <si>
    <t>Q14678_KANK1</t>
  </si>
  <si>
    <t>Q14681_KCTD2</t>
  </si>
  <si>
    <t>Q14683_SMC1A</t>
  </si>
  <si>
    <t>Q14684-2_RRP1B</t>
  </si>
  <si>
    <t>Q14686_NCOA6</t>
  </si>
  <si>
    <t>Q14687-2_GSE1</t>
  </si>
  <si>
    <t>Q14689-6_DIP2A</t>
  </si>
  <si>
    <t>Q14691_GINS1</t>
  </si>
  <si>
    <t>Q14694_USP10</t>
  </si>
  <si>
    <t>Q14696_MESDC2</t>
  </si>
  <si>
    <t>Q14697_GANAB</t>
  </si>
  <si>
    <t>Q14764_MVP</t>
  </si>
  <si>
    <t>Q14789_GOLGB1</t>
  </si>
  <si>
    <t>Q14790-9_CASP8</t>
  </si>
  <si>
    <t>Q147X3_NAA30</t>
  </si>
  <si>
    <t>Q14807-2_KIF22</t>
  </si>
  <si>
    <t>Q14814-4_MEF2D</t>
  </si>
  <si>
    <t>Q14839-2_CHD4</t>
  </si>
  <si>
    <t>Q14847_LASP1</t>
  </si>
  <si>
    <t>Q14894_CRYM</t>
  </si>
  <si>
    <t>Q14914-2_PTGR1</t>
  </si>
  <si>
    <t>Q14919-2_DRAP1</t>
  </si>
  <si>
    <t>Q14966_ZNF638</t>
  </si>
  <si>
    <t>Q14974_KPNB1</t>
  </si>
  <si>
    <t>Q14978-2_NOLC1</t>
  </si>
  <si>
    <t>Q14980_NUMA1</t>
  </si>
  <si>
    <t>Q14980-2_NUMA1</t>
  </si>
  <si>
    <t>Q14997_PSME4</t>
  </si>
  <si>
    <t>Q14999_CUL7</t>
  </si>
  <si>
    <t>Q14C86-5_GAPVD1</t>
  </si>
  <si>
    <t>Q14CS0_UBXN2B</t>
  </si>
  <si>
    <t>Q14CX7_NAA25</t>
  </si>
  <si>
    <t>Q14CZ0_C16orf72</t>
  </si>
  <si>
    <t>Q15003_NCAPH</t>
  </si>
  <si>
    <t>Q15004_KIAA0101</t>
  </si>
  <si>
    <t>Q15007_WTAP</t>
  </si>
  <si>
    <t>Q15008_PSMD6</t>
  </si>
  <si>
    <t>Q15011-3_HERPUD1</t>
  </si>
  <si>
    <t>Q15013_MAD2L1BP</t>
  </si>
  <si>
    <t>Q15014_MORF4L2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</si>
  <si>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</si>
  <si>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</si>
  <si>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</si>
  <si>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</si>
  <si>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</si>
  <si>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</si>
  <si>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</si>
  <si>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</si>
  <si>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Q15042_RAB3GAP1</t>
  </si>
  <si>
    <t>Q15043-2_SLC39A14</t>
  </si>
  <si>
    <t>Q15046_KARS</t>
  </si>
  <si>
    <t>Q15047-3_SETDB1</t>
  </si>
  <si>
    <t>Q15048_LRRC14</t>
  </si>
  <si>
    <t>Q15054_POLD3</t>
  </si>
  <si>
    <t>Q15056_EIF4H</t>
  </si>
  <si>
    <t>Q15056-2_EIF4H</t>
  </si>
  <si>
    <t>Q15057_ACAP2</t>
  </si>
  <si>
    <t>Q15058_KIF14</t>
  </si>
  <si>
    <t>Q15059_BRD3</t>
  </si>
  <si>
    <t>Q15061_WDR43</t>
  </si>
  <si>
    <t>Q15075_EEA1</t>
  </si>
  <si>
    <t>Q15102_PAFAH1B3</t>
  </si>
  <si>
    <t>Q15120_PDK3</t>
  </si>
  <si>
    <t>Q15121_PEA15</t>
  </si>
  <si>
    <t>Q15126_PMVK</t>
  </si>
  <si>
    <t>Q15139_PRKD1</t>
  </si>
  <si>
    <t>Q15147-4_PLCB4</t>
  </si>
  <si>
    <t>Q15149_PLEC</t>
  </si>
  <si>
    <t>Q15149-3_PLEC</t>
  </si>
  <si>
    <t>Q15149-4_PLEC</t>
  </si>
  <si>
    <t>Q15149-8_PLEC</t>
  </si>
  <si>
    <t>Q15154_PCM1</t>
  </si>
  <si>
    <t>Q15170-2_TCEAL1</t>
  </si>
  <si>
    <t>Q15172_PPP2R5A</t>
  </si>
  <si>
    <t>Q15173-2_PPP2R5B</t>
  </si>
  <si>
    <t>Q15181_PPA1</t>
  </si>
  <si>
    <t>Q15208_STK38</t>
  </si>
  <si>
    <t>Q15233_NONO</t>
  </si>
  <si>
    <t>Q15257_PPP2R4</t>
  </si>
  <si>
    <t>Q15257-2_PPP2R4</t>
  </si>
  <si>
    <t>Q15262-2_PTPRK</t>
  </si>
  <si>
    <t>Q15276_RABEP1</t>
  </si>
  <si>
    <t>Q15283-2_RASA2</t>
  </si>
  <si>
    <t>Q15286_RAB35</t>
  </si>
  <si>
    <t>Q15291_RBBP5</t>
  </si>
  <si>
    <t>Q15293_RCN1</t>
  </si>
  <si>
    <t>Q15311_RALBP1</t>
  </si>
  <si>
    <t>Q15334_LLGL1</t>
  </si>
  <si>
    <t>Q15345_LRRC41</t>
  </si>
  <si>
    <t>Q15365_PCBP1</t>
  </si>
  <si>
    <t>Q15366-6_PCBP2</t>
  </si>
  <si>
    <t>Q15370-2_TCEB2</t>
  </si>
  <si>
    <t>Q15382_RHEB</t>
  </si>
  <si>
    <t>Q15386_UBE3C</t>
  </si>
  <si>
    <t>Q15390-2_MTFR1</t>
  </si>
  <si>
    <t>Q15393_SF3B3</t>
  </si>
  <si>
    <t>Q15398-3_DLGAP5</t>
  </si>
  <si>
    <t>Q15404_RSU1</t>
  </si>
  <si>
    <t>Q15417_CNN3</t>
  </si>
  <si>
    <t>Q15424_SAFB</t>
  </si>
  <si>
    <t>Q15427_SF3B4</t>
  </si>
  <si>
    <t>Q15428_SF3A2</t>
  </si>
  <si>
    <t>Q15435_PPP1R7</t>
  </si>
  <si>
    <t>Q15437_SEC23B</t>
  </si>
  <si>
    <t>Q15438-2_CYTH1</t>
  </si>
  <si>
    <t>Q15459_SF3A1</t>
  </si>
  <si>
    <t>Q15464_SHB</t>
  </si>
  <si>
    <t>Q15477_SKIV2L</t>
  </si>
  <si>
    <t>Q15526-2_SURF1</t>
  </si>
  <si>
    <t>Q15527_SURF2</t>
  </si>
  <si>
    <t>Q15542-2_TAF5</t>
  </si>
  <si>
    <t>Q15545_TAF7</t>
  </si>
  <si>
    <t>Q15554-3_TERF2</t>
  </si>
  <si>
    <t>Q15583-4_TGIF1</t>
  </si>
  <si>
    <t>Q15596_NCOA2</t>
  </si>
  <si>
    <t>Q15599_SLC9A3R2</t>
  </si>
  <si>
    <t>Q15599-3_SLC9A3R2</t>
  </si>
  <si>
    <t>Q15628_TRADD</t>
  </si>
  <si>
    <t>Q15633-2_TARBP2</t>
  </si>
  <si>
    <t>Q15637-4_SF1</t>
  </si>
  <si>
    <t>Q15637-5_SF1</t>
  </si>
  <si>
    <t>Q15642_TRIP10</t>
  </si>
  <si>
    <t>Q15642-2_TRIP10</t>
  </si>
  <si>
    <t>Q15643_TRIP11</t>
  </si>
  <si>
    <t>Q15645_TRIP13</t>
  </si>
  <si>
    <t>Q15648_MED1</t>
  </si>
  <si>
    <t>Q15649_ZNHIT3</t>
  </si>
  <si>
    <t>Q15650_TRIP4</t>
  </si>
  <si>
    <t>Q15651_HMGN3</t>
  </si>
  <si>
    <t>Q15652_JMJD1C</t>
  </si>
  <si>
    <t>Q15654_TRIP6</t>
  </si>
  <si>
    <t>Q15691_MAPRE1</t>
  </si>
  <si>
    <t>Q15697-2_ZNF174</t>
  </si>
  <si>
    <t>Q15699_ALX1</t>
  </si>
  <si>
    <t>Q15714_TSC22D1</t>
  </si>
  <si>
    <t>Q15717_ELAVL1</t>
  </si>
  <si>
    <t>Q15742_NAB2</t>
  </si>
  <si>
    <t>Q15746-4_MYLK</t>
  </si>
  <si>
    <t>Q15750-2_TAB1</t>
  </si>
  <si>
    <t>Q15751_HERC1</t>
  </si>
  <si>
    <t>Q15758-3_SLC1A5</t>
  </si>
  <si>
    <t>Q15759_MAPK11</t>
  </si>
  <si>
    <t>Q15773_MLF2</t>
  </si>
  <si>
    <t>Q15785_TOMM34</t>
  </si>
  <si>
    <t>Q15788-2_NCOA1</t>
  </si>
  <si>
    <t>Q15796-2_SMAD2</t>
  </si>
  <si>
    <t>Q15814_TBCC</t>
  </si>
  <si>
    <t>Q15818_NPTX1</t>
  </si>
  <si>
    <t>Q15819_UBE2V2</t>
  </si>
  <si>
    <t>Q15833_STXBP2</t>
  </si>
  <si>
    <t>Q15836_VAMP3</t>
  </si>
  <si>
    <t>Q15853-2_USF2</t>
  </si>
  <si>
    <t>Q15906_VPS72</t>
  </si>
  <si>
    <t>Q15907_RAB11B</t>
  </si>
  <si>
    <t>Q15911_ZFHX3</t>
  </si>
  <si>
    <t>Q15942_ZYX</t>
  </si>
  <si>
    <t>Q16143_SNCB</t>
  </si>
  <si>
    <t>Q16181_SEPT7</t>
  </si>
  <si>
    <t>Q16186_ADRM1</t>
  </si>
  <si>
    <t>Q16204_CCDC6</t>
  </si>
  <si>
    <t>Q16222-2_UAP1</t>
  </si>
  <si>
    <t>Q16254_E2F4</t>
  </si>
  <si>
    <t>Q16270-2_IGFBP7</t>
  </si>
  <si>
    <t>Q16352_INA</t>
  </si>
  <si>
    <t>Q16401-2_PSMD5</t>
  </si>
  <si>
    <t>Q16512_PKN1</t>
  </si>
  <si>
    <t>Q16513_PKN2</t>
  </si>
  <si>
    <t>Q16514-2_TAF12</t>
  </si>
  <si>
    <t>Q16526_CRY1</t>
  </si>
  <si>
    <t>Q16527_CSRP2</t>
  </si>
  <si>
    <t>Q16531_DDB1</t>
  </si>
  <si>
    <t>Q16539_MAPK14</t>
  </si>
  <si>
    <t>Q16543_CDC37</t>
  </si>
  <si>
    <t>Q16555_DPYSL2</t>
  </si>
  <si>
    <t>Q16576_RBBP7</t>
  </si>
  <si>
    <t>Q16587-5_ZNF74</t>
  </si>
  <si>
    <t>Q16623-3_STX1A</t>
  </si>
  <si>
    <t>Q16625-5_OCLN</t>
  </si>
  <si>
    <t>Q16626_MEA1</t>
  </si>
  <si>
    <t>Q16629-3_SRSF7</t>
  </si>
  <si>
    <t>Q16637-3_SMN1</t>
  </si>
  <si>
    <t>Q16643_DBN1</t>
  </si>
  <si>
    <t>Q16644_MAPKAPK3</t>
  </si>
  <si>
    <t>Q16656_NRF1</t>
  </si>
  <si>
    <t>Q16658_FSCN1</t>
  </si>
  <si>
    <t>Q16666-7_IFI16</t>
  </si>
  <si>
    <t>Q16719_KYNU</t>
  </si>
  <si>
    <t>Q16720-8_ATP2B3</t>
  </si>
  <si>
    <t>Q16740_CLPP</t>
  </si>
  <si>
    <t>Q16760-2_DGKD</t>
  </si>
  <si>
    <t>Q16762_TST</t>
  </si>
  <si>
    <t>Q16763_UBE2S</t>
  </si>
  <si>
    <t>Q16773_CCBL1</t>
  </si>
  <si>
    <t>Q16775_HAGH</t>
  </si>
  <si>
    <t>Q16778_HIST2H2BE</t>
  </si>
  <si>
    <t>Q16822_PCK2</t>
  </si>
  <si>
    <t>Q16825_PTPN21</t>
  </si>
  <si>
    <t>Q16831_UPP1</t>
  </si>
  <si>
    <t>Q16836_HADH</t>
  </si>
  <si>
    <t>Q16851_UGP2</t>
  </si>
  <si>
    <t>Q16854_DGUOK</t>
  </si>
  <si>
    <t>Q16864_ATP6V1F</t>
  </si>
  <si>
    <t>Q17R31-2_TATDN3</t>
  </si>
  <si>
    <t>Q17RN3_FAM98C</t>
  </si>
  <si>
    <t>Q17RS7_GEN1</t>
  </si>
  <si>
    <t>Q17RU2_REL</t>
  </si>
  <si>
    <t>Q1L5Z9_LONRF2</t>
  </si>
  <si>
    <t>Q1MSJ5-1_CSPP1</t>
  </si>
  <si>
    <t>Q27J81_INF2</t>
  </si>
  <si>
    <t>Q29RF7_PDS5A</t>
  </si>
  <si>
    <t>Q2KHR3_QSER1</t>
  </si>
  <si>
    <t>Q2KHT3_CLEC16A</t>
  </si>
  <si>
    <t>Q2M296-4_MTHFSD</t>
  </si>
  <si>
    <t>Q2M2I8_AAK1</t>
  </si>
  <si>
    <t>Q2M2Z5-5_PLK1S1</t>
  </si>
  <si>
    <t>Q2M389_KIAA1033</t>
  </si>
  <si>
    <t>Q2NKJ3_CTC1</t>
  </si>
  <si>
    <t>Q2NKX8_ERCC6L</t>
  </si>
  <si>
    <t>Q2NKX9-3_C2orf68</t>
  </si>
  <si>
    <t>Q2NL82_TSR1</t>
  </si>
  <si>
    <t>Q2TAL8_QRICH1</t>
  </si>
  <si>
    <t>Q2TAM5_RELA</t>
  </si>
  <si>
    <t>Q2TAY7_SMU1</t>
  </si>
  <si>
    <t>Q2TAZ0_ATG2A</t>
  </si>
  <si>
    <t>Q2TB39_TCF3</t>
  </si>
  <si>
    <t>Q2TBE0_CWF19L2</t>
  </si>
  <si>
    <t>Q2VPK5_CTU2</t>
  </si>
  <si>
    <t>Q32M88_ATHL1</t>
  </si>
  <si>
    <t>Q32MZ4_LRRFIP1</t>
  </si>
  <si>
    <t>Q32MZ4-2_LRRFIP1</t>
  </si>
  <si>
    <t>Q32MZ4-3_LRRFIP1</t>
  </si>
  <si>
    <t>Q32MZ4-4_LRRFIP1</t>
  </si>
  <si>
    <t>Q32P28_LEPRE1</t>
  </si>
  <si>
    <t>Q32P41_TRMT5</t>
  </si>
  <si>
    <t>Q32P44_EML3</t>
  </si>
  <si>
    <t>Q3B726_TWISTNB</t>
  </si>
  <si>
    <t>Q3B7J2_GFOD2</t>
  </si>
  <si>
    <t>Q3B7T1-5_EDRF1</t>
  </si>
  <si>
    <t>Q3B820_FAM161A</t>
  </si>
  <si>
    <t>Q3KP66-3_C1orf106</t>
  </si>
  <si>
    <t>Q3KQU3-2_MAP7D1</t>
  </si>
  <si>
    <t>Q3KQV9_UAP1L1</t>
  </si>
  <si>
    <t>Q3KRA6_C2orf76</t>
  </si>
  <si>
    <t>Q3KRA9_ALKBH6</t>
  </si>
  <si>
    <t>Q3L8U1-2_CHD9</t>
  </si>
  <si>
    <t>Q3LXA3_DAK</t>
  </si>
  <si>
    <t>Q3MHD2_LSM12</t>
  </si>
  <si>
    <t>Q3MIT2_PUS10</t>
  </si>
  <si>
    <t>Q3T8J9-3_GON4L</t>
  </si>
  <si>
    <t>Q3V6T2-2_CCDC88A</t>
  </si>
  <si>
    <t>Q3V6T2-4_CCDC88A</t>
  </si>
  <si>
    <t>Q3YEC7_RABL6</t>
  </si>
  <si>
    <t>Q3ZCQ8_TIMM50</t>
  </si>
  <si>
    <t>Q3ZCW2_LGALSL</t>
  </si>
  <si>
    <t>Q460N5-4_PARP14</t>
  </si>
  <si>
    <t>Q49AH0-2_CDNF</t>
  </si>
  <si>
    <t>Q49AR2_C5orf22</t>
  </si>
  <si>
    <t>Q49B96_COX19</t>
  </si>
  <si>
    <t>Q4G0F5_VPS26B</t>
  </si>
  <si>
    <t>Q4G0J3_LARP7</t>
  </si>
  <si>
    <t>Q4G0N4_NADKD1</t>
  </si>
  <si>
    <t>Q4G148-2_GXYLT1</t>
  </si>
  <si>
    <t>Q4G176_ACSF3</t>
  </si>
  <si>
    <t>Q4J6C6-4_PREPL</t>
  </si>
  <si>
    <t>Q4KMP7_TBC1D10B</t>
  </si>
  <si>
    <t>Q4KMQ1_TPRN</t>
  </si>
  <si>
    <t>Q4KWH8-2_PLCH1</t>
  </si>
  <si>
    <t>Q4LDG9_DNAL1</t>
  </si>
  <si>
    <t>Q4LE39-2_ARID4B</t>
  </si>
  <si>
    <t>Q4V328_GRIPAP1</t>
  </si>
  <si>
    <t>Q4VC05-2_BCL7A</t>
  </si>
  <si>
    <t>Q4VC44-2_FLYWCH1</t>
  </si>
  <si>
    <t>Q4VXZ8_DECR2</t>
  </si>
  <si>
    <t>Q504Q3-2_PAN2</t>
  </si>
  <si>
    <t>Q504U0_C4orf46</t>
  </si>
  <si>
    <t>Q52LJ0-2_FAM98B</t>
  </si>
  <si>
    <t>Q52LR7_EPC2</t>
  </si>
  <si>
    <t>Q52LW3_ARHGAP29</t>
  </si>
  <si>
    <t>Q53EL6-2_PDCD4</t>
  </si>
  <si>
    <t>Q53EZ4_CEP55</t>
  </si>
  <si>
    <t>Q53FA7_TP53I3</t>
  </si>
  <si>
    <t>Q53FT3_C11orf73</t>
  </si>
  <si>
    <t>Q53G59_KLHL12</t>
  </si>
  <si>
    <t>Q53GA4_PHLDA2</t>
  </si>
  <si>
    <t>Q53H54_TRMT12</t>
  </si>
  <si>
    <t>Q53H82_LACTB2</t>
  </si>
  <si>
    <t>Q53HC9_TSSC1</t>
  </si>
  <si>
    <t>Q53HV7_SMUG1</t>
  </si>
  <si>
    <t>Q53LP3_SOWAHC</t>
  </si>
  <si>
    <t>Q53QV2_LBH</t>
  </si>
  <si>
    <t>Q53S33_BOLA3</t>
  </si>
  <si>
    <t>Q53SF7-4_COBLL1</t>
  </si>
  <si>
    <t>Q53T59_HS1BP3</t>
  </si>
  <si>
    <t>Q562E7_WDR81</t>
  </si>
  <si>
    <t>Q562F6-2_SGOL2</t>
  </si>
  <si>
    <t>Q567Q0_PPIA</t>
  </si>
  <si>
    <t>Q58A45-4_PAN3</t>
  </si>
  <si>
    <t>Q58FF8_HSP90AB2P</t>
  </si>
  <si>
    <t>Q58FG1_HSP90AA4P</t>
  </si>
  <si>
    <t>Q58WW2_DCAF6</t>
  </si>
  <si>
    <t>Q5BKU9_OXLD1</t>
  </si>
  <si>
    <t>Q5BKX5_C19orf54</t>
  </si>
  <si>
    <t>Q5D1E8_ZC3H12A</t>
  </si>
  <si>
    <t>Q5EBL4_RILPL1</t>
  </si>
  <si>
    <t>Q5EBL8_PDZD11</t>
  </si>
  <si>
    <t>Q5F1R6_DNAJC21</t>
  </si>
  <si>
    <t>Q5FWF5-2_ESCO1</t>
  </si>
  <si>
    <t>Q5GLZ8-2_HERC4</t>
  </si>
  <si>
    <t>Q5H937_PKIG</t>
  </si>
  <si>
    <t>Q5H9A7_TIMP1</t>
  </si>
  <si>
    <t>Q5H9F3-2_BCORL1</t>
  </si>
  <si>
    <t>Q5HY92_FIGN</t>
  </si>
  <si>
    <t>Q5HYK7-2_SH3D19</t>
  </si>
  <si>
    <t>Q5I0X7_TTC32</t>
  </si>
  <si>
    <t>Q5I2W7_CYP24</t>
  </si>
  <si>
    <t>Q5JP53_TUBB</t>
  </si>
  <si>
    <t>Q5JPI9_METTL10</t>
  </si>
  <si>
    <t>Q5JR04_MOV10</t>
  </si>
  <si>
    <t>Q5JR08_RHOC</t>
  </si>
  <si>
    <t>Q5JRA6-2_MIA3</t>
  </si>
  <si>
    <t>Q5JRG1_NUPL1</t>
  </si>
  <si>
    <t>Q5JRJ0_TSC22D3</t>
  </si>
  <si>
    <t>Q5JRX3_PITRM1</t>
  </si>
  <si>
    <t>Q5JS37-2_NHLRC3</t>
  </si>
  <si>
    <t>Q5JS54_PSMG4</t>
  </si>
  <si>
    <t>Q5JSB6_TFDP1</t>
  </si>
  <si>
    <t>Q5JSH3-2_WDR44</t>
  </si>
  <si>
    <t>Q5JSL0_HMGN5</t>
  </si>
  <si>
    <t>Q5JSZ5_PRRC2B</t>
  </si>
  <si>
    <t>Q5JTC6-2_AMER1</t>
  </si>
  <si>
    <t>Q5JTD0-2_TJAP1</t>
  </si>
  <si>
    <t>Q5JTH9_RRP12</t>
  </si>
  <si>
    <t>Q5JTJ3-3_COA6</t>
  </si>
  <si>
    <t>Q5JTV1_GMEB2</t>
  </si>
  <si>
    <t>Q5JTV8_TOR1AIP1</t>
  </si>
  <si>
    <t>Q5JTW2_CEP78</t>
  </si>
  <si>
    <t>Q5JTZ9_AARS2</t>
  </si>
  <si>
    <t>Q5JU85_IQSEC2</t>
  </si>
  <si>
    <t>Q5JUE6_RAPGEF1</t>
  </si>
  <si>
    <t>Q5JUR7_TEX30</t>
  </si>
  <si>
    <t>Q5JV73_FRMPD3</t>
  </si>
  <si>
    <t>Q5JVF3-3_PCID2</t>
  </si>
  <si>
    <t>Q5JVM0_MYO6</t>
  </si>
  <si>
    <t>Q5JVS0_HABP4</t>
  </si>
  <si>
    <t>Q5JVZ5_ELMO2</t>
  </si>
  <si>
    <t>Q5JW30_STAU1</t>
  </si>
  <si>
    <t>Q5JYJ5_MCF2</t>
  </si>
  <si>
    <t>Q5JZB7_SPIN2B</t>
  </si>
  <si>
    <t>Q5K651_SAMD9</t>
  </si>
  <si>
    <t>Q5KSL6_DGKK</t>
  </si>
  <si>
    <t>Q5M775_SPECC1</t>
  </si>
  <si>
    <t>Q5MIZ7-2_SMEK2</t>
  </si>
  <si>
    <t>Q5MNZ6_WDR45B</t>
  </si>
  <si>
    <t>Q5NDL2_EOGT</t>
  </si>
  <si>
    <t>Q5QJ74_TBCEL</t>
  </si>
  <si>
    <t>Q5QJE6_DNTTIP2</t>
  </si>
  <si>
    <t>Q5QNY5_PEX19</t>
  </si>
  <si>
    <t>Q5QP56_BCL2L1</t>
  </si>
  <si>
    <t>Q5QP82_DCAF10</t>
  </si>
  <si>
    <t>Q5QPL9_RALY</t>
  </si>
  <si>
    <t>Q5QPM7_PSMF1</t>
  </si>
  <si>
    <t>Q5R372-4_RABGAP1L</t>
  </si>
  <si>
    <t>Q5RHP9-3_C1orf173</t>
  </si>
  <si>
    <t>Q5RKV6_EXOSC6</t>
  </si>
  <si>
    <t>Q5SNT6_FAM21B</t>
  </si>
  <si>
    <t>Q5SQI0-5_ATAT1</t>
  </si>
  <si>
    <t>Q5SRE5_NUP188</t>
  </si>
  <si>
    <t>Q5SSJ5_HP1BP3</t>
  </si>
  <si>
    <t>Q5ST30_VARS2</t>
  </si>
  <si>
    <t>Q5SW79_CEP170</t>
  </si>
  <si>
    <t>Q5SW79-3_CEP170</t>
  </si>
  <si>
    <t>Q5SW96_LDLRAP1</t>
  </si>
  <si>
    <t>Q5SXM2_SNAPC4</t>
  </si>
  <si>
    <t>Q5SXM8_DNLZ</t>
  </si>
  <si>
    <t>Q5SYE7-2_NHSL1</t>
  </si>
  <si>
    <t>Q5T011-5_SZT2</t>
  </si>
  <si>
    <t>Q5T0N5-3_FNBP1L</t>
  </si>
  <si>
    <t>Q5T114_C9orf156</t>
  </si>
  <si>
    <t>Q5T123_SH3BGRL3</t>
  </si>
  <si>
    <t>Q5T160_RARS2</t>
  </si>
  <si>
    <t>Q5T171_PYGO2</t>
  </si>
  <si>
    <t>Q5T1C6_THEM4</t>
  </si>
  <si>
    <t>Q5T1M5_FKBP15</t>
  </si>
  <si>
    <t>Q5T1V6_DDX59</t>
  </si>
  <si>
    <t>Q5T200_ZC3H13</t>
  </si>
  <si>
    <t>Q5T2E6_C10orf76</t>
  </si>
  <si>
    <t>Q5T2W1_PDZK1</t>
  </si>
  <si>
    <t>Q5T321_NBEA</t>
  </si>
  <si>
    <t>Q5T370_ARRDC1</t>
  </si>
  <si>
    <t>Q5T3J3_LRIF1</t>
  </si>
  <si>
    <t>Q5T427_ZNF438</t>
  </si>
  <si>
    <t>Q5T440_IBA57</t>
  </si>
  <si>
    <t>Q5T447_HECTD3</t>
  </si>
  <si>
    <t>Q5T4F4-6_ZFYVE27</t>
  </si>
  <si>
    <t>Q5T4S7-3_UBR4</t>
  </si>
  <si>
    <t>Q5T5C0-3_STXBP5</t>
  </si>
  <si>
    <t>Q5T5P2-3_KIAA1217</t>
  </si>
  <si>
    <t>Q5T5U3_ARHGAP21</t>
  </si>
  <si>
    <t>Q5T5Y3_CAMSAP1</t>
  </si>
  <si>
    <t>Q5T6F0_DCAF12</t>
  </si>
  <si>
    <t>Q5T6F2_UBAP2</t>
  </si>
  <si>
    <t>Q5T6J7_IDNK</t>
  </si>
  <si>
    <t>Q5T6V5_C9orf64</t>
  </si>
  <si>
    <t>Q5T7W0_ZNF618</t>
  </si>
  <si>
    <t>Q5T7W0-2_ZNF618</t>
  </si>
  <si>
    <t>Q5T8A7_PPP1R26</t>
  </si>
  <si>
    <t>Q5T8D3-2_ACBD5</t>
  </si>
  <si>
    <t>Q5T8P6-2_RBM26</t>
  </si>
  <si>
    <t>Q5T985_ITIH2</t>
  </si>
  <si>
    <t>Q5T9C2-2_FAM102A</t>
  </si>
  <si>
    <t>Q5T9S5-2_CCDC18</t>
  </si>
  <si>
    <t>Q5TA02_GSTO1</t>
  </si>
  <si>
    <t>Q5TA04_WDR96</t>
  </si>
  <si>
    <t>Q5TA31_RNF187</t>
  </si>
  <si>
    <t>Q5TA45-2_CPSF3L</t>
  </si>
  <si>
    <t>Q5TA50_GLTPD1</t>
  </si>
  <si>
    <t>Q5TA58_AGO1</t>
  </si>
  <si>
    <t>Q5TAQ0_MNF1</t>
  </si>
  <si>
    <t>Q5TAX3_ZCCHC11</t>
  </si>
  <si>
    <t>Q5TBB1_RNASEH2B</t>
  </si>
  <si>
    <t>Q5TBC7_BCL2L15</t>
  </si>
  <si>
    <t>Q5TBI2_C1orf131</t>
  </si>
  <si>
    <t>Q5TC12_ATPAF1</t>
  </si>
  <si>
    <t>Q5TC82_RC3H1</t>
  </si>
  <si>
    <t>Q5TC84_OGFRL1</t>
  </si>
  <si>
    <t>Q5TCQ9-4_MAGI3</t>
  </si>
  <si>
    <t>Q5TCU3_TPM2</t>
  </si>
  <si>
    <t>Q5TCX8_MLK4</t>
  </si>
  <si>
    <t>Q5TDH0_DDI2</t>
  </si>
  <si>
    <t>Q5TEU4_NDUFAF5</t>
  </si>
  <si>
    <t>Q5TFE4_NT5DC1</t>
  </si>
  <si>
    <t>Q5TGY1_TMCO4</t>
  </si>
  <si>
    <t>Q5TH69_ARFGEF3</t>
  </si>
  <si>
    <t>Q5THK1_PRR14L</t>
  </si>
  <si>
    <t>Q5TKA1_LIN9</t>
  </si>
  <si>
    <t>Q5TZA2_CROCC</t>
  </si>
  <si>
    <t>Q5U5Q3_MEX3C</t>
  </si>
  <si>
    <t>Q5U5X0_LYRM7</t>
  </si>
  <si>
    <t>Q5U649_C12orf60</t>
  </si>
  <si>
    <t>Q5UIP0_RIF1</t>
  </si>
  <si>
    <t>Q5VIR6-4_VPS53</t>
  </si>
  <si>
    <t>Q5VSL9_STRIP1</t>
  </si>
  <si>
    <t>Q5VSY0-2_GKAP1</t>
  </si>
  <si>
    <t>Q5VT06_CEP350</t>
  </si>
  <si>
    <t>Q5VT25-4_CDC42BPA</t>
  </si>
  <si>
    <t>Q5VT52_RPRD2</t>
  </si>
  <si>
    <t>Q5VT79_ANXA8L2</t>
  </si>
  <si>
    <t>Q5VTL8_PRPF38B</t>
  </si>
  <si>
    <t>Q5VTQ0-5_TTC39B</t>
  </si>
  <si>
    <t>Q5VTR2_RNF20</t>
  </si>
  <si>
    <t>Q5VTU3_DYNLT1</t>
  </si>
  <si>
    <t>Q5VTU8_ATP5EP2</t>
  </si>
  <si>
    <t>Q5VU58_TPM3</t>
  </si>
  <si>
    <t>Q5VUA4_ZNF318</t>
  </si>
  <si>
    <t>Q5VUE5_C1orf53</t>
  </si>
  <si>
    <t>Q5VV41_ARHGEF16</t>
  </si>
  <si>
    <t>Q5VV52-2_ZNF691</t>
  </si>
  <si>
    <t>Q5VVC8_RPL11</t>
  </si>
  <si>
    <t>Q5VVD7_PLEKHM2</t>
  </si>
  <si>
    <t>Q5VVQ6-2_YOD1</t>
  </si>
  <si>
    <t>Q5VW32_BROX</t>
  </si>
  <si>
    <t>Q5VW36_FOCAD</t>
  </si>
  <si>
    <t>Q5VWC4_PSMD4</t>
  </si>
  <si>
    <t>Q5VWG9_TAF3</t>
  </si>
  <si>
    <t>Q5VWJ9_SNX30</t>
  </si>
  <si>
    <t>Q5VWN6_FAM208B</t>
  </si>
  <si>
    <t>Q5VWQ0_RSBN1</t>
  </si>
  <si>
    <t>Q5VWQ8-2_DAB2IP</t>
  </si>
  <si>
    <t>Q5VWZ2_LYPLAL1</t>
  </si>
  <si>
    <t>Q5VX52_SPATA1</t>
  </si>
  <si>
    <t>Q5VXD3-3_SAMD13</t>
  </si>
  <si>
    <t>Q5VYK3_ECM29</t>
  </si>
  <si>
    <t>Q5VYV7_SLX4IP</t>
  </si>
  <si>
    <t>Q5VYX0-2_RNLS</t>
  </si>
  <si>
    <t>Q5VZE5_NAA35</t>
  </si>
  <si>
    <t>Q5VZK9_LRRC16A</t>
  </si>
  <si>
    <t>Q5VZL5-4_ZMYM4</t>
  </si>
  <si>
    <t>Q5W015_PFKFB3</t>
  </si>
  <si>
    <t>Q5W0B1_RNF219</t>
  </si>
  <si>
    <t>Q5W0V3_FAM160B1</t>
  </si>
  <si>
    <t>Q5W111-2_SPRYD7</t>
  </si>
  <si>
    <t>Q5XPI4_RNF123</t>
  </si>
  <si>
    <t>Q5XUX1-3_FBXW9</t>
  </si>
  <si>
    <t>Q63HM9_PLCXD3</t>
  </si>
  <si>
    <t>Q63HN8_RNF213</t>
  </si>
  <si>
    <t>Q63HN8-4_RNF213</t>
  </si>
  <si>
    <t>Q63ZY3-3_KANK2</t>
  </si>
  <si>
    <t>Q641Q2_FAM21A</t>
  </si>
  <si>
    <t>Q659A1_NARG2</t>
  </si>
  <si>
    <t>Q66GS9_CEP135</t>
  </si>
  <si>
    <t>Q66K14-2_TBC1D9B</t>
  </si>
  <si>
    <t>Q66K64_DCAF15</t>
  </si>
  <si>
    <t>Q66LE6_PPP2R2D</t>
  </si>
  <si>
    <t>Q66PJ3_ARL6IP4</t>
  </si>
  <si>
    <t>Q674X7-3_KAZN</t>
  </si>
  <si>
    <t>Q676U5-2_ATG16L1</t>
  </si>
  <si>
    <t>Q684P5-3_RAP1GAP2</t>
  </si>
  <si>
    <t>Q68CP9_ARID2</t>
  </si>
  <si>
    <t>Q68CQ4_DIEXF</t>
  </si>
  <si>
    <t>Q68CZ1-2_RPGRIP1L</t>
  </si>
  <si>
    <t>Q68CZ2_TNS3</t>
  </si>
  <si>
    <t>Q68CZ6_HAUS3</t>
  </si>
  <si>
    <t>Q68D06_SLFN13</t>
  </si>
  <si>
    <t>Q68D10-2_SPTY2D1</t>
  </si>
  <si>
    <t>Q68D20_PMS2CL</t>
  </si>
  <si>
    <t>Q68DA7-5_FMN1</t>
  </si>
  <si>
    <t>Q68DQ2_CRYBG3</t>
  </si>
  <si>
    <t>Q68E01-2_INTS3</t>
  </si>
  <si>
    <t>Q68EM7-6_ARHGAP17</t>
  </si>
  <si>
    <t>Q69YH5_CDCA2</t>
  </si>
  <si>
    <t>Q69YN2_CWF19L1</t>
  </si>
  <si>
    <t>Q69YN4_KIAA1429</t>
  </si>
  <si>
    <t>Q69YQ0-2_SPECC1L</t>
  </si>
  <si>
    <t>Q6AI08_HEATR6</t>
  </si>
  <si>
    <t>Q6AI12_ANKRD40</t>
  </si>
  <si>
    <t>Q6AWC2-4_WWC2</t>
  </si>
  <si>
    <t>Q6BCY4_CYB5R2</t>
  </si>
  <si>
    <t>Q6BDS2_UHRF1BP1</t>
  </si>
  <si>
    <t>Q6DCA0_AMMECR1L</t>
  </si>
  <si>
    <t>Q6DD87_ZNF787</t>
  </si>
  <si>
    <t>Q6DKJ4_NXN</t>
  </si>
  <si>
    <t>Q6DKK2_TTC19</t>
  </si>
  <si>
    <t>Q6EEV4-2_POLR2M</t>
  </si>
  <si>
    <t>Q6FI81_CIAPIN1</t>
  </si>
  <si>
    <t>Q6FIF0-2_ZFAND6</t>
  </si>
  <si>
    <t>Q6GMV2_SMYD5</t>
  </si>
  <si>
    <t>Q6GMV3_PTRHD1</t>
  </si>
  <si>
    <t>Q6GQQ9_OTUD7B</t>
  </si>
  <si>
    <t>Q6GYQ0_RALGAPA1</t>
  </si>
  <si>
    <t>Q6I9Y2_THOC7</t>
  </si>
  <si>
    <t>Q6IA69_NADSYN1</t>
  </si>
  <si>
    <t>Q6IA86-3_ELP2</t>
  </si>
  <si>
    <t>Q6IBS0_TWF2</t>
  </si>
  <si>
    <t>Q6IBW4_NCAPH2</t>
  </si>
  <si>
    <t>Q6IE81-2_PHF17</t>
  </si>
  <si>
    <t>Q6IN84_MRM1</t>
  </si>
  <si>
    <t>Q6IN85_SMEK1</t>
  </si>
  <si>
    <t>Q6IPR3_TYW3</t>
  </si>
  <si>
    <t>Q6IQ22_RAB12</t>
  </si>
  <si>
    <t>Q6IQ23-2_PLEKHA7</t>
  </si>
  <si>
    <t>Q6IQ32_ADNP2</t>
  </si>
  <si>
    <t>Q6IQ49-2_SDE2</t>
  </si>
  <si>
    <t>Q6IS24_WBSCR17</t>
  </si>
  <si>
    <t>Q6JHV3_USP3</t>
  </si>
  <si>
    <t>Q6KB66_KRT80</t>
  </si>
  <si>
    <t>Q6KC79-2_NIPBL</t>
  </si>
  <si>
    <t>Q6L8Q7-2_PDE12</t>
  </si>
  <si>
    <t>Q6MZP7_LIN54</t>
  </si>
  <si>
    <t>Q6N043-2_ZNF280D</t>
  </si>
  <si>
    <t>Q6N063_OGFOD2</t>
  </si>
  <si>
    <t>Q6N069_NAA16</t>
  </si>
  <si>
    <t>Q6NS38_ALKBH2</t>
  </si>
  <si>
    <t>Q6NSJ2_PHLDB3</t>
  </si>
  <si>
    <t>Q6NT89_TRNP1</t>
  </si>
  <si>
    <t>Q6NTE8_C5orf45</t>
  </si>
  <si>
    <t>Q6NUQ4-2_TMEM214</t>
  </si>
  <si>
    <t>Q6NVU6_UFSP1</t>
  </si>
  <si>
    <t>Q6NVY1_HIBCH</t>
  </si>
  <si>
    <t>Q6NXE6-2_ARMC6</t>
  </si>
  <si>
    <t>Q6NXT1_ANKRD54</t>
  </si>
  <si>
    <t>Q6NYC1_JMJD6</t>
  </si>
  <si>
    <t>Q6NYC8_PPP1R18</t>
  </si>
  <si>
    <t>Q6NZI2_PTRF</t>
  </si>
  <si>
    <t>Q6NZY4_ZCCHC8</t>
  </si>
  <si>
    <t>Q6P158_DHX57</t>
  </si>
  <si>
    <t>Q6P1J9_CDC73</t>
  </si>
  <si>
    <t>Q6P1K2_PMF1</t>
  </si>
  <si>
    <t>Q6P1L5_FAM117B</t>
  </si>
  <si>
    <t>Q6P1L8_MRPL14</t>
  </si>
  <si>
    <t>Q6P1M3-2_LLGL2</t>
  </si>
  <si>
    <t>Q6P1M9_ARMCX5</t>
  </si>
  <si>
    <t>Q6P1N0_CC2D1A</t>
  </si>
  <si>
    <t>Q6P1N9_TATDN1</t>
  </si>
  <si>
    <t>Q6P1Q9_METTL2B</t>
  </si>
  <si>
    <t>Q6P1R4_DUS1L</t>
  </si>
  <si>
    <t>Q6P1X5_TAF2</t>
  </si>
  <si>
    <t>Q6P1X6_C8orf82</t>
  </si>
  <si>
    <t>Q6P2E9_EDC4</t>
  </si>
  <si>
    <t>Q6P2H3-2_CEP85</t>
  </si>
  <si>
    <t>Q6P2P2_PRMT10</t>
  </si>
  <si>
    <t>Q6P2Q9_PRPF8</t>
  </si>
  <si>
    <t>Q6P3S6_FBXO42</t>
  </si>
  <si>
    <t>Q6P3W7_SCYL2</t>
  </si>
  <si>
    <t>Q6P3X3_TTC27</t>
  </si>
  <si>
    <t>Q6P4F2_FDX1L</t>
  </si>
  <si>
    <t>Q6P4G0_RECQL5</t>
  </si>
  <si>
    <t>Q6P4I2_WDR73</t>
  </si>
  <si>
    <t>Q6P4R8-3_NFRKB</t>
  </si>
  <si>
    <t>Q6P582_MZT2A</t>
  </si>
  <si>
    <t>Q6P587_FAHD1</t>
  </si>
  <si>
    <t>Q6P6B1_C8orf47</t>
  </si>
  <si>
    <t>Q6P6C2_ALKBH5</t>
  </si>
  <si>
    <t>Q6P9B6_KIAA1609</t>
  </si>
  <si>
    <t>Q6P9B9_INTS5</t>
  </si>
  <si>
    <t>Q6PCB5_RSBN1L</t>
  </si>
  <si>
    <t>Q6PCE3_PGM2L1</t>
  </si>
  <si>
    <t>Q6PCT2-2_FBXL19</t>
  </si>
  <si>
    <t>Q6PD62_CTR9</t>
  </si>
  <si>
    <t>Q6PD74_AAGAB</t>
  </si>
  <si>
    <t>Q6PGN9-2_PSRC1</t>
  </si>
  <si>
    <t>Q6PGP7_TTC37</t>
  </si>
  <si>
    <t>Q6PHR2-3_ULK3</t>
  </si>
  <si>
    <t>Q6PI48_DARS2</t>
  </si>
  <si>
    <t>Q6PID6_TTC33</t>
  </si>
  <si>
    <t>Q6PII3_CCDC174</t>
  </si>
  <si>
    <t>Q6PII5-2_HAGHL</t>
  </si>
  <si>
    <t>Q6PIJ6_FBXO38</t>
  </si>
  <si>
    <t>Q6PIR0_CENPC1</t>
  </si>
  <si>
    <t>Q6PIW4-2_FIGNL1</t>
  </si>
  <si>
    <t>Q6PJ69_TRIM65</t>
  </si>
  <si>
    <t>Q6PJF5-2_RHBDF2</t>
  </si>
  <si>
    <t>Q6PJG2_ELMSAN1</t>
  </si>
  <si>
    <t>Q6PJG6_BRAT1</t>
  </si>
  <si>
    <t>Q6PJI9-2_WDR59</t>
  </si>
  <si>
    <t>Q6PJT7-5_ZC3H14</t>
  </si>
  <si>
    <t>Q6PK04_CCDC137</t>
  </si>
  <si>
    <t>Q6PKG0_LARP1</t>
  </si>
  <si>
    <t>Q6PL24_TMED8</t>
  </si>
  <si>
    <t>Q6PUV4_CPLX2</t>
  </si>
  <si>
    <t>Q6Q0C0_TRAF7</t>
  </si>
  <si>
    <t>Q6QNY0_BLOC1S3</t>
  </si>
  <si>
    <t>Q6QNY1_BLOC1S2</t>
  </si>
  <si>
    <t>Q6R327_RICTOR</t>
  </si>
  <si>
    <t>Q6SJ93_FAM111B</t>
  </si>
  <si>
    <t>Q6SPF0_SAMD1</t>
  </si>
  <si>
    <t>Q6SZW1_SARM1</t>
  </si>
  <si>
    <t>Q6T4R5-4_NHS</t>
  </si>
  <si>
    <t>Q6UB35_MTHFD1L</t>
  </si>
  <si>
    <t>Q6UB99_ANKRD11</t>
  </si>
  <si>
    <t>Q6ULP2-5_AFTPH</t>
  </si>
  <si>
    <t>Q6UN15_FIP1L1</t>
  </si>
  <si>
    <t>Q6UUV7-3_CRTC3</t>
  </si>
  <si>
    <t>Q6UWE0_LRSAM1</t>
  </si>
  <si>
    <t>Q6UWP2_DHRS11</t>
  </si>
  <si>
    <t>Q6UX04_CWC27</t>
  </si>
  <si>
    <t>Q6UXH1-4_CRELD2</t>
  </si>
  <si>
    <t>Q6UXN9_WDR82</t>
  </si>
  <si>
    <t>Q6UXY1-2_BAIAP2L2</t>
  </si>
  <si>
    <t>Q6V1X1-4_DPP8</t>
  </si>
  <si>
    <t>Q6VMQ6-2_ATF7IP</t>
  </si>
  <si>
    <t>Q6VY07_PACS1</t>
  </si>
  <si>
    <t>Q6WCQ1-2_MPRIP</t>
  </si>
  <si>
    <t>Q6WKZ4_RAB11FIP1</t>
  </si>
  <si>
    <t>Q6XQN6_NAPRT1</t>
  </si>
  <si>
    <t>Q6XUX3-2_DSTYK</t>
  </si>
  <si>
    <t>Q6XZF7_DNMBP</t>
  </si>
  <si>
    <t>Q6Y288_B3GALTL</t>
  </si>
  <si>
    <t>Q6Y7W6_GIGYF2</t>
  </si>
  <si>
    <t>Q6YHK3_CD109</t>
  </si>
  <si>
    <t>Q6YHU6-3_THADA</t>
  </si>
  <si>
    <t>Q6YN16_HSDL2</t>
  </si>
  <si>
    <t>Q6YP21-3_CCBL2</t>
  </si>
  <si>
    <t>Q6ZMI0_PPP1R21</t>
  </si>
  <si>
    <t>Q6ZN17-2_LIN28B</t>
  </si>
  <si>
    <t>Q6ZN18-2_AEBP2</t>
  </si>
  <si>
    <t>Q6ZN40_TPM1</t>
  </si>
  <si>
    <t>Q6ZNA4-2_RNF111</t>
  </si>
  <si>
    <t>Q6ZNE5_ATG14</t>
  </si>
  <si>
    <t>Q6ZNJ1-3_NBEAL2</t>
  </si>
  <si>
    <t>Q6ZNW5_GDPGP1</t>
  </si>
  <si>
    <t>Q6ZQX7-4_C17orf97</t>
  </si>
  <si>
    <t>Q6ZRS2-3_SRCAP</t>
  </si>
  <si>
    <t>Q6ZS17-2_FAM65A</t>
  </si>
  <si>
    <t>Q6ZS30_NBEAL1</t>
  </si>
  <si>
    <t>Q6ZSJ8_C1orf122</t>
  </si>
  <si>
    <t>Q6ZSZ5-2_ARHGEF18</t>
  </si>
  <si>
    <t>Q6ZT12_UBR3</t>
  </si>
  <si>
    <t>Q6ZT62_SH3BP1</t>
  </si>
  <si>
    <t>Q6ZU65_UBN2</t>
  </si>
  <si>
    <t>Q6ZUM4-2_ARHGAP27</t>
  </si>
  <si>
    <t>Q6ZUS6-5_CCDC149</t>
  </si>
  <si>
    <t>Q6ZUT6-4_C15orf52</t>
  </si>
  <si>
    <t>Q6ZUT9_DENND5B</t>
  </si>
  <si>
    <t>Q6ZV73_FGD6</t>
  </si>
  <si>
    <t>Q6ZVF9_GPRIN3</t>
  </si>
  <si>
    <t>Q6ZVK8_NUDT18</t>
  </si>
  <si>
    <t>Q6ZVM7_TOM1L2</t>
  </si>
  <si>
    <t>Q6ZW49-4_PAXIP1</t>
  </si>
  <si>
    <t>Q6ZWJ1_STXBP4</t>
  </si>
  <si>
    <t>Q6ZYL4_GTF2H5</t>
  </si>
  <si>
    <t>Q709C8-3_VPS13C</t>
  </si>
  <si>
    <t>Q70CQ2_USP34</t>
  </si>
  <si>
    <t>Q70CQ4_USP31</t>
  </si>
  <si>
    <t>Q70E73_RAPH1</t>
  </si>
  <si>
    <t>Q70EK8_USP53</t>
  </si>
  <si>
    <t>Q70EL4-4_USP43</t>
  </si>
  <si>
    <t>Q70IA6_MOB2</t>
  </si>
  <si>
    <t>Q70J99_UNC13D</t>
  </si>
  <si>
    <t>Q70Z53-2_FRA10AC1</t>
  </si>
  <si>
    <t>Q712K3_UBE2R2</t>
  </si>
  <si>
    <t>Q71F56_MED13L</t>
  </si>
  <si>
    <t>Q71RC2-3_LARP4</t>
  </si>
  <si>
    <t>Q71U36-2_TUBA1A</t>
  </si>
  <si>
    <t>Q71UI9_H2AFV</t>
  </si>
  <si>
    <t>Q71UM5_RPS27L</t>
  </si>
  <si>
    <t>Q75N03_CBLL1</t>
  </si>
  <si>
    <t>Q765P7_MTSS1L</t>
  </si>
  <si>
    <t>Q76FK4-4_NOL8</t>
  </si>
  <si>
    <t>Q76I76_SSH2</t>
  </si>
  <si>
    <t>Q76N32-2_CEP68</t>
  </si>
  <si>
    <t>Q7KZ85_SUPT6H</t>
  </si>
  <si>
    <t>Q7KZ85-2_SUPT6H</t>
  </si>
  <si>
    <t>Q7KZF4_SND1</t>
  </si>
  <si>
    <t>Q7KZI7-14_MARK2</t>
  </si>
  <si>
    <t>Q7L014_DDX46</t>
  </si>
  <si>
    <t>Q7L099-2_RUFY3</t>
  </si>
  <si>
    <t>Q7L0Y3_TRMT10C</t>
  </si>
  <si>
    <t>Q7L1Q6_BZW1</t>
  </si>
  <si>
    <t>Q7L1T6_CYB5R4</t>
  </si>
  <si>
    <t>Q7L266_ASRGL1</t>
  </si>
  <si>
    <t>Q7L273_KCTD9</t>
  </si>
  <si>
    <t>Q7L2H7_EIF3M</t>
  </si>
  <si>
    <t>Q7L2J0_MEPCE</t>
  </si>
  <si>
    <t>Q7L2Z9_CENPQ</t>
  </si>
  <si>
    <t>Q7L3S4_ZNF771</t>
  </si>
  <si>
    <t>Q7L4I2_RSRC2</t>
  </si>
  <si>
    <t>Q7L523_RRAGA</t>
  </si>
  <si>
    <t>Q7L576_CYFIP1</t>
  </si>
  <si>
    <t>Q7L590-2_MCM10</t>
  </si>
  <si>
    <t>Q7L592_NDUFAF7</t>
  </si>
  <si>
    <t>Q7L5D6_GET4</t>
  </si>
  <si>
    <t>Q7L5Y1_ENOSF1</t>
  </si>
  <si>
    <t>Q7L5Y9_MAEA</t>
  </si>
  <si>
    <t>Q7L775_EPM2AIP1</t>
  </si>
  <si>
    <t>Q7L7V1_DHX32</t>
  </si>
  <si>
    <t>Q7L7X3_TAOK1</t>
  </si>
  <si>
    <t>Q7L8J4_SH3BP5L</t>
  </si>
  <si>
    <t>Q7L8L6_FASTKD5</t>
  </si>
  <si>
    <t>Q7L8W6_ATPBD4</t>
  </si>
  <si>
    <t>Q7LBC6_KDM3B</t>
  </si>
  <si>
    <t>Q7LBR1_CHMP1B</t>
  </si>
  <si>
    <t>Q7LG56_RRM2B</t>
  </si>
  <si>
    <t>Q7RTP6_MICAL3</t>
  </si>
  <si>
    <t>Q7RTS9_DYM</t>
  </si>
  <si>
    <t>Q7RTV0_PHF5A</t>
  </si>
  <si>
    <t>Q7Z2E3-3_APTX</t>
  </si>
  <si>
    <t>Q7Z2K8_GPRIN1</t>
  </si>
  <si>
    <t>Q7Z2W4_ZC3HAV1</t>
  </si>
  <si>
    <t>Q7Z2W4-3_ZC3HAV1</t>
  </si>
  <si>
    <t>Q7Z2Z2_EFTUD1</t>
  </si>
  <si>
    <t>Q7Z309_FAM122B</t>
  </si>
  <si>
    <t>Q7Z333-3_SETX</t>
  </si>
  <si>
    <t>Q7Z350_DKFZp686L0695</t>
  </si>
  <si>
    <t>Q7Z392_TRAPPC11</t>
  </si>
  <si>
    <t>Q7Z3B3_KANSL1</t>
  </si>
  <si>
    <t>Q7Z3E2_C10orf118</t>
  </si>
  <si>
    <t>Q7Z3E5_ARMC9</t>
  </si>
  <si>
    <t>Q7Z3G6_PRICKLE2</t>
  </si>
  <si>
    <t>Q7Z3J2_C16orf62</t>
  </si>
  <si>
    <t>Q7Z3K6-4_MIER3</t>
  </si>
  <si>
    <t>Q7Z3T8_ZFYVE16</t>
  </si>
  <si>
    <t>Q7Z3V4_UBE3B</t>
  </si>
  <si>
    <t>Q7Z406-6_MYH14</t>
  </si>
  <si>
    <t>Q7Z417_NUFIP2</t>
  </si>
  <si>
    <t>Q7Z422-2_SZRD1</t>
  </si>
  <si>
    <t>Q7Z434_MAVS</t>
  </si>
  <si>
    <t>Q7Z460_CLASP1</t>
  </si>
  <si>
    <t>Q7Z478_DHX29</t>
  </si>
  <si>
    <t>Q7Z4G1_COMMD6</t>
  </si>
  <si>
    <t>Q7Z4G4-2_TRMT11</t>
  </si>
  <si>
    <t>Q7Z4H3_HDDC2</t>
  </si>
  <si>
    <t>Q7Z4H7_HAUS6</t>
  </si>
  <si>
    <t>Q7Z4H8_KDELC2</t>
  </si>
  <si>
    <t>Q7Z4L5_TTC21B</t>
  </si>
  <si>
    <t>Q7Z4Q2_HEATR3</t>
  </si>
  <si>
    <t>Q7Z4S6-5_KIF21A</t>
  </si>
  <si>
    <t>Q7Z4V5_HDGFRP2</t>
  </si>
  <si>
    <t>Q7Z4W1_DCXR</t>
  </si>
  <si>
    <t>Q7Z589_EMSY</t>
  </si>
  <si>
    <t>Q7Z5K2_WAPAL</t>
  </si>
  <si>
    <t>Q7Z5L2-2_R3HCC1L</t>
  </si>
  <si>
    <t>Q7Z5L9_IRF2BP2</t>
  </si>
  <si>
    <t>Q7Z5Q1-5_CPEB2</t>
  </si>
  <si>
    <t>Q7Z5R6_APBB1IP</t>
  </si>
  <si>
    <t>Q7Z5W3_BCDIN3D</t>
  </si>
  <si>
    <t>Q7Z624_CAMKMT</t>
  </si>
  <si>
    <t>Q7Z699_SPRED1</t>
  </si>
  <si>
    <t>Q7Z6B0-2_CCDC91</t>
  </si>
  <si>
    <t>Q7Z6B7_SRGAP1</t>
  </si>
  <si>
    <t>Q7Z6E9-2_RBBP6</t>
  </si>
  <si>
    <t>Q7Z6I8_C5orf24</t>
  </si>
  <si>
    <t>Q7Z6J0_SH3RF1</t>
  </si>
  <si>
    <t>Q7Z6J9_TSEN54</t>
  </si>
  <si>
    <t>Q7Z6K3_PTAR1</t>
  </si>
  <si>
    <t>Q7Z6L1_TECPR1</t>
  </si>
  <si>
    <t>Q7Z6M1_RABEPK</t>
  </si>
  <si>
    <t>Q7Z6V5_ADAT2</t>
  </si>
  <si>
    <t>Q7Z6Z7-2_HUWE1</t>
  </si>
  <si>
    <t>Q7Z7A3_CTU1</t>
  </si>
  <si>
    <t>Q7Z7A4-5_PXK</t>
  </si>
  <si>
    <t>Q7Z7B0_FILIP1</t>
  </si>
  <si>
    <t>Q7Z7C8_TAF8</t>
  </si>
  <si>
    <t>Q7Z7E8_UBE2Q1</t>
  </si>
  <si>
    <t>Q7Z7F0_KIAA0907</t>
  </si>
  <si>
    <t>Q7Z7G8-2_VPS13B</t>
  </si>
  <si>
    <t>Q7Z7H8_MRPL10</t>
  </si>
  <si>
    <t>Q7Z7J9_CAMK2N1</t>
  </si>
  <si>
    <t>Q7Z7K0_CMC1</t>
  </si>
  <si>
    <t>Q7Z7K6-3_CENPV</t>
  </si>
  <si>
    <t>Q7Z7L1_SLFN11</t>
  </si>
  <si>
    <t>Q7Z7L7_ZER1</t>
  </si>
  <si>
    <t>Q7Z7L9_ZSCAN2</t>
  </si>
  <si>
    <t>Q86SJ2_AMIGO2</t>
  </si>
  <si>
    <t>Q86SQ0_PHLDB2</t>
  </si>
  <si>
    <t>Q86SQ4_GPR126</t>
  </si>
  <si>
    <t>Q86SQ7_SDCCAG8</t>
  </si>
  <si>
    <t>Q86SX6_GLRX5</t>
  </si>
  <si>
    <t>Q86SZ2_TRAPPC6B</t>
  </si>
  <si>
    <t>Q86T24_ZBTB33</t>
  </si>
  <si>
    <t>Q86TA1_MOB3B</t>
  </si>
  <si>
    <t>Q86TB3_ALPK2</t>
  </si>
  <si>
    <t>Q86TB9_PATL1</t>
  </si>
  <si>
    <t>Q86TB9-4_PATL1</t>
  </si>
  <si>
    <t>Q86TG7-2_PEG10</t>
  </si>
  <si>
    <t>Q86TI0-2_TBC1D1</t>
  </si>
  <si>
    <t>Q86TI2-2_DPP9</t>
  </si>
  <si>
    <t>Q86TP1_PRUNE</t>
  </si>
  <si>
    <t>Q86TU7_SETD3</t>
  </si>
  <si>
    <t>Q86TV2_LGMN</t>
  </si>
  <si>
    <t>Q86TX2_ACOT1</t>
  </si>
  <si>
    <t>Q86TZ8_TINF2</t>
  </si>
  <si>
    <t>Q86U28_ISCA2</t>
  </si>
  <si>
    <t>Q86U44_METTL3</t>
  </si>
  <si>
    <t>Q86U70-3_LDB1</t>
  </si>
  <si>
    <t>Q86U90_YRDC</t>
  </si>
  <si>
    <t>Q86UA1_PRPF39</t>
  </si>
  <si>
    <t>Q86UA6-3_RPAIN</t>
  </si>
  <si>
    <t>Q86UD0_SAPCD2</t>
  </si>
  <si>
    <t>Q86UE8-2_TLK2</t>
  </si>
  <si>
    <t>Q86UE8-3_TLK2</t>
  </si>
  <si>
    <t>Q86UK7-3_ZNF598</t>
  </si>
  <si>
    <t>Q86UP2_KTN1</t>
  </si>
  <si>
    <t>Q86US8_SMG6</t>
  </si>
  <si>
    <t>Q86UU0-4_BCL9L</t>
  </si>
  <si>
    <t>Q86UU1-2_PHLDB1</t>
  </si>
  <si>
    <t>Q86UV5_USP48</t>
  </si>
  <si>
    <t>Q86UX6_STK32C</t>
  </si>
  <si>
    <t>Q86UY0_TXNDC5</t>
  </si>
  <si>
    <t>Q86UY6_NAA40</t>
  </si>
  <si>
    <t>Q86UY8-2_NT5DC3</t>
  </si>
  <si>
    <t>Q86V21_AACS</t>
  </si>
  <si>
    <t>Q86V48_LUZP1</t>
  </si>
  <si>
    <t>Q86V59_PNMAL1</t>
  </si>
  <si>
    <t>Q86V87_FAM160B2</t>
  </si>
  <si>
    <t>Q86VG3_C11orf74</t>
  </si>
  <si>
    <t>Q86VI3_IQGAP3</t>
  </si>
  <si>
    <t>Q86VM9_ZC3H18</t>
  </si>
  <si>
    <t>Q86VN1_VPS36</t>
  </si>
  <si>
    <t>Q86VP1-2_TAX1BP1</t>
  </si>
  <si>
    <t>Q86VP6_CAND1</t>
  </si>
  <si>
    <t>Q86VQ6_TXNRD3</t>
  </si>
  <si>
    <t>Q86VR2_FAM134C</t>
  </si>
  <si>
    <t>Q86VS8_HOOK3</t>
  </si>
  <si>
    <t>Q86VU3_MAP4K2</t>
  </si>
  <si>
    <t>Q86VW0_SESTD1</t>
  </si>
  <si>
    <t>Q86VX2-2_COMMD7</t>
  </si>
  <si>
    <t>Q86VY4_TSPYL5</t>
  </si>
  <si>
    <t>Q86W34_AMZ2</t>
  </si>
  <si>
    <t>Q86W42_THOC6</t>
  </si>
  <si>
    <t>Q86W50_METTL16</t>
  </si>
  <si>
    <t>Q86W56_PARG</t>
  </si>
  <si>
    <t>Q86W92-2_PPFIBP1</t>
  </si>
  <si>
    <t>Q86W92-4_PPFIBP1</t>
  </si>
  <si>
    <t>Q86WA6-2_BPHL</t>
  </si>
  <si>
    <t>Q86WJ1-2_CHD1L</t>
  </si>
  <si>
    <t>Q86WN1-3_FCHSD1</t>
  </si>
  <si>
    <t>Q86WP2_GPBP1</t>
  </si>
  <si>
    <t>Q86WQ0_NR2C2AP</t>
  </si>
  <si>
    <t>Q86WR0_CCDC25</t>
  </si>
  <si>
    <t>Q86WR7_PROSER2</t>
  </si>
  <si>
    <t>Q86WT1_TTC30A</t>
  </si>
  <si>
    <t>Q86WU2-2_LDHD</t>
  </si>
  <si>
    <t>Q86WX3_RPS19BP1</t>
  </si>
  <si>
    <t>Q86X02_CDR2L</t>
  </si>
  <si>
    <t>Q86X10_RALGAPB</t>
  </si>
  <si>
    <t>Q86X27_RALGPS2</t>
  </si>
  <si>
    <t>Q86X40-3_LRRC28</t>
  </si>
  <si>
    <t>Q86X53_ERICH1</t>
  </si>
  <si>
    <t>Q86X55-1_CARM1</t>
  </si>
  <si>
    <t>Q86X76-2_NIT1</t>
  </si>
  <si>
    <t>Q86X83_COMMD2</t>
  </si>
  <si>
    <t>Q86X95-2_CIR1</t>
  </si>
  <si>
    <t>Q86XA9_HEATR5A</t>
  </si>
  <si>
    <t>Q86XI2_NCAPG2</t>
  </si>
  <si>
    <t>Q86XN8_MEX3D</t>
  </si>
  <si>
    <t>Q86XP3_DDX42</t>
  </si>
  <si>
    <t>Q86XZ4_SPATS2</t>
  </si>
  <si>
    <t>Q86Y07-4_VRK2</t>
  </si>
  <si>
    <t>Q86Y37_CACUL1</t>
  </si>
  <si>
    <t>Q86Y56_HEATR2</t>
  </si>
  <si>
    <t>Q86Y79_PTRH1</t>
  </si>
  <si>
    <t>Q86Y82_STX12</t>
  </si>
  <si>
    <t>Q86YC2_PALB2</t>
  </si>
  <si>
    <t>Q86YH6_PDSS2</t>
  </si>
  <si>
    <t>Q86YL5_TDRP</t>
  </si>
  <si>
    <t>Q86YM7_HOMER1</t>
  </si>
  <si>
    <t>Q86YP4-2_GATAD2A</t>
  </si>
  <si>
    <t>Q86YR5-4_GPSM1</t>
  </si>
  <si>
    <t>Q86YS7_C2CD5</t>
  </si>
  <si>
    <t>Q86YV5_SGK223</t>
  </si>
  <si>
    <t>Q86YV9_HPS6</t>
  </si>
  <si>
    <t>Q86YZ3_HRNR</t>
  </si>
  <si>
    <t>Q8IU81_IRF2BP1</t>
  </si>
  <si>
    <t>Q8IU85-2_CAMK1D</t>
  </si>
  <si>
    <t>Q8IUC4_RHPN2</t>
  </si>
  <si>
    <t>Q8IUD2_ERC1</t>
  </si>
  <si>
    <t>Q8IUD6_RNF135</t>
  </si>
  <si>
    <t>Q8IUF8-4_MINA</t>
  </si>
  <si>
    <t>Q8IUI8_CRLF3</t>
  </si>
  <si>
    <t>Q8IUQ4_SIAH1</t>
  </si>
  <si>
    <t>Q8IUR0_TRAPPC5</t>
  </si>
  <si>
    <t>Q8IUR7-7_ARMC8</t>
  </si>
  <si>
    <t>Q8IUW1_ANKRD10</t>
  </si>
  <si>
    <t>Q8IUW3_SPATA2L</t>
  </si>
  <si>
    <t>Q8IV08_PLD3</t>
  </si>
  <si>
    <t>Q8IV20_LACC1</t>
  </si>
  <si>
    <t>Q8IV36-3_HID1</t>
  </si>
  <si>
    <t>Q8IV38_ANKMY2</t>
  </si>
  <si>
    <t>Q8IV48_ERI1</t>
  </si>
  <si>
    <t>Q8IV50_LYSMD2</t>
  </si>
  <si>
    <t>Q8IV56_PRR15</t>
  </si>
  <si>
    <t>Q8IV63-3_VRK3</t>
  </si>
  <si>
    <t>Q8IVB5_LIX1L</t>
  </si>
  <si>
    <t>Q8IVD9_NUDCD3</t>
  </si>
  <si>
    <t>Q8IVE3-3_PLEKHH2</t>
  </si>
  <si>
    <t>Q8IVF2-3_AHNAK2</t>
  </si>
  <si>
    <t>Q8IVF6_ANKRD18A</t>
  </si>
  <si>
    <t>Q8IVH8-3_MAP4K3</t>
  </si>
  <si>
    <t>Q8IVL1-4_NAV2</t>
  </si>
  <si>
    <t>Q8IVL5_LEPREL1</t>
  </si>
  <si>
    <t>Q8IVM0_CCDC50</t>
  </si>
  <si>
    <t>Q8IVS2_MCAT</t>
  </si>
  <si>
    <t>Q8IVT2_C19orf21</t>
  </si>
  <si>
    <t>Q8IVV2_LOXHD1</t>
  </si>
  <si>
    <t>Q8IW19_APLF</t>
  </si>
  <si>
    <t>Q8IW41-2_MAPKAPK5</t>
  </si>
  <si>
    <t>Q8IW45_CARKD</t>
  </si>
  <si>
    <t>Q8IW50-7_FAM219A</t>
  </si>
  <si>
    <t>Q8IWB7_WDFY1</t>
  </si>
  <si>
    <t>Q8IWB9_TEX2</t>
  </si>
  <si>
    <t>Q8IWC1-2_MAP7D3</t>
  </si>
  <si>
    <t>Q8IWD4_CCDC117</t>
  </si>
  <si>
    <t>Q8IWE2_FAM114A1</t>
  </si>
  <si>
    <t>Q8IWI9_MGA</t>
  </si>
  <si>
    <t>Q8IWJ2_GCC2</t>
  </si>
  <si>
    <t>Q8IWL3_HSCB</t>
  </si>
  <si>
    <t>Q8IWQ3-3_BRSK2</t>
  </si>
  <si>
    <t>Q8IWT0_ZBTB8OS</t>
  </si>
  <si>
    <t>Q8IWU2_LMTK2</t>
  </si>
  <si>
    <t>Q8IWV7_UBR1</t>
  </si>
  <si>
    <t>Q8IWV8-4_UBR2</t>
  </si>
  <si>
    <t>Q8IWW6-2_ARHGAP12</t>
  </si>
  <si>
    <t>Q8IWX8_CHERP</t>
  </si>
  <si>
    <t>Q8IWY9-1_CDAN1</t>
  </si>
  <si>
    <t>Q8IWZ3-6_ANKHD1</t>
  </si>
  <si>
    <t>Q8IWZ8_SUGP1</t>
  </si>
  <si>
    <t>Q8IX01-4_SUGP2</t>
  </si>
  <si>
    <t>Q8IX03-2_WWC1</t>
  </si>
  <si>
    <t>Q8IX04-6_UEVLD</t>
  </si>
  <si>
    <t>Q8IX07_ZFPM1</t>
  </si>
  <si>
    <t>Q8IX12-2_CCAR1</t>
  </si>
  <si>
    <t>Q8IX15_HOMEZ</t>
  </si>
  <si>
    <t>Q8IX18-3_DHX40</t>
  </si>
  <si>
    <t>Q8IX90_SKA3</t>
  </si>
  <si>
    <t>Q8IXB1_DNAJC10</t>
  </si>
  <si>
    <t>Q8IXH7-4_NELFCD</t>
  </si>
  <si>
    <t>Q8IXJ6-2_SIRT2</t>
  </si>
  <si>
    <t>Q8IXK0-2_PHC2</t>
  </si>
  <si>
    <t>Q8IXN7_RIMKLA</t>
  </si>
  <si>
    <t>Q8IXQ3_C9orf40</t>
  </si>
  <si>
    <t>Q8IXQ4_KIAA1704</t>
  </si>
  <si>
    <t>Q8IXW5-2_RPAP2</t>
  </si>
  <si>
    <t>Q8IY22_CMIP</t>
  </si>
  <si>
    <t>Q8IY31_IFT20</t>
  </si>
  <si>
    <t>Q8IY37_DHX37</t>
  </si>
  <si>
    <t>Q8IY47_KBTBD2</t>
  </si>
  <si>
    <t>Q8IY63-2_AMOTL1</t>
  </si>
  <si>
    <t>Q8IY81_FTSJ3</t>
  </si>
  <si>
    <t>Q8IY85_EFCAB13</t>
  </si>
  <si>
    <t>Q8IY92_SLX4</t>
  </si>
  <si>
    <t>Q8IYA6_CKAP2L</t>
  </si>
  <si>
    <t>Q8IYB1_MB21D2</t>
  </si>
  <si>
    <t>Q8IYB5-3_SMAP1</t>
  </si>
  <si>
    <t>Q8IYB7_DIS3L2</t>
  </si>
  <si>
    <t>Q8IYB8_SUPV3L1</t>
  </si>
  <si>
    <t>Q8IYD1_GSPT2</t>
  </si>
  <si>
    <t>Q8IYH5-4_ZZZ3</t>
  </si>
  <si>
    <t>Q8IYI6_EXOC8</t>
  </si>
  <si>
    <t>Q8IYL3_C1orf174</t>
  </si>
  <si>
    <t>Q8IYN2_TCEAL8</t>
  </si>
  <si>
    <t>Q8IYN9_PTK2</t>
  </si>
  <si>
    <t>Q8IYQ7_THNSL1</t>
  </si>
  <si>
    <t>Q8IYR2_SMYD4</t>
  </si>
  <si>
    <t>Q8IYS1_PM20D2</t>
  </si>
  <si>
    <t>Q8IYT2_FTSJD1</t>
  </si>
  <si>
    <t>Q8IYU8_MICU2</t>
  </si>
  <si>
    <t>Q8IYW5_RNF168</t>
  </si>
  <si>
    <t>Q8IZ07_ANKRD13A</t>
  </si>
  <si>
    <t>Q8IZ21-3_PHACTR4</t>
  </si>
  <si>
    <t>Q8IZ41_RASEF</t>
  </si>
  <si>
    <t>Q8IZ69_TRMT2A</t>
  </si>
  <si>
    <t>Q8IZ73_RPUSD2</t>
  </si>
  <si>
    <t>Q8IZ83_ALDH16A1</t>
  </si>
  <si>
    <t>Q8IZD2-6_MLL5</t>
  </si>
  <si>
    <t>Q8IZD4_DCP1B</t>
  </si>
  <si>
    <t>Q8IZH2-2_XRN1</t>
  </si>
  <si>
    <t>Q8IZP0-10_ABI1</t>
  </si>
  <si>
    <t>Q8IZQ1-2_WDFY3</t>
  </si>
  <si>
    <t>Q8IZT6-2_ASPM</t>
  </si>
  <si>
    <t>Q8IZW8_TNS4</t>
  </si>
  <si>
    <t>Q8N0T1_C8orf59</t>
  </si>
  <si>
    <t>Q8N0U4-3_FAM185A</t>
  </si>
  <si>
    <t>Q8N0W3_FUK</t>
  </si>
  <si>
    <t>Q8N0X7_SPG20</t>
  </si>
  <si>
    <t>Q8N0Z3_SPICE1</t>
  </si>
  <si>
    <t>Q8N0Z6_TTC5</t>
  </si>
  <si>
    <t>Q8N108-17_MIER1</t>
  </si>
  <si>
    <t>Q8N122_RPTOR</t>
  </si>
  <si>
    <t>Q8N129_CNPY4</t>
  </si>
  <si>
    <t>Q8N130_SLC34A3</t>
  </si>
  <si>
    <t>Q8N142_ADSSL1</t>
  </si>
  <si>
    <t>Q8N163_KIAA1967</t>
  </si>
  <si>
    <t>Q8N1B4_VPS52</t>
  </si>
  <si>
    <t>Q8N1F7_NUP93</t>
  </si>
  <si>
    <t>Q8N1G0_ZNF687</t>
  </si>
  <si>
    <t>Q8N1G1_REXO1</t>
  </si>
  <si>
    <t>Q8N1G2_FTSJD2</t>
  </si>
  <si>
    <t>Q8N1G4_LRRC47</t>
  </si>
  <si>
    <t>Q8N1I0_DOCK4</t>
  </si>
  <si>
    <t>Q8N1W1-4_ARHGEF28</t>
  </si>
  <si>
    <t>Q8N201_INTS1</t>
  </si>
  <si>
    <t>Q8N2F6-4_ARMC10</t>
  </si>
  <si>
    <t>Q8N2W9_PIAS4</t>
  </si>
  <si>
    <t>Q8N2Y8_RUSC2</t>
  </si>
  <si>
    <t>Q8N2Z9_APITD1</t>
  </si>
  <si>
    <t>Q8N300_CCDC23</t>
  </si>
  <si>
    <t>Q8N302_AGGF1</t>
  </si>
  <si>
    <t>Q8N335_GPD1L</t>
  </si>
  <si>
    <t>Q8N371_KDM8</t>
  </si>
  <si>
    <t>Q8N392_ARHGAP18</t>
  </si>
  <si>
    <t>Q8N3C0_ASCC3</t>
  </si>
  <si>
    <t>Q8N3C7_CLIP4</t>
  </si>
  <si>
    <t>Q8N3D4_EHBP1L1</t>
  </si>
  <si>
    <t>Q8N3F8_MICALL1</t>
  </si>
  <si>
    <t>Q8N3P4-3_VPS8</t>
  </si>
  <si>
    <t>Q8N3R9_MPP5</t>
  </si>
  <si>
    <t>Q8N3V7-2_SYNPO</t>
  </si>
  <si>
    <t>Q8N3X1_FNBP4</t>
  </si>
  <si>
    <t>Q8N3Y1_FBXW8</t>
  </si>
  <si>
    <t>Q8N465_D2HGDH</t>
  </si>
  <si>
    <t>Q8N488_RYBP</t>
  </si>
  <si>
    <t>Q8N4C8_MINK1</t>
  </si>
  <si>
    <t>Q8N4J0_C9orf41</t>
  </si>
  <si>
    <t>Q8N4N3_KLHL36</t>
  </si>
  <si>
    <t>Q8N4P3_HDDC3</t>
  </si>
  <si>
    <t>Q8N4Q0_ZADH2</t>
  </si>
  <si>
    <t>Q8N4Q1_CHCHD4</t>
  </si>
  <si>
    <t>Q8N4T8_CBR4</t>
  </si>
  <si>
    <t>Q8N4X5_AFAP1L2</t>
  </si>
  <si>
    <t>Q8N543_OGFOD1</t>
  </si>
  <si>
    <t>Q8N556_AFAP1</t>
  </si>
  <si>
    <t>Q8N573-2_OXR1</t>
  </si>
  <si>
    <t>Q8N584-2_TTC39C</t>
  </si>
  <si>
    <t>Q8N5A5-3_ZGPAT</t>
  </si>
  <si>
    <t>Q8N5C8-2_TAB3</t>
  </si>
  <si>
    <t>Q8N5F7_NKAP</t>
  </si>
  <si>
    <t>Q8N5G2_TMEM57</t>
  </si>
  <si>
    <t>Q8N5I9_C12orf45</t>
  </si>
  <si>
    <t>Q8N5M1_ATPAF2</t>
  </si>
  <si>
    <t>Q8N5N7_MRPL50</t>
  </si>
  <si>
    <t>Q8N5P1_ZC3H8</t>
  </si>
  <si>
    <t>Q8N5S9_CAMKK1</t>
  </si>
  <si>
    <t>Q8N5W9_FAM101B</t>
  </si>
  <si>
    <t>Q8N5X7_EIF4E3</t>
  </si>
  <si>
    <t>Q8N612_FAM160A2</t>
  </si>
  <si>
    <t>Q8N653_LZTR1</t>
  </si>
  <si>
    <t>Q8N655_C10orf12</t>
  </si>
  <si>
    <t>Q8N668_COMMD1</t>
  </si>
  <si>
    <t>Q8N684_CPSF7</t>
  </si>
  <si>
    <t>Q8N6H7_ARFGAP2</t>
  </si>
  <si>
    <t>Q8N6I1_EID2</t>
  </si>
  <si>
    <t>Q8N6M0_OTUD6B</t>
  </si>
  <si>
    <t>Q8N6N3-2_C1orf52</t>
  </si>
  <si>
    <t>Q8N6N7_ACBD7</t>
  </si>
  <si>
    <t>Q8N749_TOM1L1</t>
  </si>
  <si>
    <t>Q8N7C3_TRIML2</t>
  </si>
  <si>
    <t>Q8N806_UBR7</t>
  </si>
  <si>
    <t>Q8N819-2_PPM1N</t>
  </si>
  <si>
    <t>Q8N8A2_ANKRD44</t>
  </si>
  <si>
    <t>Q8N8A6_DDX51</t>
  </si>
  <si>
    <t>Q8N8N7_PTGR2</t>
  </si>
  <si>
    <t>Q8N8R5_C2orf69</t>
  </si>
  <si>
    <t>Q8N8R7_ARL14EP</t>
  </si>
  <si>
    <t>Q8N8S7_ENAH</t>
  </si>
  <si>
    <t>Q8N8S7-2_ENAH</t>
  </si>
  <si>
    <t>Q8N8V4_ANKS4B</t>
  </si>
  <si>
    <t>Q8N954_GPATCH11</t>
  </si>
  <si>
    <t>Q8N961-2_ABTB2</t>
  </si>
  <si>
    <t>Q8N999_C12orf29</t>
  </si>
  <si>
    <t>Q8N9B5-2_JMY</t>
  </si>
  <si>
    <t>Q8N9M5_TMEM102</t>
  </si>
  <si>
    <t>Q8N9N2-2_ASCC1</t>
  </si>
  <si>
    <t>Q8N9N8_EIF1AD</t>
  </si>
  <si>
    <t>Q8N9R8_SCAI</t>
  </si>
  <si>
    <t>Q8N9V3_WDSUB1</t>
  </si>
  <si>
    <t>Q8NAF0_ZNF579</t>
  </si>
  <si>
    <t>Q8NB15-2_ZNF511</t>
  </si>
  <si>
    <t>Q8NB16_MLKL</t>
  </si>
  <si>
    <t>Q8NB37_PDDC1</t>
  </si>
  <si>
    <t>Q8NB46_ANKRD52</t>
  </si>
  <si>
    <t>Q8NB78_KDM1B</t>
  </si>
  <si>
    <t>Q8NBA8_DTWD2</t>
  </si>
  <si>
    <t>Q8NBF2_NHLRC2</t>
  </si>
  <si>
    <t>Q8NBF6_AVL9</t>
  </si>
  <si>
    <t>Q8NBJ4-2_GOLM1</t>
  </si>
  <si>
    <t>Q8NBJ5_COLGALT1</t>
  </si>
  <si>
    <t>Q8NBJ7_SUMF2</t>
  </si>
  <si>
    <t>Q8NBK3-4_SUMF1</t>
  </si>
  <si>
    <t>Q8NBL1_POGLUT1</t>
  </si>
  <si>
    <t>Q8NC26-2_ZNF114</t>
  </si>
  <si>
    <t>Q8NC51-2_SERBP1</t>
  </si>
  <si>
    <t>Q8NC56_LEMD2</t>
  </si>
  <si>
    <t>Q8NC96_NECAP1</t>
  </si>
  <si>
    <t>Q8NCA5-2_FAM98A</t>
  </si>
  <si>
    <t>Q8NCC3_PLA2G15</t>
  </si>
  <si>
    <t>Q8NCD3-3_HJURP</t>
  </si>
  <si>
    <t>Q8NCE0-4_TSEN2</t>
  </si>
  <si>
    <t>Q8NCE2-2_MTMR14</t>
  </si>
  <si>
    <t>Q8NCF5_NFATC2IP</t>
  </si>
  <si>
    <t>Q8NCM8_DYNC2H1</t>
  </si>
  <si>
    <t>Q8NCN4_RNF169</t>
  </si>
  <si>
    <t>Q8NCN5_PDPR</t>
  </si>
  <si>
    <t>Q8NCW5_APOA1BP</t>
  </si>
  <si>
    <t>Q8ND04_SMG8</t>
  </si>
  <si>
    <t>Q8ND24_RNF214</t>
  </si>
  <si>
    <t>Q8ND30_PPFIBP2</t>
  </si>
  <si>
    <t>Q8ND56-2_LSM14A</t>
  </si>
  <si>
    <t>Q8ND76-3_CCNY</t>
  </si>
  <si>
    <t>Q8NDC0_MAPK1IP1L</t>
  </si>
  <si>
    <t>Q8NDF8_PAPD5</t>
  </si>
  <si>
    <t>Q8NDH3_NPEPL1</t>
  </si>
  <si>
    <t>Q8NDI1-3_EHBP1</t>
  </si>
  <si>
    <t>Q8NDV7-6_TNRC6A</t>
  </si>
  <si>
    <t>Q8NDX5-2_PHC3</t>
  </si>
  <si>
    <t>Q8NE71_ABCF1</t>
  </si>
  <si>
    <t>Q8NEB9_PIK3C3</t>
  </si>
  <si>
    <t>Q8NEC7_GSTCD</t>
  </si>
  <si>
    <t>Q8NEF9_SRFBP1</t>
  </si>
  <si>
    <t>Q8NEL9-2_DDHD1</t>
  </si>
  <si>
    <t>Q8NEM0_MCPH1</t>
  </si>
  <si>
    <t>Q8NEM2_SHCBP1</t>
  </si>
  <si>
    <t>Q8NEN9_PDZD8</t>
  </si>
  <si>
    <t>Q8NEU8_APPL2</t>
  </si>
  <si>
    <t>Q8NEY1-2_NAV1</t>
  </si>
  <si>
    <t>Q8NEZ2_VPS37A</t>
  </si>
  <si>
    <t>Q8NEZ4_MLL3</t>
  </si>
  <si>
    <t>Q8NEZ5_FBXO22</t>
  </si>
  <si>
    <t>Q8NF67_</t>
  </si>
  <si>
    <t>Q8NF91_SYNE1</t>
  </si>
  <si>
    <t>Q8NFA0_USP32</t>
  </si>
  <si>
    <t>Q8NFC6_BOD1L1</t>
  </si>
  <si>
    <t>Q8NFF5-2_FLAD1</t>
  </si>
  <si>
    <t>Q8NFG4_FLCN</t>
  </si>
  <si>
    <t>Q8NFH3_NUP43</t>
  </si>
  <si>
    <t>Q8NFH4_NUP37</t>
  </si>
  <si>
    <t>Q8NFH8-4_REPS2</t>
  </si>
  <si>
    <t>Q8NFI3_ENGASE</t>
  </si>
  <si>
    <t>Q8NFQ8_TOR1AIP2</t>
  </si>
  <si>
    <t>Q8NFV4_ABHD11</t>
  </si>
  <si>
    <t>Q8NFW8_CMAS</t>
  </si>
  <si>
    <t>Q8NFZ5_TNIP2</t>
  </si>
  <si>
    <t>Q8NFZ8_CADM4</t>
  </si>
  <si>
    <t>Q8NG08_HELB</t>
  </si>
  <si>
    <t>Q8NG27-3_PJA1</t>
  </si>
  <si>
    <t>Q8NG31-2_CASC5</t>
  </si>
  <si>
    <t>Q8NG68_TTL</t>
  </si>
  <si>
    <t>Q8NHG8_ZNRF2</t>
  </si>
  <si>
    <t>Q8NHM4_TRY6</t>
  </si>
  <si>
    <t>Q8NHM5-2_KDM2B</t>
  </si>
  <si>
    <t>Q8NHP8_PLBD2</t>
  </si>
  <si>
    <t>Q8NHU6_TDRD7</t>
  </si>
  <si>
    <t>Q8NHV4_NEDD1</t>
  </si>
  <si>
    <t>Q8NHZ8_CDC26</t>
  </si>
  <si>
    <t>Q8NI08-2_NCOA7</t>
  </si>
  <si>
    <t>Q8NI22-2_MCFD2</t>
  </si>
  <si>
    <t>Q8NI27_THOC2</t>
  </si>
  <si>
    <t>Q8NI35_INADL</t>
  </si>
  <si>
    <t>Q8NI36_WDR36</t>
  </si>
  <si>
    <t>Q8TA86_RP9</t>
  </si>
  <si>
    <t>Q8TAD8_SNIP1</t>
  </si>
  <si>
    <t>Q8TAE6_PPP1R14C</t>
  </si>
  <si>
    <t>Q8TAE8_GADD45GIP1</t>
  </si>
  <si>
    <t>Q8TAF3_WDR48</t>
  </si>
  <si>
    <t>Q8TAP8_PPP1R35</t>
  </si>
  <si>
    <t>Q8TAP9_MPLKIP</t>
  </si>
  <si>
    <t>Q8TAQ2_SMARCC2</t>
  </si>
  <si>
    <t>Q8TAT6_NPLOC4</t>
  </si>
  <si>
    <t>Q8TB03_CXorf38</t>
  </si>
  <si>
    <t>Q8TB22_SPATA20</t>
  </si>
  <si>
    <t>Q8TB24_RIN3</t>
  </si>
  <si>
    <t>Q8TB37_NUBPL</t>
  </si>
  <si>
    <t>Q8TB40_ABHD4</t>
  </si>
  <si>
    <t>Q8TB52_FBXO30</t>
  </si>
  <si>
    <t>Q8TB72-3_PUM2</t>
  </si>
  <si>
    <t>Q8TBA6-2_GOLGA5</t>
  </si>
  <si>
    <t>Q8TBB5-3_KLHDC4</t>
  </si>
  <si>
    <t>Q8TBC4_UBA3</t>
  </si>
  <si>
    <t>Q8TBE9_NANP</t>
  </si>
  <si>
    <t>Q8TBF2-4_FAM213B</t>
  </si>
  <si>
    <t>Q8TBM8_DNAJB14</t>
  </si>
  <si>
    <t>Q8TBN0_RAB3IL1</t>
  </si>
  <si>
    <t>Q8TBX8_PIP4K2C</t>
  </si>
  <si>
    <t>Q8TBZ6_TRMT10A</t>
  </si>
  <si>
    <t>Q8TC07-2_TBC1D15</t>
  </si>
  <si>
    <t>Q8TCA0_LRRC20</t>
  </si>
  <si>
    <t>Q8TCD5_NT5C</t>
  </si>
  <si>
    <t>Q8TCE6-2_FAM45A</t>
  </si>
  <si>
    <t>Q8TCG1_KIAA1524</t>
  </si>
  <si>
    <t>Q8TCN5_ZNF507</t>
  </si>
  <si>
    <t>Q8TCS8_PNPT1</t>
  </si>
  <si>
    <t>Q8TCU4-3_ALMS1</t>
  </si>
  <si>
    <t>Q8TCU6_PREX1</t>
  </si>
  <si>
    <t>Q8TCX1_DYNC2LI1</t>
  </si>
  <si>
    <t>Q8TCY9_URGCP</t>
  </si>
  <si>
    <t>Q8TD08-2_MAPK15</t>
  </si>
  <si>
    <t>Q8TD10_MIPOL1</t>
  </si>
  <si>
    <t>Q8TD16_BICD2</t>
  </si>
  <si>
    <t>Q8TD19_NEK9</t>
  </si>
  <si>
    <t>Q8TD30_GPT2</t>
  </si>
  <si>
    <t>Q8TD55-2_PLEKHO2</t>
  </si>
  <si>
    <t>Q8TDB6_DTX3L</t>
  </si>
  <si>
    <t>Q8TDD1_DDX54</t>
  </si>
  <si>
    <t>Q8TDH9_BLOC1S5</t>
  </si>
  <si>
    <t>Q8TDJ6_DMXL2</t>
  </si>
  <si>
    <t>Q8TDM0-3_BCAS4</t>
  </si>
  <si>
    <t>Q8TDM6_DLG5</t>
  </si>
  <si>
    <t>Q8TDN6_BRIX1</t>
  </si>
  <si>
    <t>Q8TDQ7_GNPDA2</t>
  </si>
  <si>
    <t>Q8TDR0-2_TRAF3IP1</t>
  </si>
  <si>
    <t>Q8TDX7_NEK7</t>
  </si>
  <si>
    <t>Q8TDY2-2_RB1CC1</t>
  </si>
  <si>
    <t>Q8TDZ2_MICAL1</t>
  </si>
  <si>
    <t>Q8TE04_PANK1</t>
  </si>
  <si>
    <t>Q8TE76-3_MORC4</t>
  </si>
  <si>
    <t>Q8TE77_SSH3</t>
  </si>
  <si>
    <t>Q8TEA1_NSUN6</t>
  </si>
  <si>
    <t>Q8TEA7-3_TBCK</t>
  </si>
  <si>
    <t>Q8TEA8_DTD1</t>
  </si>
  <si>
    <t>Q8TEB1-2_DCAF11</t>
  </si>
  <si>
    <t>Q8TEH3_DENND1A</t>
  </si>
  <si>
    <t>Q8TEK3-2_DOT1L</t>
  </si>
  <si>
    <t>Q8TEQ0-2_SNX29</t>
  </si>
  <si>
    <t>Q8TEQ6_GEMIN5</t>
  </si>
  <si>
    <t>Q8TER5_ARHGEF40</t>
  </si>
  <si>
    <t>Q8TES7-5_FBF1</t>
  </si>
  <si>
    <t>Q8TEV9_SMCR8</t>
  </si>
  <si>
    <t>Q8TEW0-2_PARD3</t>
  </si>
  <si>
    <t>Q8TEX9_IPO4</t>
  </si>
  <si>
    <t>Q8TF01_PNISR</t>
  </si>
  <si>
    <t>Q8TF05-2_PPP4R1</t>
  </si>
  <si>
    <t>Q8TF42_UBASH3B</t>
  </si>
  <si>
    <t>Q8TF46_DIS3L</t>
  </si>
  <si>
    <t>Q8TF72_SHROOM3</t>
  </si>
  <si>
    <t>Q8TF74_WIPF2</t>
  </si>
  <si>
    <t>Q8WTS6_SETD7</t>
  </si>
  <si>
    <t>Q8WTV0-4_SCARB1</t>
  </si>
  <si>
    <t>Q8WTW3_COG1</t>
  </si>
  <si>
    <t>Q8WU20_FRS2</t>
  </si>
  <si>
    <t>Q8WU76-2_SCFD2</t>
  </si>
  <si>
    <t>Q8WU79-2_SMAP2</t>
  </si>
  <si>
    <t>Q8WU90_ZC3H15</t>
  </si>
  <si>
    <t>Q8WUA2_PPIL4</t>
  </si>
  <si>
    <t>Q8WUA4_GTF3C2</t>
  </si>
  <si>
    <t>Q8WUA8_TSKU</t>
  </si>
  <si>
    <t>Q8WUB8-3_PHF10</t>
  </si>
  <si>
    <t>Q8WUD1_RAB2B</t>
  </si>
  <si>
    <t>Q8WUD4_CCDC12</t>
  </si>
  <si>
    <t>Q8WUF5_PPP1R13L</t>
  </si>
  <si>
    <t>Q8WUF8_FAM172A</t>
  </si>
  <si>
    <t>Q8WUH1_CHURC1</t>
  </si>
  <si>
    <t>Q8WUH2_TGFBRAP1</t>
  </si>
  <si>
    <t>Q8WUH6_C12orf23</t>
  </si>
  <si>
    <t>Q8WUI4-3_HDAC7</t>
  </si>
  <si>
    <t>Q8WUJ0_STYX</t>
  </si>
  <si>
    <t>Q8WUM0_NUP133</t>
  </si>
  <si>
    <t>Q8WUM4_PDCD6IP</t>
  </si>
  <si>
    <t>Q8WUN7_UBTD2</t>
  </si>
  <si>
    <t>Q8WUP2_FBLIM1</t>
  </si>
  <si>
    <t>Q8WUR7_C15orf40</t>
  </si>
  <si>
    <t>Q8WUW1_BRK1</t>
  </si>
  <si>
    <t>Q8WUX2_CHAC2</t>
  </si>
  <si>
    <t>Q8WUX9_CHMP7</t>
  </si>
  <si>
    <t>Q8WV22_NSMCE1</t>
  </si>
  <si>
    <t>Q8WV41_SNX33</t>
  </si>
  <si>
    <t>Q8WV92_MITD1</t>
  </si>
  <si>
    <t>Q8WVB3_HEXDC</t>
  </si>
  <si>
    <t>Q8WVB6_CHTF18</t>
  </si>
  <si>
    <t>Q8WVC0_LEO1</t>
  </si>
  <si>
    <t>Q8WVC2_RPS21</t>
  </si>
  <si>
    <t>Q8WVD3_RNF138</t>
  </si>
  <si>
    <t>Q8WVE0_N6AMT2</t>
  </si>
  <si>
    <t>Q8WVJ2_NUDCD2</t>
  </si>
  <si>
    <t>Q8WVK2_SNRNP27</t>
  </si>
  <si>
    <t>Q8WVL7_ANKRD49</t>
  </si>
  <si>
    <t>Q8WVM8_SCFD1</t>
  </si>
  <si>
    <t>Q8WVN8-3_UBE2Q2</t>
  </si>
  <si>
    <t>Q8WVT3_TRAPPC12</t>
  </si>
  <si>
    <t>Q8WVV4_POF1B</t>
  </si>
  <si>
    <t>Q8WVV9-4_HNRPLL</t>
  </si>
  <si>
    <t>Q8WVY7_UBLCP1</t>
  </si>
  <si>
    <t>Q8WW01_TSEN15</t>
  </si>
  <si>
    <t>Q8WW12_PCNP</t>
  </si>
  <si>
    <t>Q8WW59_SPRYD4</t>
  </si>
  <si>
    <t>Q8WWC4_C2orf47</t>
  </si>
  <si>
    <t>Q8WWH5_TRUB1</t>
  </si>
  <si>
    <t>Q8WWM7_ATXN2L</t>
  </si>
  <si>
    <t>Q8WWN8_ARAP3</t>
  </si>
  <si>
    <t>Q8WWX9_SELM</t>
  </si>
  <si>
    <t>Q8WWY3_PRPF31</t>
  </si>
  <si>
    <t>Q8WWZ3-2_EDARADD</t>
  </si>
  <si>
    <t>Q8WX92_NELFB</t>
  </si>
  <si>
    <t>Q8WX93-3_PALLD</t>
  </si>
  <si>
    <t>Q8WXA3-2_RUFY2</t>
  </si>
  <si>
    <t>Q8WXA9-2_SREK1</t>
  </si>
  <si>
    <t>Q8WXD5_GEMIN6</t>
  </si>
  <si>
    <t>Q8WXE0_CASKIN2</t>
  </si>
  <si>
    <t>Q8WXE1-2_ATRIP</t>
  </si>
  <si>
    <t>Q8WXF1_PSPC1</t>
  </si>
  <si>
    <t>Q8WXG6-6_MADD</t>
  </si>
  <si>
    <t>Q8WXH0_SYNE2</t>
  </si>
  <si>
    <t>Q8WXI2-5_CNKSR2</t>
  </si>
  <si>
    <t>Q8WXI4-2_ACOT11</t>
  </si>
  <si>
    <t>Q8WXI9_GATAD2B</t>
  </si>
  <si>
    <t>Q8WXW3_PIBF1</t>
  </si>
  <si>
    <t>Q8WXX5_DNAJC9</t>
  </si>
  <si>
    <t>Q8WYA0_IFT81</t>
  </si>
  <si>
    <t>Q8WYA6_CTNNBL1</t>
  </si>
  <si>
    <t>Q8WYB5-3_KAT6B</t>
  </si>
  <si>
    <t>Q8WYL5_SSH1</t>
  </si>
  <si>
    <t>Q8WYP3_RIN2</t>
  </si>
  <si>
    <t>Q8WYP5_AHCTF1</t>
  </si>
  <si>
    <t>Q8WZ73-3_RFFL</t>
  </si>
  <si>
    <t>Q8WZ82_OVCA2</t>
  </si>
  <si>
    <t>Q8WZA0_LZIC</t>
  </si>
  <si>
    <t>Q8WZA9_IRGQ</t>
  </si>
  <si>
    <t>Q92466_DDB2</t>
  </si>
  <si>
    <t>Q92499_DDX1</t>
  </si>
  <si>
    <t>Q92503-3_SEC14L1</t>
  </si>
  <si>
    <t>Q92506_HSD17B8</t>
  </si>
  <si>
    <t>Q92522_H1FX</t>
  </si>
  <si>
    <t>Q92526_CCT6B</t>
  </si>
  <si>
    <t>Q92538_GBF1</t>
  </si>
  <si>
    <t>Q92540-2_SMG7</t>
  </si>
  <si>
    <t>Q92541_RTF1</t>
  </si>
  <si>
    <t>Q92545_TMEM131</t>
  </si>
  <si>
    <t>Q92547_TOPBP1</t>
  </si>
  <si>
    <t>Q92551_IP6K1</t>
  </si>
  <si>
    <t>Q92552_MRPS27</t>
  </si>
  <si>
    <t>Q92558_WASF1</t>
  </si>
  <si>
    <t>Q92560_BAP1</t>
  </si>
  <si>
    <t>Q92567-2_FAM168A</t>
  </si>
  <si>
    <t>Q92572_AP3S1</t>
  </si>
  <si>
    <t>Q92574_TSC1</t>
  </si>
  <si>
    <t>Q92575_UBXN4</t>
  </si>
  <si>
    <t>Q92576-2_PHF3</t>
  </si>
  <si>
    <t>Q92585_MAML1</t>
  </si>
  <si>
    <t>Q92597_NDRG1</t>
  </si>
  <si>
    <t>Q92598-2_HSPH1</t>
  </si>
  <si>
    <t>Q92599-2_SEPT8</t>
  </si>
  <si>
    <t>Q92600_RQCD1</t>
  </si>
  <si>
    <t>Q92609_TBC1D5</t>
  </si>
  <si>
    <t>Q92614-3_MYO18A</t>
  </si>
  <si>
    <t>Q92615_LARP4B</t>
  </si>
  <si>
    <t>Q92616_GCN1L1</t>
  </si>
  <si>
    <t>Q92618_ZNF516</t>
  </si>
  <si>
    <t>Q92620_DHX38</t>
  </si>
  <si>
    <t>Q92621_NUP205</t>
  </si>
  <si>
    <t>Q92623_TTC9</t>
  </si>
  <si>
    <t>Q92624_APPBP2</t>
  </si>
  <si>
    <t>Q92625_ANKS1A</t>
  </si>
  <si>
    <t>Q92636_NSMAF</t>
  </si>
  <si>
    <t>Q92664-2_GTF3A</t>
  </si>
  <si>
    <t>Q92665_MRPS31</t>
  </si>
  <si>
    <t>Q92667_AKAP1</t>
  </si>
  <si>
    <t>Q92686_NRGN</t>
  </si>
  <si>
    <t>Q92688-2_ANP32B</t>
  </si>
  <si>
    <t>Q92692_PVRL2</t>
  </si>
  <si>
    <t>Q92696_RABGGTA</t>
  </si>
  <si>
    <t>Q92734-2_TFG</t>
  </si>
  <si>
    <t>Q92738_USP6NL</t>
  </si>
  <si>
    <t>Q92747_ARPC1A</t>
  </si>
  <si>
    <t>Q92766_RREB1</t>
  </si>
  <si>
    <t>Q92783-2_STAM</t>
  </si>
  <si>
    <t>Q92785_DPF2</t>
  </si>
  <si>
    <t>Q92793_CREBBP</t>
  </si>
  <si>
    <t>Q92797_SYMPK</t>
  </si>
  <si>
    <t>Q92804-2_TAF15</t>
  </si>
  <si>
    <t>Q92805_GOLGA1</t>
  </si>
  <si>
    <t>Q92817_EVPL</t>
  </si>
  <si>
    <t>Q92820_GGH</t>
  </si>
  <si>
    <t>Q92830_KAT2A</t>
  </si>
  <si>
    <t>Q92834-4_RPGR</t>
  </si>
  <si>
    <t>Q92841_DDX17</t>
  </si>
  <si>
    <t>Q92843-2_BCL2L2</t>
  </si>
  <si>
    <t>Q92844_TANK</t>
  </si>
  <si>
    <t>Q92845-2_KIFAP3</t>
  </si>
  <si>
    <t>Q92851-4_CASP10</t>
  </si>
  <si>
    <t>Q92878_RAD50</t>
  </si>
  <si>
    <t>Q92879-2_CELF1</t>
  </si>
  <si>
    <t>Q92882_OSTF1</t>
  </si>
  <si>
    <t>Q92889_ERCC4</t>
  </si>
  <si>
    <t>Q92890_UFD1L</t>
  </si>
  <si>
    <t>Q92900_UPF1</t>
  </si>
  <si>
    <t>Q92902-2_HPS1</t>
  </si>
  <si>
    <t>Q92905_COPS5</t>
  </si>
  <si>
    <t>Q92917_GPKOW</t>
  </si>
  <si>
    <t>Q92922_SMARCC1</t>
  </si>
  <si>
    <t>Q92930_RAB8B</t>
  </si>
  <si>
    <t>Q92934_BAD</t>
  </si>
  <si>
    <t>Q92945_KHSRP</t>
  </si>
  <si>
    <t>Q92963-2_RIT1</t>
  </si>
  <si>
    <t>Q92973-2_TNPO1</t>
  </si>
  <si>
    <t>Q92974-3_ARHGEF2</t>
  </si>
  <si>
    <t>Q92979_EMG1</t>
  </si>
  <si>
    <t>Q92989-2_CLP1</t>
  </si>
  <si>
    <t>Q92990_GLMN</t>
  </si>
  <si>
    <t>Q92994-5_BRF1</t>
  </si>
  <si>
    <t>Q92995-2_USP13</t>
  </si>
  <si>
    <t>Q93008_USP9X</t>
  </si>
  <si>
    <t>Q93015_NAT6</t>
  </si>
  <si>
    <t>Q93034_CUL5</t>
  </si>
  <si>
    <t>Q93052_LPP</t>
  </si>
  <si>
    <t>Q93062-4_RBPMS</t>
  </si>
  <si>
    <t>Q93073-2_SECISBP2L</t>
  </si>
  <si>
    <t>Q93074-3_MED12</t>
  </si>
  <si>
    <t>Q93077_HIST1H2AC</t>
  </si>
  <si>
    <t>Q93096_PTP4A1</t>
  </si>
  <si>
    <t>Q93099_HGD</t>
  </si>
  <si>
    <t>Q93100-4_PHKB</t>
  </si>
  <si>
    <t>Q969E4_TCEAL3</t>
  </si>
  <si>
    <t>Q969E8_TSR2</t>
  </si>
  <si>
    <t>Q969F9_HPS3</t>
  </si>
  <si>
    <t>Q969G3-2_SMARCE1</t>
  </si>
  <si>
    <t>Q969G5_PRKCDBP</t>
  </si>
  <si>
    <t>Q969G6_RFK</t>
  </si>
  <si>
    <t>Q969H8_C19orf10</t>
  </si>
  <si>
    <t>Q969K3_RNF34</t>
  </si>
  <si>
    <t>Q969M3_YIPF5</t>
  </si>
  <si>
    <t>Q969Q0_RPL36AL</t>
  </si>
  <si>
    <t>Q969R8_ITFG2</t>
  </si>
  <si>
    <t>Q969S3_ZNF622</t>
  </si>
  <si>
    <t>Q969S9-3_GFM2</t>
  </si>
  <si>
    <t>Q969T7-2_NT5C3B</t>
  </si>
  <si>
    <t>Q969U7_PSMG2</t>
  </si>
  <si>
    <t>Q969V5_MUL1</t>
  </si>
  <si>
    <t>Q969W3-2_FAM104A</t>
  </si>
  <si>
    <t>Q969X0_RILPL2</t>
  </si>
  <si>
    <t>Q969X6_CIRH1A</t>
  </si>
  <si>
    <t>Q969Y2-3_GTPBP3</t>
  </si>
  <si>
    <t>Q969Z0_TBRG4</t>
  </si>
  <si>
    <t>Q96A00_PPP1R14A</t>
  </si>
  <si>
    <t>Q96A19_CCDC102A</t>
  </si>
  <si>
    <t>Q96A37-3_RNF166</t>
  </si>
  <si>
    <t>Q96A46_SLC25A28</t>
  </si>
  <si>
    <t>Q96A49_SYAP1</t>
  </si>
  <si>
    <t>Q96A65_EXOC4</t>
  </si>
  <si>
    <t>Q96A72_MAGOHB</t>
  </si>
  <si>
    <t>Q96A73_KIAA1191</t>
  </si>
  <si>
    <t>Q96AB3_ISOC2</t>
  </si>
  <si>
    <t>Q96AB6_NTAN1</t>
  </si>
  <si>
    <t>Q96AC1_FERMT2</t>
  </si>
  <si>
    <t>Q96AE4_FUBP1</t>
  </si>
  <si>
    <t>Q96AE4-2_FUBP1</t>
  </si>
  <si>
    <t>Q96AG4_LRRC59</t>
  </si>
  <si>
    <t>Q96AJ9-1_VTI1A</t>
  </si>
  <si>
    <t>Q96AP0-2_ACD</t>
  </si>
  <si>
    <t>Q96AT1_KIAA1143</t>
  </si>
  <si>
    <t>Q96AT9_RPE</t>
  </si>
  <si>
    <t>Q96AX1_VPS33A</t>
  </si>
  <si>
    <t>Q96AY3_FKBP10</t>
  </si>
  <si>
    <t>Q96AY4_TTC28</t>
  </si>
  <si>
    <t>Q96B01-2_RAD51AP1</t>
  </si>
  <si>
    <t>Q96B02-2_UBE2W</t>
  </si>
  <si>
    <t>Q96B23-2_C18orf25</t>
  </si>
  <si>
    <t>Q96B26_EXOSC8</t>
  </si>
  <si>
    <t>Q96B36_AKT1S1</t>
  </si>
  <si>
    <t>Q96B45_C10orf32</t>
  </si>
  <si>
    <t>Q96B70_LENG9</t>
  </si>
  <si>
    <t>Q96B97_SH3KBP1</t>
  </si>
  <si>
    <t>Q96BD5-2_PHF21A</t>
  </si>
  <si>
    <t>Q96BF6_NACC2</t>
  </si>
  <si>
    <t>Q96BH1_RNF25</t>
  </si>
  <si>
    <t>Q96BJ3_AIDA</t>
  </si>
  <si>
    <t>Q96BK5_PINX1</t>
  </si>
  <si>
    <t>Q96BM9_ARL8A</t>
  </si>
  <si>
    <t>Q96BN8_FAM105B</t>
  </si>
  <si>
    <t>Q96BP2_CHCHD1</t>
  </si>
  <si>
    <t>Q96BP3_PPWD1</t>
  </si>
  <si>
    <t>Q96BR5_SELRC1</t>
  </si>
  <si>
    <t>Q96BS2_TESC</t>
  </si>
  <si>
    <t>Q96BT7_ALKBH8</t>
  </si>
  <si>
    <t>Q96BW1_UPRT</t>
  </si>
  <si>
    <t>Q96BW5-2_PTER</t>
  </si>
  <si>
    <t>Q96BX8_MOB3A</t>
  </si>
  <si>
    <t>Q96BY6_DOCK10</t>
  </si>
  <si>
    <t>Q96BY7_ATG2B</t>
  </si>
  <si>
    <t>Q96BZ8_LENG1</t>
  </si>
  <si>
    <t>Q96BZ9_TBC1D20</t>
  </si>
  <si>
    <t>Q96C01_FAM136A</t>
  </si>
  <si>
    <t>Q96C19_EFHD2</t>
  </si>
  <si>
    <t>Q96C23_GALM</t>
  </si>
  <si>
    <t>Q96C24_SYTL4</t>
  </si>
  <si>
    <t>Q96C34-2_RUNDC1</t>
  </si>
  <si>
    <t>Q96C36_PYCR2</t>
  </si>
  <si>
    <t>Q96C57_C12orf43</t>
  </si>
  <si>
    <t>Q96C86_DCPS</t>
  </si>
  <si>
    <t>Q96C90_PPP1R14B</t>
  </si>
  <si>
    <t>Q96CB8_INTS12</t>
  </si>
  <si>
    <t>Q96CD0_FBXL8</t>
  </si>
  <si>
    <t>Q96CD2_PPCDC</t>
  </si>
  <si>
    <t>Q96CF2_CHMP4C</t>
  </si>
  <si>
    <t>Q96CG3_TIFA</t>
  </si>
  <si>
    <t>Q96CN4_EVI5L</t>
  </si>
  <si>
    <t>Q96CN7_ISOC1</t>
  </si>
  <si>
    <t>Q96CN9_GCC1</t>
  </si>
  <si>
    <t>Q96CP2_FLYWCH2</t>
  </si>
  <si>
    <t>Q96CP6-2_GRAMD1A</t>
  </si>
  <si>
    <t>Q96CS2_HAUS1</t>
  </si>
  <si>
    <t>Q96CT7_CCDC124</t>
  </si>
  <si>
    <t>Q96CV9_OPTN</t>
  </si>
  <si>
    <t>Q96CW1-2_AP2M1</t>
  </si>
  <si>
    <t>Q96CW5-2_TUBGCP3</t>
  </si>
  <si>
    <t>Q96CW6_SLC7A6OS</t>
  </si>
  <si>
    <t>Q96CX2_KCTD12</t>
  </si>
  <si>
    <t>Q96CX6_LRRC58</t>
  </si>
  <si>
    <t>Q96D09_GPRASP2</t>
  </si>
  <si>
    <t>Q96D46_NMD3</t>
  </si>
  <si>
    <t>Q96D53_ADCK4</t>
  </si>
  <si>
    <t>Q96D71-3_REPS1</t>
  </si>
  <si>
    <t>Q96DB5_RMDN1</t>
  </si>
  <si>
    <t>Q96DC7_TMCO6</t>
  </si>
  <si>
    <t>Q96DC9_OTUB2</t>
  </si>
  <si>
    <t>Q96DE0_NUDT16</t>
  </si>
  <si>
    <t>Q96DE5_ANAPC16</t>
  </si>
  <si>
    <t>Q96DF8_DGCR14</t>
  </si>
  <si>
    <t>Q96DG6_CMBL</t>
  </si>
  <si>
    <t>Q96DR7_ARHGEF26</t>
  </si>
  <si>
    <t>Q96DT6_ATG4C</t>
  </si>
  <si>
    <t>Q96DU7_ITPKC</t>
  </si>
  <si>
    <t>Q96DV4_MRPL38</t>
  </si>
  <si>
    <t>Q96DX5_ASB9</t>
  </si>
  <si>
    <t>Q96DX5-2_ASB9</t>
  </si>
  <si>
    <t>Q96DX7_TRIM44</t>
  </si>
  <si>
    <t>Q96E09_FAM122A</t>
  </si>
  <si>
    <t>Q96E11-3_MRRF</t>
  </si>
  <si>
    <t>Q96E14_RMI2</t>
  </si>
  <si>
    <t>Q96EA4_SPDL1</t>
  </si>
  <si>
    <t>Q96EB1_ELP4</t>
  </si>
  <si>
    <t>Q96EB6_SIRT1</t>
  </si>
  <si>
    <t>Q96ED9-2_HOOK2</t>
  </si>
  <si>
    <t>Q96EE3_SEH1L</t>
  </si>
  <si>
    <t>Q96EH3_MALSU1</t>
  </si>
  <si>
    <t>Q96EI5_TCEAL4</t>
  </si>
  <si>
    <t>Q96EK4_THAP11</t>
  </si>
  <si>
    <t>Q96EK5_KIAA1279</t>
  </si>
  <si>
    <t>Q96EK6_GNPNAT1</t>
  </si>
  <si>
    <t>Q96EK7_FAM120B</t>
  </si>
  <si>
    <t>Q96EK9_KTI12</t>
  </si>
  <si>
    <t>Q96EL3_MRPL53</t>
  </si>
  <si>
    <t>Q96EM0_L3HYPDH</t>
  </si>
  <si>
    <t>Q96EN8_MOCOS</t>
  </si>
  <si>
    <t>Q96EP0_RNF31</t>
  </si>
  <si>
    <t>Q96EP1-2_CHFR</t>
  </si>
  <si>
    <t>Q96EP5_DAZAP1</t>
  </si>
  <si>
    <t>Q96EQ0_SGTB</t>
  </si>
  <si>
    <t>Q96ER3_SAAL1</t>
  </si>
  <si>
    <t>Q96ES7_CCDC101</t>
  </si>
  <si>
    <t>Q96EV2_RBM33</t>
  </si>
  <si>
    <t>Q96EV8_DTNBP1</t>
  </si>
  <si>
    <t>Q96EW2_HSPBAP1</t>
  </si>
  <si>
    <t>Q96EX3_WDR34</t>
  </si>
  <si>
    <t>Q96EY1-2_DNAJA3</t>
  </si>
  <si>
    <t>Q96EY4_TMA16</t>
  </si>
  <si>
    <t>Q96EY5-3_MVB12A</t>
  </si>
  <si>
    <t>Q96EY7_PTCD3</t>
  </si>
  <si>
    <t>Q96EY8_MMAB</t>
  </si>
  <si>
    <t>Q96EY9_ADAT3</t>
  </si>
  <si>
    <t>Q96EZ8-3_MCRS1</t>
  </si>
  <si>
    <t>Q96F24_NRBF2</t>
  </si>
  <si>
    <t>Q96F44-3_TRIM11</t>
  </si>
  <si>
    <t>Q96F46_IL17RA</t>
  </si>
  <si>
    <t>Q96F63_CCDC97</t>
  </si>
  <si>
    <t>Q96F86_EDC3</t>
  </si>
  <si>
    <t>Q96FC7-2_PHYHIPL</t>
  </si>
  <si>
    <t>Q96FC9-4_DDX11</t>
  </si>
  <si>
    <t>Q96FH0_MEF2BNB</t>
  </si>
  <si>
    <t>Q96FJ0_STAMBPL1</t>
  </si>
  <si>
    <t>Q96FK6_WDR89</t>
  </si>
  <si>
    <t>Q96FQ6_S100A16</t>
  </si>
  <si>
    <t>Q96FS4_SIPA1</t>
  </si>
  <si>
    <t>Q96FT9_IFT43</t>
  </si>
  <si>
    <t>Q96FV0_LRRC46</t>
  </si>
  <si>
    <t>Q96FV2_SCRN2</t>
  </si>
  <si>
    <t>Q96FV9_THOC1</t>
  </si>
  <si>
    <t>Q96FW1_OTUB1</t>
  </si>
  <si>
    <t>Q96FX2_DPH3</t>
  </si>
  <si>
    <t>Q96FX7_TRMT61A</t>
  </si>
  <si>
    <t>Q96FZ2_C3orf37</t>
  </si>
  <si>
    <t>Q96G03_PGM2</t>
  </si>
  <si>
    <t>Q96G04_FAM86A</t>
  </si>
  <si>
    <t>Q96G25_MED8</t>
  </si>
  <si>
    <t>Q96G28_CCDC104</t>
  </si>
  <si>
    <t>Q96G46_DUS3L</t>
  </si>
  <si>
    <t>Q96G61_NUDT11</t>
  </si>
  <si>
    <t>Q96G74-3_OTUD5</t>
  </si>
  <si>
    <t>Q96GA3_LTV1</t>
  </si>
  <si>
    <t>Q96GA7_SDSL</t>
  </si>
  <si>
    <t>Q96GD0_PDXP</t>
  </si>
  <si>
    <t>Q96GE4_CEP95</t>
  </si>
  <si>
    <t>Q96GG9_DCUN1D1</t>
  </si>
  <si>
    <t>Q96GK7_FAHD2A</t>
  </si>
  <si>
    <t>Q96GM5_SMARCD1</t>
  </si>
  <si>
    <t>Q96GM8_TOE1</t>
  </si>
  <si>
    <t>Q96GQ7_DDX27</t>
  </si>
  <si>
    <t>Q96GS4_C17orf59</t>
  </si>
  <si>
    <t>Q96GV9_C5orf30</t>
  </si>
  <si>
    <t>Q96GW9_MARS2</t>
  </si>
  <si>
    <t>Q96GX2_ATXN7L3B</t>
  </si>
  <si>
    <t>Q96GX5_MASTL</t>
  </si>
  <si>
    <t>Q96GX9_APIP</t>
  </si>
  <si>
    <t>Q96GX9-3_APIP</t>
  </si>
  <si>
    <t>Q96GY0_ZC2HC1A</t>
  </si>
  <si>
    <t>Q96H20_SNF8</t>
  </si>
  <si>
    <t>Q96H79_ZC3HAV1L</t>
  </si>
  <si>
    <t>Q96HA7-2_TONSL</t>
  </si>
  <si>
    <t>Q96HA8_WDYHV1</t>
  </si>
  <si>
    <t>Q96HC4_PDLIM5</t>
  </si>
  <si>
    <t>Q96HD9_ACY3</t>
  </si>
  <si>
    <t>Q96HE7_ERO1L</t>
  </si>
  <si>
    <t>Q96HJ9-2_C7orf55</t>
  </si>
  <si>
    <t>Q96HN2-2_AHCYL2</t>
  </si>
  <si>
    <t>Q96HP4_OXNAD1</t>
  </si>
  <si>
    <t>Q96HQ2_CDKN2AIPNL</t>
  </si>
  <si>
    <t>Q96HS1-2_PGAM5</t>
  </si>
  <si>
    <t>Q96HW7_INTS4</t>
  </si>
  <si>
    <t>Q96HY6_DDRGK1</t>
  </si>
  <si>
    <t>Q96HY7_DHTKD1</t>
  </si>
  <si>
    <t>Q96I15_SCLY</t>
  </si>
  <si>
    <t>Q96I23_PYURF</t>
  </si>
  <si>
    <t>Q96I24_FUBP3</t>
  </si>
  <si>
    <t>Q96I25_RBM17</t>
  </si>
  <si>
    <t>Q96I59_NARS2</t>
  </si>
  <si>
    <t>Q96I99_SUCLG2</t>
  </si>
  <si>
    <t>Q96IF1_AJUBA</t>
  </si>
  <si>
    <t>Q96IJ6_GMPPA</t>
  </si>
  <si>
    <t>Q96IK1_BOD1</t>
  </si>
  <si>
    <t>Q96IR7_HPDL</t>
  </si>
  <si>
    <t>Q96IU4_ABHD14B</t>
  </si>
  <si>
    <t>Q96IV0-2_NGLY1</t>
  </si>
  <si>
    <t>Q96IY1_NSL1</t>
  </si>
  <si>
    <t>Q96IZ0_PAWR</t>
  </si>
  <si>
    <t>Q96IZ5-2_RBM41</t>
  </si>
  <si>
    <t>Q96IZ6_METTL2A</t>
  </si>
  <si>
    <t>Q96IZ7-2_RSRC1</t>
  </si>
  <si>
    <t>Q96J01_THOC3</t>
  </si>
  <si>
    <t>Q96J02-2_ITCH</t>
  </si>
  <si>
    <t>Q96J84_KIRREL</t>
  </si>
  <si>
    <t>Q96JB2_COG3</t>
  </si>
  <si>
    <t>Q96JB5_CDK5RAP3</t>
  </si>
  <si>
    <t>Q96JC1-2_VPS39</t>
  </si>
  <si>
    <t>Q96JC9_EAF1</t>
  </si>
  <si>
    <t>Q96JE9_MAP6</t>
  </si>
  <si>
    <t>Q96JG6_CCDC132</t>
  </si>
  <si>
    <t>Q96JG8-2_MAGED4</t>
  </si>
  <si>
    <t>Q96JH7_VCPIP1</t>
  </si>
  <si>
    <t>Q96JI7-2_SPG11</t>
  </si>
  <si>
    <t>Q96JK9_MAML3</t>
  </si>
  <si>
    <t>Q96JM3_CHAMP1</t>
  </si>
  <si>
    <t>Q96JP2_MYO15B</t>
  </si>
  <si>
    <t>Q96JP5_ZFP91</t>
  </si>
  <si>
    <t>Q96JQ2_CLMN</t>
  </si>
  <si>
    <t>Q96JY6_PDLIM2</t>
  </si>
  <si>
    <t>Q96KB5_PBK</t>
  </si>
  <si>
    <t>Q96KC8_DNAJC1</t>
  </si>
  <si>
    <t>Q96KG9-3_SCYL1</t>
  </si>
  <si>
    <t>Q96KP1_EXOC2</t>
  </si>
  <si>
    <t>Q96KP4_CNDP2</t>
  </si>
  <si>
    <t>Q96KQ4_PPP1R13B</t>
  </si>
  <si>
    <t>Q96KR1_ZFR</t>
  </si>
  <si>
    <t>Q96L35_EPHB4</t>
  </si>
  <si>
    <t>Q96L73-2_NSD1</t>
  </si>
  <si>
    <t>Q96L91-5_EP400</t>
  </si>
  <si>
    <t>Q96L92_SNX27</t>
  </si>
  <si>
    <t>Q96L93-6_KIF16B</t>
  </si>
  <si>
    <t>Q96LB3_IFT74</t>
  </si>
  <si>
    <t>Q96LD4_TRIM47</t>
  </si>
  <si>
    <t>Q96LR5_UBE2E2</t>
  </si>
  <si>
    <t>Q96LT7_C9orf72</t>
  </si>
  <si>
    <t>Q96M27_PRRC1</t>
  </si>
  <si>
    <t>Q96ME1-4_FBXL18</t>
  </si>
  <si>
    <t>Q96ME7-3_ZNF512</t>
  </si>
  <si>
    <t>Q96MG7_NDNL2</t>
  </si>
  <si>
    <t>Q96MH2_HEXIM2</t>
  </si>
  <si>
    <t>Q96MU7-2_YTHDC1</t>
  </si>
  <si>
    <t>Q96MW1_CCDC43</t>
  </si>
  <si>
    <t>Q96MX3_ZNF48</t>
  </si>
  <si>
    <t>Q96MX6_WDR92</t>
  </si>
  <si>
    <t>Q96MY1_C20orf112</t>
  </si>
  <si>
    <t>Q96N06_C16orf55</t>
  </si>
  <si>
    <t>Q96N21-2_ENTHD2</t>
  </si>
  <si>
    <t>Q96N67-4_DOCK7</t>
  </si>
  <si>
    <t>Q96NA2_RILP</t>
  </si>
  <si>
    <t>Q96NB1_FOPNL</t>
  </si>
  <si>
    <t>Q96NB3_ZNF830</t>
  </si>
  <si>
    <t>Q96NC0_ZMAT2</t>
  </si>
  <si>
    <t>Q96NL6_SCLT1</t>
  </si>
  <si>
    <t>Q96NL8_C8orf37</t>
  </si>
  <si>
    <t>Q96NT1_NAP1L5</t>
  </si>
  <si>
    <t>Q96NU7_AMDHD1</t>
  </si>
  <si>
    <t>Q96NW4_ANKRD27</t>
  </si>
  <si>
    <t>Q96P11-2_NSUN5</t>
  </si>
  <si>
    <t>Q96P16_RPRD1A</t>
  </si>
  <si>
    <t>Q96P47_AGAP3</t>
  </si>
  <si>
    <t>Q96P48-3_ARAP1</t>
  </si>
  <si>
    <t>Q96P70_IPO9</t>
  </si>
  <si>
    <t>Q96PD2_DCBLD2</t>
  </si>
  <si>
    <t>Q96PE2_ARHGEF17</t>
  </si>
  <si>
    <t>Q96PE7_MCEE</t>
  </si>
  <si>
    <t>Q96PK6_RBM14</t>
  </si>
  <si>
    <t>Q96PM5_RCHY1</t>
  </si>
  <si>
    <t>Q96PN7-4_TRERF1</t>
  </si>
  <si>
    <t>Q96PQ7-5_KLHL5</t>
  </si>
  <si>
    <t>Q96PU4_UHRF2</t>
  </si>
  <si>
    <t>Q96PU5-7_NEDD4L</t>
  </si>
  <si>
    <t>Q96PU8-9_QKI</t>
  </si>
  <si>
    <t>Q96PY5_FMNL2</t>
  </si>
  <si>
    <t>Q96PZ0_PUS7</t>
  </si>
  <si>
    <t>Q96Q05-3_TRAPPC9</t>
  </si>
  <si>
    <t>Q96Q11-2_TRNT1</t>
  </si>
  <si>
    <t>Q96Q15_SMG1</t>
  </si>
  <si>
    <t>Q96Q42_ALS2</t>
  </si>
  <si>
    <t>Q96Q45-2_TMEM237</t>
  </si>
  <si>
    <t>Q96Q83_ALKBH3</t>
  </si>
  <si>
    <t>Q96Q89-4_KIF20B</t>
  </si>
  <si>
    <t>Q96QC0_PPP1R10</t>
  </si>
  <si>
    <t>Q96QE3-2_ATAD5</t>
  </si>
  <si>
    <t>Q96QF0-2_RAB3IP</t>
  </si>
  <si>
    <t>Q96QG7_MTMR9</t>
  </si>
  <si>
    <t>Q96QK1_VPS35</t>
  </si>
  <si>
    <t>Q96QP1_ALPK1</t>
  </si>
  <si>
    <t>Q96QR8_PURB</t>
  </si>
  <si>
    <t>Q96QU6_ACCS</t>
  </si>
  <si>
    <t>Q96QU8_XPO6</t>
  </si>
  <si>
    <t>Q96QZ7-7_MAGI1</t>
  </si>
  <si>
    <t>Q96R06_SPAG5</t>
  </si>
  <si>
    <t>Q96RE7_NACC1</t>
  </si>
  <si>
    <t>Q96RF0-3_SNX18</t>
  </si>
  <si>
    <t>Q96RG2_PASK</t>
  </si>
  <si>
    <t>Q96RK0_CIC</t>
  </si>
  <si>
    <t>Q96RL1_UIMC1</t>
  </si>
  <si>
    <t>Q96RN5-3_MED15</t>
  </si>
  <si>
    <t>Q96RP9_GFM1</t>
  </si>
  <si>
    <t>Q96RR1_PEO1</t>
  </si>
  <si>
    <t>Q96RR4-2_CAMKK2</t>
  </si>
  <si>
    <t>Q96RS0_TGS1</t>
  </si>
  <si>
    <t>Q96RS6_NUDCD1</t>
  </si>
  <si>
    <t>Q96RT1-9_ERBB2IP</t>
  </si>
  <si>
    <t>Q96RT7-2_TUBGCP6</t>
  </si>
  <si>
    <t>Q96RU2-2_USP28</t>
  </si>
  <si>
    <t>Q96RU3-2_FNBP1</t>
  </si>
  <si>
    <t>Q96RW7-2_HMCN1</t>
  </si>
  <si>
    <t>Q96RY5_CRAMP1L</t>
  </si>
  <si>
    <t>Q96RY7_IFT140</t>
  </si>
  <si>
    <t>Q96S19_C16orf13</t>
  </si>
  <si>
    <t>Q96S21_RAB40C</t>
  </si>
  <si>
    <t>Q96S38_RPS6KC1</t>
  </si>
  <si>
    <t>Q96S44_TP53RK</t>
  </si>
  <si>
    <t>Q96S55-2_WRNIP1</t>
  </si>
  <si>
    <t>Q96S59_RANBP9</t>
  </si>
  <si>
    <t>Q96S66-4_CLCC1</t>
  </si>
  <si>
    <t>Q96S82_UBL7</t>
  </si>
  <si>
    <t>Q96S90_LYSMD1</t>
  </si>
  <si>
    <t>Q96S94_CCNL2</t>
  </si>
  <si>
    <t>Q96S99_PLEKHF1</t>
  </si>
  <si>
    <t>Q96SB3_PPP1R9B</t>
  </si>
  <si>
    <t>Q96SB4_SRPK1</t>
  </si>
  <si>
    <t>Q96SB8_SMC6</t>
  </si>
  <si>
    <t>Q96SI1_KCTD15</t>
  </si>
  <si>
    <t>Q96SL8_FIZ1</t>
  </si>
  <si>
    <t>Q96SN8-4_CDK5RAP2</t>
  </si>
  <si>
    <t>Q96ST2_IWS1</t>
  </si>
  <si>
    <t>Q96ST3_SIN3A</t>
  </si>
  <si>
    <t>Q96SU4-7_OSBPL9</t>
  </si>
  <si>
    <t>Q96SY0-4_VWA9</t>
  </si>
  <si>
    <t>Q96SZ5_ADO</t>
  </si>
  <si>
    <t>Q96SZ6-2_CDK5RAP1</t>
  </si>
  <si>
    <t>Q96T17_MAP7D2</t>
  </si>
  <si>
    <t>Q96T21_SECISBP2</t>
  </si>
  <si>
    <t>Q96T37-2_RBM15</t>
  </si>
  <si>
    <t>Q96T51_RUFY1</t>
  </si>
  <si>
    <t>Q96T58_SPEN</t>
  </si>
  <si>
    <t>Q96T60_PNKP</t>
  </si>
  <si>
    <t>Q96T76_MMS19</t>
  </si>
  <si>
    <t>Q96T88_UHRF1</t>
  </si>
  <si>
    <t>Q96TA1_FAM129B</t>
  </si>
  <si>
    <t>Q96TA2-3_YME1L1</t>
  </si>
  <si>
    <t>Q99081_TCF12</t>
  </si>
  <si>
    <t>Q99417_MYCBP</t>
  </si>
  <si>
    <t>Q99426_TBCB</t>
  </si>
  <si>
    <t>Q99436_PSMB7</t>
  </si>
  <si>
    <t>Q99447_PCYT2</t>
  </si>
  <si>
    <t>Q99459_CDC5L</t>
  </si>
  <si>
    <t>Q99460_PSMD1</t>
  </si>
  <si>
    <t>Q99471_PFDN5</t>
  </si>
  <si>
    <t>Q99487_PAFAH2</t>
  </si>
  <si>
    <t>Q99496_RNF2</t>
  </si>
  <si>
    <t>Q99497_PARK7</t>
  </si>
  <si>
    <t>Q99501_GAS2L1</t>
  </si>
  <si>
    <t>Q99504-2_EYA3</t>
  </si>
  <si>
    <t>Q99519_NEU1</t>
  </si>
  <si>
    <t>Q99536_VAT1</t>
  </si>
  <si>
    <t>Q99541_PLIN2</t>
  </si>
  <si>
    <t>Q99543_DNAJC2</t>
  </si>
  <si>
    <t>Q99543-2_DNAJC2</t>
  </si>
  <si>
    <t>Q99549_MPHOSPH8</t>
  </si>
  <si>
    <t>Q99567_NUP88</t>
  </si>
  <si>
    <t>Q99569-2_PKP4</t>
  </si>
  <si>
    <t>Q99570_PIK3R4</t>
  </si>
  <si>
    <t>Q99574_SERPINI1</t>
  </si>
  <si>
    <t>Q99575_POP1</t>
  </si>
  <si>
    <t>Q99583_MNT</t>
  </si>
  <si>
    <t>Q99584_S100A13</t>
  </si>
  <si>
    <t>Q99598_TSNAX</t>
  </si>
  <si>
    <t>Q99611_SEPHS2</t>
  </si>
  <si>
    <t>Q99614_TTC1</t>
  </si>
  <si>
    <t>Q99615_DNAJC7</t>
  </si>
  <si>
    <t>Q99618_CDCA3</t>
  </si>
  <si>
    <t>Q99622_C12orf57</t>
  </si>
  <si>
    <t>Q99627-2_COPS8</t>
  </si>
  <si>
    <t>Q99633_PRPF18</t>
  </si>
  <si>
    <t>Q99638_RAD9A</t>
  </si>
  <si>
    <t>Q99653_CHP1</t>
  </si>
  <si>
    <t>Q99661_KIF2C</t>
  </si>
  <si>
    <t>Q99674_CGREF1</t>
  </si>
  <si>
    <t>Q99685_MGLL</t>
  </si>
  <si>
    <t>Q99700-4_ATXN2</t>
  </si>
  <si>
    <t>Q99707_MTR</t>
  </si>
  <si>
    <t>Q99708_RBBP8</t>
  </si>
  <si>
    <t>Q99714_HSD17B10</t>
  </si>
  <si>
    <t>Q99729-3_HNRNPAB</t>
  </si>
  <si>
    <t>Q99733_NAP1L4</t>
  </si>
  <si>
    <t>Q99747_NAPG</t>
  </si>
  <si>
    <t>Q99757_TXN2</t>
  </si>
  <si>
    <t>Q99766_ATP5S</t>
  </si>
  <si>
    <t>Q99767-2_APBA2</t>
  </si>
  <si>
    <t>Q99797_MIPEP</t>
  </si>
  <si>
    <t>Q99798_ACO2</t>
  </si>
  <si>
    <t>Q99816_TSG101</t>
  </si>
  <si>
    <t>Q99829_CPNE1</t>
  </si>
  <si>
    <t>Q99832_CCT7</t>
  </si>
  <si>
    <t>Q99871-3_HAUS7</t>
  </si>
  <si>
    <t>Q99878_HIST1H2AJ</t>
  </si>
  <si>
    <t>Q99879_HIST1H2BM</t>
  </si>
  <si>
    <t>Q99933-4_BAG1</t>
  </si>
  <si>
    <t>Q99959-2_PKP2</t>
  </si>
  <si>
    <t>Q99961_SH3GL1</t>
  </si>
  <si>
    <t>Q99986_VRK1</t>
  </si>
  <si>
    <t>Q99996-5_AKAP9</t>
  </si>
  <si>
    <t>Q9BPU6_DPYSL5</t>
  </si>
  <si>
    <t>Q9BPW8_NIPSNAP1</t>
  </si>
  <si>
    <t>Q9BPX3_NCAPG</t>
  </si>
  <si>
    <t>Q9BPX5_ARPC5L</t>
  </si>
  <si>
    <t>Q9BPX6-2_MICU1</t>
  </si>
  <si>
    <t>Q9BPX7_C7orf25</t>
  </si>
  <si>
    <t>Q9BQ24_ZFYVE21</t>
  </si>
  <si>
    <t>Q9BQ39_DDX50</t>
  </si>
  <si>
    <t>Q9BQ52_ELAC2</t>
  </si>
  <si>
    <t>Q9BQ61_C19orf43</t>
  </si>
  <si>
    <t>Q9BQ67_GRWD1</t>
  </si>
  <si>
    <t>Q9BQ69_MACROD1</t>
  </si>
  <si>
    <t>Q9BQ70_TCF25</t>
  </si>
  <si>
    <t>Q9BQA1_WDR77</t>
  </si>
  <si>
    <t>Q9BQC3_DPH2</t>
  </si>
  <si>
    <t>Q9BQE3_TUBA1C</t>
  </si>
  <si>
    <t>Q9BQE5_APOL2</t>
  </si>
  <si>
    <t>Q9BQE9-4_BCL7B</t>
  </si>
  <si>
    <t>Q9BQG0_MYBBP1A</t>
  </si>
  <si>
    <t>Q9BQG2_NUDT12</t>
  </si>
  <si>
    <t>Q9BQI3-2_EIF2AK1</t>
  </si>
  <si>
    <t>Q9BQK8-2_LPIN3</t>
  </si>
  <si>
    <t>Q9BQL6_FERMT1</t>
  </si>
  <si>
    <t>Q9BQP7_MGME1</t>
  </si>
  <si>
    <t>Q9BQS8_FYCO1</t>
  </si>
  <si>
    <t>Q9BR61_ACBD6</t>
  </si>
  <si>
    <t>Q9BR76_CORO1B</t>
  </si>
  <si>
    <t>Q9BRA0-2_LSMD1</t>
  </si>
  <si>
    <t>Q9BRA2_TXNDC17</t>
  </si>
  <si>
    <t>Q9BRD0_BUD13</t>
  </si>
  <si>
    <t>Q9BRF8_CPPED1</t>
  </si>
  <si>
    <t>Q9BRG1_VPS25</t>
  </si>
  <si>
    <t>Q9BRK4_LZTS2</t>
  </si>
  <si>
    <t>Q9BRK5_SDF4</t>
  </si>
  <si>
    <t>Q9BRP1_PDCD2L</t>
  </si>
  <si>
    <t>Q9BRP4_PAAF1</t>
  </si>
  <si>
    <t>Q9BRP8-2_WIBG</t>
  </si>
  <si>
    <t>Q9BRQ8_AIFM2</t>
  </si>
  <si>
    <t>Q9BRR6-2_ADPGK</t>
  </si>
  <si>
    <t>Q9BRR8_GPATCH1</t>
  </si>
  <si>
    <t>Q9BRS2_RIOK1</t>
  </si>
  <si>
    <t>Q9BRS8_LARP6</t>
  </si>
  <si>
    <t>Q9BRT3_MIEN1</t>
  </si>
  <si>
    <t>Q9BRT9_GINS4</t>
  </si>
  <si>
    <t>Q9BRV8_SIKE1</t>
  </si>
  <si>
    <t>Q9BRX2_PELO</t>
  </si>
  <si>
    <t>Q9BRX5_GINS3</t>
  </si>
  <si>
    <t>Q9BRX9_WDR83</t>
  </si>
  <si>
    <t>Q9BS26_ERP44</t>
  </si>
  <si>
    <t>Q9BS40_LXN</t>
  </si>
  <si>
    <t>Q9BSB4_ATG101</t>
  </si>
  <si>
    <t>Q9BSD7_NTPCR</t>
  </si>
  <si>
    <t>Q9BSE5_AGMAT</t>
  </si>
  <si>
    <t>Q9BSH4_TACO1</t>
  </si>
  <si>
    <t>Q9BSH5_HDHD3</t>
  </si>
  <si>
    <t>Q9BSJ2_TUBGCP2</t>
  </si>
  <si>
    <t>Q9BSJ5-3_C17orf80</t>
  </si>
  <si>
    <t>Q9BSJ8_ESYT1</t>
  </si>
  <si>
    <t>Q9BSL1_UBAC1</t>
  </si>
  <si>
    <t>Q9BSQ5_CCM2</t>
  </si>
  <si>
    <t>Q9BST9-2_RTKN</t>
  </si>
  <si>
    <t>Q9BSU1_C16orf70</t>
  </si>
  <si>
    <t>Q9BSV6_TSEN34</t>
  </si>
  <si>
    <t>Q9BSY4_CHCHD5</t>
  </si>
  <si>
    <t>Q9BT09_CNPY3</t>
  </si>
  <si>
    <t>Q9BT17_MTG1</t>
  </si>
  <si>
    <t>Q9BT25-3_HAUS8</t>
  </si>
  <si>
    <t>Q9BT30_ALKBH7</t>
  </si>
  <si>
    <t>Q9BT73_PSMG3</t>
  </si>
  <si>
    <t>Q9BT78_COPS4</t>
  </si>
  <si>
    <t>Q9BTA9_WAC</t>
  </si>
  <si>
    <t>Q9BTC0_DIDO1</t>
  </si>
  <si>
    <t>Q9BTE1-2_DCTN5</t>
  </si>
  <si>
    <t>Q9BTE3-2_MCMBP</t>
  </si>
  <si>
    <t>Q9BTE6_AARSD1</t>
  </si>
  <si>
    <t>Q9BTE7_DCUN1D5</t>
  </si>
  <si>
    <t>Q9BTF0_THUMPD2</t>
  </si>
  <si>
    <t>Q9BTL3_FAM103A1</t>
  </si>
  <si>
    <t>Q9BTM9_URM1</t>
  </si>
  <si>
    <t>Q9BTP7_FAAP24</t>
  </si>
  <si>
    <t>Q9BTT0_ANP32E</t>
  </si>
  <si>
    <t>Q9BTT4_MED10</t>
  </si>
  <si>
    <t>Q9BTT6_LRRC1</t>
  </si>
  <si>
    <t>Q9BTV5_FSD1</t>
  </si>
  <si>
    <t>Q9BTV6_WDR85</t>
  </si>
  <si>
    <t>Q9BTW9_TBCD</t>
  </si>
  <si>
    <t>Q9BTX7_TTPAL</t>
  </si>
  <si>
    <t>Q9BTY2_FUCA2</t>
  </si>
  <si>
    <t>Q9BTY7_FAM203A</t>
  </si>
  <si>
    <t>Q9BTZ2_DHRS4</t>
  </si>
  <si>
    <t>Q9BU02_THTPA</t>
  </si>
  <si>
    <t>Q9BU61-2_NDUFAF3</t>
  </si>
  <si>
    <t>Q9BU64_CENPO</t>
  </si>
  <si>
    <t>Q9BU76-4_MMTAG2</t>
  </si>
  <si>
    <t>Q9BU89_DOHH</t>
  </si>
  <si>
    <t>Q9BUA3_C11orf84</t>
  </si>
  <si>
    <t>Q9BUB4_ADAT1</t>
  </si>
  <si>
    <t>Q9BUB5-2_MKNK1</t>
  </si>
  <si>
    <t>Q9BUE0_MED18</t>
  </si>
  <si>
    <t>Q9BUF5_TUBB6</t>
  </si>
  <si>
    <t>Q9BUH6_C9orf142</t>
  </si>
  <si>
    <t>Q9BUI4_POLR3C</t>
  </si>
  <si>
    <t>Q9BUJ2-2_HNRNPUL1</t>
  </si>
  <si>
    <t>Q9BUK6-3_MSTO1</t>
  </si>
  <si>
    <t>Q9BUL9_RPP25</t>
  </si>
  <si>
    <t>Q9BUP0_EFHD1</t>
  </si>
  <si>
    <t>Q9BUP3_HTATIP2</t>
  </si>
  <si>
    <t>Q9BUQ8_DDX23</t>
  </si>
  <si>
    <t>Q9BUR4_WRAP53</t>
  </si>
  <si>
    <t>Q9BUT1_BDH2</t>
  </si>
  <si>
    <t>Q9BUT9_FAM195A</t>
  </si>
  <si>
    <t>Q9BUW7_C9orf16</t>
  </si>
  <si>
    <t>Q9BV19_C1orf50</t>
  </si>
  <si>
    <t>Q9BV20_MRI1</t>
  </si>
  <si>
    <t>Q9BV36_MLPH</t>
  </si>
  <si>
    <t>Q9BV36-2_MLPH</t>
  </si>
  <si>
    <t>Q9BV44_THUMPD3</t>
  </si>
  <si>
    <t>Q9BV57_ADI1</t>
  </si>
  <si>
    <t>Q9BV57-2_ADI1</t>
  </si>
  <si>
    <t>Q9BV68-2_RNF126</t>
  </si>
  <si>
    <t>Q9BV73-2_CEP250</t>
  </si>
  <si>
    <t>Q9BV79_MECR</t>
  </si>
  <si>
    <t>Q9BV86_NTMT1</t>
  </si>
  <si>
    <t>Q9BVA0_KATNB1</t>
  </si>
  <si>
    <t>Q9BVC3_DSCC1</t>
  </si>
  <si>
    <t>Q9BVC4_MLST8</t>
  </si>
  <si>
    <t>Q9BVC5_C2orf49</t>
  </si>
  <si>
    <t>Q9BVG4_PBDC1</t>
  </si>
  <si>
    <t>Q9BVG8-2_KIFC3</t>
  </si>
  <si>
    <t>Q9BVI4_NOC4L</t>
  </si>
  <si>
    <t>Q9BVJ6_UTP14A</t>
  </si>
  <si>
    <t>Q9BVJ7_DUSP23</t>
  </si>
  <si>
    <t>Q9BVL4_SELO</t>
  </si>
  <si>
    <t>Q9BVM2_DPCD</t>
  </si>
  <si>
    <t>Q9BVM4_GGACT</t>
  </si>
  <si>
    <t>Q9BVQ7_SPATA5L1</t>
  </si>
  <si>
    <t>Q9BVR6_TUBGCP4</t>
  </si>
  <si>
    <t>Q9BVS4_RIOK2</t>
  </si>
  <si>
    <t>Q9BVV6-2_KIAA0586</t>
  </si>
  <si>
    <t>Q9BVW5_TIPIN</t>
  </si>
  <si>
    <t>Q9BW04_SARG</t>
  </si>
  <si>
    <t>Q9BW19_KIFC1</t>
  </si>
  <si>
    <t>Q9BW27_NUP85</t>
  </si>
  <si>
    <t>Q9BW30_TPPP3</t>
  </si>
  <si>
    <t>Q9BW61_DDA1</t>
  </si>
  <si>
    <t>Q9BW62_KATNAL1</t>
  </si>
  <si>
    <t>Q9BW71_HIRIP3</t>
  </si>
  <si>
    <t>Q9BW83_IFT27</t>
  </si>
  <si>
    <t>Q9BW85_CCDC94</t>
  </si>
  <si>
    <t>Q9BW91-2_NUDT9</t>
  </si>
  <si>
    <t>Q9BW92_TARS2</t>
  </si>
  <si>
    <t>Q9BWD1_ACAT2</t>
  </si>
  <si>
    <t>Q9BWD3_FAM127B</t>
  </si>
  <si>
    <t>Q9BWE0_REPIN1</t>
  </si>
  <si>
    <t>Q9BWF3_RBM4</t>
  </si>
  <si>
    <t>Q9BWH2_FUNDC2</t>
  </si>
  <si>
    <t>Q9BWH6_RPAP1</t>
  </si>
  <si>
    <t>Q9BWJ5_SF3B5</t>
  </si>
  <si>
    <t>Q9BWS9-3_CHID1</t>
  </si>
  <si>
    <t>Q9BWT3_PAPOLG</t>
  </si>
  <si>
    <t>Q9BWT6_MND1</t>
  </si>
  <si>
    <t>Q9BWT7_CARD10</t>
  </si>
  <si>
    <t>Q9BWU0_SLC4A1AP</t>
  </si>
  <si>
    <t>Q9BWW5_SSDP4</t>
  </si>
  <si>
    <t>Q9BX40_LSM14B</t>
  </si>
  <si>
    <t>Q9BX63_BRIP1</t>
  </si>
  <si>
    <t>Q9BX68_HINT2</t>
  </si>
  <si>
    <t>Q9BXB4_OSBPL11</t>
  </si>
  <si>
    <t>Q9BXB5-2_OSBPL10</t>
  </si>
  <si>
    <t>Q9BXF6_RAB11FIP5</t>
  </si>
  <si>
    <t>Q9BXI6_TBC1D10A</t>
  </si>
  <si>
    <t>Q9BXJ9_NAA15</t>
  </si>
  <si>
    <t>Q9BXK1_KLF16</t>
  </si>
  <si>
    <t>Q9BXP5-4_SRRT</t>
  </si>
  <si>
    <t>Q9BXR0_QTRT1</t>
  </si>
  <si>
    <t>Q9BXS5_AP1M1</t>
  </si>
  <si>
    <t>Q9BXS6-2_NUSAP1</t>
  </si>
  <si>
    <t>Q9BXS6-4_NUSAP1</t>
  </si>
  <si>
    <t>Q9BXV9_C14orf142</t>
  </si>
  <si>
    <t>Q9BXW6_OSBPL1A</t>
  </si>
  <si>
    <t>Q9BXW7-2_CECR5</t>
  </si>
  <si>
    <t>Q9BXW9-2_FANCD2</t>
  </si>
  <si>
    <t>Q9BXY0_MAK16</t>
  </si>
  <si>
    <t>Q9BY12-2_SCAPER</t>
  </si>
  <si>
    <t>Q9BY32_ITPA</t>
  </si>
  <si>
    <t>Q9BY42_RTFDC1</t>
  </si>
  <si>
    <t>Q9BY43_CHMP4A</t>
  </si>
  <si>
    <t>Q9BY67-2_CADM1</t>
  </si>
  <si>
    <t>Q9BY77_POLDIP3</t>
  </si>
  <si>
    <t>Q9BY89_KIAA1671</t>
  </si>
  <si>
    <t>Q9BYB4_GNB1L</t>
  </si>
  <si>
    <t>Q9BYC8_MRPL32</t>
  </si>
  <si>
    <t>Q9BYG5_PARD6B</t>
  </si>
  <si>
    <t>Q9BYJ9_YTHDF1</t>
  </si>
  <si>
    <t>Q9BYM8_RBCK1</t>
  </si>
  <si>
    <t>Q9BYN0_SRXN1</t>
  </si>
  <si>
    <t>Q9BYN8_MRPS26</t>
  </si>
  <si>
    <t>Q9BYT8_NLN</t>
  </si>
  <si>
    <t>Q9BYV8_CEP41</t>
  </si>
  <si>
    <t>Q9BYW2_SETD2</t>
  </si>
  <si>
    <t>Q9BYX2-4_TBC1D2</t>
  </si>
  <si>
    <t>Q9BZ23-3_PANK2</t>
  </si>
  <si>
    <t>Q9BZ29-3_DOCK9</t>
  </si>
  <si>
    <t>Q9BZ67-2_FRMD8</t>
  </si>
  <si>
    <t>Q9BZ95-4_WHSC1L1</t>
  </si>
  <si>
    <t>Q9BZA5_TXLNG2P</t>
  </si>
  <si>
    <t>Q9BZD4_NUF2</t>
  </si>
  <si>
    <t>Q9BZE4_GTPBP4</t>
  </si>
  <si>
    <t>Q9BZE9_ASPSCR1</t>
  </si>
  <si>
    <t>Q9BZG1_RAB34</t>
  </si>
  <si>
    <t>Q9BZH6_WDR11</t>
  </si>
  <si>
    <t>Q9BZI7-2_UPF3B</t>
  </si>
  <si>
    <t>Q9BZJ0-2_CRNKL1</t>
  </si>
  <si>
    <t>Q9BZK7_TBL1XR1</t>
  </si>
  <si>
    <t>Q9BZL1_UBL5</t>
  </si>
  <si>
    <t>Q9BZL4_PPP1R12C</t>
  </si>
  <si>
    <t>Q9BZL4-3_PPP1R12C</t>
  </si>
  <si>
    <t>Q9BZL4-4_PPP1R12C</t>
  </si>
  <si>
    <t>Q9BZL6_PRKD2</t>
  </si>
  <si>
    <t>Q9BZM5_ULBP2</t>
  </si>
  <si>
    <t>Q9BZX2_UCK2</t>
  </si>
  <si>
    <t>Q9BZZ5-2_API5</t>
  </si>
  <si>
    <t>Q9C005_DPY30</t>
  </si>
  <si>
    <t>Q9C010_PKIB</t>
  </si>
  <si>
    <t>Q9C026-5_TRIM9</t>
  </si>
  <si>
    <t>Q9C0B0_UNK</t>
  </si>
  <si>
    <t>Q9C0B1_FTO</t>
  </si>
  <si>
    <t>Q9C0B5-2_ZDHHC5</t>
  </si>
  <si>
    <t>Q9C0B7_TANGO6</t>
  </si>
  <si>
    <t>Q9C0C2_TNKS1BP1</t>
  </si>
  <si>
    <t>Q9C0C7-4_AMBRA1</t>
  </si>
  <si>
    <t>Q9C0C9_UBE2O</t>
  </si>
  <si>
    <t>Q9C0D3_ZYG11B</t>
  </si>
  <si>
    <t>Q9C0D5_TANC1</t>
  </si>
  <si>
    <t>Q9C0F1_CEP44</t>
  </si>
  <si>
    <t>Q9C0H6_KLHL4</t>
  </si>
  <si>
    <t>Q9C0I1_MTMR12</t>
  </si>
  <si>
    <t>Q9C0J8_WDR33</t>
  </si>
  <si>
    <t>Q9GZL7_WDR12</t>
  </si>
  <si>
    <t>Q9GZN1_ACTR6</t>
  </si>
  <si>
    <t>Q9GZN8_C20orf27</t>
  </si>
  <si>
    <t>Q9GZP4_PITHD1</t>
  </si>
  <si>
    <t>Q9GZQ3_COMMD5</t>
  </si>
  <si>
    <t>Q9GZR1-2_SENP6</t>
  </si>
  <si>
    <t>Q9GZS1-2_POLR1E</t>
  </si>
  <si>
    <t>Q9GZS3_WDR61</t>
  </si>
  <si>
    <t>Q9GZT3-2_SLIRP</t>
  </si>
  <si>
    <t>Q9GZT4_SRR</t>
  </si>
  <si>
    <t>Q9GZT8_NIF3L1</t>
  </si>
  <si>
    <t>Q9GZT9_EGLN1</t>
  </si>
  <si>
    <t>Q9GZU8_FAM192A</t>
  </si>
  <si>
    <t>Q9GZV1_ANKRD2</t>
  </si>
  <si>
    <t>Q9GZV5_WWTR1</t>
  </si>
  <si>
    <t>Q9GZX9_TWSG1</t>
  </si>
  <si>
    <t>Q9GZY8-2_MFF</t>
  </si>
  <si>
    <t>Q9GZZ9_UBA5</t>
  </si>
  <si>
    <t>Q9H008_LHPP</t>
  </si>
  <si>
    <t>Q9H074_PAIP1</t>
  </si>
  <si>
    <t>Q9H078-2_CLPB</t>
  </si>
  <si>
    <t>Q9H081_MIS12</t>
  </si>
  <si>
    <t>Q9H082_RAB33B</t>
  </si>
  <si>
    <t>Q9H098_FAM107B</t>
  </si>
  <si>
    <t>Q9H0A8_COMMD4</t>
  </si>
  <si>
    <t>Q9H0B6_KLC2</t>
  </si>
  <si>
    <t>Q9H0C8_ILKAP</t>
  </si>
  <si>
    <t>Q9H0D6_XRN2</t>
  </si>
  <si>
    <t>Q9H0E2_TOLLIP</t>
  </si>
  <si>
    <t>Q9H0E3-3_SAP130</t>
  </si>
  <si>
    <t>Q9H0E9-2_BRD8</t>
  </si>
  <si>
    <t>Q9H0F6_SHARPIN</t>
  </si>
  <si>
    <t>Q9H0F7_ARL6</t>
  </si>
  <si>
    <t>Q9H0G5_NSRP1</t>
  </si>
  <si>
    <t>Q9H0H5_RACGAP1</t>
  </si>
  <si>
    <t>Q9H0J9_PARP12</t>
  </si>
  <si>
    <t>Q9H0K6_PUS7L</t>
  </si>
  <si>
    <t>Q9H0L4_CSTF2T</t>
  </si>
  <si>
    <t>Q9H0P0-1_NT5C3A</t>
  </si>
  <si>
    <t>Q9H0R1_AP5M1</t>
  </si>
  <si>
    <t>Q9H0R4_HDHD2</t>
  </si>
  <si>
    <t>Q9H0R6_QRSL1</t>
  </si>
  <si>
    <t>Q9H0S4-2_DDX47</t>
  </si>
  <si>
    <t>Q9H0U4_RAB1B</t>
  </si>
  <si>
    <t>Q9H0W8_SMG9</t>
  </si>
  <si>
    <t>Q9H0W9-2_C11orf54</t>
  </si>
  <si>
    <t>Q9H173_SIL1</t>
  </si>
  <si>
    <t>Q9H1A4_ANAPC1</t>
  </si>
  <si>
    <t>Q9H1B7_IRF2BPL</t>
  </si>
  <si>
    <t>Q9H1D9_POLR3F</t>
  </si>
  <si>
    <t>Q9H1E3_NUCKS1</t>
  </si>
  <si>
    <t>Q9H1H9-3_KIF13A</t>
  </si>
  <si>
    <t>Q9H1I8-3_ASCC2</t>
  </si>
  <si>
    <t>Q9H1J1-2_UPF3A</t>
  </si>
  <si>
    <t>Q9H1K0_ZFYVE20</t>
  </si>
  <si>
    <t>Q9H1K1_ISCU</t>
  </si>
  <si>
    <t>Q9H1P3-2_OSBPL2</t>
  </si>
  <si>
    <t>Q9H1U4_MEGF9</t>
  </si>
  <si>
    <t>Q9H1Y0_ATG5</t>
  </si>
  <si>
    <t>Q9H1Z4_WDR13</t>
  </si>
  <si>
    <t>Q9H223_EHD4</t>
  </si>
  <si>
    <t>Q9H267_VPS33B</t>
  </si>
  <si>
    <t>Q9H269_VPS16</t>
  </si>
  <si>
    <t>Q9H270_VPS11</t>
  </si>
  <si>
    <t>Q9H2C0_GAN</t>
  </si>
  <si>
    <t>Q9H2D6-3_TRIOBP</t>
  </si>
  <si>
    <t>Q9H2F5-2_EPC1</t>
  </si>
  <si>
    <t>Q9H2G2_SLK</t>
  </si>
  <si>
    <t>Q9H2H8_PPIL3</t>
  </si>
  <si>
    <t>Q9H2J4_PDCL3</t>
  </si>
  <si>
    <t>Q9H2K8_TAOK3</t>
  </si>
  <si>
    <t>Q9H2M9_RAB3GAP2</t>
  </si>
  <si>
    <t>Q9H2P0_ADNP</t>
  </si>
  <si>
    <t>Q9H2P9-3_DPH5</t>
  </si>
  <si>
    <t>Q9H2U1-3_DHX36</t>
  </si>
  <si>
    <t>Q9H2U2_PPA2</t>
  </si>
  <si>
    <t>Q9H2W6_MRPL46</t>
  </si>
  <si>
    <t>Q9H2Y7_ZNF106</t>
  </si>
  <si>
    <t>Q9H307_PNN</t>
  </si>
  <si>
    <t>Q9H3D4-10_TP63</t>
  </si>
  <si>
    <t>Q9H3F6_KCTD10</t>
  </si>
  <si>
    <t>Q9H3H1-4_TRIT1</t>
  </si>
  <si>
    <t>Q9H3H3-2_C11orf68</t>
  </si>
  <si>
    <t>Q9H3K6_BOLA2</t>
  </si>
  <si>
    <t>Q9H3L0_MMADHC</t>
  </si>
  <si>
    <t>Q9H3N1_TMX1</t>
  </si>
  <si>
    <t>Q9H3P2_NELFA</t>
  </si>
  <si>
    <t>Q9H3P7_ACBD3</t>
  </si>
  <si>
    <t>Q9H3Q1_CDC42EP4</t>
  </si>
  <si>
    <t>Q9H3S7_PTPN23</t>
  </si>
  <si>
    <t>Q9H3U1_UNC45A</t>
  </si>
  <si>
    <t>Q9H3Y8_PPDPF</t>
  </si>
  <si>
    <t>Q9H410_DSN1</t>
  </si>
  <si>
    <t>Q9H425_C1orf198</t>
  </si>
  <si>
    <t>Q9H444_CHMP4B</t>
  </si>
  <si>
    <t>Q9H461_FZD8</t>
  </si>
  <si>
    <t>Q9H467_CUEDC2</t>
  </si>
  <si>
    <t>Q9H469_FBXL15</t>
  </si>
  <si>
    <t>Q9H479_FN3K</t>
  </si>
  <si>
    <t>Q9H488_POFUT1</t>
  </si>
  <si>
    <t>Q9H492_MAP1LC3A</t>
  </si>
  <si>
    <t>Q9H496_IFRG15</t>
  </si>
  <si>
    <t>Q9H4A4_RNPEP</t>
  </si>
  <si>
    <t>Q9H4A5_GOLPH3L</t>
  </si>
  <si>
    <t>Q9H4A6_GOLPH3</t>
  </si>
  <si>
    <t>Q9H4B0_OSGEPL1</t>
  </si>
  <si>
    <t>Q9H4B6_SAV1</t>
  </si>
  <si>
    <t>Q9H4F8_SMOC1</t>
  </si>
  <si>
    <t>Q9H4G0_EPB41L1</t>
  </si>
  <si>
    <t>Q9H4G0-2_EPB41L1</t>
  </si>
  <si>
    <t>Q9H4G0-4_EPB41L1</t>
  </si>
  <si>
    <t>Q9H4H8_FAM83D</t>
  </si>
  <si>
    <t>Q9H4I2_ZHX3</t>
  </si>
  <si>
    <t>Q9H4L5-4_OSBPL3</t>
  </si>
  <si>
    <t>Q9H4L7_SMARCAD1</t>
  </si>
  <si>
    <t>Q9H4M9_EHD1</t>
  </si>
  <si>
    <t>Q9H4P4-2_RNF41</t>
  </si>
  <si>
    <t>Q9H4Z3_PCIF1</t>
  </si>
  <si>
    <t>Q9H501_ESF1</t>
  </si>
  <si>
    <t>Q9H582-2_ZNF644</t>
  </si>
  <si>
    <t>Q9H5N1_RABEP2</t>
  </si>
  <si>
    <t>Q9H5Q4_TFB2M</t>
  </si>
  <si>
    <t>Q9H5V9-3_CXorf56</t>
  </si>
  <si>
    <t>Q9H5X1_FAM96A</t>
  </si>
  <si>
    <t>Q9H5Z1-2_DHX35</t>
  </si>
  <si>
    <t>Q9H609_ZNF576</t>
  </si>
  <si>
    <t>Q9H633-3_RPP21</t>
  </si>
  <si>
    <t>Q9H672_ASB7</t>
  </si>
  <si>
    <t>Q9H694_BICC1</t>
  </si>
  <si>
    <t>Q9H6A9_PCNXL3</t>
  </si>
  <si>
    <t>Q9H6D7_HAUS4</t>
  </si>
  <si>
    <t>Q9H6E4_CCDC134</t>
  </si>
  <si>
    <t>Q9H6E5_TUT1</t>
  </si>
  <si>
    <t>Q9H6F5_CCDC86</t>
  </si>
  <si>
    <t>Q9H6I2_SOX17</t>
  </si>
  <si>
    <t>Q9H6K1_C6orf106</t>
  </si>
  <si>
    <t>Q9H6L4_ARMC7</t>
  </si>
  <si>
    <t>Q9H6Q4_NARFL</t>
  </si>
  <si>
    <t>Q9H6R4-2_NOL6</t>
  </si>
  <si>
    <t>Q9H6R7-2_C2orf44</t>
  </si>
  <si>
    <t>Q9H6S0_YTHDC2</t>
  </si>
  <si>
    <t>Q9H6S1_AZI2</t>
  </si>
  <si>
    <t>Q9H6S3_EPS8L2</t>
  </si>
  <si>
    <t>Q9H6T3-2_RPAP3</t>
  </si>
  <si>
    <t>Q9H6U6-2_BCAS3</t>
  </si>
  <si>
    <t>Q9H6X2_ANTXR1</t>
  </si>
  <si>
    <t>Q9H6Y2_WDR55</t>
  </si>
  <si>
    <t>Q9H6Z4-2_RANBP3</t>
  </si>
  <si>
    <t>Q9H706-2_GAREM</t>
  </si>
  <si>
    <t>Q9H773_DCTPP1</t>
  </si>
  <si>
    <t>Q9H788_SH2D4A</t>
  </si>
  <si>
    <t>Q9H792_PEAK1</t>
  </si>
  <si>
    <t>Q9H7B4_SMYD3</t>
  </si>
  <si>
    <t>Q9H7C4-2_SYNC</t>
  </si>
  <si>
    <t>Q9H7C9_AAMDC</t>
  </si>
  <si>
    <t>Q9H7D0_DOCK5</t>
  </si>
  <si>
    <t>Q9H7D7-2_WDR26</t>
  </si>
  <si>
    <t>Q9H7E2-3_TDRD3</t>
  </si>
  <si>
    <t>Q9H7E9_C8orf33</t>
  </si>
  <si>
    <t>Q9H7L9_SUDS3</t>
  </si>
  <si>
    <t>Q9H7N4_SCAF1</t>
  </si>
  <si>
    <t>Q9H7P9_PLEKHG2</t>
  </si>
  <si>
    <t>Q9H7S9_ZNF703</t>
  </si>
  <si>
    <t>Q9H7U1-3_CCSER2</t>
  </si>
  <si>
    <t>Q9H7X3_ZNF696</t>
  </si>
  <si>
    <t>Q9H7X7-2_RABL5</t>
  </si>
  <si>
    <t>Q9H7Z6_KAT8</t>
  </si>
  <si>
    <t>Q9H7Z7_PTGES2</t>
  </si>
  <si>
    <t>Q9H814_PHAX</t>
  </si>
  <si>
    <t>Q9H832_UBE2Z</t>
  </si>
  <si>
    <t>Q9H840_GEMIN7</t>
  </si>
  <si>
    <t>Q9H845_ACAD9</t>
  </si>
  <si>
    <t>Q9H857-2_NT5DC2</t>
  </si>
  <si>
    <t>Q9H869-7_YY1AP1</t>
  </si>
  <si>
    <t>Q9H875_PRKRIP1</t>
  </si>
  <si>
    <t>Q9H8G2_CAAP1</t>
  </si>
  <si>
    <t>Q9H8H0_NOL11</t>
  </si>
  <si>
    <t>Q9H8K7_C10orf88</t>
  </si>
  <si>
    <t>Q9H8M7_FAM188A</t>
  </si>
  <si>
    <t>Q9H8S9_MOB1A</t>
  </si>
  <si>
    <t>Q9H8U3_ZFAND3</t>
  </si>
  <si>
    <t>Q9H8V3_ECT2</t>
  </si>
  <si>
    <t>Q9H8W4_PLEKHF2</t>
  </si>
  <si>
    <t>Q9H8Y5_ANKZF1</t>
  </si>
  <si>
    <t>Q9H8Y8_GORASP2</t>
  </si>
  <si>
    <t>Q9H900_ZWILCH</t>
  </si>
  <si>
    <t>Q9H910-2_HN1L</t>
  </si>
  <si>
    <t>Q9H944_MED20</t>
  </si>
  <si>
    <t>Q9H974_QTRTD1</t>
  </si>
  <si>
    <t>Q9H977_WDR54</t>
  </si>
  <si>
    <t>Q9H992_MARCH7</t>
  </si>
  <si>
    <t>Q9H993_C6orf211</t>
  </si>
  <si>
    <t>Q9H999_PANK3</t>
  </si>
  <si>
    <t>Q9H9A5-2_CNOT10</t>
  </si>
  <si>
    <t>Q9H9A6_LRRC40</t>
  </si>
  <si>
    <t>Q9H9A7_RMI1</t>
  </si>
  <si>
    <t>Q9H9B1_EHMT1</t>
  </si>
  <si>
    <t>Q9H9C1_VIPAS39</t>
  </si>
  <si>
    <t>Q9H9D4_ZNF408</t>
  </si>
  <si>
    <t>Q9H9E3_COG4</t>
  </si>
  <si>
    <t>Q9H9F9_ACTR5</t>
  </si>
  <si>
    <t>Q9H9H4_VPS37B</t>
  </si>
  <si>
    <t>Q9H9J2_MRPL44</t>
  </si>
  <si>
    <t>Q9H9R9_DBNDD1</t>
  </si>
  <si>
    <t>Q9H9T3-2_ELP3</t>
  </si>
  <si>
    <t>Q9H9Y6_POLR1B</t>
  </si>
  <si>
    <t>Q9HA47-3_UCK1</t>
  </si>
  <si>
    <t>Q9HA64_FN3KRP</t>
  </si>
  <si>
    <t>Q9HA65_TBC1D17</t>
  </si>
  <si>
    <t>Q9HA77_CARS2</t>
  </si>
  <si>
    <t>Q9HAB8_PPCS</t>
  </si>
  <si>
    <t>Q9HAD4_WDR41</t>
  </si>
  <si>
    <t>Q9HAJ7_SAP30L</t>
  </si>
  <si>
    <t>Q9HAP2_MLXIP</t>
  </si>
  <si>
    <t>Q9HAT2-2_SIAE</t>
  </si>
  <si>
    <t>Q9HAU0_PLEKHA5</t>
  </si>
  <si>
    <t>Q9HAU4_SMURF2</t>
  </si>
  <si>
    <t>Q9HAU5_UPF2</t>
  </si>
  <si>
    <t>Q9HAU8_RNPEPL1</t>
  </si>
  <si>
    <t>Q9HAV4_XPO5</t>
  </si>
  <si>
    <t>Q9HAV7_GRPEL1</t>
  </si>
  <si>
    <t>Q9HAW4-2_CLSPN</t>
  </si>
  <si>
    <t>Q9HAY6_BCMO1</t>
  </si>
  <si>
    <t>Q9HB07_C12orf10</t>
  </si>
  <si>
    <t>Q9HB09-3_BCL2L12</t>
  </si>
  <si>
    <t>Q9HB19_PLEKHA2</t>
  </si>
  <si>
    <t>Q9HB20_PLEKHA3</t>
  </si>
  <si>
    <t>Q9HB21_PLEKHA1</t>
  </si>
  <si>
    <t>Q9HB40_SCPEP1</t>
  </si>
  <si>
    <t>Q9HB71_CACYBP</t>
  </si>
  <si>
    <t>Q9HB90_RRAGC</t>
  </si>
  <si>
    <t>Q9HB96_FANCE</t>
  </si>
  <si>
    <t>Q9HBD1-6_RC3H2</t>
  </si>
  <si>
    <t>Q9HBE1-4_PATZ1</t>
  </si>
  <si>
    <t>Q9HBH1_PDF</t>
  </si>
  <si>
    <t>Q9HBI1_PARVB</t>
  </si>
  <si>
    <t>Q9HBK9_AS3MT</t>
  </si>
  <si>
    <t>Q9HBL8_NMRAL1</t>
  </si>
  <si>
    <t>Q9HBM1_SPC25</t>
  </si>
  <si>
    <t>Q9HBR0_SLC38A10</t>
  </si>
  <si>
    <t>Q9HBU6_ETNK1</t>
  </si>
  <si>
    <t>Q9HBZ2-2_ARNT2</t>
  </si>
  <si>
    <t>Q9HC35_EML4</t>
  </si>
  <si>
    <t>Q9HC38-2_GLOD4</t>
  </si>
  <si>
    <t>Q9HC52_CBX8</t>
  </si>
  <si>
    <t>Q9HC84_MUC5B</t>
  </si>
  <si>
    <t>Q9HCC0_MCCC2</t>
  </si>
  <si>
    <t>Q9HCC9-5_ZFYVE28</t>
  </si>
  <si>
    <t>Q9HCD5_NCOA5</t>
  </si>
  <si>
    <t>Q9HCD6_TANC2</t>
  </si>
  <si>
    <t>Q9HCE0-2_EPG5</t>
  </si>
  <si>
    <t>Q9HCE3_ZNF532</t>
  </si>
  <si>
    <t>Q9HCE5_METTL14</t>
  </si>
  <si>
    <t>Q9HCH0_NCKAP5L</t>
  </si>
  <si>
    <t>Q9HCH5-11_SYTL2</t>
  </si>
  <si>
    <t>Q9HCH5-14_SYTL2</t>
  </si>
  <si>
    <t>Q9HCJ0_TNRC6C</t>
  </si>
  <si>
    <t>Q9HCJ3-2_RAVER2</t>
  </si>
  <si>
    <t>Q9HCK8_CHD8</t>
  </si>
  <si>
    <t>Q9HCM1_KIAA1551</t>
  </si>
  <si>
    <t>Q9HCM4-4_EPB41L5</t>
  </si>
  <si>
    <t>Q9HCN4-3_GPN1</t>
  </si>
  <si>
    <t>Q9HCN8_SDF2L1</t>
  </si>
  <si>
    <t>Q9HCP0-2_CSNK1G1</t>
  </si>
  <si>
    <t>Q9HCS5_EPB41L4A</t>
  </si>
  <si>
    <t>Q9HCU8_POLD4</t>
  </si>
  <si>
    <t>Q9HD15_SRA1</t>
  </si>
  <si>
    <t>Q9HD26-2_GOPC</t>
  </si>
  <si>
    <t>Q9HD40-3_SEPSECS</t>
  </si>
  <si>
    <t>Q9HD42_CHMP1A</t>
  </si>
  <si>
    <t>Q9HD47-2_RANGRF</t>
  </si>
  <si>
    <t>Q9HD67_MYO10</t>
  </si>
  <si>
    <t>Q9NNW5_WDR6</t>
  </si>
  <si>
    <t>Q9NNX1-2_TUFT1</t>
  </si>
  <si>
    <t>Q9NP61_ARFGAP3</t>
  </si>
  <si>
    <t>Q9NP66_HMG20A</t>
  </si>
  <si>
    <t>Q9NP72_RAB18</t>
  </si>
  <si>
    <t>Q9NP73-2_ALG13</t>
  </si>
  <si>
    <t>Q9NP74_PALMD</t>
  </si>
  <si>
    <t>Q9NP77_SSU72</t>
  </si>
  <si>
    <t>Q9NP79_VTA1</t>
  </si>
  <si>
    <t>Q9NP97_DYNLRB1</t>
  </si>
  <si>
    <t>Q9NPA3_MID1IP1</t>
  </si>
  <si>
    <t>Q9NPA8-2_ENY2</t>
  </si>
  <si>
    <t>Q9NPB8_GPCPD1</t>
  </si>
  <si>
    <t>Q9NPD3_EXOSC4</t>
  </si>
  <si>
    <t>Q9NPD8_UBE2T</t>
  </si>
  <si>
    <t>Q9NPE2_NGRN</t>
  </si>
  <si>
    <t>Q9NPE3_NOP10</t>
  </si>
  <si>
    <t>Q9NPF0_CD320</t>
  </si>
  <si>
    <t>Q9NPF4_OSGEP</t>
  </si>
  <si>
    <t>Q9NPF5_DMAP1</t>
  </si>
  <si>
    <t>Q9NPH0_ACP6</t>
  </si>
  <si>
    <t>Q9NPI6_DCP1A</t>
  </si>
  <si>
    <t>Q9NPJ3_ACOT13</t>
  </si>
  <si>
    <t>Q9NPJ6_MED4</t>
  </si>
  <si>
    <t>Q9NPQ8-4_RIC8A</t>
  </si>
  <si>
    <t>Q9NQ29_LUC7L</t>
  </si>
  <si>
    <t>Q9NQ88_TIGAR</t>
  </si>
  <si>
    <t>Q9NQ92_COPRS</t>
  </si>
  <si>
    <t>Q9NQA3_WASH6P</t>
  </si>
  <si>
    <t>Q9NQC3_RTN4</t>
  </si>
  <si>
    <t>Q9NQE9_HINT3</t>
  </si>
  <si>
    <t>Q9NQG5_RPRD1B</t>
  </si>
  <si>
    <t>Q9NQH7-2_XPNPEP3</t>
  </si>
  <si>
    <t>Q9NQP4_PFDN4</t>
  </si>
  <si>
    <t>Q9NQR4_NIT2</t>
  </si>
  <si>
    <t>Q9NQS1_AVEN</t>
  </si>
  <si>
    <t>Q9NQS3_PVRL3</t>
  </si>
  <si>
    <t>Q9NQS7-2_INCENP</t>
  </si>
  <si>
    <t>Q9NQT4_EXOSC5</t>
  </si>
  <si>
    <t>Q9NQT8_KIF13B</t>
  </si>
  <si>
    <t>Q9NQW6_ANLN</t>
  </si>
  <si>
    <t>Q9NQW7-3_XPNPEP1</t>
  </si>
  <si>
    <t>Q9NQX3_GPHN</t>
  </si>
  <si>
    <t>Q9NQY0_BIN3</t>
  </si>
  <si>
    <t>Q9NQZ2_UTP3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</si>
  <si>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</si>
  <si>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</si>
  <si>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</si>
  <si>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</si>
  <si>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</si>
  <si>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</si>
  <si>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</si>
  <si>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</si>
  <si>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</si>
  <si>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Q9NR46_SH3GLB2</t>
  </si>
  <si>
    <t>Q9NR50_EIF2B3</t>
  </si>
  <si>
    <t>Q9NRF2-3_SH2B1</t>
  </si>
  <si>
    <t>Q9NRF8_CTPS2</t>
  </si>
  <si>
    <t>Q9NRF9_POLE3</t>
  </si>
  <si>
    <t>Q9NRG0_CHRAC1</t>
  </si>
  <si>
    <t>Q9NRG1_PRTFDC1</t>
  </si>
  <si>
    <t>Q9NRG4_SMYD2</t>
  </si>
  <si>
    <t>Q9NRH1_YAE1D1</t>
  </si>
  <si>
    <t>Q9NRJ4_TULP4</t>
  </si>
  <si>
    <t>Q9NRL2-2_BAZ1A</t>
  </si>
  <si>
    <t>Q9NRL3_STRN4</t>
  </si>
  <si>
    <t>Q9NRN7_AASDHPPT</t>
  </si>
  <si>
    <t>Q9NRN9_METTL5</t>
  </si>
  <si>
    <t>Q9NRR5_UBQLN4</t>
  </si>
  <si>
    <t>Q9NRR6-2_INPP5E</t>
  </si>
  <si>
    <t>Q9NRS6_SNX15</t>
  </si>
  <si>
    <t>Q9NRV9_HEBP1</t>
  </si>
  <si>
    <t>Q9NRW7_VPS45</t>
  </si>
  <si>
    <t>Q9NRX1_PNO1</t>
  </si>
  <si>
    <t>Q9NRX4_PHPT1</t>
  </si>
  <si>
    <t>Q9NRY2_INIP</t>
  </si>
  <si>
    <t>Q9NRY4_ARHGAP35</t>
  </si>
  <si>
    <t>Q9NRY5_FAM114A2</t>
  </si>
  <si>
    <t>Q9NRZ9-3_HELLS</t>
  </si>
  <si>
    <t>Q9NS18_GLRX2</t>
  </si>
  <si>
    <t>Q9NS37_CREBZF</t>
  </si>
  <si>
    <t>Q9NS73-3_MBIP</t>
  </si>
  <si>
    <t>Q9NS86_LANCL2</t>
  </si>
  <si>
    <t>Q9NS87-2_KIF15</t>
  </si>
  <si>
    <t>Q9NS91_RAD18</t>
  </si>
  <si>
    <t>Q9NSA3_CTNNBIP1</t>
  </si>
  <si>
    <t>Q9NSB8-2_HOMER2</t>
  </si>
  <si>
    <t>Q9NSC5-5_HOMER3</t>
  </si>
  <si>
    <t>Q9NSD9_FARSB</t>
  </si>
  <si>
    <t>Q9NSE4_IARS2</t>
  </si>
  <si>
    <t>Q9NSI2-2_FAM207A</t>
  </si>
  <si>
    <t>Q9NSK0_KLC4</t>
  </si>
  <si>
    <t>Q9NT62_ATG3</t>
  </si>
  <si>
    <t>Q9NTI5-2_PDS5B</t>
  </si>
  <si>
    <t>Q9NTJ3_SMC4</t>
  </si>
  <si>
    <t>Q9NTJ4-3_MAN2C1</t>
  </si>
  <si>
    <t>Q9NTK5_OLA1</t>
  </si>
  <si>
    <t>Q9NTK5-2_OLA1</t>
  </si>
  <si>
    <t>Q9NTM9_CUTC</t>
  </si>
  <si>
    <t>Q9NTN9_SEMA4G</t>
  </si>
  <si>
    <t>Q9NTX5-6_ECHDC1</t>
  </si>
  <si>
    <t>Q9NTX7-2_RNF146</t>
  </si>
  <si>
    <t>Q9NTZ6_RBM12</t>
  </si>
  <si>
    <t>Q9NU22_MDN1</t>
  </si>
  <si>
    <t>Q9NUB1-2_ACSS1</t>
  </si>
  <si>
    <t>Q9NUG6_PDRG1</t>
  </si>
  <si>
    <t>Q9NUJ1_ABHD10</t>
  </si>
  <si>
    <t>Q9NUJ3_TCP11L1</t>
  </si>
  <si>
    <t>Q9NUM4_TMEM106B</t>
  </si>
  <si>
    <t>Q9NUP1_BLOC1S4</t>
  </si>
  <si>
    <t>Q9NUP7_TRMT13</t>
  </si>
  <si>
    <t>Q9NUP9_LIN7C</t>
  </si>
  <si>
    <t>Q9NUQ3_TXLNG</t>
  </si>
  <si>
    <t>Q9NUQ6-2_SPATS2L</t>
  </si>
  <si>
    <t>Q9NUQ8_ABCF3</t>
  </si>
  <si>
    <t>Q9NUQ9_FAM49B</t>
  </si>
  <si>
    <t>Q9NUU7_DDX19A</t>
  </si>
  <si>
    <t>Q9NUW8_TDP1</t>
  </si>
  <si>
    <t>Q9NUY8_TBC1D23</t>
  </si>
  <si>
    <t>Q9NV06_DCAF13</t>
  </si>
  <si>
    <t>Q9NV35_NUDT15</t>
  </si>
  <si>
    <t>Q9NV56_MRGBP</t>
  </si>
  <si>
    <t>Q9NV70-2_EXOC1</t>
  </si>
  <si>
    <t>Q9NV88-3_INTS9</t>
  </si>
  <si>
    <t>Q9NVA4_TMEM184C</t>
  </si>
  <si>
    <t>Q9NVD7_PARVA</t>
  </si>
  <si>
    <t>Q9NVE5_USP40</t>
  </si>
  <si>
    <t>Q9NVE7_PANK4</t>
  </si>
  <si>
    <t>Q9NVF7_FBXO28</t>
  </si>
  <si>
    <t>Q9NVG8_TBC1D13</t>
  </si>
  <si>
    <t>Q9NVH2-3_INTS7</t>
  </si>
  <si>
    <t>Q9NVH6-7_TMLHE</t>
  </si>
  <si>
    <t>Q9NVI1_FANCI</t>
  </si>
  <si>
    <t>Q9NVJ2_ARL8B</t>
  </si>
  <si>
    <t>Q9NVM4-3_PRMT7</t>
  </si>
  <si>
    <t>Q9NVM6_DNAJC17</t>
  </si>
  <si>
    <t>Q9NVM9_ASUN</t>
  </si>
  <si>
    <t>Q9NVN3_RIC8B</t>
  </si>
  <si>
    <t>Q9NVN8_GNL3L</t>
  </si>
  <si>
    <t>Q9NVP2_ASF1B</t>
  </si>
  <si>
    <t>Q9NVQ4_FAIM</t>
  </si>
  <si>
    <t>Q9NVR0_KLHL11</t>
  </si>
  <si>
    <t>Q9NVR2_INTS10</t>
  </si>
  <si>
    <t>Q9NVR5_DNAAF2</t>
  </si>
  <si>
    <t>Q9NVS9_PNPO</t>
  </si>
  <si>
    <t>Q9NVT9_ARMC1</t>
  </si>
  <si>
    <t>Q9NVU0-5_POLR3E</t>
  </si>
  <si>
    <t>Q9NVU7-2_SDAD1</t>
  </si>
  <si>
    <t>Q9NVW2_RLIM</t>
  </si>
  <si>
    <t>Q9NVX0-3_HAUS2</t>
  </si>
  <si>
    <t>Q9NVX2_NLE1</t>
  </si>
  <si>
    <t>Q9NVX7_KBTBD4</t>
  </si>
  <si>
    <t>Q9NVZ3_NECAP2</t>
  </si>
  <si>
    <t>Q9NW08-2_POLR3B</t>
  </si>
  <si>
    <t>Q9NW64_RBM22</t>
  </si>
  <si>
    <t>Q9NW75_GPATCH2</t>
  </si>
  <si>
    <t>Q9NW82_WDR70</t>
  </si>
  <si>
    <t>Q9NW97_TMEM51</t>
  </si>
  <si>
    <t>Q9NWA0_MED9</t>
  </si>
  <si>
    <t>Q9NWB6_ARGLU1</t>
  </si>
  <si>
    <t>Q9NWF9_RNF216</t>
  </si>
  <si>
    <t>Q9NWH9_SLTM</t>
  </si>
  <si>
    <t>Q9NWK9_ZNHIT6</t>
  </si>
  <si>
    <t>Q9NWM0-2_SMOX</t>
  </si>
  <si>
    <t>Q9NWM3_CUEDC1</t>
  </si>
  <si>
    <t>Q9NWM8_FKBP14</t>
  </si>
  <si>
    <t>Q9NWQ4-4_GPATCH2L</t>
  </si>
  <si>
    <t>Q9NWQ9_C14orf119</t>
  </si>
  <si>
    <t>Q9NWS0_PIH1D1</t>
  </si>
  <si>
    <t>Q9NWS1-5_PARPBP</t>
  </si>
  <si>
    <t>Q9NWS6_FAM118A</t>
  </si>
  <si>
    <t>Q9NWT6_HIF1AN</t>
  </si>
  <si>
    <t>Q9NWU1_OXSM</t>
  </si>
  <si>
    <t>Q9NWU2_GID8</t>
  </si>
  <si>
    <t>Q9NWV4_C1orf123</t>
  </si>
  <si>
    <t>Q9NWW6-2_NMRK1</t>
  </si>
  <si>
    <t>Q9NWX5_ASB6</t>
  </si>
  <si>
    <t>Q9NWX6_THG1L</t>
  </si>
  <si>
    <t>Q9NWY4_C4orf27</t>
  </si>
  <si>
    <t>Q9NWZ3_IRAK4</t>
  </si>
  <si>
    <t>Q9NWZ5_UCKL1</t>
  </si>
  <si>
    <t>Q9NWZ8_GEMIN8</t>
  </si>
  <si>
    <t>Q9NX01_TXNL4B</t>
  </si>
  <si>
    <t>Q9NX02-5_NLRP2</t>
  </si>
  <si>
    <t>Q9NX05_FAM120C</t>
  </si>
  <si>
    <t>Q9NX07_TRNAU1AP</t>
  </si>
  <si>
    <t>Q9NX08_COMMD8</t>
  </si>
  <si>
    <t>Q9NX24_NHP2</t>
  </si>
  <si>
    <t>Q9NX38_FAM206A</t>
  </si>
  <si>
    <t>Q9NX46_ADPRHL2</t>
  </si>
  <si>
    <t>Q9NX55_HYPK</t>
  </si>
  <si>
    <t>Q9NX58_LYAR</t>
  </si>
  <si>
    <t>Q9NX70_MED29</t>
  </si>
  <si>
    <t>Q9NX74_DUS2L</t>
  </si>
  <si>
    <t>Q9NXA8_SIRT5</t>
  </si>
  <si>
    <t>Q9NXC5_MIOS</t>
  </si>
  <si>
    <t>Q9NXD2_MTMR10</t>
  </si>
  <si>
    <t>Q9NXE8_CWC25</t>
  </si>
  <si>
    <t>Q9NXF7_DCAF16</t>
  </si>
  <si>
    <t>Q9NXG2_THUMPD1</t>
  </si>
  <si>
    <t>Q9NXG6_P4HTM</t>
  </si>
  <si>
    <t>Q9NXH9-2_TRMT1</t>
  </si>
  <si>
    <t>Q9NXR1-2_NDE1</t>
  </si>
  <si>
    <t>Q9NXR7_BRE</t>
  </si>
  <si>
    <t>Q9NXV2_KCTD5</t>
  </si>
  <si>
    <t>Q9NXV6_CDKN2AIP</t>
  </si>
  <si>
    <t>Q9NXW2_DNAJB12</t>
  </si>
  <si>
    <t>Q9NXW9_ALKBH4</t>
  </si>
  <si>
    <t>Q9NXX6_NSMCE4A</t>
  </si>
  <si>
    <t>Q9NY27_PPP4R2</t>
  </si>
  <si>
    <t>Q9NY33_DPP3</t>
  </si>
  <si>
    <t>Q9NY61_AATF</t>
  </si>
  <si>
    <t>Q9NY93_DDX56</t>
  </si>
  <si>
    <t>Q9NYB0_TERF2IP</t>
  </si>
  <si>
    <t>Q9NYB9-2_ABI2</t>
  </si>
  <si>
    <t>Q9NYF8-2_BCLAF1</t>
  </si>
  <si>
    <t>Q9NYG5_ANAPC11</t>
  </si>
  <si>
    <t>Q9NYJ1_COA4</t>
  </si>
  <si>
    <t>Q9NYJ8_TAB2</t>
  </si>
  <si>
    <t>Q9NYK6-3_EURL</t>
  </si>
  <si>
    <t>Q9NYL2_MLTK</t>
  </si>
  <si>
    <t>Q9NYL2-2_MLTK</t>
  </si>
  <si>
    <t>Q9NYL9_TMOD3</t>
  </si>
  <si>
    <t>Q9NYP9_MIS18A</t>
  </si>
  <si>
    <t>Q9NYQ6_CELSR1</t>
  </si>
  <si>
    <t>Q9NYS0_NKIRAS1</t>
  </si>
  <si>
    <t>Q9NYT0_PLEK2</t>
  </si>
  <si>
    <t>Q9NYU2-2_UGGT1</t>
  </si>
  <si>
    <t>Q9NYV4-2_CDK12</t>
  </si>
  <si>
    <t>Q9NYY8_FASTKD2</t>
  </si>
  <si>
    <t>Q9NYZ3_GTSE1</t>
  </si>
  <si>
    <t>Q9NZ08_ERAP1</t>
  </si>
  <si>
    <t>Q9NZ09_UBAP1</t>
  </si>
  <si>
    <t>Q9NZ32_ACTR10</t>
  </si>
  <si>
    <t>Q9NZ45_CISD1</t>
  </si>
  <si>
    <t>Q9NZ52_GGA3</t>
  </si>
  <si>
    <t>Q9NZ63_C9orf78</t>
  </si>
  <si>
    <t>Q9NZB2_FAM120A</t>
  </si>
  <si>
    <t>Q9NZC9_SMARCAL1</t>
  </si>
  <si>
    <t>Q9NZD2_GLTP</t>
  </si>
  <si>
    <t>Q9NZD8-2_SPG21</t>
  </si>
  <si>
    <t>Q9NZI8_IGF2BP1</t>
  </si>
  <si>
    <t>Q9NZJ9_NUDT4</t>
  </si>
  <si>
    <t>Q9NZJ9-2_NUDT4</t>
  </si>
  <si>
    <t>Q9NZL4_HSPBP1</t>
  </si>
  <si>
    <t>Q9NZL9_MAT2B</t>
  </si>
  <si>
    <t>Q9NZM1-6_MYOF</t>
  </si>
  <si>
    <t>Q9NZM3-2_ITSN2</t>
  </si>
  <si>
    <t>Q9NZM4-2_GLTSCR1</t>
  </si>
  <si>
    <t>Q9NZN3_EHD3</t>
  </si>
  <si>
    <t>Q9NZN4_EHD2</t>
  </si>
  <si>
    <t>Q9NZN5_ARHGEF12</t>
  </si>
  <si>
    <t>Q9NZN8_CNOT2</t>
  </si>
  <si>
    <t>Q9NZQ3-3_NCKIPSD</t>
  </si>
  <si>
    <t>Q9NZT2-2_OGFR</t>
  </si>
  <si>
    <t>Q9NZU0_FLRT3</t>
  </si>
  <si>
    <t>Q9NZU5_LMCD1</t>
  </si>
  <si>
    <t>Q9NZV1_CRIM1</t>
  </si>
  <si>
    <t>Q9NZW5_MPP6</t>
  </si>
  <si>
    <t>Q9NZZ3_CHMP5</t>
  </si>
  <si>
    <t>Q9P000_COMMD9</t>
  </si>
  <si>
    <t>Q9P013_CWC15</t>
  </si>
  <si>
    <t>Q9P016_THYN1</t>
  </si>
  <si>
    <t>Q9P021_CRIPT</t>
  </si>
  <si>
    <t>Q9P0J1_PDP1</t>
  </si>
  <si>
    <t>Q9P0J7_KCMF1</t>
  </si>
  <si>
    <t>Q9P0K7_RAI14</t>
  </si>
  <si>
    <t>Q9P0L0_VAPA</t>
  </si>
  <si>
    <t>Q9P0N9-3_TBC1D7</t>
  </si>
  <si>
    <t>Q9P0P0_RNF181</t>
  </si>
  <si>
    <t>Q9P0P8_C6orf203</t>
  </si>
  <si>
    <t>Q9P0R6_GSKIP</t>
  </si>
  <si>
    <t>Q9P0U4_CXXC1</t>
  </si>
  <si>
    <t>Q9P0V3_SH3BP4</t>
  </si>
  <si>
    <t>Q9P0W2-2_HMG20B</t>
  </si>
  <si>
    <t>Q9P1F3_ABRACL</t>
  </si>
  <si>
    <t>Q9P1U0_ZNRD1</t>
  </si>
  <si>
    <t>Q9P1U1-2_ACTR3B</t>
  </si>
  <si>
    <t>Q9P1V8_SAMD15</t>
  </si>
  <si>
    <t>Q9P1Y5_CAMSAP3</t>
  </si>
  <si>
    <t>Q9P1Z2-2_CALCOCO1</t>
  </si>
  <si>
    <t>Q9P206-2_KIAA1522</t>
  </si>
  <si>
    <t>Q9P212_PLCE1</t>
  </si>
  <si>
    <t>Q9P215_POGK</t>
  </si>
  <si>
    <t>Q9P219_CCDC88C</t>
  </si>
  <si>
    <t>Q9P227_ARHGAP23</t>
  </si>
  <si>
    <t>Q9P253_VPS18</t>
  </si>
  <si>
    <t>Q9P258_RCC2</t>
  </si>
  <si>
    <t>Q9P260_KIAA1468</t>
  </si>
  <si>
    <t>Q9P260-2_KIAA1468</t>
  </si>
  <si>
    <t>Q9P265_DIP2B</t>
  </si>
  <si>
    <t>Q9P266_KIAA1462</t>
  </si>
  <si>
    <t>Q9P270_SLAIN2</t>
  </si>
  <si>
    <t>Q9P275_USP36</t>
  </si>
  <si>
    <t>Q9P287_BCCIP</t>
  </si>
  <si>
    <t>Q9P287-2_BCCIP</t>
  </si>
  <si>
    <t>Q9P289_MST4</t>
  </si>
  <si>
    <t>Q9P299_COPZ2</t>
  </si>
  <si>
    <t>Q9P2B2_PTGFRN</t>
  </si>
  <si>
    <t>Q9P2B4_CTTNBP2NL</t>
  </si>
  <si>
    <t>Q9P2B7-2_KIAA1430</t>
  </si>
  <si>
    <t>Q9P2D1_CHD7</t>
  </si>
  <si>
    <t>Q9P2D3-3_HEATR5B</t>
  </si>
  <si>
    <t>Q9P2D6-3_FAM135A</t>
  </si>
  <si>
    <t>Q9P2D7-5_DNAH1</t>
  </si>
  <si>
    <t>Q9P2E3_ZNFX1</t>
  </si>
  <si>
    <t>Q9P2E9_RRBP1</t>
  </si>
  <si>
    <t>Q9P2H3_IFT80</t>
  </si>
  <si>
    <t>Q9P2I0_CPSF2</t>
  </si>
  <si>
    <t>Q9P2J5_LARS</t>
  </si>
  <si>
    <t>Q9P2K3-4_RCOR3</t>
  </si>
  <si>
    <t>Q9P2K5-2_MYEF2</t>
  </si>
  <si>
    <t>Q9P2K6_KLHL42</t>
  </si>
  <si>
    <t>Q9P2K8-2_EIF2AK4</t>
  </si>
  <si>
    <t>Q9P2M4_TBC1D14</t>
  </si>
  <si>
    <t>Q9P2M7_CGN</t>
  </si>
  <si>
    <t>Q9P2N5_RBM27</t>
  </si>
  <si>
    <t>Q9P2N6-3_KANSL3</t>
  </si>
  <si>
    <t>Q9P2R3_ANKFY1</t>
  </si>
  <si>
    <t>Q9P2R6_RERE</t>
  </si>
  <si>
    <t>Q9P2S5_WRAP73</t>
  </si>
  <si>
    <t>Q9P2W1_PSMC3IP</t>
  </si>
  <si>
    <t>Q9P2X3_IMPACT</t>
  </si>
  <si>
    <t>Q9P2Y4_ZNF219</t>
  </si>
  <si>
    <t>Q9P2Y5_UVRAG</t>
  </si>
  <si>
    <t>Q9UBB4_ATXN10</t>
  </si>
  <si>
    <t>Q9UBB5_MBD2</t>
  </si>
  <si>
    <t>Q9UBB6_NCDN</t>
  </si>
  <si>
    <t>Q9UBB9_TFIP11</t>
  </si>
  <si>
    <t>Q9UBC2-2_EPS15L1</t>
  </si>
  <si>
    <t>Q9UBD5_ORC3</t>
  </si>
  <si>
    <t>Q9UBE0_SAE1</t>
  </si>
  <si>
    <t>Q9UBF2_COPG2</t>
  </si>
  <si>
    <t>Q9UBF6_RNF7</t>
  </si>
  <si>
    <t>Q9UBF8-2_PI4KB</t>
  </si>
  <si>
    <t>Q9UBG0_MRC2</t>
  </si>
  <si>
    <t>Q9UBI1_COMMD3</t>
  </si>
  <si>
    <t>Q9UBI6_GNG12</t>
  </si>
  <si>
    <t>Q9UBK8-2_MTRR</t>
  </si>
  <si>
    <t>Q9UBK9_UXT</t>
  </si>
  <si>
    <t>Q9UBL3-3_ASH2L</t>
  </si>
  <si>
    <t>Q9UBN6_TNFRSF10D</t>
  </si>
  <si>
    <t>Q9UBP0-3_SPAST</t>
  </si>
  <si>
    <t>Q9UBP0-4_SPAST</t>
  </si>
  <si>
    <t>Q9UBP6_METTL1</t>
  </si>
  <si>
    <t>Q9UBP9-4_GULP1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</si>
  <si>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</si>
  <si>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</si>
  <si>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</si>
  <si>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</si>
  <si>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</si>
  <si>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</si>
  <si>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</si>
  <si>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Q9UBT7-2_CTNNAL1</t>
  </si>
  <si>
    <t>Q9UBU9_NXF1</t>
  </si>
  <si>
    <t>Q9UBV8_PEF1</t>
  </si>
  <si>
    <t>Q9UBW7_ZMYM2</t>
  </si>
  <si>
    <t>Q9UBW8_COPS7A</t>
  </si>
  <si>
    <t>Q9UDT6_CLIP2</t>
  </si>
  <si>
    <t>Q9UDX3-2_SEC14L4</t>
  </si>
  <si>
    <t>Q9UDY2-3_TJP2</t>
  </si>
  <si>
    <t>Q9UDY4_DNAJB4</t>
  </si>
  <si>
    <t>Q9UDY8_MALT1</t>
  </si>
  <si>
    <t>Q9UEE9_CFDP1</t>
  </si>
  <si>
    <t>Q9UEG4_ZNF629</t>
  </si>
  <si>
    <t>Q9UER7-3_DAXX</t>
  </si>
  <si>
    <t>Q9UET6-2_FTSJ1</t>
  </si>
  <si>
    <t>Q9UEU0_VTI1B</t>
  </si>
  <si>
    <t>Q9UEW8_STK39</t>
  </si>
  <si>
    <t>Q9UEY8-2_ADD3</t>
  </si>
  <si>
    <t>Q9UF56_FBXL17</t>
  </si>
  <si>
    <t>Q9UF83_</t>
  </si>
  <si>
    <t>Q9UFC0_LRWD1</t>
  </si>
  <si>
    <t>Q9UFM8_DKFZp566H1924</t>
  </si>
  <si>
    <t>Q9UFN0_NIPSNAP3A</t>
  </si>
  <si>
    <t>Q9UFW8_CGGBP1</t>
  </si>
  <si>
    <t>Q9UG63_ABCF2</t>
  </si>
  <si>
    <t>Q9UGI8_TES</t>
  </si>
  <si>
    <t>Q9UGI8-2_TES</t>
  </si>
  <si>
    <t>Q9UGJ0-2_PRKAG2</t>
  </si>
  <si>
    <t>Q9UGK8_SERGEF</t>
  </si>
  <si>
    <t>Q9UGP4_LIMD1</t>
  </si>
  <si>
    <t>Q9UGT4_SUSD2</t>
  </si>
  <si>
    <t>Q9UGU0-2_TCF20</t>
  </si>
  <si>
    <t>Q9UGV2_NDRG3</t>
  </si>
  <si>
    <t>Q9UH62_ARMCX3</t>
  </si>
  <si>
    <t>Q9UH65_SWAP70</t>
  </si>
  <si>
    <t>Q9UH92-2_MLX</t>
  </si>
  <si>
    <t>Q9UHA3_RSL24D1</t>
  </si>
  <si>
    <t>Q9UHB6_LIMA1</t>
  </si>
  <si>
    <t>Q9UHB7_AFF4</t>
  </si>
  <si>
    <t>Q9UHB9_SRP68</t>
  </si>
  <si>
    <t>Q9UHD1_CHORDC1</t>
  </si>
  <si>
    <t>Q9UHD2_TBK1</t>
  </si>
  <si>
    <t>Q9UHD8_SEPT9</t>
  </si>
  <si>
    <t>Q9UHD9_UBQLN2</t>
  </si>
  <si>
    <t>Q9UHG0_DCDC2</t>
  </si>
  <si>
    <t>Q9UHI6_DDX20</t>
  </si>
  <si>
    <t>Q9UHJ3-2_SFMBT1</t>
  </si>
  <si>
    <t>Q9UHJ6_SHPK</t>
  </si>
  <si>
    <t>Q9UHL4_DPP7</t>
  </si>
  <si>
    <t>Q9UHN6-2_TMEM2</t>
  </si>
  <si>
    <t>Q9UHP3_USP25</t>
  </si>
  <si>
    <t>Q9UHQ1-4_NARF</t>
  </si>
  <si>
    <t>Q9UHR4_BAIAP2L1</t>
  </si>
  <si>
    <t>Q9UHR6_ZNHIT2</t>
  </si>
  <si>
    <t>Q9UHV9_PFDN2</t>
  </si>
  <si>
    <t>Q9UHW5_GPN3</t>
  </si>
  <si>
    <t>Q9UHX1-4_PUF60</t>
  </si>
  <si>
    <t>Q9UHY1_NRBP1</t>
  </si>
  <si>
    <t>Q9UHY7_ENOPH1</t>
  </si>
  <si>
    <t>Q9UHY8_FEZ2</t>
  </si>
  <si>
    <t>Q9UI08_EVL</t>
  </si>
  <si>
    <t>Q9UI10_EIF2B4</t>
  </si>
  <si>
    <t>Q9UI10-3_EIF2B4</t>
  </si>
  <si>
    <t>Q9UI12-2_ATP6V1H</t>
  </si>
  <si>
    <t>Q9UI26_IPO11</t>
  </si>
  <si>
    <t>Q9UI30_TRMT112</t>
  </si>
  <si>
    <t>Q9UIA9_XPO7</t>
  </si>
  <si>
    <t>Q9UIC8_LCMT1</t>
  </si>
  <si>
    <t>Q9UID3_VPS51</t>
  </si>
  <si>
    <t>Q9UID6_ZNF639</t>
  </si>
  <si>
    <t>Q9UIF8-4_BAZ2B</t>
  </si>
  <si>
    <t>Q9UIG0-2_BAZ1B</t>
  </si>
  <si>
    <t>Q9UII2_ATPIF1</t>
  </si>
  <si>
    <t>Q9UIJ7_AK3</t>
  </si>
  <si>
    <t>Q9UIL1-3_SCOC</t>
  </si>
  <si>
    <t>Q9UIM3_FKBPL</t>
  </si>
  <si>
    <t>Q9UIV1-2_CNOT7</t>
  </si>
  <si>
    <t>Q9UJ41_RABGEF1</t>
  </si>
  <si>
    <t>Q9UJ68-2_MSRA</t>
  </si>
  <si>
    <t>Q9UJ70-2_NAGK</t>
  </si>
  <si>
    <t>Q9UJA3-2_MCM8</t>
  </si>
  <si>
    <t>Q9UJA5_TRMT6</t>
  </si>
  <si>
    <t>Q9UJC5_SH3BGRL2</t>
  </si>
  <si>
    <t>Q9UJJ2_ZNF280C</t>
  </si>
  <si>
    <t>Q9UJK0_TSR3</t>
  </si>
  <si>
    <t>Q9UJM3_ERRFI1</t>
  </si>
  <si>
    <t>Q9UJU6_DBNL</t>
  </si>
  <si>
    <t>Q9UJU6-2_DBNL</t>
  </si>
  <si>
    <t>Q9UJV9_DDX41</t>
  </si>
  <si>
    <t>Q9UJW0_DCTN4</t>
  </si>
  <si>
    <t>Q9UJX0-2_OSGIN1</t>
  </si>
  <si>
    <t>Q9UJX2-3_CDC23</t>
  </si>
  <si>
    <t>Q9UJX3-2_ANAPC7</t>
  </si>
  <si>
    <t>Q9UJX6_ANAPC2</t>
  </si>
  <si>
    <t>Q9UJY1_HSPB8</t>
  </si>
  <si>
    <t>Q9UJY4_GGA2</t>
  </si>
  <si>
    <t>Q9UJY5-4_GGA1</t>
  </si>
  <si>
    <t>Q9UK22_FBXO2</t>
  </si>
  <si>
    <t>Q9UK33_ZNF580</t>
  </si>
  <si>
    <t>Q9UK41_VPS28</t>
  </si>
  <si>
    <t>Q9UK45_LSM7</t>
  </si>
  <si>
    <t>Q9UK59_DBR1</t>
  </si>
  <si>
    <t>Q9UK61-3_FAM208A</t>
  </si>
  <si>
    <t>Q9UK73_FEM1B</t>
  </si>
  <si>
    <t>Q9UK76_HN1</t>
  </si>
  <si>
    <t>Q9UK97-3_FBXO9</t>
  </si>
  <si>
    <t>Q9UK99_FBXO3</t>
  </si>
  <si>
    <t>Q9UKA4_AKAP11</t>
  </si>
  <si>
    <t>Q9UKA8_RCAN3</t>
  </si>
  <si>
    <t>Q9UKA9_PTBP2</t>
  </si>
  <si>
    <t>Q9UKB1-2_FBXW11</t>
  </si>
  <si>
    <t>Q9UKB3_DNAJC12</t>
  </si>
  <si>
    <t>Q9UKD2_MRTO4</t>
  </si>
  <si>
    <t>Q9UKF6_CPSF3</t>
  </si>
  <si>
    <t>Q9UKG1_APPL1</t>
  </si>
  <si>
    <t>Q9UKG9_CROT</t>
  </si>
  <si>
    <t>Q9UKI8_TLK1</t>
  </si>
  <si>
    <t>Q9UKJ3_GPATCH8</t>
  </si>
  <si>
    <t>Q9UKK3_PARP4</t>
  </si>
  <si>
    <t>Q9UKK6_NXT1</t>
  </si>
  <si>
    <t>Q9UKK9_NUDT5</t>
  </si>
  <si>
    <t>Q9UKL3_CASP8AP2</t>
  </si>
  <si>
    <t>Q9UKL6_PCTP</t>
  </si>
  <si>
    <t>Q9UKN8_GTF3C4</t>
  </si>
  <si>
    <t>Q9UKS6_PACSIN3</t>
  </si>
  <si>
    <t>Q9UKT4-2_FBXO5</t>
  </si>
  <si>
    <t>Q9UKT5_FBXO4</t>
  </si>
  <si>
    <t>Q9UKU7_ACAD8</t>
  </si>
  <si>
    <t>Q9UKV8_AGO2</t>
  </si>
  <si>
    <t>Q9UKX7_NUP50</t>
  </si>
  <si>
    <t>Q9UKY7_CDV3</t>
  </si>
  <si>
    <t>Q9UKZ1_CNOT11</t>
  </si>
  <si>
    <t>Q9UL15_BAG5</t>
  </si>
  <si>
    <t>Q9UL25_RAB21</t>
  </si>
  <si>
    <t>Q9UL26_RAB22A</t>
  </si>
  <si>
    <t>Q9UL33-2_TRAPPC2L</t>
  </si>
  <si>
    <t>Q9UL42_PNMA2</t>
  </si>
  <si>
    <t>Q9UL46_PSME2</t>
  </si>
  <si>
    <t>Q9UL51_HCN2</t>
  </si>
  <si>
    <t>Q9UL54-2_TAOK2</t>
  </si>
  <si>
    <t>Q9UL63_MKLN1</t>
  </si>
  <si>
    <t>Q9ULA0_DNPEP</t>
  </si>
  <si>
    <t>Q9ULC3_RAB23</t>
  </si>
  <si>
    <t>Q9ULC4_MCTS1</t>
  </si>
  <si>
    <t>Q9ULD2_MTUS1</t>
  </si>
  <si>
    <t>Q9ULD5_ZNF777</t>
  </si>
  <si>
    <t>Q9ULE0_WWC3</t>
  </si>
  <si>
    <t>Q9ULE6_PALD1</t>
  </si>
  <si>
    <t>Q9ULF5_SLC39A10</t>
  </si>
  <si>
    <t>Q9ULH0-5_KIDINS220</t>
  </si>
  <si>
    <t>Q9ULH1_ASAP1</t>
  </si>
  <si>
    <t>Q9ULH7-4_MKL2</t>
  </si>
  <si>
    <t>Q9ULJ3-2_ZBTB21</t>
  </si>
  <si>
    <t>Q9ULJ6_ZMIZ1</t>
  </si>
  <si>
    <t>Q9ULJ7_ANKRD50</t>
  </si>
  <si>
    <t>Q9ULJ8-4_PPP1R9A</t>
  </si>
  <si>
    <t>Q9ULK4-4_MED23</t>
  </si>
  <si>
    <t>Q9ULL5-3_PRR12</t>
  </si>
  <si>
    <t>Q9ULP9-2_TBC1D24</t>
  </si>
  <si>
    <t>Q9ULR0_ISY1</t>
  </si>
  <si>
    <t>Q9ULR3_PPM1H</t>
  </si>
  <si>
    <t>Q9ULT8_HECTD1</t>
  </si>
  <si>
    <t>Q9ULV0_MYO5B</t>
  </si>
  <si>
    <t>Q9ULV3-5_CIZ1</t>
  </si>
  <si>
    <t>Q9ULV4_CORO1C</t>
  </si>
  <si>
    <t>Q9ULW0_TPX2</t>
  </si>
  <si>
    <t>Q9ULW8_PADI3</t>
  </si>
  <si>
    <t>Q9ULX3_NOB1</t>
  </si>
  <si>
    <t>Q9ULX6_AKAP8L</t>
  </si>
  <si>
    <t>Q9ULX9-2_MAFF</t>
  </si>
  <si>
    <t>Q9ULZ3_PYCARD</t>
  </si>
  <si>
    <t>Q9UM13_ANAPC10</t>
  </si>
  <si>
    <t>Q9UM22_EPDR1</t>
  </si>
  <si>
    <t>Q9UM54-6_MYO6</t>
  </si>
  <si>
    <t>Q9UM82_SPATA2</t>
  </si>
  <si>
    <t>Q9UMN6_WBP7</t>
  </si>
  <si>
    <t>Q9UMS0-3_NFU1</t>
  </si>
  <si>
    <t>Q9UMS4_PRPF19</t>
  </si>
  <si>
    <t>Q9UMS6_SYNPO2</t>
  </si>
  <si>
    <t>Q9UMX0_UBQLN1</t>
  </si>
  <si>
    <t>Q9UMX1_SUFU</t>
  </si>
  <si>
    <t>Q9UMX5_NENF</t>
  </si>
  <si>
    <t>Q9UMY1_NOL7</t>
  </si>
  <si>
    <t>Q9UMY4-2_SNX12</t>
  </si>
  <si>
    <t>Q9UMZ2_SYNRG</t>
  </si>
  <si>
    <t>Q9UN36-2_NDRG2</t>
  </si>
  <si>
    <t>Q9UN37_VPS4A</t>
  </si>
  <si>
    <t>Q9UN79_SOX13</t>
  </si>
  <si>
    <t>Q9UN86-2_G3BP2</t>
  </si>
  <si>
    <t>Q9UNA1-2_ARHGAP26</t>
  </si>
  <si>
    <t>Q9UNE7_STUB1</t>
  </si>
  <si>
    <t>Q9UNF0_PACSIN2</t>
  </si>
  <si>
    <t>Q9UNF1_MAGED2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</si>
  <si>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</si>
  <si>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</si>
  <si>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</si>
  <si>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</si>
  <si>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</si>
  <si>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</si>
  <si>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</si>
  <si>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</si>
  <si>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</si>
  <si>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</si>
  <si>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Q9UNT1_RABL2B</t>
  </si>
  <si>
    <t>Q9UNW1_MINPP1</t>
  </si>
  <si>
    <t>Q9UNY4_TTF2</t>
  </si>
  <si>
    <t>Q9UNZ2_NSFL1C</t>
  </si>
  <si>
    <t>Q9UNZ5_C19orf53</t>
  </si>
  <si>
    <t>Q9UP83_COG5</t>
  </si>
  <si>
    <t>Q9UPM8_AP4E1</t>
  </si>
  <si>
    <t>Q9UPN4-3_AZI1</t>
  </si>
  <si>
    <t>Q9UPN6_SCAF8</t>
  </si>
  <si>
    <t>Q9UPN7_PPP6R1</t>
  </si>
  <si>
    <t>Q9UPN9_TRIM33</t>
  </si>
  <si>
    <t>Q9UPN9-2_TRIM33</t>
  </si>
  <si>
    <t>Q9UPP1-4_PHF8</t>
  </si>
  <si>
    <t>Q9UPP5-2_KIAA1107</t>
  </si>
  <si>
    <t>Q9UPQ0-10_LIMCH1</t>
  </si>
  <si>
    <t>Q9UPQ0-4_LIMCH1</t>
  </si>
  <si>
    <t>Q9UPQ0-6_LIMCH1</t>
  </si>
  <si>
    <t>Q9UPQ3_AGAP1</t>
  </si>
  <si>
    <t>Q9UPQ9-1_TNRC6B</t>
  </si>
  <si>
    <t>Q9UPR0_PLCL2</t>
  </si>
  <si>
    <t>Q9UPR3_SMG5</t>
  </si>
  <si>
    <t>Q9UPS6_SETD1B</t>
  </si>
  <si>
    <t>Q9UPS8_ANKRD26</t>
  </si>
  <si>
    <t>Q9UPT5-6_EXOC7</t>
  </si>
  <si>
    <t>Q9UPT8_ZC3H4</t>
  </si>
  <si>
    <t>Q9UPT9-2_USP22</t>
  </si>
  <si>
    <t>Q9UPU5_USP24</t>
  </si>
  <si>
    <t>Q9UPU7_TBC1D2B</t>
  </si>
  <si>
    <t>Q9UPW5_AGTPBP1</t>
  </si>
  <si>
    <t>Q9UPX8-3_SHANK2</t>
  </si>
  <si>
    <t>Q9UPY3-2_DICER1</t>
  </si>
  <si>
    <t>Q9UPY5_SLC7A11</t>
  </si>
  <si>
    <t>Q9UPY8_MAPRE3</t>
  </si>
  <si>
    <t>Q9UPZ3-2_HPS5</t>
  </si>
  <si>
    <t>Q9UPZ6_THSD7A</t>
  </si>
  <si>
    <t>Q9UQ13-2_SHOC2</t>
  </si>
  <si>
    <t>Q9UQ35_SRRM2</t>
  </si>
  <si>
    <t>Q9UQ80_PA2G4</t>
  </si>
  <si>
    <t>Q9UQ84-4_EXO1</t>
  </si>
  <si>
    <t>Q9UQB8-3_BAIAP2</t>
  </si>
  <si>
    <t>Q9UQC2-2_GAB2</t>
  </si>
  <si>
    <t>Q9UQE7_SMC3</t>
  </si>
  <si>
    <t>Q9UQN3_CHMP2B</t>
  </si>
  <si>
    <t>Q9UQR0_SCML2</t>
  </si>
  <si>
    <t>Q9UQR1_ZNF148</t>
  </si>
  <si>
    <t>Q9Y217_MTMR6</t>
  </si>
  <si>
    <t>Q9Y223_GNE</t>
  </si>
  <si>
    <t>Q9Y224_C14orf166</t>
  </si>
  <si>
    <t>Q9Y230_RUVBL2</t>
  </si>
  <si>
    <t>Q9Y232-2_CDYL</t>
  </si>
  <si>
    <t>Q9Y237_PIN4</t>
  </si>
  <si>
    <t>Q9Y243-2_AKT3</t>
  </si>
  <si>
    <t>Q9Y244_POMP</t>
  </si>
  <si>
    <t>Q9Y248_GINS2</t>
  </si>
  <si>
    <t>Q9Y259_CHKB</t>
  </si>
  <si>
    <t>Q9Y262_EIF3L</t>
  </si>
  <si>
    <t>Q9Y263_PLAA</t>
  </si>
  <si>
    <t>Q9Y265_RUVBL1</t>
  </si>
  <si>
    <t>Q9Y266_NUDC</t>
  </si>
  <si>
    <t>Q9Y281_CFL2</t>
  </si>
  <si>
    <t>Q9Y285_FARSA</t>
  </si>
  <si>
    <t>Q9Y294_ASF1A</t>
  </si>
  <si>
    <t>Q9Y295_DRG1</t>
  </si>
  <si>
    <t>Q9Y296_TRAPPC4</t>
  </si>
  <si>
    <t>Q9Y2A7_NCKAP1</t>
  </si>
  <si>
    <t>Q9Y2B0_CNPY2</t>
  </si>
  <si>
    <t>Q9Y2D0_CA5B</t>
  </si>
  <si>
    <t>Q9Y2D4_EXOC6B</t>
  </si>
  <si>
    <t>Q9Y2D5-6_AKAP2</t>
  </si>
  <si>
    <t>Q9Y2E4_DIP2C</t>
  </si>
  <si>
    <t>Q9Y2F5_KIAA0947</t>
  </si>
  <si>
    <t>Q9Y2G2-5_CARD8</t>
  </si>
  <si>
    <t>Q9Y2G5_POFUT2</t>
  </si>
  <si>
    <t>Q9Y2H0-3_DLGAP4</t>
  </si>
  <si>
    <t>Q9Y2H1_STK38L</t>
  </si>
  <si>
    <t>Q9Y2H2_INPP5F</t>
  </si>
  <si>
    <t>Q9Y2H5_PLEKHA6</t>
  </si>
  <si>
    <t>Q9Y2I1_NISCH</t>
  </si>
  <si>
    <t>Q9Y2I8_WDR37</t>
  </si>
  <si>
    <t>Q9Y2J4-2_AMOTL2</t>
  </si>
  <si>
    <t>Q9Y2K1-2_ZBTB1</t>
  </si>
  <si>
    <t>Q9Y2K7_KDM2A</t>
  </si>
  <si>
    <t>Q9Y2L1_DIS3</t>
  </si>
  <si>
    <t>Q9Y2L9-2_LRCH1</t>
  </si>
  <si>
    <t>Q9Y2Q3_GSTK1</t>
  </si>
  <si>
    <t>Q9Y2Q5_LAMTOR2</t>
  </si>
  <si>
    <t>Q9Y2Q9_MRPS28</t>
  </si>
  <si>
    <t>Q9Y2R4_DDX52</t>
  </si>
  <si>
    <t>Q9Y2S0_POLR1D</t>
  </si>
  <si>
    <t>Q9Y2S2-2_CRYL1</t>
  </si>
  <si>
    <t>Q9Y2S6_TMA7</t>
  </si>
  <si>
    <t>Q9Y2S7_POLDIP2</t>
  </si>
  <si>
    <t>Q9Y2T2_AP3M1</t>
  </si>
  <si>
    <t>Q9Y2T3_GDA</t>
  </si>
  <si>
    <t>Q9Y2T7_YBX2</t>
  </si>
  <si>
    <t>Q9Y2U5_MAP3K2</t>
  </si>
  <si>
    <t>Q9Y2U8_LEMD3</t>
  </si>
  <si>
    <t>Q9Y2V2_CARHSP1</t>
  </si>
  <si>
    <t>Q9Y2V7_COG6</t>
  </si>
  <si>
    <t>Q9Y2W1_THRAP3</t>
  </si>
  <si>
    <t>Q9Y2X0-2_MED16</t>
  </si>
  <si>
    <t>Q9Y2X3_NOP58</t>
  </si>
  <si>
    <t>Q9Y2X7_GIT1</t>
  </si>
  <si>
    <t>Q9Y2Y1_POLR3K</t>
  </si>
  <si>
    <t>Q9Y2Y9_KLF13</t>
  </si>
  <si>
    <t>Q9Y2Z0_SUGT1</t>
  </si>
  <si>
    <t>Q9Y2Z4_YARS2</t>
  </si>
  <si>
    <t>Q9Y303_AMDHD2</t>
  </si>
  <si>
    <t>Q9Y303-2_AMDHD2</t>
  </si>
  <si>
    <t>Q9Y305_ACOT9</t>
  </si>
  <si>
    <t>Q9Y312_AAR2</t>
  </si>
  <si>
    <t>Q9Y314_NOSIP</t>
  </si>
  <si>
    <t>Q9Y315_DERA</t>
  </si>
  <si>
    <t>Q9Y316_MEMO1</t>
  </si>
  <si>
    <t>Q9Y333_LSM2</t>
  </si>
  <si>
    <t>Q9Y371_SH3GLB1</t>
  </si>
  <si>
    <t>Q9Y376_CAB39</t>
  </si>
  <si>
    <t>Q9Y383_LUC7L2</t>
  </si>
  <si>
    <t>Q9Y385_UBE2J1</t>
  </si>
  <si>
    <t>Q9Y399_MRPS2</t>
  </si>
  <si>
    <t>Q9Y3A3-3_MOB4</t>
  </si>
  <si>
    <t>Q9Y3A5_SBDS</t>
  </si>
  <si>
    <t>Q9Y3B4_SF3B14</t>
  </si>
  <si>
    <t>Q9Y3B9_RRP15</t>
  </si>
  <si>
    <t>Q9Y3C1_NOP16</t>
  </si>
  <si>
    <t>Q9Y3C4_TPRKB</t>
  </si>
  <si>
    <t>Q9Y3C6_PPIL1</t>
  </si>
  <si>
    <t>Q9Y3C8_UFC1</t>
  </si>
  <si>
    <t>Q9Y3D0_FAM96B</t>
  </si>
  <si>
    <t>Q9Y3D2_MSRB2</t>
  </si>
  <si>
    <t>Q9Y3D6_FIS1</t>
  </si>
  <si>
    <t>Q9Y3D8_TAF9</t>
  </si>
  <si>
    <t>Q9Y3D9_MRPS23</t>
  </si>
  <si>
    <t>Q9Y3E1_HDGFRP3</t>
  </si>
  <si>
    <t>Q9Y3E2_BOLA1</t>
  </si>
  <si>
    <t>Q9Y3E7_CHMP3</t>
  </si>
  <si>
    <t>Q9Y3F4_STRAP</t>
  </si>
  <si>
    <t>Q9Y3I0_C22orf28</t>
  </si>
  <si>
    <t>Q9Y3I1_FBXO7</t>
  </si>
  <si>
    <t>Q9Y3P9_RABGAP1</t>
  </si>
  <si>
    <t>Q9Y3Q8_TSC22D4</t>
  </si>
  <si>
    <t>Q9Y3R5-2_DOPEY2</t>
  </si>
  <si>
    <t>Q9Y3S2_ZNF330</t>
  </si>
  <si>
    <t>Q9Y3T6_R3HCC1</t>
  </si>
  <si>
    <t>Q9Y3T9_NOC2L</t>
  </si>
  <si>
    <t>Q9Y3U8_RPL36</t>
  </si>
  <si>
    <t>Q9Y3V2_RWDD3</t>
  </si>
  <si>
    <t>Q9Y3X0_CCDC9</t>
  </si>
  <si>
    <t>Q9Y3Z3_SAMHD1</t>
  </si>
  <si>
    <t>Q9Y421_FAM32A</t>
  </si>
  <si>
    <t>Q9Y446_PKP3</t>
  </si>
  <si>
    <t>Q9Y448_KNSTRN</t>
  </si>
  <si>
    <t>Q9Y450-4_HBS1L</t>
  </si>
  <si>
    <t>Q9Y490_TLN1</t>
  </si>
  <si>
    <t>Q9Y496_KIF3A</t>
  </si>
  <si>
    <t>Q9Y4B4_RAD54L2</t>
  </si>
  <si>
    <t>Q9Y4B5_SOGA2</t>
  </si>
  <si>
    <t>Q9Y4B6-2_VPRBP</t>
  </si>
  <si>
    <t>Q9Y4C1_KDM3A</t>
  </si>
  <si>
    <t>Q9Y4C2-2_FAM115A</t>
  </si>
  <si>
    <t>Q9Y4C4_MFHAS1</t>
  </si>
  <si>
    <t>Q9Y4E1-2_FAM21C</t>
  </si>
  <si>
    <t>Q9Y4E6-2_WDR7</t>
  </si>
  <si>
    <t>Q9Y4E8_USP15</t>
  </si>
  <si>
    <t>Q9Y4F1_FARP1</t>
  </si>
  <si>
    <t>Q9Y4F5_CEP170B</t>
  </si>
  <si>
    <t>Q9Y4G6_TLN2</t>
  </si>
  <si>
    <t>Q9Y4G8_RAPGEF2</t>
  </si>
  <si>
    <t>Q9Y4H2_IRS2</t>
  </si>
  <si>
    <t>Q9Y4I1-2_MYO5A</t>
  </si>
  <si>
    <t>Q9Y4K3_TRAF6</t>
  </si>
  <si>
    <t>Q9Y4K4_MAP4K5</t>
  </si>
  <si>
    <t>Q9Y4P1-6_ATG4B</t>
  </si>
  <si>
    <t>Q9Y4P8-4_WIPI2</t>
  </si>
  <si>
    <t>Q9Y4R8_TELO2</t>
  </si>
  <si>
    <t>Q9Y4X5_ARIH1</t>
  </si>
  <si>
    <t>Q9Y4Z0_LSM4</t>
  </si>
  <si>
    <t>Q9Y508_RNF114</t>
  </si>
  <si>
    <t>Q9Y520-4_PRRC2C</t>
  </si>
  <si>
    <t>Q9Y546_LRRC42</t>
  </si>
  <si>
    <t>Q9Y547_HSPB11</t>
  </si>
  <si>
    <t>Q9Y570_PPME1</t>
  </si>
  <si>
    <t>Q9Y575-2_ASB3</t>
  </si>
  <si>
    <t>Q9Y597-2_KCTD3</t>
  </si>
  <si>
    <t>Q9Y5A7-2_NUB1</t>
  </si>
  <si>
    <t>Q9Y5A9_YTHDF2</t>
  </si>
  <si>
    <t>Q9Y5B0_CTDP1</t>
  </si>
  <si>
    <t>Q9Y5B8-2_NME7</t>
  </si>
  <si>
    <t>Q9Y5B9_SUPT16H</t>
  </si>
  <si>
    <t>Q9Y5J1_UTP18</t>
  </si>
  <si>
    <t>Q9Y5J5_PHLDA3</t>
  </si>
  <si>
    <t>Q9Y5J6_TIMM10B</t>
  </si>
  <si>
    <t>Q9Y5J7_TIMM9</t>
  </si>
  <si>
    <t>Q9Y5J9_TIMM8B</t>
  </si>
  <si>
    <t>Q9Y5K5-2_UCHL5</t>
  </si>
  <si>
    <t>Q9Y5K6_CD2AP</t>
  </si>
  <si>
    <t>Q9Y5K8_ATP6V1D</t>
  </si>
  <si>
    <t>Q9Y5L0_TNPO3</t>
  </si>
  <si>
    <t>Q9Y5L4_TIMM13</t>
  </si>
  <si>
    <t>Q9Y5N5-2_N6AMT1</t>
  </si>
  <si>
    <t>Q9Y5N6_ORC6</t>
  </si>
  <si>
    <t>Q9Y5P4-2_COL4A3BP</t>
  </si>
  <si>
    <t>Q9Y5P6_GMPPB</t>
  </si>
  <si>
    <t>Q9Y5Q8_GTF3C5</t>
  </si>
  <si>
    <t>Q9Y5Q9_GTF3C3</t>
  </si>
  <si>
    <t>Q9Y5R8_TRAPPC1</t>
  </si>
  <si>
    <t>Q9Y5S2_CDC42BPB</t>
  </si>
  <si>
    <t>Q9Y5S9_RBM8A</t>
  </si>
  <si>
    <t>Q9Y5U2-2_TSSC4</t>
  </si>
  <si>
    <t>Q9Y5V0_ZNF706</t>
  </si>
  <si>
    <t>Q9Y5V3_MAGED1</t>
  </si>
  <si>
    <t>Q9Y5X1_SNX9</t>
  </si>
  <si>
    <t>Q9Y5X2_SNX8</t>
  </si>
  <si>
    <t>Q9Y5X3_SNX5</t>
  </si>
  <si>
    <t>Q9Y5Y0_FLVCR1</t>
  </si>
  <si>
    <t>Q9Y5Y2_NUBP2</t>
  </si>
  <si>
    <t>Q9Y5Z4_HEBP2</t>
  </si>
  <si>
    <t>Q9Y5Z7_HCFC2</t>
  </si>
  <si>
    <t>Q9Y605_MRFAP1</t>
  </si>
  <si>
    <t>Q9Y608-4_LRRFIP2</t>
  </si>
  <si>
    <t>Q9Y613_FHOD1</t>
  </si>
  <si>
    <t>Q9Y617_PSAT1</t>
  </si>
  <si>
    <t>Q9Y620_RAD54B</t>
  </si>
  <si>
    <t>Q9Y657_SPIN1</t>
  </si>
  <si>
    <t>Q9Y678_COPG1</t>
  </si>
  <si>
    <t>Q9Y680-3_FKBP7</t>
  </si>
  <si>
    <t>Q9Y692-2_GMEB1</t>
  </si>
  <si>
    <t>Q9Y696_CLIC4</t>
  </si>
  <si>
    <t>Q9Y697-2_NFS1</t>
  </si>
  <si>
    <t>Q9Y6A4_C16orf80</t>
  </si>
  <si>
    <t>Q9Y6A5_TACC3</t>
  </si>
  <si>
    <t>Q9Y6B2-2_EID1</t>
  </si>
  <si>
    <t>Q9Y6B6_SAR1B</t>
  </si>
  <si>
    <t>Q9Y6B7_AP4B1</t>
  </si>
  <si>
    <t>Q9Y6D5_ARFGEF2</t>
  </si>
  <si>
    <t>Q9Y6D6_ARFGEF1</t>
  </si>
  <si>
    <t>Q9Y6D9_MAD1L1</t>
  </si>
  <si>
    <t>Q9Y6E0-2_STK24</t>
  </si>
  <si>
    <t>Q9Y6G9_DYNC1LI1</t>
  </si>
  <si>
    <t>Q9Y6H1_CHCHD2</t>
  </si>
  <si>
    <t>Q9Y6I3_EPN1</t>
  </si>
  <si>
    <t>Q9Y6I9_TEX264</t>
  </si>
  <si>
    <t>Q9Y6J9_TAF6L</t>
  </si>
  <si>
    <t>Q9Y6K1-3_DNMT3A</t>
  </si>
  <si>
    <t>Q9Y6K5_OAS3</t>
  </si>
  <si>
    <t>Q9Y6K9_IKBKG</t>
  </si>
  <si>
    <t>Q9Y6M5_SLC30A1</t>
  </si>
  <si>
    <t>Q9Y6N7-5_ROBO1</t>
  </si>
  <si>
    <t>Q9Y6N9-5_USH1C</t>
  </si>
  <si>
    <t>Q9Y6Q9-5_NCOA3</t>
  </si>
  <si>
    <t>Q9Y6R0_NUMBL</t>
  </si>
  <si>
    <t>Q9Y6V0-2_PCLO</t>
  </si>
  <si>
    <t>Q9Y6V7_DDX49</t>
  </si>
  <si>
    <t>Q9Y6W3_CAPN7</t>
  </si>
  <si>
    <t>Q9Y6W5_WASF2</t>
  </si>
  <si>
    <t>Q9Y6X8_ZHX2</t>
  </si>
  <si>
    <t>Q9Y6X9_MORC2</t>
  </si>
  <si>
    <t>Q9Y6Y0_IVNS1ABP</t>
  </si>
  <si>
    <t>R4GMR5_PSMD8</t>
  </si>
  <si>
    <t>R4GMU8_LAMTOR5</t>
  </si>
  <si>
    <t>R4GMX3_BMI1</t>
  </si>
  <si>
    <t>R4GN55_YTHDF3</t>
  </si>
  <si>
    <t>R4GN62_PARD3B</t>
  </si>
  <si>
    <t>R4GN98_S100A6</t>
  </si>
  <si>
    <t>R4GNA2_ANKRD30A</t>
  </si>
  <si>
    <t>R4GNB1_AASDH</t>
  </si>
  <si>
    <t>R4GNB2_DENND4C</t>
  </si>
  <si>
    <t>R4GND1_UBE2E3</t>
  </si>
  <si>
    <t>R4GND3_PHLDA1</t>
  </si>
  <si>
    <t>R4GNG2_AMFR</t>
  </si>
  <si>
    <t>R4GNH3_PSMC3</t>
  </si>
  <si>
    <t>R4GNH4_FBXO44</t>
  </si>
  <si>
    <t>Melting_Curves/meltCurve_A0AVK6_E2F8.pdf</t>
  </si>
  <si>
    <t>Melting_Curves/meltCurve_A0AVT1_UBA6.pdf</t>
  </si>
  <si>
    <t>Melting_Curves/meltCurve_A0JNW5_UHRF1BP1L.pdf</t>
  </si>
  <si>
    <t>Melting_Curves/meltCurve_A0MZ66_KIAA1598.pdf</t>
  </si>
  <si>
    <t>Melting_Curves/meltCurve_A1A4S6_ARHGAP10.pdf</t>
  </si>
  <si>
    <t>Melting_Curves/meltCurve_A1A5A9_KIAA0999.pdf</t>
  </si>
  <si>
    <t>Melting_Curves/meltCurve_A1L188_C17orf89.pdf</t>
  </si>
  <si>
    <t>Melting_Curves/meltCurve_A1L390_PLEKHG3.pdf</t>
  </si>
  <si>
    <t>Melting_Curves/meltCurve_A1X283_SH3PXD2B.pdf</t>
  </si>
  <si>
    <t>Melting_Curves/meltCurve_A2A3N6_PIPSL.pdf</t>
  </si>
  <si>
    <t>Melting_Curves/meltCurve_A2RTX5_2_TARSL2.pdf</t>
  </si>
  <si>
    <t>Melting_Curves/meltCurve_A2RUC4_TYW5.pdf</t>
  </si>
  <si>
    <t>Melting_Curves/meltCurve_A2RUS2_2_DENND3.pdf</t>
  </si>
  <si>
    <t>Melting_Curves/meltCurve_A3KMH1_2_VWA8.pdf</t>
  </si>
  <si>
    <t>Melting_Curves/meltCurve_A3KN83_2_SBNO1.pdf</t>
  </si>
  <si>
    <t>Melting_Curves/meltCurve_A4D1P6_2_WDR91.pdf</t>
  </si>
  <si>
    <t>Melting_Curves/meltCurve_A4D1S0_2_KLRG2.pdf</t>
  </si>
  <si>
    <t>Melting_Curves/meltCurve_A4D1U4_LCHN.pdf</t>
  </si>
  <si>
    <t>Melting_Curves/meltCurve_A4D2B0_MBLAC1.pdf</t>
  </si>
  <si>
    <t>Melting_Curves/meltCurve_A5PLN9_2_TRAPPC13.pdf</t>
  </si>
  <si>
    <t>Melting_Curves/meltCurve_A5YKK6_CNOT1.pdf</t>
  </si>
  <si>
    <t>Melting_Curves/meltCurve_A6H8Y1_7_BDP1.pdf</t>
  </si>
  <si>
    <t>Melting_Curves/meltCurve_A6ND36_FAM83G.pdf</t>
  </si>
  <si>
    <t>Melting_Curves/meltCurve_A6NDG6_PGP.pdf</t>
  </si>
  <si>
    <t>Melting_Curves/meltCurve_A6NDU8_C5orf51.pdf</t>
  </si>
  <si>
    <t>Melting_Curves/meltCurve_A6NED2_RCCD1.pdf</t>
  </si>
  <si>
    <t>Melting_Curves/meltCurve_A6NF31_OFD1.pdf</t>
  </si>
  <si>
    <t>Melting_Curves/meltCurve_A6NF48_ZNF281.pdf</t>
  </si>
  <si>
    <t>Melting_Curves/meltCurve_A6NF51_BPNT1.pdf</t>
  </si>
  <si>
    <t>Melting_Curves/meltCurve_A6NFI3_ZNF316.pdf</t>
  </si>
  <si>
    <t>Melting_Curves/meltCurve_A6NG32_CHMP1A.pdf</t>
  </si>
  <si>
    <t>Melting_Curves/meltCurve_A6NG64_C10orf11.pdf</t>
  </si>
  <si>
    <t>Melting_Curves/meltCurve_A6NG79_PRCC.pdf</t>
  </si>
  <si>
    <t>Melting_Curves/meltCurve_A6NGB9_WIPF3.pdf</t>
  </si>
  <si>
    <t>Melting_Curves/meltCurve_A6NGP5_HN1L.pdf</t>
  </si>
  <si>
    <t>Melting_Curves/meltCurve_A6NHR9_SMCHD1.pdf</t>
  </si>
  <si>
    <t>Melting_Curves/meltCurve_A6NHX0_GATSL2.pdf</t>
  </si>
  <si>
    <t>Melting_Curves/meltCurve_A6NIH7_UNC119B.pdf</t>
  </si>
  <si>
    <t>Melting_Curves/meltCurve_A6NIX2_WTIP.pdf</t>
  </si>
  <si>
    <t>Melting_Curves/meltCurve_A6NJ78_2_METTL15.pdf</t>
  </si>
  <si>
    <t>Melting_Curves/meltCurve_A6NJ97_C13orf23.pdf</t>
  </si>
  <si>
    <t>Melting_Curves/meltCurve_A6NKD9_CCDC85C.pdf</t>
  </si>
  <si>
    <t>Melting_Curves/meltCurve_A6NKT7_RGPD3.pdf</t>
  </si>
  <si>
    <t>Melting_Curves/meltCurve_A6NML8_DIAPH2.pdf</t>
  </si>
  <si>
    <t>Melting_Curves/meltCurve_A6NN40_SHROOM1.pdf</t>
  </si>
  <si>
    <t>Melting_Curves/meltCurve_A6NNV6_ZWINT.pdf</t>
  </si>
  <si>
    <t>Melting_Curves/meltCurve_A6PVM9_AIF1L.pdf</t>
  </si>
  <si>
    <t>Melting_Curves/meltCurve_A6QL63_BTBD11.pdf</t>
  </si>
  <si>
    <t>Melting_Curves/meltCurve_A6ZKI3_FAM127A.pdf</t>
  </si>
  <si>
    <t>Melting_Curves/meltCurve_A7KAX9_ARHGAP32.pdf</t>
  </si>
  <si>
    <t>Melting_Curves/meltCurve_A7Y2D6_PYGO1.pdf</t>
  </si>
  <si>
    <t>Melting_Curves/meltCurve_A8CG34_2_POM121C.pdf</t>
  </si>
  <si>
    <t>Melting_Curves/meltCurve_A8CTX8_ITSN1.pdf</t>
  </si>
  <si>
    <t>Melting_Curves/meltCurve_A8MQB8_FMR1.pdf</t>
  </si>
  <si>
    <t>Melting_Curves/meltCurve_A8MTK3_POT1.pdf</t>
  </si>
  <si>
    <t>Melting_Curves/meltCurve_A8MTZ6_S100PBP.pdf</t>
  </si>
  <si>
    <t>Melting_Curves/meltCurve_A8MU44_HOOK1.pdf</t>
  </si>
  <si>
    <t>Melting_Curves/meltCurve_A8MUB1_TUBA4A.pdf</t>
  </si>
  <si>
    <t>Melting_Curves/meltCurve_A8MVZ6_BICD1.pdf</t>
  </si>
  <si>
    <t>Melting_Curves/meltCurve_A8MWK3_CDH2.pdf</t>
  </si>
  <si>
    <t>Melting_Curves/meltCurve_A8MWR2_WIPF2.pdf</t>
  </si>
  <si>
    <t>Melting_Curves/meltCurve_A8MX75_ERCC2.pdf</t>
  </si>
  <si>
    <t>Melting_Curves/meltCurve_A8MXV4_NUDT19.pdf</t>
  </si>
  <si>
    <t>Melting_Curves/meltCurve_A9Z1X7_SRRM1.pdf</t>
  </si>
  <si>
    <t>Melting_Curves/meltCurve_B0FLL2_PFKFB2.pdf</t>
  </si>
  <si>
    <t>Melting_Curves/meltCurve_B0QY74_MKL1.pdf</t>
  </si>
  <si>
    <t>Melting_Curves/meltCurve_B0QYI3_TBC1D22A.pdf</t>
  </si>
  <si>
    <t>Melting_Curves/meltCurve_B0S8A9_FLOT1.pdf</t>
  </si>
  <si>
    <t>Melting_Curves/meltCurve_B0UX83_BAG6.pdf</t>
  </si>
  <si>
    <t>Melting_Curves/meltCurve_B0UZY3_EHMT2.pdf</t>
  </si>
  <si>
    <t>Melting_Curves/meltCurve_B1AHQ7_CENPM.pdf</t>
  </si>
  <si>
    <t>Melting_Curves/meltCurve_B1AJY7_PSMD10.pdf</t>
  </si>
  <si>
    <t>Melting_Curves/meltCurve_B1AK13_HMGCL.pdf</t>
  </si>
  <si>
    <t>Melting_Curves/meltCurve_B1AKC7_RASAL2.pdf</t>
  </si>
  <si>
    <t>Melting_Curves/meltCurve_B1AKL4_EIF4ENIF1.pdf</t>
  </si>
  <si>
    <t>Melting_Curves/meltCurve_B1AKN7_NFIA.pdf</t>
  </si>
  <si>
    <t>Melting_Curves/meltCurve_B1AL69_CDC37L1.pdf</t>
  </si>
  <si>
    <t>Melting_Curves/meltCurve_B1AMU7_EXOSC1.pdf</t>
  </si>
  <si>
    <t>Melting_Curves/meltCurve_B1AN89_EIF4G3.pdf</t>
  </si>
  <si>
    <t>Melting_Curves/meltCurve_B1AN99_PRSS3.pdf</t>
  </si>
  <si>
    <t>Melting_Curves/meltCurve_B1ANH0_GUK1.pdf</t>
  </si>
  <si>
    <t>Melting_Curves/meltCurve_B1N949_PPFIA4.pdf</t>
  </si>
  <si>
    <t>Melting_Curves/meltCurve_B2R5P6_TXNRD1.pdf</t>
  </si>
  <si>
    <t>Melting_Curves/meltCurve_B2RTY4_5_MYO9A.pdf</t>
  </si>
  <si>
    <t>Melting_Curves/meltCurve_B3KNQ0_CCDC92.pdf</t>
  </si>
  <si>
    <t>Melting_Curves/meltCurve_B3KP87_MDS025.pdf</t>
  </si>
  <si>
    <t>Melting_Curves/meltCurve_B3KRS5_HDAC2.pdf</t>
  </si>
  <si>
    <t>Melting_Curves/meltCurve_B3KSI9_LZTFL1.pdf</t>
  </si>
  <si>
    <t>Melting_Curves/meltCurve_B3KSJ7_DCLRE1C.pdf</t>
  </si>
  <si>
    <t>Melting_Curves/meltCurve_B3KUK2_SOD2.pdf</t>
  </si>
  <si>
    <t>Melting_Curves/meltCurve_B3KVH8_PHF23.pdf</t>
  </si>
  <si>
    <t>Melting_Curves/meltCurve_B3KVZ3_CENPH.pdf</t>
  </si>
  <si>
    <t>Melting_Curves/meltCurve_B3KWN8_PYROXD1.pdf</t>
  </si>
  <si>
    <t>Melting_Curves/meltCurve_B3KY83_RXRA.pdf</t>
  </si>
  <si>
    <t>Melting_Curves/meltCurve_B3V0L1_ARL6IP4.pdf</t>
  </si>
  <si>
    <t>Melting_Curves/meltCurve_B4DDF4_CNN2.pdf</t>
  </si>
  <si>
    <t>Melting_Curves/meltCurve_B4DDF9_ANXA4.pdf</t>
  </si>
  <si>
    <t>Melting_Curves/meltCurve_B4DDY8_HARS2.pdf</t>
  </si>
  <si>
    <t>Melting_Curves/meltCurve_B4DDZ0_MON1B.pdf</t>
  </si>
  <si>
    <t>Melting_Curves/meltCurve_B4DEK4_SNX2.pdf</t>
  </si>
  <si>
    <t>Melting_Curves/meltCurve_B4DGU4_CTNNB1.pdf</t>
  </si>
  <si>
    <t>Melting_Curves/meltCurve_B4DGX2_PIP4K2A.pdf</t>
  </si>
  <si>
    <t>Melting_Curves/meltCurve_B4DH53_MAP1S.pdf</t>
  </si>
  <si>
    <t>Melting_Curves/meltCurve_B4DIL8_TSC2.pdf</t>
  </si>
  <si>
    <t>Melting_Curves/meltCurve_B4DIU3_PADI2.pdf</t>
  </si>
  <si>
    <t>Melting_Curves/meltCurve_B4DJA5_RAB5A.pdf</t>
  </si>
  <si>
    <t>Melting_Curves/meltCurve_B4DJP7_SNRPD3.pdf</t>
  </si>
  <si>
    <t>Melting_Curves/meltCurve_B4DJV2_CS.pdf</t>
  </si>
  <si>
    <t>Melting_Curves/meltCurve_B4DJV5_PWP1.pdf</t>
  </si>
  <si>
    <t>Melting_Curves/meltCurve_B4DKF9_ZNF286A.pdf</t>
  </si>
  <si>
    <t>Melting_Curves/meltCurve_B4DKL4_LSR.pdf</t>
  </si>
  <si>
    <t>Melting_Curves/meltCurve_B4DL05_SHQ1.pdf</t>
  </si>
  <si>
    <t>Melting_Curves/meltCurve_B4DL14_ATP5C1.pdf</t>
  </si>
  <si>
    <t>Melting_Curves/meltCurve_B4DL54_CHURC1_FNTB.pdf</t>
  </si>
  <si>
    <t>Melting_Curves/meltCurve_B4DLE8_CRYBG3.pdf</t>
  </si>
  <si>
    <t>Melting_Curves/meltCurve_B4DLW8_DDX5.pdf</t>
  </si>
  <si>
    <t>Melting_Curves/meltCurve_B4DLZ9_RNF220.pdf</t>
  </si>
  <si>
    <t>Melting_Curves/meltCurve_B4DMD6_RNF185.pdf</t>
  </si>
  <si>
    <t>Melting_Curves/meltCurve_B4DP21_PTGES3.pdf</t>
  </si>
  <si>
    <t>Melting_Curves/meltCurve_B4DPR4_MKRN2.pdf</t>
  </si>
  <si>
    <t>Melting_Curves/meltCurve_B4DPY5_SNX11.pdf</t>
  </si>
  <si>
    <t>Melting_Curves/meltCurve_B4DPY8_TOX4.pdf</t>
  </si>
  <si>
    <t>Melting_Curves/meltCurve_B4DQ14_EIF2A.pdf</t>
  </si>
  <si>
    <t>Melting_Curves/meltCurve_B4DQE7_HDAC8.pdf</t>
  </si>
  <si>
    <t>Melting_Curves/meltCurve_B4DQH9_RANBP10.pdf</t>
  </si>
  <si>
    <t>Melting_Curves/meltCurve_B4DQJ8_PGD.pdf</t>
  </si>
  <si>
    <t>Melting_Curves/meltCurve_B4DRL9_CHM.pdf</t>
  </si>
  <si>
    <t>Melting_Curves/meltCurve_B4DS76_MAP3K11.pdf</t>
  </si>
  <si>
    <t>Melting_Curves/meltCurve_B4DT77_ANXA7.pdf</t>
  </si>
  <si>
    <t>Melting_Curves/meltCurve_B4DTU4_LIG1.pdf</t>
  </si>
  <si>
    <t>Melting_Curves/meltCurve_B4DV96_RBKS.pdf</t>
  </si>
  <si>
    <t>Melting_Curves/meltCurve_B4DVE7_ANXA11.pdf</t>
  </si>
  <si>
    <t>Melting_Curves/meltCurve_B4DVY1_EIF3D.pdf</t>
  </si>
  <si>
    <t>Melting_Curves/meltCurve_B4DWW1_ARL1.pdf</t>
  </si>
  <si>
    <t>Melting_Curves/meltCurve_B4DX32_KIN.pdf</t>
  </si>
  <si>
    <t>Melting_Curves/meltCurve_B4DXZ6_FXR1.pdf</t>
  </si>
  <si>
    <t>Melting_Curves/meltCurve_B4DYB4_NUP35.pdf</t>
  </si>
  <si>
    <t>Melting_Curves/meltCurve_B4DZH6_HDAC6.pdf</t>
  </si>
  <si>
    <t>Melting_Curves/meltCurve_B4DZN9_ARHGAP11A.pdf</t>
  </si>
  <si>
    <t>Melting_Curves/meltCurve_B4E0G4_PHF6.pdf</t>
  </si>
  <si>
    <t>Melting_Curves/meltCurve_B4E0T7_LRCH3.pdf</t>
  </si>
  <si>
    <t>Melting_Curves/meltCurve_B4E1J0_PBXIP1.pdf</t>
  </si>
  <si>
    <t>Melting_Curves/meltCurve_B4E1M0_MSANTD2.pdf</t>
  </si>
  <si>
    <t>Melting_Curves/meltCurve_B4E1N6_RAF1.pdf</t>
  </si>
  <si>
    <t>Melting_Curves/meltCurve_B4E1Q4_RIOK3.pdf</t>
  </si>
  <si>
    <t>Melting_Curves/meltCurve_B4E241_SFRS3.pdf</t>
  </si>
  <si>
    <t>Melting_Curves/meltCurve_B4E2S7_LAMP2.pdf</t>
  </si>
  <si>
    <t>Melting_Curves/meltCurve_B4E2W0_HADHB.pdf</t>
  </si>
  <si>
    <t>Melting_Curves/meltCurve_B4E2X3_METTL13.pdf</t>
  </si>
  <si>
    <t>Melting_Curves/meltCurve_B4E3E5_DVL3.pdf</t>
  </si>
  <si>
    <t>Melting_Curves/meltCurve_B5MCF9_PES1.pdf</t>
  </si>
  <si>
    <t>Melting_Curves/meltCurve_B5MCT7_PPM1F.pdf</t>
  </si>
  <si>
    <t>Melting_Curves/meltCurve_B5MCU0_R3HDM2.pdf</t>
  </si>
  <si>
    <t>Melting_Curves/meltCurve_B5MEB3_CABIN1.pdf</t>
  </si>
  <si>
    <t>Melting_Curves/meltCurve_B7WP27_CWC22.pdf</t>
  </si>
  <si>
    <t>Melting_Curves/meltCurve_B7Z254_PDIA6.pdf</t>
  </si>
  <si>
    <t>Melting_Curves/meltCurve_B7Z2G1_KLHL22.pdf</t>
  </si>
  <si>
    <t>Melting_Curves/meltCurve_B7Z2S5_TXNRD1.pdf</t>
  </si>
  <si>
    <t>Melting_Curves/meltCurve_B7Z2X9_ENO2.pdf</t>
  </si>
  <si>
    <t>Melting_Curves/meltCurve_B7Z2Y2_COG2.pdf</t>
  </si>
  <si>
    <t>Melting_Curves/meltCurve_B7Z367_ZNF346.pdf</t>
  </si>
  <si>
    <t>Melting_Curves/meltCurve_B7Z3I9_ALAD.pdf</t>
  </si>
  <si>
    <t>Melting_Curves/meltCurve_B7Z3P1_TBCE.pdf</t>
  </si>
  <si>
    <t>Melting_Curves/meltCurve_B7Z3Y2_PCYOX1.pdf</t>
  </si>
  <si>
    <t>Melting_Curves/meltCurve_B7Z4K6_DNASE2.pdf</t>
  </si>
  <si>
    <t>Melting_Curves/meltCurve_B7Z4R0_ERF.pdf</t>
  </si>
  <si>
    <t>Melting_Curves/meltCurve_B7Z5D1_MLH3.pdf</t>
  </si>
  <si>
    <t>Melting_Curves/meltCurve_B7Z652_RPL7L1.pdf</t>
  </si>
  <si>
    <t>Melting_Curves/meltCurve_B7Z6B8_DECR1.pdf</t>
  </si>
  <si>
    <t>Melting_Curves/meltCurve_B7Z6J6_TRIML2.pdf</t>
  </si>
  <si>
    <t>Melting_Curves/meltCurve_B7Z755_MLLT3.pdf</t>
  </si>
  <si>
    <t>Melting_Curves/meltCurve_B7Z7J3_AMN1.pdf</t>
  </si>
  <si>
    <t>Melting_Curves/meltCurve_B7Z7U4_NTRK3.pdf</t>
  </si>
  <si>
    <t>Melting_Curves/meltCurve_B7Z815_USP7.pdf</t>
  </si>
  <si>
    <t>Melting_Curves/meltCurve_B7Z848_RFX5.pdf</t>
  </si>
  <si>
    <t>Melting_Curves/meltCurve_B7Z9X4_NDRG4.pdf</t>
  </si>
  <si>
    <t>Melting_Curves/meltCurve_B7ZAX5_GALK2.pdf</t>
  </si>
  <si>
    <t>Melting_Curves/meltCurve_B7ZBB8_PPP1R3G.pdf</t>
  </si>
  <si>
    <t>Melting_Curves/meltCurve_B7ZKK9_PPP2R5E.pdf</t>
  </si>
  <si>
    <t>Melting_Curves/meltCurve_B7ZKP8_UBXN2A.pdf</t>
  </si>
  <si>
    <t>Melting_Curves/meltCurve_B7ZLQ8_CPEB4.pdf</t>
  </si>
  <si>
    <t>Melting_Curves/meltCurve_B7ZM82_WIZ.pdf</t>
  </si>
  <si>
    <t>Melting_Curves/meltCurve_B8ZZJ1_FAM126A.pdf</t>
  </si>
  <si>
    <t>Melting_Curves/meltCurve_B8ZZJ9_EIF4E2.pdf</t>
  </si>
  <si>
    <t>Melting_Curves/meltCurve_B8ZZK4_RPL31.pdf</t>
  </si>
  <si>
    <t>Melting_Curves/meltCurve_B8ZZQ6_PTMA.pdf</t>
  </si>
  <si>
    <t>Melting_Curves/meltCurve_B8ZZT4_VAMP8.pdf</t>
  </si>
  <si>
    <t>Melting_Curves/meltCurve_B9A018_USP39.pdf</t>
  </si>
  <si>
    <t>Melting_Curves/meltCurve_B9A047_ASB1.pdf</t>
  </si>
  <si>
    <t>Melting_Curves/meltCurve_B9ZVT1_RBM12B.pdf</t>
  </si>
  <si>
    <t>Melting_Curves/meltCurve_C4AMC7_WASH3P.pdf</t>
  </si>
  <si>
    <t>Melting_Curves/meltCurve_C6GKU9_MED30S.pdf</t>
  </si>
  <si>
    <t>Melting_Curves/meltCurve_C9J082_NPHP1.pdf</t>
  </si>
  <si>
    <t>Melting_Curves/meltCurve_C9J0I9_ZC3HC1.pdf</t>
  </si>
  <si>
    <t>Melting_Curves/meltCurve_C9J0J7_PFN2.pdf</t>
  </si>
  <si>
    <t>Melting_Curves/meltCurve_C9J0K6_SRI.pdf</t>
  </si>
  <si>
    <t>Melting_Curves/meltCurve_C9J0V9_ZNF655.pdf</t>
  </si>
  <si>
    <t>Melting_Curves/meltCurve_C9J212_UBE2F.pdf</t>
  </si>
  <si>
    <t>Melting_Curves/meltCurve_C9J2N8_ZNF823.pdf</t>
  </si>
  <si>
    <t>Melting_Curves/meltCurve_C9J2U0_CCNE1.pdf</t>
  </si>
  <si>
    <t>Melting_Curves/meltCurve_C9J2V2_IKBKG.pdf</t>
  </si>
  <si>
    <t>Melting_Curves/meltCurve_C9J2Y9_POLR2B.pdf</t>
  </si>
  <si>
    <t>Melting_Curves/meltCurve_C9J366_IQCJ_SCHIP1.pdf</t>
  </si>
  <si>
    <t>Melting_Curves/meltCurve_C9J384_CMSS1.pdf</t>
  </si>
  <si>
    <t>Melting_Curves/meltCurve_C9J406_IMMT.pdf</t>
  </si>
  <si>
    <t>Melting_Curves/meltCurve_C9J5C3_PDCD10.pdf</t>
  </si>
  <si>
    <t>Melting_Curves/meltCurve_C9J5X1_IGF1R.pdf</t>
  </si>
  <si>
    <t>Melting_Curves/meltCurve_C9J5X9_FANCB.pdf</t>
  </si>
  <si>
    <t>Melting_Curves/meltCurve_C9J6A7_RPE.pdf</t>
  </si>
  <si>
    <t>Melting_Curves/meltCurve_C9J710_CEP70.pdf</t>
  </si>
  <si>
    <t>Melting_Curves/meltCurve_C9J712_PFN2.pdf</t>
  </si>
  <si>
    <t>Melting_Curves/meltCurve_C9J718_KRIT1.pdf</t>
  </si>
  <si>
    <t>Melting_Curves/meltCurve_C9J858_RNF8.pdf</t>
  </si>
  <si>
    <t>Melting_Curves/meltCurve_C9J9K3_RPSA.pdf</t>
  </si>
  <si>
    <t>Melting_Curves/meltCurve_C9JA69_BBX.pdf</t>
  </si>
  <si>
    <t>Melting_Curves/meltCurve_C9JAX1_FXN.pdf</t>
  </si>
  <si>
    <t>Melting_Curves/meltCurve_C9JAX3_ZNF467.pdf</t>
  </si>
  <si>
    <t>Melting_Curves/meltCurve_C9JB13_BSDC1.pdf</t>
  </si>
  <si>
    <t>Melting_Curves/meltCurve_C9JBM0_NFE2L2.pdf</t>
  </si>
  <si>
    <t>Melting_Curves/meltCurve_C9JCN8_FOSL2.pdf</t>
  </si>
  <si>
    <t>Melting_Curves/meltCurve_C9JDG0_DIAPH3.pdf</t>
  </si>
  <si>
    <t>Melting_Curves/meltCurve_C9JE98_NCOR2.pdf</t>
  </si>
  <si>
    <t>Melting_Curves/meltCurve_C9JEZ4_CDC42EP3.pdf</t>
  </si>
  <si>
    <t>Melting_Curves/meltCurve_C9JFE4_GPS1.pdf</t>
  </si>
  <si>
    <t>Melting_Curves/meltCurve_C9JFK9_BAG3.pdf</t>
  </si>
  <si>
    <t>Melting_Curves/meltCurve_C9JG97_AAMP.pdf</t>
  </si>
  <si>
    <t>Melting_Curves/meltCurve_C9JIS1_GNB2.pdf</t>
  </si>
  <si>
    <t>Melting_Curves/meltCurve_C9JK89_SH2B2.pdf</t>
  </si>
  <si>
    <t>Melting_Curves/meltCurve_C9JLU1_POLR2H.pdf</t>
  </si>
  <si>
    <t>Melting_Curves/meltCurve_C9JMH6_SERPINF2.pdf</t>
  </si>
  <si>
    <t>Melting_Curves/meltCurve_C9JND4_GXYLT2.pdf</t>
  </si>
  <si>
    <t>Melting_Curves/meltCurve_C9JNE2_OARD1.pdf</t>
  </si>
  <si>
    <t>Melting_Curves/meltCurve_C9JNI7_HSPBP1.pdf</t>
  </si>
  <si>
    <t>Melting_Curves/meltCurve_C9JNU9_USP4.pdf</t>
  </si>
  <si>
    <t>Melting_Curves/meltCurve_C9JP00_MBNL1.pdf</t>
  </si>
  <si>
    <t>Melting_Curves/meltCurve_C9JPC9_USP42.pdf</t>
  </si>
  <si>
    <t>Melting_Curves/meltCurve_C9JQ41_CCDC58.pdf</t>
  </si>
  <si>
    <t>Melting_Curves/meltCurve_C9JQB1_NME6.pdf</t>
  </si>
  <si>
    <t>Melting_Curves/meltCurve_C9JQQ5_ATL2.pdf</t>
  </si>
  <si>
    <t>Melting_Curves/meltCurve_C9JQV3_STK11IP.pdf</t>
  </si>
  <si>
    <t>Melting_Curves/meltCurve_C9JRV0_RNF13.pdf</t>
  </si>
  <si>
    <t>Melting_Curves/meltCurve_C9JRZ8_2_AKR1B15.pdf</t>
  </si>
  <si>
    <t>Melting_Curves/meltCurve_C9JW69_RCC1.pdf</t>
  </si>
  <si>
    <t>Melting_Curves/meltCurve_C9JWL4_AP4M1.pdf</t>
  </si>
  <si>
    <t>Melting_Curves/meltCurve_C9JXB8_RPL24.pdf</t>
  </si>
  <si>
    <t>Melting_Curves/meltCurve_C9JXK0_LBR.pdf</t>
  </si>
  <si>
    <t>Melting_Curves/meltCurve_C9JYM0_POP7.pdf</t>
  </si>
  <si>
    <t>Melting_Curves/meltCurve_C9JYQ9_RPL22L1.pdf</t>
  </si>
  <si>
    <t>Melting_Curves/meltCurve_C9JYY6_NRCAM.pdf</t>
  </si>
  <si>
    <t>Melting_Curves/meltCurve_C9JYY9_NUDT5.pdf</t>
  </si>
  <si>
    <t>Melting_Curves/meltCurve_C9JZY6_UBE2H.pdf</t>
  </si>
  <si>
    <t>Melting_Curves/meltCurve_D0UFD3_PrLZ.pdf</t>
  </si>
  <si>
    <t>Melting_Curves/meltCurve_D3DUE4_ANKS3.pdf</t>
  </si>
  <si>
    <t>Melting_Curves/meltCurve_D3K174_SLC4A7.pdf</t>
  </si>
  <si>
    <t>Melting_Curves/meltCurve_D3YTB1_RPL32.pdf</t>
  </si>
  <si>
    <t>Melting_Curves/meltCurve_D3YTG6_NDOR1.pdf</t>
  </si>
  <si>
    <t>Melting_Curves/meltCurve_D6R966_CXXC5.pdf</t>
  </si>
  <si>
    <t>Melting_Curves/meltCurve_D6R992_RELB.pdf</t>
  </si>
  <si>
    <t>Melting_Curves/meltCurve_D6R9D6_RBM47.pdf</t>
  </si>
  <si>
    <t>Melting_Curves/meltCurve_D6R9U7_POLR3G.pdf</t>
  </si>
  <si>
    <t>Melting_Curves/meltCurve_D6R9V3_CC2D2A.pdf</t>
  </si>
  <si>
    <t>Melting_Curves/meltCurve_D6RB01_FAM169A.pdf</t>
  </si>
  <si>
    <t>Melting_Curves/meltCurve_D6RBC4_ZBTB38.pdf</t>
  </si>
  <si>
    <t>Melting_Curves/meltCurve_D6RBN5_OCIAD1.pdf</t>
  </si>
  <si>
    <t>Melting_Curves/meltCurve_D6RBV2_LMAN2.pdf</t>
  </si>
  <si>
    <t>Melting_Curves/meltCurve_D6RC23_PACRGL.pdf</t>
  </si>
  <si>
    <t>Melting_Curves/meltCurve_D6RCD0_HSD17B11.pdf</t>
  </si>
  <si>
    <t>Melting_Curves/meltCurve_D6RDM1_CCDC111.pdf</t>
  </si>
  <si>
    <t>Melting_Curves/meltCurve_D6RDX3_ATG10.pdf</t>
  </si>
  <si>
    <t>Melting_Curves/meltCurve_D6REA0_PET112.pdf</t>
  </si>
  <si>
    <t>Melting_Curves/meltCurve_D6REW1_PRELID1.pdf</t>
  </si>
  <si>
    <t>Melting_Curves/meltCurve_D6REX3_SEC31A.pdf</t>
  </si>
  <si>
    <t>Melting_Curves/meltCurve_D6RGI3_SEPT11.pdf</t>
  </si>
  <si>
    <t>Melting_Curves/meltCurve_D6RGY3_CPLX2.pdf</t>
  </si>
  <si>
    <t>Melting_Curves/meltCurve_D6RHC4_ANKHD1.pdf</t>
  </si>
  <si>
    <t>Melting_Curves/meltCurve_D6RHD3_CENPK.pdf</t>
  </si>
  <si>
    <t>Melting_Curves/meltCurve_D6RHI7_CCNH.pdf</t>
  </si>
  <si>
    <t>Melting_Curves/meltCurve_D6RHI9_RNASET2.pdf</t>
  </si>
  <si>
    <t>Melting_Curves/meltCurve_D6RHJ6_IGJ.pdf</t>
  </si>
  <si>
    <t>Melting_Curves/meltCurve_D6RJ90_COMMD10.pdf</t>
  </si>
  <si>
    <t>Melting_Curves/meltCurve_E2QRD4_MMS22L.pdf</t>
  </si>
  <si>
    <t>Melting_Curves/meltCurve_E2QRD5_C15orf38_AP3S2.pdf</t>
  </si>
  <si>
    <t>Melting_Curves/meltCurve_E2QRF9_GMNN.pdf</t>
  </si>
  <si>
    <t>Melting_Curves/meltCurve_E5RFH7_FAM92A1.pdf</t>
  </si>
  <si>
    <t>Melting_Curves/meltCurve_E5RFJ1_NSMCE2.pdf</t>
  </si>
  <si>
    <t>Melting_Curves/meltCurve_E5RG13_IMPA1.pdf</t>
  </si>
  <si>
    <t>Melting_Curves/meltCurve_E5RGQ3_RWDD1.pdf</t>
  </si>
  <si>
    <t>Melting_Curves/meltCurve_E5RGX5_STMN2.pdf</t>
  </si>
  <si>
    <t>Melting_Curves/meltCurve_E5RHG8_TCEB1.pdf</t>
  </si>
  <si>
    <t>Melting_Curves/meltCurve_E5RHK8_DNM3.pdf</t>
  </si>
  <si>
    <t>Melting_Curves/meltCurve_E5RIH5_TTI2.pdf</t>
  </si>
  <si>
    <t>Melting_Curves/meltCurve_E5RJ08_CHCHD7.pdf</t>
  </si>
  <si>
    <t>Melting_Curves/meltCurve_E5RJ29_PSD3.pdf</t>
  </si>
  <si>
    <t>Melting_Curves/meltCurve_E5RJ52_AP3M2.pdf</t>
  </si>
  <si>
    <t>Melting_Curves/meltCurve_E5RJ99_ZFAND1.pdf</t>
  </si>
  <si>
    <t>Melting_Curves/meltCurve_E5RJH0_BHMT.pdf</t>
  </si>
  <si>
    <t>Melting_Curves/meltCurve_E5RJR5_SKP1.pdf</t>
  </si>
  <si>
    <t>Melting_Curves/meltCurve_E5RJU9_MTDH.pdf</t>
  </si>
  <si>
    <t>Melting_Curves/meltCurve_E7EM64_COPS6.pdf</t>
  </si>
  <si>
    <t>Melting_Curves/meltCurve_E7EMB8_PTPN18.pdf</t>
  </si>
  <si>
    <t>Melting_Curves/meltCurve_E7EMC3_EPN2.pdf</t>
  </si>
  <si>
    <t>Melting_Curves/meltCurve_E7EMM4_ASAH1.pdf</t>
  </si>
  <si>
    <t>Melting_Curves/meltCurve_E7EMW7_UBR5.pdf</t>
  </si>
  <si>
    <t>Melting_Curves/meltCurve_E7EMZ9_TACC2.pdf</t>
  </si>
  <si>
    <t>Melting_Curves/meltCurve_E7EN68_SETMAR.pdf</t>
  </si>
  <si>
    <t>Melting_Curves/meltCurve_E7ENA9_NCSTN.pdf</t>
  </si>
  <si>
    <t>Melting_Curves/meltCurve_E7ENK0_CALCOCO2.pdf</t>
  </si>
  <si>
    <t>Melting_Curves/meltCurve_E7ENY8_COL3A1.pdf</t>
  </si>
  <si>
    <t>Melting_Curves/meltCurve_E7EPB3_RPL14.pdf</t>
  </si>
  <si>
    <t>Melting_Curves/meltCurve_E7EPD0_TOM1.pdf</t>
  </si>
  <si>
    <t>Melting_Curves/meltCurve_E7EPI0_IBTK.pdf</t>
  </si>
  <si>
    <t>Melting_Curves/meltCurve_E7EPL4_PDXDC1.pdf</t>
  </si>
  <si>
    <t>Melting_Curves/meltCurve_E7EPS8_PTPRM.pdf</t>
  </si>
  <si>
    <t>Melting_Curves/meltCurve_E7EQ69_NAA50.pdf</t>
  </si>
  <si>
    <t>Melting_Curves/meltCurve_E7EQT4_ACIN1.pdf</t>
  </si>
  <si>
    <t>Melting_Curves/meltCurve_E7EQY4_MTA3.pdf</t>
  </si>
  <si>
    <t>Melting_Curves/meltCurve_E7ER32_MKL1.pdf</t>
  </si>
  <si>
    <t>Melting_Curves/meltCurve_E7ER68_FAM91A1.pdf</t>
  </si>
  <si>
    <t>Melting_Curves/meltCurve_E7ER77_ERMP1.pdf</t>
  </si>
  <si>
    <t>Melting_Curves/meltCurve_E7ER81_FAM193B.pdf</t>
  </si>
  <si>
    <t>Melting_Curves/meltCurve_E7ERB7_GMIP.pdf</t>
  </si>
  <si>
    <t>Melting_Curves/meltCurve_E7ERL6_MAST2.pdf</t>
  </si>
  <si>
    <t>Melting_Curves/meltCurve_E7ES08_HMGB3.pdf</t>
  </si>
  <si>
    <t>Melting_Curves/meltCurve_E7ES35_TTC38.pdf</t>
  </si>
  <si>
    <t>Melting_Curves/meltCurve_E7ESD5_EYA4.pdf</t>
  </si>
  <si>
    <t>Melting_Curves/meltCurve_E7ESU4_NAT10.pdf</t>
  </si>
  <si>
    <t>Melting_Curves/meltCurve_E7ET15_U2SURP.pdf</t>
  </si>
  <si>
    <t>Melting_Curves/meltCurve_E7ET33_ITIH3.pdf</t>
  </si>
  <si>
    <t>Melting_Curves/meltCurve_E7ET89_DTX2.pdf</t>
  </si>
  <si>
    <t>Melting_Curves/meltCurve_E7ET96_TNIP1.pdf</t>
  </si>
  <si>
    <t>Melting_Curves/meltCurve_E7ETU5_RBMS1.pdf</t>
  </si>
  <si>
    <t>Melting_Curves/meltCurve_E7ETU9_PLOD2.pdf</t>
  </si>
  <si>
    <t>Melting_Curves/meltCurve_E7ETZ4_BZW2.pdf</t>
  </si>
  <si>
    <t>Melting_Curves/meltCurve_E7EU96_CSNK2A1.pdf</t>
  </si>
  <si>
    <t>Melting_Curves/meltCurve_E7EUC6_NAV3.pdf</t>
  </si>
  <si>
    <t>Melting_Curves/meltCurve_E7EUI8_G6PD.pdf</t>
  </si>
  <si>
    <t>Melting_Curves/meltCurve_E7EUM5_NUP54.pdf</t>
  </si>
  <si>
    <t>Melting_Curves/meltCurve_E7EUR8_FAM193A.pdf</t>
  </si>
  <si>
    <t>Melting_Curves/meltCurve_E7EUU4_EIF4G1.pdf</t>
  </si>
  <si>
    <t>Melting_Curves/meltCurve_E7EUY3_PCCB.pdf</t>
  </si>
  <si>
    <t>Melting_Curves/meltCurve_E7EV07_ARHGEF4.pdf</t>
  </si>
  <si>
    <t>Melting_Curves/meltCurve_E7EV62_ARFGAP1.pdf</t>
  </si>
  <si>
    <t>Melting_Curves/meltCurve_E7EVA0_MAP4.pdf</t>
  </si>
  <si>
    <t>Melting_Curves/meltCurve_E7EVH9_HDHD1.pdf</t>
  </si>
  <si>
    <t>Melting_Curves/meltCurve_E7EVJ5_CYFIP2.pdf</t>
  </si>
  <si>
    <t>Melting_Curves/meltCurve_E7EVY7_POR.pdf</t>
  </si>
  <si>
    <t>Melting_Curves/meltCurve_E7EVZ3_RAI1.pdf</t>
  </si>
  <si>
    <t>Melting_Curves/meltCurve_E7EW69_SEPT10.pdf</t>
  </si>
  <si>
    <t>Melting_Curves/meltCurve_E7EW80_PPIL2.pdf</t>
  </si>
  <si>
    <t>Melting_Curves/meltCurve_E7EW84_EXOC6.pdf</t>
  </si>
  <si>
    <t>Melting_Curves/meltCurve_E7EWC2_IQGAP2.pdf</t>
  </si>
  <si>
    <t>Melting_Curves/meltCurve_E7EWD6_ASXL2.pdf</t>
  </si>
  <si>
    <t>Melting_Curves/meltCurve_E7EX01_MPP2.pdf</t>
  </si>
  <si>
    <t>Melting_Curves/meltCurve_E7EX44_CALD1.pdf</t>
  </si>
  <si>
    <t>Melting_Curves/meltCurve_E7EX48_NEK4.pdf</t>
  </si>
  <si>
    <t>Melting_Curves/meltCurve_E9PAU2_RAVER1.pdf</t>
  </si>
  <si>
    <t>Melting_Curves/meltCurve_E9PAV9_GPATCH4.pdf</t>
  </si>
  <si>
    <t>Melting_Curves/meltCurve_E9PAX8_PPHLN1.pdf</t>
  </si>
  <si>
    <t>Melting_Curves/meltCurve_E9PB14_PDHX.pdf</t>
  </si>
  <si>
    <t>Melting_Curves/meltCurve_E9PB61_ALYREF.pdf</t>
  </si>
  <si>
    <t>Melting_Curves/meltCurve_E9PBS1_PAICS.pdf</t>
  </si>
  <si>
    <t>Melting_Curves/meltCurve_E9PC26_BUB1.pdf</t>
  </si>
  <si>
    <t>Melting_Curves/meltCurve_E9PC74_EIF2B5.pdf</t>
  </si>
  <si>
    <t>Melting_Curves/meltCurve_E9PCH4_FNIP1.pdf</t>
  </si>
  <si>
    <t>Melting_Curves/meltCurve_E9PCV0_GUSB.pdf</t>
  </si>
  <si>
    <t>Melting_Curves/meltCurve_E9PCX3_ELF2.pdf</t>
  </si>
  <si>
    <t>Melting_Curves/meltCurve_E9PCX8_TNS3.pdf</t>
  </si>
  <si>
    <t>Melting_Curves/meltCurve_E9PD68_CRMP1.pdf</t>
  </si>
  <si>
    <t>Melting_Curves/meltCurve_E9PD90_CKAP2.pdf</t>
  </si>
  <si>
    <t>Melting_Curves/meltCurve_E9PDG2_IFT122.pdf</t>
  </si>
  <si>
    <t>Melting_Curves/meltCurve_E9PE82_ACADS.pdf</t>
  </si>
  <si>
    <t>Melting_Curves/meltCurve_E9PEG3_AR.pdf</t>
  </si>
  <si>
    <t>Melting_Curves/meltCurve_E9PEK0_HMGXB3.pdf</t>
  </si>
  <si>
    <t>Melting_Curves/meltCurve_E9PER6_PDPK1.pdf</t>
  </si>
  <si>
    <t>Melting_Curves/meltCurve_E9PEZ3_DIAPH1.pdf</t>
  </si>
  <si>
    <t>Melting_Curves/meltCurve_E9PF10_NUP155.pdf</t>
  </si>
  <si>
    <t>Melting_Curves/meltCurve_E9PF16_ACSF2.pdf</t>
  </si>
  <si>
    <t>Melting_Curves/meltCurve_E9PF99_CEP192.pdf</t>
  </si>
  <si>
    <t>Melting_Curves/meltCurve_E9PFR3_PPP2R5D.pdf</t>
  </si>
  <si>
    <t>Melting_Curves/meltCurve_E9PFU9_ZFAND2B.pdf</t>
  </si>
  <si>
    <t>Melting_Curves/meltCurve_E9PG22_CEP97.pdf</t>
  </si>
  <si>
    <t>Melting_Curves/meltCurve_E9PG35_MCCC1.pdf</t>
  </si>
  <si>
    <t>Melting_Curves/meltCurve_E9PG40_APP.pdf</t>
  </si>
  <si>
    <t>Melting_Curves/meltCurve_E9PGF5_TNS1.pdf</t>
  </si>
  <si>
    <t>Melting_Curves/meltCurve_E9PGT1_TSN.pdf</t>
  </si>
  <si>
    <t>Melting_Curves/meltCurve_E9PGW7_MED22.pdf</t>
  </si>
  <si>
    <t>Melting_Curves/meltCurve_E9PH29_PRDX3.pdf</t>
  </si>
  <si>
    <t>Melting_Curves/meltCurve_E9PHK0_CLEC3B.pdf</t>
  </si>
  <si>
    <t>Melting_Curves/meltCurve_E9PHM2_LARS2.pdf</t>
  </si>
  <si>
    <t>Melting_Curves/meltCurve_E9PHV5_SSFA2.pdf</t>
  </si>
  <si>
    <t>Melting_Curves/meltCurve_E9PHY8_MROH1.pdf</t>
  </si>
  <si>
    <t>Melting_Curves/meltCurve_E9PIB1_HLA_DQB1.pdf</t>
  </si>
  <si>
    <t>Melting_Curves/meltCurve_E9PJ04_SF3B2.pdf</t>
  </si>
  <si>
    <t>Melting_Curves/meltCurve_E9PJ24_PHRF1.pdf</t>
  </si>
  <si>
    <t>Melting_Curves/meltCurve_E9PJ40_EBAG9.pdf</t>
  </si>
  <si>
    <t>Melting_Curves/meltCurve_E9PJ81_UBXN1.pdf</t>
  </si>
  <si>
    <t>Melting_Curves/meltCurve_E9PJD7_CYHR1.pdf</t>
  </si>
  <si>
    <t>Melting_Curves/meltCurve_E9PJF5_BRMS1.pdf</t>
  </si>
  <si>
    <t>Melting_Curves/meltCurve_E9PJK4_ARHGAP42.pdf</t>
  </si>
  <si>
    <t>Melting_Curves/meltCurve_E9PJN1_RPS6KA4.pdf</t>
  </si>
  <si>
    <t>Melting_Curves/meltCurve_E9PJP2_SOGA3.pdf</t>
  </si>
  <si>
    <t>Melting_Curves/meltCurve_E9PJV3_RPUSD4.pdf</t>
  </si>
  <si>
    <t>Melting_Curves/meltCurve_E9PKB7_TEAD1.pdf</t>
  </si>
  <si>
    <t>Melting_Curves/meltCurve_E9PKD1_TOR1AIP1.pdf</t>
  </si>
  <si>
    <t>Melting_Curves/meltCurve_E9PKG1_PRMT1.pdf</t>
  </si>
  <si>
    <t>Melting_Curves/meltCurve_E9PKV8_TTC9C.pdf</t>
  </si>
  <si>
    <t>Melting_Curves/meltCurve_E9PL10_BTF3L4.pdf</t>
  </si>
  <si>
    <t>Melting_Curves/meltCurve_E9PL22_HYOU1.pdf</t>
  </si>
  <si>
    <t>Melting_Curves/meltCurve_E9PL24_PDE4DIP.pdf</t>
  </si>
  <si>
    <t>Melting_Curves/meltCurve_E9PL57_NEDD8_MDP1.pdf</t>
  </si>
  <si>
    <t>Melting_Curves/meltCurve_E9PLK3_NPEPPS.pdf</t>
  </si>
  <si>
    <t>Melting_Curves/meltCurve_E9PLL6_RPL27A.pdf</t>
  </si>
  <si>
    <t>Melting_Curves/meltCurve_E9PLX2_RNF141.pdf</t>
  </si>
  <si>
    <t>Melting_Curves/meltCurve_E9PLY5_MACF1.pdf</t>
  </si>
  <si>
    <t>Melting_Curves/meltCurve_E9PM46_USP47.pdf</t>
  </si>
  <si>
    <t>Melting_Curves/meltCurve_E9PM92_C11orf58.pdf</t>
  </si>
  <si>
    <t>Melting_Curves/meltCurve_E9PMB9_ME3.pdf</t>
  </si>
  <si>
    <t>Melting_Curves/meltCurve_E9PME6_USF1.pdf</t>
  </si>
  <si>
    <t>Melting_Curves/meltCurve_E9PMH5_BIRC2.pdf</t>
  </si>
  <si>
    <t>Melting_Curves/meltCurve_E9PMI6_CLNS1A.pdf</t>
  </si>
  <si>
    <t>Melting_Curves/meltCurve_E9PMJ2_FAM118B.pdf</t>
  </si>
  <si>
    <t>Melting_Curves/meltCurve_E9PML3_AHI1.pdf</t>
  </si>
  <si>
    <t>Melting_Curves/meltCurve_E9PMQ6_HSF1.pdf</t>
  </si>
  <si>
    <t>Melting_Curves/meltCurve_E9PMS5_KCTD21.pdf</t>
  </si>
  <si>
    <t>Melting_Curves/meltCurve_E9PMS6_LMO7.pdf</t>
  </si>
  <si>
    <t>Melting_Curves/meltCurve_E9PN20_ZNF595.pdf</t>
  </si>
  <si>
    <t>Melting_Curves/meltCurve_E9PND2_CSRP1.pdf</t>
  </si>
  <si>
    <t>Melting_Curves/meltCurve_E9PNJ4_STIM1.pdf</t>
  </si>
  <si>
    <t>Melting_Curves/meltCurve_E9PNW4_CD59.pdf</t>
  </si>
  <si>
    <t>Melting_Curves/meltCurve_E9PQ47_ZFPL1.pdf</t>
  </si>
  <si>
    <t>Melting_Curves/meltCurve_E9PR30_FAU.pdf</t>
  </si>
  <si>
    <t>Melting_Curves/meltCurve_E9PR54_CTSB.pdf</t>
  </si>
  <si>
    <t>Melting_Curves/meltCurve_E9PR76_MAF1.pdf</t>
  </si>
  <si>
    <t>Melting_Curves/meltCurve_E9PRI4_RPS6KA1.pdf</t>
  </si>
  <si>
    <t>Melting_Curves/meltCurve_E9PS84_.pdf</t>
  </si>
  <si>
    <t>Melting_Curves/meltCurve_E9PSF2_STIL.pdf</t>
  </si>
  <si>
    <t>Melting_Curves/meltCurve_F2Z2V1_FGGY.pdf</t>
  </si>
  <si>
    <t>Melting_Curves/meltCurve_F2Z2X4_XPO4.pdf</t>
  </si>
  <si>
    <t>Melting_Curves/meltCurve_F5GWF3_C1RL.pdf</t>
  </si>
  <si>
    <t>Melting_Curves/meltCurve_F5GWI9_CCDC53.pdf</t>
  </si>
  <si>
    <t>Melting_Curves/meltCurve_F5GWN5_PIK3C2B.pdf</t>
  </si>
  <si>
    <t>Melting_Curves/meltCurve_F5GWP8_JUP.pdf</t>
  </si>
  <si>
    <t>Melting_Curves/meltCurve_F5GWT4_WNK1.pdf</t>
  </si>
  <si>
    <t>Melting_Curves/meltCurve_F5GWU7_SMAD5.pdf</t>
  </si>
  <si>
    <t>Melting_Curves/meltCurve_F5GX09_FAM76B.pdf</t>
  </si>
  <si>
    <t>Melting_Curves/meltCurve_F5GX82_FRYL.pdf</t>
  </si>
  <si>
    <t>Melting_Curves/meltCurve_F5GXC8_SUCLA2.pdf</t>
  </si>
  <si>
    <t>Melting_Curves/meltCurve_F5GXE4_ATE1.pdf</t>
  </si>
  <si>
    <t>Melting_Curves/meltCurve_F5GXE7_LTBR.pdf</t>
  </si>
  <si>
    <t>Melting_Curves/meltCurve_F5GXQ1_ITIH4.pdf</t>
  </si>
  <si>
    <t>Melting_Curves/meltCurve_F5GXS0_C4B.pdf</t>
  </si>
  <si>
    <t>Melting_Curves/meltCurve_F5GXY5_SASS6.pdf</t>
  </si>
  <si>
    <t>Melting_Curves/meltCurve_F5GY03_SPARC.pdf</t>
  </si>
  <si>
    <t>Melting_Curves/meltCurve_F5GYE8_CEP112.pdf</t>
  </si>
  <si>
    <t>Melting_Curves/meltCurve_F5GYJ5_.pdf</t>
  </si>
  <si>
    <t>Melting_Curves/meltCurve_F5GYK4_TK2.pdf</t>
  </si>
  <si>
    <t>Melting_Curves/meltCurve_F5GZ78_PXN.pdf</t>
  </si>
  <si>
    <t>Melting_Curves/meltCurve_F5GZ90_DTL.pdf</t>
  </si>
  <si>
    <t>Melting_Curves/meltCurve_F5GZY0_APLP2.pdf</t>
  </si>
  <si>
    <t>Melting_Curves/meltCurve_F5H012_TRIM21.pdf</t>
  </si>
  <si>
    <t>Melting_Curves/meltCurve_F5H0B0_TPD52.pdf</t>
  </si>
  <si>
    <t>Melting_Curves/meltCurve_F5H0C4_PAAF1.pdf</t>
  </si>
  <si>
    <t>Melting_Curves/meltCurve_F5H0F9_ANAPC5.pdf</t>
  </si>
  <si>
    <t>Melting_Curves/meltCurve_F5H0I7_TDG.pdf</t>
  </si>
  <si>
    <t>Melting_Curves/meltCurve_F5H0K8_KSR1.pdf</t>
  </si>
  <si>
    <t>Melting_Curves/meltCurve_F5H0L8_SEC23IP.pdf</t>
  </si>
  <si>
    <t>Melting_Curves/meltCurve_F5H0Q6_CLASRP.pdf</t>
  </si>
  <si>
    <t>Melting_Curves/meltCurve_F5H105_ZNF384.pdf</t>
  </si>
  <si>
    <t>Melting_Curves/meltCurve_F5H148_RRN3.pdf</t>
  </si>
  <si>
    <t>Melting_Curves/meltCurve_F5H199_MSRB3.pdf</t>
  </si>
  <si>
    <t>Melting_Curves/meltCurve_F5H1D6_POLE.pdf</t>
  </si>
  <si>
    <t>Melting_Curves/meltCurve_F5H1L4_TXNRD2.pdf</t>
  </si>
  <si>
    <t>Melting_Curves/meltCurve_F5H1M6_P2RX4.pdf</t>
  </si>
  <si>
    <t>Melting_Curves/meltCurve_F5H1N7_KIAA1211.pdf</t>
  </si>
  <si>
    <t>Melting_Curves/meltCurve_F5H1R7_FLJ22184.pdf</t>
  </si>
  <si>
    <t>Melting_Curves/meltCurve_F5H2A0_C12orf43.pdf</t>
  </si>
  <si>
    <t>Melting_Curves/meltCurve_F5H2H5_ANKLE2.pdf</t>
  </si>
  <si>
    <t>Melting_Curves/meltCurve_F5H2Q7_KIAA1715.pdf</t>
  </si>
  <si>
    <t>Melting_Curves/meltCurve_F5H2U2_PRPF4B.pdf</t>
  </si>
  <si>
    <t>Melting_Curves/meltCurve_F5H2U8_HMGA2.pdf</t>
  </si>
  <si>
    <t>Melting_Curves/meltCurve_F5H2X0_TJP3.pdf</t>
  </si>
  <si>
    <t>Melting_Curves/meltCurve_F5H315_XAB2.pdf</t>
  </si>
  <si>
    <t>Melting_Curves/meltCurve_F5H365_SEC23A.pdf</t>
  </si>
  <si>
    <t>Melting_Curves/meltCurve_F5H4B1_PRAME.pdf</t>
  </si>
  <si>
    <t>Melting_Curves/meltCurve_F5H4G7_KPNA6.pdf</t>
  </si>
  <si>
    <t>Melting_Curves/meltCurve_F5H4I2_RNF115.pdf</t>
  </si>
  <si>
    <t>Melting_Curves/meltCurve_F5H4J2_PEX14.pdf</t>
  </si>
  <si>
    <t>Melting_Curves/meltCurve_F5H4N6_GRIP1.pdf</t>
  </si>
  <si>
    <t>Melting_Curves/meltCurve_F5H4Q5_VPS37C.pdf</t>
  </si>
  <si>
    <t>Melting_Curves/meltCurve_F5H4V9_PDCD2.pdf</t>
  </si>
  <si>
    <t>Melting_Curves/meltCurve_F5H555_CASC1.pdf</t>
  </si>
  <si>
    <t>Melting_Curves/meltCurve_F5H5K5_.pdf</t>
  </si>
  <si>
    <t>Melting_Curves/meltCurve_F5H5M7_IFNGR1.pdf</t>
  </si>
  <si>
    <t>Melting_Curves/meltCurve_F5H5X7_CLEC4E.pdf</t>
  </si>
  <si>
    <t>Melting_Curves/meltCurve_F5H604_CLASP2.pdf</t>
  </si>
  <si>
    <t>Melting_Curves/meltCurve_F5H629_ATF2.pdf</t>
  </si>
  <si>
    <t>Melting_Curves/meltCurve_F5H6C2_IFT88.pdf</t>
  </si>
  <si>
    <t>Melting_Curves/meltCurve_F5H6I7_ATL3.pdf</t>
  </si>
  <si>
    <t>Melting_Curves/meltCurve_F5H6S1_KDM6A.pdf</t>
  </si>
  <si>
    <t>Melting_Curves/meltCurve_F5H702_MRPL48.pdf</t>
  </si>
  <si>
    <t>Melting_Curves/meltCurve_F5H721_WBP11.pdf</t>
  </si>
  <si>
    <t>Melting_Curves/meltCurve_F5H780_TXNRD1.pdf</t>
  </si>
  <si>
    <t>Melting_Curves/meltCurve_F5H801_OGDH.pdf</t>
  </si>
  <si>
    <t>Melting_Curves/meltCurve_F5H860_INPP4A.pdf</t>
  </si>
  <si>
    <t>Melting_Curves/meltCurve_F5H897_TRAP1.pdf</t>
  </si>
  <si>
    <t>Melting_Curves/meltCurve_F5H8E6_WDR20.pdf</t>
  </si>
  <si>
    <t>Melting_Curves/meltCurve_F5H8H2_MVK.pdf</t>
  </si>
  <si>
    <t>Melting_Curves/meltCurve_F5H8H4_POGZ.pdf</t>
  </si>
  <si>
    <t>Melting_Curves/meltCurve_F6TQG2_SMARCA1.pdf</t>
  </si>
  <si>
    <t>Melting_Curves/meltCurve_F6U1T9_PPP3R1.pdf</t>
  </si>
  <si>
    <t>Melting_Curves/meltCurve_F6UJY9_HYI.pdf</t>
  </si>
  <si>
    <t>Melting_Curves/meltCurve_F6UYM1_RPS6KB1.pdf</t>
  </si>
  <si>
    <t>Melting_Curves/meltCurve_F6V707_TPD52L1.pdf</t>
  </si>
  <si>
    <t>Melting_Curves/meltCurve_F6XY72_NME2.pdf</t>
  </si>
  <si>
    <t>Melting_Curves/meltCurve_F8VPD4_CAD.pdf</t>
  </si>
  <si>
    <t>Melting_Curves/meltCurve_F8VQZ7_METAP2.pdf</t>
  </si>
  <si>
    <t>Melting_Curves/meltCurve_F8VRH0_PCBP2.pdf</t>
  </si>
  <si>
    <t>Melting_Curves/meltCurve_F8VS47_NEK3.pdf</t>
  </si>
  <si>
    <t>Melting_Curves/meltCurve_F8VSE7_E2F7.pdf</t>
  </si>
  <si>
    <t>Melting_Curves/meltCurve_F8VSL3_NFYB.pdf</t>
  </si>
  <si>
    <t>Melting_Curves/meltCurve_F8VV59_NAP1L1.pdf</t>
  </si>
  <si>
    <t>Melting_Curves/meltCurve_F8VV64_TENC1.pdf</t>
  </si>
  <si>
    <t>Melting_Curves/meltCurve_F8VWA6_MON2.pdf</t>
  </si>
  <si>
    <t>Melting_Curves/meltCurve_F8VWL3_FGD4.pdf</t>
  </si>
  <si>
    <t>Melting_Curves/meltCurve_F8VXG7_SCAF11.pdf</t>
  </si>
  <si>
    <t>Melting_Curves/meltCurve_F8VXY3_OAS1.pdf</t>
  </si>
  <si>
    <t>Melting_Curves/meltCurve_F8VY35_NAP1L1.pdf</t>
  </si>
  <si>
    <t>Melting_Curves/meltCurve_F8VYY5_DNAJC14.pdf</t>
  </si>
  <si>
    <t>Melting_Curves/meltCurve_F8VZJ2_NACA.pdf</t>
  </si>
  <si>
    <t>Melting_Curves/meltCurve_F8W038_C17orf49.pdf</t>
  </si>
  <si>
    <t>Melting_Curves/meltCurve_F8W181_RPL6.pdf</t>
  </si>
  <si>
    <t>Melting_Curves/meltCurve_F8W1T6_RBMS2.pdf</t>
  </si>
  <si>
    <t>Melting_Curves/meltCurve_F8W6D7_CBFA2T2.pdf</t>
  </si>
  <si>
    <t>Melting_Curves/meltCurve_F8W6I7_HNRNPA1.pdf</t>
  </si>
  <si>
    <t>Melting_Curves/meltCurve_F8W6X8_RASA3.pdf</t>
  </si>
  <si>
    <t>Melting_Curves/meltCurve_F8W717_EML1.pdf</t>
  </si>
  <si>
    <t>Melting_Curves/meltCurve_F8W726_UBAP2L.pdf</t>
  </si>
  <si>
    <t>Melting_Curves/meltCurve_F8W8C2_VEZT.pdf</t>
  </si>
  <si>
    <t>Melting_Curves/meltCurve_F8W8H5_RAB24.pdf</t>
  </si>
  <si>
    <t>Melting_Curves/meltCurve_F8W8I6_TIA1.pdf</t>
  </si>
  <si>
    <t>Melting_Curves/meltCurve_F8W8K9_AP1S3.pdf</t>
  </si>
  <si>
    <t>Melting_Curves/meltCurve_F8W8M3_PPP1R12B.pdf</t>
  </si>
  <si>
    <t>Melting_Curves/meltCurve_F8W8M4_ABLIM1.pdf</t>
  </si>
  <si>
    <t>Melting_Curves/meltCurve_F8W9F9_WNK2.pdf</t>
  </si>
  <si>
    <t>Melting_Curves/meltCurve_F8W9L8_PHF20L1.pdf</t>
  </si>
  <si>
    <t>Melting_Curves/meltCurve_F8W9Q9_LENG8.pdf</t>
  </si>
  <si>
    <t>Melting_Curves/meltCurve_F8W9X7_CCDC93.pdf</t>
  </si>
  <si>
    <t>Melting_Curves/meltCurve_F8WAK8_STAG2.pdf</t>
  </si>
  <si>
    <t>Melting_Curves/meltCurve_F8WAS3_NDUFA5.pdf</t>
  </si>
  <si>
    <t>Melting_Curves/meltCurve_F8WB16_CTTNBP2.pdf</t>
  </si>
  <si>
    <t>Melting_Curves/meltCurve_F8WBK5_MRPL40.pdf</t>
  </si>
  <si>
    <t>Melting_Curves/meltCurve_F8WEG4_CBWD2.pdf</t>
  </si>
  <si>
    <t>Melting_Curves/meltCurve_F8WF48_SEC62.pdf</t>
  </si>
  <si>
    <t>Melting_Curves/meltCurve_F8WJN3_CPSF6.pdf</t>
  </si>
  <si>
    <t>Melting_Curves/meltCurve_G3V130_MTERFD1.pdf</t>
  </si>
  <si>
    <t>Melting_Curves/meltCurve_G3V167_PARP2.pdf</t>
  </si>
  <si>
    <t>Melting_Curves/meltCurve_G3V1L9_TJP1.pdf</t>
  </si>
  <si>
    <t>Melting_Curves/meltCurve_G3V1N3_GAS2L3.pdf</t>
  </si>
  <si>
    <t>Melting_Curves/meltCurve_G3V1P3_LOH12CR1.pdf</t>
  </si>
  <si>
    <t>Melting_Curves/meltCurve_G3V1R3_ZEB1.pdf</t>
  </si>
  <si>
    <t>Melting_Curves/meltCurve_G3V1R9_ISYNA1.pdf</t>
  </si>
  <si>
    <t>Melting_Curves/meltCurve_G3V1V0_MYL6.pdf</t>
  </si>
  <si>
    <t>Melting_Curves/meltCurve_G3V3A0_SERPINA3.pdf</t>
  </si>
  <si>
    <t>Melting_Curves/meltCurve_G3V3A4_SNW1.pdf</t>
  </si>
  <si>
    <t>Melting_Curves/meltCurve_G3V3G9_DCAF8.pdf</t>
  </si>
  <si>
    <t>Melting_Curves/meltCurve_G3V3I4_NFKBIA.pdf</t>
  </si>
  <si>
    <t>Melting_Curves/meltCurve_G3V3R7_ATXN3.pdf</t>
  </si>
  <si>
    <t>Melting_Curves/meltCurve_G3V439_SIVA1.pdf</t>
  </si>
  <si>
    <t>Melting_Curves/meltCurve_G3V4J7_DCAF5.pdf</t>
  </si>
  <si>
    <t>Melting_Curves/meltCurve_G3V4W0_HNRNPC.pdf</t>
  </si>
  <si>
    <t>Melting_Curves/meltCurve_G3V529_DDX24.pdf</t>
  </si>
  <si>
    <t>Melting_Curves/meltCurve_G3V577_RPGRIP1.pdf</t>
  </si>
  <si>
    <t>Melting_Curves/meltCurve_G3V583_FAM177A1.pdf</t>
  </si>
  <si>
    <t>Melting_Curves/meltCurve_G3V599_CTAGE5.pdf</t>
  </si>
  <si>
    <t>Melting_Curves/meltCurve_G3V5N7_FOS.pdf</t>
  </si>
  <si>
    <t>Melting_Curves/meltCurve_G3V5T0_GSTZ1.pdf</t>
  </si>
  <si>
    <t>Melting_Curves/meltCurve_G3XAA0_ARID1B.pdf</t>
  </si>
  <si>
    <t>Melting_Curves/meltCurve_G3XAF7_BCAS1.pdf</t>
  </si>
  <si>
    <t>Melting_Curves/meltCurve_G3XAH0_SEPT5.pdf</t>
  </si>
  <si>
    <t>Melting_Curves/meltCurve_G3XAI9_FAM133B.pdf</t>
  </si>
  <si>
    <t>Melting_Curves/meltCurve_G3XAL9_SLC12A2.pdf</t>
  </si>
  <si>
    <t>Melting_Curves/meltCurve_G3XAM2_CFI.pdf</t>
  </si>
  <si>
    <t>Melting_Curves/meltCurve_G3XAN4_TRAM1.pdf</t>
  </si>
  <si>
    <t>Melting_Curves/meltCurve_G5E948_MAP4K4.pdf</t>
  </si>
  <si>
    <t>Melting_Curves/meltCurve_G5E979_ATG4A.pdf</t>
  </si>
  <si>
    <t>Melting_Curves/meltCurve_G5E9A6_USP11.pdf</t>
  </si>
  <si>
    <t>Melting_Curves/meltCurve_G5E9A7_DMWD.pdf</t>
  </si>
  <si>
    <t>Melting_Curves/meltCurve_G5E9B5_TFPT.pdf</t>
  </si>
  <si>
    <t>Melting_Curves/meltCurve_G5E9C8_SOS1.pdf</t>
  </si>
  <si>
    <t>Melting_Curves/meltCurve_G5E9E7_TJP1.pdf</t>
  </si>
  <si>
    <t>Melting_Curves/meltCurve_G5E9I6_MAPRE2.pdf</t>
  </si>
  <si>
    <t>Melting_Curves/meltCurve_G5E9L9_DCLK2.pdf</t>
  </si>
  <si>
    <t>Melting_Curves/meltCurve_G5E9R3_RPL37A.pdf</t>
  </si>
  <si>
    <t>Melting_Curves/meltCurve_G5EA02_C4orf21.pdf</t>
  </si>
  <si>
    <t>Melting_Curves/meltCurve_G5EA37_WIPI1.pdf</t>
  </si>
  <si>
    <t>Melting_Curves/meltCurve_G5EA42_TMOD2.pdf</t>
  </si>
  <si>
    <t>Melting_Curves/meltCurve_G5EA52_PDIA3.pdf</t>
  </si>
  <si>
    <t>Melting_Curves/meltCurve_G8JL95_MAU2.pdf</t>
  </si>
  <si>
    <t>Melting_Curves/meltCurve_G8JLA8_TGFBI.pdf</t>
  </si>
  <si>
    <t>Melting_Curves/meltCurve_G8JLB3_PUS1.pdf</t>
  </si>
  <si>
    <t>Melting_Curves/meltCurve_G8JLI5_WDR45.pdf</t>
  </si>
  <si>
    <t>Melting_Curves/meltCurve_G8JLK3_PACS2.pdf</t>
  </si>
  <si>
    <t>Melting_Curves/meltCurve_G8JLP2_C14orf159.pdf</t>
  </si>
  <si>
    <t>Melting_Curves/meltCurve_H0Y2S9_MPRIP.pdf</t>
  </si>
  <si>
    <t>Melting_Curves/meltCurve_H0Y3P2_EIF4G2.pdf</t>
  </si>
  <si>
    <t>Melting_Curves/meltCurve_H0Y3R8_TJP1.pdf</t>
  </si>
  <si>
    <t>Melting_Curves/meltCurve_H0Y412_PRRC2B.pdf</t>
  </si>
  <si>
    <t>Melting_Curves/meltCurve_H0Y459_NCOR1.pdf</t>
  </si>
  <si>
    <t>Melting_Curves/meltCurve_H0Y498_EDEM3.pdf</t>
  </si>
  <si>
    <t>Melting_Curves/meltCurve_H0Y4R1_IMPDH2.pdf</t>
  </si>
  <si>
    <t>Melting_Curves/meltCurve_H0Y4V9_LARP4B.pdf</t>
  </si>
  <si>
    <t>Melting_Curves/meltCurve_H0Y4W2_TRRAP.pdf</t>
  </si>
  <si>
    <t>Melting_Curves/meltCurve_H0Y507_SH3PXD2A.pdf</t>
  </si>
  <si>
    <t>Melting_Curves/meltCurve_H0Y5B0_EPB41L2.pdf</t>
  </si>
  <si>
    <t>Melting_Curves/meltCurve_H0Y5B5_PBRM1.pdf</t>
  </si>
  <si>
    <t>Melting_Curves/meltCurve_H0Y5C2_ATE1.pdf</t>
  </si>
  <si>
    <t>Melting_Curves/meltCurve_H0Y614_UFM1.pdf</t>
  </si>
  <si>
    <t>Melting_Curves/meltCurve_H0Y6A0_ARFGAP3.pdf</t>
  </si>
  <si>
    <t>Melting_Curves/meltCurve_H0Y6C3_PYCRL.pdf</t>
  </si>
  <si>
    <t>Melting_Curves/meltCurve_H0Y6F0_EFCAB2.pdf</t>
  </si>
  <si>
    <t>Melting_Curves/meltCurve_H0Y7D4_.pdf</t>
  </si>
  <si>
    <t>Melting_Curves/meltCurve_H0Y7F8_MAPKAP1.pdf</t>
  </si>
  <si>
    <t>Melting_Curves/meltCurve_H0Y9S9_PPIP5K2.pdf</t>
  </si>
  <si>
    <t>Melting_Curves/meltCurve_H0Y9V2_UBE2B.pdf</t>
  </si>
  <si>
    <t>Melting_Curves/meltCurve_H0YA52_PCBD2.pdf</t>
  </si>
  <si>
    <t>Melting_Curves/meltCurve_H0YA59_STOX2.pdf</t>
  </si>
  <si>
    <t>Melting_Curves/meltCurve_H0YA68_MAN2B2.pdf</t>
  </si>
  <si>
    <t>Melting_Curves/meltCurve_H0YAI5_RNF4.pdf</t>
  </si>
  <si>
    <t>Melting_Curves/meltCurve_H0YAN8_ARHGEF10.pdf</t>
  </si>
  <si>
    <t>Melting_Curves/meltCurve_H0YBD4_GSR.pdf</t>
  </si>
  <si>
    <t>Melting_Curves/meltCurve_H0YCZ8_LETM2.pdf</t>
  </si>
  <si>
    <t>Melting_Curves/meltCurve_H0YDP7_MRPL49.pdf</t>
  </si>
  <si>
    <t>Melting_Curves/meltCurve_H0YDQ3_LMO7.pdf</t>
  </si>
  <si>
    <t>Melting_Curves/meltCurve_H0YDQ8_CRTC2.pdf</t>
  </si>
  <si>
    <t>Melting_Curves/meltCurve_H0YDR5_SIGIRR.pdf</t>
  </si>
  <si>
    <t>Melting_Curves/meltCurve_H0YDU8_PPP5C.pdf</t>
  </si>
  <si>
    <t>Melting_Curves/meltCurve_H0YEB0_ASAP3.pdf</t>
  </si>
  <si>
    <t>Melting_Curves/meltCurve_H0YEB6_SSSCA1.pdf</t>
  </si>
  <si>
    <t>Melting_Curves/meltCurve_H0YEF3_RNASEH2C.pdf</t>
  </si>
  <si>
    <t>Melting_Curves/meltCurve_H0YEP0_KAT5.pdf</t>
  </si>
  <si>
    <t>Melting_Curves/meltCurve_H0YEP5_SMPD1.pdf</t>
  </si>
  <si>
    <t>Melting_Curves/meltCurve_H0YFI1_LAMTOR1.pdf</t>
  </si>
  <si>
    <t>Melting_Curves/meltCurve_H0YGG2_NUDT22.pdf</t>
  </si>
  <si>
    <t>Melting_Curves/meltCurve_H0YGR4_REXO2.pdf</t>
  </si>
  <si>
    <t>Melting_Curves/meltCurve_H0YGW5_LRP6.pdf</t>
  </si>
  <si>
    <t>Melting_Curves/meltCurve_H0YHD0_BRMS1L.pdf</t>
  </si>
  <si>
    <t>Melting_Curves/meltCurve_H0YIQ8_KANSL2.pdf</t>
  </si>
  <si>
    <t>Melting_Curves/meltCurve_H0YJG9_DHRS2.pdf</t>
  </si>
  <si>
    <t>Melting_Curves/meltCurve_H0YJS3_FANCM.pdf</t>
  </si>
  <si>
    <t>Melting_Curves/meltCurve_H0YL33_ANXA2.pdf</t>
  </si>
  <si>
    <t>Melting_Curves/meltCurve_H0YLB5_POU2F1.pdf</t>
  </si>
  <si>
    <t>Melting_Curves/meltCurve_H0YLF2_HMBOX1.pdf</t>
  </si>
  <si>
    <t>Melting_Curves/meltCurve_H0YLX2_RFX7.pdf</t>
  </si>
  <si>
    <t>Melting_Curves/meltCurve_H0YM91_T.pdf</t>
  </si>
  <si>
    <t>Melting_Curves/meltCurve_H0YMB3_GMPR2.pdf</t>
  </si>
  <si>
    <t>Melting_Curves/meltCurve_H0YMJ0_MORF4L1.pdf</t>
  </si>
  <si>
    <t>Melting_Curves/meltCurve_H0YMM4_ISG20.pdf</t>
  </si>
  <si>
    <t>Melting_Curves/meltCurve_H0YNA7_SPPL2A.pdf</t>
  </si>
  <si>
    <t>Melting_Curves/meltCurve_H0YNH8_UACA.pdf</t>
  </si>
  <si>
    <t>Melting_Curves/meltCurve_H0YNU5_BLM.pdf</t>
  </si>
  <si>
    <t>Melting_Curves/meltCurve_H0YNX7_GCHFR.pdf</t>
  </si>
  <si>
    <t>Melting_Curves/meltCurve_H3BLU7_AKR7A2.pdf</t>
  </si>
  <si>
    <t>Melting_Curves/meltCurve_H3BM42_GLG1.pdf</t>
  </si>
  <si>
    <t>Melting_Curves/meltCurve_H3BM67_NOL3.pdf</t>
  </si>
  <si>
    <t>Melting_Curves/meltCurve_H3BM79_AKTIP.pdf</t>
  </si>
  <si>
    <t>Melting_Curves/meltCurve_H3BMJ2_C15orf39.pdf</t>
  </si>
  <si>
    <t>Melting_Curves/meltCurve_H3BN26_SEZ6L2.pdf</t>
  </si>
  <si>
    <t>Melting_Curves/meltCurve_H3BN72_COX4I1.pdf</t>
  </si>
  <si>
    <t>Melting_Curves/meltCurve_H3BNA7_KIAA0513.pdf</t>
  </si>
  <si>
    <t>Melting_Curves/meltCurve_H3BNG0_FAM219B.pdf</t>
  </si>
  <si>
    <t>Melting_Curves/meltCurve_H3BNK2_LYRM1.pdf</t>
  </si>
  <si>
    <t>Melting_Curves/meltCurve_H3BNM4_INO80E.pdf</t>
  </si>
  <si>
    <t>Melting_Curves/meltCurve_H3BPB8_MPI.pdf</t>
  </si>
  <si>
    <t>Melting_Curves/meltCurve_H3BPE1_MACF1.pdf</t>
  </si>
  <si>
    <t>Melting_Curves/meltCurve_H3BPG5_RNPS1.pdf</t>
  </si>
  <si>
    <t>Melting_Curves/meltCurve_H3BPS8_ALDOA.pdf</t>
  </si>
  <si>
    <t>Melting_Curves/meltCurve_H3BQF6_.pdf</t>
  </si>
  <si>
    <t>Melting_Curves/meltCurve_H3BQQ2_ZNF598.pdf</t>
  </si>
  <si>
    <t>Melting_Curves/meltCurve_H3BQV3_COG8.pdf</t>
  </si>
  <si>
    <t>Melting_Curves/meltCurve_H3BQZ7_hCG_2044799.pdf</t>
  </si>
  <si>
    <t>Melting_Curves/meltCurve_H3BRB6_ZNRF1.pdf</t>
  </si>
  <si>
    <t>Melting_Curves/meltCurve_H3BRF9_ZFYVE19.pdf</t>
  </si>
  <si>
    <t>Melting_Curves/meltCurve_H3BRG4_UQCRC2.pdf</t>
  </si>
  <si>
    <t>Melting_Curves/meltCurve_H3BRL3_UBFD1.pdf</t>
  </si>
  <si>
    <t>Melting_Curves/meltCurve_H3BRS1_NFATC3.pdf</t>
  </si>
  <si>
    <t>Melting_Curves/meltCurve_H3BRV0_EIF3C.pdf</t>
  </si>
  <si>
    <t>Melting_Curves/meltCurve_H3BS88_TEX9.pdf</t>
  </si>
  <si>
    <t>Melting_Curves/meltCurve_H3BSC1_RAB11A.pdf</t>
  </si>
  <si>
    <t>Melting_Curves/meltCurve_H3BSL4_E4F1.pdf</t>
  </si>
  <si>
    <t>Melting_Curves/meltCurve_H3BST1_BLOC1S6.pdf</t>
  </si>
  <si>
    <t>Melting_Curves/meltCurve_H3BSW0_LRRC57.pdf</t>
  </si>
  <si>
    <t>Melting_Curves/meltCurve_H3BTB7_EARS2.pdf</t>
  </si>
  <si>
    <t>Melting_Curves/meltCurve_H3BTL1_MAP1LC3B.pdf</t>
  </si>
  <si>
    <t>Melting_Curves/meltCurve_H3BTX0_.pdf</t>
  </si>
  <si>
    <t>Melting_Curves/meltCurve_H3BU49_ARL2BP.pdf</t>
  </si>
  <si>
    <t>Melting_Curves/meltCurve_H3BUF6_ATXN2L.pdf</t>
  </si>
  <si>
    <t>Melting_Curves/meltCurve_H7BXD8_LGALS8.pdf</t>
  </si>
  <si>
    <t>Melting_Curves/meltCurve_H7BXG2_NPRL3.pdf</t>
  </si>
  <si>
    <t>Melting_Curves/meltCurve_H7BXH2_PPP6R3.pdf</t>
  </si>
  <si>
    <t>Melting_Curves/meltCurve_H7BXI1_ESYT2.pdf</t>
  </si>
  <si>
    <t>Melting_Curves/meltCurve_H7BYY1_TPM1.pdf</t>
  </si>
  <si>
    <t>Melting_Curves/meltCurve_H7BYY2_BCOR.pdf</t>
  </si>
  <si>
    <t>Melting_Curves/meltCurve_H7BZJ3_PDIA3.pdf</t>
  </si>
  <si>
    <t>Melting_Curves/meltCurve_H7BZL0_MKI67IP.pdf</t>
  </si>
  <si>
    <t>Melting_Curves/meltCurve_H7C096_BNIP2.pdf</t>
  </si>
  <si>
    <t>Melting_Curves/meltCurve_H7C0D5_YIPF4.pdf</t>
  </si>
  <si>
    <t>Melting_Curves/meltCurve_H7C0G7_NHEJ1.pdf</t>
  </si>
  <si>
    <t>Melting_Curves/meltCurve_H7C0J3_CHD3.pdf</t>
  </si>
  <si>
    <t>Melting_Curves/meltCurve_H7C0S8_.pdf</t>
  </si>
  <si>
    <t>Melting_Curves/meltCurve_H7C0Y4_DUSP22.pdf</t>
  </si>
  <si>
    <t>Melting_Curves/meltCurve_H7C107_IQSEC1.pdf</t>
  </si>
  <si>
    <t>Melting_Curves/meltCurve_H7C171_INO80B.pdf</t>
  </si>
  <si>
    <t>Melting_Curves/meltCurve_H7C173_MZT2B.pdf</t>
  </si>
  <si>
    <t>Melting_Curves/meltCurve_H7C1F9_RALGAPA2.pdf</t>
  </si>
  <si>
    <t>Melting_Curves/meltCurve_H7C1N2_COBL.pdf</t>
  </si>
  <si>
    <t>Melting_Curves/meltCurve_H7C1U3_CC2D1B.pdf</t>
  </si>
  <si>
    <t>Melting_Curves/meltCurve_H7C284_MFSD6.pdf</t>
  </si>
  <si>
    <t>Melting_Curves/meltCurve_H7C293_MZT2B.pdf</t>
  </si>
  <si>
    <t>Melting_Curves/meltCurve_H7C2G2_ART4.pdf</t>
  </si>
  <si>
    <t>Melting_Curves/meltCurve_H7C2K6_EPB41L1.pdf</t>
  </si>
  <si>
    <t>Melting_Curves/meltCurve_H7C2Z6_GCA.pdf</t>
  </si>
  <si>
    <t>Melting_Curves/meltCurve_H7C331_SDCCAG3.pdf</t>
  </si>
  <si>
    <t>Melting_Curves/meltCurve_H7C3C7_SNAP47.pdf</t>
  </si>
  <si>
    <t>Melting_Curves/meltCurve_H7C3P4_GNS.pdf</t>
  </si>
  <si>
    <t>Melting_Curves/meltCurve_H7C4B9_MDFIC.pdf</t>
  </si>
  <si>
    <t>Melting_Curves/meltCurve_H7C4X9_ZMYND8.pdf</t>
  </si>
  <si>
    <t>Melting_Curves/meltCurve_H7C5A5_STIM2.pdf</t>
  </si>
  <si>
    <t>Melting_Curves/meltCurve_H7C5G1_IAH1.pdf</t>
  </si>
  <si>
    <t>Melting_Curves/meltCurve_H8Y6P7_GCOM1.pdf</t>
  </si>
  <si>
    <t>Melting_Curves/meltCurve_H9KV61_PWWP2B.pdf</t>
  </si>
  <si>
    <t>Melting_Curves/meltCurve_H9KVA7_CEACAM5.pdf</t>
  </si>
  <si>
    <t>Melting_Curves/meltCurve_H9ZYI9_GABPB1.pdf</t>
  </si>
  <si>
    <t>Melting_Curves/meltCurve_I3L077_MYO15B.pdf</t>
  </si>
  <si>
    <t>Melting_Curves/meltCurve_I3L097_.pdf</t>
  </si>
  <si>
    <t>Melting_Curves/meltCurve_I3L0L4_ENDOV.pdf</t>
  </si>
  <si>
    <t>Melting_Curves/meltCurve_I3L0N3_NSF.pdf</t>
  </si>
  <si>
    <t>Melting_Curves/meltCurve_I3L0W4_SAT2.pdf</t>
  </si>
  <si>
    <t>Melting_Curves/meltCurve_I3L121_CLUAP1.pdf</t>
  </si>
  <si>
    <t>Melting_Curves/meltCurve_I3L1H5_DPH1.pdf</t>
  </si>
  <si>
    <t>Melting_Curves/meltCurve_I3L1Q3_ELP5.pdf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</si>
  <si>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</si>
  <si>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</si>
  <si>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</si>
  <si>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</si>
  <si>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Melting_Curves/meltCurve_I3L2N2_DVL2.pdf</t>
  </si>
  <si>
    <t>Melting_Curves/meltCurve_I3L2Z5_MAZ.pdf</t>
  </si>
  <si>
    <t>Melting_Curves/meltCurve_I3L301_TFAP4.pdf</t>
  </si>
  <si>
    <t>Melting_Curves/meltCurve_I3L3P7_RPS15A.pdf</t>
  </si>
  <si>
    <t>Melting_Curves/meltCurve_I3L4B1_MYL4.pdf</t>
  </si>
  <si>
    <t>Melting_Curves/meltCurve_I3L4C3_SPAG7.pdf</t>
  </si>
  <si>
    <t>Melting_Curves/meltCurve_I3L4Q0_FAM195B.pdf</t>
  </si>
  <si>
    <t>Melting_Curves/meltCurve_I3L4X3_NFKBIB.pdf</t>
  </si>
  <si>
    <t>Melting_Curves/meltCurve_I3L4X7_GPS2.pdf</t>
  </si>
  <si>
    <t>Melting_Curves/meltCurve_I6L8B7_FABP5.pdf</t>
  </si>
  <si>
    <t>Melting_Curves/meltCurve_I6L9B4_DNAJC24.pdf</t>
  </si>
  <si>
    <t>Melting_Curves/meltCurve_J3KMW7_UBR5.pdf</t>
  </si>
  <si>
    <t>Melting_Curves/meltCurve_J3KMX2_SMARCD2.pdf</t>
  </si>
  <si>
    <t>Melting_Curves/meltCurve_J3KMY5_NPC2.pdf</t>
  </si>
  <si>
    <t>Melting_Curves/meltCurve_J3KMZ7_INTS2.pdf</t>
  </si>
  <si>
    <t>Melting_Curves/meltCurve_J3KN32_RCOR1.pdf</t>
  </si>
  <si>
    <t>Melting_Curves/meltCurve_J3KN33_CNTLN.pdf</t>
  </si>
  <si>
    <t>Melting_Curves/meltCurve_J3KN68_VGLL4.pdf</t>
  </si>
  <si>
    <t>Melting_Curves/meltCurve_J3KN75_TBC1D8B.pdf</t>
  </si>
  <si>
    <t>Melting_Curves/meltCurve_J3KNB8_MAP3K4.pdf</t>
  </si>
  <si>
    <t>Melting_Curves/meltCurve_J3KND1_SAAL1.pdf</t>
  </si>
  <si>
    <t>Melting_Curves/meltCurve_J3KNF4_CCS.pdf</t>
  </si>
  <si>
    <t>Melting_Curves/meltCurve_J3KNH7_SENP3.pdf</t>
  </si>
  <si>
    <t>Melting_Curves/meltCurve_J3KNK4_AP4S1.pdf</t>
  </si>
  <si>
    <t>Melting_Curves/meltCurve_J3KNL6_SEC16A.pdf</t>
  </si>
  <si>
    <t>Melting_Curves/meltCurve_J3KNL9_ZFYVE1.pdf</t>
  </si>
  <si>
    <t>Melting_Curves/meltCurve_J3KNN7_BRAP.pdf</t>
  </si>
  <si>
    <t>Melting_Curves/meltCurve_J3KNU8_ALDH6A1.pdf</t>
  </si>
  <si>
    <t>Melting_Curves/meltCurve_J3KNZ9_FBRS.pdf</t>
  </si>
  <si>
    <t>Melting_Curves/meltCurve_J3KP15_SRSF2.pdf</t>
  </si>
  <si>
    <t>Melting_Curves/meltCurve_J3KP75_PHACTR2.pdf</t>
  </si>
  <si>
    <t>Melting_Curves/meltCurve_J3KPS2_FAM83H.pdf</t>
  </si>
  <si>
    <t>Melting_Curves/meltCurve_J3KPU4_MYD88.pdf</t>
  </si>
  <si>
    <t>Melting_Curves/meltCurve_J3KPV7_MPST.pdf</t>
  </si>
  <si>
    <t>Melting_Curves/meltCurve_J3KQ34_COPS7B.pdf</t>
  </si>
  <si>
    <t>Melting_Curves/meltCurve_J3KQ72_FBXO6.pdf</t>
  </si>
  <si>
    <t>Melting_Curves/meltCurve_J3KQ98_PPP1R37.pdf</t>
  </si>
  <si>
    <t>Melting_Curves/meltCurve_J3KQG4_GBA.pdf</t>
  </si>
  <si>
    <t>Melting_Curves/meltCurve_J3KQS6_BABAM1.pdf</t>
  </si>
  <si>
    <t>Melting_Curves/meltCurve_J3KQT5_KCTD1.pdf</t>
  </si>
  <si>
    <t>Melting_Curves/meltCurve_J3KRL7_PER1.pdf</t>
  </si>
  <si>
    <t>Melting_Curves/meltCurve_J3KRP6_SS18.pdf</t>
  </si>
  <si>
    <t>Melting_Curves/meltCurve_J3KRR7_CYLD.pdf</t>
  </si>
  <si>
    <t>Melting_Curves/meltCurve_J3KS05_CBX1.pdf</t>
  </si>
  <si>
    <t>Melting_Curves/meltCurve_J3KTD6_AURKB.pdf</t>
  </si>
  <si>
    <t>Melting_Curves/meltCurve_J3KTI7_CDC6.pdf</t>
  </si>
  <si>
    <t>Melting_Curves/meltCurve_J3QKZ1_ZNF286B.pdf</t>
  </si>
  <si>
    <t>Melting_Curves/meltCurve_J3QL56_SCO1.pdf</t>
  </si>
  <si>
    <t>Melting_Curves/meltCurve_J3QQJ0_SAP30BP.pdf</t>
  </si>
  <si>
    <t>Melting_Curves/meltCurve_J3QQJ5_TRAPPC8.pdf</t>
  </si>
  <si>
    <t>Melting_Curves/meltCurve_J3QQM5_LIMD2.pdf</t>
  </si>
  <si>
    <t>Melting_Curves/meltCurve_J3QQT2_RPL17.pdf</t>
  </si>
  <si>
    <t>Melting_Curves/meltCurve_J3QQX3_FDXR.pdf</t>
  </si>
  <si>
    <t>Melting_Curves/meltCurve_J3QQY0_MSL1.pdf</t>
  </si>
  <si>
    <t>Melting_Curves/meltCurve_J3QR09_RPL19.pdf</t>
  </si>
  <si>
    <t>Melting_Curves/meltCurve_J3QRD1_ALDH3A2.pdf</t>
  </si>
  <si>
    <t>Melting_Curves/meltCurve_J3QRK2_hCG_1996301.pdf</t>
  </si>
  <si>
    <t>Melting_Curves/meltCurve_J3QRT4_ZSWIM7.pdf</t>
  </si>
  <si>
    <t>Melting_Curves/meltCurve_J3QRZ6_MIF4GD.pdf</t>
  </si>
  <si>
    <t>Melting_Curves/meltCurve_J3QS27_ZNF207.pdf</t>
  </si>
  <si>
    <t>Melting_Curves/meltCurve_J3QSB2_ERAL1.pdf</t>
  </si>
  <si>
    <t>Melting_Curves/meltCurve_J3QT87_CRBN.pdf</t>
  </si>
  <si>
    <t>Melting_Curves/meltCurve_J9JIC5_C17orf75.pdf</t>
  </si>
  <si>
    <t>Melting_Curves/meltCurve_K4DI92_RWDD4.pdf</t>
  </si>
  <si>
    <t>Melting_Curves/meltCurve_K4DI93_CUL4B.pdf</t>
  </si>
  <si>
    <t>Melting_Curves/meltCurve_K7EIE8_MBD3.pdf</t>
  </si>
  <si>
    <t>Melting_Curves/meltCurve_K7EIG1_CLUH.pdf</t>
  </si>
  <si>
    <t>Melting_Curves/meltCurve_K7EIJ0_WBP2.pdf</t>
  </si>
  <si>
    <t>Melting_Curves/meltCurve_K7EIN2_NUDT16L1.pdf</t>
  </si>
  <si>
    <t>Melting_Curves/meltCurve_K7EIR0_WDR18.pdf</t>
  </si>
  <si>
    <t>Melting_Curves/meltCurve_K7EIU8_SMAD4.pdf</t>
  </si>
  <si>
    <t>Melting_Curves/meltCurve_K7EJ78_RPS15.pdf</t>
  </si>
  <si>
    <t>Melting_Curves/meltCurve_K7EJH0_SPC24.pdf</t>
  </si>
  <si>
    <t>Melting_Curves/meltCurve_K7EK07_H3F3B.pdf</t>
  </si>
  <si>
    <t>Melting_Curves/meltCurve_K7EK35_STAT5A.pdf</t>
  </si>
  <si>
    <t>Melting_Curves/meltCurve_K7EKE6_LONP1.pdf</t>
  </si>
  <si>
    <t>Melting_Curves/meltCurve_K7EKI8_PPL.pdf</t>
  </si>
  <si>
    <t>Melting_Curves/meltCurve_K7EKZ2_.pdf</t>
  </si>
  <si>
    <t>Melting_Curves/meltCurve_K7ELY2_STX10.pdf</t>
  </si>
  <si>
    <t>Melting_Curves/meltCurve_K7EM02_KATNAL2.pdf</t>
  </si>
  <si>
    <t>Melting_Curves/meltCurve_K7EMS3_KRT19.pdf</t>
  </si>
  <si>
    <t>Melting_Curves/meltCurve_K7EMV5_ZNF444.pdf</t>
  </si>
  <si>
    <t>Melting_Curves/meltCurve_K7EN05_ELOF1.pdf</t>
  </si>
  <si>
    <t>Melting_Curves/meltCurve_K7EN65_MBD1.pdf</t>
  </si>
  <si>
    <t>Melting_Curves/meltCurve_K7EN88_hCG_2039718.pdf</t>
  </si>
  <si>
    <t>Melting_Curves/meltCurve_K7ENL9_C18orf8.pdf</t>
  </si>
  <si>
    <t>Melting_Curves/meltCurve_K7ENW0_GGNBP2.pdf</t>
  </si>
  <si>
    <t>Melting_Curves/meltCurve_K7EP32_UBXN6.pdf</t>
  </si>
  <si>
    <t>Melting_Curves/meltCurve_K7EPS8_C19orf12.pdf</t>
  </si>
  <si>
    <t>Melting_Curves/meltCurve_K7EQU4_SAFB2.pdf</t>
  </si>
  <si>
    <t>Melting_Curves/meltCurve_K7EQW8_TPM4.pdf</t>
  </si>
  <si>
    <t>Melting_Curves/meltCurve_K7EQZ3_.pdf</t>
  </si>
  <si>
    <t>Melting_Curves/meltCurve_K7ERF1_EIF3K.pdf</t>
  </si>
  <si>
    <t>Melting_Curves/meltCurve_K7ERI9_APOC1.pdf</t>
  </si>
  <si>
    <t>Melting_Curves/meltCurve_K7ES11_UBE2O.pdf</t>
  </si>
  <si>
    <t>Melting_Curves/meltCurve_K7ES54_FSTL3.pdf</t>
  </si>
  <si>
    <t>Melting_Curves/meltCurve_K7ESE3_RAD23A.pdf</t>
  </si>
  <si>
    <t>Melting_Curves/meltCurve_K7ESI9_DNM2.pdf</t>
  </si>
  <si>
    <t>Melting_Curves/meltCurve_K7ESN2_ZCCHC2.pdf</t>
  </si>
  <si>
    <t>Melting_Curves/meltCurve_M0QWZ7_SARS2.pdf</t>
  </si>
  <si>
    <t>Melting_Curves/meltCurve_M0QX35_PAF1.pdf</t>
  </si>
  <si>
    <t>Melting_Curves/meltCurve_M0QXZ5_ZNF428.pdf</t>
  </si>
  <si>
    <t>Melting_Curves/meltCurve_M0QYJ8_GMFG.pdf</t>
  </si>
  <si>
    <t>Melting_Curves/meltCurve_M0QYM7_TUBB4A.pdf</t>
  </si>
  <si>
    <t>Melting_Curves/meltCurve_M0QZ09_SIRT6.pdf</t>
  </si>
  <si>
    <t>Melting_Curves/meltCurve_M0QZ22_SAMD4B.pdf</t>
  </si>
  <si>
    <t>Melting_Curves/meltCurve_M0QZM1_HNRNPM.pdf</t>
  </si>
  <si>
    <t>Melting_Curves/meltCurve_M0QZR4_ARHGEF1.pdf</t>
  </si>
  <si>
    <t>Melting_Curves/meltCurve_M0R0B4_KXD1.pdf</t>
  </si>
  <si>
    <t>Melting_Curves/meltCurve_M0R0F0_RPS5.pdf</t>
  </si>
  <si>
    <t>Melting_Curves/meltCurve_M0R0P8_MYO9B.pdf</t>
  </si>
  <si>
    <t>Melting_Curves/meltCurve_M0R1E0_RAB4B.pdf</t>
  </si>
  <si>
    <t>Melting_Curves/meltCurve_M0R1G4_.pdf</t>
  </si>
  <si>
    <t>Melting_Curves/meltCurve_M0R2G0_LRRC4B.pdf</t>
  </si>
  <si>
    <t>Melting_Curves/meltCurve_M0R2P6_SHKBP1.pdf</t>
  </si>
  <si>
    <t>Melting_Curves/meltCurve_M0R3D4_RABAC1.pdf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</si>
  <si>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</si>
  <si>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</si>
  <si>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</si>
  <si>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</si>
  <si>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Melting_Curves/meltCurve_O00159_MYO1C.pdf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</si>
  <si>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</si>
  <si>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</si>
  <si>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</si>
  <si>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</si>
  <si>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Melting_Curves/meltCurve_O00186_STXBP3.pdf</t>
  </si>
  <si>
    <t>Melting_Curves/meltCurve_O00194_RAB27B.pdf</t>
  </si>
  <si>
    <t>Melting_Curves/meltCurve_O00203_AP3B1.pdf</t>
  </si>
  <si>
    <t>Melting_Curves/meltCurve_O00204_2_SULT2B1.pdf</t>
  </si>
  <si>
    <t>Melting_Curves/meltCurve_O00213_2_APBB1.pdf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</si>
  <si>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</si>
  <si>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</si>
  <si>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</si>
  <si>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</si>
  <si>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Melting_Curves/meltCurve_O00233_PSMD9.pdf</t>
  </si>
  <si>
    <t>Melting_Curves/meltCurve_O00244_ATOX1.pdf</t>
  </si>
  <si>
    <t>Melting_Curves/meltCurve_O00267_2_SUPT5H.pdf</t>
  </si>
  <si>
    <t>Melting_Curves/meltCurve_O00268_TAF4.pdf</t>
  </si>
  <si>
    <t>Melting_Curves/meltCurve_O00273_DFFA.pdf</t>
  </si>
  <si>
    <t>Melting_Curves/meltCurve_O00273_2_DFFA.pdf</t>
  </si>
  <si>
    <t>Melting_Curves/meltCurve_O00291_HIP1.pdf</t>
  </si>
  <si>
    <t>Melting_Curves/meltCurve_O00299_CLIC1.pdf</t>
  </si>
  <si>
    <t>Melting_Curves/meltCurve_O00303_EIF3F.pdf</t>
  </si>
  <si>
    <t>Melting_Curves/meltCurve_O00308_WWP2.pdf</t>
  </si>
  <si>
    <t>Melting_Curves/meltCurve_O00329_PIK3CD.pdf</t>
  </si>
  <si>
    <t>Melting_Curves/meltCurve_O00399_DCTN6.pdf</t>
  </si>
  <si>
    <t>Melting_Curves/meltCurve_O00401_WASL.pdf</t>
  </si>
  <si>
    <t>Melting_Curves/meltCurve_O00410_IPO5.pdf</t>
  </si>
  <si>
    <t>Melting_Curves/meltCurve_O00411_POLRMT.pdf</t>
  </si>
  <si>
    <t>Melting_Curves/meltCurve_O00418_EEF2K.pdf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</si>
  <si>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</si>
  <si>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</si>
  <si>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</si>
  <si>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</si>
  <si>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Melting_Curves/meltCurve_O00443_PIK3C2A.pdf</t>
  </si>
  <si>
    <t>Melting_Curves/meltCurve_O00459_PIK3R2.pdf</t>
  </si>
  <si>
    <t>Melting_Curves/meltCurve_O00462_MANBA.pdf</t>
  </si>
  <si>
    <t>Melting_Curves/meltCurve_O00468_2_AGRN.pdf</t>
  </si>
  <si>
    <t>Melting_Curves/meltCurve_O00471_EXOC5.pdf</t>
  </si>
  <si>
    <t>Melting_Curves/meltCurve_O00472_ELL2.pdf</t>
  </si>
  <si>
    <t>Melting_Curves/meltCurve_O00479_HMGN4.pdf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</si>
  <si>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</si>
  <si>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</si>
  <si>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</si>
  <si>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</si>
  <si>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</si>
  <si>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</si>
  <si>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Melting_Curves/meltCurve_O00560_3_SDCBP.pdf</t>
  </si>
  <si>
    <t>Melting_Curves/meltCurve_O00562_2_PITPNM1.pdf</t>
  </si>
  <si>
    <t>Melting_Curves/meltCurve_O00566_MPHOSPH10.pdf</t>
  </si>
  <si>
    <t>Melting_Curves/meltCurve_O00567_NOP56.pdf</t>
  </si>
  <si>
    <t>Melting_Curves/meltCurve_O00571_DDX3X.pdf</t>
  </si>
  <si>
    <t>Melting_Curves/meltCurve_O00592_2_PODXL.pdf</t>
  </si>
  <si>
    <t>Melting_Curves/meltCurve_O00625_PIR.pdf</t>
  </si>
  <si>
    <t>Melting_Curves/meltCurve_O00629_KPNA4.pdf</t>
  </si>
  <si>
    <t>Melting_Curves/meltCurve_O00635_TRIM38.pdf</t>
  </si>
  <si>
    <t>Melting_Curves/meltCurve_O00712_NFIB.pdf</t>
  </si>
  <si>
    <t>Melting_Curves/meltCurve_O00743_PPP6C.pdf</t>
  </si>
  <si>
    <t>Melting_Curves/meltCurve_O00746_NME4.pdf</t>
  </si>
  <si>
    <t>Melting_Curves/meltCurve_O00754_2_MAN2B1.pdf</t>
  </si>
  <si>
    <t>Melting_Curves/meltCurve_O00764_PDXK.pdf</t>
  </si>
  <si>
    <t>Melting_Curves/meltCurve_O14497_ARID1A.pdf</t>
  </si>
  <si>
    <t>Melting_Curves/meltCurve_O14513_NCKAP5.pdf</t>
  </si>
  <si>
    <t>Melting_Curves/meltCurve_O14519_2_CDK2AP1.pdf</t>
  </si>
  <si>
    <t>Melting_Curves/meltCurve_O14530_TXNDC9.pdf</t>
  </si>
  <si>
    <t>Melting_Curves/meltCurve_O14531_DPYSL4.pdf</t>
  </si>
  <si>
    <t>Melting_Curves/meltCurve_O14544_SOCS6.pdf</t>
  </si>
  <si>
    <t>Melting_Curves/meltCurve_O14545_TRAFD1.pdf</t>
  </si>
  <si>
    <t>Melting_Curves/meltCurve_O14561_NDUFAB1.pdf</t>
  </si>
  <si>
    <t>Melting_Curves/meltCurve_O14578_4_CIT.pdf</t>
  </si>
  <si>
    <t>Melting_Curves/meltCurve_O14579_COPE.pdf</t>
  </si>
  <si>
    <t>Melting_Curves/meltCurve_O14602_EIF1AY.pdf</t>
  </si>
  <si>
    <t>Melting_Curves/meltCurve_O14617_4_AP3D1.pdf</t>
  </si>
  <si>
    <t>Melting_Curves/meltCurve_O14640_2_DVL1.pdf</t>
  </si>
  <si>
    <t>Melting_Curves/meltCurve_O14646_2_CHD1.pdf</t>
  </si>
  <si>
    <t>Melting_Curves/meltCurve_O14653_3_GOSR2.pdf</t>
  </si>
  <si>
    <t>Melting_Curves/meltCurve_O14656_TOR1A.pdf</t>
  </si>
  <si>
    <t>Melting_Curves/meltCurve_O14657_TOR1B.pdf</t>
  </si>
  <si>
    <t>Melting_Curves/meltCurve_O14672_ADAM10.pdf</t>
  </si>
  <si>
    <t>Melting_Curves/meltCurve_O14686_MLL2.pdf</t>
  </si>
  <si>
    <t>Melting_Curves/meltCurve_O14713_2_ITGB1BP1.pdf</t>
  </si>
  <si>
    <t>Melting_Curves/meltCurve_O14732_2_IMPA2.pdf</t>
  </si>
  <si>
    <t>Melting_Curves/meltCurve_O14733_MAP2K7.pdf</t>
  </si>
  <si>
    <t>Melting_Curves/meltCurve_O14737_PDCD5.pdf</t>
  </si>
  <si>
    <t>Melting_Curves/meltCurve_O14744_PRMT5.pdf</t>
  </si>
  <si>
    <t>Melting_Curves/meltCurve_O14744_2_PRMT5.pdf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</si>
  <si>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</si>
  <si>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</si>
  <si>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</si>
  <si>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</si>
  <si>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Melting_Curves/meltCurve_O14776_2_TCERG1.pdf</t>
  </si>
  <si>
    <t>Melting_Curves/meltCurve_O14777_NDC80.pdf</t>
  </si>
  <si>
    <t>Melting_Curves/meltCurve_O14782_KIF3C.pdf</t>
  </si>
  <si>
    <t>Melting_Curves/meltCurve_O14787_2_TNPO2.pdf</t>
  </si>
  <si>
    <t>Melting_Curves/meltCurve_O14795_UNC13B.pdf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</si>
  <si>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</si>
  <si>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</si>
  <si>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</si>
  <si>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</si>
  <si>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</si>
  <si>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Melting_Curves/meltCurve_O14893_3_GEMIN2.pdf</t>
  </si>
  <si>
    <t>Melting_Curves/meltCurve_O14907_TAX1BP3.pdf</t>
  </si>
  <si>
    <t>Melting_Curves/meltCurve_O14908_GIPC1.pdf</t>
  </si>
  <si>
    <t>Melting_Curves/meltCurve_O14920_IKBKB.pdf</t>
  </si>
  <si>
    <t>Melting_Curves/meltCurve_O14924_2_RGS12.pdf</t>
  </si>
  <si>
    <t>Melting_Curves/meltCurve_O14929_HAT1.pdf</t>
  </si>
  <si>
    <t>Melting_Curves/meltCurve_O14933_UBE2L6.pdf</t>
  </si>
  <si>
    <t>Melting_Curves/meltCurve_O14936_3_CASK.pdf</t>
  </si>
  <si>
    <t>Melting_Curves/meltCurve_O14964_HGS.pdf</t>
  </si>
  <si>
    <t>Melting_Curves/meltCurve_O14965_AURKA.pdf</t>
  </si>
  <si>
    <t>Melting_Curves/meltCurve_O14972_DSCR3.pdf</t>
  </si>
  <si>
    <t>Melting_Curves/meltCurve_O14974_PPP1R12A.pdf</t>
  </si>
  <si>
    <t>Melting_Curves/meltCurve_O14976_GAK.pdf</t>
  </si>
  <si>
    <t>Melting_Curves/meltCurve_O14979_HNRPDL.pdf</t>
  </si>
  <si>
    <t>Melting_Curves/meltCurve_O14980_XPO1.pdf</t>
  </si>
  <si>
    <t>Melting_Curves/meltCurve_O14981_BTAF1.pdf</t>
  </si>
  <si>
    <t>Melting_Curves/meltCurve_O15014_ZNF609.pdf</t>
  </si>
  <si>
    <t>Melting_Curves/meltCurve_O15020_2_SPTBN2.pdf</t>
  </si>
  <si>
    <t>Melting_Curves/meltCurve_O15021_2_MAST4.pdf</t>
  </si>
  <si>
    <t>Melting_Curves/meltCurve_O15031_PLXNB2.pdf</t>
  </si>
  <si>
    <t>Melting_Curves/meltCurve_O15037_KHNYN.pdf</t>
  </si>
  <si>
    <t>Melting_Curves/meltCurve_O15040_TECPR2.pdf</t>
  </si>
  <si>
    <t>Melting_Curves/meltCurve_O15047_SETD1A.pdf</t>
  </si>
  <si>
    <t>Melting_Curves/meltCurve_O15054_KDM6B.pdf</t>
  </si>
  <si>
    <t>Melting_Curves/meltCurve_O15056_SYNJ2.pdf</t>
  </si>
  <si>
    <t>Melting_Curves/meltCurve_O15061_SYNM.pdf</t>
  </si>
  <si>
    <t>Melting_Curves/meltCurve_O15066_KIF3B.pdf</t>
  </si>
  <si>
    <t>Melting_Curves/meltCurve_O15067_PFAS.pdf</t>
  </si>
  <si>
    <t>Melting_Curves/meltCurve_O15084_ANKRD28.pdf</t>
  </si>
  <si>
    <t>Melting_Curves/meltCurve_O15085_2_ARHGEF11.pdf</t>
  </si>
  <si>
    <t>Melting_Curves/meltCurve_O15111_CHUK.pdf</t>
  </si>
  <si>
    <t>Melting_Curves/meltCurve_O15116_LSM1.pdf</t>
  </si>
  <si>
    <t>Melting_Curves/meltCurve_O15118_NPC1.pdf</t>
  </si>
  <si>
    <t>Melting_Curves/meltCurve_O15119_2_TBX3.pdf</t>
  </si>
  <si>
    <t>Melting_Curves/meltCurve_O15143_ARPC1B.pdf</t>
  </si>
  <si>
    <t>Melting_Curves/meltCurve_O15144_ARPC2.pdf</t>
  </si>
  <si>
    <t>Melting_Curves/meltCurve_O15145_ARPC3.pdf</t>
  </si>
  <si>
    <t>Melting_Curves/meltCurve_O15160_2_POLR1C.pdf</t>
  </si>
  <si>
    <t>Melting_Curves/meltCurve_O15164_TRIM24.pdf</t>
  </si>
  <si>
    <t>Melting_Curves/meltCurve_O15169_2_AXIN1.pdf</t>
  </si>
  <si>
    <t>Melting_Curves/meltCurve_O15173_PGRMC2.pdf</t>
  </si>
  <si>
    <t>Melting_Curves/meltCurve_O15212_PFDN6.pdf</t>
  </si>
  <si>
    <t>Melting_Curves/meltCurve_O15226_NKRF.pdf</t>
  </si>
  <si>
    <t>Melting_Curves/meltCurve_O15230_LAMA5.pdf</t>
  </si>
  <si>
    <t>Melting_Curves/meltCurve_O15231_ZNF185.pdf</t>
  </si>
  <si>
    <t>Melting_Curves/meltCurve_O15231_2_ZNF185.pdf</t>
  </si>
  <si>
    <t>Melting_Curves/meltCurve_O15231_3_ZNF185.pdf</t>
  </si>
  <si>
    <t>Melting_Curves/meltCurve_O15234_CASC3.pdf</t>
  </si>
  <si>
    <t>Melting_Curves/meltCurve_O15287_FANCG.pdf</t>
  </si>
  <si>
    <t>Melting_Curves/meltCurve_O15294_OGT.pdf</t>
  </si>
  <si>
    <t>Melting_Curves/meltCurve_O15305_PMM2.pdf</t>
  </si>
  <si>
    <t>Melting_Curves/meltCurve_O15327_INPP4B.pdf</t>
  </si>
  <si>
    <t>Melting_Curves/meltCurve_O15344_MID1.pdf</t>
  </si>
  <si>
    <t>Melting_Curves/meltCurve_O15355_PPM1G.pdf</t>
  </si>
  <si>
    <t>Melting_Curves/meltCurve_O15357_INPPL1.pdf</t>
  </si>
  <si>
    <t>Melting_Curves/meltCurve_O15370_SOX12.pdf</t>
  </si>
  <si>
    <t>Melting_Curves/meltCurve_O15372_EIF3H.pdf</t>
  </si>
  <si>
    <t>Melting_Curves/meltCurve_O15379_HDAC3.pdf</t>
  </si>
  <si>
    <t>Melting_Curves/meltCurve_O15381_NVL.pdf</t>
  </si>
  <si>
    <t>Melting_Curves/meltCurve_O15382_BCAT2.pdf</t>
  </si>
  <si>
    <t>Melting_Curves/meltCurve_O15397_IPO8.pdf</t>
  </si>
  <si>
    <t>Melting_Curves/meltCurve_O15400_2_STX7.pdf</t>
  </si>
  <si>
    <t>Melting_Curves/meltCurve_O15427_SLC16A3.pdf</t>
  </si>
  <si>
    <t>Melting_Curves/meltCurve_O15446_CD3EAP.pdf</t>
  </si>
  <si>
    <t>Melting_Curves/meltCurve_O15460_2_P4HA2.pdf</t>
  </si>
  <si>
    <t>Melting_Curves/meltCurve_O15498_YKT6.pdf</t>
  </si>
  <si>
    <t>Melting_Curves/meltCurve_O15511_ARPC5.pdf</t>
  </si>
  <si>
    <t>Melting_Curves/meltCurve_O15514_POLR2D.pdf</t>
  </si>
  <si>
    <t>Melting_Curves/meltCurve_O15519_13_CFLAR.pdf</t>
  </si>
  <si>
    <t>Melting_Curves/meltCurve_O15541_RNF113A.pdf</t>
  </si>
  <si>
    <t>Melting_Curves/meltCurve_O43143_DHX15.pdf</t>
  </si>
  <si>
    <t>Melting_Curves/meltCurve_O43148_RNMT.pdf</t>
  </si>
  <si>
    <t>Melting_Curves/meltCurve_O43149_ZZEF1.pdf</t>
  </si>
  <si>
    <t>Melting_Curves/meltCurve_O43150_ASAP2.pdf</t>
  </si>
  <si>
    <t>Melting_Curves/meltCurve_O43156_TTI1.pdf</t>
  </si>
  <si>
    <t>Melting_Curves/meltCurve_O43159_RRP8.pdf</t>
  </si>
  <si>
    <t>Melting_Curves/meltCurve_O43164_2_PJA2.pdf</t>
  </si>
  <si>
    <t>Melting_Curves/meltCurve_O43172_2_PRPF4.pdf</t>
  </si>
  <si>
    <t>Melting_Curves/meltCurve_O43175_PHGDH.pdf</t>
  </si>
  <si>
    <t>Melting_Curves/meltCurve_O43237_DYNC1LI2.pdf</t>
  </si>
  <si>
    <t>Melting_Curves/meltCurve_O43242_PSMD3.pdf</t>
  </si>
  <si>
    <t>Melting_Curves/meltCurve_O43251_6_RBFOX2.pdf</t>
  </si>
  <si>
    <t>Melting_Curves/meltCurve_O43252_PAPSS1.pdf</t>
  </si>
  <si>
    <t>Melting_Curves/meltCurve_O43264_ZW10.pdf</t>
  </si>
  <si>
    <t>Melting_Curves/meltCurve_O43290_SART1.pdf</t>
  </si>
  <si>
    <t>Melting_Curves/meltCurve_O43291_SPINT2.pdf</t>
  </si>
  <si>
    <t>Melting_Curves/meltCurve_O43293_DAPK3.pdf</t>
  </si>
  <si>
    <t>Melting_Curves/meltCurve_O43294_2_TGFB1I1.pdf</t>
  </si>
  <si>
    <t>Melting_Curves/meltCurve_O43301_HSPA12A.pdf</t>
  </si>
  <si>
    <t>Melting_Curves/meltCurve_O43303_2_CCP110.pdf</t>
  </si>
  <si>
    <t>Melting_Curves/meltCurve_O43310_CTIF.pdf</t>
  </si>
  <si>
    <t>Melting_Curves/meltCurve_O43314_2_PPIP5K2.pdf</t>
  </si>
  <si>
    <t>Melting_Curves/meltCurve_O43318_2_MAP3K7.pdf</t>
  </si>
  <si>
    <t>Melting_Curves/meltCurve_O43324_EEF1E1.pdf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</si>
  <si>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</si>
  <si>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</si>
  <si>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</si>
  <si>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</si>
  <si>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</si>
  <si>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Melting_Curves/meltCurve_O43399_5_TPD52L2.pdf</t>
  </si>
  <si>
    <t>Melting_Curves/meltCurve_O43414_3_ERI3.pdf</t>
  </si>
  <si>
    <t>Melting_Curves/meltCurve_O43427_2_FIBP.pdf</t>
  </si>
  <si>
    <t>Melting_Curves/meltCurve_O43432_EIF4G3.pdf</t>
  </si>
  <si>
    <t>Melting_Curves/meltCurve_O43447_PPIH.pdf</t>
  </si>
  <si>
    <t>Melting_Curves/meltCurve_O43464_3_HTRA2.pdf</t>
  </si>
  <si>
    <t>Melting_Curves/meltCurve_O43482_OIP5.pdf</t>
  </si>
  <si>
    <t>Melting_Curves/meltCurve_O43491_EPB41L2.pdf</t>
  </si>
  <si>
    <t>Melting_Curves/meltCurve_O43493_4_TGOLN2.pdf</t>
  </si>
  <si>
    <t>Melting_Curves/meltCurve_O43502_RAD51C.pdf</t>
  </si>
  <si>
    <t>Melting_Curves/meltCurve_O43513_MED7.pdf</t>
  </si>
  <si>
    <t>Melting_Curves/meltCurve_O43516_WIPF1.pdf</t>
  </si>
  <si>
    <t>Melting_Curves/meltCurve_O43542_XRCC3.pdf</t>
  </si>
  <si>
    <t>Melting_Curves/meltCurve_O43543_XRCC2.pdf</t>
  </si>
  <si>
    <t>Melting_Curves/meltCurve_O43572_AKAP10.pdf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</si>
  <si>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</si>
  <si>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</si>
  <si>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</si>
  <si>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</si>
  <si>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</si>
  <si>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</si>
  <si>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</si>
  <si>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</si>
  <si>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Melting_Curves/meltCurve_O43660_2_PLRG1.pdf</t>
  </si>
  <si>
    <t>Melting_Curves/meltCurve_O43663_PRC1.pdf</t>
  </si>
  <si>
    <t>Melting_Curves/meltCurve_O43665_2_RGS10.pdf</t>
  </si>
  <si>
    <t>Melting_Curves/meltCurve_O43670_2_ZNF207.pdf</t>
  </si>
  <si>
    <t>Melting_Curves/meltCurve_O43678_NDUFA2.pdf</t>
  </si>
  <si>
    <t>Melting_Curves/meltCurve_O43681_ASNA1.pdf</t>
  </si>
  <si>
    <t>Melting_Curves/meltCurve_O43684_2_BUB3.pdf</t>
  </si>
  <si>
    <t>Melting_Curves/meltCurve_O43707_ACTN4.pdf</t>
  </si>
  <si>
    <t>Melting_Curves/meltCurve_O43709_WBSCR22.pdf</t>
  </si>
  <si>
    <t>Melting_Curves/meltCurve_O43715_TRIAP1.pdf</t>
  </si>
  <si>
    <t>Melting_Curves/meltCurve_O43716_GATC.pdf</t>
  </si>
  <si>
    <t>Melting_Curves/meltCurve_O43719_HTATSF1.pdf</t>
  </si>
  <si>
    <t>Melting_Curves/meltCurve_O43739_2_CYTH3.pdf</t>
  </si>
  <si>
    <t>Melting_Curves/meltCurve_O43747_AP1G1.pdf</t>
  </si>
  <si>
    <t>Melting_Curves/meltCurve_O43752_STX6.pdf</t>
  </si>
  <si>
    <t>Melting_Curves/meltCurve_O43765_SGTA.pdf</t>
  </si>
  <si>
    <t>Melting_Curves/meltCurve_O43766_2_LIAS.pdf</t>
  </si>
  <si>
    <t>Melting_Curves/meltCurve_O43768_2_ENSA.pdf</t>
  </si>
  <si>
    <t>Melting_Curves/meltCurve_O43776_NARS.pdf</t>
  </si>
  <si>
    <t>Melting_Curves/meltCurve_O43795_2_MYO1B.pdf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</si>
  <si>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</si>
  <si>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</si>
  <si>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</si>
  <si>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</si>
  <si>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</si>
  <si>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Melting_Curves/meltCurve_O43820_4_HYAL3.pdf</t>
  </si>
  <si>
    <t>Melting_Curves/meltCurve_O43823_AKAP8.pdf</t>
  </si>
  <si>
    <t>Melting_Curves/meltCurve_O43837_IDH3B.pdf</t>
  </si>
  <si>
    <t>Melting_Curves/meltCurve_O43847_2_NRD1.pdf</t>
  </si>
  <si>
    <t>Melting_Curves/meltCurve_O43852_CALU.pdf</t>
  </si>
  <si>
    <t>Melting_Curves/meltCurve_O43865_AHCYL1.pdf</t>
  </si>
  <si>
    <t>Melting_Curves/meltCurve_O43896_KIF1C.pdf</t>
  </si>
  <si>
    <t>Melting_Curves/meltCurve_O43913_ORC5.pdf</t>
  </si>
  <si>
    <t>Melting_Curves/meltCurve_O43924_PDE6D.pdf</t>
  </si>
  <si>
    <t>Melting_Curves/meltCurve_O43929_2_ORC4.pdf</t>
  </si>
  <si>
    <t>Melting_Curves/meltCurve_O60216_RAD21.pdf</t>
  </si>
  <si>
    <t>Melting_Curves/meltCurve_O60218_AKR1B10.pdf</t>
  </si>
  <si>
    <t>Melting_Curves/meltCurve_O60220_TIMM8A.pdf</t>
  </si>
  <si>
    <t>Melting_Curves/meltCurve_O60231_DHX16.pdf</t>
  </si>
  <si>
    <t>Melting_Curves/meltCurve_O60239_SH3BP5.pdf</t>
  </si>
  <si>
    <t>Melting_Curves/meltCurve_O60256_PRPSAP2.pdf</t>
  </si>
  <si>
    <t>Melting_Curves/meltCurve_O60264_SMARCA5.pdf</t>
  </si>
  <si>
    <t>Melting_Curves/meltCurve_O60269_GPRIN2.pdf</t>
  </si>
  <si>
    <t>Melting_Curves/meltCurve_O60271_SPAG9.pdf</t>
  </si>
  <si>
    <t>Melting_Curves/meltCurve_O60271_4_SPAG9.pdf</t>
  </si>
  <si>
    <t>Melting_Curves/meltCurve_O60271_9_SPAG9.pdf</t>
  </si>
  <si>
    <t>Melting_Curves/meltCurve_O60281_2_ZNF292.pdf</t>
  </si>
  <si>
    <t>Melting_Curves/meltCurve_O60292_SIPA1L3.pdf</t>
  </si>
  <si>
    <t>Melting_Curves/meltCurve_O60294_LCMT2.pdf</t>
  </si>
  <si>
    <t>Melting_Curves/meltCurve_O60303_KIAA0556.pdf</t>
  </si>
  <si>
    <t>Melting_Curves/meltCurve_O60306_AQR.pdf</t>
  </si>
  <si>
    <t>Melting_Curves/meltCurve_O60318_MCM3AP.pdf</t>
  </si>
  <si>
    <t>Melting_Curves/meltCurve_O60331_4_PIP5K1C.pdf</t>
  </si>
  <si>
    <t>Melting_Curves/meltCurve_O60333_2_KIF1B.pdf</t>
  </si>
  <si>
    <t>Melting_Curves/meltCurve_O60341_KDM1A.pdf</t>
  </si>
  <si>
    <t>Melting_Curves/meltCurve_O60343_2_TBC1D4.pdf</t>
  </si>
  <si>
    <t>Melting_Curves/meltCurve_O60344_4_ECE2.pdf</t>
  </si>
  <si>
    <t>Melting_Curves/meltCurve_O60347_TBC1D12.pdf</t>
  </si>
  <si>
    <t>Melting_Curves/meltCurve_O60353_2_FZD6.pdf</t>
  </si>
  <si>
    <t>Melting_Curves/meltCurve_O60443_DFNA5.pdf</t>
  </si>
  <si>
    <t>Melting_Curves/meltCurve_O60447_EVI5.pdf</t>
  </si>
  <si>
    <t>Melting_Curves/meltCurve_O60462_4_NRP2.pdf</t>
  </si>
  <si>
    <t>Melting_Curves/meltCurve_O60488_2_ACSL4.pdf</t>
  </si>
  <si>
    <t>Melting_Curves/meltCurve_O60493_SNX3.pdf</t>
  </si>
  <si>
    <t>Melting_Curves/meltCurve_O60502_MGEA5.pdf</t>
  </si>
  <si>
    <t>Melting_Curves/meltCurve_O60504_SORBS3.pdf</t>
  </si>
  <si>
    <t>Melting_Curves/meltCurve_O60506_2_SYNCRIP.pdf</t>
  </si>
  <si>
    <t>Melting_Curves/meltCurve_O60518_RANBP6.pdf</t>
  </si>
  <si>
    <t>Melting_Curves/meltCurve_O60524_4_NEMF.pdf</t>
  </si>
  <si>
    <t>Melting_Curves/meltCurve_O60547_2_GMDS.pdf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</si>
  <si>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</si>
  <si>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</si>
  <si>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</si>
  <si>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</si>
  <si>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Melting_Curves/meltCurve_O60613_SEP15.pdf</t>
  </si>
  <si>
    <t>Melting_Curves/meltCurve_O60645_3_EXOC3.pdf</t>
  </si>
  <si>
    <t>Melting_Curves/meltCurve_O60664_PLIN3.pdf</t>
  </si>
  <si>
    <t>Melting_Curves/meltCurve_O60671_RAD1.pdf</t>
  </si>
  <si>
    <t>Melting_Curves/meltCurve_O60678_PRMT3.pdf</t>
  </si>
  <si>
    <t>Melting_Curves/meltCurve_O60701_UGDH.pdf</t>
  </si>
  <si>
    <t>Melting_Curves/meltCurve_O60716_5_CTNND1.pdf</t>
  </si>
  <si>
    <t>Melting_Curves/meltCurve_O60749_SNX2.pdf</t>
  </si>
  <si>
    <t>Melting_Curves/meltCurve_O60763_USO1.pdf</t>
  </si>
  <si>
    <t>Melting_Curves/meltCurve_O60826_CCDC22.pdf</t>
  </si>
  <si>
    <t>Melting_Curves/meltCurve_O60828_2_PQBP1.pdf</t>
  </si>
  <si>
    <t>Melting_Curves/meltCurve_O60832_DKC1.pdf</t>
  </si>
  <si>
    <t>Melting_Curves/meltCurve_O60841_EIF5B.pdf</t>
  </si>
  <si>
    <t>Melting_Curves/meltCurve_O60869_EDF1.pdf</t>
  </si>
  <si>
    <t>Melting_Curves/meltCurve_O60884_DNAJA2.pdf</t>
  </si>
  <si>
    <t>Melting_Curves/meltCurve_O60885_BRD4.pdf</t>
  </si>
  <si>
    <t>Melting_Curves/meltCurve_O60888_3_CUTA.pdf</t>
  </si>
  <si>
    <t>Melting_Curves/meltCurve_O60907_2_TBL1X.pdf</t>
  </si>
  <si>
    <t>Melting_Curves/meltCurve_O60921_HUS1.pdf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</si>
  <si>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</si>
  <si>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</si>
  <si>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</si>
  <si>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</si>
  <si>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Melting_Curves/meltCurve_O75030_12_MITF.pdf</t>
  </si>
  <si>
    <t>Melting_Curves/meltCurve_O75044_SRGAP2.pdf</t>
  </si>
  <si>
    <t>Melting_Curves/meltCurve_O75064_DENND4B.pdf</t>
  </si>
  <si>
    <t>Melting_Curves/meltCurve_O75083_WDR1.pdf</t>
  </si>
  <si>
    <t>Melting_Curves/meltCurve_O75113_N4BP1.pdf</t>
  </si>
  <si>
    <t>Melting_Curves/meltCurve_O75116_ROCK2.pdf</t>
  </si>
  <si>
    <t>Melting_Curves/meltCurve_O75131_CPNE3.pdf</t>
  </si>
  <si>
    <t>Melting_Curves/meltCurve_O75143_3_ATG13.pdf</t>
  </si>
  <si>
    <t>Melting_Curves/meltCurve_O75146_HIP1R.pdf</t>
  </si>
  <si>
    <t>Melting_Curves/meltCurve_O75150_RNF40.pdf</t>
  </si>
  <si>
    <t>Melting_Curves/meltCurve_O75151_PHF2.pdf</t>
  </si>
  <si>
    <t>Melting_Curves/meltCurve_O75152_ZC3H11A.pdf</t>
  </si>
  <si>
    <t>Melting_Curves/meltCurve_O75153_CLUH.pdf</t>
  </si>
  <si>
    <t>Melting_Curves/meltCurve_O75154_RAB11FIP3.pdf</t>
  </si>
  <si>
    <t>Melting_Curves/meltCurve_O75155_2_CAND2.pdf</t>
  </si>
  <si>
    <t>Melting_Curves/meltCurve_O75157_2_TSC22D2.pdf</t>
  </si>
  <si>
    <t>Melting_Curves/meltCurve_O75164_KDM4A.pdf</t>
  </si>
  <si>
    <t>Melting_Curves/meltCurve_O75165_DNAJC13.pdf</t>
  </si>
  <si>
    <t>Melting_Curves/meltCurve_O75170_4_PPP6R2.pdf</t>
  </si>
  <si>
    <t>Melting_Curves/meltCurve_O75175_CNOT3.pdf</t>
  </si>
  <si>
    <t>Melting_Curves/meltCurve_O75177_SS18L1.pdf</t>
  </si>
  <si>
    <t>Melting_Curves/meltCurve_O75179_2_ANKRD17.pdf</t>
  </si>
  <si>
    <t>Melting_Curves/meltCurve_O75190_DNAJB6.pdf</t>
  </si>
  <si>
    <t>Melting_Curves/meltCurve_O75191_XYLB.pdf</t>
  </si>
  <si>
    <t>Melting_Curves/meltCurve_O75208_COQ9.pdf</t>
  </si>
  <si>
    <t>Melting_Curves/meltCurve_O75223_GGCT.pdf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</si>
  <si>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</si>
  <si>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</si>
  <si>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</si>
  <si>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</si>
  <si>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</si>
  <si>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</si>
  <si>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</si>
  <si>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</si>
  <si>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</si>
  <si>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</si>
  <si>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</si>
  <si>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</si>
  <si>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Melting_Curves/meltCurve_O75380_NDUFS6.pdf</t>
  </si>
  <si>
    <t>Melting_Curves/meltCurve_O75382_2_TRIM3.pdf</t>
  </si>
  <si>
    <t>Melting_Curves/meltCurve_O75385_ULK1.pdf</t>
  </si>
  <si>
    <t>Melting_Curves/meltCurve_O75391_SPAG7.pdf</t>
  </si>
  <si>
    <t>Melting_Curves/meltCurve_O75396_SEC22B.pdf</t>
  </si>
  <si>
    <t>Melting_Curves/meltCurve_O75400_2_PRPF40A.pdf</t>
  </si>
  <si>
    <t>Melting_Curves/meltCurve_O75410_7_TACC1.pdf</t>
  </si>
  <si>
    <t>Melting_Curves/meltCurve_O75419_2_CDC45.pdf</t>
  </si>
  <si>
    <t>Melting_Curves/meltCurve_O75420_GIGYF1.pdf</t>
  </si>
  <si>
    <t>Melting_Curves/meltCurve_O75436_VPS26A.pdf</t>
  </si>
  <si>
    <t>Melting_Curves/meltCurve_O75439_PMPCB.pdf</t>
  </si>
  <si>
    <t>Melting_Curves/meltCurve_O75449_KATNA1.pdf</t>
  </si>
  <si>
    <t>Melting_Curves/meltCurve_O75475_PSIP1.pdf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</si>
  <si>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</si>
  <si>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</si>
  <si>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</si>
  <si>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</si>
  <si>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Melting_Curves/meltCurve_O75530_3_EED.pdf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</si>
  <si>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</si>
  <si>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</si>
  <si>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</si>
  <si>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</si>
  <si>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Melting_Curves/meltCurve_O75570_MTRF1.pdf</t>
  </si>
  <si>
    <t>Melting_Curves/meltCurve_O75582_RPS6KA5.pdf</t>
  </si>
  <si>
    <t>Melting_Curves/meltCurve_O75607_NPM3.pdf</t>
  </si>
  <si>
    <t>Melting_Curves/meltCurve_O75608_2_LYPLA1.pdf</t>
  </si>
  <si>
    <t>Melting_Curves/meltCurve_O75629_CREG1.pdf</t>
  </si>
  <si>
    <t>Melting_Curves/meltCurve_O75643_SNRNP200.pdf</t>
  </si>
  <si>
    <t>Melting_Curves/meltCurve_O75648_TRMU.pdf</t>
  </si>
  <si>
    <t>Melting_Curves/meltCurve_O75663_TIPRL.pdf</t>
  </si>
  <si>
    <t>Melting_Curves/meltCurve_O75688_PPM1B.pdf</t>
  </si>
  <si>
    <t>Melting_Curves/meltCurve_O75695_RP2.pdf</t>
  </si>
  <si>
    <t>Melting_Curves/meltCurve_O75717_WDHD1.pdf</t>
  </si>
  <si>
    <t>Melting_Curves/meltCurve_O75771_5_RAD51D.pdf</t>
  </si>
  <si>
    <t>Melting_Curves/meltCurve_O75781_PALM.pdf</t>
  </si>
  <si>
    <t>Melting_Curves/meltCurve_O75792_RNASEH2A.pdf</t>
  </si>
  <si>
    <t>Melting_Curves/meltCurve_O75794_CDC123.pdf</t>
  </si>
  <si>
    <t>Melting_Curves/meltCurve_O75808_SOLH.pdf</t>
  </si>
  <si>
    <t>Melting_Curves/meltCurve_O75815_BCAR3.pdf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</si>
  <si>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</si>
  <si>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</si>
  <si>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</si>
  <si>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</si>
  <si>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</si>
  <si>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Melting_Curves/meltCurve_O75865_TRAPPC6A.pdf</t>
  </si>
  <si>
    <t>Melting_Curves/meltCurve_O75874_IDH1.pdf</t>
  </si>
  <si>
    <t>Melting_Curves/meltCurve_O75884_RBBP9.pdf</t>
  </si>
  <si>
    <t>Melting_Curves/meltCurve_O75886_STAM2.pdf</t>
  </si>
  <si>
    <t>Melting_Curves/meltCurve_O75896_TUSC2.pdf</t>
  </si>
  <si>
    <t>Melting_Curves/meltCurve_O75909_CCNK.pdf</t>
  </si>
  <si>
    <t>Melting_Curves/meltCurve_O75915_ARL6IP5.pdf</t>
  </si>
  <si>
    <t>Melting_Curves/meltCurve_O75928_3_PIAS2.pdf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</si>
  <si>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</si>
  <si>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</si>
  <si>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</si>
  <si>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</si>
  <si>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Melting_Curves/meltCurve_O75943_4_RAD17.pdf</t>
  </si>
  <si>
    <t>Melting_Curves/meltCurve_O75962_TRIO.pdf</t>
  </si>
  <si>
    <t>Melting_Curves/meltCurve_O75970_3_MPDZ.pdf</t>
  </si>
  <si>
    <t>Melting_Curves/meltCurve_O75976_CPD.pdf</t>
  </si>
  <si>
    <t>Melting_Curves/meltCurve_O76003_GLRX3.pdf</t>
  </si>
  <si>
    <t>Melting_Curves/meltCurve_O76021_RSL1D1.pdf</t>
  </si>
  <si>
    <t>Melting_Curves/meltCurve_O76024_WFS1.pdf</t>
  </si>
  <si>
    <t>Melting_Curves/meltCurve_O76031_CLPX.pdf</t>
  </si>
  <si>
    <t>Melting_Curves/meltCurve_O76041_2_NEBL.pdf</t>
  </si>
  <si>
    <t>Melting_Curves/meltCurve_O76054_SEC14L2.pdf</t>
  </si>
  <si>
    <t>Melting_Curves/meltCurve_O76070_SNCG.pdf</t>
  </si>
  <si>
    <t>Melting_Curves/meltCurve_O76071_CIAO1.pdf</t>
  </si>
  <si>
    <t>Melting_Curves/meltCurve_O76080_ZFAND5.pdf</t>
  </si>
  <si>
    <t>Melting_Curves/meltCurve_O76094_SRP72.pdf</t>
  </si>
  <si>
    <t>Melting_Curves/meltCurve_O77932_DOM3Z.pdf</t>
  </si>
  <si>
    <t>Melting_Curves/meltCurve_O94760_DDAH1.pdf</t>
  </si>
  <si>
    <t>Melting_Curves/meltCurve_O94763_URI1.pdf</t>
  </si>
  <si>
    <t>Melting_Curves/meltCurve_O94776_MTA2.pdf</t>
  </si>
  <si>
    <t>Melting_Curves/meltCurve_O94804_STK10.pdf</t>
  </si>
  <si>
    <t>Melting_Curves/meltCurve_O94806_PRKD3.pdf</t>
  </si>
  <si>
    <t>Melting_Curves/meltCurve_O94808_GFPT2.pdf</t>
  </si>
  <si>
    <t>Melting_Curves/meltCurve_O94811_TPPP.pdf</t>
  </si>
  <si>
    <t>Melting_Curves/meltCurve_O94817_ATG12.pdf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</si>
  <si>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</si>
  <si>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</si>
  <si>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</si>
  <si>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</si>
  <si>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</si>
  <si>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Melting_Curves/meltCurve_O94851_5_MICAL2.pdf</t>
  </si>
  <si>
    <t>Melting_Curves/meltCurve_O94854_2_KIAA0754.pdf</t>
  </si>
  <si>
    <t>Melting_Curves/meltCurve_O94855_SEC24D.pdf</t>
  </si>
  <si>
    <t>Melting_Curves/meltCurve_O94864_2_SUPT7L.pdf</t>
  </si>
  <si>
    <t>Melting_Curves/meltCurve_O94868_FCHSD2.pdf</t>
  </si>
  <si>
    <t>Melting_Curves/meltCurve_O94874_UFL1.pdf</t>
  </si>
  <si>
    <t>Melting_Curves/meltCurve_O94880_PHF14.pdf</t>
  </si>
  <si>
    <t>Melting_Curves/meltCurve_O94885_SASH1.pdf</t>
  </si>
  <si>
    <t>Melting_Curves/meltCurve_O94887_FARP2.pdf</t>
  </si>
  <si>
    <t>Melting_Curves/meltCurve_O94888_UBXN7.pdf</t>
  </si>
  <si>
    <t>Melting_Curves/meltCurve_O94903_PROSC.pdf</t>
  </si>
  <si>
    <t>Melting_Curves/meltCurve_O94906_2_PRPF6.pdf</t>
  </si>
  <si>
    <t>Melting_Curves/meltCurve_O94907_DKK1.pdf</t>
  </si>
  <si>
    <t>Melting_Curves/meltCurve_O94913_PCF11.pdf</t>
  </si>
  <si>
    <t>Melting_Curves/meltCurve_O94916_NFAT5.pdf</t>
  </si>
  <si>
    <t>Melting_Curves/meltCurve_O94925_GLS.pdf</t>
  </si>
  <si>
    <t>Melting_Curves/meltCurve_O94925_3_GLS.pdf</t>
  </si>
  <si>
    <t>Melting_Curves/meltCurve_O94927_HAUS5.pdf</t>
  </si>
  <si>
    <t>Melting_Curves/meltCurve_O94952_1_FBXO21.pdf</t>
  </si>
  <si>
    <t>Melting_Curves/meltCurve_O94964_2_SOGA1.pdf</t>
  </si>
  <si>
    <t>Melting_Curves/meltCurve_O94966_7_USP19.pdf</t>
  </si>
  <si>
    <t>Melting_Curves/meltCurve_O94967_2_WDR47.pdf</t>
  </si>
  <si>
    <t>Melting_Curves/meltCurve_O94972_2_TRIM37.pdf</t>
  </si>
  <si>
    <t>Melting_Curves/meltCurve_O94973_AP2A2.pdf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</si>
  <si>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</si>
  <si>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</si>
  <si>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</si>
  <si>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</si>
  <si>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Melting_Curves/meltCurve_O95104_SCAF4.pdf</t>
  </si>
  <si>
    <t>Melting_Curves/meltCurve_O95149_SNUPN.pdf</t>
  </si>
  <si>
    <t>Melting_Curves/meltCurve_O95155_2_UBE4B.pdf</t>
  </si>
  <si>
    <t>Melting_Curves/meltCurve_O95163_IKBKAP.pdf</t>
  </si>
  <si>
    <t>Melting_Curves/meltCurve_O95171_2_SCEL.pdf</t>
  </si>
  <si>
    <t>Melting_Curves/meltCurve_O95197_7_RTN3.pdf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</si>
  <si>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</si>
  <si>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</si>
  <si>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</si>
  <si>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</si>
  <si>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</si>
  <si>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</si>
  <si>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Melting_Curves/meltCurve_O95235_KIF20A.pdf</t>
  </si>
  <si>
    <t>Melting_Curves/meltCurve_O95239_KIF4A.pdf</t>
  </si>
  <si>
    <t>Melting_Curves/meltCurve_O95243_3_MBD4.pdf</t>
  </si>
  <si>
    <t>Melting_Curves/meltCurve_O95248_SBF1.pdf</t>
  </si>
  <si>
    <t>Melting_Curves/meltCurve_O95249_GOSR1.pdf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</si>
  <si>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</si>
  <si>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</si>
  <si>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</si>
  <si>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</si>
  <si>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Melting_Curves/meltCurve_O95297_4_MPZL1.pdf</t>
  </si>
  <si>
    <t>Melting_Curves/meltCurve_O95302_FKBP9.pdf</t>
  </si>
  <si>
    <t>Melting_Curves/meltCurve_O95336_PGLS.pdf</t>
  </si>
  <si>
    <t>Melting_Curves/meltCurve_O95340_PAPSS2.pdf</t>
  </si>
  <si>
    <t>Melting_Curves/meltCurve_O95347_SMC2.pdf</t>
  </si>
  <si>
    <t>Melting_Curves/meltCurve_O95352_ATG7.pdf</t>
  </si>
  <si>
    <t>Melting_Curves/meltCurve_O95361_TRIM16.pdf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</si>
  <si>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</si>
  <si>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</si>
  <si>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</si>
  <si>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</si>
  <si>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</si>
  <si>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Melting_Curves/meltCurve_O95379_3_TNFAIP8.pdf</t>
  </si>
  <si>
    <t>Melting_Curves/meltCurve_O95391_SLU7.pdf</t>
  </si>
  <si>
    <t>Melting_Curves/meltCurve_O95394_PGM3.pdf</t>
  </si>
  <si>
    <t>Melting_Curves/meltCurve_O95396_MOCS3.pdf</t>
  </si>
  <si>
    <t>Melting_Curves/meltCurve_O95399_UTS2.pdf</t>
  </si>
  <si>
    <t>Melting_Curves/meltCurve_O95400_CD2BP2.pdf</t>
  </si>
  <si>
    <t>Melting_Curves/meltCurve_O95402_MED26.pdf</t>
  </si>
  <si>
    <t>Melting_Curves/meltCurve_O95405_ZFYVE9.pdf</t>
  </si>
  <si>
    <t>Melting_Curves/meltCurve_O95425_SVIL.pdf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</si>
  <si>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</si>
  <si>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</si>
  <si>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</si>
  <si>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</si>
  <si>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Melting_Curves/meltCurve_O95466_FMNL1.pdf</t>
  </si>
  <si>
    <t>Melting_Curves/meltCurve_O95479_H6PD.pdf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</si>
  <si>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</si>
  <si>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</si>
  <si>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</si>
  <si>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</si>
  <si>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</si>
  <si>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</si>
  <si>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Melting_Curves/meltCurve_O95602_POLR1A.pdf</t>
  </si>
  <si>
    <t>Melting_Curves/meltCurve_O95613_PCNT.pdf</t>
  </si>
  <si>
    <t>Melting_Curves/meltCurve_O95619_YEATS4.pdf</t>
  </si>
  <si>
    <t>Melting_Curves/meltCurve_O95628_3_CNOT4.pdf</t>
  </si>
  <si>
    <t>Melting_Curves/meltCurve_O95630_STAMBP.pdf</t>
  </si>
  <si>
    <t>Melting_Curves/meltCurve_O95671_2_ASMTL.pdf</t>
  </si>
  <si>
    <t>Melting_Curves/meltCurve_O95684_FGFR1OP.pdf</t>
  </si>
  <si>
    <t>Melting_Curves/meltCurve_O95685_PPP1R3D.pdf</t>
  </si>
  <si>
    <t>Melting_Curves/meltCurve_O95707_POP4.pdf</t>
  </si>
  <si>
    <t>Melting_Curves/meltCurve_O95714_HERC2.pdf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</si>
  <si>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</si>
  <si>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</si>
  <si>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</si>
  <si>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</si>
  <si>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Melting_Curves/meltCurve_O95757_HSPA4L.pdf</t>
  </si>
  <si>
    <t>Melting_Curves/meltCurve_O95758_1_PTBP3.pdf</t>
  </si>
  <si>
    <t>Melting_Curves/meltCurve_O95759_TBC1D8.pdf</t>
  </si>
  <si>
    <t>Melting_Curves/meltCurve_O95777_NAA38.pdf</t>
  </si>
  <si>
    <t>Melting_Curves/meltCurve_O95782_2_AP2A1.pdf</t>
  </si>
  <si>
    <t>Melting_Curves/meltCurve_O95785_WIZ.pdf</t>
  </si>
  <si>
    <t>Melting_Curves/meltCurve_O95786_2_DDX58.pdf</t>
  </si>
  <si>
    <t>Melting_Curves/meltCurve_O95801_TTC4.pdf</t>
  </si>
  <si>
    <t>Melting_Curves/meltCurve_O95810_SDPR.pdf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</si>
  <si>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</si>
  <si>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</si>
  <si>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</si>
  <si>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</si>
  <si>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</si>
  <si>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Melting_Curves/meltCurve_O95833_CLIC3.pdf</t>
  </si>
  <si>
    <t>Melting_Curves/meltCurve_O95834_2_EML2.pdf</t>
  </si>
  <si>
    <t>Melting_Curves/meltCurve_O95835_LATS1.pdf</t>
  </si>
  <si>
    <t>Melting_Curves/meltCurve_O95848_NUDT14.pdf</t>
  </si>
  <si>
    <t>Melting_Curves/meltCurve_O95861_BPNT1.pdf</t>
  </si>
  <si>
    <t>Melting_Curves/meltCurve_O95865_DDAH2.pdf</t>
  </si>
  <si>
    <t>Melting_Curves/meltCurve_O95881_TXNDC12.pdf</t>
  </si>
  <si>
    <t>Melting_Curves/meltCurve_O95905_ECD.pdf</t>
  </si>
  <si>
    <t>Melting_Curves/meltCurve_O95926_SYF2.pdf</t>
  </si>
  <si>
    <t>Melting_Curves/meltCurve_O95989_NUDT3.pdf</t>
  </si>
  <si>
    <t>Melting_Curves/meltCurve_O95994_AGR2.pdf</t>
  </si>
  <si>
    <t>Melting_Curves/meltCurve_O95997_PTTG1.pdf</t>
  </si>
  <si>
    <t>Melting_Curves/meltCurve_O95999_BCL10.pdf</t>
  </si>
  <si>
    <t>Melting_Curves/meltCurve_O96006_ZBED1.pdf</t>
  </si>
  <si>
    <t>Melting_Curves/meltCurve_O96007_MOCS2.pdf</t>
  </si>
  <si>
    <t>Melting_Curves/meltCurve_O96013_PAK4.pdf</t>
  </si>
  <si>
    <t>Melting_Curves/meltCurve_O96017_CHEK2.pdf</t>
  </si>
  <si>
    <t>Melting_Curves/meltCurve_O96019_ACTL6A.pdf</t>
  </si>
  <si>
    <t>Melting_Curves/meltCurve_O96028_WHSC1.pdf</t>
  </si>
  <si>
    <t>Melting_Curves/meltCurve_O96033_MOCS2.pdf</t>
  </si>
  <si>
    <t>Melting_Curves/meltCurve_P00325_ADH1B.pdf</t>
  </si>
  <si>
    <t>Melting_Curves/meltCurve_P00338_LDHA.pdf</t>
  </si>
  <si>
    <t>Melting_Curves/meltCurve_P00352_ALDH1A1.pdf</t>
  </si>
  <si>
    <t>Melting_Curves/meltCurve_P00374_DHFR.pdf</t>
  </si>
  <si>
    <t>Melting_Curves/meltCurve_P00387_2_CYB5R3.pdf</t>
  </si>
  <si>
    <t>Melting_Curves/meltCurve_P00390_2_GSR.pdf</t>
  </si>
  <si>
    <t>Melting_Curves/meltCurve_P00450_CP.pdf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</si>
  <si>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</si>
  <si>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</si>
  <si>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</si>
  <si>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</si>
  <si>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Melting_Curves/meltCurve_P00533_EGFR.pdf</t>
  </si>
  <si>
    <t>Melting_Curves/meltCurve_P00558_PGK1.pdf</t>
  </si>
  <si>
    <t>Melting_Curves/meltCurve_P00568_AK1.pdf</t>
  </si>
  <si>
    <t>Melting_Curves/meltCurve_P00813_ADA.pdf</t>
  </si>
  <si>
    <t>Melting_Curves/meltCurve_P00966_ASS1.pdf</t>
  </si>
  <si>
    <t>Melting_Curves/meltCurve_P01009_SERPINA1.pdf</t>
  </si>
  <si>
    <t>Melting_Curves/meltCurve_P01023_A2M.pdf</t>
  </si>
  <si>
    <t>Melting_Curves/meltCurve_P01024_C3.pdf</t>
  </si>
  <si>
    <t>Melting_Curves/meltCurve_P01034_CST3.pdf</t>
  </si>
  <si>
    <t>Melting_Curves/meltCurve_P01042_3_KNG1.pdf</t>
  </si>
  <si>
    <t>Melting_Curves/meltCurve_P01111_NRAS.pdf</t>
  </si>
  <si>
    <t>Melting_Curves/meltCurve_P01116_2_KRAS.pdf</t>
  </si>
  <si>
    <t>Melting_Curves/meltCurve_P01130_3_LDLR.pdf</t>
  </si>
  <si>
    <t>Melting_Curves/meltCurve_P01137_TGFB1.pdf</t>
  </si>
  <si>
    <t>Melting_Curves/meltCurve_P02452_COL1A1.pdf</t>
  </si>
  <si>
    <t>Melting_Curves/meltCurve_P02533_KRT14.pdf</t>
  </si>
  <si>
    <t>Melting_Curves/meltCurve_P02545_LMNA.pdf</t>
  </si>
  <si>
    <t>Melting_Curves/meltCurve_P02545_2_LMNA.pdf</t>
  </si>
  <si>
    <t>Melting_Curves/meltCurve_P02647_APOA1.pdf</t>
  </si>
  <si>
    <t>Melting_Curves/meltCurve_P02656_APOC3.pdf</t>
  </si>
  <si>
    <t>Melting_Curves/meltCurve_P02671_2_FGA.pdf</t>
  </si>
  <si>
    <t>Melting_Curves/meltCurve_P02686_2_MBP.pdf</t>
  </si>
  <si>
    <t>Melting_Curves/meltCurve_P02751_12_FN1.pdf</t>
  </si>
  <si>
    <t>Melting_Curves/meltCurve_P02765_AHSG.pdf</t>
  </si>
  <si>
    <t>Melting_Curves/meltCurve_P02771_AFP.pdf</t>
  </si>
  <si>
    <t>Melting_Curves/meltCurve_P02774_GC.pdf</t>
  </si>
  <si>
    <t>Melting_Curves/meltCurve_P02786_TFRC.pdf</t>
  </si>
  <si>
    <t>Melting_Curves/meltCurve_P02792_FTL.pdf</t>
  </si>
  <si>
    <t>Melting_Curves/meltCurve_P02794_FTH1.pdf</t>
  </si>
  <si>
    <t>Melting_Curves/meltCurve_P02795_MT2A.pdf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</si>
  <si>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</si>
  <si>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</si>
  <si>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</si>
  <si>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</si>
  <si>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Melting_Curves/meltCurve_P04114_APOB.pdf</t>
  </si>
  <si>
    <t>Melting_Curves/meltCurve_P04150_2_NR3C1.pdf</t>
  </si>
  <si>
    <t>Melting_Curves/meltCurve_P04156_2_PRNP.pdf</t>
  </si>
  <si>
    <t>Melting_Curves/meltCurve_P04181_OAT.pdf</t>
  </si>
  <si>
    <t>Melting_Curves/meltCurve_P04183_TK1.pdf</t>
  </si>
  <si>
    <t>Melting_Curves/meltCurve_P04259_KRT6B.pdf</t>
  </si>
  <si>
    <t>Melting_Curves/meltCurve_P04264_KRT1.pdf</t>
  </si>
  <si>
    <t>Melting_Curves/meltCurve_P04350_TUBB4A.pdf</t>
  </si>
  <si>
    <t>Melting_Curves/meltCurve_P04406_GAPDH.pdf</t>
  </si>
  <si>
    <t>Melting_Curves/meltCurve_P04424_ASL.pdf</t>
  </si>
  <si>
    <t>Melting_Curves/meltCurve_P04626_4_ERBB2.pdf</t>
  </si>
  <si>
    <t>Melting_Curves/meltCurve_P04632_CAPNS1.pdf</t>
  </si>
  <si>
    <t>Melting_Curves/meltCurve_P04731_MT1A.pdf</t>
  </si>
  <si>
    <t>Melting_Curves/meltCurve_P04733_MT1F.pdf</t>
  </si>
  <si>
    <t>Melting_Curves/meltCurve_P04792_HSPB1.pdf</t>
  </si>
  <si>
    <t>Melting_Curves/meltCurve_P04818_TYMS.pdf</t>
  </si>
  <si>
    <t>Melting_Curves/meltCurve_P04899_GNAI2.pdf</t>
  </si>
  <si>
    <t>Melting_Curves/meltCurve_P04920_2_SLC4A2.pdf</t>
  </si>
  <si>
    <t>Melting_Curves/meltCurve_P05091_ALDH2.pdf</t>
  </si>
  <si>
    <t>Melting_Curves/meltCurve_P05114_HMGN1.pdf</t>
  </si>
  <si>
    <t>Melting_Curves/meltCurve_P05161_ISG15.pdf</t>
  </si>
  <si>
    <t>Melting_Curves/meltCurve_P05162_LGALS2.pdf</t>
  </si>
  <si>
    <t>Melting_Curves/meltCurve_P05198_EIF2S1.pdf</t>
  </si>
  <si>
    <t>Melting_Curves/meltCurve_P05204_HMGN2.pdf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</si>
  <si>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</si>
  <si>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</si>
  <si>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</si>
  <si>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</si>
  <si>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Melting_Curves/meltCurve_P05423_POLR3D.pdf</t>
  </si>
  <si>
    <t>Melting_Curves/meltCurve_P05455_SSB.pdf</t>
  </si>
  <si>
    <t>Melting_Curves/meltCurve_P05556_ITGB1.pdf</t>
  </si>
  <si>
    <t>Melting_Curves/meltCurve_P05783_KRT18.pdf</t>
  </si>
  <si>
    <t>Melting_Curves/meltCurve_P05787_KRT8.pdf</t>
  </si>
  <si>
    <t>Melting_Curves/meltCurve_P05814_CSN2.pdf</t>
  </si>
  <si>
    <t>Melting_Curves/meltCurve_P05976_2_MYL1.pdf</t>
  </si>
  <si>
    <t>Melting_Curves/meltCurve_P05997_COL5A2.pdf</t>
  </si>
  <si>
    <t>Melting_Curves/meltCurve_P06132_UROD.pdf</t>
  </si>
  <si>
    <t>Melting_Curves/meltCurve_P06280_GLA.pdf</t>
  </si>
  <si>
    <t>Melting_Curves/meltCurve_P06400_RB1.pdf</t>
  </si>
  <si>
    <t>Melting_Curves/meltCurve_P06493_CDK1.pdf</t>
  </si>
  <si>
    <t>Melting_Curves/meltCurve_P06576_ATP5B.pdf</t>
  </si>
  <si>
    <t>Melting_Curves/meltCurve_P06730_EIF4E.pdf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</si>
  <si>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</si>
  <si>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</si>
  <si>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</si>
  <si>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</si>
  <si>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Melting_Curves/meltCurve_P06753_2_TPM3.pdf</t>
  </si>
  <si>
    <t>Melting_Curves/meltCurve_P06753_3_TPM3.pdf</t>
  </si>
  <si>
    <t>Melting_Curves/meltCurve_P06756_3_ITGAV.pdf</t>
  </si>
  <si>
    <t>Melting_Curves/meltCurve_P06865_HEXA.pdf</t>
  </si>
  <si>
    <t>Melting_Curves/meltCurve_P07093_2_SERPINE2.pdf</t>
  </si>
  <si>
    <t>Melting_Curves/meltCurve_P07099_EPHX1.pdf</t>
  </si>
  <si>
    <t>Melting_Curves/meltCurve_P07108_DBI.pdf</t>
  </si>
  <si>
    <t>Melting_Curves/meltCurve_P07148_FABP1.pdf</t>
  </si>
  <si>
    <t>Melting_Curves/meltCurve_P07195_LDHB.pdf</t>
  </si>
  <si>
    <t>Melting_Curves/meltCurve_P07199_CENPB.pdf</t>
  </si>
  <si>
    <t>Melting_Curves/meltCurve_P07203_GPX1.pdf</t>
  </si>
  <si>
    <t>Melting_Curves/meltCurve_P07204_THBD.pdf</t>
  </si>
  <si>
    <t>Melting_Curves/meltCurve_P07237_P4HB.pdf</t>
  </si>
  <si>
    <t>Melting_Curves/meltCurve_P07305_2_H1F0.pdf</t>
  </si>
  <si>
    <t>Melting_Curves/meltCurve_P07311_ACYP1.pdf</t>
  </si>
  <si>
    <t>Melting_Curves/meltCurve_P07355_ANXA2.pdf</t>
  </si>
  <si>
    <t>Melting_Curves/meltCurve_P07384_CAPN1.pdf</t>
  </si>
  <si>
    <t>Melting_Curves/meltCurve_P07602_PSAP.pdf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</si>
  <si>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</si>
  <si>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</si>
  <si>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</si>
  <si>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</si>
  <si>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</si>
  <si>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</si>
  <si>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</si>
  <si>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</si>
  <si>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</si>
  <si>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</si>
  <si>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Melting_Curves/meltCurve_P07942_LAMB1.pdf</t>
  </si>
  <si>
    <t>Melting_Curves/meltCurve_P07951_TPM2.pdf</t>
  </si>
  <si>
    <t>Melting_Curves/meltCurve_P07951_2_TPM2.pdf</t>
  </si>
  <si>
    <t>Melting_Curves/meltCurve_P07954_2_FH.pdf</t>
  </si>
  <si>
    <t>Melting_Curves/meltCurve_P07992_ERCC1.pdf</t>
  </si>
  <si>
    <t>Melting_Curves/meltCurve_P07996_THBS1.pdf</t>
  </si>
  <si>
    <t>Melting_Curves/meltCurve_P08047_SP1.pdf</t>
  </si>
  <si>
    <t>Melting_Curves/meltCurve_P08107_HSPA1A.pdf</t>
  </si>
  <si>
    <t>Melting_Curves/meltCurve_P08133_ANXA6.pdf</t>
  </si>
  <si>
    <t>Melting_Curves/meltCurve_P08195_2_SLC3A2.pdf</t>
  </si>
  <si>
    <t>Melting_Curves/meltCurve_P08237_PFKM.pdf</t>
  </si>
  <si>
    <t>Melting_Curves/meltCurve_P08238_HSP90AB1.pdf</t>
  </si>
  <si>
    <t>Melting_Curves/meltCurve_P08240_2_SRPR.pdf</t>
  </si>
  <si>
    <t>Melting_Curves/meltCurve_P08243_2_ASNS.pdf</t>
  </si>
  <si>
    <t>Melting_Curves/meltCurve_P08397_2_HMBS.pdf</t>
  </si>
  <si>
    <t>Melting_Curves/meltCurve_P08559_3_PDHA1.pdf</t>
  </si>
  <si>
    <t>Melting_Curves/meltCurve_P08572_COL4A2.pdf</t>
  </si>
  <si>
    <t>Melting_Curves/meltCurve_P08579_SNRPB2.pdf</t>
  </si>
  <si>
    <t>Melting_Curves/meltCurve_P08581_MET.pdf</t>
  </si>
  <si>
    <t>Melting_Curves/meltCurve_P08582_MFI2.pdf</t>
  </si>
  <si>
    <t>Melting_Curves/meltCurve_P08621_SNRNP70.pdf</t>
  </si>
  <si>
    <t>Melting_Curves/meltCurve_P08651_2_NFIC.pdf</t>
  </si>
  <si>
    <t>Melting_Curves/meltCurve_P08670_VIM.pdf</t>
  </si>
  <si>
    <t>Melting_Curves/meltCurve_P08727_KRT19.pdf</t>
  </si>
  <si>
    <t>Melting_Curves/meltCurve_P08729_KRT7.pdf</t>
  </si>
  <si>
    <t>Melting_Curves/meltCurve_P08754_GNAI3.pdf</t>
  </si>
  <si>
    <t>Melting_Curves/meltCurve_P08779_KRT16.pdf</t>
  </si>
  <si>
    <t>Melting_Curves/meltCurve_P09012_SNRPA.pdf</t>
  </si>
  <si>
    <t>Melting_Curves/meltCurve_P09038_2_FGF2.pdf</t>
  </si>
  <si>
    <t>Melting_Curves/meltCurve_P09110_ACAA1.pdf</t>
  </si>
  <si>
    <t>Melting_Curves/meltCurve_P09132_SRP19.pdf</t>
  </si>
  <si>
    <t>Melting_Curves/meltCurve_P09234_SNRPC.pdf</t>
  </si>
  <si>
    <t>Melting_Curves/meltCurve_P09327_VIL1.pdf</t>
  </si>
  <si>
    <t>Melting_Curves/meltCurve_P09382_LGALS1.pdf</t>
  </si>
  <si>
    <t>Melting_Curves/meltCurve_P09417_QDPR.pdf</t>
  </si>
  <si>
    <t>Melting_Curves/meltCurve_P09429_HMGB1.pdf</t>
  </si>
  <si>
    <t>Melting_Curves/meltCurve_P09493_10_TPM1.pdf</t>
  </si>
  <si>
    <t>Melting_Curves/meltCurve_P09493_3_TPM1.pdf</t>
  </si>
  <si>
    <t>Melting_Curves/meltCurve_P09493_8_TPM1.pdf</t>
  </si>
  <si>
    <t>Melting_Curves/meltCurve_P09493_9_TPM1.pdf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</si>
  <si>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</si>
  <si>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</si>
  <si>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</si>
  <si>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</si>
  <si>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</si>
  <si>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Melting_Curves/meltCurve_P09622_DLD.pdf</t>
  </si>
  <si>
    <t>Melting_Curves/meltCurve_P09661_SNRPA1.pdf</t>
  </si>
  <si>
    <t>Melting_Curves/meltCurve_P09668_CTSH.pdf</t>
  </si>
  <si>
    <t>Melting_Curves/meltCurve_P09874_PARP1.pdf</t>
  </si>
  <si>
    <t>Melting_Curves/meltCurve_P09884_POLA1.pdf</t>
  </si>
  <si>
    <t>Melting_Curves/meltCurve_P09936_UCHL1.pdf</t>
  </si>
  <si>
    <t>Melting_Curves/meltCurve_P09960_LTA4H.pdf</t>
  </si>
  <si>
    <t>Melting_Curves/meltCurve_P09972_ALDOC.pdf</t>
  </si>
  <si>
    <t>Melting_Curves/meltCurve_P0C7T5_ATXN1L.pdf</t>
  </si>
  <si>
    <t>Melting_Curves/meltCurve_P0CAP2_POLR2M.pdf</t>
  </si>
  <si>
    <t>Melting_Curves/meltCurve_P0CG12_CHTF8.pdf</t>
  </si>
  <si>
    <t>Melting_Curves/meltCurve_P0CG31_ZNF286B.pdf</t>
  </si>
  <si>
    <t>Melting_Curves/meltCurve_P0CG35_TMSB15B.pdf</t>
  </si>
  <si>
    <t>Melting_Curves/meltCurve_P0CW22_RPS17L.pdf</t>
  </si>
  <si>
    <t>Melting_Curves/meltCurve_P0DI82_TRAPPC2P1.pdf</t>
  </si>
  <si>
    <t>Melting_Curves/meltCurve_P0DI83_RAB34.pdf</t>
  </si>
  <si>
    <t>Melting_Curves/meltCurve_P10070_GLI2.pdf</t>
  </si>
  <si>
    <t>Melting_Curves/meltCurve_P10075_GLI4.pdf</t>
  </si>
  <si>
    <t>Melting_Curves/meltCurve_P10109_FDX1.pdf</t>
  </si>
  <si>
    <t>Melting_Curves/meltCurve_P10155_TROVE2.pdf</t>
  </si>
  <si>
    <t>Melting_Curves/meltCurve_P10253_GAA.pdf</t>
  </si>
  <si>
    <t>Melting_Curves/meltCurve_P10301_RRAS.pdf</t>
  </si>
  <si>
    <t>Melting_Curves/meltCurve_P10398_ARAF.pdf</t>
  </si>
  <si>
    <t>Melting_Curves/meltCurve_P10412_HIST1H1E.pdf</t>
  </si>
  <si>
    <t>Melting_Curves/meltCurve_P10451_5_SPP1.pdf</t>
  </si>
  <si>
    <t>Melting_Curves/meltCurve_P10515_DLAT.pdf</t>
  </si>
  <si>
    <t>Melting_Curves/meltCurve_P10586_2_PTPRF.pdf</t>
  </si>
  <si>
    <t>Melting_Curves/meltCurve_P10606_COX5B.pdf</t>
  </si>
  <si>
    <t>Melting_Curves/meltCurve_P10619_CTSA.pdf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</si>
  <si>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</si>
  <si>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</si>
  <si>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</si>
  <si>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</si>
  <si>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</si>
  <si>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Melting_Curves/meltCurve_P11021_HSPA5.pdf</t>
  </si>
  <si>
    <t>Melting_Curves/meltCurve_P11047_LAMC1.pdf</t>
  </si>
  <si>
    <t>Melting_Curves/meltCurve_P11117_ACP2.pdf</t>
  </si>
  <si>
    <t>Melting_Curves/meltCurve_P11137_3_MAP2.pdf</t>
  </si>
  <si>
    <t>Melting_Curves/meltCurve_P11142_HSPA8.pdf</t>
  </si>
  <si>
    <t>Melting_Curves/meltCurve_P11171_3_EPB41.pdf</t>
  </si>
  <si>
    <t>Melting_Curves/meltCurve_P11172_UMPS.pdf</t>
  </si>
  <si>
    <t>Melting_Curves/meltCurve_P11177_3_PDHB.pdf</t>
  </si>
  <si>
    <t>Melting_Curves/meltCurve_P11182_DBT.pdf</t>
  </si>
  <si>
    <t>Melting_Curves/meltCurve_P11216_PYGB.pdf</t>
  </si>
  <si>
    <t>Melting_Curves/meltCurve_P11233_RALA.pdf</t>
  </si>
  <si>
    <t>Melting_Curves/meltCurve_P11274_BCR.pdf</t>
  </si>
  <si>
    <t>Melting_Curves/meltCurve_P11277_3_SPTB.pdf</t>
  </si>
  <si>
    <t>Melting_Curves/meltCurve_P11279_LAMP1.pdf</t>
  </si>
  <si>
    <t>Melting_Curves/meltCurve_P11310_ACADM.pdf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</si>
  <si>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</si>
  <si>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</si>
  <si>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</si>
  <si>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</si>
  <si>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</si>
  <si>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</si>
  <si>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</si>
  <si>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</si>
  <si>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</si>
  <si>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</si>
  <si>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Melting_Curves/meltCurve_P11926_ODC1.pdf</t>
  </si>
  <si>
    <t>Melting_Curves/meltCurve_P11940_PABPC1.pdf</t>
  </si>
  <si>
    <t>Melting_Curves/meltCurve_P12004_PCNA.pdf</t>
  </si>
  <si>
    <t>Melting_Curves/meltCurve_P12109_COL6A1.pdf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</si>
  <si>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</si>
  <si>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</si>
  <si>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</si>
  <si>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</si>
  <si>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Melting_Curves/meltCurve_P12694_BCKDHA.pdf</t>
  </si>
  <si>
    <t>Melting_Curves/meltCurve_P12814_ACTN1.pdf</t>
  </si>
  <si>
    <t>Melting_Curves/meltCurve_P12830_CDH1.pdf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</si>
  <si>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</si>
  <si>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</si>
  <si>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</si>
  <si>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</si>
  <si>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Melting_Curves/meltCurve_P13051_UNG.pdf</t>
  </si>
  <si>
    <t>Melting_Curves/meltCurve_P13489_RNH1.pdf</t>
  </si>
  <si>
    <t>Melting_Curves/meltCurve_P13639_EEF2.pdf</t>
  </si>
  <si>
    <t>Melting_Curves/meltCurve_P13647_KRT5.pdf</t>
  </si>
  <si>
    <t>Melting_Curves/meltCurve_P13667_PDIA4.pdf</t>
  </si>
  <si>
    <t>Melting_Curves/meltCurve_P13674_2_P4HA1.pdf</t>
  </si>
  <si>
    <t>Melting_Curves/meltCurve_P13693_TPT1.pdf</t>
  </si>
  <si>
    <t>Melting_Curves/meltCurve_P13797_PLS3.pdf</t>
  </si>
  <si>
    <t>Melting_Curves/meltCurve_P13798_APEH.pdf</t>
  </si>
  <si>
    <t>Melting_Curves/meltCurve_P13804_ETFA.pdf</t>
  </si>
  <si>
    <t>Melting_Curves/meltCurve_P13807_2_GYS1.pdf</t>
  </si>
  <si>
    <t>Melting_Curves/meltCurve_P13861_PRKAR2A.pdf</t>
  </si>
  <si>
    <t>Melting_Curves/meltCurve_P13928_ANXA8.pdf</t>
  </si>
  <si>
    <t>Melting_Curves/meltCurve_P13929_ENO3.pdf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</si>
  <si>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</si>
  <si>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</si>
  <si>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</si>
  <si>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</si>
  <si>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Melting_Curves/meltCurve_P14314_2_PRKCSH.pdf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</si>
  <si>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</si>
  <si>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</si>
  <si>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</si>
  <si>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</si>
  <si>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</si>
  <si>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</si>
  <si>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</si>
  <si>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</si>
  <si>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</si>
  <si>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</si>
  <si>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</si>
  <si>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</si>
  <si>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</si>
  <si>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</si>
  <si>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</si>
  <si>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</si>
  <si>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Melting_Curves/meltCurve_P15121_AKR1B1.pdf</t>
  </si>
  <si>
    <t>Melting_Curves/meltCurve_P15151_3_PVR.pdf</t>
  </si>
  <si>
    <t>Melting_Curves/meltCurve_P15170_2_GSPT1.pdf</t>
  </si>
  <si>
    <t>Melting_Curves/meltCurve_P15248_IL9.pdf</t>
  </si>
  <si>
    <t>Melting_Curves/meltCurve_P15289_ARSA.pdf</t>
  </si>
  <si>
    <t>Melting_Curves/meltCurve_P15311_EZR.pdf</t>
  </si>
  <si>
    <t>Melting_Curves/meltCurve_P15374_UCHL3.pdf</t>
  </si>
  <si>
    <t>Melting_Curves/meltCurve_P15428_HPGD.pdf</t>
  </si>
  <si>
    <t>Melting_Curves/meltCurve_P15529_15_CD46.pdf</t>
  </si>
  <si>
    <t>Melting_Curves/meltCurve_P15531_NME1.pdf</t>
  </si>
  <si>
    <t>Melting_Curves/meltCurve_P15735_2_PHKG2.pdf</t>
  </si>
  <si>
    <t>Melting_Curves/meltCurve_P15848_ARSB.pdf</t>
  </si>
  <si>
    <t>Melting_Curves/meltCurve_P15880_RPS2.pdf</t>
  </si>
  <si>
    <t>Melting_Curves/meltCurve_P15882_CHN1.pdf</t>
  </si>
  <si>
    <t>Melting_Curves/meltCurve_P15924_DSP.pdf</t>
  </si>
  <si>
    <t>Melting_Curves/meltCurve_P15927_RPA2.pdf</t>
  </si>
  <si>
    <t>Melting_Curves/meltCurve_P16035_TIMP2.pdf</t>
  </si>
  <si>
    <t>Melting_Curves/meltCurve_P16070_18_CD44.pdf</t>
  </si>
  <si>
    <t>Melting_Curves/meltCurve_P16144_4_ITGB4.pdf</t>
  </si>
  <si>
    <t>Melting_Curves/meltCurve_P16152_CBR1.pdf</t>
  </si>
  <si>
    <t>Melting_Curves/meltCurve_P16157_11_ANK1.pdf</t>
  </si>
  <si>
    <t>Melting_Curves/meltCurve_P16220_2_CREB1.pdf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</si>
  <si>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</si>
  <si>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</si>
  <si>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</si>
  <si>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</si>
  <si>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</si>
  <si>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</si>
  <si>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Melting_Curves/meltCurve_P16455_MGMT.pdf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</si>
  <si>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</si>
  <si>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</si>
  <si>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</si>
  <si>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</si>
  <si>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</si>
  <si>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Melting_Curves/meltCurve_P17010_2_ZFX.pdf</t>
  </si>
  <si>
    <t>Melting_Curves/meltCurve_P17028_ZNF24.pdf</t>
  </si>
  <si>
    <t>Melting_Curves/meltCurve_P17029_ZKSCAN1.pdf</t>
  </si>
  <si>
    <t>Melting_Curves/meltCurve_P17039_ZNF30.pdf</t>
  </si>
  <si>
    <t>Melting_Curves/meltCurve_P17050_NAGA.pdf</t>
  </si>
  <si>
    <t>Melting_Curves/meltCurve_P17066_HSPA6.pdf</t>
  </si>
  <si>
    <t>Melting_Curves/meltCurve_P17096_HMGA1.pdf</t>
  </si>
  <si>
    <t>Melting_Curves/meltCurve_P17098_ZNF8.pdf</t>
  </si>
  <si>
    <t>Melting_Curves/meltCurve_P17174_GOT1.pdf</t>
  </si>
  <si>
    <t>Melting_Curves/meltCurve_P17252_PRKCA.pdf</t>
  </si>
  <si>
    <t>Melting_Curves/meltCurve_P17275_JUNB.pdf</t>
  </si>
  <si>
    <t>Melting_Curves/meltCurve_P17302_GJA1.pdf</t>
  </si>
  <si>
    <t>Melting_Curves/meltCurve_P17480_2_UBTF.pdf</t>
  </si>
  <si>
    <t>Melting_Curves/meltCurve_P17535_JUND.pdf</t>
  </si>
  <si>
    <t>Melting_Curves/meltCurve_P17544_4_ATF7.pdf</t>
  </si>
  <si>
    <t>Melting_Curves/meltCurve_P17612_PRKACA.pdf</t>
  </si>
  <si>
    <t>Melting_Curves/meltCurve_P17655_CAPN2.pdf</t>
  </si>
  <si>
    <t>Melting_Curves/meltCurve_P17706_2_PTPN2.pdf</t>
  </si>
  <si>
    <t>Melting_Curves/meltCurve_P17707_AMD1.pdf</t>
  </si>
  <si>
    <t>Melting_Curves/meltCurve_P17812_CTPS1.pdf</t>
  </si>
  <si>
    <t>Melting_Curves/meltCurve_P17858_PFKL.pdf</t>
  </si>
  <si>
    <t>Melting_Curves/meltCurve_P17900_GM2A.pdf</t>
  </si>
  <si>
    <t>Melting_Curves/meltCurve_P17931_LGALS3.pdf</t>
  </si>
  <si>
    <t>Melting_Curves/meltCurve_P17936_IGFBP3.pdf</t>
  </si>
  <si>
    <t>Melting_Curves/meltCurve_P17987_TCP1.pdf</t>
  </si>
  <si>
    <t>Melting_Curves/meltCurve_P18031_PTPN1.pdf</t>
  </si>
  <si>
    <t>Melting_Curves/meltCurve_P18065_IGFBP2.pdf</t>
  </si>
  <si>
    <t>Melting_Curves/meltCurve_P18084_ITGB5.pdf</t>
  </si>
  <si>
    <t>Melting_Curves/meltCurve_P18085_ARF4.pdf</t>
  </si>
  <si>
    <t>Melting_Curves/meltCurve_P18124_RPL7.pdf</t>
  </si>
  <si>
    <t>Melting_Curves/meltCurve_P18206_2_VCL.pdf</t>
  </si>
  <si>
    <t>Melting_Curves/meltCurve_P18283_GPX2.pdf</t>
  </si>
  <si>
    <t>Melting_Curves/meltCurve_P18440_NAT1.pdf</t>
  </si>
  <si>
    <t>Melting_Curves/meltCurve_P18583_10_SON.pdf</t>
  </si>
  <si>
    <t>Melting_Curves/meltCurve_P18615_NELFE.pdf</t>
  </si>
  <si>
    <t>Melting_Curves/meltCurve_P18669_PGAM1.pdf</t>
  </si>
  <si>
    <t>Melting_Curves/meltCurve_P18827_SDC1.pdf</t>
  </si>
  <si>
    <t>Melting_Curves/meltCurve_P18846_ATF1.pdf</t>
  </si>
  <si>
    <t>Melting_Curves/meltCurve_P18858_LIG1.pdf</t>
  </si>
  <si>
    <t>Melting_Curves/meltCurve_P18859_ATP5J.pdf</t>
  </si>
  <si>
    <t>Melting_Curves/meltCurve_P18887_XRCC1.pdf</t>
  </si>
  <si>
    <t>Melting_Curves/meltCurve_P19013_KRT4.pdf</t>
  </si>
  <si>
    <t>Melting_Curves/meltCurve_P19105_MYL12A.pdf</t>
  </si>
  <si>
    <t>Melting_Curves/meltCurve_P19174_2_PLCG1.pdf</t>
  </si>
  <si>
    <t>Melting_Curves/meltCurve_P19338_NCL.pdf</t>
  </si>
  <si>
    <t>Melting_Curves/meltCurve_P19367_4_HK1.pdf</t>
  </si>
  <si>
    <t>Melting_Curves/meltCurve_P19387_POLR2C.pdf</t>
  </si>
  <si>
    <t>Melting_Curves/meltCurve_P19388_POLR2E.pdf</t>
  </si>
  <si>
    <t>Melting_Curves/meltCurve_P19404_NDUFV2.pdf</t>
  </si>
  <si>
    <t>Melting_Curves/meltCurve_P19419_ELK1.pdf</t>
  </si>
  <si>
    <t>Melting_Curves/meltCurve_P19440_GGT1.pdf</t>
  </si>
  <si>
    <t>Melting_Curves/meltCurve_P19447_ERCC3.pdf</t>
  </si>
  <si>
    <t>Melting_Curves/meltCurve_P19525_EIF2AK2.pdf</t>
  </si>
  <si>
    <t>Melting_Curves/meltCurve_P19532_TFE3.pdf</t>
  </si>
  <si>
    <t>Melting_Curves/meltCurve_P19623_SRM.pdf</t>
  </si>
  <si>
    <t>Melting_Curves/meltCurve_P19784_CSNK2A2.pdf</t>
  </si>
  <si>
    <t>Melting_Curves/meltCurve_P19835_CEL.pdf</t>
  </si>
  <si>
    <t>Melting_Curves/meltCurve_P19838_NFKB1.pdf</t>
  </si>
  <si>
    <t>Melting_Curves/meltCurve_P19971_TYMP.pdf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</si>
  <si>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</si>
  <si>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</si>
  <si>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</si>
  <si>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</si>
  <si>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Melting_Curves/meltCurve_P20338_RAB4A.pdf</t>
  </si>
  <si>
    <t>Melting_Curves/meltCurve_P20340_2_RAB6A.pdf</t>
  </si>
  <si>
    <t>Melting_Curves/meltCurve_P20585_MSH3.pdf</t>
  </si>
  <si>
    <t>Melting_Curves/meltCurve_P20618_PSMB1.pdf</t>
  </si>
  <si>
    <t>Melting_Curves/meltCurve_P20674_COX5A.pdf</t>
  </si>
  <si>
    <t>Melting_Curves/meltCurve_P20700_LMNB1.pdf</t>
  </si>
  <si>
    <t>Melting_Curves/meltCurve_P20749_BCL3.pdf</t>
  </si>
  <si>
    <t>Melting_Curves/meltCurve_P20810_5_CAST.pdf</t>
  </si>
  <si>
    <t>Melting_Curves/meltCurve_P20810_6_CAST.pdf</t>
  </si>
  <si>
    <t>Melting_Curves/meltCurve_P20823_3_HNF1A.pdf</t>
  </si>
  <si>
    <t>Melting_Curves/meltCurve_P20839_2_IMPDH1.pdf</t>
  </si>
  <si>
    <t>Melting_Curves/meltCurve_P20908_COL5A1.pdf</t>
  </si>
  <si>
    <t>Melting_Curves/meltCurve_P20936_2_RASA1.pdf</t>
  </si>
  <si>
    <t>Melting_Curves/meltCurve_P20962_PTMS.pdf</t>
  </si>
  <si>
    <t>Melting_Curves/meltCurve_P21127_8_CDK11B.pdf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</si>
  <si>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</si>
  <si>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</si>
  <si>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</si>
  <si>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</si>
  <si>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</si>
  <si>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</si>
  <si>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Melting_Curves/meltCurve_P21399_ACO1.pdf</t>
  </si>
  <si>
    <t>Melting_Curves/meltCurve_P21549_AGXT.pdf</t>
  </si>
  <si>
    <t>Melting_Curves/meltCurve_P21580_TNFAIP3.pdf</t>
  </si>
  <si>
    <t>Melting_Curves/meltCurve_P21589_2_NT5E.pdf</t>
  </si>
  <si>
    <t>Melting_Curves/meltCurve_P21953_BCKDHB.pdf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</si>
  <si>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</si>
  <si>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</si>
  <si>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</si>
  <si>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</si>
  <si>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Melting_Curves/meltCurve_P22061_PCMT1.pdf</t>
  </si>
  <si>
    <t>Melting_Curves/meltCurve_P22087_FBL.pdf</t>
  </si>
  <si>
    <t>Melting_Curves/meltCurve_P22102_GART.pdf</t>
  </si>
  <si>
    <t>Melting_Curves/meltCurve_P22307_7_SCP2.pdf</t>
  </si>
  <si>
    <t>Melting_Curves/meltCurve_P22314_UBA1.pdf</t>
  </si>
  <si>
    <t>Melting_Curves/meltCurve_P22392_2_NME2.pdf</t>
  </si>
  <si>
    <t>Melting_Curves/meltCurve_P22570_FDXR.pdf</t>
  </si>
  <si>
    <t>Melting_Curves/meltCurve_P22626_HNRNPA2B1.pdf</t>
  </si>
  <si>
    <t>Melting_Curves/meltCurve_P22670_RFX1.pdf</t>
  </si>
  <si>
    <t>Melting_Curves/meltCurve_P22676_CALB2.pdf</t>
  </si>
  <si>
    <t>Melting_Curves/meltCurve_P22681_CBL.pdf</t>
  </si>
  <si>
    <t>Melting_Curves/meltCurve_P22692_IGFBP4.pdf</t>
  </si>
  <si>
    <t>Melting_Curves/meltCurve_P22694_PRKACB.pdf</t>
  </si>
  <si>
    <t>Melting_Curves/meltCurve_P22830_FECH.pdf</t>
  </si>
  <si>
    <t>Melting_Curves/meltCurve_P23025_XPA.pdf</t>
  </si>
  <si>
    <t>Melting_Curves/meltCurve_P23141_3_CES1.pdf</t>
  </si>
  <si>
    <t>Melting_Curves/meltCurve_P23142_3_FBLN1.pdf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</si>
  <si>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</si>
  <si>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</si>
  <si>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</si>
  <si>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</si>
  <si>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</si>
  <si>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</si>
  <si>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</si>
  <si>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</si>
  <si>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</si>
  <si>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</si>
  <si>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</si>
  <si>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</si>
  <si>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</si>
  <si>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</si>
  <si>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Melting_Curves/meltCurve_P23588_EIF4B.pdf</t>
  </si>
  <si>
    <t>Melting_Curves/meltCurve_P23610_F8A1.pdf</t>
  </si>
  <si>
    <t>Melting_Curves/meltCurve_P23743_DGKA.pdf</t>
  </si>
  <si>
    <t>Melting_Curves/meltCurve_P23919_DTYMK.pdf</t>
  </si>
  <si>
    <t>Melting_Curves/meltCurve_P23921_RRM1.pdf</t>
  </si>
  <si>
    <t>Melting_Curves/meltCurve_P24534_EEF1B2.pdf</t>
  </si>
  <si>
    <t>Melting_Curves/meltCurve_P24588_AKAP5.pdf</t>
  </si>
  <si>
    <t>Melting_Curves/meltCurve_P24666_ACP1.pdf</t>
  </si>
  <si>
    <t>Melting_Curves/meltCurve_P24666_2_ACP1.pdf</t>
  </si>
  <si>
    <t>Melting_Curves/meltCurve_P24752_ACAT1.pdf</t>
  </si>
  <si>
    <t>Melting_Curves/meltCurve_P24844_MYL9.pdf</t>
  </si>
  <si>
    <t>Melting_Curves/meltCurve_P24928_POLR2A.pdf</t>
  </si>
  <si>
    <t>Melting_Curves/meltCurve_P24941_CDK2.pdf</t>
  </si>
  <si>
    <t>Melting_Curves/meltCurve_P25054_2_APC.pdf</t>
  </si>
  <si>
    <t>Melting_Curves/meltCurve_P25098_ADRBK1.pdf</t>
  </si>
  <si>
    <t>Melting_Curves/meltCurve_P25205_MCM3.pdf</t>
  </si>
  <si>
    <t>Melting_Curves/meltCurve_P25398_RPS12.pdf</t>
  </si>
  <si>
    <t>Melting_Curves/meltCurve_P25440_BRD2.pdf</t>
  </si>
  <si>
    <t>Melting_Curves/meltCurve_P25490_YY1.pdf</t>
  </si>
  <si>
    <t>Melting_Curves/meltCurve_P25685_DNAJB1.pdf</t>
  </si>
  <si>
    <t>Melting_Curves/meltCurve_P25686_DNAJB2.pdf</t>
  </si>
  <si>
    <t>Melting_Curves/meltCurve_P25705_ATP5A1.pdf</t>
  </si>
  <si>
    <t>Melting_Curves/meltCurve_P25713_MT3.pdf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</si>
  <si>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</si>
  <si>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</si>
  <si>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</si>
  <si>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</si>
  <si>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</si>
  <si>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</si>
  <si>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Melting_Curves/meltCurve_P26038_MSN.pdf</t>
  </si>
  <si>
    <t>Melting_Curves/meltCurve_P26045_PTPN3.pdf</t>
  </si>
  <si>
    <t>Melting_Curves/meltCurve_P26196_DDX6.pdf</t>
  </si>
  <si>
    <t>Melting_Curves/meltCurve_P26358_DNMT1.pdf</t>
  </si>
  <si>
    <t>Melting_Curves/meltCurve_P26358_2_DNMT1.pdf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</si>
  <si>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</si>
  <si>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</si>
  <si>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</si>
  <si>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</si>
  <si>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Melting_Curves/meltCurve_P26447_S100A4.pdf</t>
  </si>
  <si>
    <t>Melting_Curves/meltCurve_P26583_HMGB2.pdf</t>
  </si>
  <si>
    <t>Melting_Curves/meltCurve_P26599_PTBP1.pdf</t>
  </si>
  <si>
    <t>Melting_Curves/meltCurve_P26639_TARS.pdf</t>
  </si>
  <si>
    <t>Melting_Curves/meltCurve_P26640_VARS.pdf</t>
  </si>
  <si>
    <t>Melting_Curves/meltCurve_P26641_EEF1G.pdf</t>
  </si>
  <si>
    <t>Melting_Curves/meltCurve_P26651_ZFP36.pdf</t>
  </si>
  <si>
    <t>Melting_Curves/meltCurve_P26885_FKBP2.pdf</t>
  </si>
  <si>
    <t>Melting_Curves/meltCurve_P27144_AK4.pdf</t>
  </si>
  <si>
    <t>Melting_Curves/meltCurve_P27216_ANXA13.pdf</t>
  </si>
  <si>
    <t>Melting_Curves/meltCurve_P27348_YWHAQ.pdf</t>
  </si>
  <si>
    <t>Melting_Curves/meltCurve_P27361_MAPK3.pdf</t>
  </si>
  <si>
    <t>Melting_Curves/meltCurve_P27448_8_MARK3.pdf</t>
  </si>
  <si>
    <t>Melting_Curves/meltCurve_P27540_2_ARNT.pdf</t>
  </si>
  <si>
    <t>Melting_Curves/meltCurve_P27635_RPL10.pdf</t>
  </si>
  <si>
    <t>Melting_Curves/meltCurve_P27694_RPA1.pdf</t>
  </si>
  <si>
    <t>Melting_Curves/meltCurve_P27695_APEX1.pdf</t>
  </si>
  <si>
    <t>Melting_Curves/meltCurve_P27707_DCK.pdf</t>
  </si>
  <si>
    <t>Melting_Curves/meltCurve_P27797_CALR.pdf</t>
  </si>
  <si>
    <t>Melting_Curves/meltCurve_P27816_MAP4.pdf</t>
  </si>
  <si>
    <t>Melting_Curves/meltCurve_P27824_CANX.pdf</t>
  </si>
  <si>
    <t>Melting_Curves/meltCurve_P27986_PIK3R1.pdf</t>
  </si>
  <si>
    <t>Melting_Curves/meltCurve_P27987_ITPKB.pdf</t>
  </si>
  <si>
    <t>Melting_Curves/meltCurve_P28062_2_PSMB8.pdf</t>
  </si>
  <si>
    <t>Melting_Curves/meltCurve_P28065_PSMB9.pdf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</si>
  <si>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</si>
  <si>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</si>
  <si>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</si>
  <si>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</si>
  <si>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Melting_Curves/meltCurve_P28331_4_NDUFS1.pdf</t>
  </si>
  <si>
    <t>Melting_Curves/meltCurve_P28340_POLD1.pdf</t>
  </si>
  <si>
    <t>Melting_Curves/meltCurve_P28482_MAPK1.pdf</t>
  </si>
  <si>
    <t>Melting_Curves/meltCurve_P28562_DUSP1.pdf</t>
  </si>
  <si>
    <t>Melting_Curves/meltCurve_P28702_RXRB.pdf</t>
  </si>
  <si>
    <t>Melting_Curves/meltCurve_P28715_ERCC5.pdf</t>
  </si>
  <si>
    <t>Melting_Curves/meltCurve_P28749_RBL1.pdf</t>
  </si>
  <si>
    <t>Melting_Curves/meltCurve_P28799_GRN.pdf</t>
  </si>
  <si>
    <t>Melting_Curves/meltCurve_P28838_2_LAP3.pdf</t>
  </si>
  <si>
    <t>Melting_Curves/meltCurve_P29034_S100A2.pdf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</si>
  <si>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</si>
  <si>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</si>
  <si>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</si>
  <si>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</si>
  <si>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Melting_Curves/meltCurve_P29323_2_EPHB2.pdf</t>
  </si>
  <si>
    <t>Melting_Curves/meltCurve_P29350_PTPN6.pdf</t>
  </si>
  <si>
    <t>Melting_Curves/meltCurve_P29353_6_SHC1.pdf</t>
  </si>
  <si>
    <t>Melting_Curves/meltCurve_P29372_5_MPG.pdf</t>
  </si>
  <si>
    <t>Melting_Curves/meltCurve_P29373_CRABP2.pdf</t>
  </si>
  <si>
    <t>Melting_Curves/meltCurve_P29401_TKT.pdf</t>
  </si>
  <si>
    <t>Melting_Curves/meltCurve_P29590_PML.pdf</t>
  </si>
  <si>
    <t>Melting_Curves/meltCurve_P29692_EEF1D.pdf</t>
  </si>
  <si>
    <t>Melting_Curves/meltCurve_P29692_2_EEF1D.pdf</t>
  </si>
  <si>
    <t>Melting_Curves/meltCurve_P29762_CRABP1.pdf</t>
  </si>
  <si>
    <t>Melting_Curves/meltCurve_P29966_MARCKS.pdf</t>
  </si>
  <si>
    <t>Melting_Curves/meltCurve_P30038_ALDH4A1.pdf</t>
  </si>
  <si>
    <t>Melting_Curves/meltCurve_P30039_PBLD.pdf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</si>
  <si>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</si>
  <si>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</si>
  <si>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</si>
  <si>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</si>
  <si>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</si>
  <si>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</si>
  <si>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</si>
  <si>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</si>
  <si>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</si>
  <si>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</si>
  <si>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</si>
  <si>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</si>
  <si>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</si>
  <si>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Melting_Curves/meltCurve_P30260_CDC27.pdf</t>
  </si>
  <si>
    <t>Melting_Curves/meltCurve_P30281_CCND3.pdf</t>
  </si>
  <si>
    <t>Melting_Curves/meltCurve_P30307_2_CDC25C.pdf</t>
  </si>
  <si>
    <t>Melting_Curves/meltCurve_P30405_PPIF.pdf</t>
  </si>
  <si>
    <t>Melting_Curves/meltCurve_P30414_NKTR.pdf</t>
  </si>
  <si>
    <t>Melting_Curves/meltCurve_P30419_NMT1.pdf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</si>
  <si>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</si>
  <si>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</si>
  <si>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</si>
  <si>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</si>
  <si>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Melting_Curves/meltCurve_P30613_2_PKLR.pdf</t>
  </si>
  <si>
    <t>Melting_Curves/meltCurve_P30622_CLIP1.pdf</t>
  </si>
  <si>
    <t>Melting_Curves/meltCurve_P30622_2_CLIP1.pdf</t>
  </si>
  <si>
    <t>Melting_Curves/meltCurve_P30740_SERPINB1.pdf</t>
  </si>
  <si>
    <t>Melting_Curves/meltCurve_P30837_ALDH1B1.pdf</t>
  </si>
  <si>
    <t>Melting_Curves/meltCurve_P30838_ALDH3A1.pdf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</si>
  <si>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</si>
  <si>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</si>
  <si>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</si>
  <si>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</si>
  <si>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</si>
  <si>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</si>
  <si>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</si>
  <si>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</si>
  <si>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</si>
  <si>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</si>
  <si>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</si>
  <si>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</si>
  <si>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</si>
  <si>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</si>
  <si>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Melting_Curves/meltCurve_P31943_HNRNPH1.pdf</t>
  </si>
  <si>
    <t>Melting_Curves/meltCurve_P31944_CASP14.pdf</t>
  </si>
  <si>
    <t>Melting_Curves/meltCurve_P31946_YWHAB.pdf</t>
  </si>
  <si>
    <t>Melting_Curves/meltCurve_P31947_SFN.pdf</t>
  </si>
  <si>
    <t>Melting_Curves/meltCurve_P31948_STIP1.pdf</t>
  </si>
  <si>
    <t>Melting_Curves/meltCurve_P31949_S100A11.pdf</t>
  </si>
  <si>
    <t>Melting_Curves/meltCurve_P32019_3_INPP5B.pdf</t>
  </si>
  <si>
    <t>Melting_Curves/meltCurve_P32121_5_ARRB2.pdf</t>
  </si>
  <si>
    <t>Melting_Curves/meltCurve_P32320_CDA.pdf</t>
  </si>
  <si>
    <t>Melting_Curves/meltCurve_P32321_2_DCTD.pdf</t>
  </si>
  <si>
    <t>Melting_Curves/meltCurve_P32322_PYCR1.pdf</t>
  </si>
  <si>
    <t>Melting_Curves/meltCurve_P32455_GBP1.pdf</t>
  </si>
  <si>
    <t>Melting_Curves/meltCurve_P32519_2_ELF1.pdf</t>
  </si>
  <si>
    <t>Melting_Curves/meltCurve_P32780_GTF2H1.pdf</t>
  </si>
  <si>
    <t>Melting_Curves/meltCurve_P32929_CTH.pdf</t>
  </si>
  <si>
    <t>Melting_Curves/meltCurve_P32969_RPL9.pdf</t>
  </si>
  <si>
    <t>Melting_Curves/meltCurve_P33121_2_ACSL1.pdf</t>
  </si>
  <si>
    <t>Melting_Curves/meltCurve_P33176_KIF5B.pdf</t>
  </si>
  <si>
    <t>Melting_Curves/meltCurve_P33240_2_CSTF2.pdf</t>
  </si>
  <si>
    <t>Melting_Curves/meltCurve_P33241_2_LSP1.pdf</t>
  </si>
  <si>
    <t>Melting_Curves/meltCurve_P33316_DUT.pdf</t>
  </si>
  <si>
    <t>Melting_Curves/meltCurve_P33316_2_DUT.pdf</t>
  </si>
  <si>
    <t>Melting_Curves/meltCurve_P33552_CKS2.pdf</t>
  </si>
  <si>
    <t>Melting_Curves/meltCurve_P33764_S100A3.pdf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</si>
  <si>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</si>
  <si>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</si>
  <si>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</si>
  <si>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</si>
  <si>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</si>
  <si>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Melting_Curves/meltCurve_P34096_RNASE4.pdf</t>
  </si>
  <si>
    <t>Melting_Curves/meltCurve_P34896_2_SHMT1.pdf</t>
  </si>
  <si>
    <t>Melting_Curves/meltCurve_P34897_3_SHMT2.pdf</t>
  </si>
  <si>
    <t>Melting_Curves/meltCurve_P34913_EPHX2.pdf</t>
  </si>
  <si>
    <t>Melting_Curves/meltCurve_P34932_HSPA4.pdf</t>
  </si>
  <si>
    <t>Melting_Curves/meltCurve_P35219_CA8.pdf</t>
  </si>
  <si>
    <t>Melting_Curves/meltCurve_P35221_CTNNA1.pdf</t>
  </si>
  <si>
    <t>Melting_Curves/meltCurve_P35227_PCGF2.pdf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</si>
  <si>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</si>
  <si>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</si>
  <si>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</si>
  <si>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</si>
  <si>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</si>
  <si>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</si>
  <si>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</si>
  <si>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</si>
  <si>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</si>
  <si>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</si>
  <si>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</si>
  <si>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Melting_Curves/meltCurve_P35556_FBN2.pdf</t>
  </si>
  <si>
    <t>Melting_Curves/meltCurve_P35568_IRS1.pdf</t>
  </si>
  <si>
    <t>Melting_Curves/meltCurve_P35573_AGL.pdf</t>
  </si>
  <si>
    <t>Melting_Curves/meltCurve_P35579_MYH9.pdf</t>
  </si>
  <si>
    <t>Melting_Curves/meltCurve_P35580_MYH10.pdf</t>
  </si>
  <si>
    <t>Melting_Curves/meltCurve_P35580_4_MYH10.pdf</t>
  </si>
  <si>
    <t>Melting_Curves/meltCurve_P35606_COPB2.pdf</t>
  </si>
  <si>
    <t>Melting_Curves/meltCurve_P35611_ADD1.pdf</t>
  </si>
  <si>
    <t>Melting_Curves/meltCurve_P35611_2_ADD1.pdf</t>
  </si>
  <si>
    <t>Melting_Curves/meltCurve_P35612_ADD2.pdf</t>
  </si>
  <si>
    <t>Melting_Curves/meltCurve_P35637_2_FUS.pdf</t>
  </si>
  <si>
    <t>Melting_Curves/meltCurve_P35658_4_NUP214.pdf</t>
  </si>
  <si>
    <t>Melting_Curves/meltCurve_P35659_DEK.pdf</t>
  </si>
  <si>
    <t>Melting_Curves/meltCurve_P35749_4_MYH11.pdf</t>
  </si>
  <si>
    <t>Melting_Curves/meltCurve_P35754_GLRX.pdf</t>
  </si>
  <si>
    <t>Melting_Curves/meltCurve_P35790_2_CHKA.pdf</t>
  </si>
  <si>
    <t>Melting_Curves/meltCurve_P35813_PPM1A.pdf</t>
  </si>
  <si>
    <t>Melting_Curves/meltCurve_P35869_AHR.pdf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</si>
  <si>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</si>
  <si>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</si>
  <si>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</si>
  <si>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</si>
  <si>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</si>
  <si>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</si>
  <si>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</si>
  <si>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</si>
  <si>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</si>
  <si>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Melting_Curves/meltCurve_P36873_PPP1CC.pdf</t>
  </si>
  <si>
    <t>Melting_Curves/meltCurve_P36915_GNL1.pdf</t>
  </si>
  <si>
    <t>Melting_Curves/meltCurve_P36952_SERPINB5.pdf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</si>
  <si>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</si>
  <si>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</si>
  <si>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</si>
  <si>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</si>
  <si>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</si>
  <si>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</si>
  <si>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</si>
  <si>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</si>
  <si>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</si>
  <si>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</si>
  <si>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Melting_Curves/meltCurve_P38398_4_BRCA1.pdf</t>
  </si>
  <si>
    <t>Melting_Curves/meltCurve_P38432_COIL.pdf</t>
  </si>
  <si>
    <t>Melting_Curves/meltCurve_P38571_2_LIPA.pdf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</si>
  <si>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</si>
  <si>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</si>
  <si>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</si>
  <si>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</si>
  <si>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Melting_Curves/meltCurve_P38936_CDKN1A.pdf</t>
  </si>
  <si>
    <t>Melting_Curves/meltCurve_P39019_RPS19.pdf</t>
  </si>
  <si>
    <t>Melting_Curves/meltCurve_P39023_RPL3.pdf</t>
  </si>
  <si>
    <t>Melting_Curves/meltCurve_P39060_2_COL18A1.pdf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</si>
  <si>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</si>
  <si>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</si>
  <si>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</si>
  <si>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</si>
  <si>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Melting_Curves/meltCurve_P40123_CAP2.pdf</t>
  </si>
  <si>
    <t>Melting_Curves/meltCurve_P40189_3_IL6ST.pdf</t>
  </si>
  <si>
    <t>Melting_Curves/meltCurve_P40199_CEACAM6.pdf</t>
  </si>
  <si>
    <t>Melting_Curves/meltCurve_P40222_TXLNA.pdf</t>
  </si>
  <si>
    <t>Melting_Curves/meltCurve_P40227_CCT6A.pdf</t>
  </si>
  <si>
    <t>Melting_Curves/meltCurve_P40261_NNMT.pdf</t>
  </si>
  <si>
    <t>Melting_Curves/meltCurve_P40306_PSMB10.pdf</t>
  </si>
  <si>
    <t>Melting_Curves/meltCurve_P40337_3_VHL.pdf</t>
  </si>
  <si>
    <t>Melting_Curves/meltCurve_P40429_RPL13A.pdf</t>
  </si>
  <si>
    <t>Melting_Curves/meltCurve_P40692_MLH1.pdf</t>
  </si>
  <si>
    <t>Melting_Curves/meltCurve_P40763_STAT3.pdf</t>
  </si>
  <si>
    <t>Melting_Curves/meltCurve_P40763_2_STAT3.pdf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</si>
  <si>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</si>
  <si>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</si>
  <si>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</si>
  <si>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</si>
  <si>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</si>
  <si>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</si>
  <si>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</si>
  <si>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Melting_Curves/meltCurve_P41134_2_ID1.pdf</t>
  </si>
  <si>
    <t>Melting_Curves/meltCurve_P41162_ETV3.pdf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</si>
  <si>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</si>
  <si>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</si>
  <si>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</si>
  <si>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</si>
  <si>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</si>
  <si>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</si>
  <si>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</si>
  <si>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</si>
  <si>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</si>
  <si>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</si>
  <si>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</si>
  <si>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</si>
  <si>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</si>
  <si>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</si>
  <si>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</si>
  <si>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</si>
  <si>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</si>
  <si>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</si>
  <si>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</si>
  <si>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</si>
  <si>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Melting_Curves/meltCurve_P42336_PIK3CA.pdf</t>
  </si>
  <si>
    <t>Melting_Curves/meltCurve_P42338_PIK3CB.pdf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</si>
  <si>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</si>
  <si>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</si>
  <si>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</si>
  <si>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</si>
  <si>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</si>
  <si>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Melting_Curves/meltCurve_P42684_6_ABL2.pdf</t>
  </si>
  <si>
    <t>Melting_Curves/meltCurve_P42694_HELZ.pdf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</si>
  <si>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</si>
  <si>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</si>
  <si>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</si>
  <si>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</si>
  <si>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Melting_Curves/meltCurve_P42773_CDKN2C.pdf</t>
  </si>
  <si>
    <t>Melting_Curves/meltCurve_P42785_PRCP.pdf</t>
  </si>
  <si>
    <t>Melting_Curves/meltCurve_P42830_CXCL5.pdf</t>
  </si>
  <si>
    <t>Melting_Curves/meltCurve_P42858_HTT.pdf</t>
  </si>
  <si>
    <t>Melting_Curves/meltCurve_P42898_MTHFR.pdf</t>
  </si>
  <si>
    <t>Melting_Curves/meltCurve_P43034_PAFAH1B1.pdf</t>
  </si>
  <si>
    <t>Melting_Curves/meltCurve_P43155_2_CRAT.pdf</t>
  </si>
  <si>
    <t>Melting_Curves/meltCurve_P43243_MATR3.pdf</t>
  </si>
  <si>
    <t>Melting_Curves/meltCurve_P43246_MSH2.pdf</t>
  </si>
  <si>
    <t>Melting_Curves/meltCurve_P43251_BTD.pdf</t>
  </si>
  <si>
    <t>Melting_Curves/meltCurve_P43353_ALDH3B1.pdf</t>
  </si>
  <si>
    <t>Melting_Curves/meltCurve_P43360_MAGEA6.pdf</t>
  </si>
  <si>
    <t>Melting_Curves/meltCurve_P43378_PTPN9.pdf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</si>
  <si>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</si>
  <si>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</si>
  <si>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</si>
  <si>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</si>
  <si>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Melting_Curves/meltCurve_P45877_PPIC.pdf</t>
  </si>
  <si>
    <t>Melting_Curves/meltCurve_P45954_ACADSB.pdf</t>
  </si>
  <si>
    <t>Melting_Curves/meltCurve_P45973_CBX5.pdf</t>
  </si>
  <si>
    <t>Melting_Curves/meltCurve_P45974_2_USP5.pdf</t>
  </si>
  <si>
    <t>Melting_Curves/meltCurve_P45984_2_MAPK9.pdf</t>
  </si>
  <si>
    <t>Melting_Curves/meltCurve_P45985_MAP2K4.pdf</t>
  </si>
  <si>
    <t>Melting_Curves/meltCurve_P46013_MKI67.pdf</t>
  </si>
  <si>
    <t>Melting_Curves/meltCurve_P46019_PHKA2.pdf</t>
  </si>
  <si>
    <t>Melting_Curves/meltCurve_P46020_2_PHKA1.pdf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</si>
  <si>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</si>
  <si>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</si>
  <si>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</si>
  <si>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</si>
  <si>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</si>
  <si>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</si>
  <si>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</si>
  <si>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</si>
  <si>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</si>
  <si>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</si>
  <si>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</si>
  <si>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</si>
  <si>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Melting_Curves/meltCurve_P46779_RPL28.pdf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</si>
  <si>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</si>
  <si>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</si>
  <si>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</si>
  <si>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</si>
  <si>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</si>
  <si>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Melting_Curves/meltCurve_P46937_YAP1.pdf</t>
  </si>
  <si>
    <t>Melting_Curves/meltCurve_P46939_UTRN.pdf</t>
  </si>
  <si>
    <t>Melting_Curves/meltCurve_P46940_IQGAP1.pdf</t>
  </si>
  <si>
    <t>Melting_Curves/meltCurve_P46976_2_GYG1.pdf</t>
  </si>
  <si>
    <t>Melting_Curves/meltCurve_P47224_RABIF.pdf</t>
  </si>
  <si>
    <t>Melting_Curves/meltCurve_P47710_2_CSN1S1.pdf</t>
  </si>
  <si>
    <t>Melting_Curves/meltCurve_P47712_PLA2G4A.pdf</t>
  </si>
  <si>
    <t>Melting_Curves/meltCurve_P47736_RAP1GAP.pdf</t>
  </si>
  <si>
    <t>Melting_Curves/meltCurve_P47755_CAPZA2.pdf</t>
  </si>
  <si>
    <t>Melting_Curves/meltCurve_P47756_2_CAPZB.pdf</t>
  </si>
  <si>
    <t>Melting_Curves/meltCurve_P47813_EIF1AX.pdf</t>
  </si>
  <si>
    <t>Melting_Curves/meltCurve_P47895_ALDH1A3.pdf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</si>
  <si>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</si>
  <si>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</si>
  <si>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</si>
  <si>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</si>
  <si>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Melting_Curves/meltCurve_P47989_XDH.pdf</t>
  </si>
  <si>
    <t>Melting_Curves/meltCurve_P48059_LIMS1.pdf</t>
  </si>
  <si>
    <t>Melting_Curves/meltCurve_P48147_PREP.pdf</t>
  </si>
  <si>
    <t>Melting_Curves/meltCurve_P48163_ME1.pdf</t>
  </si>
  <si>
    <t>Melting_Curves/meltCurve_P48169_GABRA4.pdf</t>
  </si>
  <si>
    <t>Melting_Curves/meltCurve_P48200_IREB2.pdf</t>
  </si>
  <si>
    <t>Melting_Curves/meltCurve_P48307_TFPI2.pdf</t>
  </si>
  <si>
    <t>Melting_Curves/meltCurve_P48431_SOX2.pdf</t>
  </si>
  <si>
    <t>Melting_Curves/meltCurve_P48436_SOX9.pdf</t>
  </si>
  <si>
    <t>Melting_Curves/meltCurve_P48444_ARCN1.pdf</t>
  </si>
  <si>
    <t>Melting_Curves/meltCurve_P48454_2_PPP3CC.pdf</t>
  </si>
  <si>
    <t>Melting_Curves/meltCurve_P48506_GCLC.pdf</t>
  </si>
  <si>
    <t>Melting_Curves/meltCurve_P48507_GCLM.pdf</t>
  </si>
  <si>
    <t>Melting_Curves/meltCurve_P48552_NRIP1.pdf</t>
  </si>
  <si>
    <t>Melting_Curves/meltCurve_P48553_TRAPPC10.pdf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</si>
  <si>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</si>
  <si>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</si>
  <si>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</si>
  <si>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</si>
  <si>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Melting_Curves/meltCurve_P48729_CSNK1A1.pdf</t>
  </si>
  <si>
    <t>Melting_Curves/meltCurve_P48730_2_CSNK1D.pdf</t>
  </si>
  <si>
    <t>Melting_Curves/meltCurve_P48735_IDH2.pdf</t>
  </si>
  <si>
    <t>Melting_Curves/meltCurve_P48739_PITPNB.pdf</t>
  </si>
  <si>
    <t>Melting_Curves/meltCurve_P49005_POLD2.pdf</t>
  </si>
  <si>
    <t>Melting_Curves/meltCurve_P49006_MARCKSL1.pdf</t>
  </si>
  <si>
    <t>Melting_Curves/meltCurve_P49023_3_PXN.pdf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</si>
  <si>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</si>
  <si>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</si>
  <si>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</si>
  <si>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</si>
  <si>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</si>
  <si>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</si>
  <si>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</si>
  <si>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</si>
  <si>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</si>
  <si>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</si>
  <si>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</si>
  <si>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Melting_Curves/meltCurve_P49406_MRPL19.pdf</t>
  </si>
  <si>
    <t>Melting_Curves/meltCurve_P49407_2_ARRB1.pdf</t>
  </si>
  <si>
    <t>Melting_Curves/meltCurve_P49411_TUFM.pdf</t>
  </si>
  <si>
    <t>Melting_Curves/meltCurve_P49419_2_ALDH7A1.pdf</t>
  </si>
  <si>
    <t>Melting_Curves/meltCurve_P49427_CDC34.pdf</t>
  </si>
  <si>
    <t>Melting_Curves/meltCurve_P49441_INPP1.pdf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</si>
  <si>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</si>
  <si>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</si>
  <si>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</si>
  <si>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</si>
  <si>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</si>
  <si>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</si>
  <si>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</si>
  <si>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Melting_Curves/meltCurve_P49642_PRIM1.pdf</t>
  </si>
  <si>
    <t>Melting_Curves/meltCurve_P49643_PRIM2.pdf</t>
  </si>
  <si>
    <t>Melting_Curves/meltCurve_P49662_2_CASP4.pdf</t>
  </si>
  <si>
    <t>Melting_Curves/meltCurve_P49674_CSNK1E.pdf</t>
  </si>
  <si>
    <t>Melting_Curves/meltCurve_P49711_CTCF.pdf</t>
  </si>
  <si>
    <t>Melting_Curves/meltCurve_P49716_CEBPD.pdf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</si>
  <si>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</si>
  <si>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</si>
  <si>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</si>
  <si>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</si>
  <si>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</si>
  <si>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</si>
  <si>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</si>
  <si>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</si>
  <si>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</si>
  <si>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</si>
  <si>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</si>
  <si>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Melting_Curves/meltCurve_P49796_4_RGS3.pdf</t>
  </si>
  <si>
    <t>Melting_Curves/meltCurve_P49821_2_NDUFV1.pdf</t>
  </si>
  <si>
    <t>Melting_Curves/meltCurve_P49840_GSK3A.pdf</t>
  </si>
  <si>
    <t>Melting_Curves/meltCurve_P49841_GSK3B.pdf</t>
  </si>
  <si>
    <t>Melting_Curves/meltCurve_P49848_TAF6.pdf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</si>
  <si>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</si>
  <si>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</si>
  <si>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</si>
  <si>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</si>
  <si>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</si>
  <si>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Melting_Curves/meltCurve_P49959_MRE11A.pdf</t>
  </si>
  <si>
    <t>Melting_Curves/meltCurve_P50053_KHK.pdf</t>
  </si>
  <si>
    <t>Melting_Curves/meltCurve_P50135_HNMT.pdf</t>
  </si>
  <si>
    <t>Melting_Curves/meltCurve_P50213_IDH3A.pdf</t>
  </si>
  <si>
    <t>Melting_Curves/meltCurve_P50219_MNX1.pdf</t>
  </si>
  <si>
    <t>Melting_Curves/meltCurve_P50224_SULT1A3.pdf</t>
  </si>
  <si>
    <t>Melting_Curves/meltCurve_P50238_CRIP1.pdf</t>
  </si>
  <si>
    <t>Melting_Curves/meltCurve_P50336_PPOX.pdf</t>
  </si>
  <si>
    <t>Melting_Curves/meltCurve_P50395_GDI2.pdf</t>
  </si>
  <si>
    <t>Melting_Curves/meltCurve_P50402_EMD.pdf</t>
  </si>
  <si>
    <t>Melting_Curves/meltCurve_P50440_2_GATM.pdf</t>
  </si>
  <si>
    <t>Melting_Curves/meltCurve_P50452_SERPINB8.pdf</t>
  </si>
  <si>
    <t>Melting_Curves/meltCurve_P50453_SERPINB9.pdf</t>
  </si>
  <si>
    <t>Melting_Curves/meltCurve_P50454_SERPINH1.pdf</t>
  </si>
  <si>
    <t>Melting_Curves/meltCurve_P50502_ST13.pdf</t>
  </si>
  <si>
    <t>Melting_Curves/meltCurve_P50542_PEX5.pdf</t>
  </si>
  <si>
    <t>Melting_Curves/meltCurve_P50552_VASP.pdf</t>
  </si>
  <si>
    <t>Melting_Curves/meltCurve_P50570_2_DNM2.pdf</t>
  </si>
  <si>
    <t>Melting_Curves/meltCurve_P50570_3_DNM2.pdf</t>
  </si>
  <si>
    <t>Melting_Curves/meltCurve_P50570_4_DNM2.pdf</t>
  </si>
  <si>
    <t>Melting_Curves/meltCurve_P50579_METAP2.pdf</t>
  </si>
  <si>
    <t>Melting_Curves/meltCurve_P50583_NUDT2.pdf</t>
  </si>
  <si>
    <t>Melting_Curves/meltCurve_P50613_CDK7.pdf</t>
  </si>
  <si>
    <t>Melting_Curves/meltCurve_P50616_TOB1.pdf</t>
  </si>
  <si>
    <t>Melting_Curves/meltCurve_P50747_HLCS.pdf</t>
  </si>
  <si>
    <t>Melting_Curves/meltCurve_P50748_KNTC1.pdf</t>
  </si>
  <si>
    <t>Melting_Curves/meltCurve_P50749_RASSF2.pdf</t>
  </si>
  <si>
    <t>Melting_Curves/meltCurve_P50750_CDK9.pdf</t>
  </si>
  <si>
    <t>Melting_Curves/meltCurve_P50851_LRBA.pdf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</si>
  <si>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</si>
  <si>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</si>
  <si>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</si>
  <si>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</si>
  <si>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</si>
  <si>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</si>
  <si>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</si>
  <si>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</si>
  <si>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Melting_Curves/meltCurve_P51153_RAB13.pdf</t>
  </si>
  <si>
    <t>Melting_Curves/meltCurve_P51157_3_RAB28.pdf</t>
  </si>
  <si>
    <t>Melting_Curves/meltCurve_P51161_FABP6.pdf</t>
  </si>
  <si>
    <t>Melting_Curves/meltCurve_P51178_PLCD1.pdf</t>
  </si>
  <si>
    <t>Melting_Curves/meltCurve_P51397_DAP.pdf</t>
  </si>
  <si>
    <t>Melting_Curves/meltCurve_P51398_2_DAP3.pdf</t>
  </si>
  <si>
    <t>Melting_Curves/meltCurve_P51452_DUSP3.pdf</t>
  </si>
  <si>
    <t>Melting_Curves/meltCurve_P51513_4_NOVA1.pdf</t>
  </si>
  <si>
    <t>Melting_Curves/meltCurve_P51531_2_SMARCA2.pdf</t>
  </si>
  <si>
    <t>Melting_Curves/meltCurve_P51553_IDH3G.pdf</t>
  </si>
  <si>
    <t>Melting_Curves/meltCurve_P51570_GALK1.pdf</t>
  </si>
  <si>
    <t>Melting_Curves/meltCurve_P51572_BCAP31.pdf</t>
  </si>
  <si>
    <t>Melting_Curves/meltCurve_P51580_TPMT.pdf</t>
  </si>
  <si>
    <t>Melting_Curves/meltCurve_P51587_BRCA2.pdf</t>
  </si>
  <si>
    <t>Melting_Curves/meltCurve_P51589_CYP2J2.pdf</t>
  </si>
  <si>
    <t>Melting_Curves/meltCurve_P51608_MECP2.pdf</t>
  </si>
  <si>
    <t>Melting_Curves/meltCurve_P51610_HCFC1.pdf</t>
  </si>
  <si>
    <t>Melting_Curves/meltCurve_P51610_4_HCFC1.pdf</t>
  </si>
  <si>
    <t>Melting_Curves/meltCurve_P51617_IRAK1.pdf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</si>
  <si>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</si>
  <si>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</si>
  <si>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</si>
  <si>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</si>
  <si>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</si>
  <si>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Melting_Curves/meltCurve_P51688_SGSH.pdf</t>
  </si>
  <si>
    <t>Melting_Curves/meltCurve_P51692_STAT5B.pdf</t>
  </si>
  <si>
    <t>Melting_Curves/meltCurve_P51808_DYNLT3.pdf</t>
  </si>
  <si>
    <t>Melting_Curves/meltCurve_P51812_RPS6KA3.pdf</t>
  </si>
  <si>
    <t>Melting_Curves/meltCurve_P51817_PRKX.pdf</t>
  </si>
  <si>
    <t>Melting_Curves/meltCurve_P51825_2_AFF1.pdf</t>
  </si>
  <si>
    <t>Melting_Curves/meltCurve_P51843_2_NR0B1.pdf</t>
  </si>
  <si>
    <t>Melting_Curves/meltCurve_P51857_2_AKR1D1.pdf</t>
  </si>
  <si>
    <t>Melting_Curves/meltCurve_P51858_HDGF.pdf</t>
  </si>
  <si>
    <t>Melting_Curves/meltCurve_P51948_MNAT1.pdf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</si>
  <si>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</si>
  <si>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</si>
  <si>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</si>
  <si>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</si>
  <si>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</si>
  <si>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</si>
  <si>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Melting_Curves/meltCurve_P52564_MAP2K6.pdf</t>
  </si>
  <si>
    <t>Melting_Curves/meltCurve_P52565_ARHGDIA.pdf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</si>
  <si>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</si>
  <si>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</si>
  <si>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</si>
  <si>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</si>
  <si>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</si>
  <si>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</si>
  <si>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</si>
  <si>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</si>
  <si>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Melting_Curves/meltCurve_P52739_2_ZNF131.pdf</t>
  </si>
  <si>
    <t>Melting_Curves/meltCurve_P52747_2_ZNF143.pdf</t>
  </si>
  <si>
    <t>Melting_Curves/meltCurve_P52758_HRSP12.pdf</t>
  </si>
  <si>
    <t>Melting_Curves/meltCurve_P52788_SMS.pdf</t>
  </si>
  <si>
    <t>Melting_Curves/meltCurve_P52815_MRPL12.pdf</t>
  </si>
  <si>
    <t>Melting_Curves/meltCurve_P52824_DGKQ.pdf</t>
  </si>
  <si>
    <t>Melting_Curves/meltCurve_P52888_THOP1.pdf</t>
  </si>
  <si>
    <t>Melting_Curves/meltCurve_P52895_AKR1C2.pdf</t>
  </si>
  <si>
    <t>Melting_Curves/meltCurve_P52907_CAPZA1.pdf</t>
  </si>
  <si>
    <t>Melting_Curves/meltCurve_P52943_CRIP2.pdf</t>
  </si>
  <si>
    <t>Melting_Curves/meltCurve_P52948_5_NUP98.pdf</t>
  </si>
  <si>
    <t>Melting_Curves/meltCurve_P53004_BLVRA.pdf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</si>
  <si>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</si>
  <si>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</si>
  <si>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</si>
  <si>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</si>
  <si>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</si>
  <si>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</si>
  <si>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Melting_Curves/meltCurve_P53396_2_ACLY.pdf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</si>
  <si>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</si>
  <si>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</si>
  <si>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</si>
  <si>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</si>
  <si>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</si>
  <si>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</si>
  <si>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</si>
  <si>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</si>
  <si>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Melting_Curves/meltCurve_P53675_2_CLTCL1.pdf</t>
  </si>
  <si>
    <t>Melting_Curves/meltCurve_P53680_AP2S1.pdf</t>
  </si>
  <si>
    <t>Melting_Curves/meltCurve_P53778_MAPK12.pdf</t>
  </si>
  <si>
    <t>Melting_Curves/meltCurve_P53803_POLR2K.pdf</t>
  </si>
  <si>
    <t>Melting_Curves/meltCurve_P53805_RCAN1.pdf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</si>
  <si>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</si>
  <si>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</si>
  <si>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</si>
  <si>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</si>
  <si>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</si>
  <si>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</si>
  <si>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Melting_Curves/meltCurve_P54198_2_HIRA.pdf</t>
  </si>
  <si>
    <t>Melting_Curves/meltCurve_P54259_ATN1.pdf</t>
  </si>
  <si>
    <t>Melting_Curves/meltCurve_P54277_3_PMS1.pdf</t>
  </si>
  <si>
    <t>Melting_Curves/meltCurve_P54278_PMS2.pdf</t>
  </si>
  <si>
    <t>Melting_Curves/meltCurve_P54577_YARS.pdf</t>
  </si>
  <si>
    <t>Melting_Curves/meltCurve_P54578_USP14.pdf</t>
  </si>
  <si>
    <t>Melting_Curves/meltCurve_P54619_2_PRKAG1.pdf</t>
  </si>
  <si>
    <t>Melting_Curves/meltCurve_P54646_PRKAA2.pdf</t>
  </si>
  <si>
    <t>Melting_Curves/meltCurve_P54652_HSPA2.pdf</t>
  </si>
  <si>
    <t>Melting_Curves/meltCurve_P54687_BCAT1.pdf</t>
  </si>
  <si>
    <t>Melting_Curves/meltCurve_P54727_RAD23B.pdf</t>
  </si>
  <si>
    <t>Melting_Curves/meltCurve_P54802_NAGLU.pdf</t>
  </si>
  <si>
    <t>Melting_Curves/meltCurve_P54819_AK2.pdf</t>
  </si>
  <si>
    <t>Melting_Curves/meltCurve_P54886_2_ALDH18A1.pdf</t>
  </si>
  <si>
    <t>Melting_Curves/meltCurve_P54920_NAPA.pdf</t>
  </si>
  <si>
    <t>Melting_Curves/meltCurve_P54922_ADPRH.pdf</t>
  </si>
  <si>
    <t>Melting_Curves/meltCurve_P55010_EIF5.pdf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</si>
  <si>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</si>
  <si>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</si>
  <si>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</si>
  <si>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</si>
  <si>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</si>
  <si>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Melting_Curves/meltCurve_P55145_MANF.pdf</t>
  </si>
  <si>
    <t>Melting_Curves/meltCurve_P55196_MLLT4.pdf</t>
  </si>
  <si>
    <t>Melting_Curves/meltCurve_P55199_ELL.pdf</t>
  </si>
  <si>
    <t>Melting_Curves/meltCurve_P55210_CASP7.pdf</t>
  </si>
  <si>
    <t>Melting_Curves/meltCurve_P55211_2_CASP9.pdf</t>
  </si>
  <si>
    <t>Melting_Curves/meltCurve_P55212_CASP6.pdf</t>
  </si>
  <si>
    <t>Melting_Curves/meltCurve_P55263_ADK.pdf</t>
  </si>
  <si>
    <t>Melting_Curves/meltCurve_P55265_5_ADAR.pdf</t>
  </si>
  <si>
    <t>Melting_Curves/meltCurve_P55268_LAMB2.pdf</t>
  </si>
  <si>
    <t>Melting_Curves/meltCurve_P55273_CDKN2D.pdf</t>
  </si>
  <si>
    <t>Melting_Curves/meltCurve_P55327_2_TPD52.pdf</t>
  </si>
  <si>
    <t>Melting_Curves/meltCurve_P55345_PRMT2.pdf</t>
  </si>
  <si>
    <t>Melting_Curves/meltCurve_P55735_SEC13.pdf</t>
  </si>
  <si>
    <t>Melting_Curves/meltCurve_P55769_NHP2L1.pdf</t>
  </si>
  <si>
    <t>Melting_Curves/meltCurve_P55795_HNRNPH2.pdf</t>
  </si>
  <si>
    <t>Melting_Curves/meltCurve_P55809_OXCT1.pdf</t>
  </si>
  <si>
    <t>Melting_Curves/meltCurve_P55854_SUMO3.pdf</t>
  </si>
  <si>
    <t>Melting_Curves/meltCurve_P55884_EIF3B.pdf</t>
  </si>
  <si>
    <t>Melting_Curves/meltCurve_P56181_2_NDUFV3.pdf</t>
  </si>
  <si>
    <t>Melting_Curves/meltCurve_P56192_MARS.pdf</t>
  </si>
  <si>
    <t>Melting_Curves/meltCurve_P56211_ARPP19.pdf</t>
  </si>
  <si>
    <t>Melting_Curves/meltCurve_P56277_CMC4.pdf</t>
  </si>
  <si>
    <t>Melting_Curves/meltCurve_P56282_2_POLE2.pdf</t>
  </si>
  <si>
    <t>Melting_Curves/meltCurve_P56524_HDAC4.pdf</t>
  </si>
  <si>
    <t>Melting_Curves/meltCurve_P56537_EIF6.pdf</t>
  </si>
  <si>
    <t>Melting_Curves/meltCurve_P56545_CTBP2.pdf</t>
  </si>
  <si>
    <t>Melting_Curves/meltCurve_P56945_BCAR1.pdf</t>
  </si>
  <si>
    <t>Melting_Curves/meltCurve_P56962_STX17.pdf</t>
  </si>
  <si>
    <t>Melting_Curves/meltCurve_P57076_C21orf59.pdf</t>
  </si>
  <si>
    <t>Melting_Curves/meltCurve_P57081_WDR4.pdf</t>
  </si>
  <si>
    <t>Melting_Curves/meltCurve_P57105_SYNJ2BP.pdf</t>
  </si>
  <si>
    <t>Melting_Curves/meltCurve_P57737_3_CORO7.pdf</t>
  </si>
  <si>
    <t>Melting_Curves/meltCurve_P57740_NUP107.pdf</t>
  </si>
  <si>
    <t>Melting_Curves/meltCurve_P57764_GSDMD.pdf</t>
  </si>
  <si>
    <t>Melting_Curves/meltCurve_P57768_SNX16.pdf</t>
  </si>
  <si>
    <t>Melting_Curves/meltCurve_P57772_EEFSEC.pdf</t>
  </si>
  <si>
    <t>Melting_Curves/meltCurve_P58546_MTPN.pdf</t>
  </si>
  <si>
    <t>Melting_Curves/meltCurve_P59780_AP3S2.pdf</t>
  </si>
  <si>
    <t>Melting_Curves/meltCurve_P59998_ARPC4.pdf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</si>
  <si>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</si>
  <si>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</si>
  <si>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</si>
  <si>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</si>
  <si>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</si>
  <si>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Melting_Curves/meltCurve_P60660_2_MYL6.pdf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</si>
  <si>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</si>
  <si>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</si>
  <si>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</si>
  <si>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</si>
  <si>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Melting_Curves/meltCurve_P60880_2_SNAP25.pdf</t>
  </si>
  <si>
    <t>Melting_Curves/meltCurve_P60891_PRPS1.pdf</t>
  </si>
  <si>
    <t>Melting_Curves/meltCurve_P60900_PSMA6.pdf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</si>
  <si>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</si>
  <si>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</si>
  <si>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</si>
  <si>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</si>
  <si>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</si>
  <si>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</si>
  <si>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</si>
  <si>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</si>
  <si>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</si>
  <si>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</si>
  <si>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</si>
  <si>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</si>
  <si>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</si>
  <si>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</si>
  <si>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</si>
  <si>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</si>
  <si>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</si>
  <si>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</si>
  <si>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</si>
  <si>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</si>
  <si>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</si>
  <si>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</si>
  <si>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</si>
  <si>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</si>
  <si>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</si>
  <si>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</si>
  <si>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</si>
  <si>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Melting_Curves/meltCurve_P61313_RPL15.pdf</t>
  </si>
  <si>
    <t>Melting_Curves/meltCurve_P61353_RPL27.pdf</t>
  </si>
  <si>
    <t>Melting_Curves/meltCurve_P61457_PCBD1.pdf</t>
  </si>
  <si>
    <t>Melting_Curves/meltCurve_P61586_RHOA.pdf</t>
  </si>
  <si>
    <t>Melting_Curves/meltCurve_P61587_RND3.pdf</t>
  </si>
  <si>
    <t>Melting_Curves/meltCurve_P61599_NAA20.pdf</t>
  </si>
  <si>
    <t>Melting_Curves/meltCurve_P61604_HSPE1.pdf</t>
  </si>
  <si>
    <t>Melting_Curves/meltCurve_P61758_VBP1.pdf</t>
  </si>
  <si>
    <t>Melting_Curves/meltCurve_P61923_COPZ1.pdf</t>
  </si>
  <si>
    <t>Melting_Curves/meltCurve_P61927_RPL37.pdf</t>
  </si>
  <si>
    <t>Melting_Curves/meltCurve_P61952_GNG11.pdf</t>
  </si>
  <si>
    <t>Melting_Curves/meltCurve_P61956_SUMO2.pdf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</si>
  <si>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</si>
  <si>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</si>
  <si>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</si>
  <si>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</si>
  <si>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</si>
  <si>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</si>
  <si>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</si>
  <si>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</si>
  <si>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</si>
  <si>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</si>
  <si>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</si>
  <si>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Melting_Curves/meltCurve_P62158_CALM1.pdf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</si>
  <si>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</si>
  <si>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</si>
  <si>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</si>
  <si>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</si>
  <si>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</si>
  <si>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</si>
  <si>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</si>
  <si>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</si>
  <si>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</si>
  <si>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</si>
  <si>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</si>
  <si>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</si>
  <si>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</si>
  <si>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</si>
  <si>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</si>
  <si>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</si>
  <si>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</si>
  <si>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</si>
  <si>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</si>
  <si>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</si>
  <si>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</si>
  <si>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</si>
  <si>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</si>
  <si>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</si>
  <si>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</si>
  <si>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</si>
  <si>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</si>
  <si>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</si>
  <si>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Melting_Curves/meltCurve_P62701_RPS4X.pdf</t>
  </si>
  <si>
    <t>Melting_Curves/meltCurve_P62714_PPP2CB.pdf</t>
  </si>
  <si>
    <t>Melting_Curves/meltCurve_P62736_ACTA2.pdf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</si>
  <si>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</si>
  <si>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</si>
  <si>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</si>
  <si>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</si>
  <si>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Melting_Curves/meltCurve_P62826_RAN.pdf</t>
  </si>
  <si>
    <t>Melting_Curves/meltCurve_P62829_RPL23.pdf</t>
  </si>
  <si>
    <t>Melting_Curves/meltCurve_P62837_UBE2D2.pdf</t>
  </si>
  <si>
    <t>Melting_Curves/meltCurve_P62847_2_RPS24.pdf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</si>
  <si>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</si>
  <si>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</si>
  <si>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</si>
  <si>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</si>
  <si>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Melting_Curves/meltCurve_P62875_POLR2L.pdf</t>
  </si>
  <si>
    <t>Melting_Curves/meltCurve_P62877_RBX1.pdf</t>
  </si>
  <si>
    <t>Melting_Curves/meltCurve_P62888_RPL30.pdf</t>
  </si>
  <si>
    <t>Melting_Curves/meltCurve_P62906_RPL10A.pdf</t>
  </si>
  <si>
    <t>Melting_Curves/meltCurve_P62917_RPL8.pdf</t>
  </si>
  <si>
    <t>Melting_Curves/meltCurve_P62942_FKBP1A.pdf</t>
  </si>
  <si>
    <t>Melting_Curves/meltCurve_P62993_GRB2.pdf</t>
  </si>
  <si>
    <t>Melting_Curves/meltCurve_P62995_TRA2B.pdf</t>
  </si>
  <si>
    <t>Melting_Curves/meltCurve_P63000_RAC1.pdf</t>
  </si>
  <si>
    <t>Melting_Curves/meltCurve_P63010_AP2B1.pdf</t>
  </si>
  <si>
    <t>Melting_Curves/meltCurve_P63096_GNAI1.pdf</t>
  </si>
  <si>
    <t>Melting_Curves/meltCurve_P63104_YWHAZ.pdf</t>
  </si>
  <si>
    <t>Melting_Curves/meltCurve_P63151_PPP2R2A.pdf</t>
  </si>
  <si>
    <t>Melting_Curves/meltCurve_P63167_DYNLL1.pdf</t>
  </si>
  <si>
    <t>Melting_Curves/meltCurve_P63173_RPL38.pdf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</si>
  <si>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</si>
  <si>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</si>
  <si>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</si>
  <si>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</si>
  <si>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Melting_Curves/meltCurve_P63313_TMSB10.pdf</t>
  </si>
  <si>
    <t>Melting_Curves/meltCurve_P67775_PPP2CA.pdf</t>
  </si>
  <si>
    <t>Melting_Curves/meltCurve_P67809_YBX1.pdf</t>
  </si>
  <si>
    <t>Melting_Curves/meltCurve_P67870_CSNK2B.pdf</t>
  </si>
  <si>
    <t>Melting_Curves/meltCurve_P67936_TPM4.pdf</t>
  </si>
  <si>
    <t>Melting_Curves/meltCurve_P67936_2_TPM4.pdf</t>
  </si>
  <si>
    <t>Melting_Curves/meltCurve_P68036_UBE2L3.pdf</t>
  </si>
  <si>
    <t>Melting_Curves/meltCurve_P68104_EEF1A1.pdf</t>
  </si>
  <si>
    <t>Melting_Curves/meltCurve_P68106_FKBP1B.pdf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</si>
  <si>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</si>
  <si>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</si>
  <si>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</si>
  <si>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</si>
  <si>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Melting_Curves/meltCurve_P78316_NOP14.pdf</t>
  </si>
  <si>
    <t>Melting_Curves/meltCurve_P78318_IGBP1.pdf</t>
  </si>
  <si>
    <t>Melting_Curves/meltCurve_P78324_SIRPA.pdf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</si>
  <si>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</si>
  <si>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</si>
  <si>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</si>
  <si>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</si>
  <si>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</si>
  <si>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</si>
  <si>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Melting_Curves/meltCurve_P78364_PHC1.pdf</t>
  </si>
  <si>
    <t>Melting_Curves/meltCurve_P78371_CCT2.pdf</t>
  </si>
  <si>
    <t>Melting_Curves/meltCurve_P78406_RAE1.pdf</t>
  </si>
  <si>
    <t>Melting_Curves/meltCurve_P78417_GSTO1.pdf</t>
  </si>
  <si>
    <t>Melting_Curves/meltCurve_P78504_JAG1.pdf</t>
  </si>
  <si>
    <t>Melting_Curves/meltCurve_P78527_PRKDC.pdf</t>
  </si>
  <si>
    <t>Melting_Curves/meltCurve_P78537_BLOC1S1.pdf</t>
  </si>
  <si>
    <t>Melting_Curves/meltCurve_P78549_NTHL1.pdf</t>
  </si>
  <si>
    <t>Melting_Curves/meltCurve_P78559_MAP1A.pdf</t>
  </si>
  <si>
    <t>Melting_Curves/meltCurve_P78560_CRADD.pdf</t>
  </si>
  <si>
    <t>Melting_Curves/meltCurve_P80188_2_LCN2.pdf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</si>
  <si>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</si>
  <si>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</si>
  <si>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</si>
  <si>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</si>
  <si>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Melting_Curves/meltCurve_P81605_DCD.pdf</t>
  </si>
  <si>
    <t>Melting_Curves/meltCurve_P82094_TMF1.pdf</t>
  </si>
  <si>
    <t>Melting_Curves/meltCurve_P82909_MRPS36.pdf</t>
  </si>
  <si>
    <t>Melting_Curves/meltCurve_P82930_MRPS34.pdf</t>
  </si>
  <si>
    <t>Melting_Curves/meltCurve_P82932_MRPS6.pdf</t>
  </si>
  <si>
    <t>Melting_Curves/meltCurve_P82979_SARNP.pdf</t>
  </si>
  <si>
    <t>Melting_Curves/meltCurve_P83436_COG7.pdf</t>
  </si>
  <si>
    <t>Melting_Curves/meltCurve_P83881_RPL36A.pdf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</si>
  <si>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</si>
  <si>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</si>
  <si>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</si>
  <si>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</si>
  <si>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</si>
  <si>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</si>
  <si>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Melting_Curves/meltCurve_P85037_FOXK1.pdf</t>
  </si>
  <si>
    <t>Melting_Curves/meltCurve_P85299_2_PRR5.pdf</t>
  </si>
  <si>
    <t>Melting_Curves/meltCurve_P86791_CCZ1.pdf</t>
  </si>
  <si>
    <t>Melting_Curves/meltCurve_P98082_3_DAB2.pdf</t>
  </si>
  <si>
    <t>Melting_Curves/meltCurve_P98088_MUC5AC.pdf</t>
  </si>
  <si>
    <t>Melting_Curves/meltCurve_P98155_2_VLDLR.pdf</t>
  </si>
  <si>
    <t>Melting_Curves/meltCurve_P98160_HSPG2.pdf</t>
  </si>
  <si>
    <t>Melting_Curves/meltCurve_P98170_XIAP.pdf</t>
  </si>
  <si>
    <t>Melting_Curves/meltCurve_P98174_FGD1.pdf</t>
  </si>
  <si>
    <t>Melting_Curves/meltCurve_P98175_4_RBM10.pdf</t>
  </si>
  <si>
    <t>Melting_Curves/meltCurve_P98179_RBM3.pdf</t>
  </si>
  <si>
    <t>Melting_Curves/meltCurve_Q00013_2_MPP1.pdf</t>
  </si>
  <si>
    <t>Melting_Curves/meltCurve_Q00059_TFAM.pdf</t>
  </si>
  <si>
    <t>Melting_Curves/meltCurve_Q00169_PITPNA.pdf</t>
  </si>
  <si>
    <t>Melting_Curves/meltCurve_Q00341_HDLBP.pdf</t>
  </si>
  <si>
    <t>Melting_Curves/meltCurve_Q00403_GTF2B.pdf</t>
  </si>
  <si>
    <t>Melting_Curves/meltCurve_Q00526_CDK3.pdf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</si>
  <si>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</si>
  <si>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</si>
  <si>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</si>
  <si>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</si>
  <si>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</si>
  <si>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</si>
  <si>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</si>
  <si>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</si>
  <si>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Melting_Curves/meltCurve_Q00796_SORD.pdf</t>
  </si>
  <si>
    <t>Melting_Curves/meltCurve_Q00839_HNRNPU.pdf</t>
  </si>
  <si>
    <t>Melting_Curves/meltCurve_Q00839_2_HNRNPU.pdf</t>
  </si>
  <si>
    <t>Melting_Curves/meltCurve_Q00978_IRF9.pdf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</si>
  <si>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</si>
  <si>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</si>
  <si>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</si>
  <si>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</si>
  <si>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Melting_Curves/meltCurve_Q01105_SET.pdf</t>
  </si>
  <si>
    <t>Melting_Curves/meltCurve_Q01105_2_SET.pdf</t>
  </si>
  <si>
    <t>Melting_Curves/meltCurve_Q01167_FOXK2.pdf</t>
  </si>
  <si>
    <t>Melting_Curves/meltCurve_Q01432_AMPD3.pdf</t>
  </si>
  <si>
    <t>Melting_Curves/meltCurve_Q01433_AMPD2.pdf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</si>
  <si>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</si>
  <si>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</si>
  <si>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</si>
  <si>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</si>
  <si>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</si>
  <si>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</si>
  <si>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</si>
  <si>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</si>
  <si>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Melting_Curves/meltCurve_Q01804_OTUD4.pdf</t>
  </si>
  <si>
    <t>Melting_Curves/meltCurve_Q01813_PFKP.pdf</t>
  </si>
  <si>
    <t>Melting_Curves/meltCurve_Q01844_6_EWSR1.pdf</t>
  </si>
  <si>
    <t>Melting_Curves/meltCurve_Q01850_CDR2.pdf</t>
  </si>
  <si>
    <t>Melting_Curves/meltCurve_Q01968_2_OCRL.pdf</t>
  </si>
  <si>
    <t>Melting_Curves/meltCurve_Q01970_PLCB3.pdf</t>
  </si>
  <si>
    <t>Melting_Curves/meltCurve_Q01973_ROR1.pdf</t>
  </si>
  <si>
    <t>Melting_Curves/meltCurve_Q01995_TAGLN.pdf</t>
  </si>
  <si>
    <t>Melting_Curves/meltCurve_Q02040_AKAP17A.pdf</t>
  </si>
  <si>
    <t>Melting_Curves/meltCurve_Q02078_4_MEF2A.pdf</t>
  </si>
  <si>
    <t>Melting_Curves/meltCurve_Q02083_2_NAAA.pdf</t>
  </si>
  <si>
    <t>Melting_Curves/meltCurve_Q02086_2_SP2.pdf</t>
  </si>
  <si>
    <t>Melting_Curves/meltCurve_Q02156_PRKCE.pdf</t>
  </si>
  <si>
    <t>Melting_Curves/meltCurve_Q02224_3_CENPE.pdf</t>
  </si>
  <si>
    <t>Melting_Curves/meltCurve_Q02241_KIF23.pdf</t>
  </si>
  <si>
    <t>Melting_Curves/meltCurve_Q02241_2_KIF23.pdf</t>
  </si>
  <si>
    <t>Melting_Curves/meltCurve_Q02297_NRG1.pdf</t>
  </si>
  <si>
    <t>Melting_Curves/meltCurve_Q02410_APBA1.pdf</t>
  </si>
  <si>
    <t>Melting_Curves/meltCurve_Q02413_DSG1.pdf</t>
  </si>
  <si>
    <t>Melting_Curves/meltCurve_Q02447_3_SP3.pdf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</si>
  <si>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</si>
  <si>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</si>
  <si>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</si>
  <si>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</si>
  <si>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</si>
  <si>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</si>
  <si>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Melting_Curves/meltCurve_Q02880_2_TOP2B.pdf</t>
  </si>
  <si>
    <t>Melting_Curves/meltCurve_Q02952_3_AKAP12.pdf</t>
  </si>
  <si>
    <t>Melting_Curves/meltCurve_Q03001_DST.pdf</t>
  </si>
  <si>
    <t>Melting_Curves/meltCurve_Q03001_8_DST.pdf</t>
  </si>
  <si>
    <t>Melting_Curves/meltCurve_Q03111_MLLT1.pdf</t>
  </si>
  <si>
    <t>Melting_Curves/meltCurve_Q03135_CAV1.pdf</t>
  </si>
  <si>
    <t>Melting_Curves/meltCurve_Q03154_ACY1.pdf</t>
  </si>
  <si>
    <t>Melting_Curves/meltCurve_Q03164_2_MLL.pdf</t>
  </si>
  <si>
    <t>Melting_Curves/meltCurve_Q03169_TNFAIP2.pdf</t>
  </si>
  <si>
    <t>Melting_Curves/meltCurve_Q03252_LMNB2.pdf</t>
  </si>
  <si>
    <t>Melting_Curves/meltCurve_Q03393_PTS.pdf</t>
  </si>
  <si>
    <t>Melting_Curves/meltCurve_Q03468_ERCC6.pdf</t>
  </si>
  <si>
    <t>Melting_Curves/meltCurve_Q03701_CEBPZ.pdf</t>
  </si>
  <si>
    <t>Melting_Curves/meltCurve_Q04446_GBE1.pdf</t>
  </si>
  <si>
    <t>Melting_Curves/meltCurve_Q04637_3_EIF4G1.pdf</t>
  </si>
  <si>
    <t>Melting_Curves/meltCurve_Q04656_5_ATP7A.pdf</t>
  </si>
  <si>
    <t>Melting_Curves/meltCurve_Q04724_TLE1.pdf</t>
  </si>
  <si>
    <t>Melting_Curves/meltCurve_Q04726_3_TLE3.pdf</t>
  </si>
  <si>
    <t>Melting_Curves/meltCurve_Q04756_HGFAC.pdf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</si>
  <si>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</si>
  <si>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</si>
  <si>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</si>
  <si>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</si>
  <si>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Melting_Curves/meltCurve_Q05048_CSTF1.pdf</t>
  </si>
  <si>
    <t>Melting_Curves/meltCurve_Q05086_3_UBE3A.pdf</t>
  </si>
  <si>
    <t>Melting_Curves/meltCurve_Q05193_DNM1.pdf</t>
  </si>
  <si>
    <t>Melting_Curves/meltCurve_Q05209_PTPN12.pdf</t>
  </si>
  <si>
    <t>Melting_Curves/meltCurve_Q05513_PRKCZ.pdf</t>
  </si>
  <si>
    <t>Melting_Curves/meltCurve_Q05519_2_SRSF11.pdf</t>
  </si>
  <si>
    <t>Melting_Curves/meltCurve_Q05639_EEF1A2.pdf</t>
  </si>
  <si>
    <t>Melting_Curves/meltCurve_Q05655_PRKCD.pdf</t>
  </si>
  <si>
    <t>Melting_Curves/meltCurve_Q05682_CALD1.pdf</t>
  </si>
  <si>
    <t>Melting_Curves/meltCurve_Q05682_4_CALD1.pdf</t>
  </si>
  <si>
    <t>Melting_Curves/meltCurve_Q05823_RNASEL.pdf</t>
  </si>
  <si>
    <t>Melting_Curves/meltCurve_Q06124_PTPN11.pdf</t>
  </si>
  <si>
    <t>Melting_Curves/meltCurve_Q06190_PPP2R3A.pdf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</si>
  <si>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</si>
  <si>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</si>
  <si>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</si>
  <si>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</si>
  <si>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</si>
  <si>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Melting_Curves/meltCurve_Q06546_GABPA.pdf</t>
  </si>
  <si>
    <t>Melting_Curves/meltCurve_Q06547_2_GABPB1.pdf</t>
  </si>
  <si>
    <t>Melting_Curves/meltCurve_Q06587_RING1.pdf</t>
  </si>
  <si>
    <t>Melting_Curves/meltCurve_Q06609_3_RAD51.pdf</t>
  </si>
  <si>
    <t>Melting_Curves/meltCurve_Q06787_8_FMR1.pdf</t>
  </si>
  <si>
    <t>Melting_Curves/meltCurve_Q06945_SOX4.pdf</t>
  </si>
  <si>
    <t>Melting_Curves/meltCurve_Q07020_RPL18.pdf</t>
  </si>
  <si>
    <t>Melting_Curves/meltCurve_Q07021_C1QBP.pdf</t>
  </si>
  <si>
    <t>Melting_Curves/meltCurve_Q07065_CKAP4.pdf</t>
  </si>
  <si>
    <t>Melting_Curves/meltCurve_Q07283_TCHH.pdf</t>
  </si>
  <si>
    <t>Melting_Curves/meltCurve_Q07343_3_PDE4B.pdf</t>
  </si>
  <si>
    <t>Melting_Curves/meltCurve_Q07617_SPAG1.pdf</t>
  </si>
  <si>
    <t>Melting_Curves/meltCurve_Q07666_KHDRBS1.pdf</t>
  </si>
  <si>
    <t>Melting_Curves/meltCurve_Q07812_8_BAX.pdf</t>
  </si>
  <si>
    <t>Melting_Curves/meltCurve_Q07820_MCL1.pdf</t>
  </si>
  <si>
    <t>Melting_Curves/meltCurve_Q07866_6_KLC1.pdf</t>
  </si>
  <si>
    <t>Melting_Curves/meltCurve_Q07954_LRP1.pdf</t>
  </si>
  <si>
    <t>Melting_Curves/meltCurve_Q07955_SRSF1.pdf</t>
  </si>
  <si>
    <t>Melting_Curves/meltCurve_Q07960_ARHGAP1.pdf</t>
  </si>
  <si>
    <t>Melting_Curves/meltCurve_Q08117_AES.pdf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</si>
  <si>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</si>
  <si>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</si>
  <si>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</si>
  <si>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</si>
  <si>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Melting_Curves/meltCurve_Q08378_GOLGA3.pdf</t>
  </si>
  <si>
    <t>Melting_Curves/meltCurve_Q08379_GOLGA2.pdf</t>
  </si>
  <si>
    <t>Melting_Curves/meltCurve_Q08380_LGALS3BP.pdf</t>
  </si>
  <si>
    <t>Melting_Curves/meltCurve_Q08495_EPB49.pdf</t>
  </si>
  <si>
    <t>Melting_Curves/meltCurve_Q08499_6_PDE4D.pdf</t>
  </si>
  <si>
    <t>Melting_Curves/meltCurve_Q08752_PPID.pdf</t>
  </si>
  <si>
    <t>Melting_Curves/meltCurve_Q08945_SSRP1.pdf</t>
  </si>
  <si>
    <t>Melting_Curves/meltCurve_Q08999_RBL2.pdf</t>
  </si>
  <si>
    <t>Melting_Curves/meltCurve_Q08AD1_2_CAMSAP2.pdf</t>
  </si>
  <si>
    <t>Melting_Curves/meltCurve_Q08AE8_2_SPIRE1.pdf</t>
  </si>
  <si>
    <t>Melting_Curves/meltCurve_Q08AF3_SLFN5.pdf</t>
  </si>
  <si>
    <t>Melting_Curves/meltCurve_Q08AG7_MZT1.pdf</t>
  </si>
  <si>
    <t>Melting_Curves/meltCurve_Q08AM6_VAC14.pdf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</si>
  <si>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</si>
  <si>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</si>
  <si>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</si>
  <si>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</si>
  <si>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</si>
  <si>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Melting_Curves/meltCurve_Q09666_2_AHNAK.pdf</t>
  </si>
  <si>
    <t>Melting_Curves/meltCurve_Q0JRZ9_FCHO2.pdf</t>
  </si>
  <si>
    <t>Melting_Curves/meltCurve_Q0PNE2_ELP6.pdf</t>
  </si>
  <si>
    <t>Melting_Curves/meltCurve_Q0VDF9_HSPA14.pdf</t>
  </si>
  <si>
    <t>Melting_Curves/meltCurve_Q0VDG4_SCRN3.pdf</t>
  </si>
  <si>
    <t>Melting_Curves/meltCurve_Q0VF96_CGNL1.pdf</t>
  </si>
  <si>
    <t>Melting_Curves/meltCurve_Q0VG06_FAAP100.pdf</t>
  </si>
  <si>
    <t>Melting_Curves/meltCurve_Q0VGL1_LAMTOR4.pdf</t>
  </si>
  <si>
    <t>Melting_Curves/meltCurve_Q10567_2_AP1B1.pdf</t>
  </si>
  <si>
    <t>Melting_Curves/meltCurve_Q10567_3_AP1B1.pdf</t>
  </si>
  <si>
    <t>Melting_Curves/meltCurve_Q10570_CPSF1.pdf</t>
  </si>
  <si>
    <t>Melting_Curves/meltCurve_Q10713_PMPCA.pdf</t>
  </si>
  <si>
    <t>Melting_Curves/meltCurve_Q12756_KIF1A.pdf</t>
  </si>
  <si>
    <t>Melting_Curves/meltCurve_Q12765_SCRN1.pdf</t>
  </si>
  <si>
    <t>Melting_Curves/meltCurve_Q12768_KIAA0196.pdf</t>
  </si>
  <si>
    <t>Melting_Curves/meltCurve_Q12769_NUP160.pdf</t>
  </si>
  <si>
    <t>Melting_Curves/meltCurve_Q12772_SREBF2.pdf</t>
  </si>
  <si>
    <t>Melting_Curves/meltCurve_Q12774_ARHGEF5.pdf</t>
  </si>
  <si>
    <t>Melting_Curves/meltCurve_Q12789_GTF3C1.pdf</t>
  </si>
  <si>
    <t>Melting_Curves/meltCurve_Q12792_TWF1.pdf</t>
  </si>
  <si>
    <t>Melting_Curves/meltCurve_Q12797_ASPH.pdf</t>
  </si>
  <si>
    <t>Melting_Curves/meltCurve_Q12802_AKAP13.pdf</t>
  </si>
  <si>
    <t>Melting_Curves/meltCurve_Q12824_2_SMARCB1.pdf</t>
  </si>
  <si>
    <t>Melting_Curves/meltCurve_Q12830_4_BPTF.pdf</t>
  </si>
  <si>
    <t>Melting_Curves/meltCurve_Q12841_FSTL1.pdf</t>
  </si>
  <si>
    <t>Melting_Curves/meltCurve_Q12846_STX4.pdf</t>
  </si>
  <si>
    <t>Melting_Curves/meltCurve_Q12849_5_GRSF1.pdf</t>
  </si>
  <si>
    <t>Melting_Curves/meltCurve_Q12860_2_CNTN1.pdf</t>
  </si>
  <si>
    <t>Melting_Curves/meltCurve_Q12872_SFSWAP.pdf</t>
  </si>
  <si>
    <t>Melting_Curves/meltCurve_Q12873_CHD3.pdf</t>
  </si>
  <si>
    <t>Melting_Curves/meltCurve_Q12874_SF3A3.pdf</t>
  </si>
  <si>
    <t>Melting_Curves/meltCurve_Q12882_DPYD.pdf</t>
  </si>
  <si>
    <t>Melting_Curves/meltCurve_Q12888_TP53BP1.pdf</t>
  </si>
  <si>
    <t>Melting_Curves/meltCurve_Q12904_AIMP1.pdf</t>
  </si>
  <si>
    <t>Melting_Curves/meltCurve_Q12905_ILF2.pdf</t>
  </si>
  <si>
    <t>Melting_Curves/meltCurve_Q12906_7_ILF3.pdf</t>
  </si>
  <si>
    <t>Melting_Curves/meltCurve_Q12913_PTPRJ.pdf</t>
  </si>
  <si>
    <t>Melting_Curves/meltCurve_Q12923_2_PTPN13.pdf</t>
  </si>
  <si>
    <t>Melting_Curves/meltCurve_Q12929_EPS8.pdf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</si>
  <si>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</si>
  <si>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</si>
  <si>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</si>
  <si>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</si>
  <si>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</si>
  <si>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</si>
  <si>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</si>
  <si>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</si>
  <si>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</si>
  <si>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Melting_Curves/meltCurve_Q12982_BNIP2.pdf</t>
  </si>
  <si>
    <t>Melting_Curves/meltCurve_Q12986_NFX1.pdf</t>
  </si>
  <si>
    <t>Melting_Curves/meltCurve_Q12996_CSTF3.pdf</t>
  </si>
  <si>
    <t>Melting_Curves/meltCurve_Q13011_ECH1.pdf</t>
  </si>
  <si>
    <t>Melting_Curves/meltCurve_Q13017_2_ARHGAP5.pdf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</si>
  <si>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</si>
  <si>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</si>
  <si>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</si>
  <si>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</si>
  <si>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Melting_Curves/meltCurve_Q13045_2_FLII.pdf</t>
  </si>
  <si>
    <t>Melting_Curves/meltCurve_Q13049_TRIM32.pdf</t>
  </si>
  <si>
    <t>Melting_Curves/meltCurve_Q13057_COASY.pdf</t>
  </si>
  <si>
    <t>Melting_Curves/meltCurve_Q13077_TRAF1.pdf</t>
  </si>
  <si>
    <t>Melting_Curves/meltCurve_Q13085_ACACA.pdf</t>
  </si>
  <si>
    <t>Melting_Curves/meltCurve_Q13107_2_USP4.pdf</t>
  </si>
  <si>
    <t>Melting_Curves/meltCurve_Q13111_CHAF1A.pdf</t>
  </si>
  <si>
    <t>Melting_Curves/meltCurve_Q13112_CHAF1B.pdf</t>
  </si>
  <si>
    <t>Melting_Curves/meltCurve_Q13114_2_TRAF3.pdf</t>
  </si>
  <si>
    <t>Melting_Curves/meltCurve_Q13115_DUSP4.pdf</t>
  </si>
  <si>
    <t>Melting_Curves/meltCurve_Q13118_2_KLF10.pdf</t>
  </si>
  <si>
    <t>Melting_Curves/meltCurve_Q13123_IK.pdf</t>
  </si>
  <si>
    <t>Melting_Curves/meltCurve_Q13127_4_REST.pdf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</si>
  <si>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</si>
  <si>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</si>
  <si>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</si>
  <si>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</si>
  <si>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</si>
  <si>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</si>
  <si>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</si>
  <si>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</si>
  <si>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</si>
  <si>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Melting_Curves/meltCurve_Q13164_MAPK7.pdf</t>
  </si>
  <si>
    <t>Melting_Curves/meltCurve_Q13177_PAK2.pdf</t>
  </si>
  <si>
    <t>Melting_Curves/meltCurve_Q13185_CBX3.pdf</t>
  </si>
  <si>
    <t>Melting_Curves/meltCurve_Q13188_STK3.pdf</t>
  </si>
  <si>
    <t>Melting_Curves/meltCurve_Q13190_STX5.pdf</t>
  </si>
  <si>
    <t>Melting_Curves/meltCurve_Q13191_CBLB.pdf</t>
  </si>
  <si>
    <t>Melting_Curves/meltCurve_Q13200_PSMD2.pdf</t>
  </si>
  <si>
    <t>Melting_Curves/meltCurve_Q13206_DDX10.pdf</t>
  </si>
  <si>
    <t>Melting_Curves/meltCurve_Q13217_DNAJC3.pdf</t>
  </si>
  <si>
    <t>Melting_Curves/meltCurve_Q13219_PAPPA.pdf</t>
  </si>
  <si>
    <t>Melting_Curves/meltCurve_Q13228_SELENBP1.pdf</t>
  </si>
  <si>
    <t>Melting_Curves/meltCurve_Q13232_NME3.pdf</t>
  </si>
  <si>
    <t>Melting_Curves/meltCurve_Q13233_MAP3K1.pdf</t>
  </si>
  <si>
    <t>Melting_Curves/meltCurve_Q13242_SRSF9.pdf</t>
  </si>
  <si>
    <t>Melting_Curves/meltCurve_Q13243_3_SRSF5.pdf</t>
  </si>
  <si>
    <t>Melting_Curves/meltCurve_Q13247_3_SRSF6.pdf</t>
  </si>
  <si>
    <t>Melting_Curves/meltCurve_Q13255_GRM1.pdf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</si>
  <si>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</si>
  <si>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</si>
  <si>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</si>
  <si>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</si>
  <si>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</si>
  <si>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Melting_Curves/meltCurve_Q13303_2_KCNAB2.pdf</t>
  </si>
  <si>
    <t>Melting_Curves/meltCurve_Q13308_3_PTK7.pdf</t>
  </si>
  <si>
    <t>Melting_Curves/meltCurve_Q13309_2_SKP2.pdf</t>
  </si>
  <si>
    <t>Melting_Curves/meltCurve_Q13310_3_PABPC4.pdf</t>
  </si>
  <si>
    <t>Melting_Curves/meltCurve_Q13315_ATM.pdf</t>
  </si>
  <si>
    <t>Melting_Curves/meltCurve_Q13322_2_GRB10.pdf</t>
  </si>
  <si>
    <t>Melting_Curves/meltCurve_Q13325_IFIT5.pdf</t>
  </si>
  <si>
    <t>Melting_Curves/meltCurve_Q13330_3_MTA1.pdf</t>
  </si>
  <si>
    <t>Melting_Curves/meltCurve_Q13332_6_PTPRS.pdf</t>
  </si>
  <si>
    <t>Melting_Curves/meltCurve_Q13347_EIF3I.pdf</t>
  </si>
  <si>
    <t>Melting_Curves/meltCurve_Q13362_4_PPP2R5C.pdf</t>
  </si>
  <si>
    <t>Melting_Curves/meltCurve_Q13363_2_CTBP1.pdf</t>
  </si>
  <si>
    <t>Melting_Curves/meltCurve_Q13371_PDCL.pdf</t>
  </si>
  <si>
    <t>Melting_Curves/meltCurve_Q13395_TARBP1.pdf</t>
  </si>
  <si>
    <t>Melting_Curves/meltCurve_Q13404_UBE2V1.pdf</t>
  </si>
  <si>
    <t>Melting_Curves/meltCurve_Q13409_6_DYNC1I2.pdf</t>
  </si>
  <si>
    <t>Melting_Curves/meltCurve_Q13416_ORC2.pdf</t>
  </si>
  <si>
    <t>Melting_Curves/meltCurve_Q13418_ILK.pdf</t>
  </si>
  <si>
    <t>Melting_Curves/meltCurve_Q13425_SNTB2.pdf</t>
  </si>
  <si>
    <t>Melting_Curves/meltCurve_Q13426_XRCC4.pdf</t>
  </si>
  <si>
    <t>Melting_Curves/meltCurve_Q13427_PPIG.pdf</t>
  </si>
  <si>
    <t>Melting_Curves/meltCurve_Q13428_4_TCOF1.pdf</t>
  </si>
  <si>
    <t>Melting_Curves/meltCurve_Q13432_UNC119.pdf</t>
  </si>
  <si>
    <t>Melting_Curves/meltCurve_Q13433_SLC39A6.pdf</t>
  </si>
  <si>
    <t>Melting_Curves/meltCurve_Q13435_SF3B2.pdf</t>
  </si>
  <si>
    <t>Melting_Curves/meltCurve_Q13439_3_GOLGA4.pdf</t>
  </si>
  <si>
    <t>Melting_Curves/meltCurve_Q13442_PDAP1.pdf</t>
  </si>
  <si>
    <t>Melting_Curves/meltCurve_Q13443_ADAM9.pdf</t>
  </si>
  <si>
    <t>Melting_Curves/meltCurve_Q13451_FKBP5.pdf</t>
  </si>
  <si>
    <t>Melting_Curves/meltCurve_Q13464_ROCK1.pdf</t>
  </si>
  <si>
    <t>Melting_Curves/meltCurve_Q13480_2_GAB1.pdf</t>
  </si>
  <si>
    <t>Melting_Curves/meltCurve_Q13492_3_PICALM.pdf</t>
  </si>
  <si>
    <t>Melting_Curves/meltCurve_Q13496_MTM1.pdf</t>
  </si>
  <si>
    <t>Melting_Curves/meltCurve_Q13501_SQSTM1.pdf</t>
  </si>
  <si>
    <t>Melting_Curves/meltCurve_Q13503_MED21.pdf</t>
  </si>
  <si>
    <t>Melting_Curves/meltCurve_Q13506_NAB1.pdf</t>
  </si>
  <si>
    <t>Melting_Curves/meltCurve_Q13509_TUBB3.pdf</t>
  </si>
  <si>
    <t>Melting_Curves/meltCurve_Q13516_OLIG2.pdf</t>
  </si>
  <si>
    <t>Melting_Curves/meltCurve_Q13526_PIN1.pdf</t>
  </si>
  <si>
    <t>Melting_Curves/meltCurve_Q13535_2_ATR.pdf</t>
  </si>
  <si>
    <t>Melting_Curves/meltCurve_Q13541_EIF4EBP1.pdf</t>
  </si>
  <si>
    <t>Melting_Curves/meltCurve_Q13546_RIPK1.pdf</t>
  </si>
  <si>
    <t>Melting_Curves/meltCurve_Q13547_HDAC1.pdf</t>
  </si>
  <si>
    <t>Melting_Curves/meltCurve_Q13557_8_CAMK2D.pdf</t>
  </si>
  <si>
    <t>Melting_Curves/meltCurve_Q13561_DCTN2.pdf</t>
  </si>
  <si>
    <t>Melting_Curves/meltCurve_Q13563_2_PKD2.pdf</t>
  </si>
  <si>
    <t>Melting_Curves/meltCurve_Q13564_2_NAE1.pdf</t>
  </si>
  <si>
    <t>Melting_Curves/meltCurve_Q13568_5_IRF5.pdf</t>
  </si>
  <si>
    <t>Melting_Curves/meltCurve_Q13572_ITPK1.pdf</t>
  </si>
  <si>
    <t>Melting_Curves/meltCurve_Q13573_SNW1.pdf</t>
  </si>
  <si>
    <t>Melting_Curves/meltCurve_Q13596_SNX1.pdf</t>
  </si>
  <si>
    <t>Melting_Curves/meltCurve_Q13613_MTMR1.pdf</t>
  </si>
  <si>
    <t>Melting_Curves/meltCurve_Q13614_MTMR2.pdf</t>
  </si>
  <si>
    <t>Melting_Curves/meltCurve_Q13615_3_MTMR3.pdf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</si>
  <si>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</si>
  <si>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</si>
  <si>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</si>
  <si>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</si>
  <si>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Melting_Curves/meltCurve_Q13625_TP53BP2.pdf</t>
  </si>
  <si>
    <t>Melting_Curves/meltCurve_Q13627_3_DYRK1A.pdf</t>
  </si>
  <si>
    <t>Melting_Curves/meltCurve_Q13630_TSTA3.pdf</t>
  </si>
  <si>
    <t>Melting_Curves/meltCurve_Q13637_RAB32.pdf</t>
  </si>
  <si>
    <t>Melting_Curves/meltCurve_Q13641_TPBG.pdf</t>
  </si>
  <si>
    <t>Melting_Curves/meltCurve_Q13642_1_FHL1.pdf</t>
  </si>
  <si>
    <t>Melting_Curves/meltCurve_Q13643_FHL3.pdf</t>
  </si>
  <si>
    <t>Melting_Curves/meltCurve_Q13670_PMS2P11.pdf</t>
  </si>
  <si>
    <t>Melting_Curves/meltCurve_Q13671_RIN1.pdf</t>
  </si>
  <si>
    <t>Melting_Curves/meltCurve_Q13686_ALKBH1.pdf</t>
  </si>
  <si>
    <t>Melting_Curves/meltCurve_Q13740_2_ALCAM.pdf</t>
  </si>
  <si>
    <t>Melting_Curves/meltCurve_Q13769_THOC5.pdf</t>
  </si>
  <si>
    <t>Melting_Curves/meltCurve_Q13796_SHROOM2.pdf</t>
  </si>
  <si>
    <t>Melting_Curves/meltCurve_Q13813_SPTAN1.pdf</t>
  </si>
  <si>
    <t>Melting_Curves/meltCurve_Q13813_3_SPTAN1.pdf</t>
  </si>
  <si>
    <t>Melting_Curves/meltCurve_Q13825_AUH.pdf</t>
  </si>
  <si>
    <t>Melting_Curves/meltCurve_Q13838_DDX39B.pdf</t>
  </si>
  <si>
    <t>Melting_Curves/meltCurve_Q13867_BLMH.pdf</t>
  </si>
  <si>
    <t>Melting_Curves/meltCurve_Q13868_EXOSC2.pdf</t>
  </si>
  <si>
    <t>Melting_Curves/meltCurve_Q13885_TUBB2A.pdf</t>
  </si>
  <si>
    <t>Melting_Curves/meltCurve_Q13887_KLF5.pdf</t>
  </si>
  <si>
    <t>Melting_Curves/meltCurve_Q13895_BYSL.pdf</t>
  </si>
  <si>
    <t>Melting_Curves/meltCurve_Q13907_IDI1.pdf</t>
  </si>
  <si>
    <t>Melting_Curves/meltCurve_Q13938_CAPS.pdf</t>
  </si>
  <si>
    <t>Melting_Curves/meltCurve_Q13951_CBFB.pdf</t>
  </si>
  <si>
    <t>Melting_Curves/meltCurve_Q13951_2_CBFB.pdf</t>
  </si>
  <si>
    <t>Melting_Curves/meltCurve_Q13952_3_NFYC.pdf</t>
  </si>
  <si>
    <t>Melting_Curves/meltCurve_Q14004_CDK13.pdf</t>
  </si>
  <si>
    <t>Melting_Curves/meltCurve_Q14008_CKAP5.pdf</t>
  </si>
  <si>
    <t>Melting_Curves/meltCurve_Q14011_CIRBP.pdf</t>
  </si>
  <si>
    <t>Melting_Curves/meltCurve_Q14012_CAMK1.pdf</t>
  </si>
  <si>
    <t>Melting_Curves/meltCurve_Q14019_COTL1.pdf</t>
  </si>
  <si>
    <t>Melting_Curves/meltCurve_Q14032_BAAT.pdf</t>
  </si>
  <si>
    <t>Melting_Curves/meltCurve_Q14061_COX17.pdf</t>
  </si>
  <si>
    <t>Melting_Curves/meltCurve_Q14103_3_HNRNPD.pdf</t>
  </si>
  <si>
    <t>Melting_Curves/meltCurve_Q14108_2_SCARB2.pdf</t>
  </si>
  <si>
    <t>Melting_Curves/meltCurve_Q14114_4_LRP8.pdf</t>
  </si>
  <si>
    <t>Melting_Curves/meltCurve_Q14116_2_IL18.pdf</t>
  </si>
  <si>
    <t>Melting_Curves/meltCurve_Q14118_DAG1.pdf</t>
  </si>
  <si>
    <t>Melting_Curves/meltCurve_Q14123_PDE1C.pdf</t>
  </si>
  <si>
    <t>Melting_Curves/meltCurve_Q14126_DSG2.pdf</t>
  </si>
  <si>
    <t>Melting_Curves/meltCurve_Q14137_BOP1.pdf</t>
  </si>
  <si>
    <t>Melting_Curves/meltCurve_Q14139_UBE4A.pdf</t>
  </si>
  <si>
    <t>Melting_Curves/meltCurve_Q14141_2_SEPT6.pdf</t>
  </si>
  <si>
    <t>Melting_Curves/meltCurve_Q14145_KEAP1.pdf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</si>
  <si>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</si>
  <si>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</si>
  <si>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</si>
  <si>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</si>
  <si>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Melting_Curves/meltCurve_Q14155_1_ARHGEF7.pdf</t>
  </si>
  <si>
    <t>Melting_Curves/meltCurve_Q14157_UBAP2L.pdf</t>
  </si>
  <si>
    <t>Melting_Curves/meltCurve_Q14157_1_UBAP2L.pdf</t>
  </si>
  <si>
    <t>Melting_Curves/meltCurve_Q14160_3_SCRIB.pdf</t>
  </si>
  <si>
    <t>Melting_Curves/meltCurve_Q14161_GIT2.pdf</t>
  </si>
  <si>
    <t>Melting_Curves/meltCurve_Q14166_TTLL12.pdf</t>
  </si>
  <si>
    <t>Melting_Curves/meltCurve_Q14181_POLA2.pdf</t>
  </si>
  <si>
    <t>Melting_Curves/meltCurve_Q14185_DOCK1.pdf</t>
  </si>
  <si>
    <t>Melting_Curves/meltCurve_Q14191_WRN.pdf</t>
  </si>
  <si>
    <t>Melting_Curves/meltCurve_Q14192_FHL2.pdf</t>
  </si>
  <si>
    <t>Melting_Curves/meltCurve_Q14195_2_DPYSL3.pdf</t>
  </si>
  <si>
    <t>Melting_Curves/meltCurve_Q14202_2_ZMYM3.pdf</t>
  </si>
  <si>
    <t>Melting_Curves/meltCurve_Q14203_3_DCTN1.pdf</t>
  </si>
  <si>
    <t>Melting_Curves/meltCurve_Q14204_DYNC1H1.pdf</t>
  </si>
  <si>
    <t>Melting_Curves/meltCurve_Q14207_NPAT.pdf</t>
  </si>
  <si>
    <t>Melting_Curves/meltCurve_Q14232_EIF2B1.pdf</t>
  </si>
  <si>
    <t>Melting_Curves/meltCurve_Q14240_EIF4A2.pdf</t>
  </si>
  <si>
    <t>Melting_Curves/meltCurve_Q14241_TCEB3.pdf</t>
  </si>
  <si>
    <t>Melting_Curves/meltCurve_Q14244_MAP7.pdf</t>
  </si>
  <si>
    <t>Melting_Curves/meltCurve_Q14247_CTTN.pdf</t>
  </si>
  <si>
    <t>Melting_Curves/meltCurve_Q14247_3_CTTN.pdf</t>
  </si>
  <si>
    <t>Melting_Curves/meltCurve_Q14249_ENDOG.pdf</t>
  </si>
  <si>
    <t>Melting_Curves/meltCurve_Q14257_RCN2.pdf</t>
  </si>
  <si>
    <t>Melting_Curves/meltCurve_Q14258_TRIM25.pdf</t>
  </si>
  <si>
    <t>Melting_Curves/meltCurve_Q14289_2_PTK2B.pdf</t>
  </si>
  <si>
    <t>Melting_Curves/meltCurve_Q14315_2_FLNC.pdf</t>
  </si>
  <si>
    <t>Melting_Curves/meltCurve_Q14320_FAM50A.pdf</t>
  </si>
  <si>
    <t>Melting_Curves/meltCurve_Q14331_FRG1.pdf</t>
  </si>
  <si>
    <t>Melting_Curves/meltCurve_Q14353_GAMT.pdf</t>
  </si>
  <si>
    <t>Melting_Curves/meltCurve_Q14376_GALE.pdf</t>
  </si>
  <si>
    <t>Melting_Curves/meltCurve_Q14432_PDE3A.pdf</t>
  </si>
  <si>
    <t>Melting_Curves/meltCurve_Q14444_2_CAPRIN1.pdf</t>
  </si>
  <si>
    <t>Melting_Curves/meltCurve_Q14449_GRB14.pdf</t>
  </si>
  <si>
    <t>Melting_Curves/meltCurve_Q14451_GRB7.pdf</t>
  </si>
  <si>
    <t>Melting_Curves/meltCurve_Q14457_BECN1.pdf</t>
  </si>
  <si>
    <t>Melting_Curves/meltCurve_Q14469_HES1.pdf</t>
  </si>
  <si>
    <t>Melting_Curves/meltCurve_Q14493_SLBP.pdf</t>
  </si>
  <si>
    <t>Melting_Curves/meltCurve_Q14498_2_RBM39.pdf</t>
  </si>
  <si>
    <t>Melting_Curves/meltCurve_Q14511_3_NEDD9.pdf</t>
  </si>
  <si>
    <t>Melting_Curves/meltCurve_Q14517_FAT1.pdf</t>
  </si>
  <si>
    <t>Melting_Curves/meltCurve_Q14520_2_HABP2.pdf</t>
  </si>
  <si>
    <t>Melting_Curves/meltCurve_Q14527_HLTF.pdf</t>
  </si>
  <si>
    <t>Melting_Curves/meltCurve_Q14554_PDIA5.pdf</t>
  </si>
  <si>
    <t>Melting_Curves/meltCurve_Q14558_2_PRPSAP1.pdf</t>
  </si>
  <si>
    <t>Melting_Curves/meltCurve_Q14562_DHX8.pdf</t>
  </si>
  <si>
    <t>Melting_Curves/meltCurve_Q14566_MCM6.pdf</t>
  </si>
  <si>
    <t>Melting_Curves/meltCurve_Q14651_PLS1.pdf</t>
  </si>
  <si>
    <t>Melting_Curves/meltCurve_Q14653_IRF3.pdf</t>
  </si>
  <si>
    <t>Melting_Curves/meltCurve_Q14657_LAGE3.pdf</t>
  </si>
  <si>
    <t>Melting_Curves/meltCurve_Q14669_3_TRIP12.pdf</t>
  </si>
  <si>
    <t>Melting_Curves/meltCurve_Q14671_2_PUM1.pdf</t>
  </si>
  <si>
    <t>Melting_Curves/meltCurve_Q14676_MDC1.pdf</t>
  </si>
  <si>
    <t>Melting_Curves/meltCurve_Q14677_CLINT1.pdf</t>
  </si>
  <si>
    <t>Melting_Curves/meltCurve_Q14678_KANK1.pdf</t>
  </si>
  <si>
    <t>Melting_Curves/meltCurve_Q14681_KCTD2.pdf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</si>
  <si>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</si>
  <si>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</si>
  <si>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</si>
  <si>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</si>
  <si>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Melting_Curves/meltCurve_Q14689_6_DIP2A.pdf</t>
  </si>
  <si>
    <t>Melting_Curves/meltCurve_Q14691_GINS1.pdf</t>
  </si>
  <si>
    <t>Melting_Curves/meltCurve_Q14694_USP10.pdf</t>
  </si>
  <si>
    <t>Melting_Curves/meltCurve_Q14696_MESDC2.pdf</t>
  </si>
  <si>
    <t>Melting_Curves/meltCurve_Q14697_GANAB.pdf</t>
  </si>
  <si>
    <t>Melting_Curves/meltCurve_Q14764_MVP.pdf</t>
  </si>
  <si>
    <t>Melting_Curves/meltCurve_Q14789_GOLGB1.pdf</t>
  </si>
  <si>
    <t>Melting_Curves/meltCurve_Q14790_9_CASP8.pdf</t>
  </si>
  <si>
    <t>Melting_Curves/meltCurve_Q147X3_NAA30.pdf</t>
  </si>
  <si>
    <t>Melting_Curves/meltCurve_Q14807_2_KIF22.pdf</t>
  </si>
  <si>
    <t>Melting_Curves/meltCurve_Q14814_4_MEF2D.pdf</t>
  </si>
  <si>
    <t>Melting_Curves/meltCurve_Q14839_2_CHD4.pdf</t>
  </si>
  <si>
    <t>Melting_Curves/meltCurve_Q14847_LASP1.pdf</t>
  </si>
  <si>
    <t>Melting_Curves/meltCurve_Q14894_CRYM.pdf</t>
  </si>
  <si>
    <t>Melting_Curves/meltCurve_Q14914_2_PTGR1.pdf</t>
  </si>
  <si>
    <t>Melting_Curves/meltCurve_Q14919_2_DRAP1.pdf</t>
  </si>
  <si>
    <t>Melting_Curves/meltCurve_Q14966_ZNF638.pdf</t>
  </si>
  <si>
    <t>Melting_Curves/meltCurve_Q14974_KPNB1.pdf</t>
  </si>
  <si>
    <t>Melting_Curves/meltCurve_Q14978_2_NOLC1.pdf</t>
  </si>
  <si>
    <t>Melting_Curves/meltCurve_Q14980_NUMA1.pdf</t>
  </si>
  <si>
    <t>Melting_Curves/meltCurve_Q14980_2_NUMA1.pdf</t>
  </si>
  <si>
    <t>Melting_Curves/meltCurve_Q14997_PSME4.pdf</t>
  </si>
  <si>
    <t>Melting_Curves/meltCurve_Q14999_CUL7.pdf</t>
  </si>
  <si>
    <t>Melting_Curves/meltCurve_Q14C86_5_GAPVD1.pdf</t>
  </si>
  <si>
    <t>Melting_Curves/meltCurve_Q14CS0_UBXN2B.pdf</t>
  </si>
  <si>
    <t>Melting_Curves/meltCurve_Q14CX7_NAA25.pdf</t>
  </si>
  <si>
    <t>Melting_Curves/meltCurve_Q14CZ0_C16orf72.pdf</t>
  </si>
  <si>
    <t>Melting_Curves/meltCurve_Q15003_NCAPH.pdf</t>
  </si>
  <si>
    <t>Melting_Curves/meltCurve_Q15004_KIAA0101.pdf</t>
  </si>
  <si>
    <t>Melting_Curves/meltCurve_Q15007_WTAP.pdf</t>
  </si>
  <si>
    <t>Melting_Curves/meltCurve_Q15008_PSMD6.pdf</t>
  </si>
  <si>
    <t>Melting_Curves/meltCurve_Q15011_3_HERPUD1.pdf</t>
  </si>
  <si>
    <t>Melting_Curves/meltCurve_Q15013_MAD2L1BP.pdf</t>
  </si>
  <si>
    <t>Melting_Curves/meltCurve_Q15014_MORF4L2.pdf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</si>
  <si>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</si>
  <si>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</si>
  <si>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</si>
  <si>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</si>
  <si>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</si>
  <si>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</si>
  <si>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</si>
  <si>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</si>
  <si>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Melting_Curves/meltCurve_Q15042_RAB3GAP1.pdf</t>
  </si>
  <si>
    <t>Melting_Curves/meltCurve_Q15043_2_SLC39A14.pdf</t>
  </si>
  <si>
    <t>Melting_Curves/meltCurve_Q15046_KARS.pdf</t>
  </si>
  <si>
    <t>Melting_Curves/meltCurve_Q15047_3_SETDB1.pdf</t>
  </si>
  <si>
    <t>Melting_Curves/meltCurve_Q15048_LRRC14.pdf</t>
  </si>
  <si>
    <t>Melting_Curves/meltCurve_Q15054_POLD3.pdf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</si>
  <si>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</si>
  <si>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</si>
  <si>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</si>
  <si>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</si>
  <si>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</si>
  <si>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</si>
  <si>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Melting_Curves/meltCurve_Q15075_EEA1.pdf</t>
  </si>
  <si>
    <t>Melting_Curves/meltCurve_Q15102_PAFAH1B3.pdf</t>
  </si>
  <si>
    <t>Melting_Curves/meltCurve_Q15120_PDK3.pdf</t>
  </si>
  <si>
    <t>Melting_Curves/meltCurve_Q15121_PEA15.pdf</t>
  </si>
  <si>
    <t>Melting_Curves/meltCurve_Q15126_PMVK.pdf</t>
  </si>
  <si>
    <t>Melting_Curves/meltCurve_Q15139_PRKD1.pdf</t>
  </si>
  <si>
    <t>Melting_Curves/meltCurve_Q15147_4_PLCB4.pdf</t>
  </si>
  <si>
    <t>Melting_Curves/meltCurve_Q15149_PLEC.pdf</t>
  </si>
  <si>
    <t>Melting_Curves/meltCurve_Q15149_3_PLEC.pdf</t>
  </si>
  <si>
    <t>Melting_Curves/meltCurve_Q15149_4_PLEC.pdf</t>
  </si>
  <si>
    <t>Melting_Curves/meltCurve_Q15149_8_PLEC.pdf</t>
  </si>
  <si>
    <t>Melting_Curves/meltCurve_Q15154_PCM1.pdf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</si>
  <si>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</si>
  <si>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</si>
  <si>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</si>
  <si>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</si>
  <si>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</si>
  <si>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</si>
  <si>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</si>
  <si>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Melting_Curves/meltCurve_Q15257_2_PPP2R4.pdf</t>
  </si>
  <si>
    <t>Melting_Curves/meltCurve_Q15262_2_PTPRK.pdf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</si>
  <si>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</si>
  <si>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</si>
  <si>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</si>
  <si>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</si>
  <si>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</si>
  <si>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</si>
  <si>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</si>
  <si>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</si>
  <si>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Melting_Curves/meltCurve_Q15365_PCBP1.pdf</t>
  </si>
  <si>
    <t>Melting_Curves/meltCurve_Q15366_6_PCBP2.pdf</t>
  </si>
  <si>
    <t>Melting_Curves/meltCurve_Q15370_2_TCEB2.pdf</t>
  </si>
  <si>
    <t>Melting_Curves/meltCurve_Q15382_RHEB.pdf</t>
  </si>
  <si>
    <t>Melting_Curves/meltCurve_Q15386_UBE3C.pdf</t>
  </si>
  <si>
    <t>Melting_Curves/meltCurve_Q15390_2_MTFR1.pdf</t>
  </si>
  <si>
    <t>Melting_Curves/meltCurve_Q15393_SF3B3.pdf</t>
  </si>
  <si>
    <t>Melting_Curves/meltCurve_Q15398_3_DLGAP5.pdf</t>
  </si>
  <si>
    <t>Melting_Curves/meltCurve_Q15404_RSU1.pdf</t>
  </si>
  <si>
    <t>Melting_Curves/meltCurve_Q15417_CNN3.pdf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</si>
  <si>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</si>
  <si>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</si>
  <si>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</si>
  <si>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</si>
  <si>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</si>
  <si>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</si>
  <si>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</si>
  <si>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</si>
  <si>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Melting_Curves/meltCurve_Q15477_SKIV2L.pdf</t>
  </si>
  <si>
    <t>Melting_Curves/meltCurve_Q15526_2_SURF1.pdf</t>
  </si>
  <si>
    <t>Melting_Curves/meltCurve_Q15527_SURF2.pdf</t>
  </si>
  <si>
    <t>Melting_Curves/meltCurve_Q15542_2_TAF5.pdf</t>
  </si>
  <si>
    <t>Melting_Curves/meltCurve_Q15545_TAF7.pdf</t>
  </si>
  <si>
    <t>Melting_Curves/meltCurve_Q15554_3_TERF2.pdf</t>
  </si>
  <si>
    <t>Melting_Curves/meltCurve_Q15583_4_TGIF1.pdf</t>
  </si>
  <si>
    <t>Melting_Curves/meltCurve_Q15596_NCOA2.pdf</t>
  </si>
  <si>
    <t>Melting_Curves/meltCurve_Q15599_SLC9A3R2.pdf</t>
  </si>
  <si>
    <t>Melting_Curves/meltCurve_Q15599_3_SLC9A3R2.pdf</t>
  </si>
  <si>
    <t>Melting_Curves/meltCurve_Q15628_TRADD.pdf</t>
  </si>
  <si>
    <t>Melting_Curves/meltCurve_Q15633_2_TARBP2.pdf</t>
  </si>
  <si>
    <t>Melting_Curves/meltCurve_Q15637_4_SF1.pdf</t>
  </si>
  <si>
    <t>Melting_Curves/meltCurve_Q15637_5_SF1.pdf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</si>
  <si>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</si>
  <si>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</si>
  <si>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</si>
  <si>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</si>
  <si>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</si>
  <si>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</si>
  <si>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</si>
  <si>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</si>
  <si>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Melting_Curves/meltCurve_Q15652_JMJD1C.pdf</t>
  </si>
  <si>
    <t>Melting_Curves/meltCurve_Q15654_TRIP6.pdf</t>
  </si>
  <si>
    <t>Melting_Curves/meltCurve_Q15691_MAPRE1.pdf</t>
  </si>
  <si>
    <t>Melting_Curves/meltCurve_Q15697_2_ZNF174.pdf</t>
  </si>
  <si>
    <t>Melting_Curves/meltCurve_Q15699_ALX1.pdf</t>
  </si>
  <si>
    <t>Melting_Curves/meltCurve_Q15714_TSC22D1.pdf</t>
  </si>
  <si>
    <t>Melting_Curves/meltCurve_Q15717_ELAVL1.pdf</t>
  </si>
  <si>
    <t>Melting_Curves/meltCurve_Q15742_NAB2.pdf</t>
  </si>
  <si>
    <t>Melting_Curves/meltCurve_Q15746_4_MYLK.pdf</t>
  </si>
  <si>
    <t>Melting_Curves/meltCurve_Q15750_2_TAB1.pdf</t>
  </si>
  <si>
    <t>Melting_Curves/meltCurve_Q15751_HERC1.pdf</t>
  </si>
  <si>
    <t>Melting_Curves/meltCurve_Q15758_3_SLC1A5.pdf</t>
  </si>
  <si>
    <t>Melting_Curves/meltCurve_Q15759_MAPK11.pdf</t>
  </si>
  <si>
    <t>Melting_Curves/meltCurve_Q15773_MLF2.pdf</t>
  </si>
  <si>
    <t>Melting_Curves/meltCurve_Q15785_TOMM34.pdf</t>
  </si>
  <si>
    <t>Melting_Curves/meltCurve_Q15788_2_NCOA1.pdf</t>
  </si>
  <si>
    <t>Melting_Curves/meltCurve_Q15796_2_SMAD2.pdf</t>
  </si>
  <si>
    <t>Melting_Curves/meltCurve_Q15814_TBCC.pdf</t>
  </si>
  <si>
    <t>Melting_Curves/meltCurve_Q15818_NPTX1.pdf</t>
  </si>
  <si>
    <t>Melting_Curves/meltCurve_Q15819_UBE2V2.pdf</t>
  </si>
  <si>
    <t>Melting_Curves/meltCurve_Q15833_STXBP2.pdf</t>
  </si>
  <si>
    <t>Melting_Curves/meltCurve_Q15836_VAMP3.pdf</t>
  </si>
  <si>
    <t>Melting_Curves/meltCurve_Q15853_2_USF2.pdf</t>
  </si>
  <si>
    <t>Melting_Curves/meltCurve_Q15906_VPS72.pdf</t>
  </si>
  <si>
    <t>Melting_Curves/meltCurve_Q15907_RAB11B.pdf</t>
  </si>
  <si>
    <t>Melting_Curves/meltCurve_Q15911_ZFHX3.pdf</t>
  </si>
  <si>
    <t>Melting_Curves/meltCurve_Q15942_ZYX.pdf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</si>
  <si>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</si>
  <si>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</si>
  <si>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</si>
  <si>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</si>
  <si>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</si>
  <si>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</si>
  <si>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Melting_Curves/meltCurve_Q16270_2_IGFBP7.pdf</t>
  </si>
  <si>
    <t>Melting_Curves/meltCurve_Q16352_INA.pdf</t>
  </si>
  <si>
    <t>Melting_Curves/meltCurve_Q16401_2_PSMD5.pdf</t>
  </si>
  <si>
    <t>Melting_Curves/meltCurve_Q16512_PKN1.pdf</t>
  </si>
  <si>
    <t>Melting_Curves/meltCurve_Q16513_PKN2.pdf</t>
  </si>
  <si>
    <t>Melting_Curves/meltCurve_Q16514_2_TAF12.pdf</t>
  </si>
  <si>
    <t>Melting_Curves/meltCurve_Q16526_CRY1.pdf</t>
  </si>
  <si>
    <t>Melting_Curves/meltCurve_Q16527_CSRP2.pdf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</si>
  <si>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</si>
  <si>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</si>
  <si>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</si>
  <si>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</si>
  <si>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Melting_Curves/meltCurve_Q16576_RBBP7.pdf</t>
  </si>
  <si>
    <t>Melting_Curves/meltCurve_Q16587_5_ZNF74.pdf</t>
  </si>
  <si>
    <t>Melting_Curves/meltCurve_Q16623_3_STX1A.pdf</t>
  </si>
  <si>
    <t>Melting_Curves/meltCurve_Q16625_5_OCLN.pdf</t>
  </si>
  <si>
    <t>Melting_Curves/meltCurve_Q16626_MEA1.pdf</t>
  </si>
  <si>
    <t>Melting_Curves/meltCurve_Q16629_3_SRSF7.pdf</t>
  </si>
  <si>
    <t>Melting_Curves/meltCurve_Q16637_3_SMN1.pdf</t>
  </si>
  <si>
    <t>Melting_Curves/meltCurve_Q16643_DBN1.pdf</t>
  </si>
  <si>
    <t>Melting_Curves/meltCurve_Q16644_MAPKAPK3.pdf</t>
  </si>
  <si>
    <t>Melting_Curves/meltCurve_Q16656_NRF1.pdf</t>
  </si>
  <si>
    <t>Melting_Curves/meltCurve_Q16658_FSCN1.pdf</t>
  </si>
  <si>
    <t>Melting_Curves/meltCurve_Q16666_7_IFI16.pdf</t>
  </si>
  <si>
    <t>Melting_Curves/meltCurve_Q16719_KYNU.pdf</t>
  </si>
  <si>
    <t>Melting_Curves/meltCurve_Q16720_8_ATP2B3.pdf</t>
  </si>
  <si>
    <t>Melting_Curves/meltCurve_Q16740_CLPP.pdf</t>
  </si>
  <si>
    <t>Melting_Curves/meltCurve_Q16760_2_DGKD.pdf</t>
  </si>
  <si>
    <t>Melting_Curves/meltCurve_Q16762_TST.pdf</t>
  </si>
  <si>
    <t>Melting_Curves/meltCurve_Q16763_UBE2S.pdf</t>
  </si>
  <si>
    <t>Melting_Curves/meltCurve_Q16773_CCBL1.pdf</t>
  </si>
  <si>
    <t>Melting_Curves/meltCurve_Q16775_HAGH.pdf</t>
  </si>
  <si>
    <t>Melting_Curves/meltCurve_Q16778_HIST2H2BE.pdf</t>
  </si>
  <si>
    <t>Melting_Curves/meltCurve_Q16822_PCK2.pdf</t>
  </si>
  <si>
    <t>Melting_Curves/meltCurve_Q16825_PTPN21.pdf</t>
  </si>
  <si>
    <t>Melting_Curves/meltCurve_Q16831_UPP1.pdf</t>
  </si>
  <si>
    <t>Melting_Curves/meltCurve_Q16836_HADH.pdf</t>
  </si>
  <si>
    <t>Melting_Curves/meltCurve_Q16851_UGP2.pdf</t>
  </si>
  <si>
    <t>Melting_Curves/meltCurve_Q16854_DGUOK.pdf</t>
  </si>
  <si>
    <t>Melting_Curves/meltCurve_Q16864_ATP6V1F.pdf</t>
  </si>
  <si>
    <t>Melting_Curves/meltCurve_Q17R31_2_TATDN3.pdf</t>
  </si>
  <si>
    <t>Melting_Curves/meltCurve_Q17RN3_FAM98C.pdf</t>
  </si>
  <si>
    <t>Melting_Curves/meltCurve_Q17RS7_GEN1.pdf</t>
  </si>
  <si>
    <t>Melting_Curves/meltCurve_Q17RU2_REL.pdf</t>
  </si>
  <si>
    <t>Melting_Curves/meltCurve_Q1L5Z9_LONRF2.pdf</t>
  </si>
  <si>
    <t>Melting_Curves/meltCurve_Q1MSJ5_1_CSPP1.pdf</t>
  </si>
  <si>
    <t>Melting_Curves/meltCurve_Q27J81_INF2.pdf</t>
  </si>
  <si>
    <t>Melting_Curves/meltCurve_Q29RF7_PDS5A.pdf</t>
  </si>
  <si>
    <t>Melting_Curves/meltCurve_Q2KHR3_QSER1.pdf</t>
  </si>
  <si>
    <t>Melting_Curves/meltCurve_Q2KHT3_CLEC16A.pdf</t>
  </si>
  <si>
    <t>Melting_Curves/meltCurve_Q2M296_4_MTHFSD.pdf</t>
  </si>
  <si>
    <t>Melting_Curves/meltCurve_Q2M2I8_AAK1.pdf</t>
  </si>
  <si>
    <t>Melting_Curves/meltCurve_Q2M2Z5_5_PLK1S1.pdf</t>
  </si>
  <si>
    <t>Melting_Curves/meltCurve_Q2M389_KIAA1033.pdf</t>
  </si>
  <si>
    <t>Melting_Curves/meltCurve_Q2NKJ3_CTC1.pdf</t>
  </si>
  <si>
    <t>Melting_Curves/meltCurve_Q2NKX8_ERCC6L.pdf</t>
  </si>
  <si>
    <t>Melting_Curves/meltCurve_Q2NKX9_3_C2orf68.pdf</t>
  </si>
  <si>
    <t>Melting_Curves/meltCurve_Q2NL82_TSR1.pdf</t>
  </si>
  <si>
    <t>Melting_Curves/meltCurve_Q2TAL8_QRICH1.pdf</t>
  </si>
  <si>
    <t>Melting_Curves/meltCurve_Q2TAM5_RELA.pdf</t>
  </si>
  <si>
    <t>Melting_Curves/meltCurve_Q2TAY7_SMU1.pdf</t>
  </si>
  <si>
    <t>Melting_Curves/meltCurve_Q2TAZ0_ATG2A.pdf</t>
  </si>
  <si>
    <t>Melting_Curves/meltCurve_Q2TB39_TCF3.pdf</t>
  </si>
  <si>
    <t>Melting_Curves/meltCurve_Q2TBE0_CWF19L2.pdf</t>
  </si>
  <si>
    <t>Melting_Curves/meltCurve_Q2VPK5_CTU2.pdf</t>
  </si>
  <si>
    <t>Melting_Curves/meltCurve_Q32M88_ATHL1.pdf</t>
  </si>
  <si>
    <t>Melting_Curves/meltCurve_Q32MZ4_LRRFIP1.pdf</t>
  </si>
  <si>
    <t>Melting_Curves/meltCurve_Q32MZ4_2_LRRFIP1.pdf</t>
  </si>
  <si>
    <t>Melting_Curves/meltCurve_Q32MZ4_3_LRRFIP1.pdf</t>
  </si>
  <si>
    <t>Melting_Curves/meltCurve_Q32MZ4_4_LRRFIP1.pdf</t>
  </si>
  <si>
    <t>Melting_Curves/meltCurve_Q32P28_LEPRE1.pdf</t>
  </si>
  <si>
    <t>Melting_Curves/meltCurve_Q32P41_TRMT5.pdf</t>
  </si>
  <si>
    <t>Melting_Curves/meltCurve_Q32P44_EML3.pdf</t>
  </si>
  <si>
    <t>Melting_Curves/meltCurve_Q3B726_TWISTNB.pdf</t>
  </si>
  <si>
    <t>Melting_Curves/meltCurve_Q3B7J2_GFOD2.pdf</t>
  </si>
  <si>
    <t>Melting_Curves/meltCurve_Q3B7T1_5_EDRF1.pdf</t>
  </si>
  <si>
    <t>Melting_Curves/meltCurve_Q3B820_FAM161A.pdf</t>
  </si>
  <si>
    <t>Melting_Curves/meltCurve_Q3KP66_3_C1orf106.pdf</t>
  </si>
  <si>
    <t>Melting_Curves/meltCurve_Q3KQU3_2_MAP7D1.pdf</t>
  </si>
  <si>
    <t>Melting_Curves/meltCurve_Q3KQV9_UAP1L1.pdf</t>
  </si>
  <si>
    <t>Melting_Curves/meltCurve_Q3KRA6_C2orf76.pdf</t>
  </si>
  <si>
    <t>Melting_Curves/meltCurve_Q3KRA9_ALKBH6.pdf</t>
  </si>
  <si>
    <t>Melting_Curves/meltCurve_Q3L8U1_2_CHD9.pdf</t>
  </si>
  <si>
    <t>Melting_Curves/meltCurve_Q3LXA3_DAK.pdf</t>
  </si>
  <si>
    <t>Melting_Curves/meltCurve_Q3MHD2_LSM12.pdf</t>
  </si>
  <si>
    <t>Melting_Curves/meltCurve_Q3MIT2_PUS10.pdf</t>
  </si>
  <si>
    <t>Melting_Curves/meltCurve_Q3T8J9_3_GON4L.pdf</t>
  </si>
  <si>
    <t>Melting_Curves/meltCurve_Q3V6T2_2_CCDC88A.pdf</t>
  </si>
  <si>
    <t>Melting_Curves/meltCurve_Q3V6T2_4_CCDC88A.pdf</t>
  </si>
  <si>
    <t>Melting_Curves/meltCurve_Q3YEC7_RABL6.pdf</t>
  </si>
  <si>
    <t>Melting_Curves/meltCurve_Q3ZCQ8_TIMM50.pdf</t>
  </si>
  <si>
    <t>Melting_Curves/meltCurve_Q3ZCW2_LGALSL.pdf</t>
  </si>
  <si>
    <t>Melting_Curves/meltCurve_Q460N5_4_PARP14.pdf</t>
  </si>
  <si>
    <t>Melting_Curves/meltCurve_Q49AH0_2_CDNF.pdf</t>
  </si>
  <si>
    <t>Melting_Curves/meltCurve_Q49AR2_C5orf22.pdf</t>
  </si>
  <si>
    <t>Melting_Curves/meltCurve_Q49B96_COX19.pdf</t>
  </si>
  <si>
    <t>Melting_Curves/meltCurve_Q4G0F5_VPS26B.pdf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</si>
  <si>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</si>
  <si>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</si>
  <si>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</si>
  <si>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</si>
  <si>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</si>
  <si>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</si>
  <si>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Melting_Curves/meltCurve_Q4KMQ1_TPRN.pdf</t>
  </si>
  <si>
    <t>Melting_Curves/meltCurve_Q4KWH8_2_PLCH1.pdf</t>
  </si>
  <si>
    <t>Melting_Curves/meltCurve_Q4LDG9_DNAL1.pdf</t>
  </si>
  <si>
    <t>Melting_Curves/meltCurve_Q4LE39_2_ARID4B.pdf</t>
  </si>
  <si>
    <t>Melting_Curves/meltCurve_Q4V328_GRIPAP1.pdf</t>
  </si>
  <si>
    <t>Melting_Curves/meltCurve_Q4VC05_2_BCL7A.pdf</t>
  </si>
  <si>
    <t>Melting_Curves/meltCurve_Q4VC44_2_FLYWCH1.pdf</t>
  </si>
  <si>
    <t>Melting_Curves/meltCurve_Q4VXZ8_DECR2.pdf</t>
  </si>
  <si>
    <t>Melting_Curves/meltCurve_Q504Q3_2_PAN2.pdf</t>
  </si>
  <si>
    <t>Melting_Curves/meltCurve_Q504U0_C4orf46.pdf</t>
  </si>
  <si>
    <t>Melting_Curves/meltCurve_Q52LJ0_2_FAM98B.pdf</t>
  </si>
  <si>
    <t>Melting_Curves/meltCurve_Q52LR7_EPC2.pdf</t>
  </si>
  <si>
    <t>Melting_Curves/meltCurve_Q52LW3_ARHGAP29.pdf</t>
  </si>
  <si>
    <t>Melting_Curves/meltCurve_Q53EL6_2_PDCD4.pdf</t>
  </si>
  <si>
    <t>Melting_Curves/meltCurve_Q53EZ4_CEP55.pdf</t>
  </si>
  <si>
    <t>Melting_Curves/meltCurve_Q53FA7_TP53I3.pdf</t>
  </si>
  <si>
    <t>Melting_Curves/meltCurve_Q53FT3_C11orf73.pdf</t>
  </si>
  <si>
    <t>Melting_Curves/meltCurve_Q53G59_KLHL12.pdf</t>
  </si>
  <si>
    <t>Melting_Curves/meltCurve_Q53GA4_PHLDA2.pdf</t>
  </si>
  <si>
    <t>Melting_Curves/meltCurve_Q53H54_TRMT12.pdf</t>
  </si>
  <si>
    <t>Melting_Curves/meltCurve_Q53H82_LACTB2.pdf</t>
  </si>
  <si>
    <t>Melting_Curves/meltCurve_Q53HC9_TSSC1.pdf</t>
  </si>
  <si>
    <t>Melting_Curves/meltCurve_Q53HV7_SMUG1.pdf</t>
  </si>
  <si>
    <t>Melting_Curves/meltCurve_Q53LP3_SOWAHC.pdf</t>
  </si>
  <si>
    <t>Melting_Curves/meltCurve_Q53QV2_LBH.pdf</t>
  </si>
  <si>
    <t>Melting_Curves/meltCurve_Q53S33_BOLA3.pdf</t>
  </si>
  <si>
    <t>Melting_Curves/meltCurve_Q53SF7_4_COBLL1.pdf</t>
  </si>
  <si>
    <t>Melting_Curves/meltCurve_Q53T59_HS1BP3.pdf</t>
  </si>
  <si>
    <t>Melting_Curves/meltCurve_Q562E7_WDR81.pdf</t>
  </si>
  <si>
    <t>Melting_Curves/meltCurve_Q562F6_2_SGOL2.pdf</t>
  </si>
  <si>
    <t>Melting_Curves/meltCurve_Q567Q0_PPIA.pdf</t>
  </si>
  <si>
    <t>Melting_Curves/meltCurve_Q58A45_4_PAN3.pdf</t>
  </si>
  <si>
    <t>Melting_Curves/meltCurve_Q58FF8_HSP90AB2P.pdf</t>
  </si>
  <si>
    <t>Melting_Curves/meltCurve_Q58FG1_HSP90AA4P.pdf</t>
  </si>
  <si>
    <t>Melting_Curves/meltCurve_Q58WW2_DCAF6.pdf</t>
  </si>
  <si>
    <t>Melting_Curves/meltCurve_Q5BKU9_OXLD1.pdf</t>
  </si>
  <si>
    <t>Melting_Curves/meltCurve_Q5BKX5_C19orf54.pdf</t>
  </si>
  <si>
    <t>Melting_Curves/meltCurve_Q5D1E8_ZC3H12A.pdf</t>
  </si>
  <si>
    <t>Melting_Curves/meltCurve_Q5EBL4_RILPL1.pdf</t>
  </si>
  <si>
    <t>Melting_Curves/meltCurve_Q5EBL8_PDZD11.pdf</t>
  </si>
  <si>
    <t>Melting_Curves/meltCurve_Q5F1R6_DNAJC21.pdf</t>
  </si>
  <si>
    <t>Melting_Curves/meltCurve_Q5FWF5_2_ESCO1.pdf</t>
  </si>
  <si>
    <t>Melting_Curves/meltCurve_Q5GLZ8_2_HERC4.pdf</t>
  </si>
  <si>
    <t>Melting_Curves/meltCurve_Q5H937_PKIG.pdf</t>
  </si>
  <si>
    <t>Melting_Curves/meltCurve_Q5H9A7_TIMP1.pdf</t>
  </si>
  <si>
    <t>Melting_Curves/meltCurve_Q5H9F3_2_BCORL1.pdf</t>
  </si>
  <si>
    <t>Melting_Curves/meltCurve_Q5HY92_FIGN.pdf</t>
  </si>
  <si>
    <t>Melting_Curves/meltCurve_Q5HYK7_2_SH3D19.pdf</t>
  </si>
  <si>
    <t>Melting_Curves/meltCurve_Q5I0X7_TTC32.pdf</t>
  </si>
  <si>
    <t>Melting_Curves/meltCurve_Q5I2W7_CYP24.pdf</t>
  </si>
  <si>
    <t>Melting_Curves/meltCurve_Q5JP53_TUBB.pdf</t>
  </si>
  <si>
    <t>Melting_Curves/meltCurve_Q5JPI9_METTL10.pdf</t>
  </si>
  <si>
    <t>Melting_Curves/meltCurve_Q5JR04_MOV10.pdf</t>
  </si>
  <si>
    <t>Melting_Curves/meltCurve_Q5JR08_RHOC.pdf</t>
  </si>
  <si>
    <t>Melting_Curves/meltCurve_Q5JRA6_2_MIA3.pdf</t>
  </si>
  <si>
    <t>Melting_Curves/meltCurve_Q5JRG1_NUPL1.pdf</t>
  </si>
  <si>
    <t>Melting_Curves/meltCurve_Q5JRJ0_TSC22D3.pdf</t>
  </si>
  <si>
    <t>Melting_Curves/meltCurve_Q5JRX3_PITRM1.pdf</t>
  </si>
  <si>
    <t>Melting_Curves/meltCurve_Q5JS37_2_NHLRC3.pdf</t>
  </si>
  <si>
    <t>Melting_Curves/meltCurve_Q5JS54_PSMG4.pdf</t>
  </si>
  <si>
    <t>Melting_Curves/meltCurve_Q5JSB6_TFDP1.pdf</t>
  </si>
  <si>
    <t>Melting_Curves/meltCurve_Q5JSH3_2_WDR44.pdf</t>
  </si>
  <si>
    <t>Melting_Curves/meltCurve_Q5JSL0_HMGN5.pdf</t>
  </si>
  <si>
    <t>Melting_Curves/meltCurve_Q5JSZ5_PRRC2B.pdf</t>
  </si>
  <si>
    <t>Melting_Curves/meltCurve_Q5JTC6_2_AMER1.pdf</t>
  </si>
  <si>
    <t>Melting_Curves/meltCurve_Q5JTD0_2_TJAP1.pdf</t>
  </si>
  <si>
    <t>Melting_Curves/meltCurve_Q5JTH9_RRP12.pdf</t>
  </si>
  <si>
    <t>Melting_Curves/meltCurve_Q5JTJ3_3_COA6.pdf</t>
  </si>
  <si>
    <t>Melting_Curves/meltCurve_Q5JTV1_GMEB2.pdf</t>
  </si>
  <si>
    <t>Melting_Curves/meltCurve_Q5JTV8_TOR1AIP1.pdf</t>
  </si>
  <si>
    <t>Melting_Curves/meltCurve_Q5JTW2_CEP78.pdf</t>
  </si>
  <si>
    <t>Melting_Curves/meltCurve_Q5JTZ9_AARS2.pdf</t>
  </si>
  <si>
    <t>Melting_Curves/meltCurve_Q5JU85_IQSEC2.pdf</t>
  </si>
  <si>
    <t>Melting_Curves/meltCurve_Q5JUE6_RAPGEF1.pdf</t>
  </si>
  <si>
    <t>Melting_Curves/meltCurve_Q5JUR7_TEX30.pdf</t>
  </si>
  <si>
    <t>Melting_Curves/meltCurve_Q5JV73_FRMPD3.pdf</t>
  </si>
  <si>
    <t>Melting_Curves/meltCurve_Q5JVF3_3_PCID2.pdf</t>
  </si>
  <si>
    <t>Melting_Curves/meltCurve_Q5JVM0_MYO6.pdf</t>
  </si>
  <si>
    <t>Melting_Curves/meltCurve_Q5JVS0_HABP4.pdf</t>
  </si>
  <si>
    <t>Melting_Curves/meltCurve_Q5JVZ5_ELMO2.pdf</t>
  </si>
  <si>
    <t>Melting_Curves/meltCurve_Q5JW30_STAU1.pdf</t>
  </si>
  <si>
    <t>Melting_Curves/meltCurve_Q5JYJ5_MCF2.pdf</t>
  </si>
  <si>
    <t>Melting_Curves/meltCurve_Q5JZB7_SPIN2B.pdf</t>
  </si>
  <si>
    <t>Melting_Curves/meltCurve_Q5K651_SAMD9.pdf</t>
  </si>
  <si>
    <t>Melting_Curves/meltCurve_Q5KSL6_DGKK.pdf</t>
  </si>
  <si>
    <t>Melting_Curves/meltCurve_Q5M775_SPECC1.pdf</t>
  </si>
  <si>
    <t>Melting_Curves/meltCurve_Q5MIZ7_2_SMEK2.pdf</t>
  </si>
  <si>
    <t>Melting_Curves/meltCurve_Q5MNZ6_WDR45B.pdf</t>
  </si>
  <si>
    <t>Melting_Curves/meltCurve_Q5NDL2_EOGT.pdf</t>
  </si>
  <si>
    <t>Melting_Curves/meltCurve_Q5QJ74_TBCEL.pdf</t>
  </si>
  <si>
    <t>Melting_Curves/meltCurve_Q5QJE6_DNTTIP2.pdf</t>
  </si>
  <si>
    <t>Melting_Curves/meltCurve_Q5QNY5_PEX19.pdf</t>
  </si>
  <si>
    <t>Melting_Curves/meltCurve_Q5QP56_BCL2L1.pdf</t>
  </si>
  <si>
    <t>Melting_Curves/meltCurve_Q5QP82_DCAF10.pdf</t>
  </si>
  <si>
    <t>Melting_Curves/meltCurve_Q5QPL9_RALY.pdf</t>
  </si>
  <si>
    <t>Melting_Curves/meltCurve_Q5QPM7_PSMF1.pdf</t>
  </si>
  <si>
    <t>Melting_Curves/meltCurve_Q5R372_4_RABGAP1L.pdf</t>
  </si>
  <si>
    <t>Melting_Curves/meltCurve_Q5RHP9_3_C1orf173.pdf</t>
  </si>
  <si>
    <t>Melting_Curves/meltCurve_Q5RKV6_EXOSC6.pdf</t>
  </si>
  <si>
    <t>Melting_Curves/meltCurve_Q5SNT6_FAM21B.pdf</t>
  </si>
  <si>
    <t>Melting_Curves/meltCurve_Q5SQI0_5_ATAT1.pdf</t>
  </si>
  <si>
    <t>Melting_Curves/meltCurve_Q5SRE5_NUP188.pdf</t>
  </si>
  <si>
    <t>Melting_Curves/meltCurve_Q5SSJ5_HP1BP3.pdf</t>
  </si>
  <si>
    <t>Melting_Curves/meltCurve_Q5ST30_VARS2.pdf</t>
  </si>
  <si>
    <t>Melting_Curves/meltCurve_Q5SW79_CEP170.pdf</t>
  </si>
  <si>
    <t>Melting_Curves/meltCurve_Q5SW79_3_CEP170.pdf</t>
  </si>
  <si>
    <t>Melting_Curves/meltCurve_Q5SW96_LDLRAP1.pdf</t>
  </si>
  <si>
    <t>Melting_Curves/meltCurve_Q5SXM2_SNAPC4.pdf</t>
  </si>
  <si>
    <t>Melting_Curves/meltCurve_Q5SXM8_DNLZ.pdf</t>
  </si>
  <si>
    <t>Melting_Curves/meltCurve_Q5SYE7_2_NHSL1.pdf</t>
  </si>
  <si>
    <t>Melting_Curves/meltCurve_Q5T011_5_SZT2.pdf</t>
  </si>
  <si>
    <t>Melting_Curves/meltCurve_Q5T0N5_3_FNBP1L.pdf</t>
  </si>
  <si>
    <t>Melting_Curves/meltCurve_Q5T114_C9orf156.pdf</t>
  </si>
  <si>
    <t>Melting_Curves/meltCurve_Q5T123_SH3BGRL3.pdf</t>
  </si>
  <si>
    <t>Melting_Curves/meltCurve_Q5T160_RARS2.pdf</t>
  </si>
  <si>
    <t>Melting_Curves/meltCurve_Q5T171_PYGO2.pdf</t>
  </si>
  <si>
    <t>Melting_Curves/meltCurve_Q5T1C6_THEM4.pdf</t>
  </si>
  <si>
    <t>Melting_Curves/meltCurve_Q5T1M5_FKBP15.pdf</t>
  </si>
  <si>
    <t>Melting_Curves/meltCurve_Q5T1V6_DDX59.pdf</t>
  </si>
  <si>
    <t>Melting_Curves/meltCurve_Q5T200_ZC3H13.pdf</t>
  </si>
  <si>
    <t>Melting_Curves/meltCurve_Q5T2E6_C10orf76.pdf</t>
  </si>
  <si>
    <t>Melting_Curves/meltCurve_Q5T2W1_PDZK1.pdf</t>
  </si>
  <si>
    <t>Melting_Curves/meltCurve_Q5T321_NBEA.pdf</t>
  </si>
  <si>
    <t>Melting_Curves/meltCurve_Q5T370_ARRDC1.pdf</t>
  </si>
  <si>
    <t>Melting_Curves/meltCurve_Q5T3J3_LRIF1.pdf</t>
  </si>
  <si>
    <t>Melting_Curves/meltCurve_Q5T427_ZNF438.pdf</t>
  </si>
  <si>
    <t>Melting_Curves/meltCurve_Q5T440_IBA57.pdf</t>
  </si>
  <si>
    <t>Melting_Curves/meltCurve_Q5T447_HECTD3.pdf</t>
  </si>
  <si>
    <t>Melting_Curves/meltCurve_Q5T4F4_6_ZFYVE27.pdf</t>
  </si>
  <si>
    <t>Melting_Curves/meltCurve_Q5T4S7_3_UBR4.pdf</t>
  </si>
  <si>
    <t>Melting_Curves/meltCurve_Q5T5C0_3_STXBP5.pdf</t>
  </si>
  <si>
    <t>Melting_Curves/meltCurve_Q5T5P2_3_KIAA1217.pdf</t>
  </si>
  <si>
    <t>Melting_Curves/meltCurve_Q5T5U3_ARHGAP21.pdf</t>
  </si>
  <si>
    <t>Melting_Curves/meltCurve_Q5T5Y3_CAMSAP1.pdf</t>
  </si>
  <si>
    <t>Melting_Curves/meltCurve_Q5T6F0_DCAF12.pdf</t>
  </si>
  <si>
    <t>Melting_Curves/meltCurve_Q5T6F2_UBAP2.pdf</t>
  </si>
  <si>
    <t>Melting_Curves/meltCurve_Q5T6J7_IDNK.pdf</t>
  </si>
  <si>
    <t>Melting_Curves/meltCurve_Q5T6V5_C9orf64.pdf</t>
  </si>
  <si>
    <t>Melting_Curves/meltCurve_Q5T7W0_ZNF618.pdf</t>
  </si>
  <si>
    <t>Melting_Curves/meltCurve_Q5T7W0_2_ZNF618.pdf</t>
  </si>
  <si>
    <t>Melting_Curves/meltCurve_Q5T8A7_PPP1R26.pdf</t>
  </si>
  <si>
    <t>Melting_Curves/meltCurve_Q5T8D3_2_ACBD5.pdf</t>
  </si>
  <si>
    <t>Melting_Curves/meltCurve_Q5T8P6_2_RBM26.pdf</t>
  </si>
  <si>
    <t>Melting_Curves/meltCurve_Q5T985_ITIH2.pdf</t>
  </si>
  <si>
    <t>Melting_Curves/meltCurve_Q5T9C2_2_FAM102A.pdf</t>
  </si>
  <si>
    <t>Melting_Curves/meltCurve_Q5T9S5_2_CCDC18.pdf</t>
  </si>
  <si>
    <t>Melting_Curves/meltCurve_Q5TA02_GSTO1.pdf</t>
  </si>
  <si>
    <t>Melting_Curves/meltCurve_Q5TA04_WDR96.pdf</t>
  </si>
  <si>
    <t>Melting_Curves/meltCurve_Q5TA31_RNF187.pdf</t>
  </si>
  <si>
    <t>Melting_Curves/meltCurve_Q5TA45_2_CPSF3L.pdf</t>
  </si>
  <si>
    <t>Melting_Curves/meltCurve_Q5TA50_GLTPD1.pdf</t>
  </si>
  <si>
    <t>Melting_Curves/meltCurve_Q5TA58_AGO1.pdf</t>
  </si>
  <si>
    <t>Melting_Curves/meltCurve_Q5TAQ0_MNF1.pdf</t>
  </si>
  <si>
    <t>Melting_Curves/meltCurve_Q5TAX3_ZCCHC11.pdf</t>
  </si>
  <si>
    <t>Melting_Curves/meltCurve_Q5TBB1_RNASEH2B.pdf</t>
  </si>
  <si>
    <t>Melting_Curves/meltCurve_Q5TBC7_BCL2L15.pdf</t>
  </si>
  <si>
    <t>Melting_Curves/meltCurve_Q5TBI2_C1orf131.pdf</t>
  </si>
  <si>
    <t>Melting_Curves/meltCurve_Q5TC12_ATPAF1.pdf</t>
  </si>
  <si>
    <t>Melting_Curves/meltCurve_Q5TC82_RC3H1.pdf</t>
  </si>
  <si>
    <t>Melting_Curves/meltCurve_Q5TC84_OGFRL1.pdf</t>
  </si>
  <si>
    <t>Melting_Curves/meltCurve_Q5TCQ9_4_MAGI3.pdf</t>
  </si>
  <si>
    <t>Melting_Curves/meltCurve_Q5TCU3_TPM2.pdf</t>
  </si>
  <si>
    <t>Melting_Curves/meltCurve_Q5TCX8_MLK4.pdf</t>
  </si>
  <si>
    <t>Melting_Curves/meltCurve_Q5TDH0_DDI2.pdf</t>
  </si>
  <si>
    <t>Melting_Curves/meltCurve_Q5TEU4_NDUFAF5.pdf</t>
  </si>
  <si>
    <t>Melting_Curves/meltCurve_Q5TFE4_NT5DC1.pdf</t>
  </si>
  <si>
    <t>Melting_Curves/meltCurve_Q5TGY1_TMCO4.pdf</t>
  </si>
  <si>
    <t>Melting_Curves/meltCurve_Q5TH69_ARFGEF3.pdf</t>
  </si>
  <si>
    <t>Melting_Curves/meltCurve_Q5THK1_PRR14L.pdf</t>
  </si>
  <si>
    <t>Melting_Curves/meltCurve_Q5TKA1_LIN9.pdf</t>
  </si>
  <si>
    <t>Melting_Curves/meltCurve_Q5TZA2_CROCC.pdf</t>
  </si>
  <si>
    <t>Melting_Curves/meltCurve_Q5U5Q3_MEX3C.pdf</t>
  </si>
  <si>
    <t>Melting_Curves/meltCurve_Q5U5X0_LYRM7.pdf</t>
  </si>
  <si>
    <t>Melting_Curves/meltCurve_Q5U649_C12orf60.pdf</t>
  </si>
  <si>
    <t>Melting_Curves/meltCurve_Q5UIP0_RIF1.pdf</t>
  </si>
  <si>
    <t>Melting_Curves/meltCurve_Q5VIR6_4_VPS53.pdf</t>
  </si>
  <si>
    <t>Melting_Curves/meltCurve_Q5VSL9_STRIP1.pdf</t>
  </si>
  <si>
    <t>Melting_Curves/meltCurve_Q5VSY0_2_GKAP1.pdf</t>
  </si>
  <si>
    <t>Melting_Curves/meltCurve_Q5VT06_CEP350.pdf</t>
  </si>
  <si>
    <t>Melting_Curves/meltCurve_Q5VT25_4_CDC42BPA.pdf</t>
  </si>
  <si>
    <t>Melting_Curves/meltCurve_Q5VT52_RPRD2.pdf</t>
  </si>
  <si>
    <t>Melting_Curves/meltCurve_Q5VT79_ANXA8L2.pdf</t>
  </si>
  <si>
    <t>Melting_Curves/meltCurve_Q5VTL8_PRPF38B.pdf</t>
  </si>
  <si>
    <t>Melting_Curves/meltCurve_Q5VTQ0_5_TTC39B.pdf</t>
  </si>
  <si>
    <t>Melting_Curves/meltCurve_Q5VTR2_RNF20.pdf</t>
  </si>
  <si>
    <t>Melting_Curves/meltCurve_Q5VTU3_DYNLT1.pdf</t>
  </si>
  <si>
    <t>Melting_Curves/meltCurve_Q5VTU8_ATP5EP2.pdf</t>
  </si>
  <si>
    <t>Melting_Curves/meltCurve_Q5VU58_TPM3.pdf</t>
  </si>
  <si>
    <t>Melting_Curves/meltCurve_Q5VUA4_ZNF318.pdf</t>
  </si>
  <si>
    <t>Melting_Curves/meltCurve_Q5VUE5_C1orf53.pdf</t>
  </si>
  <si>
    <t>Melting_Curves/meltCurve_Q5VV41_ARHGEF16.pdf</t>
  </si>
  <si>
    <t>Melting_Curves/meltCurve_Q5VV52_2_ZNF691.pdf</t>
  </si>
  <si>
    <t>Melting_Curves/meltCurve_Q5VVC8_RPL11.pdf</t>
  </si>
  <si>
    <t>Melting_Curves/meltCurve_Q5VVD7_PLEKHM2.pdf</t>
  </si>
  <si>
    <t>Melting_Curves/meltCurve_Q5VVQ6_2_YOD1.pdf</t>
  </si>
  <si>
    <t>Melting_Curves/meltCurve_Q5VW32_BROX.pdf</t>
  </si>
  <si>
    <t>Melting_Curves/meltCurve_Q5VW36_FOCAD.pdf</t>
  </si>
  <si>
    <t>Melting_Curves/meltCurve_Q5VWC4_PSMD4.pdf</t>
  </si>
  <si>
    <t>Melting_Curves/meltCurve_Q5VWG9_TAF3.pdf</t>
  </si>
  <si>
    <t>Melting_Curves/meltCurve_Q5VWJ9_SNX30.pdf</t>
  </si>
  <si>
    <t>Melting_Curves/meltCurve_Q5VWN6_FAM208B.pdf</t>
  </si>
  <si>
    <t>Melting_Curves/meltCurve_Q5VWQ0_RSBN1.pdf</t>
  </si>
  <si>
    <t>Melting_Curves/meltCurve_Q5VWQ8_2_DAB2IP.pdf</t>
  </si>
  <si>
    <t>Melting_Curves/meltCurve_Q5VWZ2_LYPLAL1.pdf</t>
  </si>
  <si>
    <t>Melting_Curves/meltCurve_Q5VX52_SPATA1.pdf</t>
  </si>
  <si>
    <t>Melting_Curves/meltCurve_Q5VXD3_3_SAMD13.pdf</t>
  </si>
  <si>
    <t>Melting_Curves/meltCurve_Q5VYK3_ECM29.pdf</t>
  </si>
  <si>
    <t>Melting_Curves/meltCurve_Q5VYV7_SLX4IP.pdf</t>
  </si>
  <si>
    <t>Melting_Curves/meltCurve_Q5VYX0_2_RNLS.pdf</t>
  </si>
  <si>
    <t>Melting_Curves/meltCurve_Q5VZE5_NAA35.pdf</t>
  </si>
  <si>
    <t>Melting_Curves/meltCurve_Q5VZK9_LRRC16A.pdf</t>
  </si>
  <si>
    <t>Melting_Curves/meltCurve_Q5VZL5_4_ZMYM4.pdf</t>
  </si>
  <si>
    <t>Melting_Curves/meltCurve_Q5W015_PFKFB3.pdf</t>
  </si>
  <si>
    <t>Melting_Curves/meltCurve_Q5W0B1_RNF219.pdf</t>
  </si>
  <si>
    <t>Melting_Curves/meltCurve_Q5W0V3_FAM160B1.pdf</t>
  </si>
  <si>
    <t>Melting_Curves/meltCurve_Q5W111_2_SPRYD7.pdf</t>
  </si>
  <si>
    <t>Melting_Curves/meltCurve_Q5XPI4_RNF123.pdf</t>
  </si>
  <si>
    <t>Melting_Curves/meltCurve_Q5XUX1_3_FBXW9.pdf</t>
  </si>
  <si>
    <t>Melting_Curves/meltCurve_Q63HM9_PLCXD3.pdf</t>
  </si>
  <si>
    <t>Melting_Curves/meltCurve_Q63HN8_RNF213.pdf</t>
  </si>
  <si>
    <t>Melting_Curves/meltCurve_Q63HN8_4_RNF213.pdf</t>
  </si>
  <si>
    <t>Melting_Curves/meltCurve_Q63ZY3_3_KANK2.pdf</t>
  </si>
  <si>
    <t>Melting_Curves/meltCurve_Q641Q2_FAM21A.pdf</t>
  </si>
  <si>
    <t>Melting_Curves/meltCurve_Q659A1_NARG2.pdf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</si>
  <si>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</si>
  <si>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</si>
  <si>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</si>
  <si>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</si>
  <si>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</si>
  <si>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Melting_Curves/meltCurve_Q674X7_3_KAZN.pdf</t>
  </si>
  <si>
    <t>Melting_Curves/meltCurve_Q676U5_2_ATG16L1.pdf</t>
  </si>
  <si>
    <t>Melting_Curves/meltCurve_Q684P5_3_RAP1GAP2.pdf</t>
  </si>
  <si>
    <t>Melting_Curves/meltCurve_Q68CP9_ARID2.pdf</t>
  </si>
  <si>
    <t>Melting_Curves/meltCurve_Q68CQ4_DIEXF.pdf</t>
  </si>
  <si>
    <t>Melting_Curves/meltCurve_Q68CZ1_2_RPGRIP1L.pdf</t>
  </si>
  <si>
    <t>Melting_Curves/meltCurve_Q68CZ2_TNS3.pdf</t>
  </si>
  <si>
    <t>Melting_Curves/meltCurve_Q68CZ6_HAUS3.pdf</t>
  </si>
  <si>
    <t>Melting_Curves/meltCurve_Q68D06_SLFN13.pdf</t>
  </si>
  <si>
    <t>Melting_Curves/meltCurve_Q68D10_2_SPTY2D1.pdf</t>
  </si>
  <si>
    <t>Melting_Curves/meltCurve_Q68D20_PMS2CL.pdf</t>
  </si>
  <si>
    <t>Melting_Curves/meltCurve_Q68DA7_5_FMN1.pdf</t>
  </si>
  <si>
    <t>Melting_Curves/meltCurve_Q68DQ2_CRYBG3.pdf</t>
  </si>
  <si>
    <t>Melting_Curves/meltCurve_Q68E01_2_INTS3.pdf</t>
  </si>
  <si>
    <t>Melting_Curves/meltCurve_Q68EM7_6_ARHGAP17.pdf</t>
  </si>
  <si>
    <t>Melting_Curves/meltCurve_Q69YH5_CDCA2.pdf</t>
  </si>
  <si>
    <t>Melting_Curves/meltCurve_Q69YN2_CWF19L1.pdf</t>
  </si>
  <si>
    <t>Melting_Curves/meltCurve_Q69YN4_KIAA1429.pdf</t>
  </si>
  <si>
    <t>Melting_Curves/meltCurve_Q69YQ0_2_SPECC1L.pdf</t>
  </si>
  <si>
    <t>Melting_Curves/meltCurve_Q6AI08_HEATR6.pdf</t>
  </si>
  <si>
    <t>Melting_Curves/meltCurve_Q6AI12_ANKRD40.pdf</t>
  </si>
  <si>
    <t>Melting_Curves/meltCurve_Q6AWC2_4_WWC2.pdf</t>
  </si>
  <si>
    <t>Melting_Curves/meltCurve_Q6BCY4_CYB5R2.pdf</t>
  </si>
  <si>
    <t>Melting_Curves/meltCurve_Q6BDS2_UHRF1BP1.pdf</t>
  </si>
  <si>
    <t>Melting_Curves/meltCurve_Q6DCA0_AMMECR1L.pdf</t>
  </si>
  <si>
    <t>Melting_Curves/meltCurve_Q6DD87_ZNF787.pdf</t>
  </si>
  <si>
    <t>Melting_Curves/meltCurve_Q6DKJ4_NXN.pdf</t>
  </si>
  <si>
    <t>Melting_Curves/meltCurve_Q6DKK2_TTC19.pdf</t>
  </si>
  <si>
    <t>Melting_Curves/meltCurve_Q6EEV4_2_POLR2M.pdf</t>
  </si>
  <si>
    <t>Melting_Curves/meltCurve_Q6FI81_CIAPIN1.pdf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</si>
  <si>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</si>
  <si>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</si>
  <si>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</si>
  <si>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</si>
  <si>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Melting_Curves/meltCurve_Q6GYQ0_RALGAPA1.pdf</t>
  </si>
  <si>
    <t>Melting_Curves/meltCurve_Q6I9Y2_THOC7.pdf</t>
  </si>
  <si>
    <t>Melting_Curves/meltCurve_Q6IA69_NADSYN1.pdf</t>
  </si>
  <si>
    <t>Melting_Curves/meltCurve_Q6IA86_3_ELP2.pdf</t>
  </si>
  <si>
    <t>Melting_Curves/meltCurve_Q6IBS0_TWF2.pdf</t>
  </si>
  <si>
    <t>Melting_Curves/meltCurve_Q6IBW4_NCAPH2.pdf</t>
  </si>
  <si>
    <t>Melting_Curves/meltCurve_Q6IE81_2_PHF17.pdf</t>
  </si>
  <si>
    <t>Melting_Curves/meltCurve_Q6IN84_MRM1.pdf</t>
  </si>
  <si>
    <t>Melting_Curves/meltCurve_Q6IN85_SMEK1.pdf</t>
  </si>
  <si>
    <t>Melting_Curves/meltCurve_Q6IPR3_TYW3.pdf</t>
  </si>
  <si>
    <t>Melting_Curves/meltCurve_Q6IQ22_RAB12.pdf</t>
  </si>
  <si>
    <t>Melting_Curves/meltCurve_Q6IQ23_2_PLEKHA7.pdf</t>
  </si>
  <si>
    <t>Melting_Curves/meltCurve_Q6IQ32_ADNP2.pdf</t>
  </si>
  <si>
    <t>Melting_Curves/meltCurve_Q6IQ49_2_SDE2.pdf</t>
  </si>
  <si>
    <t>Melting_Curves/meltCurve_Q6IS24_WBSCR17.pdf</t>
  </si>
  <si>
    <t>Melting_Curves/meltCurve_Q6JHV3_USP3.pdf</t>
  </si>
  <si>
    <t>Melting_Curves/meltCurve_Q6KB66_KRT80.pdf</t>
  </si>
  <si>
    <t>Melting_Curves/meltCurve_Q6KC79_2_NIPBL.pdf</t>
  </si>
  <si>
    <t>Melting_Curves/meltCurve_Q6L8Q7_2_PDE12.pdf</t>
  </si>
  <si>
    <t>Melting_Curves/meltCurve_Q6MZP7_LIN54.pdf</t>
  </si>
  <si>
    <t>Melting_Curves/meltCurve_Q6N043_2_ZNF280D.pdf</t>
  </si>
  <si>
    <t>Melting_Curves/meltCurve_Q6N063_OGFOD2.pdf</t>
  </si>
  <si>
    <t>Melting_Curves/meltCurve_Q6N069_NAA16.pdf</t>
  </si>
  <si>
    <t>Melting_Curves/meltCurve_Q6NS38_ALKBH2.pdf</t>
  </si>
  <si>
    <t>Melting_Curves/meltCurve_Q6NSJ2_PHLDB3.pdf</t>
  </si>
  <si>
    <t>Melting_Curves/meltCurve_Q6NT89_TRNP1.pdf</t>
  </si>
  <si>
    <t>Melting_Curves/meltCurve_Q6NTE8_C5orf45.pdf</t>
  </si>
  <si>
    <t>Melting_Curves/meltCurve_Q6NUQ4_2_TMEM214.pdf</t>
  </si>
  <si>
    <t>Melting_Curves/meltCurve_Q6NVU6_UFSP1.pdf</t>
  </si>
  <si>
    <t>Melting_Curves/meltCurve_Q6NVY1_HIBCH.pdf</t>
  </si>
  <si>
    <t>Melting_Curves/meltCurve_Q6NXE6_2_ARMC6.pdf</t>
  </si>
  <si>
    <t>Melting_Curves/meltCurve_Q6NXT1_ANKRD54.pdf</t>
  </si>
  <si>
    <t>Melting_Curves/meltCurve_Q6NYC1_JMJD6.pdf</t>
  </si>
  <si>
    <t>Melting_Curves/meltCurve_Q6NYC8_PPP1R18.pdf</t>
  </si>
  <si>
    <t>Melting_Curves/meltCurve_Q6NZI2_PTRF.pdf</t>
  </si>
  <si>
    <t>Melting_Curves/meltCurve_Q6NZY4_ZCCHC8.pdf</t>
  </si>
  <si>
    <t>Melting_Curves/meltCurve_Q6P158_DHX57.pdf</t>
  </si>
  <si>
    <t>Melting_Curves/meltCurve_Q6P1J9_CDC73.pdf</t>
  </si>
  <si>
    <t>Melting_Curves/meltCurve_Q6P1K2_PMF1.pdf</t>
  </si>
  <si>
    <t>Melting_Curves/meltCurve_Q6P1L5_FAM117B.pdf</t>
  </si>
  <si>
    <t>Melting_Curves/meltCurve_Q6P1L8_MRPL14.pdf</t>
  </si>
  <si>
    <t>Melting_Curves/meltCurve_Q6P1M3_2_LLGL2.pdf</t>
  </si>
  <si>
    <t>Melting_Curves/meltCurve_Q6P1M9_ARMCX5.pdf</t>
  </si>
  <si>
    <t>Melting_Curves/meltCurve_Q6P1N0_CC2D1A.pdf</t>
  </si>
  <si>
    <t>Melting_Curves/meltCurve_Q6P1N9_TATDN1.pdf</t>
  </si>
  <si>
    <t>Melting_Curves/meltCurve_Q6P1Q9_METTL2B.pdf</t>
  </si>
  <si>
    <t>Melting_Curves/meltCurve_Q6P1R4_DUS1L.pdf</t>
  </si>
  <si>
    <t>Melting_Curves/meltCurve_Q6P1X5_TAF2.pdf</t>
  </si>
  <si>
    <t>Melting_Curves/meltCurve_Q6P1X6_C8orf82.pdf</t>
  </si>
  <si>
    <t>Melting_Curves/meltCurve_Q6P2E9_EDC4.pdf</t>
  </si>
  <si>
    <t>Melting_Curves/meltCurve_Q6P2H3_2_CEP85.pdf</t>
  </si>
  <si>
    <t>Melting_Curves/meltCurve_Q6P2P2_PRMT10.pdf</t>
  </si>
  <si>
    <t>Melting_Curves/meltCurve_Q6P2Q9_PRPF8.pdf</t>
  </si>
  <si>
    <t>Melting_Curves/meltCurve_Q6P3S6_FBXO42.pdf</t>
  </si>
  <si>
    <t>Melting_Curves/meltCurve_Q6P3W7_SCYL2.pdf</t>
  </si>
  <si>
    <t>Melting_Curves/meltCurve_Q6P3X3_TTC27.pdf</t>
  </si>
  <si>
    <t>Melting_Curves/meltCurve_Q6P4F2_FDX1L.pdf</t>
  </si>
  <si>
    <t>Melting_Curves/meltCurve_Q6P4G0_RECQL5.pdf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</si>
  <si>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</si>
  <si>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</si>
  <si>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</si>
  <si>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</si>
  <si>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Melting_Curves/meltCurve_Q6P6B1_C8orf47.pdf</t>
  </si>
  <si>
    <t>Melting_Curves/meltCurve_Q6P6C2_ALKBH5.pdf</t>
  </si>
  <si>
    <t>Melting_Curves/meltCurve_Q6P9B6_KIAA1609.pdf</t>
  </si>
  <si>
    <t>Melting_Curves/meltCurve_Q6P9B9_INTS5.pdf</t>
  </si>
  <si>
    <t>Melting_Curves/meltCurve_Q6PCB5_RSBN1L.pdf</t>
  </si>
  <si>
    <t>Melting_Curves/meltCurve_Q6PCE3_PGM2L1.pdf</t>
  </si>
  <si>
    <t>Melting_Curves/meltCurve_Q6PCT2_2_FBXL19.pdf</t>
  </si>
  <si>
    <t>Melting_Curves/meltCurve_Q6PD62_CTR9.pdf</t>
  </si>
  <si>
    <t>Melting_Curves/meltCurve_Q6PD74_AAGAB.pdf</t>
  </si>
  <si>
    <t>Melting_Curves/meltCurve_Q6PGN9_2_PSRC1.pdf</t>
  </si>
  <si>
    <t>Melting_Curves/meltCurve_Q6PGP7_TTC37.pdf</t>
  </si>
  <si>
    <t>Melting_Curves/meltCurve_Q6PHR2_3_ULK3.pdf</t>
  </si>
  <si>
    <t>Melting_Curves/meltCurve_Q6PI48_DARS2.pdf</t>
  </si>
  <si>
    <t>Melting_Curves/meltCurve_Q6PID6_TTC33.pdf</t>
  </si>
  <si>
    <t>Melting_Curves/meltCurve_Q6PII3_CCDC174.pdf</t>
  </si>
  <si>
    <t>Melting_Curves/meltCurve_Q6PII5_2_HAGHL.pdf</t>
  </si>
  <si>
    <t>Melting_Curves/meltCurve_Q6PIJ6_FBXO38.pdf</t>
  </si>
  <si>
    <t>Melting_Curves/meltCurve_Q6PIR0_CENPC1.pdf</t>
  </si>
  <si>
    <t>Melting_Curves/meltCurve_Q6PIW4_2_FIGNL1.pdf</t>
  </si>
  <si>
    <t>Melting_Curves/meltCurve_Q6PJ69_TRIM65.pdf</t>
  </si>
  <si>
    <t>Melting_Curves/meltCurve_Q6PJF5_2_RHBDF2.pdf</t>
  </si>
  <si>
    <t>Melting_Curves/meltCurve_Q6PJG2_ELMSAN1.pdf</t>
  </si>
  <si>
    <t>Melting_Curves/meltCurve_Q6PJG6_BRAT1.pdf</t>
  </si>
  <si>
    <t>Melting_Curves/meltCurve_Q6PJI9_2_WDR59.pdf</t>
  </si>
  <si>
    <t>Melting_Curves/meltCurve_Q6PJT7_5_ZC3H14.pdf</t>
  </si>
  <si>
    <t>Melting_Curves/meltCurve_Q6PK04_CCDC137.pdf</t>
  </si>
  <si>
    <t>Melting_Curves/meltCurve_Q6PKG0_LARP1.pdf</t>
  </si>
  <si>
    <t>Melting_Curves/meltCurve_Q6PL24_TMED8.pdf</t>
  </si>
  <si>
    <t>Melting_Curves/meltCurve_Q6PUV4_CPLX2.pdf</t>
  </si>
  <si>
    <t>Melting_Curves/meltCurve_Q6Q0C0_TRAF7.pdf</t>
  </si>
  <si>
    <t>Melting_Curves/meltCurve_Q6QNY0_BLOC1S3.pdf</t>
  </si>
  <si>
    <t>Melting_Curves/meltCurve_Q6QNY1_BLOC1S2.pdf</t>
  </si>
  <si>
    <t>Melting_Curves/meltCurve_Q6R327_RICTOR.pdf</t>
  </si>
  <si>
    <t>Melting_Curves/meltCurve_Q6SJ93_FAM111B.pdf</t>
  </si>
  <si>
    <t>Melting_Curves/meltCurve_Q6SPF0_SAMD1.pdf</t>
  </si>
  <si>
    <t>Melting_Curves/meltCurve_Q6SZW1_SARM1.pdf</t>
  </si>
  <si>
    <t>Melting_Curves/meltCurve_Q6T4R5_4_NHS.pdf</t>
  </si>
  <si>
    <t>Melting_Curves/meltCurve_Q6UB35_MTHFD1L.pdf</t>
  </si>
  <si>
    <t>Melting_Curves/meltCurve_Q6UB99_ANKRD11.pdf</t>
  </si>
  <si>
    <t>Melting_Curves/meltCurve_Q6ULP2_5_AFTPH.pdf</t>
  </si>
  <si>
    <t>Melting_Curves/meltCurve_Q6UN15_FIP1L1.pdf</t>
  </si>
  <si>
    <t>Melting_Curves/meltCurve_Q6UUV7_3_CRTC3.pdf</t>
  </si>
  <si>
    <t>Melting_Curves/meltCurve_Q6UWE0_LRSAM1.pdf</t>
  </si>
  <si>
    <t>Melting_Curves/meltCurve_Q6UWP2_DHRS11.pdf</t>
  </si>
  <si>
    <t>Melting_Curves/meltCurve_Q6UX04_CWC27.pdf</t>
  </si>
  <si>
    <t>Melting_Curves/meltCurve_Q6UXH1_4_CRELD2.pdf</t>
  </si>
  <si>
    <t>Melting_Curves/meltCurve_Q6UXN9_WDR82.pdf</t>
  </si>
  <si>
    <t>Melting_Curves/meltCurve_Q6UXY1_2_BAIAP2L2.pdf</t>
  </si>
  <si>
    <t>Melting_Curves/meltCurve_Q6V1X1_4_DPP8.pdf</t>
  </si>
  <si>
    <t>Melting_Curves/meltCurve_Q6VMQ6_2_ATF7IP.pdf</t>
  </si>
  <si>
    <t>Melting_Curves/meltCurve_Q6VY07_PACS1.pdf</t>
  </si>
  <si>
    <t>Melting_Curves/meltCurve_Q6WCQ1_2_MPRIP.pdf</t>
  </si>
  <si>
    <t>Melting_Curves/meltCurve_Q6WKZ4_RAB11FIP1.pdf</t>
  </si>
  <si>
    <t>Melting_Curves/meltCurve_Q6XQN6_NAPRT1.pdf</t>
  </si>
  <si>
    <t>Melting_Curves/meltCurve_Q6XUX3_2_DSTYK.pdf</t>
  </si>
  <si>
    <t>Melting_Curves/meltCurve_Q6XZF7_DNMBP.pdf</t>
  </si>
  <si>
    <t>Melting_Curves/meltCurve_Q6Y288_B3GALTL.pdf</t>
  </si>
  <si>
    <t>Melting_Curves/meltCurve_Q6Y7W6_GIGYF2.pdf</t>
  </si>
  <si>
    <t>Melting_Curves/meltCurve_Q6YHK3_CD109.pdf</t>
  </si>
  <si>
    <t>Melting_Curves/meltCurve_Q6YHU6_3_THADA.pdf</t>
  </si>
  <si>
    <t>Melting_Curves/meltCurve_Q6YN16_HSDL2.pdf</t>
  </si>
  <si>
    <t>Melting_Curves/meltCurve_Q6YP21_3_CCBL2.pdf</t>
  </si>
  <si>
    <t>Melting_Curves/meltCurve_Q6ZMI0_PPP1R21.pdf</t>
  </si>
  <si>
    <t>Melting_Curves/meltCurve_Q6ZN17_2_LIN28B.pdf</t>
  </si>
  <si>
    <t>Melting_Curves/meltCurve_Q6ZN18_2_AEBP2.pdf</t>
  </si>
  <si>
    <t>Melting_Curves/meltCurve_Q6ZN40_TPM1.pdf</t>
  </si>
  <si>
    <t>Melting_Curves/meltCurve_Q6ZNA4_2_RNF111.pdf</t>
  </si>
  <si>
    <t>Melting_Curves/meltCurve_Q6ZNE5_ATG14.pdf</t>
  </si>
  <si>
    <t>Melting_Curves/meltCurve_Q6ZNJ1_3_NBEAL2.pdf</t>
  </si>
  <si>
    <t>Melting_Curves/meltCurve_Q6ZNW5_GDPGP1.pdf</t>
  </si>
  <si>
    <t>Melting_Curves/meltCurve_Q6ZQX7_4_C17orf97.pdf</t>
  </si>
  <si>
    <t>Melting_Curves/meltCurve_Q6ZRS2_3_SRCAP.pdf</t>
  </si>
  <si>
    <t>Melting_Curves/meltCurve_Q6ZS17_2_FAM65A.pdf</t>
  </si>
  <si>
    <t>Melting_Curves/meltCurve_Q6ZS30_NBEAL1.pdf</t>
  </si>
  <si>
    <t>Melting_Curves/meltCurve_Q6ZSJ8_C1orf122.pdf</t>
  </si>
  <si>
    <t>Melting_Curves/meltCurve_Q6ZSZ5_2_ARHGEF18.pdf</t>
  </si>
  <si>
    <t>Melting_Curves/meltCurve_Q6ZT12_UBR3.pdf</t>
  </si>
  <si>
    <t>Melting_Curves/meltCurve_Q6ZT62_SH3BP1.pdf</t>
  </si>
  <si>
    <t>Melting_Curves/meltCurve_Q6ZU65_UBN2.pdf</t>
  </si>
  <si>
    <t>Melting_Curves/meltCurve_Q6ZUM4_2_ARHGAP27.pdf</t>
  </si>
  <si>
    <t>Melting_Curves/meltCurve_Q6ZUS6_5_CCDC149.pdf</t>
  </si>
  <si>
    <t>Melting_Curves/meltCurve_Q6ZUT6_4_C15orf52.pdf</t>
  </si>
  <si>
    <t>Melting_Curves/meltCurve_Q6ZUT9_DENND5B.pdf</t>
  </si>
  <si>
    <t>Melting_Curves/meltCurve_Q6ZV73_FGD6.pdf</t>
  </si>
  <si>
    <t>Melting_Curves/meltCurve_Q6ZVF9_GPRIN3.pdf</t>
  </si>
  <si>
    <t>Melting_Curves/meltCurve_Q6ZVK8_NUDT18.pdf</t>
  </si>
  <si>
    <t>Melting_Curves/meltCurve_Q6ZVM7_TOM1L2.pdf</t>
  </si>
  <si>
    <t>Melting_Curves/meltCurve_Q6ZW49_4_PAXIP1.pdf</t>
  </si>
  <si>
    <t>Melting_Curves/meltCurve_Q6ZWJ1_STXBP4.pdf</t>
  </si>
  <si>
    <t>Melting_Curves/meltCurve_Q6ZYL4_GTF2H5.pdf</t>
  </si>
  <si>
    <t>Melting_Curves/meltCurve_Q709C8_3_VPS13C.pdf</t>
  </si>
  <si>
    <t>Melting_Curves/meltCurve_Q70CQ2_USP34.pdf</t>
  </si>
  <si>
    <t>Melting_Curves/meltCurve_Q70CQ4_USP31.pdf</t>
  </si>
  <si>
    <t>Melting_Curves/meltCurve_Q70E73_RAPH1.pdf</t>
  </si>
  <si>
    <t>Melting_Curves/meltCurve_Q70EK8_USP53.pdf</t>
  </si>
  <si>
    <t>Melting_Curves/meltCurve_Q70EL4_4_USP43.pdf</t>
  </si>
  <si>
    <t>Melting_Curves/meltCurve_Q70IA6_MOB2.pdf</t>
  </si>
  <si>
    <t>Melting_Curves/meltCurve_Q70J99_UNC13D.pdf</t>
  </si>
  <si>
    <t>Melting_Curves/meltCurve_Q70Z53_2_FRA10AC1.pdf</t>
  </si>
  <si>
    <t>Melting_Curves/meltCurve_Q712K3_UBE2R2.pdf</t>
  </si>
  <si>
    <t>Melting_Curves/meltCurve_Q71F56_MED13L.pdf</t>
  </si>
  <si>
    <t>Melting_Curves/meltCurve_Q71RC2_3_LARP4.pdf</t>
  </si>
  <si>
    <t>Melting_Curves/meltCurve_Q71U36_2_TUBA1A.pdf</t>
  </si>
  <si>
    <t>Melting_Curves/meltCurve_Q71UI9_H2AFV.pdf</t>
  </si>
  <si>
    <t>Melting_Curves/meltCurve_Q71UM5_RPS27L.pdf</t>
  </si>
  <si>
    <t>Melting_Curves/meltCurve_Q75N03_CBLL1.pdf</t>
  </si>
  <si>
    <t>Melting_Curves/meltCurve_Q765P7_MTSS1L.pdf</t>
  </si>
  <si>
    <t>Melting_Curves/meltCurve_Q76FK4_4_NOL8.pdf</t>
  </si>
  <si>
    <t>Melting_Curves/meltCurve_Q76I76_SSH2.pdf</t>
  </si>
  <si>
    <t>Melting_Curves/meltCurve_Q76N32_2_CEP68.pdf</t>
  </si>
  <si>
    <t>Melting_Curves/meltCurve_Q7KZ85_SUPT6H.pdf</t>
  </si>
  <si>
    <t>Melting_Curves/meltCurve_Q7KZ85_2_SUPT6H.pdf</t>
  </si>
  <si>
    <t>Melting_Curves/meltCurve_Q7KZF4_SND1.pdf</t>
  </si>
  <si>
    <t>Melting_Curves/meltCurve_Q7KZI7_14_MARK2.pdf</t>
  </si>
  <si>
    <t>Melting_Curves/meltCurve_Q7L014_DDX46.pdf</t>
  </si>
  <si>
    <t>Melting_Curves/meltCurve_Q7L099_2_RUFY3.pdf</t>
  </si>
  <si>
    <t>Melting_Curves/meltCurve_Q7L0Y3_TRMT10C.pdf</t>
  </si>
  <si>
    <t>Melting_Curves/meltCurve_Q7L1Q6_BZW1.pdf</t>
  </si>
  <si>
    <t>Melting_Curves/meltCurve_Q7L1T6_CYB5R4.pdf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</si>
  <si>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</si>
  <si>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</si>
  <si>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</si>
  <si>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</si>
  <si>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Melting_Curves/meltCurve_Q7L2Z9_CENPQ.pdf</t>
  </si>
  <si>
    <t>Melting_Curves/meltCurve_Q7L3S4_ZNF771.pdf</t>
  </si>
  <si>
    <t>Melting_Curves/meltCurve_Q7L4I2_RSRC2.pdf</t>
  </si>
  <si>
    <t>Melting_Curves/meltCurve_Q7L523_RRAGA.pdf</t>
  </si>
  <si>
    <t>Melting_Curves/meltCurve_Q7L576_CYFIP1.pdf</t>
  </si>
  <si>
    <t>Melting_Curves/meltCurve_Q7L590_2_MCM10.pdf</t>
  </si>
  <si>
    <t>Melting_Curves/meltCurve_Q7L592_NDUFAF7.pdf</t>
  </si>
  <si>
    <t>Melting_Curves/meltCurve_Q7L5D6_GET4.pdf</t>
  </si>
  <si>
    <t>Melting_Curves/meltCurve_Q7L5Y1_ENOSF1.pdf</t>
  </si>
  <si>
    <t>Melting_Curves/meltCurve_Q7L5Y9_MAEA.pdf</t>
  </si>
  <si>
    <t>Melting_Curves/meltCurve_Q7L775_EPM2AIP1.pdf</t>
  </si>
  <si>
    <t>Melting_Curves/meltCurve_Q7L7V1_DHX32.pdf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</si>
  <si>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</si>
  <si>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</si>
  <si>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</si>
  <si>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</si>
  <si>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Melting_Curves/meltCurve_Q7LBC6_KDM3B.pdf</t>
  </si>
  <si>
    <t>Melting_Curves/meltCurve_Q7LBR1_CHMP1B.pdf</t>
  </si>
  <si>
    <t>Melting_Curves/meltCurve_Q7LG56_RRM2B.pdf</t>
  </si>
  <si>
    <t>Melting_Curves/meltCurve_Q7RTP6_MICAL3.pdf</t>
  </si>
  <si>
    <t>Melting_Curves/meltCurve_Q7RTS9_DYM.pdf</t>
  </si>
  <si>
    <t>Melting_Curves/meltCurve_Q7RTV0_PHF5A.pdf</t>
  </si>
  <si>
    <t>Melting_Curves/meltCurve_Q7Z2E3_3_APTX.pdf</t>
  </si>
  <si>
    <t>Melting_Curves/meltCurve_Q7Z2K8_GPRIN1.pdf</t>
  </si>
  <si>
    <t>Melting_Curves/meltCurve_Q7Z2W4_ZC3HAV1.pdf</t>
  </si>
  <si>
    <t>Melting_Curves/meltCurve_Q7Z2W4_3_ZC3HAV1.pdf</t>
  </si>
  <si>
    <t>Melting_Curves/meltCurve_Q7Z2Z2_EFTUD1.pdf</t>
  </si>
  <si>
    <t>Melting_Curves/meltCurve_Q7Z309_FAM122B.pdf</t>
  </si>
  <si>
    <t>Melting_Curves/meltCurve_Q7Z333_3_SETX.pdf</t>
  </si>
  <si>
    <t>Melting_Curves/meltCurve_Q7Z350_DKFZp686L0695.pdf</t>
  </si>
  <si>
    <t>Melting_Curves/meltCurve_Q7Z392_TRAPPC11.pdf</t>
  </si>
  <si>
    <t>Melting_Curves/meltCurve_Q7Z3B3_KANSL1.pdf</t>
  </si>
  <si>
    <t>Melting_Curves/meltCurve_Q7Z3E2_C10orf118.pdf</t>
  </si>
  <si>
    <t>Melting_Curves/meltCurve_Q7Z3E5_ARMC9.pdf</t>
  </si>
  <si>
    <t>Melting_Curves/meltCurve_Q7Z3G6_PRICKLE2.pdf</t>
  </si>
  <si>
    <t>Melting_Curves/meltCurve_Q7Z3J2_C16orf62.pdf</t>
  </si>
  <si>
    <t>Melting_Curves/meltCurve_Q7Z3K6_4_MIER3.pdf</t>
  </si>
  <si>
    <t>Melting_Curves/meltCurve_Q7Z3T8_ZFYVE16.pdf</t>
  </si>
  <si>
    <t>Melting_Curves/meltCurve_Q7Z3V4_UBE3B.pdf</t>
  </si>
  <si>
    <t>Melting_Curves/meltCurve_Q7Z406_6_MYH14.pdf</t>
  </si>
  <si>
    <t>Melting_Curves/meltCurve_Q7Z417_NUFIP2.pdf</t>
  </si>
  <si>
    <t>Melting_Curves/meltCurve_Q7Z422_2_SZRD1.pdf</t>
  </si>
  <si>
    <t>Melting_Curves/meltCurve_Q7Z434_MAVS.pdf</t>
  </si>
  <si>
    <t>Melting_Curves/meltCurve_Q7Z460_CLASP1.pdf</t>
  </si>
  <si>
    <t>Melting_Curves/meltCurve_Q7Z478_DHX29.pdf</t>
  </si>
  <si>
    <t>Melting_Curves/meltCurve_Q7Z4G1_COMMD6.pdf</t>
  </si>
  <si>
    <t>Melting_Curves/meltCurve_Q7Z4G4_2_TRMT11.pdf</t>
  </si>
  <si>
    <t>Melting_Curves/meltCurve_Q7Z4H3_HDDC2.pdf</t>
  </si>
  <si>
    <t>Melting_Curves/meltCurve_Q7Z4H7_HAUS6.pdf</t>
  </si>
  <si>
    <t>Melting_Curves/meltCurve_Q7Z4H8_KDELC2.pdf</t>
  </si>
  <si>
    <t>Melting_Curves/meltCurve_Q7Z4L5_TTC21B.pdf</t>
  </si>
  <si>
    <t>Melting_Curves/meltCurve_Q7Z4Q2_HEATR3.pdf</t>
  </si>
  <si>
    <t>Melting_Curves/meltCurve_Q7Z4S6_5_KIF21A.pdf</t>
  </si>
  <si>
    <t>Melting_Curves/meltCurve_Q7Z4V5_HDGFRP2.pdf</t>
  </si>
  <si>
    <t>Melting_Curves/meltCurve_Q7Z4W1_DCXR.pdf</t>
  </si>
  <si>
    <t>Melting_Curves/meltCurve_Q7Z589_EMSY.pdf</t>
  </si>
  <si>
    <t>Melting_Curves/meltCurve_Q7Z5K2_WAPAL.pdf</t>
  </si>
  <si>
    <t>Melting_Curves/meltCurve_Q7Z5L2_2_R3HCC1L.pdf</t>
  </si>
  <si>
    <t>Melting_Curves/meltCurve_Q7Z5L9_IRF2BP2.pdf</t>
  </si>
  <si>
    <t>Melting_Curves/meltCurve_Q7Z5Q1_5_CPEB2.pdf</t>
  </si>
  <si>
    <t>Melting_Curves/meltCurve_Q7Z5R6_APBB1IP.pdf</t>
  </si>
  <si>
    <t>Melting_Curves/meltCurve_Q7Z5W3_BCDIN3D.pdf</t>
  </si>
  <si>
    <t>Melting_Curves/meltCurve_Q7Z624_CAMKMT.pdf</t>
  </si>
  <si>
    <t>Melting_Curves/meltCurve_Q7Z699_SPRED1.pdf</t>
  </si>
  <si>
    <t>Melting_Curves/meltCurve_Q7Z6B0_2_CCDC91.pdf</t>
  </si>
  <si>
    <t>Melting_Curves/meltCurve_Q7Z6B7_SRGAP1.pdf</t>
  </si>
  <si>
    <t>Melting_Curves/meltCurve_Q7Z6E9_2_RBBP6.pdf</t>
  </si>
  <si>
    <t>Melting_Curves/meltCurve_Q7Z6I8_C5orf24.pdf</t>
  </si>
  <si>
    <t>Melting_Curves/meltCurve_Q7Z6J0_SH3RF1.pdf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</si>
  <si>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</si>
  <si>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</si>
  <si>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</si>
  <si>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</si>
  <si>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Melting_Curves/meltCurve_Q7Z6V5_ADAT2.pdf</t>
  </si>
  <si>
    <t>Melting_Curves/meltCurve_Q7Z6Z7_2_HUWE1.pdf</t>
  </si>
  <si>
    <t>Melting_Curves/meltCurve_Q7Z7A3_CTU1.pdf</t>
  </si>
  <si>
    <t>Melting_Curves/meltCurve_Q7Z7A4_5_PXK.pdf</t>
  </si>
  <si>
    <t>Melting_Curves/meltCurve_Q7Z7B0_FILIP1.pdf</t>
  </si>
  <si>
    <t>Melting_Curves/meltCurve_Q7Z7C8_TAF8.pdf</t>
  </si>
  <si>
    <t>Melting_Curves/meltCurve_Q7Z7E8_UBE2Q1.pdf</t>
  </si>
  <si>
    <t>Melting_Curves/meltCurve_Q7Z7F0_KIAA0907.pdf</t>
  </si>
  <si>
    <t>Melting_Curves/meltCurve_Q7Z7G8_2_VPS13B.pdf</t>
  </si>
  <si>
    <t>Melting_Curves/meltCurve_Q7Z7H8_MRPL10.pdf</t>
  </si>
  <si>
    <t>Melting_Curves/meltCurve_Q7Z7J9_CAMK2N1.pdf</t>
  </si>
  <si>
    <t>Melting_Curves/meltCurve_Q7Z7K0_CMC1.pdf</t>
  </si>
  <si>
    <t>Melting_Curves/meltCurve_Q7Z7K6_3_CENPV.pdf</t>
  </si>
  <si>
    <t>Melting_Curves/meltCurve_Q7Z7L1_SLFN11.pdf</t>
  </si>
  <si>
    <t>Melting_Curves/meltCurve_Q7Z7L7_ZER1.pdf</t>
  </si>
  <si>
    <t>Melting_Curves/meltCurve_Q7Z7L9_ZSCAN2.pdf</t>
  </si>
  <si>
    <t>Melting_Curves/meltCurve_Q86SJ2_AMIGO2.pdf</t>
  </si>
  <si>
    <t>Melting_Curves/meltCurve_Q86SQ0_PHLDB2.pdf</t>
  </si>
  <si>
    <t>Melting_Curves/meltCurve_Q86SQ4_GPR126.pdf</t>
  </si>
  <si>
    <t>Melting_Curves/meltCurve_Q86SQ7_SDCCAG8.pdf</t>
  </si>
  <si>
    <t>Melting_Curves/meltCurve_Q86SX6_GLRX5.pdf</t>
  </si>
  <si>
    <t>Melting_Curves/meltCurve_Q86SZ2_TRAPPC6B.pdf</t>
  </si>
  <si>
    <t>Melting_Curves/meltCurve_Q86T24_ZBTB33.pdf</t>
  </si>
  <si>
    <t>Melting_Curves/meltCurve_Q86TA1_MOB3B.pdf</t>
  </si>
  <si>
    <t>Melting_Curves/meltCurve_Q86TB3_ALPK2.pdf</t>
  </si>
  <si>
    <t>Melting_Curves/meltCurve_Q86TB9_PATL1.pdf</t>
  </si>
  <si>
    <t>Melting_Curves/meltCurve_Q86TB9_4_PATL1.pdf</t>
  </si>
  <si>
    <t>Melting_Curves/meltCurve_Q86TG7_2_PEG10.pdf</t>
  </si>
  <si>
    <t>Melting_Curves/meltCurve_Q86TI0_2_TBC1D1.pdf</t>
  </si>
  <si>
    <t>Melting_Curves/meltCurve_Q86TI2_2_DPP9.pdf</t>
  </si>
  <si>
    <t>Melting_Curves/meltCurve_Q86TP1_PRUNE.pdf</t>
  </si>
  <si>
    <t>Melting_Curves/meltCurve_Q86TU7_SETD3.pdf</t>
  </si>
  <si>
    <t>Melting_Curves/meltCurve_Q86TV2_LGMN.pdf</t>
  </si>
  <si>
    <t>Melting_Curves/meltCurve_Q86TX2_ACOT1.pdf</t>
  </si>
  <si>
    <t>Melting_Curves/meltCurve_Q86TZ8_TINF2.pdf</t>
  </si>
  <si>
    <t>Melting_Curves/meltCurve_Q86U28_ISCA2.pdf</t>
  </si>
  <si>
    <t>Melting_Curves/meltCurve_Q86U44_METTL3.pdf</t>
  </si>
  <si>
    <t>Melting_Curves/meltCurve_Q86U70_3_LDB1.pdf</t>
  </si>
  <si>
    <t>Melting_Curves/meltCurve_Q86U90_YRDC.pdf</t>
  </si>
  <si>
    <t>Melting_Curves/meltCurve_Q86UA1_PRPF39.pdf</t>
  </si>
  <si>
    <t>Melting_Curves/meltCurve_Q86UA6_3_RPAIN.pdf</t>
  </si>
  <si>
    <t>Melting_Curves/meltCurve_Q86UD0_SAPCD2.pdf</t>
  </si>
  <si>
    <t>Melting_Curves/meltCurve_Q86UE8_2_TLK2.pdf</t>
  </si>
  <si>
    <t>Melting_Curves/meltCurve_Q86UE8_3_TLK2.pdf</t>
  </si>
  <si>
    <t>Melting_Curves/meltCurve_Q86UK7_3_ZNF598.pdf</t>
  </si>
  <si>
    <t>Melting_Curves/meltCurve_Q86UP2_KTN1.pdf</t>
  </si>
  <si>
    <t>Melting_Curves/meltCurve_Q86US8_SMG6.pdf</t>
  </si>
  <si>
    <t>Melting_Curves/meltCurve_Q86UU0_4_BCL9L.pdf</t>
  </si>
  <si>
    <t>Melting_Curves/meltCurve_Q86UU1_2_PHLDB1.pdf</t>
  </si>
  <si>
    <t>Melting_Curves/meltCurve_Q86UV5_USP48.pdf</t>
  </si>
  <si>
    <t>Melting_Curves/meltCurve_Q86UX6_STK32C.pdf</t>
  </si>
  <si>
    <t>Melting_Curves/meltCurve_Q86UY0_TXNDC5.pdf</t>
  </si>
  <si>
    <t>Melting_Curves/meltCurve_Q86UY6_NAA40.pdf</t>
  </si>
  <si>
    <t>Melting_Curves/meltCurve_Q86UY8_2_NT5DC3.pdf</t>
  </si>
  <si>
    <t>Melting_Curves/meltCurve_Q86V21_AACS.pdf</t>
  </si>
  <si>
    <t>Melting_Curves/meltCurve_Q86V48_LUZP1.pdf</t>
  </si>
  <si>
    <t>Melting_Curves/meltCurve_Q86V59_PNMAL1.pdf</t>
  </si>
  <si>
    <t>Melting_Curves/meltCurve_Q86V87_FAM160B2.pdf</t>
  </si>
  <si>
    <t>Melting_Curves/meltCurve_Q86VG3_C11orf74.pdf</t>
  </si>
  <si>
    <t>Melting_Curves/meltCurve_Q86VI3_IQGAP3.pdf</t>
  </si>
  <si>
    <t>Melting_Curves/meltCurve_Q86VM9_ZC3H18.pdf</t>
  </si>
  <si>
    <t>Melting_Curves/meltCurve_Q86VN1_VPS36.pdf</t>
  </si>
  <si>
    <t>Melting_Curves/meltCurve_Q86VP1_2_TAX1BP1.pdf</t>
  </si>
  <si>
    <t>Melting_Curves/meltCurve_Q86VP6_CAND1.pdf</t>
  </si>
  <si>
    <t>Melting_Curves/meltCurve_Q86VQ6_TXNRD3.pdf</t>
  </si>
  <si>
    <t>Melting_Curves/meltCurve_Q86VR2_FAM134C.pdf</t>
  </si>
  <si>
    <t>Melting_Curves/meltCurve_Q86VS8_HOOK3.pdf</t>
  </si>
  <si>
    <t>Melting_Curves/meltCurve_Q86VU3_MAP4K2.pdf</t>
  </si>
  <si>
    <t>Melting_Curves/meltCurve_Q86VW0_SESTD1.pdf</t>
  </si>
  <si>
    <t>Melting_Curves/meltCurve_Q86VX2_2_COMMD7.pdf</t>
  </si>
  <si>
    <t>Melting_Curves/meltCurve_Q86VY4_TSPYL5.pdf</t>
  </si>
  <si>
    <t>Melting_Curves/meltCurve_Q86W34_AMZ2.pdf</t>
  </si>
  <si>
    <t>Melting_Curves/meltCurve_Q86W42_THOC6.pdf</t>
  </si>
  <si>
    <t>Melting_Curves/meltCurve_Q86W50_METTL16.pdf</t>
  </si>
  <si>
    <t>Melting_Curves/meltCurve_Q86W56_PARG.pdf</t>
  </si>
  <si>
    <t>Melting_Curves/meltCurve_Q86W92_2_PPFIBP1.pdf</t>
  </si>
  <si>
    <t>Melting_Curves/meltCurve_Q86W92_4_PPFIBP1.pdf</t>
  </si>
  <si>
    <t>Melting_Curves/meltCurve_Q86WA6_2_BPHL.pdf</t>
  </si>
  <si>
    <t>Melting_Curves/meltCurve_Q86WJ1_2_CHD1L.pdf</t>
  </si>
  <si>
    <t>Melting_Curves/meltCurve_Q86WN1_3_FCHSD1.pdf</t>
  </si>
  <si>
    <t>Melting_Curves/meltCurve_Q86WP2_GPBP1.pdf</t>
  </si>
  <si>
    <t>Melting_Curves/meltCurve_Q86WQ0_NR2C2AP.pdf</t>
  </si>
  <si>
    <t>Melting_Curves/meltCurve_Q86WR0_CCDC25.pdf</t>
  </si>
  <si>
    <t>Melting_Curves/meltCurve_Q86WR7_PROSER2.pdf</t>
  </si>
  <si>
    <t>Melting_Curves/meltCurve_Q86WT1_TTC30A.pdf</t>
  </si>
  <si>
    <t>Melting_Curves/meltCurve_Q86WU2_2_LDHD.pdf</t>
  </si>
  <si>
    <t>Melting_Curves/meltCurve_Q86WX3_RPS19BP1.pdf</t>
  </si>
  <si>
    <t>Melting_Curves/meltCurve_Q86X02_CDR2L.pdf</t>
  </si>
  <si>
    <t>Melting_Curves/meltCurve_Q86X10_RALGAPB.pdf</t>
  </si>
  <si>
    <t>Melting_Curves/meltCurve_Q86X27_RALGPS2.pdf</t>
  </si>
  <si>
    <t>Melting_Curves/meltCurve_Q86X40_3_LRRC28.pdf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</si>
  <si>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</si>
  <si>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</si>
  <si>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</si>
  <si>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</si>
  <si>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</si>
  <si>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Melting_Curves/meltCurve_Q86XA9_HEATR5A.pdf</t>
  </si>
  <si>
    <t>Melting_Curves/meltCurve_Q86XI2_NCAPG2.pdf</t>
  </si>
  <si>
    <t>Melting_Curves/meltCurve_Q86XN8_MEX3D.pdf</t>
  </si>
  <si>
    <t>Melting_Curves/meltCurve_Q86XP3_DDX42.pdf</t>
  </si>
  <si>
    <t>Melting_Curves/meltCurve_Q86XZ4_SPATS2.pdf</t>
  </si>
  <si>
    <t>Melting_Curves/meltCurve_Q86Y07_4_VRK2.pdf</t>
  </si>
  <si>
    <t>Melting_Curves/meltCurve_Q86Y37_CACUL1.pdf</t>
  </si>
  <si>
    <t>Melting_Curves/meltCurve_Q86Y56_HEATR2.pdf</t>
  </si>
  <si>
    <t>Melting_Curves/meltCurve_Q86Y79_PTRH1.pdf</t>
  </si>
  <si>
    <t>Melting_Curves/meltCurve_Q86Y82_STX12.pdf</t>
  </si>
  <si>
    <t>Melting_Curves/meltCurve_Q86YC2_PALB2.pdf</t>
  </si>
  <si>
    <t>Melting_Curves/meltCurve_Q86YH6_PDSS2.pdf</t>
  </si>
  <si>
    <t>Melting_Curves/meltCurve_Q86YL5_TDRP.pdf</t>
  </si>
  <si>
    <t>Melting_Curves/meltCurve_Q86YM7_HOMER1.pdf</t>
  </si>
  <si>
    <t>Melting_Curves/meltCurve_Q86YP4_2_GATAD2A.pdf</t>
  </si>
  <si>
    <t>Melting_Curves/meltCurve_Q86YR5_4_GPSM1.pdf</t>
  </si>
  <si>
    <t>Melting_Curves/meltCurve_Q86YS7_C2CD5.pdf</t>
  </si>
  <si>
    <t>Melting_Curves/meltCurve_Q86YV5_SGK223.pdf</t>
  </si>
  <si>
    <t>Melting_Curves/meltCurve_Q86YV9_HPS6.pdf</t>
  </si>
  <si>
    <t>Melting_Curves/meltCurve_Q86YZ3_HRNR.pdf</t>
  </si>
  <si>
    <t>Melting_Curves/meltCurve_Q8IU81_IRF2BP1.pdf</t>
  </si>
  <si>
    <t>Melting_Curves/meltCurve_Q8IU85_2_CAMK1D.pdf</t>
  </si>
  <si>
    <t>Melting_Curves/meltCurve_Q8IUC4_RHPN2.pdf</t>
  </si>
  <si>
    <t>Melting_Curves/meltCurve_Q8IUD2_ERC1.pdf</t>
  </si>
  <si>
    <t>Melting_Curves/meltCurve_Q8IUD6_RNF135.pdf</t>
  </si>
  <si>
    <t>Melting_Curves/meltCurve_Q8IUF8_4_MINA.pdf</t>
  </si>
  <si>
    <t>Melting_Curves/meltCurve_Q8IUI8_CRLF3.pdf</t>
  </si>
  <si>
    <t>Melting_Curves/meltCurve_Q8IUQ4_SIAH1.pdf</t>
  </si>
  <si>
    <t>Melting_Curves/meltCurve_Q8IUR0_TRAPPC5.pdf</t>
  </si>
  <si>
    <t>Melting_Curves/meltCurve_Q8IUR7_7_ARMC8.pdf</t>
  </si>
  <si>
    <t>Melting_Curves/meltCurve_Q8IUW1_ANKRD10.pdf</t>
  </si>
  <si>
    <t>Melting_Curves/meltCurve_Q8IUW3_SPATA2L.pdf</t>
  </si>
  <si>
    <t>Melting_Curves/meltCurve_Q8IV08_PLD3.pdf</t>
  </si>
  <si>
    <t>Melting_Curves/meltCurve_Q8IV20_LACC1.pdf</t>
  </si>
  <si>
    <t>Melting_Curves/meltCurve_Q8IV36_3_HID1.pdf</t>
  </si>
  <si>
    <t>Melting_Curves/meltCurve_Q8IV38_ANKMY2.pdf</t>
  </si>
  <si>
    <t>Melting_Curves/meltCurve_Q8IV48_ERI1.pdf</t>
  </si>
  <si>
    <t>Melting_Curves/meltCurve_Q8IV50_LYSMD2.pdf</t>
  </si>
  <si>
    <t>Melting_Curves/meltCurve_Q8IV56_PRR15.pdf</t>
  </si>
  <si>
    <t>Melting_Curves/meltCurve_Q8IV63_3_VRK3.pdf</t>
  </si>
  <si>
    <t>Melting_Curves/meltCurve_Q8IVB5_LIX1L.pdf</t>
  </si>
  <si>
    <t>Melting_Curves/meltCurve_Q8IVD9_NUDCD3.pdf</t>
  </si>
  <si>
    <t>Melting_Curves/meltCurve_Q8IVE3_3_PLEKHH2.pdf</t>
  </si>
  <si>
    <t>Melting_Curves/meltCurve_Q8IVF2_3_AHNAK2.pdf</t>
  </si>
  <si>
    <t>Melting_Curves/meltCurve_Q8IVF6_ANKRD18A.pdf</t>
  </si>
  <si>
    <t>Melting_Curves/meltCurve_Q8IVH8_3_MAP4K3.pdf</t>
  </si>
  <si>
    <t>Melting_Curves/meltCurve_Q8IVL1_4_NAV2.pdf</t>
  </si>
  <si>
    <t>Melting_Curves/meltCurve_Q8IVL5_LEPREL1.pdf</t>
  </si>
  <si>
    <t>Melting_Curves/meltCurve_Q8IVM0_CCDC50.pdf</t>
  </si>
  <si>
    <t>Melting_Curves/meltCurve_Q8IVS2_MCAT.pdf</t>
  </si>
  <si>
    <t>Melting_Curves/meltCurve_Q8IVT2_C19orf21.pdf</t>
  </si>
  <si>
    <t>Melting_Curves/meltCurve_Q8IVV2_LOXHD1.pdf</t>
  </si>
  <si>
    <t>Melting_Curves/meltCurve_Q8IW19_APLF.pdf</t>
  </si>
  <si>
    <t>Melting_Curves/meltCurve_Q8IW41_2_MAPKAPK5.pdf</t>
  </si>
  <si>
    <t>Melting_Curves/meltCurve_Q8IW45_CARKD.pdf</t>
  </si>
  <si>
    <t>Melting_Curves/meltCurve_Q8IW50_7_FAM219A.pdf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</si>
  <si>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</si>
  <si>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</si>
  <si>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</si>
  <si>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</si>
  <si>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Melting_Curves/meltCurve_Q8IWE2_FAM114A1.pdf</t>
  </si>
  <si>
    <t>Melting_Curves/meltCurve_Q8IWI9_MGA.pdf</t>
  </si>
  <si>
    <t>Melting_Curves/meltCurve_Q8IWJ2_GCC2.pdf</t>
  </si>
  <si>
    <t>Melting_Curves/meltCurve_Q8IWL3_HSCB.pdf</t>
  </si>
  <si>
    <t>Melting_Curves/meltCurve_Q8IWQ3_3_BRSK2.pdf</t>
  </si>
  <si>
    <t>Melting_Curves/meltCurve_Q8IWT0_ZBTB8OS.pdf</t>
  </si>
  <si>
    <t>Melting_Curves/meltCurve_Q8IWU2_LMTK2.pdf</t>
  </si>
  <si>
    <t>Melting_Curves/meltCurve_Q8IWV7_UBR1.pdf</t>
  </si>
  <si>
    <t>Melting_Curves/meltCurve_Q8IWV8_4_UBR2.pdf</t>
  </si>
  <si>
    <t>Melting_Curves/meltCurve_Q8IWW6_2_ARHGAP12.pdf</t>
  </si>
  <si>
    <t>Melting_Curves/meltCurve_Q8IWX8_CHERP.pdf</t>
  </si>
  <si>
    <t>Melting_Curves/meltCurve_Q8IWY9_1_CDAN1.pdf</t>
  </si>
  <si>
    <t>Melting_Curves/meltCurve_Q8IWZ3_6_ANKHD1.pdf</t>
  </si>
  <si>
    <t>Melting_Curves/meltCurve_Q8IWZ8_SUGP1.pdf</t>
  </si>
  <si>
    <t>Melting_Curves/meltCurve_Q8IX01_4_SUGP2.pdf</t>
  </si>
  <si>
    <t>Melting_Curves/meltCurve_Q8IX03_2_WWC1.pdf</t>
  </si>
  <si>
    <t>Melting_Curves/meltCurve_Q8IX04_6_UEVLD.pdf</t>
  </si>
  <si>
    <t>Melting_Curves/meltCurve_Q8IX07_ZFPM1.pdf</t>
  </si>
  <si>
    <t>Melting_Curves/meltCurve_Q8IX12_2_CCAR1.pdf</t>
  </si>
  <si>
    <t>Melting_Curves/meltCurve_Q8IX15_HOMEZ.pdf</t>
  </si>
  <si>
    <t>Melting_Curves/meltCurve_Q8IX18_3_DHX40.pdf</t>
  </si>
  <si>
    <t>Melting_Curves/meltCurve_Q8IX90_SKA3.pdf</t>
  </si>
  <si>
    <t>Melting_Curves/meltCurve_Q8IXB1_DNAJC10.pdf</t>
  </si>
  <si>
    <t>Melting_Curves/meltCurve_Q8IXH7_4_NELFCD.pdf</t>
  </si>
  <si>
    <t>Melting_Curves/meltCurve_Q8IXJ6_2_SIRT2.pdf</t>
  </si>
  <si>
    <t>Melting_Curves/meltCurve_Q8IXK0_2_PHC2.pdf</t>
  </si>
  <si>
    <t>Melting_Curves/meltCurve_Q8IXN7_RIMKLA.pdf</t>
  </si>
  <si>
    <t>Melting_Curves/meltCurve_Q8IXQ3_C9orf40.pdf</t>
  </si>
  <si>
    <t>Melting_Curves/meltCurve_Q8IXQ4_KIAA1704.pdf</t>
  </si>
  <si>
    <t>Melting_Curves/meltCurve_Q8IXW5_2_RPAP2.pdf</t>
  </si>
  <si>
    <t>Melting_Curves/meltCurve_Q8IY22_CMIP.pdf</t>
  </si>
  <si>
    <t>Melting_Curves/meltCurve_Q8IY31_IFT20.pdf</t>
  </si>
  <si>
    <t>Melting_Curves/meltCurve_Q8IY37_DHX37.pdf</t>
  </si>
  <si>
    <t>Melting_Curves/meltCurve_Q8IY47_KBTBD2.pdf</t>
  </si>
  <si>
    <t>Melting_Curves/meltCurve_Q8IY63_2_AMOTL1.pdf</t>
  </si>
  <si>
    <t>Melting_Curves/meltCurve_Q8IY81_FTSJ3.pdf</t>
  </si>
  <si>
    <t>Melting_Curves/meltCurve_Q8IY85_EFCAB13.pdf</t>
  </si>
  <si>
    <t>Melting_Curves/meltCurve_Q8IY92_SLX4.pdf</t>
  </si>
  <si>
    <t>Melting_Curves/meltCurve_Q8IYA6_CKAP2L.pdf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</si>
  <si>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</si>
  <si>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</si>
  <si>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</si>
  <si>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</si>
  <si>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</si>
  <si>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Melting_Curves/meltCurve_Q8IYH5_4_ZZZ3.pdf</t>
  </si>
  <si>
    <t>Melting_Curves/meltCurve_Q8IYI6_EXOC8.pdf</t>
  </si>
  <si>
    <t>Melting_Curves/meltCurve_Q8IYL3_C1orf174.pdf</t>
  </si>
  <si>
    <t>Melting_Curves/meltCurve_Q8IYN2_TCEAL8.pdf</t>
  </si>
  <si>
    <t>Melting_Curves/meltCurve_Q8IYN9_PTK2.pdf</t>
  </si>
  <si>
    <t>Melting_Curves/meltCurve_Q8IYQ7_THNSL1.pdf</t>
  </si>
  <si>
    <t>Melting_Curves/meltCurve_Q8IYR2_SMYD4.pdf</t>
  </si>
  <si>
    <t>Melting_Curves/meltCurve_Q8IYS1_PM20D2.pdf</t>
  </si>
  <si>
    <t>Melting_Curves/meltCurve_Q8IYT2_FTSJD1.pdf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</si>
  <si>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</si>
  <si>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</si>
  <si>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</si>
  <si>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</si>
  <si>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Melting_Curves/meltCurve_Q8IZ41_RASEF.pdf</t>
  </si>
  <si>
    <t>Melting_Curves/meltCurve_Q8IZ69_TRMT2A.pdf</t>
  </si>
  <si>
    <t>Melting_Curves/meltCurve_Q8IZ73_RPUSD2.pdf</t>
  </si>
  <si>
    <t>Melting_Curves/meltCurve_Q8IZ83_ALDH16A1.pdf</t>
  </si>
  <si>
    <t>Melting_Curves/meltCurve_Q8IZD2_6_MLL5.pdf</t>
  </si>
  <si>
    <t>Melting_Curves/meltCurve_Q8IZD4_DCP1B.pdf</t>
  </si>
  <si>
    <t>Melting_Curves/meltCurve_Q8IZH2_2_XRN1.pdf</t>
  </si>
  <si>
    <t>Melting_Curves/meltCurve_Q8IZP0_10_ABI1.pdf</t>
  </si>
  <si>
    <t>Melting_Curves/meltCurve_Q8IZQ1_2_WDFY3.pdf</t>
  </si>
  <si>
    <t>Melting_Curves/meltCurve_Q8IZT6_2_ASPM.pdf</t>
  </si>
  <si>
    <t>Melting_Curves/meltCurve_Q8IZW8_TNS4.pdf</t>
  </si>
  <si>
    <t>Melting_Curves/meltCurve_Q8N0T1_C8orf59.pdf</t>
  </si>
  <si>
    <t>Melting_Curves/meltCurve_Q8N0U4_3_FAM185A.pdf</t>
  </si>
  <si>
    <t>Melting_Curves/meltCurve_Q8N0W3_FUK.pdf</t>
  </si>
  <si>
    <t>Melting_Curves/meltCurve_Q8N0X7_SPG20.pdf</t>
  </si>
  <si>
    <t>Melting_Curves/meltCurve_Q8N0Z3_SPICE1.pdf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</si>
  <si>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</si>
  <si>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</si>
  <si>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</si>
  <si>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</si>
  <si>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Melting_Curves/meltCurve_Q8N130_SLC34A3.pdf</t>
  </si>
  <si>
    <t>Melting_Curves/meltCurve_Q8N142_ADSSL1.pdf</t>
  </si>
  <si>
    <t>Melting_Curves/meltCurve_Q8N163_KIAA1967.pdf</t>
  </si>
  <si>
    <t>Melting_Curves/meltCurve_Q8N1B4_VPS52.pdf</t>
  </si>
  <si>
    <t>Melting_Curves/meltCurve_Q8N1F7_NUP93.pdf</t>
  </si>
  <si>
    <t>Melting_Curves/meltCurve_Q8N1G0_ZNF687.pdf</t>
  </si>
  <si>
    <t>Melting_Curves/meltCurve_Q8N1G1_REXO1.pdf</t>
  </si>
  <si>
    <t>Melting_Curves/meltCurve_Q8N1G2_FTSJD2.pdf</t>
  </si>
  <si>
    <t>Melting_Curves/meltCurve_Q8N1G4_LRRC47.pdf</t>
  </si>
  <si>
    <t>Melting_Curves/meltCurve_Q8N1I0_DOCK4.pdf</t>
  </si>
  <si>
    <t>Melting_Curves/meltCurve_Q8N1W1_4_ARHGEF28.pdf</t>
  </si>
  <si>
    <t>Melting_Curves/meltCurve_Q8N201_INTS1.pdf</t>
  </si>
  <si>
    <t>Melting_Curves/meltCurve_Q8N2F6_4_ARMC10.pdf</t>
  </si>
  <si>
    <t>Melting_Curves/meltCurve_Q8N2W9_PIAS4.pdf</t>
  </si>
  <si>
    <t>Melting_Curves/meltCurve_Q8N2Y8_RUSC2.pdf</t>
  </si>
  <si>
    <t>Melting_Curves/meltCurve_Q8N2Z9_APITD1.pdf</t>
  </si>
  <si>
    <t>Melting_Curves/meltCurve_Q8N300_CCDC23.pdf</t>
  </si>
  <si>
    <t>Melting_Curves/meltCurve_Q8N302_AGGF1.pdf</t>
  </si>
  <si>
    <t>Melting_Curves/meltCurve_Q8N335_GPD1L.pdf</t>
  </si>
  <si>
    <t>Melting_Curves/meltCurve_Q8N371_KDM8.pdf</t>
  </si>
  <si>
    <t>Melting_Curves/meltCurve_Q8N392_ARHGAP18.pdf</t>
  </si>
  <si>
    <t>Melting_Curves/meltCurve_Q8N3C0_ASCC3.pdf</t>
  </si>
  <si>
    <t>Melting_Curves/meltCurve_Q8N3C7_CLIP4.pdf</t>
  </si>
  <si>
    <t>Melting_Curves/meltCurve_Q8N3D4_EHBP1L1.pdf</t>
  </si>
  <si>
    <t>Melting_Curves/meltCurve_Q8N3F8_MICALL1.pdf</t>
  </si>
  <si>
    <t>Melting_Curves/meltCurve_Q8N3P4_3_VPS8.pdf</t>
  </si>
  <si>
    <t>Melting_Curves/meltCurve_Q8N3R9_MPP5.pdf</t>
  </si>
  <si>
    <t>Melting_Curves/meltCurve_Q8N3V7_2_SYNPO.pdf</t>
  </si>
  <si>
    <t>Melting_Curves/meltCurve_Q8N3X1_FNBP4.pdf</t>
  </si>
  <si>
    <t>Melting_Curves/meltCurve_Q8N3Y1_FBXW8.pdf</t>
  </si>
  <si>
    <t>Melting_Curves/meltCurve_Q8N465_D2HGDH.pdf</t>
  </si>
  <si>
    <t>Melting_Curves/meltCurve_Q8N488_RYBP.pdf</t>
  </si>
  <si>
    <t>Melting_Curves/meltCurve_Q8N4C8_MINK1.pdf</t>
  </si>
  <si>
    <t>Melting_Curves/meltCurve_Q8N4J0_C9orf41.pdf</t>
  </si>
  <si>
    <t>Melting_Curves/meltCurve_Q8N4N3_KLHL36.pdf</t>
  </si>
  <si>
    <t>Melting_Curves/meltCurve_Q8N4P3_HDDC3.pdf</t>
  </si>
  <si>
    <t>Melting_Curves/meltCurve_Q8N4Q0_ZADH2.pdf</t>
  </si>
  <si>
    <t>Melting_Curves/meltCurve_Q8N4Q1_CHCHD4.pdf</t>
  </si>
  <si>
    <t>Melting_Curves/meltCurve_Q8N4T8_CBR4.pdf</t>
  </si>
  <si>
    <t>Melting_Curves/meltCurve_Q8N4X5_AFAP1L2.pdf</t>
  </si>
  <si>
    <t>Melting_Curves/meltCurve_Q8N543_OGFOD1.pdf</t>
  </si>
  <si>
    <t>Melting_Curves/meltCurve_Q8N556_AFAP1.pdf</t>
  </si>
  <si>
    <t>Melting_Curves/meltCurve_Q8N573_2_OXR1.pdf</t>
  </si>
  <si>
    <t>Melting_Curves/meltCurve_Q8N584_2_TTC39C.pdf</t>
  </si>
  <si>
    <t>Melting_Curves/meltCurve_Q8N5A5_3_ZGPAT.pdf</t>
  </si>
  <si>
    <t>Melting_Curves/meltCurve_Q8N5C8_2_TAB3.pdf</t>
  </si>
  <si>
    <t>Melting_Curves/meltCurve_Q8N5F7_NKAP.pdf</t>
  </si>
  <si>
    <t>Melting_Curves/meltCurve_Q8N5G2_TMEM57.pdf</t>
  </si>
  <si>
    <t>Melting_Curves/meltCurve_Q8N5I9_C12orf45.pdf</t>
  </si>
  <si>
    <t>Melting_Curves/meltCurve_Q8N5M1_ATPAF2.pdf</t>
  </si>
  <si>
    <t>Melting_Curves/meltCurve_Q8N5N7_MRPL50.pdf</t>
  </si>
  <si>
    <t>Melting_Curves/meltCurve_Q8N5P1_ZC3H8.pdf</t>
  </si>
  <si>
    <t>Melting_Curves/meltCurve_Q8N5S9_CAMKK1.pdf</t>
  </si>
  <si>
    <t>Melting_Curves/meltCurve_Q8N5W9_FAM101B.pdf</t>
  </si>
  <si>
    <t>Melting_Curves/meltCurve_Q8N5X7_EIF4E3.pdf</t>
  </si>
  <si>
    <t>Melting_Curves/meltCurve_Q8N612_FAM160A2.pdf</t>
  </si>
  <si>
    <t>Melting_Curves/meltCurve_Q8N653_LZTR1.pdf</t>
  </si>
  <si>
    <t>Melting_Curves/meltCurve_Q8N655_C10orf12.pdf</t>
  </si>
  <si>
    <t>Melting_Curves/meltCurve_Q8N668_COMMD1.pdf</t>
  </si>
  <si>
    <t>Melting_Curves/meltCurve_Q8N684_CPSF7.pdf</t>
  </si>
  <si>
    <t>Melting_Curves/meltCurve_Q8N6H7_ARFGAP2.pdf</t>
  </si>
  <si>
    <t>Melting_Curves/meltCurve_Q8N6I1_EID2.pdf</t>
  </si>
  <si>
    <t>Melting_Curves/meltCurve_Q8N6M0_OTUD6B.pdf</t>
  </si>
  <si>
    <t>Melting_Curves/meltCurve_Q8N6N3_2_C1orf52.pdf</t>
  </si>
  <si>
    <t>Melting_Curves/meltCurve_Q8N6N7_ACBD7.pdf</t>
  </si>
  <si>
    <t>Melting_Curves/meltCurve_Q8N749_TOM1L1.pdf</t>
  </si>
  <si>
    <t>Melting_Curves/meltCurve_Q8N7C3_TRIML2.pdf</t>
  </si>
  <si>
    <t>Melting_Curves/meltCurve_Q8N806_UBR7.pdf</t>
  </si>
  <si>
    <t>Melting_Curves/meltCurve_Q8N819_2_PPM1N.pdf</t>
  </si>
  <si>
    <t>Melting_Curves/meltCurve_Q8N8A2_ANKRD44.pdf</t>
  </si>
  <si>
    <t>Melting_Curves/meltCurve_Q8N8A6_DDX51.pdf</t>
  </si>
  <si>
    <t>Melting_Curves/meltCurve_Q8N8N7_PTGR2.pdf</t>
  </si>
  <si>
    <t>Melting_Curves/meltCurve_Q8N8R5_C2orf69.pdf</t>
  </si>
  <si>
    <t>Melting_Curves/meltCurve_Q8N8R7_ARL14EP.pdf</t>
  </si>
  <si>
    <t>Melting_Curves/meltCurve_Q8N8S7_ENAH.pdf</t>
  </si>
  <si>
    <t>Melting_Curves/meltCurve_Q8N8S7_2_ENAH.pdf</t>
  </si>
  <si>
    <t>Melting_Curves/meltCurve_Q8N8V4_ANKS4B.pdf</t>
  </si>
  <si>
    <t>Melting_Curves/meltCurve_Q8N954_GPATCH11.pdf</t>
  </si>
  <si>
    <t>Melting_Curves/meltCurve_Q8N961_2_ABTB2.pdf</t>
  </si>
  <si>
    <t>Melting_Curves/meltCurve_Q8N999_C12orf29.pdf</t>
  </si>
  <si>
    <t>Melting_Curves/meltCurve_Q8N9B5_2_JMY.pdf</t>
  </si>
  <si>
    <t>Melting_Curves/meltCurve_Q8N9M5_TMEM102.pdf</t>
  </si>
  <si>
    <t>Melting_Curves/meltCurve_Q8N9N2_2_ASCC1.pdf</t>
  </si>
  <si>
    <t>Melting_Curves/meltCurve_Q8N9N8_EIF1AD.pdf</t>
  </si>
  <si>
    <t>Melting_Curves/meltCurve_Q8N9R8_SCAI.pdf</t>
  </si>
  <si>
    <t>Melting_Curves/meltCurve_Q8N9V3_WDSUB1.pdf</t>
  </si>
  <si>
    <t>Melting_Curves/meltCurve_Q8NAF0_ZNF579.pdf</t>
  </si>
  <si>
    <t>Melting_Curves/meltCurve_Q8NB15_2_ZNF511.pdf</t>
  </si>
  <si>
    <t>Melting_Curves/meltCurve_Q8NB16_MLKL.pdf</t>
  </si>
  <si>
    <t>Melting_Curves/meltCurve_Q8NB37_PDDC1.pdf</t>
  </si>
  <si>
    <t>Melting_Curves/meltCurve_Q8NB46_ANKRD52.pdf</t>
  </si>
  <si>
    <t>Melting_Curves/meltCurve_Q8NB78_KDM1B.pdf</t>
  </si>
  <si>
    <t>Melting_Curves/meltCurve_Q8NBA8_DTWD2.pdf</t>
  </si>
  <si>
    <t>Melting_Curves/meltCurve_Q8NBF2_NHLRC2.pdf</t>
  </si>
  <si>
    <t>Melting_Curves/meltCurve_Q8NBF6_AVL9.pdf</t>
  </si>
  <si>
    <t>Melting_Curves/meltCurve_Q8NBJ4_2_GOLM1.pdf</t>
  </si>
  <si>
    <t>Melting_Curves/meltCurve_Q8NBJ5_COLGALT1.pdf</t>
  </si>
  <si>
    <t>Melting_Curves/meltCurve_Q8NBJ7_SUMF2.pdf</t>
  </si>
  <si>
    <t>Melting_Curves/meltCurve_Q8NBK3_4_SUMF1.pdf</t>
  </si>
  <si>
    <t>Melting_Curves/meltCurve_Q8NBL1_POGLUT1.pdf</t>
  </si>
  <si>
    <t>Melting_Curves/meltCurve_Q8NC26_2_ZNF114.pdf</t>
  </si>
  <si>
    <t>Melting_Curves/meltCurve_Q8NC51_2_SERBP1.pdf</t>
  </si>
  <si>
    <t>Melting_Curves/meltCurve_Q8NC56_LEMD2.pdf</t>
  </si>
  <si>
    <t>Melting_Curves/meltCurve_Q8NC96_NECAP1.pdf</t>
  </si>
  <si>
    <t>Melting_Curves/meltCurve_Q8NCA5_2_FAM98A.pdf</t>
  </si>
  <si>
    <t>Melting_Curves/meltCurve_Q8NCC3_PLA2G15.pdf</t>
  </si>
  <si>
    <t>Melting_Curves/meltCurve_Q8NCD3_3_HJURP.pdf</t>
  </si>
  <si>
    <t>Melting_Curves/meltCurve_Q8NCE0_4_TSEN2.pdf</t>
  </si>
  <si>
    <t>Melting_Curves/meltCurve_Q8NCE2_2_MTMR14.pdf</t>
  </si>
  <si>
    <t>Melting_Curves/meltCurve_Q8NCF5_NFATC2IP.pdf</t>
  </si>
  <si>
    <t>Melting_Curves/meltCurve_Q8NCM8_DYNC2H1.pdf</t>
  </si>
  <si>
    <t>Melting_Curves/meltCurve_Q8NCN4_RNF169.pdf</t>
  </si>
  <si>
    <t>Melting_Curves/meltCurve_Q8NCN5_PDPR.pdf</t>
  </si>
  <si>
    <t>Melting_Curves/meltCurve_Q8NCW5_APOA1BP.pdf</t>
  </si>
  <si>
    <t>Melting_Curves/meltCurve_Q8ND04_SMG8.pdf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</si>
  <si>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</si>
  <si>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</si>
  <si>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</si>
  <si>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</si>
  <si>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Melting_Curves/meltCurve_Q8NDC0_MAPK1IP1L.pdf</t>
  </si>
  <si>
    <t>Melting_Curves/meltCurve_Q8NDF8_PAPD5.pdf</t>
  </si>
  <si>
    <t>Melting_Curves/meltCurve_Q8NDH3_NPEPL1.pdf</t>
  </si>
  <si>
    <t>Melting_Curves/meltCurve_Q8NDI1_3_EHBP1.pdf</t>
  </si>
  <si>
    <t>Melting_Curves/meltCurve_Q8NDV7_6_TNRC6A.pdf</t>
  </si>
  <si>
    <t>Melting_Curves/meltCurve_Q8NDX5_2_PHC3.pdf</t>
  </si>
  <si>
    <t>Melting_Curves/meltCurve_Q8NE71_ABCF1.pdf</t>
  </si>
  <si>
    <t>Melting_Curves/meltCurve_Q8NEB9_PIK3C3.pdf</t>
  </si>
  <si>
    <t>Melting_Curves/meltCurve_Q8NEC7_GSTCD.pdf</t>
  </si>
  <si>
    <t>Melting_Curves/meltCurve_Q8NEF9_SRFBP1.pdf</t>
  </si>
  <si>
    <t>Melting_Curves/meltCurve_Q8NEL9_2_DDHD1.pdf</t>
  </si>
  <si>
    <t>Melting_Curves/meltCurve_Q8NEM0_MCPH1.pdf</t>
  </si>
  <si>
    <t>Melting_Curves/meltCurve_Q8NEM2_SHCBP1.pdf</t>
  </si>
  <si>
    <t>Melting_Curves/meltCurve_Q8NEN9_PDZD8.pdf</t>
  </si>
  <si>
    <t>Melting_Curves/meltCurve_Q8NEU8_APPL2.pdf</t>
  </si>
  <si>
    <t>Melting_Curves/meltCurve_Q8NEY1_2_NAV1.pdf</t>
  </si>
  <si>
    <t>Melting_Curves/meltCurve_Q8NEZ2_VPS37A.pdf</t>
  </si>
  <si>
    <t>Melting_Curves/meltCurve_Q8NEZ4_MLL3.pdf</t>
  </si>
  <si>
    <t>Melting_Curves/meltCurve_Q8NEZ5_FBXO22.pdf</t>
  </si>
  <si>
    <t>Melting_Curves/meltCurve_Q8NF67_.pdf</t>
  </si>
  <si>
    <t>Melting_Curves/meltCurve_Q8NF91_SYNE1.pdf</t>
  </si>
  <si>
    <t>Melting_Curves/meltCurve_Q8NFA0_USP32.pdf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</si>
  <si>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</si>
  <si>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</si>
  <si>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</si>
  <si>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</si>
  <si>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</si>
  <si>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Melting_Curves/meltCurve_Q8NFH8_4_REPS2.pdf</t>
  </si>
  <si>
    <t>Melting_Curves/meltCurve_Q8NFI3_ENGASE.pdf</t>
  </si>
  <si>
    <t>Melting_Curves/meltCurve_Q8NFQ8_TOR1AIP2.pdf</t>
  </si>
  <si>
    <t>Melting_Curves/meltCurve_Q8NFV4_ABHD11.pdf</t>
  </si>
  <si>
    <t>Melting_Curves/meltCurve_Q8NFW8_CMAS.pdf</t>
  </si>
  <si>
    <t>Melting_Curves/meltCurve_Q8NFZ5_TNIP2.pdf</t>
  </si>
  <si>
    <t>Melting_Curves/meltCurve_Q8NFZ8_CADM4.pdf</t>
  </si>
  <si>
    <t>Melting_Curves/meltCurve_Q8NG08_HELB.pdf</t>
  </si>
  <si>
    <t>Melting_Curves/meltCurve_Q8NG27_3_PJA1.pdf</t>
  </si>
  <si>
    <t>Melting_Curves/meltCurve_Q8NG31_2_CASC5.pdf</t>
  </si>
  <si>
    <t>Melting_Curves/meltCurve_Q8NG68_TTL.pdf</t>
  </si>
  <si>
    <t>Melting_Curves/meltCurve_Q8NHG8_ZNRF2.pdf</t>
  </si>
  <si>
    <t>Melting_Curves/meltCurve_Q8NHM4_TRY6.pdf</t>
  </si>
  <si>
    <t>Melting_Curves/meltCurve_Q8NHM5_2_KDM2B.pdf</t>
  </si>
  <si>
    <t>Melting_Curves/meltCurve_Q8NHP8_PLBD2.pdf</t>
  </si>
  <si>
    <t>Melting_Curves/meltCurve_Q8NHU6_TDRD7.pdf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</si>
  <si>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</si>
  <si>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</si>
  <si>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</si>
  <si>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</si>
  <si>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</si>
  <si>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Melting_Curves/meltCurve_Q8NI35_INADL.pdf</t>
  </si>
  <si>
    <t>Melting_Curves/meltCurve_Q8NI36_WDR36.pdf</t>
  </si>
  <si>
    <t>Melting_Curves/meltCurve_Q8TA86_RP9.pdf</t>
  </si>
  <si>
    <t>Melting_Curves/meltCurve_Q8TAD8_SNIP1.pdf</t>
  </si>
  <si>
    <t>Melting_Curves/meltCurve_Q8TAE6_PPP1R14C.pdf</t>
  </si>
  <si>
    <t>Melting_Curves/meltCurve_Q8TAE8_GADD45GIP1.pdf</t>
  </si>
  <si>
    <t>Melting_Curves/meltCurve_Q8TAF3_WDR48.pdf</t>
  </si>
  <si>
    <t>Melting_Curves/meltCurve_Q8TAP8_PPP1R35.pdf</t>
  </si>
  <si>
    <t>Melting_Curves/meltCurve_Q8TAP9_MPLKIP.pdf</t>
  </si>
  <si>
    <t>Melting_Curves/meltCurve_Q8TAQ2_SMARCC2.pdf</t>
  </si>
  <si>
    <t>Melting_Curves/meltCurve_Q8TAT6_NPLOC4.pdf</t>
  </si>
  <si>
    <t>Melting_Curves/meltCurve_Q8TB03_CXorf38.pdf</t>
  </si>
  <si>
    <t>Melting_Curves/meltCurve_Q8TB22_SPATA20.pdf</t>
  </si>
  <si>
    <t>Melting_Curves/meltCurve_Q8TB24_RIN3.pdf</t>
  </si>
  <si>
    <t>Melting_Curves/meltCurve_Q8TB37_NUBPL.pdf</t>
  </si>
  <si>
    <t>Melting_Curves/meltCurve_Q8TB40_ABHD4.pdf</t>
  </si>
  <si>
    <t>Melting_Curves/meltCurve_Q8TB52_FBXO30.pdf</t>
  </si>
  <si>
    <t>Melting_Curves/meltCurve_Q8TB72_3_PUM2.pdf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</si>
  <si>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</si>
  <si>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</si>
  <si>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</si>
  <si>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</si>
  <si>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Melting_Curves/meltCurve_Q8TBF2_4_FAM213B.pdf</t>
  </si>
  <si>
    <t>Melting_Curves/meltCurve_Q8TBM8_DNAJB14.pdf</t>
  </si>
  <si>
    <t>Melting_Curves/meltCurve_Q8TBN0_RAB3IL1.pdf</t>
  </si>
  <si>
    <t>Melting_Curves/meltCurve_Q8TBX8_PIP4K2C.pdf</t>
  </si>
  <si>
    <t>Melting_Curves/meltCurve_Q8TBZ6_TRMT10A.pdf</t>
  </si>
  <si>
    <t>Melting_Curves/meltCurve_Q8TC07_2_TBC1D15.pdf</t>
  </si>
  <si>
    <t>Melting_Curves/meltCurve_Q8TCA0_LRRC20.pdf</t>
  </si>
  <si>
    <t>Melting_Curves/meltCurve_Q8TCD5_NT5C.pdf</t>
  </si>
  <si>
    <t>Melting_Curves/meltCurve_Q8TCE6_2_FAM45A.pdf</t>
  </si>
  <si>
    <t>Melting_Curves/meltCurve_Q8TCG1_KIAA1524.pdf</t>
  </si>
  <si>
    <t>Melting_Curves/meltCurve_Q8TCN5_ZNF507.pdf</t>
  </si>
  <si>
    <t>Melting_Curves/meltCurve_Q8TCS8_PNPT1.pdf</t>
  </si>
  <si>
    <t>Melting_Curves/meltCurve_Q8TCU4_3_ALMS1.pdf</t>
  </si>
  <si>
    <t>Melting_Curves/meltCurve_Q8TCU6_PREX1.pdf</t>
  </si>
  <si>
    <t>Melting_Curves/meltCurve_Q8TCX1_DYNC2LI1.pdf</t>
  </si>
  <si>
    <t>Melting_Curves/meltCurve_Q8TCY9_URGCP.pdf</t>
  </si>
  <si>
    <t>Melting_Curves/meltCurve_Q8TD08_2_MAPK15.pdf</t>
  </si>
  <si>
    <t>Melting_Curves/meltCurve_Q8TD10_MIPOL1.pdf</t>
  </si>
  <si>
    <t>Melting_Curves/meltCurve_Q8TD16_BICD2.pdf</t>
  </si>
  <si>
    <t>Melting_Curves/meltCurve_Q8TD19_NEK9.pdf</t>
  </si>
  <si>
    <t>Melting_Curves/meltCurve_Q8TD30_GPT2.pdf</t>
  </si>
  <si>
    <t>Melting_Curves/meltCurve_Q8TD55_2_PLEKHO2.pdf</t>
  </si>
  <si>
    <t>Melting_Curves/meltCurve_Q8TDB6_DTX3L.pdf</t>
  </si>
  <si>
    <t>Melting_Curves/meltCurve_Q8TDD1_DDX54.pdf</t>
  </si>
  <si>
    <t>Melting_Curves/meltCurve_Q8TDH9_BLOC1S5.pdf</t>
  </si>
  <si>
    <t>Melting_Curves/meltCurve_Q8TDJ6_DMXL2.pdf</t>
  </si>
  <si>
    <t>Melting_Curves/meltCurve_Q8TDM0_3_BCAS4.pdf</t>
  </si>
  <si>
    <t>Melting_Curves/meltCurve_Q8TDM6_DLG5.pdf</t>
  </si>
  <si>
    <t>Melting_Curves/meltCurve_Q8TDN6_BRIX1.pdf</t>
  </si>
  <si>
    <t>Melting_Curves/meltCurve_Q8TDQ7_GNPDA2.pdf</t>
  </si>
  <si>
    <t>Melting_Curves/meltCurve_Q8TDR0_2_TRAF3IP1.pdf</t>
  </si>
  <si>
    <t>Melting_Curves/meltCurve_Q8TDX7_NEK7.pdf</t>
  </si>
  <si>
    <t>Melting_Curves/meltCurve_Q8TDY2_2_RB1CC1.pdf</t>
  </si>
  <si>
    <t>Melting_Curves/meltCurve_Q8TDZ2_MICAL1.pdf</t>
  </si>
  <si>
    <t>Melting_Curves/meltCurve_Q8TE04_PANK1.pdf</t>
  </si>
  <si>
    <t>Melting_Curves/meltCurve_Q8TE76_3_MORC4.pdf</t>
  </si>
  <si>
    <t>Melting_Curves/meltCurve_Q8TE77_SSH3.pdf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</si>
  <si>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</si>
  <si>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</si>
  <si>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</si>
  <si>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</si>
  <si>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Melting_Curves/meltCurve_Q8TEH3_DENND1A.pdf</t>
  </si>
  <si>
    <t>Melting_Curves/meltCurve_Q8TEK3_2_DOT1L.pdf</t>
  </si>
  <si>
    <t>Melting_Curves/meltCurve_Q8TEQ0_2_SNX29.pdf</t>
  </si>
  <si>
    <t>Melting_Curves/meltCurve_Q8TEQ6_GEMIN5.pdf</t>
  </si>
  <si>
    <t>Melting_Curves/meltCurve_Q8TER5_ARHGEF40.pdf</t>
  </si>
  <si>
    <t>Melting_Curves/meltCurve_Q8TES7_5_FBF1.pdf</t>
  </si>
  <si>
    <t>Melting_Curves/meltCurve_Q8TEV9_SMCR8.pdf</t>
  </si>
  <si>
    <t>Melting_Curves/meltCurve_Q8TEW0_2_PARD3.pdf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</si>
  <si>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</si>
  <si>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</si>
  <si>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</si>
  <si>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</si>
  <si>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Melting_Curves/meltCurve_Q8TF46_DIS3L.pdf</t>
  </si>
  <si>
    <t>Melting_Curves/meltCurve_Q8TF72_SHROOM3.pdf</t>
  </si>
  <si>
    <t>Melting_Curves/meltCurve_Q8TF74_WIPF2.pdf</t>
  </si>
  <si>
    <t>Melting_Curves/meltCurve_Q8WTS6_SETD7.pdf</t>
  </si>
  <si>
    <t>Melting_Curves/meltCurve_Q8WTV0_4_SCARB1.pdf</t>
  </si>
  <si>
    <t>Melting_Curves/meltCurve_Q8WTW3_COG1.pdf</t>
  </si>
  <si>
    <t>Melting_Curves/meltCurve_Q8WU20_FRS2.pdf</t>
  </si>
  <si>
    <t>Melting_Curves/meltCurve_Q8WU76_2_SCFD2.pdf</t>
  </si>
  <si>
    <t>Melting_Curves/meltCurve_Q8WU79_2_SMAP2.pdf</t>
  </si>
  <si>
    <t>Melting_Curves/meltCurve_Q8WU90_ZC3H15.pdf</t>
  </si>
  <si>
    <t>Melting_Curves/meltCurve_Q8WUA2_PPIL4.pdf</t>
  </si>
  <si>
    <t>Melting_Curves/meltCurve_Q8WUA4_GTF3C2.pdf</t>
  </si>
  <si>
    <t>Melting_Curves/meltCurve_Q8WUA8_TSKU.pdf</t>
  </si>
  <si>
    <t>Melting_Curves/meltCurve_Q8WUB8_3_PHF10.pdf</t>
  </si>
  <si>
    <t>Melting_Curves/meltCurve_Q8WUD1_RAB2B.pdf</t>
  </si>
  <si>
    <t>Melting_Curves/meltCurve_Q8WUD4_CCDC12.pdf</t>
  </si>
  <si>
    <t>Melting_Curves/meltCurve_Q8WUF5_PPP1R13L.pdf</t>
  </si>
  <si>
    <t>Melting_Curves/meltCurve_Q8WUF8_FAM172A.pdf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</si>
  <si>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</si>
  <si>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</si>
  <si>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</si>
  <si>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</si>
  <si>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</si>
  <si>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Melting_Curves/meltCurve_Q8WUM0_NUP133.pdf</t>
  </si>
  <si>
    <t>Melting_Curves/meltCurve_Q8WUM4_PDCD6IP.pdf</t>
  </si>
  <si>
    <t>Melting_Curves/meltCurve_Q8WUN7_UBTD2.pdf</t>
  </si>
  <si>
    <t>Melting_Curves/meltCurve_Q8WUP2_FBLIM1.pdf</t>
  </si>
  <si>
    <t>Melting_Curves/meltCurve_Q8WUR7_C15orf40.pdf</t>
  </si>
  <si>
    <t>Melting_Curves/meltCurve_Q8WUW1_BRK1.pdf</t>
  </si>
  <si>
    <t>Melting_Curves/meltCurve_Q8WUX2_CHAC2.pdf</t>
  </si>
  <si>
    <t>Melting_Curves/meltCurve_Q8WUX9_CHMP7.pdf</t>
  </si>
  <si>
    <t>Melting_Curves/meltCurve_Q8WV22_NSMCE1.pdf</t>
  </si>
  <si>
    <t>Melting_Curves/meltCurve_Q8WV41_SNX33.pdf</t>
  </si>
  <si>
    <t>Melting_Curves/meltCurve_Q8WV92_MITD1.pdf</t>
  </si>
  <si>
    <t>Melting_Curves/meltCurve_Q8WVB3_HEXDC.pdf</t>
  </si>
  <si>
    <t>Melting_Curves/meltCurve_Q8WVB6_CHTF18.pdf</t>
  </si>
  <si>
    <t>Melting_Curves/meltCurve_Q8WVC0_LEO1.pdf</t>
  </si>
  <si>
    <t>Melting_Curves/meltCurve_Q8WVC2_RPS21.pdf</t>
  </si>
  <si>
    <t>Melting_Curves/meltCurve_Q8WVD3_RNF138.pdf</t>
  </si>
  <si>
    <t>Melting_Curves/meltCurve_Q8WVE0_N6AMT2.pdf</t>
  </si>
  <si>
    <t>Melting_Curves/meltCurve_Q8WVJ2_NUDCD2.pdf</t>
  </si>
  <si>
    <t>Melting_Curves/meltCurve_Q8WVK2_SNRNP27.pdf</t>
  </si>
  <si>
    <t>Melting_Curves/meltCurve_Q8WVL7_ANKRD49.pdf</t>
  </si>
  <si>
    <t>Melting_Curves/meltCurve_Q8WVM8_SCFD1.pdf</t>
  </si>
  <si>
    <t>Melting_Curves/meltCurve_Q8WVN8_3_UBE2Q2.pdf</t>
  </si>
  <si>
    <t>Melting_Curves/meltCurve_Q8WVT3_TRAPPC12.pdf</t>
  </si>
  <si>
    <t>Melting_Curves/meltCurve_Q8WVV4_POF1B.pdf</t>
  </si>
  <si>
    <t>Melting_Curves/meltCurve_Q8WVV9_4_HNRPLL.pdf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</si>
  <si>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</si>
  <si>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</si>
  <si>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</si>
  <si>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</si>
  <si>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Melting_Curves/meltCurve_Q8WWC4_C2orf47.pdf</t>
  </si>
  <si>
    <t>Melting_Curves/meltCurve_Q8WWH5_TRUB1.pdf</t>
  </si>
  <si>
    <t>Melting_Curves/meltCurve_Q8WWM7_ATXN2L.pdf</t>
  </si>
  <si>
    <t>Melting_Curves/meltCurve_Q8WWN8_ARAP3.pdf</t>
  </si>
  <si>
    <t>Melting_Curves/meltCurve_Q8WWX9_SELM.pdf</t>
  </si>
  <si>
    <t>Melting_Curves/meltCurve_Q8WWY3_PRPF31.pdf</t>
  </si>
  <si>
    <t>Melting_Curves/meltCurve_Q8WWZ3_2_EDARADD.pdf</t>
  </si>
  <si>
    <t>Melting_Curves/meltCurve_Q8WX92_NELFB.pdf</t>
  </si>
  <si>
    <t>Melting_Curves/meltCurve_Q8WX93_3_PALLD.pdf</t>
  </si>
  <si>
    <t>Melting_Curves/meltCurve_Q8WXA3_2_RUFY2.pdf</t>
  </si>
  <si>
    <t>Melting_Curves/meltCurve_Q8WXA9_2_SREK1.pdf</t>
  </si>
  <si>
    <t>Melting_Curves/meltCurve_Q8WXD5_GEMIN6.pdf</t>
  </si>
  <si>
    <t>Melting_Curves/meltCurve_Q8WXE0_CASKIN2.pdf</t>
  </si>
  <si>
    <t>Melting_Curves/meltCurve_Q8WXE1_2_ATRIP.pdf</t>
  </si>
  <si>
    <t>Melting_Curves/meltCurve_Q8WXF1_PSPC1.pdf</t>
  </si>
  <si>
    <t>Melting_Curves/meltCurve_Q8WXG6_6_MADD.pdf</t>
  </si>
  <si>
    <t>Melting_Curves/meltCurve_Q8WXH0_SYNE2.pdf</t>
  </si>
  <si>
    <t>Melting_Curves/meltCurve_Q8WXI2_5_CNKSR2.pdf</t>
  </si>
  <si>
    <t>Melting_Curves/meltCurve_Q8WXI4_2_ACOT11.pdf</t>
  </si>
  <si>
    <t>Melting_Curves/meltCurve_Q8WXI9_GATAD2B.pdf</t>
  </si>
  <si>
    <t>Melting_Curves/meltCurve_Q8WXW3_PIBF1.pdf</t>
  </si>
  <si>
    <t>Melting_Curves/meltCurve_Q8WXX5_DNAJC9.pdf</t>
  </si>
  <si>
    <t>Melting_Curves/meltCurve_Q8WYA0_IFT81.pdf</t>
  </si>
  <si>
    <t>Melting_Curves/meltCurve_Q8WYA6_CTNNBL1.pdf</t>
  </si>
  <si>
    <t>Melting_Curves/meltCurve_Q8WYB5_3_KAT6B.pdf</t>
  </si>
  <si>
    <t>Melting_Curves/meltCurve_Q8WYL5_SSH1.pdf</t>
  </si>
  <si>
    <t>Melting_Curves/meltCurve_Q8WYP3_RIN2.pdf</t>
  </si>
  <si>
    <t>Melting_Curves/meltCurve_Q8WYP5_AHCTF1.pdf</t>
  </si>
  <si>
    <t>Melting_Curves/meltCurve_Q8WZ73_3_RFFL.pdf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</si>
  <si>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</si>
  <si>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</si>
  <si>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</si>
  <si>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</si>
  <si>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Melting_Curves/meltCurve_Q92499_DDX1.pdf</t>
  </si>
  <si>
    <t>Melting_Curves/meltCurve_Q92503_3_SEC14L1.pdf</t>
  </si>
  <si>
    <t>Melting_Curves/meltCurve_Q92506_HSD17B8.pdf</t>
  </si>
  <si>
    <t>Melting_Curves/meltCurve_Q92522_H1FX.pdf</t>
  </si>
  <si>
    <t>Melting_Curves/meltCurve_Q92526_CCT6B.pdf</t>
  </si>
  <si>
    <t>Melting_Curves/meltCurve_Q92538_GBF1.pdf</t>
  </si>
  <si>
    <t>Melting_Curves/meltCurve_Q92540_2_SMG7.pdf</t>
  </si>
  <si>
    <t>Melting_Curves/meltCurve_Q92541_RTF1.pdf</t>
  </si>
  <si>
    <t>Melting_Curves/meltCurve_Q92545_TMEM131.pdf</t>
  </si>
  <si>
    <t>Melting_Curves/meltCurve_Q92547_TOPBP1.pdf</t>
  </si>
  <si>
    <t>Melting_Curves/meltCurve_Q92551_IP6K1.pdf</t>
  </si>
  <si>
    <t>Melting_Curves/meltCurve_Q92552_MRPS27.pdf</t>
  </si>
  <si>
    <t>Melting_Curves/meltCurve_Q92558_WASF1.pdf</t>
  </si>
  <si>
    <t>Melting_Curves/meltCurve_Q92560_BAP1.pdf</t>
  </si>
  <si>
    <t>Melting_Curves/meltCurve_Q92567_2_FAM168A.pdf</t>
  </si>
  <si>
    <t>Melting_Curves/meltCurve_Q92572_AP3S1.pdf</t>
  </si>
  <si>
    <t>Melting_Curves/meltCurve_Q92574_TSC1.pdf</t>
  </si>
  <si>
    <t>Melting_Curves/meltCurve_Q92575_UBXN4.pdf</t>
  </si>
  <si>
    <t>Melting_Curves/meltCurve_Q92576_2_PHF3.pdf</t>
  </si>
  <si>
    <t>Melting_Curves/meltCurve_Q92585_MAML1.pdf</t>
  </si>
  <si>
    <t>Melting_Curves/meltCurve_Q92597_NDRG1.pdf</t>
  </si>
  <si>
    <t>Melting_Curves/meltCurve_Q92598_2_HSPH1.pdf</t>
  </si>
  <si>
    <t>Melting_Curves/meltCurve_Q92599_2_SEPT8.pdf</t>
  </si>
  <si>
    <t>Melting_Curves/meltCurve_Q92600_RQCD1.pdf</t>
  </si>
  <si>
    <t>Melting_Curves/meltCurve_Q92609_TBC1D5.pdf</t>
  </si>
  <si>
    <t>Melting_Curves/meltCurve_Q92614_3_MYO18A.pdf</t>
  </si>
  <si>
    <t>Melting_Curves/meltCurve_Q92615_LARP4B.pdf</t>
  </si>
  <si>
    <t>Melting_Curves/meltCurve_Q92616_GCN1L1.pdf</t>
  </si>
  <si>
    <t>Melting_Curves/meltCurve_Q92618_ZNF516.pdf</t>
  </si>
  <si>
    <t>Melting_Curves/meltCurve_Q92620_DHX38.pdf</t>
  </si>
  <si>
    <t>Melting_Curves/meltCurve_Q92621_NUP205.pdf</t>
  </si>
  <si>
    <t>Melting_Curves/meltCurve_Q92623_TTC9.pdf</t>
  </si>
  <si>
    <t>Melting_Curves/meltCurve_Q92624_APPBP2.pdf</t>
  </si>
  <si>
    <t>Melting_Curves/meltCurve_Q92625_ANKS1A.pdf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</si>
  <si>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</si>
  <si>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</si>
  <si>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</si>
  <si>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</si>
  <si>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Melting_Curves/meltCurve_Q92686_NRGN.pdf</t>
  </si>
  <si>
    <t>Melting_Curves/meltCurve_Q92688_2_ANP32B.pdf</t>
  </si>
  <si>
    <t>Melting_Curves/meltCurve_Q92692_PVRL2.pdf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</si>
  <si>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</si>
  <si>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</si>
  <si>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</si>
  <si>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</si>
  <si>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Melting_Curves/meltCurve_Q92766_RREB1.pdf</t>
  </si>
  <si>
    <t>Melting_Curves/meltCurve_Q92783_2_STAM.pdf</t>
  </si>
  <si>
    <t>Melting_Curves/meltCurve_Q92785_DPF2.pdf</t>
  </si>
  <si>
    <t>Melting_Curves/meltCurve_Q92793_CREBBP.pdf</t>
  </si>
  <si>
    <t>Melting_Curves/meltCurve_Q92797_SYMPK.pdf</t>
  </si>
  <si>
    <t>Melting_Curves/meltCurve_Q92804_2_TAF15.pdf</t>
  </si>
  <si>
    <t>Melting_Curves/meltCurve_Q92805_GOLGA1.pdf</t>
  </si>
  <si>
    <t>Melting_Curves/meltCurve_Q92817_EVPL.pdf</t>
  </si>
  <si>
    <t>Melting_Curves/meltCurve_Q92820_GGH.pdf</t>
  </si>
  <si>
    <t>Melting_Curves/meltCurve_Q92830_KAT2A.pdf</t>
  </si>
  <si>
    <t>Melting_Curves/meltCurve_Q92834_4_RPGR.pdf</t>
  </si>
  <si>
    <t>Melting_Curves/meltCurve_Q92841_DDX17.pdf</t>
  </si>
  <si>
    <t>Melting_Curves/meltCurve_Q92843_2_BCL2L2.pdf</t>
  </si>
  <si>
    <t>Melting_Curves/meltCurve_Q92844_TANK.pdf</t>
  </si>
  <si>
    <t>Melting_Curves/meltCurve_Q92845_2_KIFAP3.pdf</t>
  </si>
  <si>
    <t>Melting_Curves/meltCurve_Q92851_4_CASP10.pdf</t>
  </si>
  <si>
    <t>Melting_Curves/meltCurve_Q92878_RAD50.pdf</t>
  </si>
  <si>
    <t>Melting_Curves/meltCurve_Q92879_2_CELF1.pdf</t>
  </si>
  <si>
    <t>Melting_Curves/meltCurve_Q92882_OSTF1.pdf</t>
  </si>
  <si>
    <t>Melting_Curves/meltCurve_Q92889_ERCC4.pdf</t>
  </si>
  <si>
    <t>Melting_Curves/meltCurve_Q92890_UFD1L.pdf</t>
  </si>
  <si>
    <t>Melting_Curves/meltCurve_Q92900_UPF1.pdf</t>
  </si>
  <si>
    <t>Melting_Curves/meltCurve_Q92902_2_HPS1.pdf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</si>
  <si>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</si>
  <si>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</si>
  <si>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</si>
  <si>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</si>
  <si>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</si>
  <si>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</si>
  <si>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Melting_Curves/meltCurve_Q92963_2_RIT1.pdf</t>
  </si>
  <si>
    <t>Melting_Curves/meltCurve_Q92973_2_TNPO1.pdf</t>
  </si>
  <si>
    <t>Melting_Curves/meltCurve_Q92974_3_ARHGEF2.pdf</t>
  </si>
  <si>
    <t>Melting_Curves/meltCurve_Q92979_EMG1.pdf</t>
  </si>
  <si>
    <t>Melting_Curves/meltCurve_Q92989_2_CLP1.pdf</t>
  </si>
  <si>
    <t>Melting_Curves/meltCurve_Q92990_GLMN.pdf</t>
  </si>
  <si>
    <t>Melting_Curves/meltCurve_Q92994_5_BRF1.pdf</t>
  </si>
  <si>
    <t>Melting_Curves/meltCurve_Q92995_2_USP13.pdf</t>
  </si>
  <si>
    <t>Melting_Curves/meltCurve_Q93008_USP9X.pdf</t>
  </si>
  <si>
    <t>Melting_Curves/meltCurve_Q93015_NAT6.pdf</t>
  </si>
  <si>
    <t>Melting_Curves/meltCurve_Q93034_CUL5.pdf</t>
  </si>
  <si>
    <t>Melting_Curves/meltCurve_Q93052_LPP.pdf</t>
  </si>
  <si>
    <t>Melting_Curves/meltCurve_Q93062_4_RBPMS.pdf</t>
  </si>
  <si>
    <t>Melting_Curves/meltCurve_Q93073_2_SECISBP2L.pdf</t>
  </si>
  <si>
    <t>Melting_Curves/meltCurve_Q93074_3_MED12.pdf</t>
  </si>
  <si>
    <t>Melting_Curves/meltCurve_Q93077_HIST1H2AC.pdf</t>
  </si>
  <si>
    <t>Melting_Curves/meltCurve_Q93096_PTP4A1.pdf</t>
  </si>
  <si>
    <t>Melting_Curves/meltCurve_Q93099_HGD.pdf</t>
  </si>
  <si>
    <t>Melting_Curves/meltCurve_Q93100_4_PHKB.pdf</t>
  </si>
  <si>
    <t>Melting_Curves/meltCurve_Q969E4_TCEAL3.pdf</t>
  </si>
  <si>
    <t>Melting_Curves/meltCurve_Q969E8_TSR2.pdf</t>
  </si>
  <si>
    <t>Melting_Curves/meltCurve_Q969F9_HPS3.pdf</t>
  </si>
  <si>
    <t>Melting_Curves/meltCurve_Q969G3_2_SMARCE1.pdf</t>
  </si>
  <si>
    <t>Melting_Curves/meltCurve_Q969G5_PRKCDBP.pdf</t>
  </si>
  <si>
    <t>Melting_Curves/meltCurve_Q969G6_RFK.pdf</t>
  </si>
  <si>
    <t>Melting_Curves/meltCurve_Q969H8_C19orf10.pdf</t>
  </si>
  <si>
    <t>Melting_Curves/meltCurve_Q969K3_RNF34.pdf</t>
  </si>
  <si>
    <t>Melting_Curves/meltCurve_Q969M3_YIPF5.pdf</t>
  </si>
  <si>
    <t>Melting_Curves/meltCurve_Q969Q0_RPL36AL.pdf</t>
  </si>
  <si>
    <t>Melting_Curves/meltCurve_Q969R8_ITFG2.pdf</t>
  </si>
  <si>
    <t>Melting_Curves/meltCurve_Q969S3_ZNF622.pdf</t>
  </si>
  <si>
    <t>Melting_Curves/meltCurve_Q969S9_3_GFM2.pdf</t>
  </si>
  <si>
    <t>Melting_Curves/meltCurve_Q969T7_2_NT5C3B.pdf</t>
  </si>
  <si>
    <t>Melting_Curves/meltCurve_Q969U7_PSMG2.pdf</t>
  </si>
  <si>
    <t>Melting_Curves/meltCurve_Q969V5_MUL1.pdf</t>
  </si>
  <si>
    <t>Melting_Curves/meltCurve_Q969W3_2_FAM104A.pdf</t>
  </si>
  <si>
    <t>Melting_Curves/meltCurve_Q969X0_RILPL2.pdf</t>
  </si>
  <si>
    <t>Melting_Curves/meltCurve_Q969X6_CIRH1A.pdf</t>
  </si>
  <si>
    <t>Melting_Curves/meltCurve_Q969Y2_3_GTPBP3.pdf</t>
  </si>
  <si>
    <t>Melting_Curves/meltCurve_Q969Z0_TBRG4.pdf</t>
  </si>
  <si>
    <t>Melting_Curves/meltCurve_Q96A00_PPP1R14A.pdf</t>
  </si>
  <si>
    <t>Melting_Curves/meltCurve_Q96A19_CCDC102A.pdf</t>
  </si>
  <si>
    <t>Melting_Curves/meltCurve_Q96A37_3_RNF166.pdf</t>
  </si>
  <si>
    <t>Melting_Curves/meltCurve_Q96A46_SLC25A28.pdf</t>
  </si>
  <si>
    <t>Melting_Curves/meltCurve_Q96A49_SYAP1.pdf</t>
  </si>
  <si>
    <t>Melting_Curves/meltCurve_Q96A65_EXOC4.pdf</t>
  </si>
  <si>
    <t>Melting_Curves/meltCurve_Q96A72_MAGOHB.pdf</t>
  </si>
  <si>
    <t>Melting_Curves/meltCurve_Q96A73_KIAA1191.pdf</t>
  </si>
  <si>
    <t>Melting_Curves/meltCurve_Q96AB3_ISOC2.pdf</t>
  </si>
  <si>
    <t>Melting_Curves/meltCurve_Q96AB6_NTAN1.pdf</t>
  </si>
  <si>
    <t>Melting_Curves/meltCurve_Q96AC1_FERMT2.pdf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</si>
  <si>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</si>
  <si>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</si>
  <si>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</si>
  <si>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</si>
  <si>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Melting_Curves/meltCurve_Q96AP0_2_ACD.pdf</t>
  </si>
  <si>
    <t>Melting_Curves/meltCurve_Q96AT1_KIAA1143.pdf</t>
  </si>
  <si>
    <t>Melting_Curves/meltCurve_Q96AT9_RPE.pdf</t>
  </si>
  <si>
    <t>Melting_Curves/meltCurve_Q96AX1_VPS33A.pdf</t>
  </si>
  <si>
    <t>Melting_Curves/meltCurve_Q96AY3_FKBP10.pdf</t>
  </si>
  <si>
    <t>Melting_Curves/meltCurve_Q96AY4_TTC28.pdf</t>
  </si>
  <si>
    <t>Melting_Curves/meltCurve_Q96B01_2_RAD51AP1.pdf</t>
  </si>
  <si>
    <t>Melting_Curves/meltCurve_Q96B02_2_UBE2W.pdf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</si>
  <si>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</si>
  <si>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</si>
  <si>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</si>
  <si>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</si>
  <si>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Melting_Curves/meltCurve_Q96B70_LENG9.pdf</t>
  </si>
  <si>
    <t>Melting_Curves/meltCurve_Q96B97_SH3KBP1.pdf</t>
  </si>
  <si>
    <t>Melting_Curves/meltCurve_Q96BD5_2_PHF21A.pdf</t>
  </si>
  <si>
    <t>Melting_Curves/meltCurve_Q96BF6_NACC2.pdf</t>
  </si>
  <si>
    <t>Melting_Curves/meltCurve_Q96BH1_RNF25.pdf</t>
  </si>
  <si>
    <t>Melting_Curves/meltCurve_Q96BJ3_AIDA.pdf</t>
  </si>
  <si>
    <t>Melting_Curves/meltCurve_Q96BK5_PINX1.pdf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</si>
  <si>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</si>
  <si>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</si>
  <si>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</si>
  <si>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</si>
  <si>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</si>
  <si>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Melting_Curves/meltCurve_Q96BS2_TESC.pdf</t>
  </si>
  <si>
    <t>Melting_Curves/meltCurve_Q96BT7_ALKBH8.pdf</t>
  </si>
  <si>
    <t>Melting_Curves/meltCurve_Q96BW1_UPRT.pdf</t>
  </si>
  <si>
    <t>Melting_Curves/meltCurve_Q96BW5_2_PTER.pdf</t>
  </si>
  <si>
    <t>Melting_Curves/meltCurve_Q96BX8_MOB3A.pdf</t>
  </si>
  <si>
    <t>Melting_Curves/meltCurve_Q96BY6_DOCK10.pdf</t>
  </si>
  <si>
    <t>Melting_Curves/meltCurve_Q96BY7_ATG2B.pdf</t>
  </si>
  <si>
    <t>Melting_Curves/meltCurve_Q96BZ8_LENG1.pdf</t>
  </si>
  <si>
    <t>Melting_Curves/meltCurve_Q96BZ9_TBC1D20.pdf</t>
  </si>
  <si>
    <t>Melting_Curves/meltCurve_Q96C01_FAM136A.pdf</t>
  </si>
  <si>
    <t>Melting_Curves/meltCurve_Q96C19_EFHD2.pdf</t>
  </si>
  <si>
    <t>Melting_Curves/meltCurve_Q96C23_GALM.pdf</t>
  </si>
  <si>
    <t>Melting_Curves/meltCurve_Q96C24_SYTL4.pdf</t>
  </si>
  <si>
    <t>Melting_Curves/meltCurve_Q96C34_2_RUNDC1.pdf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</si>
  <si>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</si>
  <si>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</si>
  <si>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</si>
  <si>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</si>
  <si>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Melting_Curves/meltCurve_Q96CB8_INTS12.pdf</t>
  </si>
  <si>
    <t>Melting_Curves/meltCurve_Q96CD0_FBXL8.pdf</t>
  </si>
  <si>
    <t>Melting_Curves/meltCurve_Q96CD2_PPCDC.pdf</t>
  </si>
  <si>
    <t>Melting_Curves/meltCurve_Q96CF2_CHMP4C.pdf</t>
  </si>
  <si>
    <t>Melting_Curves/meltCurve_Q96CG3_TIFA.pdf</t>
  </si>
  <si>
    <t>Melting_Curves/meltCurve_Q96CN4_EVI5L.pdf</t>
  </si>
  <si>
    <t>Melting_Curves/meltCurve_Q96CN7_ISOC1.pdf</t>
  </si>
  <si>
    <t>Melting_Curves/meltCurve_Q96CN9_GCC1.pdf</t>
  </si>
  <si>
    <t>Melting_Curves/meltCurve_Q96CP2_FLYWCH2.pdf</t>
  </si>
  <si>
    <t>Melting_Curves/meltCurve_Q96CP6_2_GRAMD1A.pdf</t>
  </si>
  <si>
    <t>Melting_Curves/meltCurve_Q96CS2_HAUS1.pdf</t>
  </si>
  <si>
    <t>Melting_Curves/meltCurve_Q96CT7_CCDC124.pdf</t>
  </si>
  <si>
    <t>Melting_Curves/meltCurve_Q96CV9_OPTN.pdf</t>
  </si>
  <si>
    <t>Melting_Curves/meltCurve_Q96CW1_2_AP2M1.pdf</t>
  </si>
  <si>
    <t>Melting_Curves/meltCurve_Q96CW5_2_TUBGCP3.pdf</t>
  </si>
  <si>
    <t>Melting_Curves/meltCurve_Q96CW6_SLC7A6OS.pdf</t>
  </si>
  <si>
    <t>Melting_Curves/meltCurve_Q96CX2_KCTD12.pdf</t>
  </si>
  <si>
    <t>Melting_Curves/meltCurve_Q96CX6_LRRC58.pdf</t>
  </si>
  <si>
    <t>Melting_Curves/meltCurve_Q96D09_GPRASP2.pdf</t>
  </si>
  <si>
    <t>Melting_Curves/meltCurve_Q96D46_NMD3.pdf</t>
  </si>
  <si>
    <t>Melting_Curves/meltCurve_Q96D53_ADCK4.pdf</t>
  </si>
  <si>
    <t>Melting_Curves/meltCurve_Q96D71_3_REPS1.pdf</t>
  </si>
  <si>
    <t>Melting_Curves/meltCurve_Q96DB5_RMDN1.pdf</t>
  </si>
  <si>
    <t>Melting_Curves/meltCurve_Q96DC7_TMCO6.pdf</t>
  </si>
  <si>
    <t>Melting_Curves/meltCurve_Q96DC9_OTUB2.pdf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</si>
  <si>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</si>
  <si>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</si>
  <si>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</si>
  <si>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</si>
  <si>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Melting_Curves/meltCurve_Q96DR7_ARHGEF26.pdf</t>
  </si>
  <si>
    <t>Melting_Curves/meltCurve_Q96DT6_ATG4C.pdf</t>
  </si>
  <si>
    <t>Melting_Curves/meltCurve_Q96DU7_ITPKC.pdf</t>
  </si>
  <si>
    <t>Melting_Curves/meltCurve_Q96DV4_MRPL38.pdf</t>
  </si>
  <si>
    <t>Melting_Curves/meltCurve_Q96DX5_ASB9.pdf</t>
  </si>
  <si>
    <t>Melting_Curves/meltCurve_Q96DX5_2_ASB9.pdf</t>
  </si>
  <si>
    <t>Melting_Curves/meltCurve_Q96DX7_TRIM44.pdf</t>
  </si>
  <si>
    <t>Melting_Curves/meltCurve_Q96E09_FAM122A.pdf</t>
  </si>
  <si>
    <t>Melting_Curves/meltCurve_Q96E11_3_MRRF.pdf</t>
  </si>
  <si>
    <t>Melting_Curves/meltCurve_Q96E14_RMI2.pdf</t>
  </si>
  <si>
    <t>Melting_Curves/meltCurve_Q96EA4_SPDL1.pdf</t>
  </si>
  <si>
    <t>Melting_Curves/meltCurve_Q96EB1_ELP4.pdf</t>
  </si>
  <si>
    <t>Melting_Curves/meltCurve_Q96EB6_SIRT1.pdf</t>
  </si>
  <si>
    <t>Melting_Curves/meltCurve_Q96ED9_2_HOOK2.pdf</t>
  </si>
  <si>
    <t>Melting_Curves/meltCurve_Q96EE3_SEH1L.pdf</t>
  </si>
  <si>
    <t>Melting_Curves/meltCurve_Q96EH3_MALSU1.pdf</t>
  </si>
  <si>
    <t>Melting_Curves/meltCurve_Q96EI5_TCEAL4.pdf</t>
  </si>
  <si>
    <t>Melting_Curves/meltCurve_Q96EK4_THAP11.pdf</t>
  </si>
  <si>
    <t>Melting_Curves/meltCurve_Q96EK5_KIAA1279.pdf</t>
  </si>
  <si>
    <t>Melting_Curves/meltCurve_Q96EK6_GNPNAT1.pdf</t>
  </si>
  <si>
    <t>Melting_Curves/meltCurve_Q96EK7_FAM120B.pdf</t>
  </si>
  <si>
    <t>Melting_Curves/meltCurve_Q96EK9_KTI12.pdf</t>
  </si>
  <si>
    <t>Melting_Curves/meltCurve_Q96EL3_MRPL53.pdf</t>
  </si>
  <si>
    <t>Melting_Curves/meltCurve_Q96EM0_L3HYPDH.pdf</t>
  </si>
  <si>
    <t>Melting_Curves/meltCurve_Q96EN8_MOCOS.pdf</t>
  </si>
  <si>
    <t>Melting_Curves/meltCurve_Q96EP0_RNF31.pdf</t>
  </si>
  <si>
    <t>Melting_Curves/meltCurve_Q96EP1_2_CHFR.pdf</t>
  </si>
  <si>
    <t>Melting_Curves/meltCurve_Q96EP5_DAZAP1.pdf</t>
  </si>
  <si>
    <t>Melting_Curves/meltCurve_Q96EQ0_SGTB.pdf</t>
  </si>
  <si>
    <t>Melting_Curves/meltCurve_Q96ER3_SAAL1.pdf</t>
  </si>
  <si>
    <t>Melting_Curves/meltCurve_Q96ES7_CCDC101.pdf</t>
  </si>
  <si>
    <t>Melting_Curves/meltCurve_Q96EV2_RBM33.pdf</t>
  </si>
  <si>
    <t>Melting_Curves/meltCurve_Q96EV8_DTNBP1.pdf</t>
  </si>
  <si>
    <t>Melting_Curves/meltCurve_Q96EW2_HSPBAP1.pdf</t>
  </si>
  <si>
    <t>Melting_Curves/meltCurve_Q96EX3_WDR34.pdf</t>
  </si>
  <si>
    <t>Melting_Curves/meltCurve_Q96EY1_2_DNAJA3.pdf</t>
  </si>
  <si>
    <t>Melting_Curves/meltCurve_Q96EY4_TMA16.pdf</t>
  </si>
  <si>
    <t>Melting_Curves/meltCurve_Q96EY5_3_MVB12A.pdf</t>
  </si>
  <si>
    <t>Melting_Curves/meltCurve_Q96EY7_PTCD3.pdf</t>
  </si>
  <si>
    <t>Melting_Curves/meltCurve_Q96EY8_MMAB.pdf</t>
  </si>
  <si>
    <t>Melting_Curves/meltCurve_Q96EY9_ADAT3.pdf</t>
  </si>
  <si>
    <t>Melting_Curves/meltCurve_Q96EZ8_3_MCRS1.pdf</t>
  </si>
  <si>
    <t>Melting_Curves/meltCurve_Q96F24_NRBF2.pdf</t>
  </si>
  <si>
    <t>Melting_Curves/meltCurve_Q96F44_3_TRIM11.pdf</t>
  </si>
  <si>
    <t>Melting_Curves/meltCurve_Q96F46_IL17RA.pdf</t>
  </si>
  <si>
    <t>Melting_Curves/meltCurve_Q96F63_CCDC97.pdf</t>
  </si>
  <si>
    <t>Melting_Curves/meltCurve_Q96F86_EDC3.pdf</t>
  </si>
  <si>
    <t>Melting_Curves/meltCurve_Q96FC7_2_PHYHIPL.pdf</t>
  </si>
  <si>
    <t>Melting_Curves/meltCurve_Q96FC9_4_DDX11.pdf</t>
  </si>
  <si>
    <t>Melting_Curves/meltCurve_Q96FH0_MEF2BNB.pdf</t>
  </si>
  <si>
    <t>Melting_Curves/meltCurve_Q96FJ0_STAMBPL1.pdf</t>
  </si>
  <si>
    <t>Melting_Curves/meltCurve_Q96FK6_WDR89.pdf</t>
  </si>
  <si>
    <t>Melting_Curves/meltCurve_Q96FQ6_S100A16.pdf</t>
  </si>
  <si>
    <t>Melting_Curves/meltCurve_Q96FS4_SIPA1.pdf</t>
  </si>
  <si>
    <t>Melting_Curves/meltCurve_Q96FT9_IFT43.pdf</t>
  </si>
  <si>
    <t>Melting_Curves/meltCurve_Q96FV0_LRRC46.pdf</t>
  </si>
  <si>
    <t>Melting_Curves/meltCurve_Q96FV2_SCRN2.pdf</t>
  </si>
  <si>
    <t>Melting_Curves/meltCurve_Q96FV9_THOC1.pdf</t>
  </si>
  <si>
    <t>Melting_Curves/meltCurve_Q96FW1_OTUB1.pdf</t>
  </si>
  <si>
    <t>Melting_Curves/meltCurve_Q96FX2_DPH3.pdf</t>
  </si>
  <si>
    <t>Melting_Curves/meltCurve_Q96FX7_TRMT61A.pdf</t>
  </si>
  <si>
    <t>Melting_Curves/meltCurve_Q96FZ2_C3orf37.pdf</t>
  </si>
  <si>
    <t>Melting_Curves/meltCurve_Q96G03_PGM2.pdf</t>
  </si>
  <si>
    <t>Melting_Curves/meltCurve_Q96G04_FAM86A.pdf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</si>
  <si>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</si>
  <si>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</si>
  <si>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</si>
  <si>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</si>
  <si>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</si>
  <si>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</si>
  <si>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</si>
  <si>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</si>
  <si>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Melting_Curves/meltCurve_Q96GE4_CEP95.pdf</t>
  </si>
  <si>
    <t>Melting_Curves/meltCurve_Q96GG9_DCUN1D1.pdf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</si>
  <si>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</si>
  <si>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</si>
  <si>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</si>
  <si>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</si>
  <si>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</si>
  <si>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Melting_Curves/meltCurve_Q96GV9_C5orf30.pdf</t>
  </si>
  <si>
    <t>Melting_Curves/meltCurve_Q96GW9_MARS2.pdf</t>
  </si>
  <si>
    <t>Melting_Curves/meltCurve_Q96GX2_ATXN7L3B.pdf</t>
  </si>
  <si>
    <t>Melting_Curves/meltCurve_Q96GX5_MASTL.pdf</t>
  </si>
  <si>
    <t>Melting_Curves/meltCurve_Q96GX9_APIP.pdf</t>
  </si>
  <si>
    <t>Melting_Curves/meltCurve_Q96GX9_3_APIP.pdf</t>
  </si>
  <si>
    <t>Melting_Curves/meltCurve_Q96GY0_ZC2HC1A.pdf</t>
  </si>
  <si>
    <t>Melting_Curves/meltCurve_Q96H20_SNF8.pdf</t>
  </si>
  <si>
    <t>Melting_Curves/meltCurve_Q96H79_ZC3HAV1L.pdf</t>
  </si>
  <si>
    <t>Melting_Curves/meltCurve_Q96HA7_2_TONSL.pdf</t>
  </si>
  <si>
    <t>Melting_Curves/meltCurve_Q96HA8_WDYHV1.pdf</t>
  </si>
  <si>
    <t>Melting_Curves/meltCurve_Q96HC4_PDLIM5.pdf</t>
  </si>
  <si>
    <t>Melting_Curves/meltCurve_Q96HD9_ACY3.pdf</t>
  </si>
  <si>
    <t>Melting_Curves/meltCurve_Q96HE7_ERO1L.pdf</t>
  </si>
  <si>
    <t>Melting_Curves/meltCurve_Q96HJ9_2_C7orf55.pdf</t>
  </si>
  <si>
    <t>Melting_Curves/meltCurve_Q96HN2_2_AHCYL2.pdf</t>
  </si>
  <si>
    <t>Melting_Curves/meltCurve_Q96HP4_OXNAD1.pdf</t>
  </si>
  <si>
    <t>Melting_Curves/meltCurve_Q96HQ2_CDKN2AIPNL.pdf</t>
  </si>
  <si>
    <t>Melting_Curves/meltCurve_Q96HS1_2_PGAM5.pdf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</si>
  <si>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</si>
  <si>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</si>
  <si>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</si>
  <si>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</si>
  <si>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Melting_Curves/meltCurve_Q96I23_PYURF.pdf</t>
  </si>
  <si>
    <t>Melting_Curves/meltCurve_Q96I24_FUBP3.pdf</t>
  </si>
  <si>
    <t>Melting_Curves/meltCurve_Q96I25_RBM17.pdf</t>
  </si>
  <si>
    <t>Melting_Curves/meltCurve_Q96I59_NARS2.pdf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</si>
  <si>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</si>
  <si>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</si>
  <si>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</si>
  <si>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</si>
  <si>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Melting_Curves/meltCurve_Q96IR7_HPDL.pdf</t>
  </si>
  <si>
    <t>Melting_Curves/meltCurve_Q96IU4_ABHD14B.pdf</t>
  </si>
  <si>
    <t>Melting_Curves/meltCurve_Q96IV0_2_NGLY1.pdf</t>
  </si>
  <si>
    <t>Melting_Curves/meltCurve_Q96IY1_NSL1.pdf</t>
  </si>
  <si>
    <t>Melting_Curves/meltCurve_Q96IZ0_PAWR.pdf</t>
  </si>
  <si>
    <t>Melting_Curves/meltCurve_Q96IZ5_2_RBM41.pdf</t>
  </si>
  <si>
    <t>Melting_Curves/meltCurve_Q96IZ6_METTL2A.pdf</t>
  </si>
  <si>
    <t>Melting_Curves/meltCurve_Q96IZ7_2_RSRC1.pdf</t>
  </si>
  <si>
    <t>Melting_Curves/meltCurve_Q96J01_THOC3.pdf</t>
  </si>
  <si>
    <t>Melting_Curves/meltCurve_Q96J02_2_ITCH.pdf</t>
  </si>
  <si>
    <t>Melting_Curves/meltCurve_Q96J84_KIRREL.pdf</t>
  </si>
  <si>
    <t>Melting_Curves/meltCurve_Q96JB2_COG3.pdf</t>
  </si>
  <si>
    <t>Melting_Curves/meltCurve_Q96JB5_CDK5RAP3.pdf</t>
  </si>
  <si>
    <t>Melting_Curves/meltCurve_Q96JC1_2_VPS39.pdf</t>
  </si>
  <si>
    <t>Melting_Curves/meltCurve_Q96JC9_EAF1.pdf</t>
  </si>
  <si>
    <t>Melting_Curves/meltCurve_Q96JE9_MAP6.pdf</t>
  </si>
  <si>
    <t>Melting_Curves/meltCurve_Q96JG6_CCDC132.pdf</t>
  </si>
  <si>
    <t>Melting_Curves/meltCurve_Q96JG8_2_MAGED4.pdf</t>
  </si>
  <si>
    <t>Melting_Curves/meltCurve_Q96JH7_VCPIP1.pdf</t>
  </si>
  <si>
    <t>Melting_Curves/meltCurve_Q96JI7_2_SPG11.pdf</t>
  </si>
  <si>
    <t>Melting_Curves/meltCurve_Q96JK9_MAML3.pdf</t>
  </si>
  <si>
    <t>Melting_Curves/meltCurve_Q96JM3_CHAMP1.pdf</t>
  </si>
  <si>
    <t>Melting_Curves/meltCurve_Q96JP2_MYO15B.pdf</t>
  </si>
  <si>
    <t>Melting_Curves/meltCurve_Q96JP5_ZFP91.pdf</t>
  </si>
  <si>
    <t>Melting_Curves/meltCurve_Q96JQ2_CLMN.pdf</t>
  </si>
  <si>
    <t>Melting_Curves/meltCurve_Q96JY6_PDLIM2.pdf</t>
  </si>
  <si>
    <t>Melting_Curves/meltCurve_Q96KB5_PBK.pdf</t>
  </si>
  <si>
    <t>Melting_Curves/meltCurve_Q96KC8_DNAJC1.pdf</t>
  </si>
  <si>
    <t>Melting_Curves/meltCurve_Q96KG9_3_SCYL1.pdf</t>
  </si>
  <si>
    <t>Melting_Curves/meltCurve_Q96KP1_EXOC2.pdf</t>
  </si>
  <si>
    <t>Melting_Curves/meltCurve_Q96KP4_CNDP2.pdf</t>
  </si>
  <si>
    <t>Melting_Curves/meltCurve_Q96KQ4_PPP1R13B.pdf</t>
  </si>
  <si>
    <t>Melting_Curves/meltCurve_Q96KR1_ZFR.pdf</t>
  </si>
  <si>
    <t>Melting_Curves/meltCurve_Q96L35_EPHB4.pdf</t>
  </si>
  <si>
    <t>Melting_Curves/meltCurve_Q96L73_2_NSD1.pdf</t>
  </si>
  <si>
    <t>Melting_Curves/meltCurve_Q96L91_5_EP400.pdf</t>
  </si>
  <si>
    <t>Melting_Curves/meltCurve_Q96L92_SNX27.pdf</t>
  </si>
  <si>
    <t>Melting_Curves/meltCurve_Q96L93_6_KIF16B.pdf</t>
  </si>
  <si>
    <t>Melting_Curves/meltCurve_Q96LB3_IFT74.pdf</t>
  </si>
  <si>
    <t>Melting_Curves/meltCurve_Q96LD4_TRIM47.pdf</t>
  </si>
  <si>
    <t>Melting_Curves/meltCurve_Q96LR5_UBE2E2.pdf</t>
  </si>
  <si>
    <t>Melting_Curves/meltCurve_Q96LT7_C9orf72.pdf</t>
  </si>
  <si>
    <t>Melting_Curves/meltCurve_Q96M27_PRRC1.pdf</t>
  </si>
  <si>
    <t>Melting_Curves/meltCurve_Q96ME1_4_FBXL18.pdf</t>
  </si>
  <si>
    <t>Melting_Curves/meltCurve_Q96ME7_3_ZNF512.pdf</t>
  </si>
  <si>
    <t>Melting_Curves/meltCurve_Q96MG7_NDNL2.pdf</t>
  </si>
  <si>
    <t>Melting_Curves/meltCurve_Q96MH2_HEXIM2.pdf</t>
  </si>
  <si>
    <t>Melting_Curves/meltCurve_Q96MU7_2_YTHDC1.pdf</t>
  </si>
  <si>
    <t>Melting_Curves/meltCurve_Q96MW1_CCDC43.pdf</t>
  </si>
  <si>
    <t>Melting_Curves/meltCurve_Q96MX3_ZNF48.pdf</t>
  </si>
  <si>
    <t>Melting_Curves/meltCurve_Q96MX6_WDR92.pdf</t>
  </si>
  <si>
    <t>Melting_Curves/meltCurve_Q96MY1_C20orf112.pdf</t>
  </si>
  <si>
    <t>Melting_Curves/meltCurve_Q96N06_C16orf55.pdf</t>
  </si>
  <si>
    <t>Melting_Curves/meltCurve_Q96N21_2_ENTHD2.pdf</t>
  </si>
  <si>
    <t>Melting_Curves/meltCurve_Q96N67_4_DOCK7.pdf</t>
  </si>
  <si>
    <t>Melting_Curves/meltCurve_Q96NA2_RILP.pdf</t>
  </si>
  <si>
    <t>Melting_Curves/meltCurve_Q96NB1_FOPNL.pdf</t>
  </si>
  <si>
    <t>Melting_Curves/meltCurve_Q96NB3_ZNF830.pdf</t>
  </si>
  <si>
    <t>Melting_Curves/meltCurve_Q96NC0_ZMAT2.pdf</t>
  </si>
  <si>
    <t>Melting_Curves/meltCurve_Q96NL6_SCLT1.pdf</t>
  </si>
  <si>
    <t>Melting_Curves/meltCurve_Q96NL8_C8orf37.pdf</t>
  </si>
  <si>
    <t>Melting_Curves/meltCurve_Q96NT1_NAP1L5.pdf</t>
  </si>
  <si>
    <t>Melting_Curves/meltCurve_Q96NU7_AMDHD1.pdf</t>
  </si>
  <si>
    <t>Melting_Curves/meltCurve_Q96NW4_ANKRD27.pdf</t>
  </si>
  <si>
    <t>Melting_Curves/meltCurve_Q96P11_2_NSUN5.pdf</t>
  </si>
  <si>
    <t>Melting_Curves/meltCurve_Q96P16_RPRD1A.pdf</t>
  </si>
  <si>
    <t>Melting_Curves/meltCurve_Q96P47_AGAP3.pdf</t>
  </si>
  <si>
    <t>Melting_Curves/meltCurve_Q96P48_3_ARAP1.pdf</t>
  </si>
  <si>
    <t>Melting_Curves/meltCurve_Q96P70_IPO9.pdf</t>
  </si>
  <si>
    <t>Melting_Curves/meltCurve_Q96PD2_DCBLD2.pdf</t>
  </si>
  <si>
    <t>Melting_Curves/meltCurve_Q96PE2_ARHGEF17.pdf</t>
  </si>
  <si>
    <t>Melting_Curves/meltCurve_Q96PE7_MCEE.pdf</t>
  </si>
  <si>
    <t>Melting_Curves/meltCurve_Q96PK6_RBM14.pdf</t>
  </si>
  <si>
    <t>Melting_Curves/meltCurve_Q96PM5_RCHY1.pdf</t>
  </si>
  <si>
    <t>Melting_Curves/meltCurve_Q96PN7_4_TRERF1.pdf</t>
  </si>
  <si>
    <t>Melting_Curves/meltCurve_Q96PQ7_5_KLHL5.pdf</t>
  </si>
  <si>
    <t>Melting_Curves/meltCurve_Q96PU4_UHRF2.pdf</t>
  </si>
  <si>
    <t>Melting_Curves/meltCurve_Q96PU5_7_NEDD4L.pdf</t>
  </si>
  <si>
    <t>Melting_Curves/meltCurve_Q96PU8_9_QKI.pdf</t>
  </si>
  <si>
    <t>Melting_Curves/meltCurve_Q96PY5_FMNL2.pdf</t>
  </si>
  <si>
    <t>Melting_Curves/meltCurve_Q96PZ0_PUS7.pdf</t>
  </si>
  <si>
    <t>Melting_Curves/meltCurve_Q96Q05_3_TRAPPC9.pdf</t>
  </si>
  <si>
    <t>Melting_Curves/meltCurve_Q96Q11_2_TRNT1.pdf</t>
  </si>
  <si>
    <t>Melting_Curves/meltCurve_Q96Q15_SMG1.pdf</t>
  </si>
  <si>
    <t>Melting_Curves/meltCurve_Q96Q42_ALS2.pdf</t>
  </si>
  <si>
    <t>Melting_Curves/meltCurve_Q96Q45_2_TMEM237.pdf</t>
  </si>
  <si>
    <t>Melting_Curves/meltCurve_Q96Q83_ALKBH3.pdf</t>
  </si>
  <si>
    <t>Melting_Curves/meltCurve_Q96Q89_4_KIF20B.pdf</t>
  </si>
  <si>
    <t>Melting_Curves/meltCurve_Q96QC0_PPP1R10.pdf</t>
  </si>
  <si>
    <t>Melting_Curves/meltCurve_Q96QE3_2_ATAD5.pdf</t>
  </si>
  <si>
    <t>Melting_Curves/meltCurve_Q96QF0_2_RAB3IP.pdf</t>
  </si>
  <si>
    <t>Melting_Curves/meltCurve_Q96QG7_MTMR9.pdf</t>
  </si>
  <si>
    <t>Melting_Curves/meltCurve_Q96QK1_VPS35.pdf</t>
  </si>
  <si>
    <t>Melting_Curves/meltCurve_Q96QP1_ALPK1.pdf</t>
  </si>
  <si>
    <t>Melting_Curves/meltCurve_Q96QR8_PURB.pdf</t>
  </si>
  <si>
    <t>Melting_Curves/meltCurve_Q96QU6_ACCS.pdf</t>
  </si>
  <si>
    <t>Melting_Curves/meltCurve_Q96QU8_XPO6.pdf</t>
  </si>
  <si>
    <t>Melting_Curves/meltCurve_Q96QZ7_7_MAGI1.pdf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</si>
  <si>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</si>
  <si>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</si>
  <si>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</si>
  <si>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</si>
  <si>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Melting_Curves/meltCurve_Q96RK0_CIC.pdf</t>
  </si>
  <si>
    <t>Melting_Curves/meltCurve_Q96RL1_UIMC1.pdf</t>
  </si>
  <si>
    <t>Melting_Curves/meltCurve_Q96RN5_3_MED15.pdf</t>
  </si>
  <si>
    <t>Melting_Curves/meltCurve_Q96RP9_GFM1.pdf</t>
  </si>
  <si>
    <t>Melting_Curves/meltCurve_Q96RR1_PEO1.pdf</t>
  </si>
  <si>
    <t>Melting_Curves/meltCurve_Q96RR4_2_CAMKK2.pdf</t>
  </si>
  <si>
    <t>Melting_Curves/meltCurve_Q96RS0_TGS1.pdf</t>
  </si>
  <si>
    <t>Melting_Curves/meltCurve_Q96RS6_NUDCD1.pdf</t>
  </si>
  <si>
    <t>Melting_Curves/meltCurve_Q96RT1_9_ERBB2IP.pdf</t>
  </si>
  <si>
    <t>Melting_Curves/meltCurve_Q96RT7_2_TUBGCP6.pdf</t>
  </si>
  <si>
    <t>Melting_Curves/meltCurve_Q96RU2_2_USP28.pdf</t>
  </si>
  <si>
    <t>Melting_Curves/meltCurve_Q96RU3_2_FNBP1.pdf</t>
  </si>
  <si>
    <t>Melting_Curves/meltCurve_Q96RW7_2_HMCN1.pdf</t>
  </si>
  <si>
    <t>Melting_Curves/meltCurve_Q96RY5_CRAMP1L.pdf</t>
  </si>
  <si>
    <t>Melting_Curves/meltCurve_Q96RY7_IFT140.pdf</t>
  </si>
  <si>
    <t>Melting_Curves/meltCurve_Q96S19_C16orf13.pdf</t>
  </si>
  <si>
    <t>Melting_Curves/meltCurve_Q96S21_RAB40C.pdf</t>
  </si>
  <si>
    <t>Melting_Curves/meltCurve_Q96S38_RPS6KC1.pdf</t>
  </si>
  <si>
    <t>Melting_Curves/meltCurve_Q96S44_TP53RK.pdf</t>
  </si>
  <si>
    <t>Melting_Curves/meltCurve_Q96S55_2_WRNIP1.pdf</t>
  </si>
  <si>
    <t>Melting_Curves/meltCurve_Q96S59_RANBP9.pdf</t>
  </si>
  <si>
    <t>Melting_Curves/meltCurve_Q96S66_4_CLCC1.pdf</t>
  </si>
  <si>
    <t>Melting_Curves/meltCurve_Q96S82_UBL7.pdf</t>
  </si>
  <si>
    <t>Melting_Curves/meltCurve_Q96S90_LYSMD1.pdf</t>
  </si>
  <si>
    <t>Melting_Curves/meltCurve_Q96S94_CCNL2.pdf</t>
  </si>
  <si>
    <t>Melting_Curves/meltCurve_Q96S99_PLEKHF1.pdf</t>
  </si>
  <si>
    <t>Melting_Curves/meltCurve_Q96SB3_PPP1R9B.pdf</t>
  </si>
  <si>
    <t>Melting_Curves/meltCurve_Q96SB4_SRPK1.pdf</t>
  </si>
  <si>
    <t>Melting_Curves/meltCurve_Q96SB8_SMC6.pdf</t>
  </si>
  <si>
    <t>Melting_Curves/meltCurve_Q96SI1_KCTD15.pdf</t>
  </si>
  <si>
    <t>Melting_Curves/meltCurve_Q96SL8_FIZ1.pdf</t>
  </si>
  <si>
    <t>Melting_Curves/meltCurve_Q96SN8_4_CDK5RAP2.pdf</t>
  </si>
  <si>
    <t>Melting_Curves/meltCurve_Q96ST2_IWS1.pdf</t>
  </si>
  <si>
    <t>Melting_Curves/meltCurve_Q96ST3_SIN3A.pdf</t>
  </si>
  <si>
    <t>Melting_Curves/meltCurve_Q96SU4_7_OSBPL9.pdf</t>
  </si>
  <si>
    <t>Melting_Curves/meltCurve_Q96SY0_4_VWA9.pdf</t>
  </si>
  <si>
    <t>Melting_Curves/meltCurve_Q96SZ5_ADO.pdf</t>
  </si>
  <si>
    <t>Melting_Curves/meltCurve_Q96SZ6_2_CDK5RAP1.pdf</t>
  </si>
  <si>
    <t>Melting_Curves/meltCurve_Q96T17_MAP7D2.pdf</t>
  </si>
  <si>
    <t>Melting_Curves/meltCurve_Q96T21_SECISBP2.pdf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</si>
  <si>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</si>
  <si>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</si>
  <si>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</si>
  <si>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</si>
  <si>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</si>
  <si>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Melting_Curves/meltCurve_Q96T88_UHRF1.pdf</t>
  </si>
  <si>
    <t>Melting_Curves/meltCurve_Q96TA1_FAM129B.pdf</t>
  </si>
  <si>
    <t>Melting_Curves/meltCurve_Q96TA2_3_YME1L1.pdf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</si>
  <si>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</si>
  <si>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</si>
  <si>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</si>
  <si>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</si>
  <si>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Melting_Curves/meltCurve_Q99447_PCYT2.pdf</t>
  </si>
  <si>
    <t>Melting_Curves/meltCurve_Q99459_CDC5L.pdf</t>
  </si>
  <si>
    <t>Melting_Curves/meltCurve_Q99460_PSMD1.pdf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</si>
  <si>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</si>
  <si>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</si>
  <si>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</si>
  <si>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</si>
  <si>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Melting_Curves/meltCurve_Q99501_GAS2L1.pdf</t>
  </si>
  <si>
    <t>Melting_Curves/meltCurve_Q99504_2_EYA3.pdf</t>
  </si>
  <si>
    <t>Melting_Curves/meltCurve_Q99519_NEU1.pdf</t>
  </si>
  <si>
    <t>Melting_Curves/meltCurve_Q99536_VAT1.pdf</t>
  </si>
  <si>
    <t>Melting_Curves/meltCurve_Q99541_PLIN2.pdf</t>
  </si>
  <si>
    <t>Melting_Curves/meltCurve_Q99543_DNAJC2.pdf</t>
  </si>
  <si>
    <t>Melting_Curves/meltCurve_Q99543_2_DNAJC2.pdf</t>
  </si>
  <si>
    <t>Melting_Curves/meltCurve_Q99549_MPHOSPH8.pdf</t>
  </si>
  <si>
    <t>Melting_Curves/meltCurve_Q99567_NUP88.pdf</t>
  </si>
  <si>
    <t>Melting_Curves/meltCurve_Q99569_2_PKP4.pdf</t>
  </si>
  <si>
    <t>Melting_Curves/meltCurve_Q99570_PIK3R4.pdf</t>
  </si>
  <si>
    <t>Melting_Curves/meltCurve_Q99574_SERPINI1.pdf</t>
  </si>
  <si>
    <t>Melting_Curves/meltCurve_Q99575_POP1.pdf</t>
  </si>
  <si>
    <t>Melting_Curves/meltCurve_Q99583_MNT.pdf</t>
  </si>
  <si>
    <t>Melting_Curves/meltCurve_Q99584_S100A13.pdf</t>
  </si>
  <si>
    <t>Melting_Curves/meltCurve_Q99598_TSNAX.pdf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</si>
  <si>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</si>
  <si>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</si>
  <si>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</si>
  <si>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</si>
  <si>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</si>
  <si>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Melting_Curves/meltCurve_Q99627_2_COPS8.pdf</t>
  </si>
  <si>
    <t>Melting_Curves/meltCurve_Q99633_PRPF18.pdf</t>
  </si>
  <si>
    <t>Melting_Curves/meltCurve_Q99638_RAD9A.pdf</t>
  </si>
  <si>
    <t>Melting_Curves/meltCurve_Q99653_CHP1.pdf</t>
  </si>
  <si>
    <t>Melting_Curves/meltCurve_Q99661_KIF2C.pdf</t>
  </si>
  <si>
    <t>Melting_Curves/meltCurve_Q99674_CGREF1.pdf</t>
  </si>
  <si>
    <t>Melting_Curves/meltCurve_Q99685_MGLL.pdf</t>
  </si>
  <si>
    <t>Melting_Curves/meltCurve_Q99700_4_ATXN2.pdf</t>
  </si>
  <si>
    <t>Melting_Curves/meltCurve_Q99707_MTR.pdf</t>
  </si>
  <si>
    <t>Melting_Curves/meltCurve_Q99708_RBBP8.pdf</t>
  </si>
  <si>
    <t>Melting_Curves/meltCurve_Q99714_HSD17B10.pdf</t>
  </si>
  <si>
    <t>Melting_Curves/meltCurve_Q99729_3_HNRNPAB.pdf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</si>
  <si>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</si>
  <si>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</si>
  <si>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</si>
  <si>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</si>
  <si>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</si>
  <si>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</si>
  <si>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Melting_Curves/meltCurve_Q99798_ACO2.pdf</t>
  </si>
  <si>
    <t>Melting_Curves/meltCurve_Q99816_TSG101.pdf</t>
  </si>
  <si>
    <t>Melting_Curves/meltCurve_Q99829_CPNE1.pdf</t>
  </si>
  <si>
    <t>Melting_Curves/meltCurve_Q99832_CCT7.pdf</t>
  </si>
  <si>
    <t>Melting_Curves/meltCurve_Q99871_3_HAUS7.pdf</t>
  </si>
  <si>
    <t>Melting_Curves/meltCurve_Q99878_HIST1H2AJ.pdf</t>
  </si>
  <si>
    <t>Melting_Curves/meltCurve_Q99879_HIST1H2BM.pdf</t>
  </si>
  <si>
    <t>Melting_Curves/meltCurve_Q99933_4_BAG1.pdf</t>
  </si>
  <si>
    <t>Melting_Curves/meltCurve_Q99959_2_PKP2.pdf</t>
  </si>
  <si>
    <t>Melting_Curves/meltCurve_Q99961_SH3GL1.pdf</t>
  </si>
  <si>
    <t>Melting_Curves/meltCurve_Q99986_VRK1.pdf</t>
  </si>
  <si>
    <t>Melting_Curves/meltCurve_Q99996_5_AKAP9.pdf</t>
  </si>
  <si>
    <t>Melting_Curves/meltCurve_Q9BPU6_DPYSL5.pdf</t>
  </si>
  <si>
    <t>Melting_Curves/meltCurve_Q9BPW8_NIPSNAP1.pdf</t>
  </si>
  <si>
    <t>Melting_Curves/meltCurve_Q9BPX3_NCAPG.pdf</t>
  </si>
  <si>
    <t>Melting_Curves/meltCurve_Q9BPX5_ARPC5L.pdf</t>
  </si>
  <si>
    <t>Melting_Curves/meltCurve_Q9BPX6_2_MICU1.pdf</t>
  </si>
  <si>
    <t>Melting_Curves/meltCurve_Q9BPX7_C7orf25.pdf</t>
  </si>
  <si>
    <t>Melting_Curves/meltCurve_Q9BQ24_ZFYVE21.pdf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</si>
  <si>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</si>
  <si>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</si>
  <si>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</si>
  <si>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</si>
  <si>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</si>
  <si>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</si>
  <si>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Melting_Curves/meltCurve_Q9BQA1_WDR77.pdf</t>
  </si>
  <si>
    <t>Melting_Curves/meltCurve_Q9BQC3_DPH2.pdf</t>
  </si>
  <si>
    <t>Melting_Curves/meltCurve_Q9BQE3_TUBA1C.pdf</t>
  </si>
  <si>
    <t>Melting_Curves/meltCurve_Q9BQE5_APOL2.pdf</t>
  </si>
  <si>
    <t>Melting_Curves/meltCurve_Q9BQE9_4_BCL7B.pdf</t>
  </si>
  <si>
    <t>Melting_Curves/meltCurve_Q9BQG0_MYBBP1A.pdf</t>
  </si>
  <si>
    <t>Melting_Curves/meltCurve_Q9BQG2_NUDT12.pdf</t>
  </si>
  <si>
    <t>Melting_Curves/meltCurve_Q9BQI3_2_EIF2AK1.pdf</t>
  </si>
  <si>
    <t>Melting_Curves/meltCurve_Q9BQK8_2_LPIN3.pdf</t>
  </si>
  <si>
    <t>Melting_Curves/meltCurve_Q9BQL6_FERMT1.pdf</t>
  </si>
  <si>
    <t>Melting_Curves/meltCurve_Q9BQP7_MGME1.pdf</t>
  </si>
  <si>
    <t>Melting_Curves/meltCurve_Q9BQS8_FYCO1.pdf</t>
  </si>
  <si>
    <t>Melting_Curves/meltCurve_Q9BR61_ACBD6.pdf</t>
  </si>
  <si>
    <t>Melting_Curves/meltCurve_Q9BR76_CORO1B.pdf</t>
  </si>
  <si>
    <t>Melting_Curves/meltCurve_Q9BRA0_2_LSMD1.pdf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</si>
  <si>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</si>
  <si>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</si>
  <si>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</si>
  <si>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</si>
  <si>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Melting_Curves/meltCurve_Q9BRK4_LZTS2.pdf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</si>
  <si>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</si>
  <si>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</si>
  <si>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</si>
  <si>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</si>
  <si>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</si>
  <si>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Melting_Curves/meltCurve_Q9BRR6_2_ADPGK.pdf</t>
  </si>
  <si>
    <t>Melting_Curves/meltCurve_Q9BRR8_GPATCH1.pdf</t>
  </si>
  <si>
    <t>Melting_Curves/meltCurve_Q9BRS2_RIOK1.pdf</t>
  </si>
  <si>
    <t>Melting_Curves/meltCurve_Q9BRS8_LARP6.pdf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</si>
  <si>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</si>
  <si>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</si>
  <si>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</si>
  <si>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</si>
  <si>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</si>
  <si>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Melting_Curves/meltCurve_Q9BRX9_WDR83.pdf</t>
  </si>
  <si>
    <t>Melting_Curves/meltCurve_Q9BS26_ERP44.pdf</t>
  </si>
  <si>
    <t>Melting_Curves/meltCurve_Q9BS40_LXN.pdf</t>
  </si>
  <si>
    <t>Melting_Curves/meltCurve_Q9BSB4_ATG101.pdf</t>
  </si>
  <si>
    <t>Melting_Curves/meltCurve_Q9BSD7_NTPCR.pdf</t>
  </si>
  <si>
    <t>Melting_Curves/meltCurve_Q9BSE5_AGMAT.pdf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</si>
  <si>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</si>
  <si>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</si>
  <si>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</si>
  <si>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</si>
  <si>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Melting_Curves/meltCurve_Q9BSJ8_ESYT1.pdf</t>
  </si>
  <si>
    <t>Melting_Curves/meltCurve_Q9BSL1_UBAC1.pdf</t>
  </si>
  <si>
    <t>Melting_Curves/meltCurve_Q9BSQ5_CCM2.pdf</t>
  </si>
  <si>
    <t>Melting_Curves/meltCurve_Q9BST9_2_RTKN.pdf</t>
  </si>
  <si>
    <t>Melting_Curves/meltCurve_Q9BSU1_C16orf70.pdf</t>
  </si>
  <si>
    <t>Melting_Curves/meltCurve_Q9BSV6_TSEN34.pdf</t>
  </si>
  <si>
    <t>Melting_Curves/meltCurve_Q9BSY4_CHCHD5.pdf</t>
  </si>
  <si>
    <t>Melting_Curves/meltCurve_Q9BT09_CNPY3.pdf</t>
  </si>
  <si>
    <t>Melting_Curves/meltCurve_Q9BT17_MTG1.pdf</t>
  </si>
  <si>
    <t>Melting_Curves/meltCurve_Q9BT25_3_HAUS8.pdf</t>
  </si>
  <si>
    <t>Melting_Curves/meltCurve_Q9BT30_ALKBH7.pdf</t>
  </si>
  <si>
    <t>Melting_Curves/meltCurve_Q9BT73_PSMG3.pdf</t>
  </si>
  <si>
    <t>Melting_Curves/meltCurve_Q9BT78_COPS4.pdf</t>
  </si>
  <si>
    <t>Melting_Curves/meltCurve_Q9BTA9_WAC.pdf</t>
  </si>
  <si>
    <t>Melting_Curves/meltCurve_Q9BTC0_DIDO1.pdf</t>
  </si>
  <si>
    <t>Melting_Curves/meltCurve_Q9BTE1_2_DCTN5.pdf</t>
  </si>
  <si>
    <t>Melting_Curves/meltCurve_Q9BTE3_2_MCMBP.pdf</t>
  </si>
  <si>
    <t>Melting_Curves/meltCurve_Q9BTE6_AARSD1.pdf</t>
  </si>
  <si>
    <t>Melting_Curves/meltCurve_Q9BTE7_DCUN1D5.pdf</t>
  </si>
  <si>
    <t>Melting_Curves/meltCurve_Q9BTF0_THUMPD2.pdf</t>
  </si>
  <si>
    <t>Melting_Curves/meltCurve_Q9BTL3_FAM103A1.pdf</t>
  </si>
  <si>
    <t>Melting_Curves/meltCurve_Q9BTM9_URM1.pdf</t>
  </si>
  <si>
    <t>Melting_Curves/meltCurve_Q9BTP7_FAAP24.pdf</t>
  </si>
  <si>
    <t>Melting_Curves/meltCurve_Q9BTT0_ANP32E.pdf</t>
  </si>
  <si>
    <t>Melting_Curves/meltCurve_Q9BTT4_MED10.pdf</t>
  </si>
  <si>
    <t>Melting_Curves/meltCurve_Q9BTT6_LRRC1.pdf</t>
  </si>
  <si>
    <t>Melting_Curves/meltCurve_Q9BTV5_FSD1.pdf</t>
  </si>
  <si>
    <t>Melting_Curves/meltCurve_Q9BTV6_WDR85.pdf</t>
  </si>
  <si>
    <t>Melting_Curves/meltCurve_Q9BTW9_TBCD.pdf</t>
  </si>
  <si>
    <t>Melting_Curves/meltCurve_Q9BTX7_TTPAL.pdf</t>
  </si>
  <si>
    <t>Melting_Curves/meltCurve_Q9BTY2_FUCA2.pdf</t>
  </si>
  <si>
    <t>Melting_Curves/meltCurve_Q9BTY7_FAM203A.pdf</t>
  </si>
  <si>
    <t>Melting_Curves/meltCurve_Q9BTZ2_DHRS4.pdf</t>
  </si>
  <si>
    <t>Melting_Curves/meltCurve_Q9BU02_THTPA.pdf</t>
  </si>
  <si>
    <t>Melting_Curves/meltCurve_Q9BU61_2_NDUFAF3.pdf</t>
  </si>
  <si>
    <t>Melting_Curves/meltCurve_Q9BU64_CENPO.pdf</t>
  </si>
  <si>
    <t>Melting_Curves/meltCurve_Q9BU76_4_MMTAG2.pdf</t>
  </si>
  <si>
    <t>Melting_Curves/meltCurve_Q9BU89_DOHH.pdf</t>
  </si>
  <si>
    <t>Melting_Curves/meltCurve_Q9BUA3_C11orf84.pdf</t>
  </si>
  <si>
    <t>Melting_Curves/meltCurve_Q9BUB4_ADAT1.pdf</t>
  </si>
  <si>
    <t>Melting_Curves/meltCurve_Q9BUB5_2_MKNK1.pdf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</si>
  <si>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</si>
  <si>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</si>
  <si>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</si>
  <si>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</si>
  <si>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</si>
  <si>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Melting_Curves/meltCurve_Q9BUK6_3_MSTO1.pdf</t>
  </si>
  <si>
    <t>Melting_Curves/meltCurve_Q9BUL9_RPP25.pdf</t>
  </si>
  <si>
    <t>Melting_Curves/meltCurve_Q9BUP0_EFHD1.pdf</t>
  </si>
  <si>
    <t>Melting_Curves/meltCurve_Q9BUP3_HTATIP2.pdf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</si>
  <si>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</si>
  <si>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</si>
  <si>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</si>
  <si>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</si>
  <si>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</si>
  <si>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Melting_Curves/meltCurve_Q9BV19_C1orf50.pdf</t>
  </si>
  <si>
    <t>Melting_Curves/meltCurve_Q9BV20_MRI1.pdf</t>
  </si>
  <si>
    <t>Melting_Curves/meltCurve_Q9BV36_MLPH.pdf</t>
  </si>
  <si>
    <t>Melting_Curves/meltCurve_Q9BV36_2_MLPH.pdf</t>
  </si>
  <si>
    <t>Melting_Curves/meltCurve_Q9BV44_THUMPD3.pdf</t>
  </si>
  <si>
    <t>Melting_Curves/meltCurve_Q9BV57_ADI1.pdf</t>
  </si>
  <si>
    <t>Melting_Curves/meltCurve_Q9BV57_2_ADI1.pdf</t>
  </si>
  <si>
    <t>Melting_Curves/meltCurve_Q9BV68_2_RNF126.pdf</t>
  </si>
  <si>
    <t>Melting_Curves/meltCurve_Q9BV73_2_CEP250.pdf</t>
  </si>
  <si>
    <t>Melting_Curves/meltCurve_Q9BV79_MECR.pdf</t>
  </si>
  <si>
    <t>Melting_Curves/meltCurve_Q9BV86_NTMT1.pdf</t>
  </si>
  <si>
    <t>Melting_Curves/meltCurve_Q9BVA0_KATNB1.pdf</t>
  </si>
  <si>
    <t>Melting_Curves/meltCurve_Q9BVC3_DSCC1.pdf</t>
  </si>
  <si>
    <t>Melting_Curves/meltCurve_Q9BVC4_MLST8.pdf</t>
  </si>
  <si>
    <t>Melting_Curves/meltCurve_Q9BVC5_C2orf49.pdf</t>
  </si>
  <si>
    <t>Melting_Curves/meltCurve_Q9BVG4_PBDC1.pdf</t>
  </si>
  <si>
    <t>Melting_Curves/meltCurve_Q9BVG8_2_KIFC3.pdf</t>
  </si>
  <si>
    <t>Melting_Curves/meltCurve_Q9BVI4_NOC4L.pdf</t>
  </si>
  <si>
    <t>Melting_Curves/meltCurve_Q9BVJ6_UTP14A.pdf</t>
  </si>
  <si>
    <t>Melting_Curves/meltCurve_Q9BVJ7_DUSP23.pdf</t>
  </si>
  <si>
    <t>Melting_Curves/meltCurve_Q9BVL4_SELO.pdf</t>
  </si>
  <si>
    <t>Melting_Curves/meltCurve_Q9BVM2_DPCD.pdf</t>
  </si>
  <si>
    <t>Melting_Curves/meltCurve_Q9BVM4_GGACT.pdf</t>
  </si>
  <si>
    <t>Melting_Curves/meltCurve_Q9BVQ7_SPATA5L1.pdf</t>
  </si>
  <si>
    <t>Melting_Curves/meltCurve_Q9BVR6_TUBGCP4.pdf</t>
  </si>
  <si>
    <t>Melting_Curves/meltCurve_Q9BVS4_RIOK2.pdf</t>
  </si>
  <si>
    <t>Melting_Curves/meltCurve_Q9BVV6_2_KIAA0586.pdf</t>
  </si>
  <si>
    <t>Melting_Curves/meltCurve_Q9BVW5_TIPIN.pdf</t>
  </si>
  <si>
    <t>Melting_Curves/meltCurve_Q9BW04_SARG.pdf</t>
  </si>
  <si>
    <t>Melting_Curves/meltCurve_Q9BW19_KIFC1.pdf</t>
  </si>
  <si>
    <t>Melting_Curves/meltCurve_Q9BW27_NUP85.pdf</t>
  </si>
  <si>
    <t>Melting_Curves/meltCurve_Q9BW30_TPPP3.pdf</t>
  </si>
  <si>
    <t>Melting_Curves/meltCurve_Q9BW61_DDA1.pdf</t>
  </si>
  <si>
    <t>Melting_Curves/meltCurve_Q9BW62_KATNAL1.pdf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</si>
  <si>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</si>
  <si>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</si>
  <si>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</si>
  <si>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</si>
  <si>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</si>
  <si>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</si>
  <si>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Melting_Curves/meltCurve_Q9BWD3_FAM127B.pdf</t>
  </si>
  <si>
    <t>Melting_Curves/meltCurve_Q9BWE0_REPIN1.pdf</t>
  </si>
  <si>
    <t>Melting_Curves/meltCurve_Q9BWF3_RBM4.pdf</t>
  </si>
  <si>
    <t>Melting_Curves/meltCurve_Q9BWH2_FUNDC2.pdf</t>
  </si>
  <si>
    <t>Melting_Curves/meltCurve_Q9BWH6_RPAP1.pdf</t>
  </si>
  <si>
    <t>Melting_Curves/meltCurve_Q9BWJ5_SF3B5.pdf</t>
  </si>
  <si>
    <t>Melting_Curves/meltCurve_Q9BWS9_3_CHID1.pdf</t>
  </si>
  <si>
    <t>Melting_Curves/meltCurve_Q9BWT3_PAPOLG.pdf</t>
  </si>
  <si>
    <t>Melting_Curves/meltCurve_Q9BWT6_MND1.pdf</t>
  </si>
  <si>
    <t>Melting_Curves/meltCurve_Q9BWT7_CARD10.pdf</t>
  </si>
  <si>
    <t>Melting_Curves/meltCurve_Q9BWU0_SLC4A1AP.pdf</t>
  </si>
  <si>
    <t>Melting_Curves/meltCurve_Q9BWW5_SSDP4.pdf</t>
  </si>
  <si>
    <t>Melting_Curves/meltCurve_Q9BX40_LSM14B.pdf</t>
  </si>
  <si>
    <t>Melting_Curves/meltCurve_Q9BX63_BRIP1.pdf</t>
  </si>
  <si>
    <t>Melting_Curves/meltCurve_Q9BX68_HINT2.pdf</t>
  </si>
  <si>
    <t>Melting_Curves/meltCurve_Q9BXB4_OSBPL11.pdf</t>
  </si>
  <si>
    <t>Melting_Curves/meltCurve_Q9BXB5_2_OSBPL10.pdf</t>
  </si>
  <si>
    <t>Melting_Curves/meltCurve_Q9BXF6_RAB11FIP5.pdf</t>
  </si>
  <si>
    <t>Melting_Curves/meltCurve_Q9BXI6_TBC1D10A.pdf</t>
  </si>
  <si>
    <t>Melting_Curves/meltCurve_Q9BXJ9_NAA15.pdf</t>
  </si>
  <si>
    <t>Melting_Curves/meltCurve_Q9BXK1_KLF16.pdf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</si>
  <si>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</si>
  <si>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</si>
  <si>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</si>
  <si>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</si>
  <si>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Melting_Curves/meltCurve_Q9BXS6_4_NUSAP1.pdf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</si>
  <si>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</si>
  <si>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</si>
  <si>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</si>
  <si>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</si>
  <si>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Melting_Curves/meltCurve_Q9BXY0_MAK16.pdf</t>
  </si>
  <si>
    <t>Melting_Curves/meltCurve_Q9BY12_2_SCAPER.pdf</t>
  </si>
  <si>
    <t>Melting_Curves/meltCurve_Q9BY32_ITPA.pdf</t>
  </si>
  <si>
    <t>Melting_Curves/meltCurve_Q9BY42_RTFDC1.pdf</t>
  </si>
  <si>
    <t>Melting_Curves/meltCurve_Q9BY43_CHMP4A.pdf</t>
  </si>
  <si>
    <t>Melting_Curves/meltCurve_Q9BY67_2_CADM1.pdf</t>
  </si>
  <si>
    <t>Melting_Curves/meltCurve_Q9BY77_POLDIP3.pdf</t>
  </si>
  <si>
    <t>Melting_Curves/meltCurve_Q9BY89_KIAA1671.pdf</t>
  </si>
  <si>
    <t>Melting_Curves/meltCurve_Q9BYB4_GNB1L.pdf</t>
  </si>
  <si>
    <t>Melting_Curves/meltCurve_Q9BYC8_MRPL32.pdf</t>
  </si>
  <si>
    <t>Melting_Curves/meltCurve_Q9BYG5_PARD6B.pdf</t>
  </si>
  <si>
    <t>Melting_Curves/meltCurve_Q9BYJ9_YTHDF1.pdf</t>
  </si>
  <si>
    <t>Melting_Curves/meltCurve_Q9BYM8_RBCK1.pdf</t>
  </si>
  <si>
    <t>Melting_Curves/meltCurve_Q9BYN0_SRXN1.pdf</t>
  </si>
  <si>
    <t>Melting_Curves/meltCurve_Q9BYN8_MRPS26.pdf</t>
  </si>
  <si>
    <t>Melting_Curves/meltCurve_Q9BYT8_NLN.pdf</t>
  </si>
  <si>
    <t>Melting_Curves/meltCurve_Q9BYV8_CEP41.pdf</t>
  </si>
  <si>
    <t>Melting_Curves/meltCurve_Q9BYW2_SETD2.pdf</t>
  </si>
  <si>
    <t>Melting_Curves/meltCurve_Q9BYX2_4_TBC1D2.pdf</t>
  </si>
  <si>
    <t>Melting_Curves/meltCurve_Q9BZ23_3_PANK2.pdf</t>
  </si>
  <si>
    <t>Melting_Curves/meltCurve_Q9BZ29_3_DOCK9.pdf</t>
  </si>
  <si>
    <t>Melting_Curves/meltCurve_Q9BZ67_2_FRMD8.pdf</t>
  </si>
  <si>
    <t>Melting_Curves/meltCurve_Q9BZ95_4_WHSC1L1.pdf</t>
  </si>
  <si>
    <t>Melting_Curves/meltCurve_Q9BZA5_TXLNG2P.pdf</t>
  </si>
  <si>
    <t>Melting_Curves/meltCurve_Q9BZD4_NUF2.pdf</t>
  </si>
  <si>
    <t>Melting_Curves/meltCurve_Q9BZE4_GTPBP4.pdf</t>
  </si>
  <si>
    <t>Melting_Curves/meltCurve_Q9BZE9_ASPSCR1.pdf</t>
  </si>
  <si>
    <t>Melting_Curves/meltCurve_Q9BZG1_RAB34.pdf</t>
  </si>
  <si>
    <t>Melting_Curves/meltCurve_Q9BZH6_WDR11.pdf</t>
  </si>
  <si>
    <t>Melting_Curves/meltCurve_Q9BZI7_2_UPF3B.pdf</t>
  </si>
  <si>
    <t>Melting_Curves/meltCurve_Q9BZJ0_2_CRNKL1.pdf</t>
  </si>
  <si>
    <t>Melting_Curves/meltCurve_Q9BZK7_TBL1XR1.pdf</t>
  </si>
  <si>
    <t>Melting_Curves/meltCurve_Q9BZL1_UBL5.pdf</t>
  </si>
  <si>
    <t>Melting_Curves/meltCurve_Q9BZL4_PPP1R12C.pdf</t>
  </si>
  <si>
    <t>Melting_Curves/meltCurve_Q9BZL4_3_PPP1R12C.pdf</t>
  </si>
  <si>
    <t>Melting_Curves/meltCurve_Q9BZL4_4_PPP1R12C.pdf</t>
  </si>
  <si>
    <t>Melting_Curves/meltCurve_Q9BZL6_PRKD2.pdf</t>
  </si>
  <si>
    <t>Melting_Curves/meltCurve_Q9BZM5_ULBP2.pdf</t>
  </si>
  <si>
    <t>Melting_Curves/meltCurve_Q9BZX2_UCK2.pdf</t>
  </si>
  <si>
    <t>Melting_Curves/meltCurve_Q9BZZ5_2_API5.pdf</t>
  </si>
  <si>
    <t>Melting_Curves/meltCurve_Q9C005_DPY30.pdf</t>
  </si>
  <si>
    <t>Melting_Curves/meltCurve_Q9C010_PKIB.pdf</t>
  </si>
  <si>
    <t>Melting_Curves/meltCurve_Q9C026_5_TRIM9.pdf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</si>
  <si>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</si>
  <si>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</si>
  <si>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</si>
  <si>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</si>
  <si>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</si>
  <si>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Melting_Curves/meltCurve_Q9C0C7_4_AMBRA1.pdf</t>
  </si>
  <si>
    <t>Melting_Curves/meltCurve_Q9C0C9_UBE2O.pdf</t>
  </si>
  <si>
    <t>Melting_Curves/meltCurve_Q9C0D3_ZYG11B.pdf</t>
  </si>
  <si>
    <t>Melting_Curves/meltCurve_Q9C0D5_TANC1.pdf</t>
  </si>
  <si>
    <t>Melting_Curves/meltCurve_Q9C0F1_CEP44.pdf</t>
  </si>
  <si>
    <t>Melting_Curves/meltCurve_Q9C0H6_KLHL4.pdf</t>
  </si>
  <si>
    <t>Melting_Curves/meltCurve_Q9C0I1_MTMR12.pdf</t>
  </si>
  <si>
    <t>Melting_Curves/meltCurve_Q9C0J8_WDR33.pdf</t>
  </si>
  <si>
    <t>Melting_Curves/meltCurve_Q9GZL7_WDR12.pdf</t>
  </si>
  <si>
    <t>Melting_Curves/meltCurve_Q9GZN1_ACTR6.pdf</t>
  </si>
  <si>
    <t>Melting_Curves/meltCurve_Q9GZN8_C20orf27.pdf</t>
  </si>
  <si>
    <t>Melting_Curves/meltCurve_Q9GZP4_PITHD1.pdf</t>
  </si>
  <si>
    <t>Melting_Curves/meltCurve_Q9GZQ3_COMMD5.pdf</t>
  </si>
  <si>
    <t>Melting_Curves/meltCurve_Q9GZR1_2_SENP6.pdf</t>
  </si>
  <si>
    <t>Melting_Curves/meltCurve_Q9GZS1_2_POLR1E.pdf</t>
  </si>
  <si>
    <t>Melting_Curves/meltCurve_Q9GZS3_WDR61.pdf</t>
  </si>
  <si>
    <t>Melting_Curves/meltCurve_Q9GZT3_2_SLIRP.pdf</t>
  </si>
  <si>
    <t>Melting_Curves/meltCurve_Q9GZT4_SRR.pdf</t>
  </si>
  <si>
    <t>Melting_Curves/meltCurve_Q9GZT8_NIF3L1.pdf</t>
  </si>
  <si>
    <t>Melting_Curves/meltCurve_Q9GZT9_EGLN1.pdf</t>
  </si>
  <si>
    <t>Melting_Curves/meltCurve_Q9GZU8_FAM192A.pdf</t>
  </si>
  <si>
    <t>Melting_Curves/meltCurve_Q9GZV1_ANKRD2.pdf</t>
  </si>
  <si>
    <t>Melting_Curves/meltCurve_Q9GZV5_WWTR1.pdf</t>
  </si>
  <si>
    <t>Melting_Curves/meltCurve_Q9GZX9_TWSG1.pdf</t>
  </si>
  <si>
    <t>Melting_Curves/meltCurve_Q9GZY8_2_MFF.pdf</t>
  </si>
  <si>
    <t>Melting_Curves/meltCurve_Q9GZZ9_UBA5.pdf</t>
  </si>
  <si>
    <t>Melting_Curves/meltCurve_Q9H008_LHPP.pdf</t>
  </si>
  <si>
    <t>Melting_Curves/meltCurve_Q9H074_PAIP1.pdf</t>
  </si>
  <si>
    <t>Melting_Curves/meltCurve_Q9H078_2_CLPB.pdf</t>
  </si>
  <si>
    <t>Melting_Curves/meltCurve_Q9H081_MIS12.pdf</t>
  </si>
  <si>
    <t>Melting_Curves/meltCurve_Q9H082_RAB33B.pdf</t>
  </si>
  <si>
    <t>Melting_Curves/meltCurve_Q9H098_FAM107B.pdf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</si>
  <si>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</si>
  <si>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</si>
  <si>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</si>
  <si>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</si>
  <si>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</si>
  <si>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Melting_Curves/meltCurve_Q9H0E3_3_SAP130.pdf</t>
  </si>
  <si>
    <t>Melting_Curves/meltCurve_Q9H0E9_2_BRD8.pdf</t>
  </si>
  <si>
    <t>Melting_Curves/meltCurve_Q9H0F6_SHARPIN.pdf</t>
  </si>
  <si>
    <t>Melting_Curves/meltCurve_Q9H0F7_ARL6.pdf</t>
  </si>
  <si>
    <t>Melting_Curves/meltCurve_Q9H0G5_NSRP1.pdf</t>
  </si>
  <si>
    <t>Melting_Curves/meltCurve_Q9H0H5_RACGAP1.pdf</t>
  </si>
  <si>
    <t>Melting_Curves/meltCurve_Q9H0J9_PARP12.pdf</t>
  </si>
  <si>
    <t>Melting_Curves/meltCurve_Q9H0K6_PUS7L.pdf</t>
  </si>
  <si>
    <t>Melting_Curves/meltCurve_Q9H0L4_CSTF2T.pdf</t>
  </si>
  <si>
    <t>Melting_Curves/meltCurve_Q9H0P0_1_NT5C3A.pdf</t>
  </si>
  <si>
    <t>Melting_Curves/meltCurve_Q9H0R1_AP5M1.pdf</t>
  </si>
  <si>
    <t>Melting_Curves/meltCurve_Q9H0R4_HDHD2.pdf</t>
  </si>
  <si>
    <t>Melting_Curves/meltCurve_Q9H0R6_QRSL1.pdf</t>
  </si>
  <si>
    <t>Melting_Curves/meltCurve_Q9H0S4_2_DDX47.pdf</t>
  </si>
  <si>
    <t>Melting_Curves/meltCurve_Q9H0U4_RAB1B.pdf</t>
  </si>
  <si>
    <t>Melting_Curves/meltCurve_Q9H0W8_SMG9.pdf</t>
  </si>
  <si>
    <t>Melting_Curves/meltCurve_Q9H0W9_2_C11orf54.pdf</t>
  </si>
  <si>
    <t>Melting_Curves/meltCurve_Q9H173_SIL1.pdf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</si>
  <si>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</si>
  <si>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</si>
  <si>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</si>
  <si>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</si>
  <si>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Melting_Curves/meltCurve_Q9H1H9_3_KIF13A.pdf</t>
  </si>
  <si>
    <t>Melting_Curves/meltCurve_Q9H1I8_3_ASCC2.pdf</t>
  </si>
  <si>
    <t>Melting_Curves/meltCurve_Q9H1J1_2_UPF3A.pdf</t>
  </si>
  <si>
    <t>Melting_Curves/meltCurve_Q9H1K0_ZFYVE20.pdf</t>
  </si>
  <si>
    <t>Melting_Curves/meltCurve_Q9H1K1_ISCU.pdf</t>
  </si>
  <si>
    <t>Melting_Curves/meltCurve_Q9H1P3_2_OSBPL2.pdf</t>
  </si>
  <si>
    <t>Melting_Curves/meltCurve_Q9H1U4_MEGF9.pdf</t>
  </si>
  <si>
    <t>Melting_Curves/meltCurve_Q9H1Y0_ATG5.pdf</t>
  </si>
  <si>
    <t>Melting_Curves/meltCurve_Q9H1Z4_WDR13.pdf</t>
  </si>
  <si>
    <t>Melting_Curves/meltCurve_Q9H223_EHD4.pdf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</si>
  <si>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</si>
  <si>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</si>
  <si>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</si>
  <si>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</si>
  <si>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Melting_Curves/meltCurve_Q9H2D6_3_TRIOBP.pdf</t>
  </si>
  <si>
    <t>Melting_Curves/meltCurve_Q9H2F5_2_EPC1.pdf</t>
  </si>
  <si>
    <t>Melting_Curves/meltCurve_Q9H2G2_SLK.pdf</t>
  </si>
  <si>
    <t>Melting_Curves/meltCurve_Q9H2H8_PPIL3.pdf</t>
  </si>
  <si>
    <t>Melting_Curves/meltCurve_Q9H2J4_PDCL3.pdf</t>
  </si>
  <si>
    <t>Melting_Curves/meltCurve_Q9H2K8_TAOK3.pdf</t>
  </si>
  <si>
    <t>Melting_Curves/meltCurve_Q9H2M9_RAB3GAP2.pdf</t>
  </si>
  <si>
    <t>Melting_Curves/meltCurve_Q9H2P0_ADNP.pdf</t>
  </si>
  <si>
    <t>Melting_Curves/meltCurve_Q9H2P9_3_DPH5.pdf</t>
  </si>
  <si>
    <t>Melting_Curves/meltCurve_Q9H2U1_3_DHX36.pdf</t>
  </si>
  <si>
    <t>Melting_Curves/meltCurve_Q9H2U2_PPA2.pdf</t>
  </si>
  <si>
    <t>Melting_Curves/meltCurve_Q9H2W6_MRPL46.pdf</t>
  </si>
  <si>
    <t>Melting_Curves/meltCurve_Q9H2Y7_ZNF106.pdf</t>
  </si>
  <si>
    <t>Melting_Curves/meltCurve_Q9H307_PNN.pdf</t>
  </si>
  <si>
    <t>Melting_Curves/meltCurve_Q9H3D4_10_TP63.pdf</t>
  </si>
  <si>
    <t>Melting_Curves/meltCurve_Q9H3F6_KCTD10.pdf</t>
  </si>
  <si>
    <t>Melting_Curves/meltCurve_Q9H3H1_4_TRIT1.pdf</t>
  </si>
  <si>
    <t>Melting_Curves/meltCurve_Q9H3H3_2_C11orf68.pdf</t>
  </si>
  <si>
    <t>Melting_Curves/meltCurve_Q9H3K6_BOLA2.pdf</t>
  </si>
  <si>
    <t>Melting_Curves/meltCurve_Q9H3L0_MMADHC.pdf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</si>
  <si>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</si>
  <si>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</si>
  <si>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</si>
  <si>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</si>
  <si>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</si>
  <si>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</si>
  <si>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Melting_Curves/meltCurve_Q9H3Y8_PPDPF.pdf</t>
  </si>
  <si>
    <t>Melting_Curves/meltCurve_Q9H410_DSN1.pdf</t>
  </si>
  <si>
    <t>Melting_Curves/meltCurve_Q9H425_C1orf198.pdf</t>
  </si>
  <si>
    <t>Melting_Curves/meltCurve_Q9H444_CHMP4B.pdf</t>
  </si>
  <si>
    <t>Melting_Curves/meltCurve_Q9H461_FZD8.pdf</t>
  </si>
  <si>
    <t>Melting_Curves/meltCurve_Q9H467_CUEDC2.pdf</t>
  </si>
  <si>
    <t>Melting_Curves/meltCurve_Q9H469_FBXL15.pdf</t>
  </si>
  <si>
    <t>Melting_Curves/meltCurve_Q9H479_FN3K.pdf</t>
  </si>
  <si>
    <t>Melting_Curves/meltCurve_Q9H488_POFUT1.pdf</t>
  </si>
  <si>
    <t>Melting_Curves/meltCurve_Q9H492_MAP1LC3A.pdf</t>
  </si>
  <si>
    <t>Melting_Curves/meltCurve_Q9H496_IFRG15.pdf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</si>
  <si>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</si>
  <si>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</si>
  <si>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</si>
  <si>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</si>
  <si>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Melting_Curves/meltCurve_Q9H4B6_SAV1.pdf</t>
  </si>
  <si>
    <t>Melting_Curves/meltCurve_Q9H4F8_SMOC1.pdf</t>
  </si>
  <si>
    <t>Melting_Curves/meltCurve_Q9H4G0_EPB41L1.pdf</t>
  </si>
  <si>
    <t>Melting_Curves/meltCurve_Q9H4G0_2_EPB41L1.pdf</t>
  </si>
  <si>
    <t>Melting_Curves/meltCurve_Q9H4G0_4_EPB41L1.pdf</t>
  </si>
  <si>
    <t>Melting_Curves/meltCurve_Q9H4H8_FAM83D.pdf</t>
  </si>
  <si>
    <t>Melting_Curves/meltCurve_Q9H4I2_ZHX3.pdf</t>
  </si>
  <si>
    <t>Melting_Curves/meltCurve_Q9H4L5_4_OSBPL3.pdf</t>
  </si>
  <si>
    <t>Melting_Curves/meltCurve_Q9H4L7_SMARCAD1.pdf</t>
  </si>
  <si>
    <t>Melting_Curves/meltCurve_Q9H4M9_EHD1.pdf</t>
  </si>
  <si>
    <t>Melting_Curves/meltCurve_Q9H4P4_2_RNF41.pdf</t>
  </si>
  <si>
    <t>Melting_Curves/meltCurve_Q9H4Z3_PCIF1.pdf</t>
  </si>
  <si>
    <t>Melting_Curves/meltCurve_Q9H501_ESF1.pdf</t>
  </si>
  <si>
    <t>Melting_Curves/meltCurve_Q9H582_2_ZNF644.pdf</t>
  </si>
  <si>
    <t>Melting_Curves/meltCurve_Q9H5N1_RABEP2.pdf</t>
  </si>
  <si>
    <t>Melting_Curves/meltCurve_Q9H5Q4_TFB2M.pdf</t>
  </si>
  <si>
    <t>Melting_Curves/meltCurve_Q9H5V9_3_CXorf56.pdf</t>
  </si>
  <si>
    <t>Melting_Curves/meltCurve_Q9H5X1_FAM96A.pdf</t>
  </si>
  <si>
    <t>Melting_Curves/meltCurve_Q9H5Z1_2_DHX35.pdf</t>
  </si>
  <si>
    <t>Melting_Curves/meltCurve_Q9H609_ZNF576.pdf</t>
  </si>
  <si>
    <t>Melting_Curves/meltCurve_Q9H633_3_RPP21.pdf</t>
  </si>
  <si>
    <t>Melting_Curves/meltCurve_Q9H672_ASB7.pdf</t>
  </si>
  <si>
    <t>Melting_Curves/meltCurve_Q9H694_BICC1.pdf</t>
  </si>
  <si>
    <t>Melting_Curves/meltCurve_Q9H6A9_PCNXL3.pdf</t>
  </si>
  <si>
    <t>Melting_Curves/meltCurve_Q9H6D7_HAUS4.pdf</t>
  </si>
  <si>
    <t>Melting_Curves/meltCurve_Q9H6E4_CCDC134.pdf</t>
  </si>
  <si>
    <t>Melting_Curves/meltCurve_Q9H6E5_TUT1.pdf</t>
  </si>
  <si>
    <t>Melting_Curves/meltCurve_Q9H6F5_CCDC86.pdf</t>
  </si>
  <si>
    <t>Melting_Curves/meltCurve_Q9H6I2_SOX17.pdf</t>
  </si>
  <si>
    <t>Melting_Curves/meltCurve_Q9H6K1_C6orf106.pdf</t>
  </si>
  <si>
    <t>Melting_Curves/meltCurve_Q9H6L4_ARMC7.pdf</t>
  </si>
  <si>
    <t>Melting_Curves/meltCurve_Q9H6Q4_NARFL.pdf</t>
  </si>
  <si>
    <t>Melting_Curves/meltCurve_Q9H6R4_2_NOL6.pdf</t>
  </si>
  <si>
    <t>Melting_Curves/meltCurve_Q9H6R7_2_C2orf44.pdf</t>
  </si>
  <si>
    <t>Melting_Curves/meltCurve_Q9H6S0_YTHDC2.pdf</t>
  </si>
  <si>
    <t>Melting_Curves/meltCurve_Q9H6S1_AZI2.pdf</t>
  </si>
  <si>
    <t>Melting_Curves/meltCurve_Q9H6S3_EPS8L2.pdf</t>
  </si>
  <si>
    <t>Melting_Curves/meltCurve_Q9H6T3_2_RPAP3.pdf</t>
  </si>
  <si>
    <t>Melting_Curves/meltCurve_Q9H6U6_2_BCAS3.pdf</t>
  </si>
  <si>
    <t>Melting_Curves/meltCurve_Q9H6X2_ANTXR1.pdf</t>
  </si>
  <si>
    <t>Melting_Curves/meltCurve_Q9H6Y2_WDR55.pdf</t>
  </si>
  <si>
    <t>Melting_Curves/meltCurve_Q9H6Z4_2_RANBP3.pdf</t>
  </si>
  <si>
    <t>Melting_Curves/meltCurve_Q9H706_2_GAREM.pdf</t>
  </si>
  <si>
    <t>Melting_Curves/meltCurve_Q9H773_DCTPP1.pdf</t>
  </si>
  <si>
    <t>Melting_Curves/meltCurve_Q9H788_SH2D4A.pdf</t>
  </si>
  <si>
    <t>Melting_Curves/meltCurve_Q9H792_PEAK1.pdf</t>
  </si>
  <si>
    <t>Melting_Curves/meltCurve_Q9H7B4_SMYD3.pdf</t>
  </si>
  <si>
    <t>Melting_Curves/meltCurve_Q9H7C4_2_SYNC.pdf</t>
  </si>
  <si>
    <t>Melting_Curves/meltCurve_Q9H7C9_AAMDC.pdf</t>
  </si>
  <si>
    <t>Melting_Curves/meltCurve_Q9H7D0_DOCK5.pdf</t>
  </si>
  <si>
    <t>Melting_Curves/meltCurve_Q9H7D7_2_WDR26.pdf</t>
  </si>
  <si>
    <t>Melting_Curves/meltCurve_Q9H7E2_3_TDRD3.pdf</t>
  </si>
  <si>
    <t>Melting_Curves/meltCurve_Q9H7E9_C8orf33.pdf</t>
  </si>
  <si>
    <t>Melting_Curves/meltCurve_Q9H7L9_SUDS3.pdf</t>
  </si>
  <si>
    <t>Melting_Curves/meltCurve_Q9H7N4_SCAF1.pdf</t>
  </si>
  <si>
    <t>Melting_Curves/meltCurve_Q9H7P9_PLEKHG2.pdf</t>
  </si>
  <si>
    <t>Melting_Curves/meltCurve_Q9H7S9_ZNF703.pdf</t>
  </si>
  <si>
    <t>Melting_Curves/meltCurve_Q9H7U1_3_CCSER2.pdf</t>
  </si>
  <si>
    <t>Melting_Curves/meltCurve_Q9H7X3_ZNF696.pdf</t>
  </si>
  <si>
    <t>Melting_Curves/meltCurve_Q9H7X7_2_RABL5.pdf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</si>
  <si>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</si>
  <si>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</si>
  <si>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</si>
  <si>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</si>
  <si>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</si>
  <si>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</si>
  <si>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</si>
  <si>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Melting_Curves/meltCurve_Q9H869_7_YY1AP1.pdf</t>
  </si>
  <si>
    <t>Melting_Curves/meltCurve_Q9H875_PRKRIP1.pdf</t>
  </si>
  <si>
    <t>Melting_Curves/meltCurve_Q9H8G2_CAAP1.pdf</t>
  </si>
  <si>
    <t>Melting_Curves/meltCurve_Q9H8H0_NOL11.pdf</t>
  </si>
  <si>
    <t>Melting_Curves/meltCurve_Q9H8K7_C10orf88.pdf</t>
  </si>
  <si>
    <t>Melting_Curves/meltCurve_Q9H8M7_FAM188A.pdf</t>
  </si>
  <si>
    <t>Melting_Curves/meltCurve_Q9H8S9_MOB1A.pdf</t>
  </si>
  <si>
    <t>Melting_Curves/meltCurve_Q9H8U3_ZFAND3.pdf</t>
  </si>
  <si>
    <t>Melting_Curves/meltCurve_Q9H8V3_ECT2.pdf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</si>
  <si>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</si>
  <si>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</si>
  <si>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</si>
  <si>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</si>
  <si>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</si>
  <si>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Melting_Curves/meltCurve_Q9H944_MED20.pdf</t>
  </si>
  <si>
    <t>Melting_Curves/meltCurve_Q9H974_QTRTD1.pdf</t>
  </si>
  <si>
    <t>Melting_Curves/meltCurve_Q9H977_WDR54.pdf</t>
  </si>
  <si>
    <t>Melting_Curves/meltCurve_Q9H992_MARCH7.pdf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</si>
  <si>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</si>
  <si>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</si>
  <si>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</si>
  <si>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</si>
  <si>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</si>
  <si>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</si>
  <si>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Melting_Curves/meltCurve_Q9H9C1_VIPAS39.pdf</t>
  </si>
  <si>
    <t>Melting_Curves/meltCurve_Q9H9D4_ZNF408.pdf</t>
  </si>
  <si>
    <t>Melting_Curves/meltCurve_Q9H9E3_COG4.pdf</t>
  </si>
  <si>
    <t>Melting_Curves/meltCurve_Q9H9F9_ACTR5.pdf</t>
  </si>
  <si>
    <t>Melting_Curves/meltCurve_Q9H9H4_VPS37B.pdf</t>
  </si>
  <si>
    <t>Melting_Curves/meltCurve_Q9H9J2_MRPL44.pdf</t>
  </si>
  <si>
    <t>Melting_Curves/meltCurve_Q9H9R9_DBNDD1.pdf</t>
  </si>
  <si>
    <t>Melting_Curves/meltCurve_Q9H9T3_2_ELP3.pdf</t>
  </si>
  <si>
    <t>Melting_Curves/meltCurve_Q9H9Y6_POLR1B.pdf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</si>
  <si>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</si>
  <si>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</si>
  <si>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</si>
  <si>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</si>
  <si>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Melting_Curves/meltCurve_Q9HAB8_PPCS.pdf</t>
  </si>
  <si>
    <t>Melting_Curves/meltCurve_Q9HAD4_WDR41.pdf</t>
  </si>
  <si>
    <t>Melting_Curves/meltCurve_Q9HAJ7_SAP30L.pdf</t>
  </si>
  <si>
    <t>Melting_Curves/meltCurve_Q9HAP2_MLXIP.pdf</t>
  </si>
  <si>
    <t>Melting_Curves/meltCurve_Q9HAT2_2_SIAE.pdf</t>
  </si>
  <si>
    <t>Melting_Curves/meltCurve_Q9HAU0_PLEKHA5.pdf</t>
  </si>
  <si>
    <t>Melting_Curves/meltCurve_Q9HAU4_SMURF2.pdf</t>
  </si>
  <si>
    <t>Melting_Curves/meltCurve_Q9HAU5_UPF2.pdf</t>
  </si>
  <si>
    <t>Melting_Curves/meltCurve_Q9HAU8_RNPEPL1.pdf</t>
  </si>
  <si>
    <t>Melting_Curves/meltCurve_Q9HAV4_XPO5.pdf</t>
  </si>
  <si>
    <t>Melting_Curves/meltCurve_Q9HAV7_GRPEL1.pdf</t>
  </si>
  <si>
    <t>Melting_Curves/meltCurve_Q9HAW4_2_CLSPN.pdf</t>
  </si>
  <si>
    <t>Melting_Curves/meltCurve_Q9HAY6_BCMO1.pdf</t>
  </si>
  <si>
    <t>Melting_Curves/meltCurve_Q9HB07_C12orf10.pdf</t>
  </si>
  <si>
    <t>Melting_Curves/meltCurve_Q9HB09_3_BCL2L12.pdf</t>
  </si>
  <si>
    <t>Melting_Curves/meltCurve_Q9HB19_PLEKHA2.pdf</t>
  </si>
  <si>
    <t>Melting_Curves/meltCurve_Q9HB20_PLEKHA3.pdf</t>
  </si>
  <si>
    <t>Melting_Curves/meltCurve_Q9HB21_PLEKHA1.pdf</t>
  </si>
  <si>
    <t>Melting_Curves/meltCurve_Q9HB40_SCPEP1.pdf</t>
  </si>
  <si>
    <t>Melting_Curves/meltCurve_Q9HB71_CACYBP.pdf</t>
  </si>
  <si>
    <t>Melting_Curves/meltCurve_Q9HB90_RRAGC.pdf</t>
  </si>
  <si>
    <t>Melting_Curves/meltCurve_Q9HB96_FANCE.pdf</t>
  </si>
  <si>
    <t>Melting_Curves/meltCurve_Q9HBD1_6_RC3H2.pdf</t>
  </si>
  <si>
    <t>Melting_Curves/meltCurve_Q9HBE1_4_PATZ1.pdf</t>
  </si>
  <si>
    <t>Melting_Curves/meltCurve_Q9HBH1_PDF.pdf</t>
  </si>
  <si>
    <t>Melting_Curves/meltCurve_Q9HBI1_PARVB.pdf</t>
  </si>
  <si>
    <t>Melting_Curves/meltCurve_Q9HBK9_AS3MT.pdf</t>
  </si>
  <si>
    <t>Melting_Curves/meltCurve_Q9HBL8_NMRAL1.pdf</t>
  </si>
  <si>
    <t>Melting_Curves/meltCurve_Q9HBM1_SPC25.pdf</t>
  </si>
  <si>
    <t>Melting_Curves/meltCurve_Q9HBR0_SLC38A10.pdf</t>
  </si>
  <si>
    <t>Melting_Curves/meltCurve_Q9HBU6_ETNK1.pdf</t>
  </si>
  <si>
    <t>Melting_Curves/meltCurve_Q9HBZ2_2_ARNT2.pdf</t>
  </si>
  <si>
    <t>Melting_Curves/meltCurve_Q9HC35_EML4.pdf</t>
  </si>
  <si>
    <t>Melting_Curves/meltCurve_Q9HC38_2_GLOD4.pdf</t>
  </si>
  <si>
    <t>Melting_Curves/meltCurve_Q9HC52_CBX8.pdf</t>
  </si>
  <si>
    <t>Melting_Curves/meltCurve_Q9HC84_MUC5B.pdf</t>
  </si>
  <si>
    <t>Melting_Curves/meltCurve_Q9HCC0_MCCC2.pdf</t>
  </si>
  <si>
    <t>Melting_Curves/meltCurve_Q9HCC9_5_ZFYVE28.pdf</t>
  </si>
  <si>
    <t>Melting_Curves/meltCurve_Q9HCD5_NCOA5.pdf</t>
  </si>
  <si>
    <t>Melting_Curves/meltCurve_Q9HCD6_TANC2.pdf</t>
  </si>
  <si>
    <t>Melting_Curves/meltCurve_Q9HCE0_2_EPG5.pdf</t>
  </si>
  <si>
    <t>Melting_Curves/meltCurve_Q9HCE3_ZNF532.pdf</t>
  </si>
  <si>
    <t>Melting_Curves/meltCurve_Q9HCE5_METTL14.pdf</t>
  </si>
  <si>
    <t>Melting_Curves/meltCurve_Q9HCH0_NCKAP5L.pdf</t>
  </si>
  <si>
    <t>Melting_Curves/meltCurve_Q9HCH5_11_SYTL2.pdf</t>
  </si>
  <si>
    <t>Melting_Curves/meltCurve_Q9HCH5_14_SYTL2.pdf</t>
  </si>
  <si>
    <t>Melting_Curves/meltCurve_Q9HCJ0_TNRC6C.pdf</t>
  </si>
  <si>
    <t>Melting_Curves/meltCurve_Q9HCJ3_2_RAVER2.pdf</t>
  </si>
  <si>
    <t>Melting_Curves/meltCurve_Q9HCK8_CHD8.pdf</t>
  </si>
  <si>
    <t>Melting_Curves/meltCurve_Q9HCM1_KIAA1551.pdf</t>
  </si>
  <si>
    <t>Melting_Curves/meltCurve_Q9HCM4_4_EPB41L5.pdf</t>
  </si>
  <si>
    <t>Melting_Curves/meltCurve_Q9HCN4_3_GPN1.pdf</t>
  </si>
  <si>
    <t>Melting_Curves/meltCurve_Q9HCN8_SDF2L1.pdf</t>
  </si>
  <si>
    <t>Melting_Curves/meltCurve_Q9HCP0_2_CSNK1G1.pdf</t>
  </si>
  <si>
    <t>Melting_Curves/meltCurve_Q9HCS5_EPB41L4A.pdf</t>
  </si>
  <si>
    <t>Melting_Curves/meltCurve_Q9HCU8_POLD4.pdf</t>
  </si>
  <si>
    <t>Melting_Curves/meltCurve_Q9HD15_SRA1.pdf</t>
  </si>
  <si>
    <t>Melting_Curves/meltCurve_Q9HD26_2_GOPC.pdf</t>
  </si>
  <si>
    <t>Melting_Curves/meltCurve_Q9HD40_3_SEPSECS.pdf</t>
  </si>
  <si>
    <t>Melting_Curves/meltCurve_Q9HD42_CHMP1A.pdf</t>
  </si>
  <si>
    <t>Melting_Curves/meltCurve_Q9HD47_2_RANGRF.pdf</t>
  </si>
  <si>
    <t>Melting_Curves/meltCurve_Q9HD67_MYO10.pdf</t>
  </si>
  <si>
    <t>Melting_Curves/meltCurve_Q9NNW5_WDR6.pdf</t>
  </si>
  <si>
    <t>Melting_Curves/meltCurve_Q9NNX1_2_TUFT1.pdf</t>
  </si>
  <si>
    <t>Melting_Curves/meltCurve_Q9NP61_ARFGAP3.pdf</t>
  </si>
  <si>
    <t>Melting_Curves/meltCurve_Q9NP66_HMG20A.pdf</t>
  </si>
  <si>
    <t>Melting_Curves/meltCurve_Q9NP72_RAB18.pdf</t>
  </si>
  <si>
    <t>Melting_Curves/meltCurve_Q9NP73_2_ALG13.pdf</t>
  </si>
  <si>
    <t>Melting_Curves/meltCurve_Q9NP74_PALMD.pdf</t>
  </si>
  <si>
    <t>Melting_Curves/meltCurve_Q9NP77_SSU72.pdf</t>
  </si>
  <si>
    <t>Melting_Curves/meltCurve_Q9NP79_VTA1.pdf</t>
  </si>
  <si>
    <t>Melting_Curves/meltCurve_Q9NP97_DYNLRB1.pdf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</si>
  <si>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</si>
  <si>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</si>
  <si>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</si>
  <si>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</si>
  <si>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</si>
  <si>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Melting_Curves/meltCurve_Q9NPE2_NGRN.pdf</t>
  </si>
  <si>
    <t>Melting_Curves/meltCurve_Q9NPE3_NOP10.pdf</t>
  </si>
  <si>
    <t>Melting_Curves/meltCurve_Q9NPF0_CD320.pdf</t>
  </si>
  <si>
    <t>Melting_Curves/meltCurve_Q9NPF4_OSGEP.pdf</t>
  </si>
  <si>
    <t>Melting_Curves/meltCurve_Q9NPF5_DMAP1.pdf</t>
  </si>
  <si>
    <t>Melting_Curves/meltCurve_Q9NPH0_ACP6.pdf</t>
  </si>
  <si>
    <t>Melting_Curves/meltCurve_Q9NPI6_DCP1A.pdf</t>
  </si>
  <si>
    <t>Melting_Curves/meltCurve_Q9NPJ3_ACOT13.pdf</t>
  </si>
  <si>
    <t>Melting_Curves/meltCurve_Q9NPJ6_MED4.pdf</t>
  </si>
  <si>
    <t>Melting_Curves/meltCurve_Q9NPQ8_4_RIC8A.pdf</t>
  </si>
  <si>
    <t>Melting_Curves/meltCurve_Q9NQ29_LUC7L.pdf</t>
  </si>
  <si>
    <t>Melting_Curves/meltCurve_Q9NQ88_TIGAR.pdf</t>
  </si>
  <si>
    <t>Melting_Curves/meltCurve_Q9NQ92_COPRS.pdf</t>
  </si>
  <si>
    <t>Melting_Curves/meltCurve_Q9NQA3_WASH6P.pdf</t>
  </si>
  <si>
    <t>Melting_Curves/meltCurve_Q9NQC3_RTN4.pdf</t>
  </si>
  <si>
    <t>Melting_Curves/meltCurve_Q9NQE9_HINT3.pdf</t>
  </si>
  <si>
    <t>Melting_Curves/meltCurve_Q9NQG5_RPRD1B.pdf</t>
  </si>
  <si>
    <t>Melting_Curves/meltCurve_Q9NQH7_2_XPNPEP3.pdf</t>
  </si>
  <si>
    <t>Melting_Curves/meltCurve_Q9NQP4_PFDN4.pdf</t>
  </si>
  <si>
    <t>Melting_Curves/meltCurve_Q9NQR4_NIT2.pdf</t>
  </si>
  <si>
    <t>Melting_Curves/meltCurve_Q9NQS1_AVEN.pdf</t>
  </si>
  <si>
    <t>Melting_Curves/meltCurve_Q9NQS3_PVRL3.pdf</t>
  </si>
  <si>
    <t>Melting_Curves/meltCurve_Q9NQS7_2_INCENP.pdf</t>
  </si>
  <si>
    <t>Melting_Curves/meltCurve_Q9NQT4_EXOSC5.pdf</t>
  </si>
  <si>
    <t>Melting_Curves/meltCurve_Q9NQT8_KIF13B.pdf</t>
  </si>
  <si>
    <t>Melting_Curves/meltCurve_Q9NQW6_ANLN.pdf</t>
  </si>
  <si>
    <t>Melting_Curves/meltCurve_Q9NQW7_3_XPNPEP1.pdf</t>
  </si>
  <si>
    <t>Melting_Curves/meltCurve_Q9NQX3_GPHN.pdf</t>
  </si>
  <si>
    <t>Melting_Curves/meltCurve_Q9NQY0_BIN3.pdf</t>
  </si>
  <si>
    <t>Melting_Curves/meltCurve_Q9NQZ2_UTP3.pdf</t>
  </si>
  <si>
    <t>Melting_Curves/meltCurve_Q9NQZ5_STARD7.pdf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</si>
  <si>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</si>
  <si>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</si>
  <si>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</si>
  <si>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</si>
  <si>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</si>
  <si>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</si>
  <si>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</si>
  <si>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</si>
  <si>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Melting_Curves/meltCurve_Q9NR46_SH3GLB2.pdf</t>
  </si>
  <si>
    <t>Melting_Curves/meltCurve_Q9NR50_EIF2B3.pdf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</si>
  <si>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</si>
  <si>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</si>
  <si>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</si>
  <si>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</si>
  <si>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</si>
  <si>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</si>
  <si>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Melting_Curves/meltCurve_Q9NRH1_YAE1D1.pdf</t>
  </si>
  <si>
    <t>Melting_Curves/meltCurve_Q9NRJ4_TULP4.pdf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</si>
  <si>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</si>
  <si>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</si>
  <si>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</si>
  <si>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</si>
  <si>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Melting_Curves/meltCurve_Q9NRR5_UBQLN4.pdf</t>
  </si>
  <si>
    <t>Melting_Curves/meltCurve_Q9NRR6_2_INPP5E.pdf</t>
  </si>
  <si>
    <t>Melting_Curves/meltCurve_Q9NRS6_SNX15.pdf</t>
  </si>
  <si>
    <t>Melting_Curves/meltCurve_Q9NRV9_HEBP1.pdf</t>
  </si>
  <si>
    <t>Melting_Curves/meltCurve_Q9NRW7_VPS45.pdf</t>
  </si>
  <si>
    <t>Melting_Curves/meltCurve_Q9NRX1_PNO1.pdf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</si>
  <si>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</si>
  <si>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</si>
  <si>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</si>
  <si>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</si>
  <si>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Melting_Curves/meltCurve_Q9NRZ9_3_HELLS.pdf</t>
  </si>
  <si>
    <t>Melting_Curves/meltCurve_Q9NS18_GLRX2.pdf</t>
  </si>
  <si>
    <t>Melting_Curves/meltCurve_Q9NS37_CREBZF.pdf</t>
  </si>
  <si>
    <t>Melting_Curves/meltCurve_Q9NS73_3_MBIP.pdf</t>
  </si>
  <si>
    <t>Melting_Curves/meltCurve_Q9NS86_LANCL2.pdf</t>
  </si>
  <si>
    <t>Melting_Curves/meltCurve_Q9NS87_2_KIF15.pdf</t>
  </si>
  <si>
    <t>Melting_Curves/meltCurve_Q9NS91_RAD18.pdf</t>
  </si>
  <si>
    <t>Melting_Curves/meltCurve_Q9NSA3_CTNNBIP1.pdf</t>
  </si>
  <si>
    <t>Melting_Curves/meltCurve_Q9NSB8_2_HOMER2.pdf</t>
  </si>
  <si>
    <t>Melting_Curves/meltCurve_Q9NSC5_5_HOMER3.pdf</t>
  </si>
  <si>
    <t>Melting_Curves/meltCurve_Q9NSD9_FARSB.pdf</t>
  </si>
  <si>
    <t>Melting_Curves/meltCurve_Q9NSE4_IARS2.pdf</t>
  </si>
  <si>
    <t>Melting_Curves/meltCurve_Q9NSI2_2_FAM207A.pdf</t>
  </si>
  <si>
    <t>Melting_Curves/meltCurve_Q9NSK0_KLC4.pdf</t>
  </si>
  <si>
    <t>Melting_Curves/meltCurve_Q9NT62_ATG3.pdf</t>
  </si>
  <si>
    <t>Melting_Curves/meltCurve_Q9NTI5_2_PDS5B.pdf</t>
  </si>
  <si>
    <t>Melting_Curves/meltCurve_Q9NTJ3_SMC4.pdf</t>
  </si>
  <si>
    <t>Melting_Curves/meltCurve_Q9NTJ4_3_MAN2C1.pdf</t>
  </si>
  <si>
    <t>Melting_Curves/meltCurve_Q9NTK5_OLA1.pdf</t>
  </si>
  <si>
    <t>Melting_Curves/meltCurve_Q9NTK5_2_OLA1.pdf</t>
  </si>
  <si>
    <t>Melting_Curves/meltCurve_Q9NTM9_CUTC.pdf</t>
  </si>
  <si>
    <t>Melting_Curves/meltCurve_Q9NTN9_SEMA4G.pdf</t>
  </si>
  <si>
    <t>Melting_Curves/meltCurve_Q9NTX5_6_ECHDC1.pdf</t>
  </si>
  <si>
    <t>Melting_Curves/meltCurve_Q9NTX7_2_RNF146.pdf</t>
  </si>
  <si>
    <t>Melting_Curves/meltCurve_Q9NTZ6_RBM12.pdf</t>
  </si>
  <si>
    <t>Melting_Curves/meltCurve_Q9NU22_MDN1.pdf</t>
  </si>
  <si>
    <t>Melting_Curves/meltCurve_Q9NUB1_2_ACSS1.pdf</t>
  </si>
  <si>
    <t>Melting_Curves/meltCurve_Q9NUG6_PDRG1.pdf</t>
  </si>
  <si>
    <t>Melting_Curves/meltCurve_Q9NUJ1_ABHD10.pdf</t>
  </si>
  <si>
    <t>Melting_Curves/meltCurve_Q9NUJ3_TCP11L1.pdf</t>
  </si>
  <si>
    <t>Melting_Curves/meltCurve_Q9NUM4_TMEM106B.pdf</t>
  </si>
  <si>
    <t>Melting_Curves/meltCurve_Q9NUP1_BLOC1S4.pdf</t>
  </si>
  <si>
    <t>Melting_Curves/meltCurve_Q9NUP7_TRMT13.pdf</t>
  </si>
  <si>
    <t>Melting_Curves/meltCurve_Q9NUP9_LIN7C.pdf</t>
  </si>
  <si>
    <t>Melting_Curves/meltCurve_Q9NUQ3_TXLNG.pdf</t>
  </si>
  <si>
    <t>Melting_Curves/meltCurve_Q9NUQ6_2_SPATS2L.pdf</t>
  </si>
  <si>
    <t>Melting_Curves/meltCurve_Q9NUQ8_ABCF3.pdf</t>
  </si>
  <si>
    <t>Melting_Curves/meltCurve_Q9NUQ9_FAM49B.pdf</t>
  </si>
  <si>
    <t>Melting_Curves/meltCurve_Q9NUU7_DDX19A.pdf</t>
  </si>
  <si>
    <t>Melting_Curves/meltCurve_Q9NUW8_TDP1.pdf</t>
  </si>
  <si>
    <t>Melting_Curves/meltCurve_Q9NUY8_TBC1D23.pdf</t>
  </si>
  <si>
    <t>Melting_Curves/meltCurve_Q9NV06_DCAF13.pdf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</si>
  <si>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</si>
  <si>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</si>
  <si>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</si>
  <si>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</si>
  <si>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Melting_Curves/meltCurve_Q9NVA4_TMEM184C.pdf</t>
  </si>
  <si>
    <t>Melting_Curves/meltCurve_Q9NVD7_PARVA.pdf</t>
  </si>
  <si>
    <t>Melting_Curves/meltCurve_Q9NVE5_USP40.pdf</t>
  </si>
  <si>
    <t>Melting_Curves/meltCurve_Q9NVE7_PANK4.pdf</t>
  </si>
  <si>
    <t>Melting_Curves/meltCurve_Q9NVF7_FBXO28.pdf</t>
  </si>
  <si>
    <t>Melting_Curves/meltCurve_Q9NVG8_TBC1D13.pdf</t>
  </si>
  <si>
    <t>Melting_Curves/meltCurve_Q9NVH2_3_INTS7.pdf</t>
  </si>
  <si>
    <t>Melting_Curves/meltCurve_Q9NVH6_7_TMLHE.pdf</t>
  </si>
  <si>
    <t>Melting_Curves/meltCurve_Q9NVI1_FANCI.pdf</t>
  </si>
  <si>
    <t>Melting_Curves/meltCurve_Q9NVJ2_ARL8B.pdf</t>
  </si>
  <si>
    <t>Melting_Curves/meltCurve_Q9NVM4_3_PRMT7.pdf</t>
  </si>
  <si>
    <t>Melting_Curves/meltCurve_Q9NVM6_DNAJC17.pdf</t>
  </si>
  <si>
    <t>Melting_Curves/meltCurve_Q9NVM9_ASUN.pdf</t>
  </si>
  <si>
    <t>Melting_Curves/meltCurve_Q9NVN3_RIC8B.pdf</t>
  </si>
  <si>
    <t>Melting_Curves/meltCurve_Q9NVN8_GNL3L.pdf</t>
  </si>
  <si>
    <t>Melting_Curves/meltCurve_Q9NVP2_ASF1B.pdf</t>
  </si>
  <si>
    <t>Melting_Curves/meltCurve_Q9NVQ4_FAIM.pdf</t>
  </si>
  <si>
    <t>Melting_Curves/meltCurve_Q9NVR0_KLHL11.pdf</t>
  </si>
  <si>
    <t>Melting_Curves/meltCurve_Q9NVR2_INTS10.pdf</t>
  </si>
  <si>
    <t>Melting_Curves/meltCurve_Q9NVR5_DNAAF2.pdf</t>
  </si>
  <si>
    <t>Melting_Curves/meltCurve_Q9NVS9_PNPO.pdf</t>
  </si>
  <si>
    <t>Melting_Curves/meltCurve_Q9NVT9_ARMC1.pdf</t>
  </si>
  <si>
    <t>Melting_Curves/meltCurve_Q9NVU0_5_POLR3E.pdf</t>
  </si>
  <si>
    <t>Melting_Curves/meltCurve_Q9NVU7_2_SDAD1.pdf</t>
  </si>
  <si>
    <t>Melting_Curves/meltCurve_Q9NVW2_RLIM.pdf</t>
  </si>
  <si>
    <t>Melting_Curves/meltCurve_Q9NVX0_3_HAUS2.pdf</t>
  </si>
  <si>
    <t>Melting_Curves/meltCurve_Q9NVX2_NLE1.pdf</t>
  </si>
  <si>
    <t>Melting_Curves/meltCurve_Q9NVX7_KBTBD4.pdf</t>
  </si>
  <si>
    <t>Melting_Curves/meltCurve_Q9NVZ3_NECAP2.pdf</t>
  </si>
  <si>
    <t>Melting_Curves/meltCurve_Q9NW08_2_POLR3B.pdf</t>
  </si>
  <si>
    <t>Melting_Curves/meltCurve_Q9NW64_RBM22.pdf</t>
  </si>
  <si>
    <t>Melting_Curves/meltCurve_Q9NW75_GPATCH2.pdf</t>
  </si>
  <si>
    <t>Melting_Curves/meltCurve_Q9NW82_WDR70.pdf</t>
  </si>
  <si>
    <t>Melting_Curves/meltCurve_Q9NW97_TMEM51.pdf</t>
  </si>
  <si>
    <t>Melting_Curves/meltCurve_Q9NWA0_MED9.pdf</t>
  </si>
  <si>
    <t>Melting_Curves/meltCurve_Q9NWB6_ARGLU1.pdf</t>
  </si>
  <si>
    <t>Melting_Curves/meltCurve_Q9NWF9_RNF216.pdf</t>
  </si>
  <si>
    <t>Melting_Curves/meltCurve_Q9NWH9_SLTM.pdf</t>
  </si>
  <si>
    <t>Melting_Curves/meltCurve_Q9NWK9_ZNHIT6.pdf</t>
  </si>
  <si>
    <t>Melting_Curves/meltCurve_Q9NWM0_2_SMOX.pdf</t>
  </si>
  <si>
    <t>Melting_Curves/meltCurve_Q9NWM3_CUEDC1.pdf</t>
  </si>
  <si>
    <t>Melting_Curves/meltCurve_Q9NWM8_FKBP14.pdf</t>
  </si>
  <si>
    <t>Melting_Curves/meltCurve_Q9NWQ4_4_GPATCH2L.pdf</t>
  </si>
  <si>
    <t>Melting_Curves/meltCurve_Q9NWQ9_C14orf119.pdf</t>
  </si>
  <si>
    <t>Melting_Curves/meltCurve_Q9NWS0_PIH1D1.pdf</t>
  </si>
  <si>
    <t>Melting_Curves/meltCurve_Q9NWS1_5_PARPBP.pdf</t>
  </si>
  <si>
    <t>Melting_Curves/meltCurve_Q9NWS6_FAM118A.pdf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</si>
  <si>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</si>
  <si>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</si>
  <si>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</si>
  <si>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</si>
  <si>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Melting_Curves/meltCurve_Q9NWW6_2_NMRK1.pdf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</si>
  <si>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</si>
  <si>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</si>
  <si>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</si>
  <si>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</si>
  <si>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Melting_Curves/meltCurve_Q9NWZ5_UCKL1.pdf</t>
  </si>
  <si>
    <t>Melting_Curves/meltCurve_Q9NWZ8_GEMIN8.pdf</t>
  </si>
  <si>
    <t>Melting_Curves/meltCurve_Q9NX01_TXNL4B.pdf</t>
  </si>
  <si>
    <t>Melting_Curves/meltCurve_Q9NX02_5_NLRP2.pdf</t>
  </si>
  <si>
    <t>Melting_Curves/meltCurve_Q9NX05_FAM120C.pdf</t>
  </si>
  <si>
    <t>Melting_Curves/meltCurve_Q9NX07_TRNAU1AP.pdf</t>
  </si>
  <si>
    <t>Melting_Curves/meltCurve_Q9NX08_COMMD8.pdf</t>
  </si>
  <si>
    <t>Melting_Curves/meltCurve_Q9NX24_NHP2.pdf</t>
  </si>
  <si>
    <t>Melting_Curves/meltCurve_Q9NX38_FAM206A.pdf</t>
  </si>
  <si>
    <t>Melting_Curves/meltCurve_Q9NX46_ADPRHL2.pdf</t>
  </si>
  <si>
    <t>Melting_Curves/meltCurve_Q9NX55_HYPK.pdf</t>
  </si>
  <si>
    <t>Melting_Curves/meltCurve_Q9NX58_LYAR.pdf</t>
  </si>
  <si>
    <t>Melting_Curves/meltCurve_Q9NX70_MED29.pdf</t>
  </si>
  <si>
    <t>Melting_Curves/meltCurve_Q9NX74_DUS2L.pdf</t>
  </si>
  <si>
    <t>Melting_Curves/meltCurve_Q9NXA8_SIRT5.pdf</t>
  </si>
  <si>
    <t>Melting_Curves/meltCurve_Q9NXC5_MIOS.pdf</t>
  </si>
  <si>
    <t>Melting_Curves/meltCurve_Q9NXD2_MTMR10.pdf</t>
  </si>
  <si>
    <t>Melting_Curves/meltCurve_Q9NXE8_CWC25.pdf</t>
  </si>
  <si>
    <t>Melting_Curves/meltCurve_Q9NXF7_DCAF16.pdf</t>
  </si>
  <si>
    <t>Melting_Curves/meltCurve_Q9NXG2_THUMPD1.pdf</t>
  </si>
  <si>
    <t>Melting_Curves/meltCurve_Q9NXG6_P4HTM.pdf</t>
  </si>
  <si>
    <t>Melting_Curves/meltCurve_Q9NXH9_2_TRMT1.pdf</t>
  </si>
  <si>
    <t>Melting_Curves/meltCurve_Q9NXR1_2_NDE1.pdf</t>
  </si>
  <si>
    <t>Melting_Curves/meltCurve_Q9NXR7_BRE.pdf</t>
  </si>
  <si>
    <t>Melting_Curves/meltCurve_Q9NXV2_KCTD5.pdf</t>
  </si>
  <si>
    <t>Melting_Curves/meltCurve_Q9NXV6_CDKN2AIP.pdf</t>
  </si>
  <si>
    <t>Melting_Curves/meltCurve_Q9NXW2_DNAJB12.pdf</t>
  </si>
  <si>
    <t>Melting_Curves/meltCurve_Q9NXW9_ALKBH4.pdf</t>
  </si>
  <si>
    <t>Melting_Curves/meltCurve_Q9NXX6_NSMCE4A.pdf</t>
  </si>
  <si>
    <t>Melting_Curves/meltCurve_Q9NY27_PPP4R2.pdf</t>
  </si>
  <si>
    <t>Melting_Curves/meltCurve_Q9NY33_DPP3.pdf</t>
  </si>
  <si>
    <t>Melting_Curves/meltCurve_Q9NY61_AATF.pdf</t>
  </si>
  <si>
    <t>Melting_Curves/meltCurve_Q9NY93_DDX56.pdf</t>
  </si>
  <si>
    <t>Melting_Curves/meltCurve_Q9NYB0_TERF2IP.pdf</t>
  </si>
  <si>
    <t>Melting_Curves/meltCurve_Q9NYB9_2_ABI2.pdf</t>
  </si>
  <si>
    <t>Melting_Curves/meltCurve_Q9NYF8_2_BCLAF1.pdf</t>
  </si>
  <si>
    <t>Melting_Curves/meltCurve_Q9NYG5_ANAPC11.pdf</t>
  </si>
  <si>
    <t>Melting_Curves/meltCurve_Q9NYJ1_COA4.pdf</t>
  </si>
  <si>
    <t>Melting_Curves/meltCurve_Q9NYJ8_TAB2.pdf</t>
  </si>
  <si>
    <t>Melting_Curves/meltCurve_Q9NYK6_3_EURL.pdf</t>
  </si>
  <si>
    <t>Melting_Curves/meltCurve_Q9NYL2_MLTK.pdf</t>
  </si>
  <si>
    <t>Melting_Curves/meltCurve_Q9NYL2_2_MLTK.pdf</t>
  </si>
  <si>
    <t>Melting_Curves/meltCurve_Q9NYL9_TMOD3.pdf</t>
  </si>
  <si>
    <t>Melting_Curves/meltCurve_Q9NYP9_MIS18A.pdf</t>
  </si>
  <si>
    <t>Melting_Curves/meltCurve_Q9NYQ6_CELSR1.pdf</t>
  </si>
  <si>
    <t>Melting_Curves/meltCurve_Q9NYS0_NKIRAS1.pdf</t>
  </si>
  <si>
    <t>Melting_Curves/meltCurve_Q9NYT0_PLEK2.pdf</t>
  </si>
  <si>
    <t>Melting_Curves/meltCurve_Q9NYU2_2_UGGT1.pdf</t>
  </si>
  <si>
    <t>Melting_Curves/meltCurve_Q9NYV4_2_CDK12.pdf</t>
  </si>
  <si>
    <t>Melting_Curves/meltCurve_Q9NYY8_FASTKD2.pdf</t>
  </si>
  <si>
    <t>Melting_Curves/meltCurve_Q9NYZ3_GTSE1.pdf</t>
  </si>
  <si>
    <t>Melting_Curves/meltCurve_Q9NZ08_ERAP1.pdf</t>
  </si>
  <si>
    <t>Melting_Curves/meltCurve_Q9NZ09_UBAP1.pdf</t>
  </si>
  <si>
    <t>Melting_Curves/meltCurve_Q9NZ32_ACTR10.pdf</t>
  </si>
  <si>
    <t>Melting_Curves/meltCurve_Q9NZ45_CISD1.pdf</t>
  </si>
  <si>
    <t>Melting_Curves/meltCurve_Q9NZ52_GGA3.pdf</t>
  </si>
  <si>
    <t>Melting_Curves/meltCurve_Q9NZ63_C9orf78.pdf</t>
  </si>
  <si>
    <t>Melting_Curves/meltCurve_Q9NZB2_FAM120A.pdf</t>
  </si>
  <si>
    <t>Melting_Curves/meltCurve_Q9NZC9_SMARCAL1.pdf</t>
  </si>
  <si>
    <t>Melting_Curves/meltCurve_Q9NZD2_GLTP.pdf</t>
  </si>
  <si>
    <t>Melting_Curves/meltCurve_Q9NZD8_2_SPG21.pdf</t>
  </si>
  <si>
    <t>Melting_Curves/meltCurve_Q9NZI8_IGF2BP1.pdf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</si>
  <si>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</si>
  <si>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</si>
  <si>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</si>
  <si>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</si>
  <si>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Melting_Curves/meltCurve_Q9NZM1_6_MYOF.pdf</t>
  </si>
  <si>
    <t>Melting_Curves/meltCurve_Q9NZM3_2_ITSN2.pdf</t>
  </si>
  <si>
    <t>Melting_Curves/meltCurve_Q9NZM4_2_GLTSCR1.pdf</t>
  </si>
  <si>
    <t>Melting_Curves/meltCurve_Q9NZN3_EHD3.pdf</t>
  </si>
  <si>
    <t>Melting_Curves/meltCurve_Q9NZN4_EHD2.pdf</t>
  </si>
  <si>
    <t>Melting_Curves/meltCurve_Q9NZN5_ARHGEF12.pdf</t>
  </si>
  <si>
    <t>Melting_Curves/meltCurve_Q9NZN8_CNOT2.pdf</t>
  </si>
  <si>
    <t>Melting_Curves/meltCurve_Q9NZQ3_3_NCKIPSD.pdf</t>
  </si>
  <si>
    <t>Melting_Curves/meltCurve_Q9NZT2_2_OGFR.pdf</t>
  </si>
  <si>
    <t>Melting_Curves/meltCurve_Q9NZU0_FLRT3.pdf</t>
  </si>
  <si>
    <t>Melting_Curves/meltCurve_Q9NZU5_LMCD1.pdf</t>
  </si>
  <si>
    <t>Melting_Curves/meltCurve_Q9NZV1_CRIM1.pdf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</si>
  <si>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</si>
  <si>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</si>
  <si>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</si>
  <si>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</si>
  <si>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</si>
  <si>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</si>
  <si>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Melting_Curves/meltCurve_Q9P0J1_PDP1.pdf</t>
  </si>
  <si>
    <t>Melting_Curves/meltCurve_Q9P0J7_KCMF1.pdf</t>
  </si>
  <si>
    <t>Melting_Curves/meltCurve_Q9P0K7_RAI14.pdf</t>
  </si>
  <si>
    <t>Melting_Curves/meltCurve_Q9P0L0_VAPA.pdf</t>
  </si>
  <si>
    <t>Melting_Curves/meltCurve_Q9P0N9_3_TBC1D7.pdf</t>
  </si>
  <si>
    <t>Melting_Curves/meltCurve_Q9P0P0_RNF181.pdf</t>
  </si>
  <si>
    <t>Melting_Curves/meltCurve_Q9P0P8_C6orf203.pdf</t>
  </si>
  <si>
    <t>Melting_Curves/meltCurve_Q9P0R6_GSKIP.pdf</t>
  </si>
  <si>
    <t>Melting_Curves/meltCurve_Q9P0U4_CXXC1.pdf</t>
  </si>
  <si>
    <t>Melting_Curves/meltCurve_Q9P0V3_SH3BP4.pdf</t>
  </si>
  <si>
    <t>Melting_Curves/meltCurve_Q9P0W2_2_HMG20B.pdf</t>
  </si>
  <si>
    <t>Melting_Curves/meltCurve_Q9P1F3_ABRACL.pdf</t>
  </si>
  <si>
    <t>Melting_Curves/meltCurve_Q9P1U0_ZNRD1.pdf</t>
  </si>
  <si>
    <t>Melting_Curves/meltCurve_Q9P1U1_2_ACTR3B.pdf</t>
  </si>
  <si>
    <t>Melting_Curves/meltCurve_Q9P1V8_SAMD15.pdf</t>
  </si>
  <si>
    <t>Melting_Curves/meltCurve_Q9P1Y5_CAMSAP3.pdf</t>
  </si>
  <si>
    <t>Melting_Curves/meltCurve_Q9P1Z2_2_CALCOCO1.pdf</t>
  </si>
  <si>
    <t>Melting_Curves/meltCurve_Q9P206_2_KIAA1522.pdf</t>
  </si>
  <si>
    <t>Melting_Curves/meltCurve_Q9P212_PLCE1.pdf</t>
  </si>
  <si>
    <t>Melting_Curves/meltCurve_Q9P215_POGK.pdf</t>
  </si>
  <si>
    <t>Melting_Curves/meltCurve_Q9P219_CCDC88C.pdf</t>
  </si>
  <si>
    <t>Melting_Curves/meltCurve_Q9P227_ARHGAP23.pdf</t>
  </si>
  <si>
    <t>Melting_Curves/meltCurve_Q9P253_VPS18.pdf</t>
  </si>
  <si>
    <t>Melting_Curves/meltCurve_Q9P258_RCC2.pdf</t>
  </si>
  <si>
    <t>Melting_Curves/meltCurve_Q9P260_KIAA1468.pdf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</si>
  <si>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</si>
  <si>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</si>
  <si>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</si>
  <si>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</si>
  <si>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Melting_Curves/meltCurve_Q9P275_USP36.pdf</t>
  </si>
  <si>
    <t>Melting_Curves/meltCurve_Q9P287_BCCIP.pdf</t>
  </si>
  <si>
    <t>Melting_Curves/meltCurve_Q9P287_2_BCCIP.pdf</t>
  </si>
  <si>
    <t>Melting_Curves/meltCurve_Q9P289_MST4.pdf</t>
  </si>
  <si>
    <t>Melting_Curves/meltCurve_Q9P299_COPZ2.pdf</t>
  </si>
  <si>
    <t>Melting_Curves/meltCurve_Q9P2B2_PTGFRN.pdf</t>
  </si>
  <si>
    <t>Melting_Curves/meltCurve_Q9P2B4_CTTNBP2NL.pdf</t>
  </si>
  <si>
    <t>Melting_Curves/meltCurve_Q9P2B7_2_KIAA1430.pdf</t>
  </si>
  <si>
    <t>Melting_Curves/meltCurve_Q9P2D1_CHD7.pdf</t>
  </si>
  <si>
    <t>Melting_Curves/meltCurve_Q9P2D3_3_HEATR5B.pdf</t>
  </si>
  <si>
    <t>Melting_Curves/meltCurve_Q9P2D6_3_FAM135A.pdf</t>
  </si>
  <si>
    <t>Melting_Curves/meltCurve_Q9P2D7_5_DNAH1.pdf</t>
  </si>
  <si>
    <t>Melting_Curves/meltCurve_Q9P2E3_ZNFX1.pdf</t>
  </si>
  <si>
    <t>Melting_Curves/meltCurve_Q9P2E9_RRBP1.pdf</t>
  </si>
  <si>
    <t>Melting_Curves/meltCurve_Q9P2H3_IFT80.pdf</t>
  </si>
  <si>
    <t>Melting_Curves/meltCurve_Q9P2I0_CPSF2.pdf</t>
  </si>
  <si>
    <t>Melting_Curves/meltCurve_Q9P2J5_LARS.pdf</t>
  </si>
  <si>
    <t>Melting_Curves/meltCurve_Q9P2K3_4_RCOR3.pdf</t>
  </si>
  <si>
    <t>Melting_Curves/meltCurve_Q9P2K5_2_MYEF2.pdf</t>
  </si>
  <si>
    <t>Melting_Curves/meltCurve_Q9P2K6_KLHL42.pdf</t>
  </si>
  <si>
    <t>Melting_Curves/meltCurve_Q9P2K8_2_EIF2AK4.pdf</t>
  </si>
  <si>
    <t>Melting_Curves/meltCurve_Q9P2M4_TBC1D14.pdf</t>
  </si>
  <si>
    <t>Melting_Curves/meltCurve_Q9P2M7_CGN.pdf</t>
  </si>
  <si>
    <t>Melting_Curves/meltCurve_Q9P2N5_RBM27.pdf</t>
  </si>
  <si>
    <t>Melting_Curves/meltCurve_Q9P2N6_3_KANSL3.pdf</t>
  </si>
  <si>
    <t>Melting_Curves/meltCurve_Q9P2R3_ANKFY1.pdf</t>
  </si>
  <si>
    <t>Melting_Curves/meltCurve_Q9P2R6_RERE.pdf</t>
  </si>
  <si>
    <t>Melting_Curves/meltCurve_Q9P2S5_WRAP73.pdf</t>
  </si>
  <si>
    <t>Melting_Curves/meltCurve_Q9P2W1_PSMC3IP.pdf</t>
  </si>
  <si>
    <t>Melting_Curves/meltCurve_Q9P2X3_IMPACT.pdf</t>
  </si>
  <si>
    <t>Melting_Curves/meltCurve_Q9P2Y4_ZNF219.pdf</t>
  </si>
  <si>
    <t>Melting_Curves/meltCurve_Q9P2Y5_UVRAG.pdf</t>
  </si>
  <si>
    <t>Melting_Curves/meltCurve_Q9UBB4_ATXN10.pdf</t>
  </si>
  <si>
    <t>Melting_Curves/meltCurve_Q9UBB5_MBD2.pdf</t>
  </si>
  <si>
    <t>Melting_Curves/meltCurve_Q9UBB6_NCDN.pdf</t>
  </si>
  <si>
    <t>Melting_Curves/meltCurve_Q9UBB9_TFIP11.pdf</t>
  </si>
  <si>
    <t>Melting_Curves/meltCurve_Q9UBC2_2_EPS15L1.pdf</t>
  </si>
  <si>
    <t>Melting_Curves/meltCurve_Q9UBD5_ORC3.pdf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</si>
  <si>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</si>
  <si>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</si>
  <si>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</si>
  <si>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</si>
  <si>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</si>
  <si>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Melting_Curves/meltCurve_Q9UBI1_COMMD3.pdf</t>
  </si>
  <si>
    <t>Melting_Curves/meltCurve_Q9UBI6_GNG12.pdf</t>
  </si>
  <si>
    <t>Melting_Curves/meltCurve_Q9UBK8_2_MTRR.pdf</t>
  </si>
  <si>
    <t>Melting_Curves/meltCurve_Q9UBK9_UXT.pdf</t>
  </si>
  <si>
    <t>Melting_Curves/meltCurve_Q9UBL3_3_ASH2L.pdf</t>
  </si>
  <si>
    <t>Melting_Curves/meltCurve_Q9UBN6_TNFRSF10D.pdf</t>
  </si>
  <si>
    <t>Melting_Curves/meltCurve_Q9UBP0_3_SPAST.pdf</t>
  </si>
  <si>
    <t>Melting_Curves/meltCurve_Q9UBP0_4_SPAST.pdf</t>
  </si>
  <si>
    <t>Melting_Curves/meltCurve_Q9UBP6_METTL1.pdf</t>
  </si>
  <si>
    <t>Melting_Curves/meltCurve_Q9UBP9_4_GULP1.pdf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</si>
  <si>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</si>
  <si>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</si>
  <si>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</si>
  <si>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</si>
  <si>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</si>
  <si>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</si>
  <si>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</si>
  <si>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Melting_Curves/meltCurve_Q9UBT7_2_CTNNAL1.pdf</t>
  </si>
  <si>
    <t>Melting_Curves/meltCurve_Q9UBU9_NXF1.pdf</t>
  </si>
  <si>
    <t>Melting_Curves/meltCurve_Q9UBV8_PEF1.pdf</t>
  </si>
  <si>
    <t>Melting_Curves/meltCurve_Q9UBW7_ZMYM2.pdf</t>
  </si>
  <si>
    <t>Melting_Curves/meltCurve_Q9UBW8_COPS7A.pdf</t>
  </si>
  <si>
    <t>Melting_Curves/meltCurve_Q9UDT6_CLIP2.pdf</t>
  </si>
  <si>
    <t>Melting_Curves/meltCurve_Q9UDX3_2_SEC14L4.pdf</t>
  </si>
  <si>
    <t>Melting_Curves/meltCurve_Q9UDY2_3_TJP2.pdf</t>
  </si>
  <si>
    <t>Melting_Curves/meltCurve_Q9UDY4_DNAJB4.pdf</t>
  </si>
  <si>
    <t>Melting_Curves/meltCurve_Q9UDY8_MALT1.pdf</t>
  </si>
  <si>
    <t>Melting_Curves/meltCurve_Q9UEE9_CFDP1.pdf</t>
  </si>
  <si>
    <t>Melting_Curves/meltCurve_Q9UEG4_ZNF629.pdf</t>
  </si>
  <si>
    <t>Melting_Curves/meltCurve_Q9UER7_3_DAXX.pdf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</si>
  <si>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</si>
  <si>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</si>
  <si>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</si>
  <si>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</si>
  <si>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Melting_Curves/meltCurve_Q9UF56_FBXL17.pdf</t>
  </si>
  <si>
    <t>Melting_Curves/meltCurve_Q9UF83_.pdf</t>
  </si>
  <si>
    <t>Melting_Curves/meltCurve_Q9UFC0_LRWD1.pdf</t>
  </si>
  <si>
    <t>Melting_Curves/meltCurve_Q9UFM8_DKFZp566H1924.pdf</t>
  </si>
  <si>
    <t>Melting_Curves/meltCurve_Q9UFN0_NIPSNAP3A.pdf</t>
  </si>
  <si>
    <t>Melting_Curves/meltCurve_Q9UFW8_CGGBP1.pdf</t>
  </si>
  <si>
    <t>Melting_Curves/meltCurve_Q9UG63_ABCF2.pdf</t>
  </si>
  <si>
    <t>Melting_Curves/meltCurve_Q9UGI8_TES.pdf</t>
  </si>
  <si>
    <t>Melting_Curves/meltCurve_Q9UGI8_2_TES.pdf</t>
  </si>
  <si>
    <t>Melting_Curves/meltCurve_Q9UGJ0_2_PRKAG2.pdf</t>
  </si>
  <si>
    <t>Melting_Curves/meltCurve_Q9UGK8_SERGEF.pdf</t>
  </si>
  <si>
    <t>Melting_Curves/meltCurve_Q9UGP4_LIMD1.pdf</t>
  </si>
  <si>
    <t>Melting_Curves/meltCurve_Q9UGT4_SUSD2.pdf</t>
  </si>
  <si>
    <t>Melting_Curves/meltCurve_Q9UGU0_2_TCF20.pdf</t>
  </si>
  <si>
    <t>Melting_Curves/meltCurve_Q9UGV2_NDRG3.pdf</t>
  </si>
  <si>
    <t>Melting_Curves/meltCurve_Q9UH62_ARMCX3.pdf</t>
  </si>
  <si>
    <t>Melting_Curves/meltCurve_Q9UH65_SWAP70.pdf</t>
  </si>
  <si>
    <t>Melting_Curves/meltCurve_Q9UH92_2_MLX.pdf</t>
  </si>
  <si>
    <t>Melting_Curves/meltCurve_Q9UHA3_RSL24D1.pdf</t>
  </si>
  <si>
    <t>Melting_Curves/meltCurve_Q9UHB6_LIMA1.pdf</t>
  </si>
  <si>
    <t>Melting_Curves/meltCurve_Q9UHB7_AFF4.pdf</t>
  </si>
  <si>
    <t>Melting_Curves/meltCurve_Q9UHB9_SRP68.pdf</t>
  </si>
  <si>
    <t>Melting_Curves/meltCurve_Q9UHD1_CHORDC1.pdf</t>
  </si>
  <si>
    <t>Melting_Curves/meltCurve_Q9UHD2_TBK1.pdf</t>
  </si>
  <si>
    <t>Melting_Curves/meltCurve_Q9UHD8_SEPT9.pdf</t>
  </si>
  <si>
    <t>Melting_Curves/meltCurve_Q9UHD9_UBQLN2.pdf</t>
  </si>
  <si>
    <t>Melting_Curves/meltCurve_Q9UHG0_DCDC2.pdf</t>
  </si>
  <si>
    <t>Melting_Curves/meltCurve_Q9UHI6_DDX20.pdf</t>
  </si>
  <si>
    <t>Melting_Curves/meltCurve_Q9UHJ3_2_SFMBT1.pdf</t>
  </si>
  <si>
    <t>Melting_Curves/meltCurve_Q9UHJ6_SHPK.pdf</t>
  </si>
  <si>
    <t>Melting_Curves/meltCurve_Q9UHL4_DPP7.pdf</t>
  </si>
  <si>
    <t>Melting_Curves/meltCurve_Q9UHN6_2_TMEM2.pdf</t>
  </si>
  <si>
    <t>Melting_Curves/meltCurve_Q9UHP3_USP25.pdf</t>
  </si>
  <si>
    <t>Melting_Curves/meltCurve_Q9UHQ1_4_NARF.pdf</t>
  </si>
  <si>
    <t>Melting_Curves/meltCurve_Q9UHR4_BAIAP2L1.pdf</t>
  </si>
  <si>
    <t>Melting_Curves/meltCurve_Q9UHR6_ZNHIT2.pdf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</si>
  <si>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</si>
  <si>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</si>
  <si>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</si>
  <si>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</si>
  <si>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</si>
  <si>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Melting_Curves/meltCurve_Q9UHY8_FEZ2.pdf</t>
  </si>
  <si>
    <t>Melting_Curves/meltCurve_Q9UI08_EVL.pdf</t>
  </si>
  <si>
    <t>Melting_Curves/meltCurve_Q9UI10_EIF2B4.pdf</t>
  </si>
  <si>
    <t>Melting_Curves/meltCurve_Q9UI10_3_EIF2B4.pdf</t>
  </si>
  <si>
    <t>Melting_Curves/meltCurve_Q9UI12_2_ATP6V1H.pdf</t>
  </si>
  <si>
    <t>Melting_Curves/meltCurve_Q9UI26_IPO11.pdf</t>
  </si>
  <si>
    <t>Melting_Curves/meltCurve_Q9UI30_TRMT112.pdf</t>
  </si>
  <si>
    <t>Melting_Curves/meltCurve_Q9UIA9_XPO7.pdf</t>
  </si>
  <si>
    <t>Melting_Curves/meltCurve_Q9UIC8_LCMT1.pdf</t>
  </si>
  <si>
    <t>Melting_Curves/meltCurve_Q9UID3_VPS51.pdf</t>
  </si>
  <si>
    <t>Melting_Curves/meltCurve_Q9UID6_ZNF639.pdf</t>
  </si>
  <si>
    <t>Melting_Curves/meltCurve_Q9UIF8_4_BAZ2B.pdf</t>
  </si>
  <si>
    <t>Melting_Curves/meltCurve_Q9UIG0_2_BAZ1B.pdf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</si>
  <si>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</si>
  <si>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</si>
  <si>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</si>
  <si>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</si>
  <si>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Melting_Curves/meltCurve_Q9UIV1_2_CNOT7.pdf</t>
  </si>
  <si>
    <t>Melting_Curves/meltCurve_Q9UJ41_RABGEF1.pdf</t>
  </si>
  <si>
    <t>Melting_Curves/meltCurve_Q9UJ68_2_MSRA.pdf</t>
  </si>
  <si>
    <t>Melting_Curves/meltCurve_Q9UJ70_2_NAGK.pdf</t>
  </si>
  <si>
    <t>Melting_Curves/meltCurve_Q9UJA3_2_MCM8.pdf</t>
  </si>
  <si>
    <t>Melting_Curves/meltCurve_Q9UJA5_TRMT6.pdf</t>
  </si>
  <si>
    <t>Melting_Curves/meltCurve_Q9UJC5_SH3BGRL2.pdf</t>
  </si>
  <si>
    <t>Melting_Curves/meltCurve_Q9UJJ2_ZNF280C.pdf</t>
  </si>
  <si>
    <t>Melting_Curves/meltCurve_Q9UJK0_TSR3.pdf</t>
  </si>
  <si>
    <t>Melting_Curves/meltCurve_Q9UJM3_ERRFI1.pdf</t>
  </si>
  <si>
    <t>Melting_Curves/meltCurve_Q9UJU6_DBNL.pdf</t>
  </si>
  <si>
    <t>Melting_Curves/meltCurve_Q9UJU6_2_DBNL.pdf</t>
  </si>
  <si>
    <t>Melting_Curves/meltCurve_Q9UJV9_DDX41.pdf</t>
  </si>
  <si>
    <t>Melting_Curves/meltCurve_Q9UJW0_DCTN4.pdf</t>
  </si>
  <si>
    <t>Melting_Curves/meltCurve_Q9UJX0_2_OSGIN1.pdf</t>
  </si>
  <si>
    <t>Melting_Curves/meltCurve_Q9UJX2_3_CDC23.pdf</t>
  </si>
  <si>
    <t>Melting_Curves/meltCurve_Q9UJX3_2_ANAPC7.pdf</t>
  </si>
  <si>
    <t>Melting_Curves/meltCurve_Q9UJX6_ANAPC2.pdf</t>
  </si>
  <si>
    <t>Melting_Curves/meltCurve_Q9UJY1_HSPB8.pdf</t>
  </si>
  <si>
    <t>Melting_Curves/meltCurve_Q9UJY4_GGA2.pdf</t>
  </si>
  <si>
    <t>Melting_Curves/meltCurve_Q9UJY5_4_GGA1.pdf</t>
  </si>
  <si>
    <t>Melting_Curves/meltCurve_Q9UK22_FBXO2.pdf</t>
  </si>
  <si>
    <t>Melting_Curves/meltCurve_Q9UK33_ZNF580.pdf</t>
  </si>
  <si>
    <t>Melting_Curves/meltCurve_Q9UK41_VPS28.pdf</t>
  </si>
  <si>
    <t>Melting_Curves/meltCurve_Q9UK45_LSM7.pdf</t>
  </si>
  <si>
    <t>Melting_Curves/meltCurve_Q9UK59_DBR1.pdf</t>
  </si>
  <si>
    <t>Melting_Curves/meltCurve_Q9UK61_3_FAM208A.pdf</t>
  </si>
  <si>
    <t>Melting_Curves/meltCurve_Q9UK73_FEM1B.pdf</t>
  </si>
  <si>
    <t>Melting_Curves/meltCurve_Q9UK76_HN1.pdf</t>
  </si>
  <si>
    <t>Melting_Curves/meltCurve_Q9UK97_3_FBXO9.pdf</t>
  </si>
  <si>
    <t>Melting_Curves/meltCurve_Q9UK99_FBXO3.pdf</t>
  </si>
  <si>
    <t>Melting_Curves/meltCurve_Q9UKA4_AKAP11.pdf</t>
  </si>
  <si>
    <t>Melting_Curves/meltCurve_Q9UKA8_RCAN3.pdf</t>
  </si>
  <si>
    <t>Melting_Curves/meltCurve_Q9UKA9_PTBP2.pdf</t>
  </si>
  <si>
    <t>Melting_Curves/meltCurve_Q9UKB1_2_FBXW11.pdf</t>
  </si>
  <si>
    <t>Melting_Curves/meltCurve_Q9UKB3_DNAJC12.pdf</t>
  </si>
  <si>
    <t>Melting_Curves/meltCurve_Q9UKD2_MRTO4.pdf</t>
  </si>
  <si>
    <t>Melting_Curves/meltCurve_Q9UKF6_CPSF3.pdf</t>
  </si>
  <si>
    <t>Melting_Curves/meltCurve_Q9UKG1_APPL1.pdf</t>
  </si>
  <si>
    <t>Melting_Curves/meltCurve_Q9UKG9_CROT.pdf</t>
  </si>
  <si>
    <t>Melting_Curves/meltCurve_Q9UKI8_TLK1.pdf</t>
  </si>
  <si>
    <t>Melting_Curves/meltCurve_Q9UKJ3_GPATCH8.pdf</t>
  </si>
  <si>
    <t>Melting_Curves/meltCurve_Q9UKK3_PARP4.pdf</t>
  </si>
  <si>
    <t>Melting_Curves/meltCurve_Q9UKK6_NXT1.pdf</t>
  </si>
  <si>
    <t>Melting_Curves/meltCurve_Q9UKK9_NUDT5.pdf</t>
  </si>
  <si>
    <t>Melting_Curves/meltCurve_Q9UKL3_CASP8AP2.pdf</t>
  </si>
  <si>
    <t>Melting_Curves/meltCurve_Q9UKL6_PCTP.pdf</t>
  </si>
  <si>
    <t>Melting_Curves/meltCurve_Q9UKN8_GTF3C4.pdf</t>
  </si>
  <si>
    <t>Melting_Curves/meltCurve_Q9UKS6_PACSIN3.pdf</t>
  </si>
  <si>
    <t>Melting_Curves/meltCurve_Q9UKT4_2_FBXO5.pdf</t>
  </si>
  <si>
    <t>Melting_Curves/meltCurve_Q9UKT5_FBXO4.pdf</t>
  </si>
  <si>
    <t>Melting_Curves/meltCurve_Q9UKU7_ACAD8.pdf</t>
  </si>
  <si>
    <t>Melting_Curves/meltCurve_Q9UKV8_AGO2.pdf</t>
  </si>
  <si>
    <t>Melting_Curves/meltCurve_Q9UKX7_NUP50.pdf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</si>
  <si>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</si>
  <si>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</si>
  <si>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</si>
  <si>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</si>
  <si>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</si>
  <si>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Melting_Curves/meltCurve_Q9UL33_2_TRAPPC2L.pdf</t>
  </si>
  <si>
    <t>Melting_Curves/meltCurve_Q9UL42_PNMA2.pdf</t>
  </si>
  <si>
    <t>Melting_Curves/meltCurve_Q9UL46_PSME2.pdf</t>
  </si>
  <si>
    <t>Melting_Curves/meltCurve_Q9UL51_HCN2.pdf</t>
  </si>
  <si>
    <t>Melting_Curves/meltCurve_Q9UL54_2_TAOK2.pdf</t>
  </si>
  <si>
    <t>Melting_Curves/meltCurve_Q9UL63_MKLN1.pdf</t>
  </si>
  <si>
    <t>Melting_Curves/meltCurve_Q9ULA0_DNPEP.pdf</t>
  </si>
  <si>
    <t>Melting_Curves/meltCurve_Q9ULC3_RAB23.pdf</t>
  </si>
  <si>
    <t>Melting_Curves/meltCurve_Q9ULC4_MCTS1.pdf</t>
  </si>
  <si>
    <t>Melting_Curves/meltCurve_Q9ULD2_MTUS1.pdf</t>
  </si>
  <si>
    <t>Melting_Curves/meltCurve_Q9ULD5_ZNF777.pdf</t>
  </si>
  <si>
    <t>Melting_Curves/meltCurve_Q9ULE0_WWC3.pdf</t>
  </si>
  <si>
    <t>Melting_Curves/meltCurve_Q9ULE6_PALD1.pdf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</si>
  <si>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</si>
  <si>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</si>
  <si>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</si>
  <si>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</si>
  <si>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</si>
  <si>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</si>
  <si>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Melting_Curves/meltCurve_Q9ULJ7_ANKRD50.pdf</t>
  </si>
  <si>
    <t>Melting_Curves/meltCurve_Q9ULJ8_4_PPP1R9A.pdf</t>
  </si>
  <si>
    <t>Melting_Curves/meltCurve_Q9ULK4_4_MED23.pdf</t>
  </si>
  <si>
    <t>Melting_Curves/meltCurve_Q9ULL5_3_PRR12.pdf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</si>
  <si>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</si>
  <si>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</si>
  <si>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</si>
  <si>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</si>
  <si>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Melting_Curves/meltCurve_Q9ULV0_MYO5B.pdf</t>
  </si>
  <si>
    <t>Melting_Curves/meltCurve_Q9ULV3_5_CIZ1.pdf</t>
  </si>
  <si>
    <t>Melting_Curves/meltCurve_Q9ULV4_CORO1C.pdf</t>
  </si>
  <si>
    <t>Melting_Curves/meltCurve_Q9ULW0_TPX2.pdf</t>
  </si>
  <si>
    <t>Melting_Curves/meltCurve_Q9ULW8_PADI3.pdf</t>
  </si>
  <si>
    <t>Melting_Curves/meltCurve_Q9ULX3_NOB1.pdf</t>
  </si>
  <si>
    <t>Melting_Curves/meltCurve_Q9ULX6_AKAP8L.pdf</t>
  </si>
  <si>
    <t>Melting_Curves/meltCurve_Q9ULX9_2_MAFF.pdf</t>
  </si>
  <si>
    <t>Melting_Curves/meltCurve_Q9ULZ3_PYCARD.pdf</t>
  </si>
  <si>
    <t>Melting_Curves/meltCurve_Q9UM13_ANAPC10.pdf</t>
  </si>
  <si>
    <t>Melting_Curves/meltCurve_Q9UM22_EPDR1.pdf</t>
  </si>
  <si>
    <t>Melting_Curves/meltCurve_Q9UM54_6_MYO6.pdf</t>
  </si>
  <si>
    <t>Melting_Curves/meltCurve_Q9UM82_SPATA2.pdf</t>
  </si>
  <si>
    <t>Melting_Curves/meltCurve_Q9UMN6_WBP7.pdf</t>
  </si>
  <si>
    <t>Melting_Curves/meltCurve_Q9UMS0_3_NFU1.pdf</t>
  </si>
  <si>
    <t>Melting_Curves/meltCurve_Q9UMS4_PRPF19.pdf</t>
  </si>
  <si>
    <t>Melting_Curves/meltCurve_Q9UMS6_SYNPO2.pdf</t>
  </si>
  <si>
    <t>Melting_Curves/meltCurve_Q9UMX0_UBQLN1.pdf</t>
  </si>
  <si>
    <t>Melting_Curves/meltCurve_Q9UMX1_SUFU.pdf</t>
  </si>
  <si>
    <t>Melting_Curves/meltCurve_Q9UMX5_NENF.pdf</t>
  </si>
  <si>
    <t>Melting_Curves/meltCurve_Q9UMY1_NOL7.pdf</t>
  </si>
  <si>
    <t>Melting_Curves/meltCurve_Q9UMY4_2_SNX12.pdf</t>
  </si>
  <si>
    <t>Melting_Curves/meltCurve_Q9UMZ2_SYNRG.pdf</t>
  </si>
  <si>
    <t>Melting_Curves/meltCurve_Q9UN36_2_NDRG2.pdf</t>
  </si>
  <si>
    <t>Melting_Curves/meltCurve_Q9UN37_VPS4A.pdf</t>
  </si>
  <si>
    <t>Melting_Curves/meltCurve_Q9UN79_SOX13.pdf</t>
  </si>
  <si>
    <t>Melting_Curves/meltCurve_Q9UN86_2_G3BP2.pdf</t>
  </si>
  <si>
    <t>Melting_Curves/meltCurve_Q9UNA1_2_ARHGAP26.pdf</t>
  </si>
  <si>
    <t>Melting_Curves/meltCurve_Q9UNE7_STUB1.pdf</t>
  </si>
  <si>
    <t>Melting_Curves/meltCurve_Q9UNF0_PACSIN2.pdf</t>
  </si>
  <si>
    <t>Melting_Curves/meltCurve_Q9UNF1_MAGED2.pdf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</si>
  <si>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</si>
  <si>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</si>
  <si>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</si>
  <si>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</si>
  <si>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</si>
  <si>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</si>
  <si>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</si>
  <si>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</si>
  <si>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</si>
  <si>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</si>
  <si>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Melting_Curves/meltCurve_Q9UNT1_RABL2B.pdf</t>
  </si>
  <si>
    <t>Melting_Curves/meltCurve_Q9UNW1_MINPP1.pdf</t>
  </si>
  <si>
    <t>Melting_Curves/meltCurve_Q9UNY4_TTF2.pdf</t>
  </si>
  <si>
    <t>Melting_Curves/meltCurve_Q9UNZ2_NSFL1C.pdf</t>
  </si>
  <si>
    <t>Melting_Curves/meltCurve_Q9UNZ5_C19orf53.pdf</t>
  </si>
  <si>
    <t>Melting_Curves/meltCurve_Q9UP83_COG5.pdf</t>
  </si>
  <si>
    <t>Melting_Curves/meltCurve_Q9UPM8_AP4E1.pdf</t>
  </si>
  <si>
    <t>Melting_Curves/meltCurve_Q9UPN4_3_AZI1.pdf</t>
  </si>
  <si>
    <t>Melting_Curves/meltCurve_Q9UPN6_SCAF8.pdf</t>
  </si>
  <si>
    <t>Melting_Curves/meltCurve_Q9UPN7_PPP6R1.pdf</t>
  </si>
  <si>
    <t>Melting_Curves/meltCurve_Q9UPN9_TRIM33.pdf</t>
  </si>
  <si>
    <t>Melting_Curves/meltCurve_Q9UPN9_2_TRIM33.pdf</t>
  </si>
  <si>
    <t>Melting_Curves/meltCurve_Q9UPP1_4_PHF8.pdf</t>
  </si>
  <si>
    <t>Melting_Curves/meltCurve_Q9UPP5_2_KIAA1107.pdf</t>
  </si>
  <si>
    <t>Melting_Curves/meltCurve_Q9UPQ0_10_LIMCH1.pdf</t>
  </si>
  <si>
    <t>Melting_Curves/meltCurve_Q9UPQ0_4_LIMCH1.pdf</t>
  </si>
  <si>
    <t>Melting_Curves/meltCurve_Q9UPQ0_6_LIMCH1.pdf</t>
  </si>
  <si>
    <t>Melting_Curves/meltCurve_Q9UPQ3_AGAP1.pdf</t>
  </si>
  <si>
    <t>Melting_Curves/meltCurve_Q9UPQ9_1_TNRC6B.pdf</t>
  </si>
  <si>
    <t>Melting_Curves/meltCurve_Q9UPR0_PLCL2.pdf</t>
  </si>
  <si>
    <t>Melting_Curves/meltCurve_Q9UPR3_SMG5.pdf</t>
  </si>
  <si>
    <t>Melting_Curves/meltCurve_Q9UPS6_SETD1B.pdf</t>
  </si>
  <si>
    <t>Melting_Curves/meltCurve_Q9UPS8_ANKRD26.pdf</t>
  </si>
  <si>
    <t>Melting_Curves/meltCurve_Q9UPT5_6_EXOC7.pdf</t>
  </si>
  <si>
    <t>Melting_Curves/meltCurve_Q9UPT8_ZC3H4.pdf</t>
  </si>
  <si>
    <t>Melting_Curves/meltCurve_Q9UPT9_2_USP22.pdf</t>
  </si>
  <si>
    <t>Melting_Curves/meltCurve_Q9UPU5_USP24.pdf</t>
  </si>
  <si>
    <t>Melting_Curves/meltCurve_Q9UPU7_TBC1D2B.pdf</t>
  </si>
  <si>
    <t>Melting_Curves/meltCurve_Q9UPW5_AGTPBP1.pdf</t>
  </si>
  <si>
    <t>Melting_Curves/meltCurve_Q9UPX8_3_SHANK2.pdf</t>
  </si>
  <si>
    <t>Melting_Curves/meltCurve_Q9UPY3_2_DICER1.pdf</t>
  </si>
  <si>
    <t>Melting_Curves/meltCurve_Q9UPY5_SLC7A11.pdf</t>
  </si>
  <si>
    <t>Melting_Curves/meltCurve_Q9UPY8_MAPRE3.pdf</t>
  </si>
  <si>
    <t>Melting_Curves/meltCurve_Q9UPZ3_2_HPS5.pdf</t>
  </si>
  <si>
    <t>Melting_Curves/meltCurve_Q9UPZ6_THSD7A.pdf</t>
  </si>
  <si>
    <t>Melting_Curves/meltCurve_Q9UQ13_2_SHOC2.pdf</t>
  </si>
  <si>
    <t>Melting_Curves/meltCurve_Q9UQ35_SRRM2.pdf</t>
  </si>
  <si>
    <t>Melting_Curves/meltCurve_Q9UQ80_PA2G4.pdf</t>
  </si>
  <si>
    <t>Melting_Curves/meltCurve_Q9UQ84_4_EXO1.pdf</t>
  </si>
  <si>
    <t>Melting_Curves/meltCurve_Q9UQB8_3_BAIAP2.pdf</t>
  </si>
  <si>
    <t>Melting_Curves/meltCurve_Q9UQC2_2_GAB2.pdf</t>
  </si>
  <si>
    <t>Melting_Curves/meltCurve_Q9UQE7_SMC3.pdf</t>
  </si>
  <si>
    <t>Melting_Curves/meltCurve_Q9UQN3_CHMP2B.pdf</t>
  </si>
  <si>
    <t>Melting_Curves/meltCurve_Q9UQR0_SCML2.pdf</t>
  </si>
  <si>
    <t>Melting_Curves/meltCurve_Q9UQR1_ZNF148.pdf</t>
  </si>
  <si>
    <t>Melting_Curves/meltCurve_Q9Y217_MTMR6.pdf</t>
  </si>
  <si>
    <t>Melting_Curves/meltCurve_Q9Y223_GNE.pdf</t>
  </si>
  <si>
    <t>Melting_Curves/meltCurve_Q9Y224_C14orf166.pdf</t>
  </si>
  <si>
    <t>Melting_Curves/meltCurve_Q9Y230_RUVBL2.pdf</t>
  </si>
  <si>
    <t>Melting_Curves/meltCurve_Q9Y232_2_CDYL.pdf</t>
  </si>
  <si>
    <t>Melting_Curves/meltCurve_Q9Y237_PIN4.pdf</t>
  </si>
  <si>
    <t>Melting_Curves/meltCurve_Q9Y243_2_AKT3.pdf</t>
  </si>
  <si>
    <t>Melting_Curves/meltCurve_Q9Y244_POMP.pdf</t>
  </si>
  <si>
    <t>Melting_Curves/meltCurve_Q9Y248_GINS2.pdf</t>
  </si>
  <si>
    <t>Melting_Curves/meltCurve_Q9Y259_CHKB.pdf</t>
  </si>
  <si>
    <t>Melting_Curves/meltCurve_Q9Y262_EIF3L.pdf</t>
  </si>
  <si>
    <t>Melting_Curves/meltCurve_Q9Y263_PLAA.pdf</t>
  </si>
  <si>
    <t>Melting_Curves/meltCurve_Q9Y265_RUVBL1.pdf</t>
  </si>
  <si>
    <t>Melting_Curves/meltCurve_Q9Y266_NUDC.pdf</t>
  </si>
  <si>
    <t>Melting_Curves/meltCurve_Q9Y281_CFL2.pdf</t>
  </si>
  <si>
    <t>Melting_Curves/meltCurve_Q9Y285_FARSA.pdf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</si>
  <si>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</si>
  <si>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</si>
  <si>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</si>
  <si>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</si>
  <si>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</si>
  <si>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Melting_Curves/meltCurve_Q9Y2D0_CA5B.pdf</t>
  </si>
  <si>
    <t>Melting_Curves/meltCurve_Q9Y2D4_EXOC6B.pdf</t>
  </si>
  <si>
    <t>Melting_Curves/meltCurve_Q9Y2D5_6_AKAP2.pdf</t>
  </si>
  <si>
    <t>Melting_Curves/meltCurve_Q9Y2E4_DIP2C.pdf</t>
  </si>
  <si>
    <t>Melting_Curves/meltCurve_Q9Y2F5_KIAA0947.pdf</t>
  </si>
  <si>
    <t>Melting_Curves/meltCurve_Q9Y2G2_5_CARD8.pdf</t>
  </si>
  <si>
    <t>Melting_Curves/meltCurve_Q9Y2G5_POFUT2.pdf</t>
  </si>
  <si>
    <t>Melting_Curves/meltCurve_Q9Y2H0_3_DLGAP4.pdf</t>
  </si>
  <si>
    <t>Melting_Curves/meltCurve_Q9Y2H1_STK38L.pdf</t>
  </si>
  <si>
    <t>Melting_Curves/meltCurve_Q9Y2H2_INPP5F.pdf</t>
  </si>
  <si>
    <t>Melting_Curves/meltCurve_Q9Y2H5_PLEKHA6.pdf</t>
  </si>
  <si>
    <t>Melting_Curves/meltCurve_Q9Y2I1_NISCH.pdf</t>
  </si>
  <si>
    <t>Melting_Curves/meltCurve_Q9Y2I8_WDR37.pdf</t>
  </si>
  <si>
    <t>Melting_Curves/meltCurve_Q9Y2J4_2_AMOTL2.pdf</t>
  </si>
  <si>
    <t>Melting_Curves/meltCurve_Q9Y2K1_2_ZBTB1.pdf</t>
  </si>
  <si>
    <t>Melting_Curves/meltCurve_Q9Y2K7_KDM2A.pdf</t>
  </si>
  <si>
    <t>Melting_Curves/meltCurve_Q9Y2L1_DIS3.pdf</t>
  </si>
  <si>
    <t>Melting_Curves/meltCurve_Q9Y2L9_2_LRCH1.pdf</t>
  </si>
  <si>
    <t>Melting_Curves/meltCurve_Q9Y2Q3_GSTK1.pdf</t>
  </si>
  <si>
    <t>Melting_Curves/meltCurve_Q9Y2Q5_LAMTOR2.pdf</t>
  </si>
  <si>
    <t>Melting_Curves/meltCurve_Q9Y2Q9_MRPS28.pdf</t>
  </si>
  <si>
    <t>Melting_Curves/meltCurve_Q9Y2R4_DDX52.pdf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</si>
  <si>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</si>
  <si>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</si>
  <si>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</si>
  <si>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</si>
  <si>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</si>
  <si>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Melting_Curves/meltCurve_Q9Y2T3_GDA.pdf</t>
  </si>
  <si>
    <t>Melting_Curves/meltCurve_Q9Y2T7_YBX2.pdf</t>
  </si>
  <si>
    <t>Melting_Curves/meltCurve_Q9Y2U5_MAP3K2.pdf</t>
  </si>
  <si>
    <t>Melting_Curves/meltCurve_Q9Y2U8_LEMD3.pdf</t>
  </si>
  <si>
    <t>Melting_Curves/meltCurve_Q9Y2V2_CARHSP1.pdf</t>
  </si>
  <si>
    <t>Melting_Curves/meltCurve_Q9Y2V7_COG6.pdf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</si>
  <si>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</si>
  <si>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</si>
  <si>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</si>
  <si>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</si>
  <si>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Melting_Curves/meltCurve_Q9Y2Y1_POLR3K.pdf</t>
  </si>
  <si>
    <t>Melting_Curves/meltCurve_Q9Y2Y9_KLF13.pdf</t>
  </si>
  <si>
    <t>Melting_Curves/meltCurve_Q9Y2Z0_SUGT1.pdf</t>
  </si>
  <si>
    <t>Melting_Curves/meltCurve_Q9Y2Z4_YARS2.pdf</t>
  </si>
  <si>
    <t>Melting_Curves/meltCurve_Q9Y303_AMDHD2.pdf</t>
  </si>
  <si>
    <t>Melting_Curves/meltCurve_Q9Y303_2_AMDHD2.pdf</t>
  </si>
  <si>
    <t>Melting_Curves/meltCurve_Q9Y305_ACOT9.pdf</t>
  </si>
  <si>
    <t>Melting_Curves/meltCurve_Q9Y312_AAR2.pdf</t>
  </si>
  <si>
    <t>Melting_Curves/meltCurve_Q9Y314_NOSIP.pdf</t>
  </si>
  <si>
    <t>Melting_Curves/meltCurve_Q9Y315_DERA.pdf</t>
  </si>
  <si>
    <t>Melting_Curves/meltCurve_Q9Y316_MEMO1.pdf</t>
  </si>
  <si>
    <t>Melting_Curves/meltCurve_Q9Y333_LSM2.pdf</t>
  </si>
  <si>
    <t>Melting_Curves/meltCurve_Q9Y371_SH3GLB1.pdf</t>
  </si>
  <si>
    <t>Melting_Curves/meltCurve_Q9Y376_CAB39.pdf</t>
  </si>
  <si>
    <t>Melting_Curves/meltCurve_Q9Y383_LUC7L2.pdf</t>
  </si>
  <si>
    <t>Melting_Curves/meltCurve_Q9Y385_UBE2J1.pdf</t>
  </si>
  <si>
    <t>Melting_Curves/meltCurve_Q9Y399_MRPS2.pdf</t>
  </si>
  <si>
    <t>Melting_Curves/meltCurve_Q9Y3A3_3_MOB4.pdf</t>
  </si>
  <si>
    <t>Melting_Curves/meltCurve_Q9Y3A5_SBDS.pdf</t>
  </si>
  <si>
    <t>Melting_Curves/meltCurve_Q9Y3B4_SF3B14.pdf</t>
  </si>
  <si>
    <t>Melting_Curves/meltCurve_Q9Y3B9_RRP15.pdf</t>
  </si>
  <si>
    <t>Melting_Curves/meltCurve_Q9Y3C1_NOP16.pdf</t>
  </si>
  <si>
    <t>Melting_Curves/meltCurve_Q9Y3C4_TPRKB.pdf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</si>
  <si>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</si>
  <si>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</si>
  <si>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</si>
  <si>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</si>
  <si>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</si>
  <si>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</si>
  <si>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</si>
  <si>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</si>
  <si>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</si>
  <si>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</si>
  <si>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</si>
  <si>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</si>
  <si>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</si>
  <si>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Melting_Curves/meltCurve_Q9Y3P9_RABGAP1.pdf</t>
  </si>
  <si>
    <t>Melting_Curves/meltCurve_Q9Y3Q8_TSC22D4.pdf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</si>
  <si>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</si>
  <si>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</si>
  <si>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</si>
  <si>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</si>
  <si>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</si>
  <si>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Melting_Curves/meltCurve_Q9Y3V2_RWDD3.pdf</t>
  </si>
  <si>
    <t>Melting_Curves/meltCurve_Q9Y3X0_CCDC9.pdf</t>
  </si>
  <si>
    <t>Melting_Curves/meltCurve_Q9Y3Z3_SAMHD1.pdf</t>
  </si>
  <si>
    <t>Melting_Curves/meltCurve_Q9Y421_FAM32A.pdf</t>
  </si>
  <si>
    <t>Melting_Curves/meltCurve_Q9Y446_PKP3.pdf</t>
  </si>
  <si>
    <t>Melting_Curves/meltCurve_Q9Y448_KNSTRN.pdf</t>
  </si>
  <si>
    <t>Melting_Curves/meltCurve_Q9Y450_4_HBS1L.pdf</t>
  </si>
  <si>
    <t>Melting_Curves/meltCurve_Q9Y490_TLN1.pdf</t>
  </si>
  <si>
    <t>Melting_Curves/meltCurve_Q9Y496_KIF3A.pdf</t>
  </si>
  <si>
    <t>Melting_Curves/meltCurve_Q9Y4B4_RAD54L2.pdf</t>
  </si>
  <si>
    <t>Melting_Curves/meltCurve_Q9Y4B5_SOGA2.pdf</t>
  </si>
  <si>
    <t>Melting_Curves/meltCurve_Q9Y4B6_2_VPRBP.pdf</t>
  </si>
  <si>
    <t>Melting_Curves/meltCurve_Q9Y4C1_KDM3A.pdf</t>
  </si>
  <si>
    <t>Melting_Curves/meltCurve_Q9Y4C2_2_FAM115A.pdf</t>
  </si>
  <si>
    <t>Melting_Curves/meltCurve_Q9Y4C4_MFHAS1.pdf</t>
  </si>
  <si>
    <t>Melting_Curves/meltCurve_Q9Y4E1_2_FAM21C.pdf</t>
  </si>
  <si>
    <t>Melting_Curves/meltCurve_Q9Y4E6_2_WDR7.pdf</t>
  </si>
  <si>
    <t>Melting_Curves/meltCurve_Q9Y4E8_USP15.pdf</t>
  </si>
  <si>
    <t>Melting_Curves/meltCurve_Q9Y4F1_FARP1.pdf</t>
  </si>
  <si>
    <t>Melting_Curves/meltCurve_Q9Y4F5_CEP170B.pdf</t>
  </si>
  <si>
    <t>Melting_Curves/meltCurve_Q9Y4G6_TLN2.pdf</t>
  </si>
  <si>
    <t>Melting_Curves/meltCurve_Q9Y4G8_RAPGEF2.pdf</t>
  </si>
  <si>
    <t>Melting_Curves/meltCurve_Q9Y4H2_IRS2.pdf</t>
  </si>
  <si>
    <t>Melting_Curves/meltCurve_Q9Y4I1_2_MYO5A.pdf</t>
  </si>
  <si>
    <t>Melting_Curves/meltCurve_Q9Y4K3_TRAF6.pdf</t>
  </si>
  <si>
    <t>Melting_Curves/meltCurve_Q9Y4K4_MAP4K5.pdf</t>
  </si>
  <si>
    <t>Melting_Curves/meltCurve_Q9Y4P1_6_ATG4B.pdf</t>
  </si>
  <si>
    <t>Melting_Curves/meltCurve_Q9Y4P8_4_WIPI2.pdf</t>
  </si>
  <si>
    <t>Melting_Curves/meltCurve_Q9Y4R8_TELO2.pdf</t>
  </si>
  <si>
    <t>Melting_Curves/meltCurve_Q9Y4X5_ARIH1.pdf</t>
  </si>
  <si>
    <t>Melting_Curves/meltCurve_Q9Y4Z0_LSM4.pdf</t>
  </si>
  <si>
    <t>Melting_Curves/meltCurve_Q9Y508_RNF114.pdf</t>
  </si>
  <si>
    <t>Melting_Curves/meltCurve_Q9Y520_4_PRRC2C.pdf</t>
  </si>
  <si>
    <t>Melting_Curves/meltCurve_Q9Y546_LRRC42.pdf</t>
  </si>
  <si>
    <t>Melting_Curves/meltCurve_Q9Y547_HSPB11.pdf</t>
  </si>
  <si>
    <t>Melting_Curves/meltCurve_Q9Y570_PPME1.pdf</t>
  </si>
  <si>
    <t>Melting_Curves/meltCurve_Q9Y575_2_ASB3.pdf</t>
  </si>
  <si>
    <t>Melting_Curves/meltCurve_Q9Y597_2_KCTD3.pdf</t>
  </si>
  <si>
    <t>Melting_Curves/meltCurve_Q9Y5A7_2_NUB1.pdf</t>
  </si>
  <si>
    <t>Melting_Curves/meltCurve_Q9Y5A9_YTHDF2.pdf</t>
  </si>
  <si>
    <t>Melting_Curves/meltCurve_Q9Y5B0_CTDP1.pdf</t>
  </si>
  <si>
    <t>Melting_Curves/meltCurve_Q9Y5B8_2_NME7.pdf</t>
  </si>
  <si>
    <t>Melting_Curves/meltCurve_Q9Y5B9_SUPT16H.pdf</t>
  </si>
  <si>
    <t>Melting_Curves/meltCurve_Q9Y5J1_UTP18.pdf</t>
  </si>
  <si>
    <t>Melting_Curves/meltCurve_Q9Y5J5_PHLDA3.pdf</t>
  </si>
  <si>
    <t>Melting_Curves/meltCurve_Q9Y5J6_TIMM10B.pdf</t>
  </si>
  <si>
    <t>Melting_Curves/meltCurve_Q9Y5J7_TIMM9.pdf</t>
  </si>
  <si>
    <t>Melting_Curves/meltCurve_Q9Y5J9_TIMM8B.pdf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</si>
  <si>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</si>
  <si>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</si>
  <si>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</si>
  <si>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</si>
  <si>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</si>
  <si>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Melting_Curves/meltCurve_Q9Y5N5_2_N6AMT1.pdf</t>
  </si>
  <si>
    <t>Melting_Curves/meltCurve_Q9Y5N6_ORC6.pdf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</si>
  <si>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</si>
  <si>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</si>
  <si>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</si>
  <si>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</si>
  <si>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</si>
  <si>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Melting_Curves/meltCurve_Q9Y5S2_CDC42BPB.pdf</t>
  </si>
  <si>
    <t>Melting_Curves/meltCurve_Q9Y5S9_RBM8A.pdf</t>
  </si>
  <si>
    <t>Melting_Curves/meltCurve_Q9Y5U2_2_TSSC4.pdf</t>
  </si>
  <si>
    <t>Melting_Curves/meltCurve_Q9Y5V0_ZNF706.pdf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</si>
  <si>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</si>
  <si>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</si>
  <si>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</si>
  <si>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</si>
  <si>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</si>
  <si>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</si>
  <si>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</si>
  <si>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Melting_Curves/meltCurve_Q9Y5Z7_HCFC2.pdf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</si>
  <si>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</si>
  <si>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</si>
  <si>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</si>
  <si>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</si>
  <si>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Melting_Curves/meltCurve_Q9Y620_RAD54B.pdf</t>
  </si>
  <si>
    <t>Melting_Curves/meltCurve_Q9Y657_SPIN1.pdf</t>
  </si>
  <si>
    <t>Melting_Curves/meltCurve_Q9Y678_COPG1.pdf</t>
  </si>
  <si>
    <t>Melting_Curves/meltCurve_Q9Y680_3_FKBP7.pdf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</si>
  <si>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</si>
  <si>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</si>
  <si>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</si>
  <si>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</si>
  <si>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</si>
  <si>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Melting_Curves/meltCurve_Q9Y6B2_2_EID1.pdf</t>
  </si>
  <si>
    <t>Melting_Curves/meltCurve_Q9Y6B6_SAR1B.pdf</t>
  </si>
  <si>
    <t>Melting_Curves/meltCurve_Q9Y6B7_AP4B1.pdf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</si>
  <si>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</si>
  <si>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</si>
  <si>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</si>
  <si>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</si>
  <si>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Melting_Curves/meltCurve_Q9Y6G9_DYNC1LI1.pdf</t>
  </si>
  <si>
    <t>Melting_Curves/meltCurve_Q9Y6H1_CHCHD2.pdf</t>
  </si>
  <si>
    <t>Melting_Curves/meltCurve_Q9Y6I3_EPN1.pdf</t>
  </si>
  <si>
    <t>Melting_Curves/meltCurve_Q9Y6I9_TEX264.pdf</t>
  </si>
  <si>
    <t>Melting_Curves/meltCurve_Q9Y6J9_TAF6L.pdf</t>
  </si>
  <si>
    <t>Melting_Curves/meltCurve_Q9Y6K1_3_DNMT3A.pdf</t>
  </si>
  <si>
    <t>Melting_Curves/meltCurve_Q9Y6K5_OAS3.pdf</t>
  </si>
  <si>
    <t>Melting_Curves/meltCurve_Q9Y6K9_IKBKG.pdf</t>
  </si>
  <si>
    <t>Melting_Curves/meltCurve_Q9Y6M5_SLC30A1.pdf</t>
  </si>
  <si>
    <t>Melting_Curves/meltCurve_Q9Y6N7_5_ROBO1.pdf</t>
  </si>
  <si>
    <t>Melting_Curves/meltCurve_Q9Y6N9_5_USH1C.pdf</t>
  </si>
  <si>
    <t>Melting_Curves/meltCurve_Q9Y6Q9_5_NCOA3.pdf</t>
  </si>
  <si>
    <t>Melting_Curves/meltCurve_Q9Y6R0_NUMBL.pdf</t>
  </si>
  <si>
    <t>Melting_Curves/meltCurve_Q9Y6V0_2_PCLO.pdf</t>
  </si>
  <si>
    <t>Melting_Curves/meltCurve_Q9Y6V7_DDX49.pdf</t>
  </si>
  <si>
    <t>Melting_Curves/meltCurve_Q9Y6W3_CAPN7.pdf</t>
  </si>
  <si>
    <t>Melting_Curves/meltCurve_Q9Y6W5_WASF2.pdf</t>
  </si>
  <si>
    <t>Melting_Curves/meltCurve_Q9Y6X8_ZHX2.pdf</t>
  </si>
  <si>
    <t>Melting_Curves/meltCurve_Q9Y6X9_MORC2.pdf</t>
  </si>
  <si>
    <t>Melting_Curves/meltCurve_Q9Y6Y0_IVNS1ABP.pdf</t>
  </si>
  <si>
    <t>Melting_Curves/meltCurve_R4GMR5_PSMD8.pdf</t>
  </si>
  <si>
    <t>Melting_Curves/meltCurve_R4GMU8_LAMTOR5.pdf</t>
  </si>
  <si>
    <t>Melting_Curves/meltCurve_R4GMX3_BMI1.pdf</t>
  </si>
  <si>
    <t>Melting_Curves/meltCurve_R4GN55_YTHDF3.pdf</t>
  </si>
  <si>
    <t>Melting_Curves/meltCurve_R4GN62_PARD3B.pdf</t>
  </si>
  <si>
    <t>Melting_Curves/meltCurve_R4GN98_S100A6.pdf</t>
  </si>
  <si>
    <t>Melting_Curves/meltCurve_R4GNA2_ANKRD30A.pdf</t>
  </si>
  <si>
    <t>Melting_Curves/meltCurve_R4GNB1_AASDH.pdf</t>
  </si>
  <si>
    <t>Melting_Curves/meltCurve_R4GNB2_DENND4C.pdf</t>
  </si>
  <si>
    <t>Melting_Curves/meltCurve_R4GND1_UBE2E3.pdf</t>
  </si>
  <si>
    <t>Melting_Curves/meltCurve_R4GND3_PHLDA1.pdf</t>
  </si>
  <si>
    <t>Melting_Curves/meltCurve_R4GNG2_AMFR.pdf</t>
  </si>
  <si>
    <t>Melting_Curves/meltCurve_R4GNH3_PSMC3.pdf</t>
  </si>
  <si>
    <t>Melting_Curves/meltCurve_R4GNH4_FBXO44.pdf</t>
  </si>
  <si>
    <t>Yes</t>
  </si>
  <si>
    <t>No</t>
  </si>
  <si>
    <t>Transcription factor E2F8</t>
  </si>
  <si>
    <t>Ubiquitin-like modifier-activating enzyme 6</t>
  </si>
  <si>
    <t>UHRF1-binding protein 1-like</t>
  </si>
  <si>
    <t>Shootin-1</t>
  </si>
  <si>
    <t>Rho GTPase-activating protein 10</t>
  </si>
  <si>
    <t>KIAA0999 protein</t>
  </si>
  <si>
    <t>Uncharacterized protein C17orf89</t>
  </si>
  <si>
    <t>Pleckstrin homology domain-containing family G member 3</t>
  </si>
  <si>
    <t>SH3 and PX domain-containing protein 2B</t>
  </si>
  <si>
    <t>Putative PIP5K1A and PSMD4-like protein</t>
  </si>
  <si>
    <t>Isoform 2 of Probable threonine--tRNA ligase 2, cytoplasmic</t>
  </si>
  <si>
    <t>tRNA wybutosine-synthesizing protein 5</t>
  </si>
  <si>
    <t>Isoform 2 of DENN domain-containing protein 3</t>
  </si>
  <si>
    <t>Isoform 2 of von Willebrand factor A domain-containing protein 8</t>
  </si>
  <si>
    <t>Isoform 2 of Protein strawberry notch homolog 1</t>
  </si>
  <si>
    <t>Isoform 2 of WD repeat-containing protein 91</t>
  </si>
  <si>
    <t>Isoform 2 of Killer cell lectin-like receptor subfamily G member 2</t>
  </si>
  <si>
    <t>Protein LCHN</t>
  </si>
  <si>
    <t>Metallo-beta-lactamase domain-containing protein 1</t>
  </si>
  <si>
    <t>Isoform 2 of Trafficking protein particle complex subunit 13</t>
  </si>
  <si>
    <t>CCR4-NOT transcription complex subunit 1</t>
  </si>
  <si>
    <t>Isoform 7 of Transcription factor TFIIIB component B homolog</t>
  </si>
  <si>
    <t>Protein FAM83G</t>
  </si>
  <si>
    <t>Phosphoglycolate phosphatase</t>
  </si>
  <si>
    <t>UPF0600 protein C5orf51</t>
  </si>
  <si>
    <t>RCC1 domain-containing protein 1</t>
  </si>
  <si>
    <t>Oral-facial-digital syndrome 1 protein</t>
  </si>
  <si>
    <t>Zinc finger protein 281</t>
  </si>
  <si>
    <t>3(2),5-bisphosphate nucleotidase 1</t>
  </si>
  <si>
    <t>Zinc finger protein 316</t>
  </si>
  <si>
    <t>Charged multivesicular body protein 1a</t>
  </si>
  <si>
    <t>Leucine-rich repeat-containing protein C10orf11</t>
  </si>
  <si>
    <t>Proline-rich protein PRCC</t>
  </si>
  <si>
    <t>WAS/WASL-interacting protein family member 3</t>
  </si>
  <si>
    <t>Hematological and neurological-expressed 1-like protein</t>
  </si>
  <si>
    <t>Structural maintenance of chromosomes flexible hinge domain-containing protein 1</t>
  </si>
  <si>
    <t>GATS-like protein 2</t>
  </si>
  <si>
    <t>Protein unc-119 homolog B</t>
  </si>
  <si>
    <t>Wilms tumor protein 1-interacting protein</t>
  </si>
  <si>
    <t>Isoform 2 of Probable methyltransferase-like protein 15</t>
  </si>
  <si>
    <t>Chromosome 13 open reading frame 23, isoform CRA_a</t>
  </si>
  <si>
    <t>Coiled-coil domain-containing protein 85C</t>
  </si>
  <si>
    <t>RanBP2-like and GRIP domain-containing protein 3</t>
  </si>
  <si>
    <t>Diaphanous homolog 2 (Drosophila), isoform CRA_c</t>
  </si>
  <si>
    <t>Protein Shroom1</t>
  </si>
  <si>
    <t>ZW10 interactor</t>
  </si>
  <si>
    <t>Allograft inflammatory factor 1-like</t>
  </si>
  <si>
    <t>Ankyrin repeat and BTB/POZ domain-containing protein BTBD11</t>
  </si>
  <si>
    <t>Protein FAM127A</t>
  </si>
  <si>
    <t>Rho GTPase-activating protein 32</t>
  </si>
  <si>
    <t>Pygopus homolog 1</t>
  </si>
  <si>
    <t>Isoform 2 of Nuclear envelope pore membrane protein POM 121C</t>
  </si>
  <si>
    <t>Intersectin 1 long form variant 2</t>
  </si>
  <si>
    <t>Fragile X mental retardation protein 1</t>
  </si>
  <si>
    <t>POT1 protection of telomeres 1 homolog (S. pombe), isoform CRA_a</t>
  </si>
  <si>
    <t>S100P-binding protein</t>
  </si>
  <si>
    <t>Protein Hook homolog 1</t>
  </si>
  <si>
    <t>Tubulin alpha-4A chain</t>
  </si>
  <si>
    <t>BICD1 protein</t>
  </si>
  <si>
    <t>Cadherin-2</t>
  </si>
  <si>
    <t>WAS/WASL-interacting protein family member 2</t>
  </si>
  <si>
    <t>TFIIH basal transcription factor complex helicase XPD subunit (Fragment)</t>
  </si>
  <si>
    <t>Nucleoside diphosphate-linked moiety X motif 19, mitochondrial</t>
  </si>
  <si>
    <t>Serine/arginine repetitive matrix protein 1</t>
  </si>
  <si>
    <t>6-phosphofructo-2-kinase/fructose-2, 6-bisphosphatase 2 transcript variant 3</t>
  </si>
  <si>
    <t>MKL/myocardin-like protein 1 (Fragment)</t>
  </si>
  <si>
    <t>TBC1 domain family member 22A</t>
  </si>
  <si>
    <t>Flotillin-1 (Fragment)</t>
  </si>
  <si>
    <t>HLA-B associated transcript 3, isoform CRA_a</t>
  </si>
  <si>
    <t>Histone-lysine N-methyltransferase EHMT2</t>
  </si>
  <si>
    <t>Centromere protein M</t>
  </si>
  <si>
    <t>26S proteasome non-ATPase regulatory subunit 10</t>
  </si>
  <si>
    <t>3-hydroxymethyl-3-methylglutaryl-Coenzyme A lyase (Hydroxymethylglutaricaciduria), isoform CRA_b</t>
  </si>
  <si>
    <t>Ras GTPase-activating protein nGAP</t>
  </si>
  <si>
    <t>Eukaryotic translation initiation factor 4E transporter</t>
  </si>
  <si>
    <t>Nuclear factor 1 A-type</t>
  </si>
  <si>
    <t>Hsp90 co-chaperone Cdc37-like 1</t>
  </si>
  <si>
    <t>Exosome complex component CSL4 (Fragment)</t>
  </si>
  <si>
    <t>Eukaryotic translation initiation factor 4 gamma 3</t>
  </si>
  <si>
    <t>Trypsin-3 (Fragment)</t>
  </si>
  <si>
    <t>Guanylate kinase (Fragment)</t>
  </si>
  <si>
    <t>Liprin alpha4</t>
  </si>
  <si>
    <t>Thioredoxin reductase 1, cytoplasmic</t>
  </si>
  <si>
    <t>Isoform 5 of Unconventional myosin-IXa</t>
  </si>
  <si>
    <t>Coiled-coil domain-containing protein 92</t>
  </si>
  <si>
    <t>Coiled-coil domain-containing protein 90B, mitochondrial</t>
  </si>
  <si>
    <t>Histone deacetylase</t>
  </si>
  <si>
    <t>Leucine zipper transcription factor-like 1, isoform CRA_b</t>
  </si>
  <si>
    <t>Protein artemis</t>
  </si>
  <si>
    <t>Superoxide dismutase</t>
  </si>
  <si>
    <t>PHD finger protein 23</t>
  </si>
  <si>
    <t>Centromere protein H</t>
  </si>
  <si>
    <t>Pyridine nucleotide-disulfide oxidoreductase domain-containing protein 1</t>
  </si>
  <si>
    <t>Retinoic acid receptor RXR-alpha</t>
  </si>
  <si>
    <t>ADP-ribosylation factor-like protein 6-interacting protein 4</t>
  </si>
  <si>
    <t>Calponin-2</t>
  </si>
  <si>
    <t>Annexin</t>
  </si>
  <si>
    <t>Histidyl-tRNA synthetase-like, isoform CRA_a</t>
  </si>
  <si>
    <t>Vacuolar fusion protein MON1 homolog B</t>
  </si>
  <si>
    <t>Sorting nexin-2</t>
  </si>
  <si>
    <t>Catenin beta-1</t>
  </si>
  <si>
    <t>Phosphatidylinositol 5-phosphate 4-kinase type-2 alpha</t>
  </si>
  <si>
    <t>MAP1S light chain</t>
  </si>
  <si>
    <t>Tuberin</t>
  </si>
  <si>
    <t>Protein-arginine deiminase type-2</t>
  </si>
  <si>
    <t>Ras-related protein Rab-5A</t>
  </si>
  <si>
    <t>Small nuclear ribonucleoprotein Sm D3</t>
  </si>
  <si>
    <t>Citrate synthase</t>
  </si>
  <si>
    <t>Periodic tryptophan protein 1 homolog</t>
  </si>
  <si>
    <t>Zinc finger protein 286A</t>
  </si>
  <si>
    <t>Lipolysis-stimulated lipoprotein receptor</t>
  </si>
  <si>
    <t>Protein SHQ1 homolog</t>
  </si>
  <si>
    <t>ATP synthase subunit gamma</t>
  </si>
  <si>
    <t>Protein CHURC1-FNTB</t>
  </si>
  <si>
    <t>Beta/gamma crystallin domain-containing protein 3 (Fragment)</t>
  </si>
  <si>
    <t>Probable ATP-dependent RNA helicase DDX5</t>
  </si>
  <si>
    <t>E3 ubiquitin-protein ligase RNF220</t>
  </si>
  <si>
    <t>E3 ubiquitin-protein ligase RNF185</t>
  </si>
  <si>
    <t>Prostaglandin E synthase 3</t>
  </si>
  <si>
    <t>Makorin, ring finger protein, 2, isoform CRA_b</t>
  </si>
  <si>
    <t>Sorting nexin-11</t>
  </si>
  <si>
    <t>TOX high mobility group box family member 4</t>
  </si>
  <si>
    <t>Eukaryotic translation initiation factor 2 subunit 1</t>
  </si>
  <si>
    <t>Histone deacetylase 8</t>
  </si>
  <si>
    <t>Ran-binding protein 10</t>
  </si>
  <si>
    <t>6-phosphogluconate dehydrogenase, decarboxylating</t>
  </si>
  <si>
    <t>Rab proteins geranylgeranyltransferase component A 1</t>
  </si>
  <si>
    <t>Mitogen-activated protein kinase kinase kinase 11</t>
  </si>
  <si>
    <t>DNA ligase</t>
  </si>
  <si>
    <t>Ribokinase</t>
  </si>
  <si>
    <t>Eukaryotic translation initiation factor 3 subunit D</t>
  </si>
  <si>
    <t>ADP-ribosylation factor-like protein 1</t>
  </si>
  <si>
    <t>DNA/RNA-binding protein KIN17</t>
  </si>
  <si>
    <t>Fragile X mental retardation syndrome-related protein 1</t>
  </si>
  <si>
    <t>Nucleoporin NUP53</t>
  </si>
  <si>
    <t>Histone deacetylase 6</t>
  </si>
  <si>
    <t>Rho GTPase-activating protein 11A</t>
  </si>
  <si>
    <t>PHD finger protein 6</t>
  </si>
  <si>
    <t>Leucine-rich repeat and calponin homology domain-containing protein 3</t>
  </si>
  <si>
    <t>Pre-B-cell leukemia transcription factor-interacting protein 1</t>
  </si>
  <si>
    <t>Myb/SANT-like DNA-binding domain-containing protein 2</t>
  </si>
  <si>
    <t>RAF proto-oncogene serine/threonine-protein kinase</t>
  </si>
  <si>
    <t>Serine/threonine-protein kinase RIO3</t>
  </si>
  <si>
    <t>Serine/arginine-rich-splicing factor 3</t>
  </si>
  <si>
    <t>Lysosome-associated membrane glycoprotein 2</t>
  </si>
  <si>
    <t>3-ketoacyl-CoA thiolase</t>
  </si>
  <si>
    <t>Methyltransferase-like protein 13</t>
  </si>
  <si>
    <t>Segment polarity protein dishevelled homolog DVL-3</t>
  </si>
  <si>
    <t>Pescadillo homolog</t>
  </si>
  <si>
    <t>Protein phosphatase 1F</t>
  </si>
  <si>
    <t>R3H domain-containing protein 2</t>
  </si>
  <si>
    <t>Calcineurin binding protein 1, isoform CRA_c</t>
  </si>
  <si>
    <t>Pre-mRNA-splicing factor CWC22 homolog</t>
  </si>
  <si>
    <t>Protein disulfide-isomerase A6</t>
  </si>
  <si>
    <t>Kelch-like protein 22</t>
  </si>
  <si>
    <t>Enolase</t>
  </si>
  <si>
    <t>Conserved oligomeric Golgi complex subunit 2</t>
  </si>
  <si>
    <t>Zinc finger protein 346</t>
  </si>
  <si>
    <t>Delta-aminolevulinic acid dehydratase</t>
  </si>
  <si>
    <t>Tubulin-specific chaperone E</t>
  </si>
  <si>
    <t>Prenylcysteine oxidase 1</t>
  </si>
  <si>
    <t>Deoxyribonuclease-2-alpha</t>
  </si>
  <si>
    <t>ETS domain-containing transcription factor ERF</t>
  </si>
  <si>
    <t>DNA mismatch repair protein Mlh3</t>
  </si>
  <si>
    <t>60S ribosomal protein L7-like 1</t>
  </si>
  <si>
    <t>2,4-dienoyl-CoA reductase, mitochondrial</t>
  </si>
  <si>
    <t>Probable E3 ubiquitin-protein ligase TRIML2</t>
  </si>
  <si>
    <t>Protein AF-9</t>
  </si>
  <si>
    <t>Protein AMN1 homolog</t>
  </si>
  <si>
    <t>Tyrosine-protein kinase receptor</t>
  </si>
  <si>
    <t>Ubiquitin carboxyl-terminal hydrolase</t>
  </si>
  <si>
    <t>DNA-binding protein RFX5</t>
  </si>
  <si>
    <t>Protein NDRG4</t>
  </si>
  <si>
    <t>N-acetylgalactosamine kinase</t>
  </si>
  <si>
    <t>Protein phosphatase 1 regulatory subunit 3G</t>
  </si>
  <si>
    <t>PPP2R5E protein</t>
  </si>
  <si>
    <t>UBX domain-containing protein 2A</t>
  </si>
  <si>
    <t>CPEB4 protein</t>
  </si>
  <si>
    <t>Protein Wiz</t>
  </si>
  <si>
    <t>Hyccin</t>
  </si>
  <si>
    <t>Eukaryotic translation initiation factor 4E member 2, isoform CRA_b</t>
  </si>
  <si>
    <t>60S ribosomal protein L31</t>
  </si>
  <si>
    <t>Thymosin alpha-1</t>
  </si>
  <si>
    <t>Vesicle-associated membrane protein 8</t>
  </si>
  <si>
    <t>U4/U6.U5 tri-snRNP-associated protein 2</t>
  </si>
  <si>
    <t>Ankyrin repeat and SOCS box protein 1</t>
  </si>
  <si>
    <t>RNA-binding protein 12B</t>
  </si>
  <si>
    <t>Putative WAS protein family homolog 3</t>
  </si>
  <si>
    <t>Mediator of RNA polymerase II transcription subunit 30</t>
  </si>
  <si>
    <t>Nephrocystin-1</t>
  </si>
  <si>
    <t>Nuclear-interacting partner of ALK</t>
  </si>
  <si>
    <t>Profilin-2</t>
  </si>
  <si>
    <t>Sorcin</t>
  </si>
  <si>
    <t>Zinc finger protein 655</t>
  </si>
  <si>
    <t>NEDD8-conjugating enzyme UBE2F</t>
  </si>
  <si>
    <t>Zinc finger protein 823 (Fragment)</t>
  </si>
  <si>
    <t>G1/S-specific cyclin-E1</t>
  </si>
  <si>
    <t>NF-kappa-B essential modulator (Fragment)</t>
  </si>
  <si>
    <t>DNA-directed RNA polymerase</t>
  </si>
  <si>
    <t>Protein IQCJ-SCHIP1</t>
  </si>
  <si>
    <t>Protein CMSS1 (Fragment)</t>
  </si>
  <si>
    <t>Mitochondrial inner membrane protein</t>
  </si>
  <si>
    <t>Programmed cell death protein 10 (Fragment)</t>
  </si>
  <si>
    <t>Insulin-like growth factor 1 receptor</t>
  </si>
  <si>
    <t>Fanconi anemia group B protein (Fragment)</t>
  </si>
  <si>
    <t>Ribulose-phosphate 3-epimerase (Fragment)</t>
  </si>
  <si>
    <t>Centrosomal protein of 70 kDa (Fragment)</t>
  </si>
  <si>
    <t>Krev interaction trapped protein 1 (Fragment)</t>
  </si>
  <si>
    <t>E3 ubiquitin-protein ligase RNF8 (Fragment)</t>
  </si>
  <si>
    <t>40S ribosomal protein SA (Fragment)</t>
  </si>
  <si>
    <t>HMG box transcription factor BBX</t>
  </si>
  <si>
    <t>Frataxin, mitochondrial</t>
  </si>
  <si>
    <t>Zinc finger protein 467</t>
  </si>
  <si>
    <t>BSD domain-containing protein 1</t>
  </si>
  <si>
    <t>Nuclear factor erythroid 2-related factor 2 (Fragment)</t>
  </si>
  <si>
    <t>Fos-related antigen 2 (Fragment)</t>
  </si>
  <si>
    <t>Protein diaphanous homolog 3</t>
  </si>
  <si>
    <t>Nuclear receptor corepressor 2</t>
  </si>
  <si>
    <t>Cdc42 effector protein 3 (Fragment)</t>
  </si>
  <si>
    <t>COP9 signalosome complex subunit 1</t>
  </si>
  <si>
    <t>BAG family molecular chaperone regulator 3 (Fragment)</t>
  </si>
  <si>
    <t>Angio-associated migratory cell protein</t>
  </si>
  <si>
    <t>Guanine nucleotide-binding protein G(I)/G(S)/G(T) subunit beta-2 (Fragment)</t>
  </si>
  <si>
    <t>SH2B adapter protein 2 (Fragment)</t>
  </si>
  <si>
    <t>DNA-directed RNA polymerases I, II, and III subunit RPABC3 (Fragment)</t>
  </si>
  <si>
    <t>Alpha-2-antiplasmin (Fragment)</t>
  </si>
  <si>
    <t>Glucoside xylosyltransferase 2 (Fragment)</t>
  </si>
  <si>
    <t>O-acetyl-ADP-ribose deacetylase 1 (Fragment)</t>
  </si>
  <si>
    <t>Hsp70-binding protein 1</t>
  </si>
  <si>
    <t>Ubiquitin carboxyl-terminal hydrolase 4</t>
  </si>
  <si>
    <t>Muscleblind-like protein 1</t>
  </si>
  <si>
    <t>Ubiquitin carboxyl-terminal hydrolase 42 (Fragment)</t>
  </si>
  <si>
    <t>Coiled-coil domain-containing protein 58</t>
  </si>
  <si>
    <t>Nucleoside diphosphate kinase</t>
  </si>
  <si>
    <t>Atlastin-2 (Fragment)</t>
  </si>
  <si>
    <t>Serine/threonine-protein kinase 11-interacting protein</t>
  </si>
  <si>
    <t>E3 ubiquitin-protein ligase RNF13 (Fragment)</t>
  </si>
  <si>
    <t>Isoform 2 of Aldo-keto reductase family 1 member B15</t>
  </si>
  <si>
    <t>Regulator of chromosome condensation (Fragment)</t>
  </si>
  <si>
    <t>AP-4 complex subunit mu-1 (Fragment)</t>
  </si>
  <si>
    <t>60S ribosomal protein L24</t>
  </si>
  <si>
    <t>Lamin-B receptor (Fragment)</t>
  </si>
  <si>
    <t>Ribonuclease P protein subunit p20 (Fragment)</t>
  </si>
  <si>
    <t>60S ribosomal protein L22-like 1</t>
  </si>
  <si>
    <t>Neuronal cell adhesion molecule</t>
  </si>
  <si>
    <t>ADP-sugar pyrophosphatase (Fragment)</t>
  </si>
  <si>
    <t>Ubiquitin-conjugating enzyme E2 H (Fragment)</t>
  </si>
  <si>
    <t>Prostate leucine zipper isoform 3</t>
  </si>
  <si>
    <t>Ankyrin repeat and SAM domain-containing protein 3</t>
  </si>
  <si>
    <t>Sodium bicarbonate cotransporter 3</t>
  </si>
  <si>
    <t>60S ribosomal protein L32 (Fragment)</t>
  </si>
  <si>
    <t>NADPH-dependent diflavin oxidoreductase 1</t>
  </si>
  <si>
    <t>CXXC-type zinc finger protein 5 (Fragment)</t>
  </si>
  <si>
    <t>Transcription factor RelB</t>
  </si>
  <si>
    <t>RNA-binding protein 47</t>
  </si>
  <si>
    <t>DNA-directed RNA polymerase III subunit RPC7 (Fragment)</t>
  </si>
  <si>
    <t>Coiled-coil and C2 domain-containing protein 2A (Fragment)</t>
  </si>
  <si>
    <t>Soluble lamin-associated protein of 75 kDa</t>
  </si>
  <si>
    <t>Zinc finger and BTB domain-containing protein 38 (Fragment)</t>
  </si>
  <si>
    <t>OCIA domain-containing protein 1</t>
  </si>
  <si>
    <t>Vesicular integral-membrane protein VIP36</t>
  </si>
  <si>
    <t>PACRG-like protein (Fragment)</t>
  </si>
  <si>
    <t>Estradiol 17-beta-dehydrogenase 11</t>
  </si>
  <si>
    <t>Coiled-coil domain-containing protein 111</t>
  </si>
  <si>
    <t>Ubiquitin-like-conjugating enzyme ATG10</t>
  </si>
  <si>
    <t>Glutamyl-tRNA(Gln) amidotransferase subunit B, mitochondrial</t>
  </si>
  <si>
    <t>PRELI domain-containing protein 1, mitochondrial</t>
  </si>
  <si>
    <t>Protein transport protein Sec31A</t>
  </si>
  <si>
    <t>Septin 11, isoform CRA_b</t>
  </si>
  <si>
    <t>Complexin-2 (Fragment)</t>
  </si>
  <si>
    <t>Ankyrin repeat and KH domain-containing protein 1 (Fragment)</t>
  </si>
  <si>
    <t>Centromere protein K</t>
  </si>
  <si>
    <t>Cyclin-H</t>
  </si>
  <si>
    <t>Ribonuclease T2 (Fragment)</t>
  </si>
  <si>
    <t>Immunoglobulin J chain (Fragment)</t>
  </si>
  <si>
    <t>COMM domain containing 10, isoform CRA_b</t>
  </si>
  <si>
    <t>Protein MMS22-like</t>
  </si>
  <si>
    <t>Protein C15orf38-AP3S2</t>
  </si>
  <si>
    <t>Geminin (Fragment)</t>
  </si>
  <si>
    <t>Protein FAM92A1</t>
  </si>
  <si>
    <t>E3 SUMO-protein ligase NSE2</t>
  </si>
  <si>
    <t>Inositol monophosphatase 1 (Fragment)</t>
  </si>
  <si>
    <t>RWD domain-containing protein 1 (Fragment)</t>
  </si>
  <si>
    <t>Stathmin</t>
  </si>
  <si>
    <t>Transcription elongation factor B polypeptide 1 (Fragment)</t>
  </si>
  <si>
    <t>Dynamin-3</t>
  </si>
  <si>
    <t>TELO2-interacting protein 2</t>
  </si>
  <si>
    <t>Coiled-coil-helix-coiled-coil-helix domain-containing protein 7 (Fragment)</t>
  </si>
  <si>
    <t>PH and SEC7 domain-containing protein 3</t>
  </si>
  <si>
    <t>AP-3 complex subunit mu-2 (Fragment)</t>
  </si>
  <si>
    <t>AN1-type zinc finger protein 1</t>
  </si>
  <si>
    <t>Betaine--homocysteine S-methyltransferase 1</t>
  </si>
  <si>
    <t>S-phase kinase-associated protein 1</t>
  </si>
  <si>
    <t>Protein LYRIC</t>
  </si>
  <si>
    <t>COP9 signalosome complex subunit 6</t>
  </si>
  <si>
    <t>Tyrosine-protein phosphatase non-receptor type 18 (Fragment)</t>
  </si>
  <si>
    <t>Uncharacterized protein</t>
  </si>
  <si>
    <t>Acid ceramidase</t>
  </si>
  <si>
    <t>E3 ubiquitin-protein ligase UBR5</t>
  </si>
  <si>
    <t>Transforming acidic coiled-coil-containing protein 2</t>
  </si>
  <si>
    <t>Histone-lysine N-methyltransferase</t>
  </si>
  <si>
    <t>Nicastrin</t>
  </si>
  <si>
    <t>Calcium-binding and coiled-coil domain-containing protein 2</t>
  </si>
  <si>
    <t>Collagen alpha-1(III) chain</t>
  </si>
  <si>
    <t>60S ribosomal protein L14</t>
  </si>
  <si>
    <t>Target of Myb protein 1</t>
  </si>
  <si>
    <t>Inhibitor of Bruton tyrosine kinase</t>
  </si>
  <si>
    <t>Pyridoxal-dependent decarboxylase domain-containing protein 1</t>
  </si>
  <si>
    <t>Receptor-type tyrosine-protein phosphatase mu</t>
  </si>
  <si>
    <t>N-alpha-acetyltransferase 50</t>
  </si>
  <si>
    <t>Apoptotic chromatin condensation inducer in the nucleus</t>
  </si>
  <si>
    <t>Metastasis-associated protein MTA3</t>
  </si>
  <si>
    <t>MKL/myocardin-like protein 1</t>
  </si>
  <si>
    <t>Protein FAM91A1</t>
  </si>
  <si>
    <t>Endoplasmic reticulum metallopeptidase 1</t>
  </si>
  <si>
    <t>Protein FAM193B</t>
  </si>
  <si>
    <t>GEM-interacting protein</t>
  </si>
  <si>
    <t>Microtubule-associated serine/threonine-protein kinase 2</t>
  </si>
  <si>
    <t>High mobility group protein B3 (Fragment)</t>
  </si>
  <si>
    <t>Tetratricopeptide repeat protein 38</t>
  </si>
  <si>
    <t>Eyes absent homolog 4</t>
  </si>
  <si>
    <t>N-acetyltransferase 10</t>
  </si>
  <si>
    <t>U2 snRNP-associated SURP motif-containing protein</t>
  </si>
  <si>
    <t>Inter-alpha-trypsin inhibitor heavy chain H3</t>
  </si>
  <si>
    <t>Probable E3 ubiquitin-protein ligase DTX2</t>
  </si>
  <si>
    <t>TNFAIP3-interacting protein 1</t>
  </si>
  <si>
    <t>RNA-binding motif, single-stranded-interacting protein 1</t>
  </si>
  <si>
    <t>Procollagen-lysine,2-oxoglutarate 5-dioxygenase 2</t>
  </si>
  <si>
    <t>Basic leucine zipper and W2 domain-containing protein 2 (Fragment)</t>
  </si>
  <si>
    <t>Casein kinase II subunit alpha</t>
  </si>
  <si>
    <t>Neuron navigator 3</t>
  </si>
  <si>
    <t>Glucose-6-phosphate 1-dehydrogenase (Fragment)</t>
  </si>
  <si>
    <t>Nucleoporin p54</t>
  </si>
  <si>
    <t>Protein FAM193A (Fragment)</t>
  </si>
  <si>
    <t>Eukaryotic translation initiation factor 4 gamma 1</t>
  </si>
  <si>
    <t>Propionyl-CoA carboxylase beta chain, mitochondrial</t>
  </si>
  <si>
    <t>Rho guanine nucleotide exchange factor 4</t>
  </si>
  <si>
    <t>ADP-ribosylation factor GTPase-activating protein 1</t>
  </si>
  <si>
    <t>Microtubule-associated protein</t>
  </si>
  <si>
    <t>Pseudouridine-5-monophosphatase (Fragment)</t>
  </si>
  <si>
    <t>Cytoplasmic FMR1-interacting protein 2</t>
  </si>
  <si>
    <t>NADPH--cytochrome P450 reductase</t>
  </si>
  <si>
    <t>Retinoic acid-induced protein 1</t>
  </si>
  <si>
    <t>Septin-10</t>
  </si>
  <si>
    <t>Peptidyl-prolyl cis-trans isomerase-like 2</t>
  </si>
  <si>
    <t>Exocyst complex component 6</t>
  </si>
  <si>
    <t>Ras GTPase-activating-like protein IQGAP2 (Fragment)</t>
  </si>
  <si>
    <t>Putative Polycomb group protein ASXL2</t>
  </si>
  <si>
    <t>MAGUK p55 subfamily member 2</t>
  </si>
  <si>
    <t>Caldesmon</t>
  </si>
  <si>
    <t>Serine/threonine-protein kinase Nek4 (Fragment)</t>
  </si>
  <si>
    <t>Ribonucleoprotein PTB-binding 1</t>
  </si>
  <si>
    <t>G patch domain-containing protein 4</t>
  </si>
  <si>
    <t>Periphilin-1</t>
  </si>
  <si>
    <t>Pyruvate dehydrogenase protein X component, mitochondrial</t>
  </si>
  <si>
    <t>THO complex subunit 4</t>
  </si>
  <si>
    <t>Phosphoribosylaminoimidazole carboxylase (Fragment)</t>
  </si>
  <si>
    <t>Mitotic checkpoint serine/threonine-protein kinase BUB1</t>
  </si>
  <si>
    <t>Translation initiation factor eIF-2B subunit epsilon</t>
  </si>
  <si>
    <t>Folliculin-interacting protein 1</t>
  </si>
  <si>
    <t>Beta-glucuronidase</t>
  </si>
  <si>
    <t>ETS-related transcription factor Elf-2</t>
  </si>
  <si>
    <t>Tensin-3 (Fragment)</t>
  </si>
  <si>
    <t>Dihydropyrimidinase-related protein 1</t>
  </si>
  <si>
    <t>Cytoskeleton-associated protein 2</t>
  </si>
  <si>
    <t>Intraflagellar transport protein 122 homolog</t>
  </si>
  <si>
    <t>Short-chain-specific acyl-CoA dehydrogenase, mitochondrial</t>
  </si>
  <si>
    <t>Androgen receptor</t>
  </si>
  <si>
    <t>HMG domain-containing protein 3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</si>
  <si>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</si>
  <si>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</si>
  <si>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</si>
  <si>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</si>
  <si>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Centrosomal protein of 192 kDa</t>
  </si>
  <si>
    <t>Serine/threonine-protein phosphatase 2A 56 kDa regulatory subunit delta isoform</t>
  </si>
  <si>
    <t>AN1-type zinc finger protein 2B</t>
  </si>
  <si>
    <t>Centrosomal protein of 97 kDa</t>
  </si>
  <si>
    <t>Methylcrotonoyl-CoA carboxylase subunit alpha, mitochondrial (Fragment)</t>
  </si>
  <si>
    <t>Gamma-secretase C-terminal fragment 59</t>
  </si>
  <si>
    <t>Tensin-1</t>
  </si>
  <si>
    <t>Translin</t>
  </si>
  <si>
    <t>Mediator of RNA polymerase II transcription subunit 22 (Fragment)</t>
  </si>
  <si>
    <t>Thioredoxin-dependent peroxide reductase, mitochondrial</t>
  </si>
  <si>
    <t>Tetranectin</t>
  </si>
  <si>
    <t>Probable leucine--tRNA ligase, mitochondrial</t>
  </si>
  <si>
    <t>Sperm-specific antigen 2</t>
  </si>
  <si>
    <t>Maestro heat-like repeat-containing protein family member 1</t>
  </si>
  <si>
    <t>HLA class II histocompatibility antigen, DQ beta 1 chain</t>
  </si>
  <si>
    <t>Splicing factor 3B subunit 2 (Fragment)</t>
  </si>
  <si>
    <t>PHD and RING finger domain-containing protein 1</t>
  </si>
  <si>
    <t>Receptor-binding cancer antigen-expressed on SiSo cells (Fragment)</t>
  </si>
  <si>
    <t>UBX domain-containing protein 1 (Fragment)</t>
  </si>
  <si>
    <t>Cysteine and histidine-rich protein 1</t>
  </si>
  <si>
    <t>Breast cancer metastasis-suppressor 1 (Fragment)</t>
  </si>
  <si>
    <t>Rho GTPase-activating protein 42</t>
  </si>
  <si>
    <t>Ribosomal protein S6 kinase</t>
  </si>
  <si>
    <t>Protein SOGA3</t>
  </si>
  <si>
    <t>RNA pseudouridylate synthase domain-containing protein 4 (Fragment)</t>
  </si>
  <si>
    <t>Transcriptional enhancer factor TEF-1</t>
  </si>
  <si>
    <t>Torsin-1A-interacting protein 1 (Fragment)</t>
  </si>
  <si>
    <t>Protein arginine N-methyltransferase 1</t>
  </si>
  <si>
    <t>Tetratricopeptide repeat protein 9C (Fragment)</t>
  </si>
  <si>
    <t>Transcription factor BTF3 homolog 4</t>
  </si>
  <si>
    <t>Hypoxia up-regulated protein 1</t>
  </si>
  <si>
    <t>Myomegalin</t>
  </si>
  <si>
    <t>Protein NEDD8-MDP1 (Fragment)</t>
  </si>
  <si>
    <t>Puromycin-sensitive aminopeptidase</t>
  </si>
  <si>
    <t>60S ribosomal protein L27a</t>
  </si>
  <si>
    <t>RING finger protein 141 (Fragment)</t>
  </si>
  <si>
    <t>Microtubule-actin cross-linking factor 1, isoforms 1/2/3/5 (Fragment)</t>
  </si>
  <si>
    <t>Small acidic protein (Fragment)</t>
  </si>
  <si>
    <t>Malic enzyme (Fragment)</t>
  </si>
  <si>
    <t>Upstream stimulatory factor 1 (Fragment)</t>
  </si>
  <si>
    <t>Baculoviral IAP repeat-containing protein 2</t>
  </si>
  <si>
    <t>Methylosome subunit pICln</t>
  </si>
  <si>
    <t>Protein FAM118B (Fragment)</t>
  </si>
  <si>
    <t>Jouberin (Fragment)</t>
  </si>
  <si>
    <t>Heat shock factor protein 1</t>
  </si>
  <si>
    <t>BTB/POZ domain-containing protein KCTD21 (Fragment)</t>
  </si>
  <si>
    <t>LIM domain only protein 7</t>
  </si>
  <si>
    <t>Zinc finger protein 595</t>
  </si>
  <si>
    <t>Cysteine and glycine-rich protein 1 (Fragment)</t>
  </si>
  <si>
    <t>Stromal interaction molecule 1</t>
  </si>
  <si>
    <t>CD59 glycoprotein</t>
  </si>
  <si>
    <t>Zinc finger protein-like 1 (Fragment)</t>
  </si>
  <si>
    <t>40S ribosomal protein S30</t>
  </si>
  <si>
    <t>Cathepsin B heavy chain (Fragment)</t>
  </si>
  <si>
    <t>Repressor of RNA polymerase III transcription MAF1 homolog (Fragment)</t>
  </si>
  <si>
    <t>SCL-interrupting locus protein</t>
  </si>
  <si>
    <t>FGGY carbohydrate kinase domain-containing protein</t>
  </si>
  <si>
    <t>Exportin-4</t>
  </si>
  <si>
    <t>Complement C1r subcomponent-like protein</t>
  </si>
  <si>
    <t>WASH complex subunit CCDC53</t>
  </si>
  <si>
    <t>Phosphatidylinositol 4-phosphate 3-kinase C2 domain-containing subunit beta</t>
  </si>
  <si>
    <t>Junction plakoglobin</t>
  </si>
  <si>
    <t>Serine/threonine-protein kinase WNK1</t>
  </si>
  <si>
    <t>Mothers against decapentaplegic homolog 5</t>
  </si>
  <si>
    <t>Protein FAM76B</t>
  </si>
  <si>
    <t>Protein furry homolog-like</t>
  </si>
  <si>
    <t>Succinyl-CoA ligase [ADP-forming] subunit beta, mitochondrial</t>
  </si>
  <si>
    <t>Arginyl-tRNA--protein transferase 1</t>
  </si>
  <si>
    <t>Tumor necrosis factor receptor superfamily member 3</t>
  </si>
  <si>
    <t>35 kDa inter-alpha-trypsin inhibitor heavy chain H4</t>
  </si>
  <si>
    <t>C4b-B</t>
  </si>
  <si>
    <t>Spindle assembly abnormal protein 6 homolog</t>
  </si>
  <si>
    <t>SPARC (Fragment)</t>
  </si>
  <si>
    <t>Centrosomal protein of 112 kDa</t>
  </si>
  <si>
    <t>Thymidine kinase 2, mitochondrial</t>
  </si>
  <si>
    <t>Paxillin</t>
  </si>
  <si>
    <t>Denticleless protein homolog</t>
  </si>
  <si>
    <t>Amyloid-like protein 2</t>
  </si>
  <si>
    <t>E3 ubiquitin-protein ligase TRIM21</t>
  </si>
  <si>
    <t>Tumor protein D52</t>
  </si>
  <si>
    <t>Proteasomal ATPase-associated factor 1</t>
  </si>
  <si>
    <t>Anaphase-promoting complex subunit 5</t>
  </si>
  <si>
    <t>G/T mismatch-specific thymine DNA glycosylase (Fragment)</t>
  </si>
  <si>
    <t>Kinase suppressor of Ras 1</t>
  </si>
  <si>
    <t>SEC23-interacting protein</t>
  </si>
  <si>
    <t>CLK4-associating serine/arginine-rich protein</t>
  </si>
  <si>
    <t>Zinc finger protein 384 (Fragment)</t>
  </si>
  <si>
    <t>RNA polymerase I-specific transcription initiation factor RRN3</t>
  </si>
  <si>
    <t>Methionine-R-sulfoxide reductase B3 (Fragment)</t>
  </si>
  <si>
    <t>DNA polymerase</t>
  </si>
  <si>
    <t>Thioredoxin reductase 2, mitochondrial</t>
  </si>
  <si>
    <t>P2X purinoceptor 4 (Fragment)</t>
  </si>
  <si>
    <t>Uncharacterized protein KIAA1211</t>
  </si>
  <si>
    <t>Protein FLJ22184</t>
  </si>
  <si>
    <t>Uncharacterized protein C12orf43</t>
  </si>
  <si>
    <t>Ankyrin repeat and LEM domain-containing protein 2</t>
  </si>
  <si>
    <t>Protein lunapark</t>
  </si>
  <si>
    <t>Serine/threonine-protein kinase PRP4 homolog</t>
  </si>
  <si>
    <t>High mobility group protein HMGI-C</t>
  </si>
  <si>
    <t>Tight junction protein ZO-3</t>
  </si>
  <si>
    <t>Pre-mRNA-splicing factor SYF1</t>
  </si>
  <si>
    <t>Protein transport protein Sec23A</t>
  </si>
  <si>
    <t>Melanoma antigen preferentially-expressed in tumors</t>
  </si>
  <si>
    <t>Importin subunit alpha</t>
  </si>
  <si>
    <t>E3 ubiquitin-protein ligase RNF115</t>
  </si>
  <si>
    <t>Peroxisomal membrane protein PEX14</t>
  </si>
  <si>
    <t>Galectin-12 (Fragment)</t>
  </si>
  <si>
    <t>Vacuolar protein sorting-associated protein 37C (Fragment)</t>
  </si>
  <si>
    <t>Programmed cell death protein 2</t>
  </si>
  <si>
    <t>Cancer susceptibility candidate protein 1</t>
  </si>
  <si>
    <t>Interferon gamma receptor 1</t>
  </si>
  <si>
    <t>C-type lectin domain family 4 member E</t>
  </si>
  <si>
    <t>CLIP-associating protein 2</t>
  </si>
  <si>
    <t>Cyclic AMP-dependent transcription factor ATF-2</t>
  </si>
  <si>
    <t>Intraflagellar transport protein 88 homolog</t>
  </si>
  <si>
    <t>Atlastin-3</t>
  </si>
  <si>
    <t>Lysine-specific demethylase 6A</t>
  </si>
  <si>
    <t>39S ribosomal protein L48, mitochondrial</t>
  </si>
  <si>
    <t>WW domain-binding protein 11</t>
  </si>
  <si>
    <t>2-oxoglutarate dehydrogenase, mitochondrial</t>
  </si>
  <si>
    <t>Type I inositol 3,4-bisphosphate 4-phosphatase</t>
  </si>
  <si>
    <t>Heat shock protein 75 kDa, mitochondrial</t>
  </si>
  <si>
    <t>WD repeat-containing protein 20</t>
  </si>
  <si>
    <t>Mevalonate kinase</t>
  </si>
  <si>
    <t>Pogo transposable element with ZNF domain</t>
  </si>
  <si>
    <t>Probable global transcription activator SNF2L1 (Fragment)</t>
  </si>
  <si>
    <t>Calcineurin subunit B type 1</t>
  </si>
  <si>
    <t>Putative hydroxypyruvate isomerase (Fragment)</t>
  </si>
  <si>
    <t>Ribosomal protein S6 kinase beta-1</t>
  </si>
  <si>
    <t>Tumor protein D53</t>
  </si>
  <si>
    <t>DNA fragmentation factor subunit beta</t>
  </si>
  <si>
    <t>Methionine aminopeptidase</t>
  </si>
  <si>
    <t>Poly(rC)-binding protein 2 (Fragment)</t>
  </si>
  <si>
    <t>Serine/threonine-protein kinase Nek3</t>
  </si>
  <si>
    <t>Transcription factor E2F7 (Fragment)</t>
  </si>
  <si>
    <t>Nuclear transcription factor Y subunit beta (Fragment)</t>
  </si>
  <si>
    <t>Nucleosome assembly protein 1-like 1</t>
  </si>
  <si>
    <t>Tensin-like C1 domain-containing phosphatase</t>
  </si>
  <si>
    <t>Protein MON2 homolog</t>
  </si>
  <si>
    <t>FYVE, RhoGEF and PH domain-containing protein 4</t>
  </si>
  <si>
    <t>Protein SCAF11</t>
  </si>
  <si>
    <t>2-5-oligoadenylate synthase 1</t>
  </si>
  <si>
    <t>Nucleosome assembly protein 1-like 1 (Fragment)</t>
  </si>
  <si>
    <t>DnaJ homolog subfamily C member 14 (Fragment)</t>
  </si>
  <si>
    <t>Nascent polypeptide-associated complex subunit alpha</t>
  </si>
  <si>
    <t>Chromatin complexes subunit BAP18</t>
  </si>
  <si>
    <t>60S ribosomal protein L6 (Fragment)</t>
  </si>
  <si>
    <t>RNA-binding motif, single-stranded-interacting protein 2</t>
  </si>
  <si>
    <t>Protein CBFA2T2</t>
  </si>
  <si>
    <t>Heterogeneous nuclear ribonucleoprotein A1</t>
  </si>
  <si>
    <t>Ras GTPase-activating protein 3</t>
  </si>
  <si>
    <t>Echinoderm microtubule-associated protein-like 1</t>
  </si>
  <si>
    <t>Ubiquitin-associated protein 2-like</t>
  </si>
  <si>
    <t>Vezatin (Fragment)</t>
  </si>
  <si>
    <t>Ras-related protein Rab-24</t>
  </si>
  <si>
    <t>Nucleolysin TIA-1 isoform p40</t>
  </si>
  <si>
    <t>AP-1 complex subunit sigma-3</t>
  </si>
  <si>
    <t>Protein phosphatase 1 regulatory subunit 12B</t>
  </si>
  <si>
    <t>Actin-binding LIM protein 1</t>
  </si>
  <si>
    <t>Serine/threonine-protein kinase WNK2</t>
  </si>
  <si>
    <t>PHD finger protein 20-like protein 1</t>
  </si>
  <si>
    <t>Leukocyte receptor cluster member 8</t>
  </si>
  <si>
    <t>Coiled-coil domain-containing protein 93</t>
  </si>
  <si>
    <t>Cohesin subunit SA-2</t>
  </si>
  <si>
    <t>NADH dehydrogenase [ubiquinone] 1 alpha subcomplex subunit 5</t>
  </si>
  <si>
    <t>Cortactin-binding protein 2</t>
  </si>
  <si>
    <t>39S ribosomal protein L40, mitochondrial</t>
  </si>
  <si>
    <t>COBW domain-containing protein 2</t>
  </si>
  <si>
    <t>Translocation protein SEC62</t>
  </si>
  <si>
    <t>Cleavage and polyadenylation-specificity factor subunit 6</t>
  </si>
  <si>
    <t>MTERF domain containing 1, isoform CRA_c</t>
  </si>
  <si>
    <t>Poly (ADP-ribose) polymerase family, member 2, isoform CRA_a</t>
  </si>
  <si>
    <t>Tight junction protein 1 (Zona occludens 1), isoform CRA_a</t>
  </si>
  <si>
    <t>GAS2-like protein 3</t>
  </si>
  <si>
    <t>Loss of heterozygosity 12 chromosomal region 1 protein</t>
  </si>
  <si>
    <t>Transcription factor 8 (Represses interleukin 2 expression), isoform CRA_b</t>
  </si>
  <si>
    <t>Inositol-3-phosphate synthase 1</t>
  </si>
  <si>
    <t>Myosin light polypeptide 6</t>
  </si>
  <si>
    <t>Alpha-1-antichymotrypsin</t>
  </si>
  <si>
    <t>SNW domain-containing protein 1</t>
  </si>
  <si>
    <t>DDB1- and CUL4-associated factor 8</t>
  </si>
  <si>
    <t>NF-kappa-B inhibitor alpha</t>
  </si>
  <si>
    <t>Ataxin-3 (Fragment)</t>
  </si>
  <si>
    <t>Apoptosis regulatory protein Siva (Fragment)</t>
  </si>
  <si>
    <t>DDB1- and CUL4-associated factor 5</t>
  </si>
  <si>
    <t>Heterogeneous nuclear ribonucleoproteins C1/C2 (Fragment)</t>
  </si>
  <si>
    <t>ATP-dependent RNA helicase DDX24</t>
  </si>
  <si>
    <t>X-linked retinitis pigmentosa GTPase regulator-interacting protein 1 (Fragment)</t>
  </si>
  <si>
    <t>Protein FAM177A1 (Fragment)</t>
  </si>
  <si>
    <t>cTAGE family member 5</t>
  </si>
  <si>
    <t>Proto-oncogene c-Fos (Fragment)</t>
  </si>
  <si>
    <t>Maleylacetoacetate isomerase</t>
  </si>
  <si>
    <t>AT rich interactive domain 1B (SWI1-like), isoform CRA_a</t>
  </si>
  <si>
    <t>Breast carcinoma amplified sequence 1, isoform CRA_c</t>
  </si>
  <si>
    <t>HCG2002594, isoform CRA_c</t>
  </si>
  <si>
    <t>Protein FAM133B</t>
  </si>
  <si>
    <t>Solute carrier family 12 (Sodium/potassium/chloride transporters), member 2, isoform CRA_a</t>
  </si>
  <si>
    <t>Complement factor I light chain</t>
  </si>
  <si>
    <t>Nuclear receptor coactivator 3</t>
  </si>
  <si>
    <t>Mitogen-activated protein kinase kinase kinase kinase 4</t>
  </si>
  <si>
    <t>ATG4 autophagy related 4 homolog A (S. cerevisiae), isoform CRA_e</t>
  </si>
  <si>
    <t>Dystrophia myotonica WD repeat-containing protein</t>
  </si>
  <si>
    <t>TCF3 (E2A) fusion partner (In childhood Leukemia), isoform CRA_b</t>
  </si>
  <si>
    <t>Son of sevenless homolog 1</t>
  </si>
  <si>
    <t>Tight junction protein 1 (Zona occludens 1), isoform CRA_e</t>
  </si>
  <si>
    <t>Microtubule-associated protein RP/EB family member 2</t>
  </si>
  <si>
    <t>Doublecortin and CaM kinase-like 2, isoform CRA_c</t>
  </si>
  <si>
    <t>60S ribosomal protein L37a</t>
  </si>
  <si>
    <t>HCG21296, isoform CRA_c</t>
  </si>
  <si>
    <t>WD repeat domain phosphoinositide-interacting protein 1</t>
  </si>
  <si>
    <t>Tropomodulin 2 (Neuronal), isoform CRA_a</t>
  </si>
  <si>
    <t>Protein disulfide isomerase family A, member 3, isoform CRA_b</t>
  </si>
  <si>
    <t>MAU2 chromatid cohesion factor homolog</t>
  </si>
  <si>
    <t>Transforming growth factor-beta-induced protein ig-h3</t>
  </si>
  <si>
    <t>tRNA pseudouridine synthase (Fragment)</t>
  </si>
  <si>
    <t>WD repeat domain phosphoinositide-interacting protein 4</t>
  </si>
  <si>
    <t>Phosphofurin acidic cluster sorting protein 2</t>
  </si>
  <si>
    <t>UPF0317 protein C14orf159, mitochondrial</t>
  </si>
  <si>
    <t>Myosin phosphatase Rho-interacting protein (Fragment)</t>
  </si>
  <si>
    <t>Eukaryotic translation initiation factor 4 gamma 2</t>
  </si>
  <si>
    <t>Tight junction protein ZO-1 (Fragment)</t>
  </si>
  <si>
    <t>Protein PRRC2B (Fragment)</t>
  </si>
  <si>
    <t>Nuclear receptor corepressor 1 (Fragment)</t>
  </si>
  <si>
    <t>ER degradation-enhancing alpha-mannosidase-like protein 3 (Fragment)</t>
  </si>
  <si>
    <t>Inosine-5-monophosphate dehydrogenase 2 (Fragment)</t>
  </si>
  <si>
    <t>La-related protein 4B (Fragment)</t>
  </si>
  <si>
    <t>Transformation/transcription domain-associated protein (Fragment)</t>
  </si>
  <si>
    <t>SH3 and PX domain-containing protein 2A (Fragment)</t>
  </si>
  <si>
    <t>Band 4.1-like protein 2 (Fragment)</t>
  </si>
  <si>
    <t>Protein polybromo-1 (Fragment)</t>
  </si>
  <si>
    <t>Arginyl-tRNA--protein transferase 1 (Fragment)</t>
  </si>
  <si>
    <t>Ubiquitin-fold modifier 1 (Fragment)</t>
  </si>
  <si>
    <t>ADP-ribosylation factor GTPase-activating protein 3 (Fragment)</t>
  </si>
  <si>
    <t>Pyrroline-5-carboxylate reductase 3 (Fragment)</t>
  </si>
  <si>
    <t>EF-hand calcium-binding domain-containing protein 2 (Fragment)</t>
  </si>
  <si>
    <t>Target of rapamycin complex 2 subunit MAPKAP1 (Fragment)</t>
  </si>
  <si>
    <t>Inositol hexakisphosphate and diphosphoinositol-pentakisphosphate kinase 2 (Fragment)</t>
  </si>
  <si>
    <t>Ubiquitin-conjugating enzyme E2 B (Fragment)</t>
  </si>
  <si>
    <t>Pterin-4-alpha-carbinolamine dehydratase 2 (Fragment)</t>
  </si>
  <si>
    <t>Storkhead-box protein 2 (Fragment)</t>
  </si>
  <si>
    <t>Epididymis-specific alpha-mannosidase (Fragment)</t>
  </si>
  <si>
    <t>E3 ubiquitin-protein ligase RNF4 (Fragment)</t>
  </si>
  <si>
    <t>Rho guanine nucleotide exchange factor 10 (Fragment)</t>
  </si>
  <si>
    <t>Glutathione reductase, mitochondrial (Fragment)</t>
  </si>
  <si>
    <t>LETM1 domain-containing protein LETM2, mitochondrial (Fragment)</t>
  </si>
  <si>
    <t>39S ribosomal protein L49, mitochondrial (Fragment)</t>
  </si>
  <si>
    <t>LIM domain only protein 7 (Fragment)</t>
  </si>
  <si>
    <t>CREB-regulated transcription coactivator 2 (Fragment)</t>
  </si>
  <si>
    <t>Single Ig IL-1-related receptor (Fragment)</t>
  </si>
  <si>
    <t>Serine/threonine-protein phosphatase (Fragment)</t>
  </si>
  <si>
    <t>Arf-GAP with SH3 domain, ANK repeat and PH domain-containing protein 3 (Fragment)</t>
  </si>
  <si>
    <t>Sjoegren syndrome/scleroderma autoantigen 1 (Fragment)</t>
  </si>
  <si>
    <t>Ribonuclease H2 subunit C (Fragment)</t>
  </si>
  <si>
    <t>Histone acetyltransferase KAT5 (Fragment)</t>
  </si>
  <si>
    <t>Sphingomyelin phosphodiesterase (Fragment)</t>
  </si>
  <si>
    <t>Ragulator complex protein LAMTOR1 (Fragment)</t>
  </si>
  <si>
    <t>Nucleoside diphosphate-linked moiety X motif 22 (Fragment)</t>
  </si>
  <si>
    <t>Oligoribonuclease, mitochondrial (Fragment)</t>
  </si>
  <si>
    <t>Low-density lipoprotein receptor-related protein 6 (Fragment)</t>
  </si>
  <si>
    <t>Breast cancer metastasis-suppressor 1-like protein (Fragment)</t>
  </si>
  <si>
    <t>KAT8 regulatory NSL complex subunit 2 (Fragment)</t>
  </si>
  <si>
    <t>Dehydrogenase/reductase SDR family member 2 (Fragment)</t>
  </si>
  <si>
    <t>Fanconi anemia group M protein (Fragment)</t>
  </si>
  <si>
    <t>Annexin (Fragment)</t>
  </si>
  <si>
    <t>POU domain, class 2, transcription factor 1</t>
  </si>
  <si>
    <t>Homeobox-containing protein 1 (Fragment)</t>
  </si>
  <si>
    <t>DNA-binding protein RFX7</t>
  </si>
  <si>
    <t>Brachyury protein (Fragment)</t>
  </si>
  <si>
    <t>GMP reductase 2</t>
  </si>
  <si>
    <t>Mortality factor 4-like protein 1 (Fragment)</t>
  </si>
  <si>
    <t>Interferon-stimulated gene 20 kDa protein (Fragment)</t>
  </si>
  <si>
    <t>Signal peptide peptidase-like 2A (Fragment)</t>
  </si>
  <si>
    <t>Uveal autoantigen with coiled-coil domains and ankyrin repeats</t>
  </si>
  <si>
    <t>Bloom syndrome protein</t>
  </si>
  <si>
    <t>GTP cyclohydrolase 1 feedback regulatory protein</t>
  </si>
  <si>
    <t>Aflatoxin B1 aldehyde reductase member 2 (Fragment)</t>
  </si>
  <si>
    <t>Golgi apparatus protein 1</t>
  </si>
  <si>
    <t>Nucleolar protein 3 (Fragment)</t>
  </si>
  <si>
    <t>AKT-interacting protein (Fragment)</t>
  </si>
  <si>
    <t>Uncharacterized protein C15orf39 (Fragment)</t>
  </si>
  <si>
    <t>Seizure 6-like protein 2 (Fragment)</t>
  </si>
  <si>
    <t>Cytochrome c oxidase subunit 4 isoform 1, mitochondrial</t>
  </si>
  <si>
    <t>Uncharacterized protein KIAA0513 (Fragment)</t>
  </si>
  <si>
    <t>Chromosome 15 open reading frame 17, isoform CRA_b</t>
  </si>
  <si>
    <t>LYR motif-containing protein 1</t>
  </si>
  <si>
    <t>INO80 complex subunit E</t>
  </si>
  <si>
    <t>Mannose-6-phosphate isomerase</t>
  </si>
  <si>
    <t>Microtubule-actin cross-linking factor 1, isoforms 1/2/3/5</t>
  </si>
  <si>
    <t>RNA binding protein S1, serine-rich domain, isoform CRA_c</t>
  </si>
  <si>
    <t>Fructose-bisphosphate aldolase A (Fragment)</t>
  </si>
  <si>
    <t>Uncharacterized protein (Fragment)</t>
  </si>
  <si>
    <t>Zinc finger protein 598</t>
  </si>
  <si>
    <t>Conserved oligomeric Golgi complex subunit 8</t>
  </si>
  <si>
    <t>HCG2044799</t>
  </si>
  <si>
    <t>E3 ubiquitin-protein ligase ZNRF1</t>
  </si>
  <si>
    <t>Zinc finger FYVE domain-containing protein 19</t>
  </si>
  <si>
    <t>Cytochrome b-c1 complex subunit 2, mitochondrial</t>
  </si>
  <si>
    <t>Ubiquitin domain-containing protein UBFD1</t>
  </si>
  <si>
    <t>Nuclear factor of-activated T-cells, cytoplasmic 3 (Fragment)</t>
  </si>
  <si>
    <t>Eukaryotic translation initiation factor 3 subunit C</t>
  </si>
  <si>
    <t>Testis-expressed sequence 9 protein</t>
  </si>
  <si>
    <t>Ras-related protein Rab-11A</t>
  </si>
  <si>
    <t>Transcription factor E4F1</t>
  </si>
  <si>
    <t>Biogenesis of lysosome-related organelles complex 1 subunit 6</t>
  </si>
  <si>
    <t>Leucine-rich repeat-containing protein 57 (Fragment)</t>
  </si>
  <si>
    <t>Probable glutamate--tRNA ligase, mitochondrial</t>
  </si>
  <si>
    <t>Microtubule-associated protein 1 light chain 3 beta, isoform CRA_f</t>
  </si>
  <si>
    <t>ADP-ribosylation factor-like protein 2-binding protein</t>
  </si>
  <si>
    <t>Ataxin-2-like protein</t>
  </si>
  <si>
    <t>Galectin-8 (Fragment)</t>
  </si>
  <si>
    <t>Nitrogen permease regulator 3-like protein</t>
  </si>
  <si>
    <t>Serine/threonine-protein phosphatase 6 regulatory subunit 3</t>
  </si>
  <si>
    <t>Extended synaptotagmin-2 (Fragment)</t>
  </si>
  <si>
    <t>Tropomyosin 1 (Alpha), isoform CRA_m</t>
  </si>
  <si>
    <t>BCL-6 corepressor (Fragment)</t>
  </si>
  <si>
    <t>Thioredoxin (Fragment)</t>
  </si>
  <si>
    <t>MKI67 FHA domain-interacting nucleolar phosphoprotein (Fragment)</t>
  </si>
  <si>
    <t>BCL2/adenovirus E1B 19 kDa protein-interacting protein 2 (Fragment)</t>
  </si>
  <si>
    <t>Protein YIPF4 (Fragment)</t>
  </si>
  <si>
    <t>Non-homologous end-joining factor 1 (Fragment)</t>
  </si>
  <si>
    <t>Chromodomain-helicase-DNA-binding protein 3 (Fragment)</t>
  </si>
  <si>
    <t>Dual-specificity protein phosphatase 22 (Fragment)</t>
  </si>
  <si>
    <t>IQ motif and SEC7 domain-containing protein 1 (Fragment)</t>
  </si>
  <si>
    <t>INO80 complex subunit B (Fragment)</t>
  </si>
  <si>
    <t>Mitotic-spindle organizing protein 2B (Fragment)</t>
  </si>
  <si>
    <t>Ral GTPase-activating protein subunit alpha-2 (Fragment)</t>
  </si>
  <si>
    <t>Protein cordon-bleu (Fragment)</t>
  </si>
  <si>
    <t>Coiled-coil and C2 domain-containing protein 1B (Fragment)</t>
  </si>
  <si>
    <t>Major facilitator superfamily domain-containing protein 6 (Fragment)</t>
  </si>
  <si>
    <t>Ecto-ADP-ribosyltransferase 4 (Fragment)</t>
  </si>
  <si>
    <t>Band 4.1-like protein 1 (Fragment)</t>
  </si>
  <si>
    <t>Grancalcin (Fragment)</t>
  </si>
  <si>
    <t>Serologically defined colon cancer antigen 3 (Fragment)</t>
  </si>
  <si>
    <t>Synaptosomal-associated protein 47 (Fragment)</t>
  </si>
  <si>
    <t>Glucosamine (N-acetyl)-6-sulfatase (Sanfilippo disease IIID), isoform CRA_b</t>
  </si>
  <si>
    <t>MyoD family inhibitor domain-containing protein (Fragment)</t>
  </si>
  <si>
    <t>Protein kinase C-binding protein 1 (Fragment)</t>
  </si>
  <si>
    <t>Stromal interaction molecule 2</t>
  </si>
  <si>
    <t>Isoamyl acetate-hydrolyzing esterase 1 homolog (Fragment)</t>
  </si>
  <si>
    <t>GRINL1A combined protein 15</t>
  </si>
  <si>
    <t>PWWP domain-containing protein 2B</t>
  </si>
  <si>
    <t>Carcinoembryonic antigen-related cell adhesion molecule 5</t>
  </si>
  <si>
    <t>GA binding protein transcription factor beta subunit 1 transcript variant gamma-2</t>
  </si>
  <si>
    <t>HCG1987119, isoform CRA_a</t>
  </si>
  <si>
    <t>Endonuclease V</t>
  </si>
  <si>
    <t>Vesicle-fusing ATPase</t>
  </si>
  <si>
    <t>Sodium-coupled neutral amino acid transporter 2</t>
  </si>
  <si>
    <t>Clusterin-associated protein 1 (Fragment)</t>
  </si>
  <si>
    <t>Diphthamide biosynthesis protein 1 (Fragment)</t>
  </si>
  <si>
    <t>Elongator complex protein 5 (Fragment)</t>
  </si>
  <si>
    <t>HCG30384, isoform CRA_d</t>
  </si>
  <si>
    <t>Clustered mitochondria protein homolog</t>
  </si>
  <si>
    <t>Gem-associated protein 4</t>
  </si>
  <si>
    <t>Protein capicua homolog</t>
  </si>
  <si>
    <t>Segment polarity protein dishevelled homolog DVL-2</t>
  </si>
  <si>
    <t>Myc-associated zinc finger protein (Fragment)</t>
  </si>
  <si>
    <t>Transcription factor AP-4</t>
  </si>
  <si>
    <t>40S ribosomal protein S15a</t>
  </si>
  <si>
    <t>Myosin light chain 4 (Fragment)</t>
  </si>
  <si>
    <t>Sperm-associated antigen 7</t>
  </si>
  <si>
    <t>HCG1818442, isoform CRA_a</t>
  </si>
  <si>
    <t>NF-kappa-B inhibitor beta (Fragment)</t>
  </si>
  <si>
    <t>G protein pathway suppressor 2 (Fragment)</t>
  </si>
  <si>
    <t>Fatty acid-binding protein, epidermal</t>
  </si>
  <si>
    <t>DNAJC24 protein</t>
  </si>
  <si>
    <t>SWI/SNF-related matrix-associated actin-dependent regulator of chromatin subfamily D member 2</t>
  </si>
  <si>
    <t>Epididymal secretory protein E1</t>
  </si>
  <si>
    <t>Integrator complex subunit 2</t>
  </si>
  <si>
    <t>REST corepressor 1</t>
  </si>
  <si>
    <t>Centlein</t>
  </si>
  <si>
    <t>Transcription cofactor vestigial-like protein 4</t>
  </si>
  <si>
    <t>TBC1 domain family member 8B</t>
  </si>
  <si>
    <t>Mitogen-activated protein kinase kinase kinase 4</t>
  </si>
  <si>
    <t>Protein SAAL1</t>
  </si>
  <si>
    <t>Copper chaperone for superoxide dismutase</t>
  </si>
  <si>
    <t>Sentrin-specific protease 3</t>
  </si>
  <si>
    <t>AP-4 complex subunit sigma-1</t>
  </si>
  <si>
    <t>Protein transport protein Sec16A</t>
  </si>
  <si>
    <t>Zinc finger FYVE domain-containing protein 1</t>
  </si>
  <si>
    <t>BRCA1-associated protein</t>
  </si>
  <si>
    <t>Methylmalonate-semialdehyde dehydrogenase [acylating], mitochondrial</t>
  </si>
  <si>
    <t>Probable fibrosin-1</t>
  </si>
  <si>
    <t>Serine/arginine-rich-splicing factor 2 (Fragment)</t>
  </si>
  <si>
    <t>Phosphatase and actin regulator 2</t>
  </si>
  <si>
    <t>Protein FAM83H (Fragment)</t>
  </si>
  <si>
    <t>Myeloid differentiation primary response gene (88), isoform CRA_b</t>
  </si>
  <si>
    <t>Sulfurtransferase</t>
  </si>
  <si>
    <t>COP9 signalosome complex subunit 7b</t>
  </si>
  <si>
    <t>F-box only protein 6 (Fragment)</t>
  </si>
  <si>
    <t>Protein phosphatase 1 regulatory subunit 37</t>
  </si>
  <si>
    <t>Glucosylceramidase</t>
  </si>
  <si>
    <t>BRISC and BRCA1-A complex member 1</t>
  </si>
  <si>
    <t>BTB/POZ domain-containing protein KCTD1</t>
  </si>
  <si>
    <t>Period circadian protein homolog 1</t>
  </si>
  <si>
    <t>Protein SSXT</t>
  </si>
  <si>
    <t>Ubiquitin carboxyl-terminal hydrolase CYLD</t>
  </si>
  <si>
    <t>Chromobox protein homolog 1 (Fragment)</t>
  </si>
  <si>
    <t>Aurora kinase B (Fragment)</t>
  </si>
  <si>
    <t>Cell division control protein 6 homolog (Fragment)</t>
  </si>
  <si>
    <t>Putative zinc finger protein 286B (Fragment)</t>
  </si>
  <si>
    <t>Protein SCO1 homolog, mitochondrial</t>
  </si>
  <si>
    <t>SAP30-binding protein (Fragment)</t>
  </si>
  <si>
    <t>Trafficking protein particle complex subunit 8</t>
  </si>
  <si>
    <t>LIM domain-containing protein 2 (Fragment)</t>
  </si>
  <si>
    <t>60S ribosomal protein L17 (Fragment)</t>
  </si>
  <si>
    <t>NADPH:adrenodoxin oxidoreductase, mitochondrial</t>
  </si>
  <si>
    <t>Male-specific lethal 1 homolog</t>
  </si>
  <si>
    <t>Ribosomal protein L19</t>
  </si>
  <si>
    <t>Fatty aldehyde dehydrogenase</t>
  </si>
  <si>
    <t>HCG1996301</t>
  </si>
  <si>
    <t>Zinc finger SWIM domain-containing protein 7</t>
  </si>
  <si>
    <t>MIF4G domain-containing protein (Fragment)</t>
  </si>
  <si>
    <t>Zinc finger protein 207 (Fragment)</t>
  </si>
  <si>
    <t>GTPase Era, mitochondrial (Fragment)</t>
  </si>
  <si>
    <t>Protein cereblon (Fragment)</t>
  </si>
  <si>
    <t>Protein Njmu-R1</t>
  </si>
  <si>
    <t>RWD domain containing 4A</t>
  </si>
  <si>
    <t>Cullin 4B, isoform CRA_e</t>
  </si>
  <si>
    <t>Methyl-CpG binding domain protein 3, isoform CRA_b</t>
  </si>
  <si>
    <t>WW domain-binding protein 2 (Fragment)</t>
  </si>
  <si>
    <t>Protein syndesmos (Fragment)</t>
  </si>
  <si>
    <t>WD repeat-containing protein 18</t>
  </si>
  <si>
    <t>Mothers against decapentaplegic homolog 4</t>
  </si>
  <si>
    <t>40S ribosomal protein S15 (Fragment)</t>
  </si>
  <si>
    <t>Kinetochore protein Spc24 (Fragment)</t>
  </si>
  <si>
    <t>Histone H3 (Fragment)</t>
  </si>
  <si>
    <t>Signal transducer and activator of transcription 5A</t>
  </si>
  <si>
    <t>Lon protease homolog, mitochondrial</t>
  </si>
  <si>
    <t>Periplakin</t>
  </si>
  <si>
    <t>Syntaxin-10 (Fragment)</t>
  </si>
  <si>
    <t>Katanin p60 ATPase-containing subunit A-like 2 (Fragment)</t>
  </si>
  <si>
    <t>Keratin, type I cytoskeletal 19 (Fragment)</t>
  </si>
  <si>
    <t>Zinc finger protein 444 (Fragment)</t>
  </si>
  <si>
    <t>Transcription elongation factor 1 homolog</t>
  </si>
  <si>
    <t>Methyl-CpG-binding domain protein 1 (Fragment)</t>
  </si>
  <si>
    <t>HCG2039718, isoform CRA_g</t>
  </si>
  <si>
    <t>Uncharacterized protein C18orf8</t>
  </si>
  <si>
    <t>Gametogenetin-binding protein 2 (Fragment)</t>
  </si>
  <si>
    <t>UBX domain-containing protein 6 (Fragment)</t>
  </si>
  <si>
    <t>Protein C19orf12 (Fragment)</t>
  </si>
  <si>
    <t>Scaffold attachment factor B2 (Fragment)</t>
  </si>
  <si>
    <t>Tropomyosin alpha-4 chain (Fragment)</t>
  </si>
  <si>
    <t>Eukaryotic translation initiation factor 3 subunit K</t>
  </si>
  <si>
    <t>Truncated apolipoprotein C-I (Fragment)</t>
  </si>
  <si>
    <t>Ubiquitin-conjugating enzyme E2 O (Fragment)</t>
  </si>
  <si>
    <t>Follistatin-related protein 3 (Fragment)</t>
  </si>
  <si>
    <t>UV excision repair protein RAD23 homolog A</t>
  </si>
  <si>
    <t>Dynamin-2</t>
  </si>
  <si>
    <t>Zinc finger CCHC domain-containing protein 2 (Fragment)</t>
  </si>
  <si>
    <t>Serine--tRNA ligase, mitochondrial</t>
  </si>
  <si>
    <t>Paf1, RNA polymerase II associated factor, homolog (S. cerevisiae), isoform CRA_c</t>
  </si>
  <si>
    <t>Zinc finger protein 428 (Fragment)</t>
  </si>
  <si>
    <t>Glia maturation factor gamma</t>
  </si>
  <si>
    <t>Tubulin beta-4A chain (Fragment)</t>
  </si>
  <si>
    <t>NAD-dependent protein deacetylase sirtuin-6 (Fragment)</t>
  </si>
  <si>
    <t>Protein Smaug homolog 2</t>
  </si>
  <si>
    <t>Heterogeneous nuclear ribonucleoprotein M (Fragment)</t>
  </si>
  <si>
    <t>Rho guanine nucleotide exchange factor 1</t>
  </si>
  <si>
    <t>KxDL motif-containing protein 1 (Fragment)</t>
  </si>
  <si>
    <t>40S ribosomal protein S5 (Fragment)</t>
  </si>
  <si>
    <t>Unconventional myosin-IXb</t>
  </si>
  <si>
    <t>Ras-related protein Rab-4B (Fragment)</t>
  </si>
  <si>
    <t>Leucine-rich repeat-containing protein 4B (Fragment)</t>
  </si>
  <si>
    <t>SH3KBP1 binding protein 1, isoform CRA_c</t>
  </si>
  <si>
    <t>Prenylated Rab acceptor protein 1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</si>
  <si>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</si>
  <si>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</si>
  <si>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</si>
  <si>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</si>
  <si>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Unconventional myosin-Ic</t>
  </si>
  <si>
    <t>Synaptosomal-associated protein 23</t>
  </si>
  <si>
    <t>Isoform 5 of HCLS1-associated protein X-1</t>
  </si>
  <si>
    <t>AH receptor-interacting protein</t>
  </si>
  <si>
    <t>GTP-binding protein 1</t>
  </si>
  <si>
    <t>Syntaxin-binding protein 3</t>
  </si>
  <si>
    <t>Ras-related protein Rab-27B</t>
  </si>
  <si>
    <t>AP-3 complex subunit beta-1</t>
  </si>
  <si>
    <t>Isoform 2 of Sulfotransferase family cytosolic 2B member 1</t>
  </si>
  <si>
    <t>Isoform 2 of Amyloid beta A4 precursor protein-binding family B member 1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</si>
  <si>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</si>
  <si>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</si>
  <si>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</si>
  <si>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</si>
  <si>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</si>
  <si>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</si>
  <si>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Isoform 2 of Transcription elongation factor SPT5</t>
  </si>
  <si>
    <t>Transcription initiation factor TFIID subunit 4</t>
  </si>
  <si>
    <t>DNA fragmentation factor subunit alpha</t>
  </si>
  <si>
    <t>Isoform DFF35 of DNA fragmentation factor subunit alpha</t>
  </si>
  <si>
    <t>Huntingtin-interacting protein 1</t>
  </si>
  <si>
    <t>Chloride intracellular channel protein 1</t>
  </si>
  <si>
    <t>Eukaryotic translation initiation factor 3 subunit F</t>
  </si>
  <si>
    <t>NEDD4-like E3 ubiquitin-protein ligase WWP2</t>
  </si>
  <si>
    <t>Phosphatidylinositol 4,5-bisphosphate 3-kinase catalytic subunit delta isoform</t>
  </si>
  <si>
    <t>Dynactin subunit 6</t>
  </si>
  <si>
    <t>Neural Wiskott-Aldrich syndrome protein</t>
  </si>
  <si>
    <t>Importin-5</t>
  </si>
  <si>
    <t>DNA-directed RNA polymerase, mitochondrial</t>
  </si>
  <si>
    <t>Eukaryotic elongation factor 2 kinase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</si>
  <si>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</si>
  <si>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</si>
  <si>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</si>
  <si>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</si>
  <si>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4-phosphate 3-kinase C2 domain-containing subunit alpha</t>
  </si>
  <si>
    <t>Phosphatidylinositol 3-kinase regulatory subunit beta</t>
  </si>
  <si>
    <t>Beta-mannosidase</t>
  </si>
  <si>
    <t>Isoform 2 of Agrin</t>
  </si>
  <si>
    <t>Exocyst complex component 5</t>
  </si>
  <si>
    <t>RNA polymerase II elongation factor ELL2</t>
  </si>
  <si>
    <t>High mobility group nucleosome-binding domain-containing protein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</si>
  <si>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</si>
  <si>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</si>
  <si>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</si>
  <si>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</si>
  <si>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</si>
  <si>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</si>
  <si>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Isoform 3 of Syntenin-1</t>
  </si>
  <si>
    <t>Isoform 2 of Membrane-associated phosphatidylinositol transfer protein 1</t>
  </si>
  <si>
    <t>U3 small nucleolar ribonucleoprotein protein MPP10</t>
  </si>
  <si>
    <t>Nucleolar protein 56</t>
  </si>
  <si>
    <t>ATP-dependent RNA helicase DDX3X</t>
  </si>
  <si>
    <t>Isoform 2 of Podocalyxin</t>
  </si>
  <si>
    <t>Pirin</t>
  </si>
  <si>
    <t>Importin subunit alpha-4</t>
  </si>
  <si>
    <t>Tripartite motif-containing protein 38</t>
  </si>
  <si>
    <t>Nuclear factor 1 B-type</t>
  </si>
  <si>
    <t>Serine/threonine-protein phosphatase 6 catalytic subunit</t>
  </si>
  <si>
    <t>Nucleoside diphosphate kinase, mitochondrial</t>
  </si>
  <si>
    <t>Isoform 2 of Lysosomal alpha-mannosidase</t>
  </si>
  <si>
    <t>Pyridoxal kinase</t>
  </si>
  <si>
    <t>AT-rich interactive domain-containing protein 1A</t>
  </si>
  <si>
    <t>Nck-associated protein 5</t>
  </si>
  <si>
    <t>Isoform 2 of Cyclin-dependent kinase 2-associated protein 1</t>
  </si>
  <si>
    <t>Thioredoxin domain-containing protein 9</t>
  </si>
  <si>
    <t>Dihydropyrimidinase-related protein 4</t>
  </si>
  <si>
    <t>Suppressor of cytokine signaling 6</t>
  </si>
  <si>
    <t>TRAF-type zinc finger domain-containing protein 1</t>
  </si>
  <si>
    <t>Acyl carrier protein, mitochondrial</t>
  </si>
  <si>
    <t>Isoform 4 of Citron Rho-interacting kinase</t>
  </si>
  <si>
    <t>Coatomer subunit epsilon</t>
  </si>
  <si>
    <t>Eukaryotic translation initiation factor 1A, Y-chromosomal</t>
  </si>
  <si>
    <t>Isoform 4 of AP-3 complex subunit delta-1</t>
  </si>
  <si>
    <t>Isoform 2 of Segment polarity protein dishevelled homolog DVL-1</t>
  </si>
  <si>
    <t>Isoform 2 of Chromodomain-helicase-DNA-binding protein 1</t>
  </si>
  <si>
    <t>Isoform 3 of Golgi SNAP receptor complex member 2</t>
  </si>
  <si>
    <t>Torsin-1A</t>
  </si>
  <si>
    <t>Torsin-1B</t>
  </si>
  <si>
    <t>Disintegrin and metalloproteinase domain-containing protein 10</t>
  </si>
  <si>
    <t>Histone-lysine N-methyltransferase MLL2</t>
  </si>
  <si>
    <t>Isoform 2 of Integrin beta-1-binding protein 1</t>
  </si>
  <si>
    <t>Isoform 2 of Inositol monophosphatase 2</t>
  </si>
  <si>
    <t>Dual specificity mitogen-activated protein kinase kinase 7</t>
  </si>
  <si>
    <t>Programmed cell death protein 5</t>
  </si>
  <si>
    <t>Protein arginine N-methyltransferase 5</t>
  </si>
  <si>
    <t>Isoform 2 of 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</si>
  <si>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</si>
  <si>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</si>
  <si>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</si>
  <si>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</si>
  <si>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Transcription elongation regulator 1</t>
  </si>
  <si>
    <t>Kinetochore protein NDC80 homolog</t>
  </si>
  <si>
    <t>Kinesin-like protein KIF3C</t>
  </si>
  <si>
    <t>Isoform 2 of Transportin-2</t>
  </si>
  <si>
    <t>Protein unc-13 homolog B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</si>
  <si>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</si>
  <si>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</si>
  <si>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</si>
  <si>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</si>
  <si>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</si>
  <si>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Isoform 3 of Gem-associated protein 2</t>
  </si>
  <si>
    <t>Tax1-binding protein 3</t>
  </si>
  <si>
    <t>PDZ domain-containing protein GIPC1</t>
  </si>
  <si>
    <t>Inhibitor of nuclear factor kappa-B kinase subunit beta</t>
  </si>
  <si>
    <t>Isoform 2 of Regulator of G-protein signaling 12</t>
  </si>
  <si>
    <t>Histone acetyltransferase type B catalytic subunit</t>
  </si>
  <si>
    <t>Ubiquitin/ISG15-conjugating enzyme E2 L6</t>
  </si>
  <si>
    <t>Isoform 3 of Peripheral plasma membrane protein CASK</t>
  </si>
  <si>
    <t>Hepatocyte growth factor-regulated tyrosine kinase substrate</t>
  </si>
  <si>
    <t>Aurora kinase A</t>
  </si>
  <si>
    <t>Down syndrome critical region protein 3</t>
  </si>
  <si>
    <t>Protein phosphatase 1 regulatory subunit 12A</t>
  </si>
  <si>
    <t>Cyclin-G-associated kinase</t>
  </si>
  <si>
    <t>Heterogeneous nuclear ribonucleoprotein D-like</t>
  </si>
  <si>
    <t>Exportin-1</t>
  </si>
  <si>
    <t>TATA-binding protein-associated factor 172</t>
  </si>
  <si>
    <t>Zinc finger protein 609</t>
  </si>
  <si>
    <t>Isoform 2 of Spectrin beta chain, non-erythrocytic 2</t>
  </si>
  <si>
    <t>Isoform 2 of Microtubule-associated serine/threonine-protein kinase 4</t>
  </si>
  <si>
    <t>Plexin-B2</t>
  </si>
  <si>
    <t>Protein KHNYN</t>
  </si>
  <si>
    <t>Tectonin beta-propeller repeat-containing protein 2</t>
  </si>
  <si>
    <t>Histone-lysine N-methyltransferase SETD1A</t>
  </si>
  <si>
    <t>Lysine-specific demethylase 6B</t>
  </si>
  <si>
    <t>Synaptojanin-2</t>
  </si>
  <si>
    <t>Synemin</t>
  </si>
  <si>
    <t>Kinesin-like protein KIF3B</t>
  </si>
  <si>
    <t>Phosphoribosylformylglycinamidine synthase</t>
  </si>
  <si>
    <t>Serine/threonine-protein phosphatase 6 regulatory ankyrin repeat subunit A</t>
  </si>
  <si>
    <t>Isoform 2 of Rho guanine nucleotide exchange factor 11</t>
  </si>
  <si>
    <t>Inhibitor of nuclear factor kappa-B kinase subunit alpha</t>
  </si>
  <si>
    <t>U6 snRNA-associated Sm-like protein LSm1</t>
  </si>
  <si>
    <t>Niemann-Pick C1 protein</t>
  </si>
  <si>
    <t>Isoform I of T-box transcription factor TBX3</t>
  </si>
  <si>
    <t>Actin-related protein 2/3 complex subunit 1B</t>
  </si>
  <si>
    <t>Actin-related protein 2/3 complex subunit 2</t>
  </si>
  <si>
    <t>Actin-related protein 2/3 complex subunit 3</t>
  </si>
  <si>
    <t>Isoform 2 of DNA-directed RNA polymerases I and III subunit RPAC1</t>
  </si>
  <si>
    <t>Transcription intermediary factor 1-alpha</t>
  </si>
  <si>
    <t>Isoform 2 of Axin-1</t>
  </si>
  <si>
    <t>Membrane-associated progesterone receptor component 2</t>
  </si>
  <si>
    <t>Prefoldin subunit 6</t>
  </si>
  <si>
    <t>NF-kappa-B-repressing factor</t>
  </si>
  <si>
    <t>Laminin subunit alpha-5</t>
  </si>
  <si>
    <t>Zinc finger protein 185</t>
  </si>
  <si>
    <t>Isoform 2 of Zinc finger protein 185</t>
  </si>
  <si>
    <t>Isoform 3 of Zinc finger protein 185</t>
  </si>
  <si>
    <t>Protein CASC3</t>
  </si>
  <si>
    <t>Fanconi anemia group G protein</t>
  </si>
  <si>
    <t>UDP-N-acetylglucosamine--peptide N-acetylglucosaminyltransferase 110 kDa subunit</t>
  </si>
  <si>
    <t>Phosphomannomutase 2</t>
  </si>
  <si>
    <t>Type II inositol 3,4-bisphosphate 4-phosphatase</t>
  </si>
  <si>
    <t>Midline-1</t>
  </si>
  <si>
    <t>Protein phosphatase 1G</t>
  </si>
  <si>
    <t>Phosphatidylinositol 3,4,5-trisphosphate 5-phosphatase 2</t>
  </si>
  <si>
    <t>Transcription factor SOX-12</t>
  </si>
  <si>
    <t>Eukaryotic translation initiation factor 3 subunit H</t>
  </si>
  <si>
    <t>Histone deacetylase 3</t>
  </si>
  <si>
    <t>Nuclear valosin-containing protein-like</t>
  </si>
  <si>
    <t>Branched-chain-amino-acid aminotransferase, mitochondrial</t>
  </si>
  <si>
    <t>Importin-8</t>
  </si>
  <si>
    <t>Isoform 2 of Syntaxin-7</t>
  </si>
  <si>
    <t>Monocarboxylate transporter 4</t>
  </si>
  <si>
    <t>DNA-directed RNA polymerase I subunit RPA34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</si>
  <si>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</si>
  <si>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</si>
  <si>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</si>
  <si>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</si>
  <si>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Isoform 13 of CASP8 and FADD-like apoptosis regulator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</si>
  <si>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</si>
  <si>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</si>
  <si>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</si>
  <si>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</si>
  <si>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Arf-GAP with SH3 domain, ANK repeat and PH domain-containing protein 2</t>
  </si>
  <si>
    <t>TELO2-interacting protein 1 homolog</t>
  </si>
  <si>
    <t>Ribosomal RNA-processing protein 8</t>
  </si>
  <si>
    <t>Isoform 2 of E3 ubiquitin-protein ligase Praja-2</t>
  </si>
  <si>
    <t>Isoform 2 of U4/U6 small nuclear ribonucleoprotein Prp4</t>
  </si>
  <si>
    <t>D-3-phosphoglycerate dehydrogenase</t>
  </si>
  <si>
    <t>Cytoplasmic dynein 1 light intermediate chain 2</t>
  </si>
  <si>
    <t>26S proteasome non-ATPase regulatory subunit 3</t>
  </si>
  <si>
    <t>Isoform 6 of RNA binding protein fox-1 homolog 2</t>
  </si>
  <si>
    <t>Bifunctional 3-phosphoadenosine 5-phosphosulfate synthase 1</t>
  </si>
  <si>
    <t>Centromere/kinetochore protein zw10 homolog</t>
  </si>
  <si>
    <t>U4/U6.U5 tri-snRNP-associated protein 1</t>
  </si>
  <si>
    <t>Kunitz-type protease inhibitor 2</t>
  </si>
  <si>
    <t>Death-associated protein kinase 3</t>
  </si>
  <si>
    <t>Isoform 2 of Transforming growth factor beta-1-induced transcript 1 protein</t>
  </si>
  <si>
    <t>Heat shock 70 kDa protein 12A</t>
  </si>
  <si>
    <t>Isoform 2 of Centriolar coiled-coil protein of 110 kDa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</si>
  <si>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</si>
  <si>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</si>
  <si>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</si>
  <si>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Eukaryotic translation elongation factor 1 epsilon-1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</si>
  <si>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</si>
  <si>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</si>
  <si>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</si>
  <si>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</si>
  <si>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</si>
  <si>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Isoform 5 of Tumor protein D54</t>
  </si>
  <si>
    <t>Isoform 3 of ERI1 exoribonuclease 3</t>
  </si>
  <si>
    <t>Isoform Short of Acidic fibroblast growth factor intracellular-binding protein</t>
  </si>
  <si>
    <t>Peptidyl-prolyl cis-trans isomerase H</t>
  </si>
  <si>
    <t>Isoform 3 of Serine protease HTRA2, mitochondrial</t>
  </si>
  <si>
    <t>Protein Mis18-beta</t>
  </si>
  <si>
    <t>Band 4.1-like protein 2</t>
  </si>
  <si>
    <t>Isoform 4 of Trans-Golgi network integral membrane protein 2</t>
  </si>
  <si>
    <t>DNA repair protein RAD51 homolog 3</t>
  </si>
  <si>
    <t>Mediator of RNA polymerase II transcription subunit 7</t>
  </si>
  <si>
    <t>WAS/WASL-interacting protein family member 1</t>
  </si>
  <si>
    <t>DNA repair protein XRCC3</t>
  </si>
  <si>
    <t>DNA repair protein XRCC2</t>
  </si>
  <si>
    <t>A-kinase anchor protein 10, mitochondrial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</si>
  <si>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</si>
  <si>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</si>
  <si>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</si>
  <si>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</si>
  <si>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</si>
  <si>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</si>
  <si>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</si>
  <si>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</si>
  <si>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Pleiotropic regulator 1</t>
  </si>
  <si>
    <t>Protein regulator of cytokinesis 1</t>
  </si>
  <si>
    <t>Isoform 2 of Regulator of G-protein signaling 10</t>
  </si>
  <si>
    <t>Isoform 2 of Zinc finger protein 207</t>
  </si>
  <si>
    <t>NADH dehydrogenase [ubiquinone] 1 alpha subcomplex subunit 2</t>
  </si>
  <si>
    <t>ATPase ASNA1</t>
  </si>
  <si>
    <t>Isoform 2 of Mitotic checkpoint protein BUB3</t>
  </si>
  <si>
    <t>Alpha-actinin-4</t>
  </si>
  <si>
    <t>Uncharacterized methyltransferase WBSCR22</t>
  </si>
  <si>
    <t>TP53-regulated inhibitor of apoptosis 1</t>
  </si>
  <si>
    <t>Glutamyl-tRNA(Gln) amidotransferase subunit C, mitochondrial</t>
  </si>
  <si>
    <t>HIV Tat-specific factor 1</t>
  </si>
  <si>
    <t>Isoform 2 of Cytohesin-3</t>
  </si>
  <si>
    <t>AP-1 complex subunit gamma-1</t>
  </si>
  <si>
    <t>Syntaxin-6</t>
  </si>
  <si>
    <t>Small glutamine-rich tetratricopeptide repeat-containing protein alpha</t>
  </si>
  <si>
    <t>Isoform 2 of Lipoyl synthase, mitochondrial</t>
  </si>
  <si>
    <t>Isoform 2 of Alpha-endosulfine</t>
  </si>
  <si>
    <t>Asparagine--tRNA ligase, cytoplasmic</t>
  </si>
  <si>
    <t>Isoform 2 of Unconventional myosin-Ib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</si>
  <si>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</si>
  <si>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</si>
  <si>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</si>
  <si>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</si>
  <si>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</si>
  <si>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Isoform 4 of Hyaluronidase-3</t>
  </si>
  <si>
    <t>A-kinase anchor protein 8</t>
  </si>
  <si>
    <t>Isocitrate dehydrogenase [NAD] subunit beta, mitochondrial</t>
  </si>
  <si>
    <t>Isoform 2 of Nardilysin</t>
  </si>
  <si>
    <t>Calumenin</t>
  </si>
  <si>
    <t>Putative adenosylhomocysteinase 2</t>
  </si>
  <si>
    <t>Kinesin-like protein KIF1C</t>
  </si>
  <si>
    <t>Origin recognition complex subunit 5</t>
  </si>
  <si>
    <t>Retinal rod rhodopsin-sensitive cGMP 3,5-cyclic phosphodiesterase subunit delta</t>
  </si>
  <si>
    <t>Isoform 2 of Origin recognition complex subunit 4</t>
  </si>
  <si>
    <t>Double-strand-break repair protein rad21 homolog</t>
  </si>
  <si>
    <t>Aldo-keto reductase family 1 member B10</t>
  </si>
  <si>
    <t>Mitochondrial import inner membrane translocase subunit Tim8 A</t>
  </si>
  <si>
    <t>Putative pre-mRNA-splicing factor ATP-dependent RNA helicase DHX16</t>
  </si>
  <si>
    <t>SH3 domain-binding protein 5</t>
  </si>
  <si>
    <t>Phosphoribosyl pyrophosphate synthase-associated protein 2</t>
  </si>
  <si>
    <t>SWI/SNF-related matrix-associated actin-dependent regulator of chromatin subfamily A member 5</t>
  </si>
  <si>
    <t>G protein-regulated inducer of neurite outgrowth 2</t>
  </si>
  <si>
    <t>C-Jun-amino-terminal kinase-interacting protein 4</t>
  </si>
  <si>
    <t>Isoform 4 of C-Jun-amino-terminal kinase-interacting protein 4</t>
  </si>
  <si>
    <t>Isoform 6 of C-Jun-amino-terminal kinase-interacting protein 4</t>
  </si>
  <si>
    <t>Isoform 2 of Zinc finger protein 292</t>
  </si>
  <si>
    <t>Signal-induced proliferation-associated 1-like protein 3</t>
  </si>
  <si>
    <t>Leucine carboxyl methyltransferase 2</t>
  </si>
  <si>
    <t>Uncharacterized protein KIAA0556</t>
  </si>
  <si>
    <t>Intron-binding protein aquarius</t>
  </si>
  <si>
    <t>80 kDa MCM3-associated protein</t>
  </si>
  <si>
    <t>Isoform 4 of Phosphatidylinositol 4-phosphate 5-kinase type-1 gamma</t>
  </si>
  <si>
    <t>Isoform 2 of Kinesin-like protein KIF1B</t>
  </si>
  <si>
    <t>Lysine-specific histone demethylase 1A</t>
  </si>
  <si>
    <t>Isoform 2 of TBC1 domain family member 4</t>
  </si>
  <si>
    <t>Isoform D of Endothelin-converting enzyme 2</t>
  </si>
  <si>
    <t>TBC1 domain family member 12</t>
  </si>
  <si>
    <t>Isoform 2 of Frizzled-6</t>
  </si>
  <si>
    <t>Non-syndromic hearing impairment protein 5</t>
  </si>
  <si>
    <t>Ecotropic viral integration site 5 protein homolog</t>
  </si>
  <si>
    <t>Isoform B0 of Neuropilin-2</t>
  </si>
  <si>
    <t>Isoform Short of Long-chain-fatty-acid--CoA ligase 4</t>
  </si>
  <si>
    <t>Sorting nexin-3</t>
  </si>
  <si>
    <t>Bifunctional protein NCOAT</t>
  </si>
  <si>
    <t>Vinexin</t>
  </si>
  <si>
    <t>Isoform 2 of Heterogeneous nuclear ribonucleoprotein Q</t>
  </si>
  <si>
    <t>Ran-binding protein 6</t>
  </si>
  <si>
    <t>Isoform 4 of Nuclear export mediator factor NEMF</t>
  </si>
  <si>
    <t>Isoform 2 of 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</si>
  <si>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</si>
  <si>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</si>
  <si>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</si>
  <si>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</si>
  <si>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15 kDa selenoprotein</t>
  </si>
  <si>
    <t>Isoform 3 of Exocyst complex component 3</t>
  </si>
  <si>
    <t>Perilipin-3</t>
  </si>
  <si>
    <t>Cell cycle checkpoint protein RAD1</t>
  </si>
  <si>
    <t>Protein arginine N-methyltransferase 3</t>
  </si>
  <si>
    <t>UDP-glucose 6-dehydrogenase</t>
  </si>
  <si>
    <t>Isoform 1A of Catenin delta-1</t>
  </si>
  <si>
    <t>General vesicular transport factor p115</t>
  </si>
  <si>
    <t>Coiled-coil domain-containing protein 22</t>
  </si>
  <si>
    <t>Isoform 2 of Polyglutamine-binding protein 1</t>
  </si>
  <si>
    <t>H/ACA ribonucleoprotein complex subunit 4</t>
  </si>
  <si>
    <t>Eukaryotic translation initiation factor 5B</t>
  </si>
  <si>
    <t>Endothelial differentiation-related factor 1</t>
  </si>
  <si>
    <t>DnaJ homolog subfamily A member 2</t>
  </si>
  <si>
    <t>Bromodomain-containing protein 4</t>
  </si>
  <si>
    <t>Isoform C of Protein CutA</t>
  </si>
  <si>
    <t>Isoform 2 of F-box-like/WD repeat-containing protein TBL1X</t>
  </si>
  <si>
    <t>Checkpoint protein HUS1</t>
  </si>
  <si>
    <t>Prefoldin subunit 1</t>
  </si>
  <si>
    <t>Protein phosphatase 1 regulatory subunit 11</t>
  </si>
  <si>
    <t>Nibrin</t>
  </si>
  <si>
    <t>mRNA-capping enzyme</t>
  </si>
  <si>
    <t>Isoform 12 of Microphthalmia-associated transcription factor</t>
  </si>
  <si>
    <t>SLIT-ROBO Rho GTPase-activating protein 2</t>
  </si>
  <si>
    <t>DENN domain-containing protein 4B</t>
  </si>
  <si>
    <t>WD repeat-containing protein 1</t>
  </si>
  <si>
    <t>NEDD4-binding protein 1</t>
  </si>
  <si>
    <t>Rho-associated protein kinase 2</t>
  </si>
  <si>
    <t>Copine-3</t>
  </si>
  <si>
    <t>Isoform 3 of Autophagy-related protein 13</t>
  </si>
  <si>
    <t>Huntingtin-interacting protein 1-related protein</t>
  </si>
  <si>
    <t>E3 ubiquitin-protein ligase BRE1B</t>
  </si>
  <si>
    <t>Lysine-specific demethylase PHF2</t>
  </si>
  <si>
    <t>Zinc finger CCCH domain-containing protein 11A</t>
  </si>
  <si>
    <t>Rab11 family-interacting protein 3</t>
  </si>
  <si>
    <t>Isoform 2 of Cullin-associated NEDD8-dissociated protein 2</t>
  </si>
  <si>
    <t>Isoform 2 of TSC22 domain family protein 2</t>
  </si>
  <si>
    <t>Lysine-specific demethylase 4A</t>
  </si>
  <si>
    <t>DnaJ homolog subfamily C member 13</t>
  </si>
  <si>
    <t>Isoform 4 of Serine/threonine-protein phosphatase 6 regulatory subunit 2</t>
  </si>
  <si>
    <t>CCR4-NOT transcription complex subunit 3</t>
  </si>
  <si>
    <t>Calcium-responsive transactivator</t>
  </si>
  <si>
    <t>Isoform 2 of Ankyrin repeat domain-containing protein 17</t>
  </si>
  <si>
    <t>DnaJ homolog subfamily B member 6</t>
  </si>
  <si>
    <t>Xylulose kinase</t>
  </si>
  <si>
    <t>Ubiquinone biosynthesis protein COQ9, mitochondrial</t>
  </si>
  <si>
    <t>Gamma-glutamylcyclotransferase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</si>
  <si>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</si>
  <si>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</si>
  <si>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</si>
  <si>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</si>
  <si>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</si>
  <si>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</si>
  <si>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</si>
  <si>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Zinc finger protein 217</t>
  </si>
  <si>
    <t>Isoform 1 of Core histone macro-H2A.1</t>
  </si>
  <si>
    <t>SH3 domain-binding glutamic acid-rich-like protein</t>
  </si>
  <si>
    <t>Isoform 8 of Filamin-B</t>
  </si>
  <si>
    <t>Nuclear receptor corepressor 1</t>
  </si>
  <si>
    <t>NADH dehydrogenase [ubiquinone] iron-sulfur protein 6, mitochondrial</t>
  </si>
  <si>
    <t>Isoform Beta of Tripartite motif-containing protein 3</t>
  </si>
  <si>
    <t>Serine/threonine-protein kinase ULK1</t>
  </si>
  <si>
    <t>Vesicle-trafficking protein SEC22b</t>
  </si>
  <si>
    <t>Isoform 2 of Pre-mRNA-processing factor 40 homolog A</t>
  </si>
  <si>
    <t>Isoform 7 of Transforming acidic coiled-coil-containing protein 1</t>
  </si>
  <si>
    <t>Isoform 2 of Cell division control protein 45 homolog</t>
  </si>
  <si>
    <t>PERQ amino acid-rich with GYF domain-containing protein 1</t>
  </si>
  <si>
    <t>Vacuolar protein sorting-associated protein 26A</t>
  </si>
  <si>
    <t>Mitochondrial-processing peptidase subunit beta</t>
  </si>
  <si>
    <t>Katanin p60 ATPase-containing subunit A1</t>
  </si>
  <si>
    <t>PC4 and SFRS1-interacting protein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</si>
  <si>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</si>
  <si>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</si>
  <si>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</si>
  <si>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</si>
  <si>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Isoform 3 of 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</si>
  <si>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</si>
  <si>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</si>
  <si>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</si>
  <si>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</si>
  <si>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Peptide chain release factor 1, mitochondrial</t>
  </si>
  <si>
    <t>Ribosomal protein S6 kinase alpha-5</t>
  </si>
  <si>
    <t>Nucleoplasmin-3</t>
  </si>
  <si>
    <t>Isoform 2 of Acyl-protein thioesterase 1</t>
  </si>
  <si>
    <t>Protein CREG1</t>
  </si>
  <si>
    <t>U5 small nuclear ribonucleoprotein 200 kDa helicase</t>
  </si>
  <si>
    <t>Mitochondrial tRNA-specific 2-thiouridylase 1</t>
  </si>
  <si>
    <t>TIP41-like protein</t>
  </si>
  <si>
    <t>Protein phosphatase 1B</t>
  </si>
  <si>
    <t>Protein XRP2</t>
  </si>
  <si>
    <t>WD repeat and HMG-box DNA-binding protein 1</t>
  </si>
  <si>
    <t>Isoform 5 of DNA repair protein RAD51 homolog 4</t>
  </si>
  <si>
    <t>Paralemmin-1</t>
  </si>
  <si>
    <t>Ribonuclease H2 subunit A</t>
  </si>
  <si>
    <t>Cell division cycle protein 123 homolog</t>
  </si>
  <si>
    <t>Calpain-15</t>
  </si>
  <si>
    <t>Breast cancer anti-estrogen resistance protein 3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</si>
  <si>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</si>
  <si>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</si>
  <si>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</si>
  <si>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</si>
  <si>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AP-1 complex subunit gamma-like 2</t>
  </si>
  <si>
    <t>Trafficking protein particle complex subunit 6A</t>
  </si>
  <si>
    <t>Isocitrate dehydrogenase [NADP] cytoplasmic</t>
  </si>
  <si>
    <t>Putative hydrolase RBBP9</t>
  </si>
  <si>
    <t>Signal transducing adapter molecule 2</t>
  </si>
  <si>
    <t>Tumor suppressor candidate 2</t>
  </si>
  <si>
    <t>Cyclin-K</t>
  </si>
  <si>
    <t>PRA1 family protein 3</t>
  </si>
  <si>
    <t>Isoform 3 of E3 SUMO-protein ligase PIAS2</t>
  </si>
  <si>
    <t>Pre-mRNA-splicing factor SPF27</t>
  </si>
  <si>
    <t>Dynactin subunit 3</t>
  </si>
  <si>
    <t>DnaJ homolog subfamily C member 8</t>
  </si>
  <si>
    <t>Survival of motor neuron-related-splicing factor 30</t>
  </si>
  <si>
    <t>Isoform 4 of Cell cycle checkpoint protein RAD17</t>
  </si>
  <si>
    <t>Triple functional domain protein</t>
  </si>
  <si>
    <t>Isoform 3 of Multiple PDZ domain protein</t>
  </si>
  <si>
    <t>Carboxypeptidase D</t>
  </si>
  <si>
    <t>Glutaredoxin-3</t>
  </si>
  <si>
    <t>Ribosomal L1 domain-containing protein 1</t>
  </si>
  <si>
    <t>Wolframin</t>
  </si>
  <si>
    <t>ATP-dependent Clp protease ATP-binding subunit clpX-like, mitochondrial</t>
  </si>
  <si>
    <t>Isoform 2 of Nebulette</t>
  </si>
  <si>
    <t>SEC14-like protein 2</t>
  </si>
  <si>
    <t>Gamma-synuclein</t>
  </si>
  <si>
    <t>Probable cytosolic iron-sulfur protein assembly protein CIAO1</t>
  </si>
  <si>
    <t>AN1-type zinc finger protein 5</t>
  </si>
  <si>
    <t>Signal recognition particle subunit SRP72</t>
  </si>
  <si>
    <t>Decapping and exoribonuclease protein</t>
  </si>
  <si>
    <t>N(G),N(G)-dimethylarginine dimethylaminohydrolase 1</t>
  </si>
  <si>
    <t>Unconventional prefoldin RPB5 interactor 1</t>
  </si>
  <si>
    <t>Metastasis-associated protein MTA2</t>
  </si>
  <si>
    <t>Serine/threonine-protein kinase 10</t>
  </si>
  <si>
    <t>Serine/threonine-protein kinase D3</t>
  </si>
  <si>
    <t>Glutamine--fructose-6-phosphate aminotransferase [isomerizing] 2</t>
  </si>
  <si>
    <t>Tubulin polymerization-promoting protein</t>
  </si>
  <si>
    <t>Ubiquitin-like protein ATG12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</si>
  <si>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</si>
  <si>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</si>
  <si>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</si>
  <si>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</si>
  <si>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</si>
  <si>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Isoform 5 of Protein-methionine sulfoxide oxidase MICAL2</t>
  </si>
  <si>
    <t>Isoform 2 of Uncharacterized protein KIAA0754</t>
  </si>
  <si>
    <t>Protein transport protein Sec24D</t>
  </si>
  <si>
    <t>Isoform 2 of STAGA complex 65 subunit gamma</t>
  </si>
  <si>
    <t>FCH and double SH3 domains protein 2</t>
  </si>
  <si>
    <t>E3 UFM1-protein ligase 1</t>
  </si>
  <si>
    <t>PHD finger protein 14</t>
  </si>
  <si>
    <t>SAM and SH3 domain-containing protein 1</t>
  </si>
  <si>
    <t>FERM, RhoGEF and pleckstrin domain-containing protein 2</t>
  </si>
  <si>
    <t>UBX domain-containing protein 7</t>
  </si>
  <si>
    <t>Proline synthase co-transcribed bacterial homolog protein</t>
  </si>
  <si>
    <t>Isoform 2 of Pre-mRNA-processing factor 6</t>
  </si>
  <si>
    <t>Dickkopf-related protein 1</t>
  </si>
  <si>
    <t>Pre-mRNA cleavage complex 2 protein Pcf11</t>
  </si>
  <si>
    <t>Nuclear factor of activated T-cells 5</t>
  </si>
  <si>
    <t>Glutaminase kidney isoform, mitochondrial</t>
  </si>
  <si>
    <t>Isoform 3 of Glutaminase kidney isoform, mitochondrial</t>
  </si>
  <si>
    <t>HAUS augmin-like complex subunit 5</t>
  </si>
  <si>
    <t>Isoform 2 of F-box only protein 21</t>
  </si>
  <si>
    <t>Isoform 2 of Protein SOGA1</t>
  </si>
  <si>
    <t>Isoform 7 of Ubiquitin carboxyl-terminal hydrolase 19</t>
  </si>
  <si>
    <t>Isoform 2 of WD repeat-containing protein 47</t>
  </si>
  <si>
    <t>Isoform 2 of E3 ubiquitin-protein ligase TRIM37</t>
  </si>
  <si>
    <t>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</si>
  <si>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</si>
  <si>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</si>
  <si>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</si>
  <si>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</si>
  <si>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Splicing factor, arginine/serine-rich 15</t>
  </si>
  <si>
    <t>Snurportin-1</t>
  </si>
  <si>
    <t>Isoform 2 of Ubiquitin conjugation factor E4 B</t>
  </si>
  <si>
    <t>Elongator complex protein 1</t>
  </si>
  <si>
    <t>Isoform 2 of Sciellin</t>
  </si>
  <si>
    <t>Isoform 7 of Reticulon-3</t>
  </si>
  <si>
    <t>LETM1 and EF-hand domain-containing protein 1, mitochondrial</t>
  </si>
  <si>
    <t>Isoform 2 of Zinc finger Ran-binding domain-containing protein 2</t>
  </si>
  <si>
    <t>Sorting nexin-4</t>
  </si>
  <si>
    <t>Homeobox protein VENTX</t>
  </si>
  <si>
    <t>Luc7-like protein 3</t>
  </si>
  <si>
    <t>Kinesin-like protein KIF20A</t>
  </si>
  <si>
    <t>Chromosome-associated kinesin KIF4A</t>
  </si>
  <si>
    <t>Isoform 3 of Methyl-CpG-binding domain protein 4</t>
  </si>
  <si>
    <t>Myotubularin-related protein 5</t>
  </si>
  <si>
    <t>Golgi SNAP receptor complex member 1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</si>
  <si>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</si>
  <si>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</si>
  <si>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</si>
  <si>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</si>
  <si>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4 of Myelin protein zero-like protein 1</t>
  </si>
  <si>
    <t>Peptidyl-prolyl cis-trans isomerase FKBP9</t>
  </si>
  <si>
    <t>6-phosphogluconolactonase</t>
  </si>
  <si>
    <t>Bifunctional 3-phosphoadenosine 5-phosphosulfate synthase 2</t>
  </si>
  <si>
    <t>Structural maintenance of chromosomes protein 2</t>
  </si>
  <si>
    <t>Ubiquitin-like modifier-activating enzyme ATG7</t>
  </si>
  <si>
    <t>Tripartite motif-containing protein 16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</si>
  <si>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</si>
  <si>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</si>
  <si>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</si>
  <si>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</si>
  <si>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</si>
  <si>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Isoform 3 of Tumor necrosis factor alpha-induced protein 8</t>
  </si>
  <si>
    <t>Pre-mRNA-splicing factor SLU7</t>
  </si>
  <si>
    <t>Phosphoacetylglucosamine mutase</t>
  </si>
  <si>
    <t>Adenylyltransferase and sulfurtransferase MOCS3</t>
  </si>
  <si>
    <t>Urotensin-2</t>
  </si>
  <si>
    <t>CD2 antigen cytoplasmic tail-binding protein 2</t>
  </si>
  <si>
    <t>Mediator of RNA polymerase II transcription subunit 26</t>
  </si>
  <si>
    <t>Zinc finger FYVE domain-containing protein 9</t>
  </si>
  <si>
    <t>Supervillin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</si>
  <si>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</si>
  <si>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</si>
  <si>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</si>
  <si>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</si>
  <si>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Formin-like protein 1</t>
  </si>
  <si>
    <t>GDH/6PGL endoplasmic bifunctional protein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</si>
  <si>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</si>
  <si>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</si>
  <si>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</si>
  <si>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</si>
  <si>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</si>
  <si>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</si>
  <si>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DNA-directed RNA polymerase I subunit RPA1</t>
  </si>
  <si>
    <t>Pericentrin</t>
  </si>
  <si>
    <t>YEATS domain-containing protein 4</t>
  </si>
  <si>
    <t>Isoform 3 of CCR4-NOT transcription complex subunit 4</t>
  </si>
  <si>
    <t>STAM-binding protein</t>
  </si>
  <si>
    <t>Isoform 2 of N-acetylserotonin O-methyltransferase-like protein</t>
  </si>
  <si>
    <t>FGFR1 oncogene partner</t>
  </si>
  <si>
    <t>Protein phosphatase 1 regulatory subunit 3D</t>
  </si>
  <si>
    <t>Ribonuclease P protein subunit p29</t>
  </si>
  <si>
    <t>E3 ubiquitin-protein ligase HERC2</t>
  </si>
  <si>
    <t>Ras-related protein Rab-3D</t>
  </si>
  <si>
    <t>Synaptosomal-associated protein 29</t>
  </si>
  <si>
    <t>Serine/threonine-protein kinase OSR1</t>
  </si>
  <si>
    <t>Geranylgeranyl pyrophosphate synthase</t>
  </si>
  <si>
    <t>Heat shock 70 kDa protein 4L</t>
  </si>
  <si>
    <t>Isoform 1 of Polypyrimidine tract-binding protein 3</t>
  </si>
  <si>
    <t>TBC1 domain family member 8</t>
  </si>
  <si>
    <t>N-alpha-acetyltransferase 38, NatC auxiliary subunit</t>
  </si>
  <si>
    <t>Isoform B of AP-2 complex subunit alpha-1</t>
  </si>
  <si>
    <t>Isoform 2 of Probable ATP-dependent RNA helicase DDX58</t>
  </si>
  <si>
    <t>Tetratricopeptide repeat protein 4</t>
  </si>
  <si>
    <t>Serum deprivation-response protein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</si>
  <si>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</si>
  <si>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</si>
  <si>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</si>
  <si>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</si>
  <si>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</si>
  <si>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Chloride intracellular channel protein 3</t>
  </si>
  <si>
    <t>Isoform 2 of Echinoderm microtubule-associated protein-like 2</t>
  </si>
  <si>
    <t>Serine/threonine-protein kinase LATS1</t>
  </si>
  <si>
    <t>Uridine diphosphate glucose pyrophosphatase</t>
  </si>
  <si>
    <t>N(G),N(G)-dimethylarginine dimethylaminohydrolase 2</t>
  </si>
  <si>
    <t>Thioredoxin domain-containing protein 12</t>
  </si>
  <si>
    <t>Protein SGT1</t>
  </si>
  <si>
    <t>Pre-mRNA-splicing factor SYF2</t>
  </si>
  <si>
    <t>Diphosphoinositol polyphosphate phosphohydrolase 1</t>
  </si>
  <si>
    <t>Anterior gradient protein 2 homolog</t>
  </si>
  <si>
    <t>Securin</t>
  </si>
  <si>
    <t>B-cell lymphoma/leukemia 10</t>
  </si>
  <si>
    <t>Zinc finger BED domain-containing protein 1</t>
  </si>
  <si>
    <t>Molybdopterin synthase catalytic subunit</t>
  </si>
  <si>
    <t>Serine/threonine-protein kinase PAK 4</t>
  </si>
  <si>
    <t>Serine/threonine-protein kinase Chk2</t>
  </si>
  <si>
    <t>Actin-like protein 6A</t>
  </si>
  <si>
    <t>Histone-lysine N-methyltransferase NSD2</t>
  </si>
  <si>
    <t>Molybdopterin synthase sulfur carrier subunit</t>
  </si>
  <si>
    <t>Alcohol dehydrogenase 1B</t>
  </si>
  <si>
    <t>L-lactate dehydrogenase A chain</t>
  </si>
  <si>
    <t>Retinal dehydrogenase 1</t>
  </si>
  <si>
    <t>Dihydrofolate reductase</t>
  </si>
  <si>
    <t>Isoform 2 of NADH-cytochrome b5 reductase 3</t>
  </si>
  <si>
    <t>Isoform Cytoplasmic of Glutathione reductase, mitochondrial</t>
  </si>
  <si>
    <t>Ceruloplasmin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</si>
  <si>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</si>
  <si>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</si>
  <si>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</si>
  <si>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</si>
  <si>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Epidermal growth factor receptor</t>
  </si>
  <si>
    <t>Phosphoglycerate kinase 1</t>
  </si>
  <si>
    <t>Adenylate kinase isoenzyme 1</t>
  </si>
  <si>
    <t>Adenosine deaminase</t>
  </si>
  <si>
    <t>Argininosuccinate synthase</t>
  </si>
  <si>
    <t>Alpha-1-antitrypsin</t>
  </si>
  <si>
    <t>Alpha-2-macroglobulin</t>
  </si>
  <si>
    <t>Complement C3</t>
  </si>
  <si>
    <t>Cystatin-C</t>
  </si>
  <si>
    <t>Isoform 3 of Kininogen-1</t>
  </si>
  <si>
    <t>GTPase NRas</t>
  </si>
  <si>
    <t>Isoform 2B of GTPase KRas</t>
  </si>
  <si>
    <t>Isoform 3 of Low-density lipoprotein receptor</t>
  </si>
  <si>
    <t>Transforming growth factor beta-1</t>
  </si>
  <si>
    <t>Collagen alpha-1(I) chain</t>
  </si>
  <si>
    <t>Keratin, type I cytoskeletal 14</t>
  </si>
  <si>
    <t>Prelamin-A/C</t>
  </si>
  <si>
    <t>Isoform C of Prelamin-A/C</t>
  </si>
  <si>
    <t>Apolipoprotein A-I</t>
  </si>
  <si>
    <t>Apolipoprotein C-III</t>
  </si>
  <si>
    <t>Isoform 2 of Fibrinogen alpha chain</t>
  </si>
  <si>
    <t>Isoform 2 of Myelin basic protein</t>
  </si>
  <si>
    <t>Isoform 12 of Fibronectin</t>
  </si>
  <si>
    <t>Alpha-2-HS-glycoprotein</t>
  </si>
  <si>
    <t>Alpha-fetoprotein</t>
  </si>
  <si>
    <t>Vitamin D-binding protein</t>
  </si>
  <si>
    <t>Transferrin receptor protein 1</t>
  </si>
  <si>
    <t>Ferritin light chain</t>
  </si>
  <si>
    <t>Ferritin heavy chain</t>
  </si>
  <si>
    <t>Metallothionein-2</t>
  </si>
  <si>
    <t>Tissue alpha-L-fucosidase</t>
  </si>
  <si>
    <t>Fructose-bisphosphate aldolase A</t>
  </si>
  <si>
    <t>Cystatin-B</t>
  </si>
  <si>
    <t>Annexin A1</t>
  </si>
  <si>
    <t>Apolipoprotein B-100</t>
  </si>
  <si>
    <t>Isoform Beta of Glucocorticoid receptor</t>
  </si>
  <si>
    <t>Isoform 2 of Major prion protein</t>
  </si>
  <si>
    <t>Ornithine aminotransferase, mitochondrial</t>
  </si>
  <si>
    <t>Thymidine kinase, cytosolic</t>
  </si>
  <si>
    <t>Keratin, type II cytoskeletal 6B</t>
  </si>
  <si>
    <t>Keratin, type II cytoskeletal 1</t>
  </si>
  <si>
    <t>Tubulin beta-4A chain</t>
  </si>
  <si>
    <t>Glyceraldehyde-3-phosphate dehydrogenase</t>
  </si>
  <si>
    <t>Argininosuccinate lyase</t>
  </si>
  <si>
    <t>Isoform 4 of Receptor tyrosine-protein kinase erbB-2</t>
  </si>
  <si>
    <t>Calpain small subunit 1</t>
  </si>
  <si>
    <t>Metallothionein-1A</t>
  </si>
  <si>
    <t>Metallothionein-1F</t>
  </si>
  <si>
    <t>Heat shock protein beta-1</t>
  </si>
  <si>
    <t>Thymidylate synthase</t>
  </si>
  <si>
    <t>Guanine nucleotide-binding protein G(i) subunit alpha-2</t>
  </si>
  <si>
    <t>Isoform B1 of Anion exchange protein 2</t>
  </si>
  <si>
    <t>Aldehyde dehydrogenase, mitochondrial</t>
  </si>
  <si>
    <t>Non-histone chromosomal protein HMG-14</t>
  </si>
  <si>
    <t>Ubiquitin-like protein ISG15</t>
  </si>
  <si>
    <t>Galectin-2</t>
  </si>
  <si>
    <t>Non-histone chromosomal protein HMG-17</t>
  </si>
  <si>
    <t>60S acidic ribosomal protein P1</t>
  </si>
  <si>
    <t>60S acidic ribosomal protein P2</t>
  </si>
  <si>
    <t>60S acidic ribosomal protein P0</t>
  </si>
  <si>
    <t>Transcription factor AP-1</t>
  </si>
  <si>
    <t>DNA-directed RNA polymerase III subunit RPC4</t>
  </si>
  <si>
    <t>Lupus La protein</t>
  </si>
  <si>
    <t>Integrin beta-1</t>
  </si>
  <si>
    <t>Keratin, type I cytoskeletal 18</t>
  </si>
  <si>
    <t>Keratin, type II cytoskeletal 8</t>
  </si>
  <si>
    <t>Beta-casein</t>
  </si>
  <si>
    <t>Isoform MLC3 of Myosin light chain 1/3, skeletal muscle isoform</t>
  </si>
  <si>
    <t>Collagen alpha-2(V) chain</t>
  </si>
  <si>
    <t>Uroporphyrinogen decarboxylase</t>
  </si>
  <si>
    <t>Alpha-galactosidase A</t>
  </si>
  <si>
    <t>Retinoblastoma-associated protein</t>
  </si>
  <si>
    <t>Cyclin-dependent kinase 1</t>
  </si>
  <si>
    <t>ATP synthase subunit beta, mitochondrial</t>
  </si>
  <si>
    <t>Eukaryotic translation initiation factor 4E</t>
  </si>
  <si>
    <t>Alpha-enolase</t>
  </si>
  <si>
    <t>Isoform 2 of Glycogen phosphorylase, liver form</t>
  </si>
  <si>
    <t>Glucose-6-phosphate isomerase</t>
  </si>
  <si>
    <t>Nucleophosmin</t>
  </si>
  <si>
    <t>Isoform 2 of Tropomyosin alpha-3 chain</t>
  </si>
  <si>
    <t>Isoform 3 of Tropomyosin alpha-3 chain</t>
  </si>
  <si>
    <t>Isoform 3 of Integrin alpha-V</t>
  </si>
  <si>
    <t>Beta-hexosaminidase subunit alpha</t>
  </si>
  <si>
    <t>Isoform 2 of Glia-derived nexin</t>
  </si>
  <si>
    <t>Epoxide hydrolase 1</t>
  </si>
  <si>
    <t>Acyl-CoA-binding protein</t>
  </si>
  <si>
    <t>Fatty acid-binding protein, liver</t>
  </si>
  <si>
    <t>L-lactate dehydrogenase B chain</t>
  </si>
  <si>
    <t>Major centromere autoantigen B</t>
  </si>
  <si>
    <t>Glutathione peroxidase 1</t>
  </si>
  <si>
    <t>Thrombomodulin</t>
  </si>
  <si>
    <t>Protein disulfide-isomerase</t>
  </si>
  <si>
    <t>Isoform 2 of Histone H1.0</t>
  </si>
  <si>
    <t>Acylphosphatase-1</t>
  </si>
  <si>
    <t>Annexin A2</t>
  </si>
  <si>
    <t>Calpain-1 catalytic subunit</t>
  </si>
  <si>
    <t>Proactivator polypeptide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</si>
  <si>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</si>
  <si>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</si>
  <si>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</si>
  <si>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</si>
  <si>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</si>
  <si>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</si>
  <si>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</si>
  <si>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</si>
  <si>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</si>
  <si>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</si>
  <si>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Laminin subunit beta-1</t>
  </si>
  <si>
    <t>Tropomyosin beta chain</t>
  </si>
  <si>
    <t>Isoform 2 of Tropomyosin beta chain</t>
  </si>
  <si>
    <t>Isoform Cytoplasmic of Fumarate hydratase, mitochondrial</t>
  </si>
  <si>
    <t>DNA excision repair protein ERCC-1</t>
  </si>
  <si>
    <t>Thrombospondin-1</t>
  </si>
  <si>
    <t>Transcription factor Sp1</t>
  </si>
  <si>
    <t>Heat shock 70 kDa protein 1A/1B</t>
  </si>
  <si>
    <t>Annexin A6</t>
  </si>
  <si>
    <t>Isoform 2 of 4F2 cell-surface antigen heavy chain</t>
  </si>
  <si>
    <t>6-phosphofructokinase, muscle type</t>
  </si>
  <si>
    <t>Heat shock protein HSP 90-beta</t>
  </si>
  <si>
    <t>Isoform 2 of 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</si>
  <si>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</si>
  <si>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</si>
  <si>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</si>
  <si>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Collagen alpha-2(IV) chain</t>
  </si>
  <si>
    <t>U2 small nuclear ribonucleoprotein B</t>
  </si>
  <si>
    <t>Hepatocyte growth factor receptor</t>
  </si>
  <si>
    <t>Melanotransferrin</t>
  </si>
  <si>
    <t>U1 small nuclear ribonucleoprotein 70 kDa</t>
  </si>
  <si>
    <t>Isoform 1 of Nuclear factor 1 C-type</t>
  </si>
  <si>
    <t>Vimentin</t>
  </si>
  <si>
    <t>Keratin, type I cytoskeletal 19</t>
  </si>
  <si>
    <t>Keratin, type II cytoskeletal 7</t>
  </si>
  <si>
    <t>Guanine nucleotide-binding protein G(k) subunit alpha</t>
  </si>
  <si>
    <t>Keratin, type I cytoskeletal 16</t>
  </si>
  <si>
    <t>U1 small nuclear ribonucleoprotein A</t>
  </si>
  <si>
    <t>Isoform 3 of Fibroblast growth factor 2</t>
  </si>
  <si>
    <t>3-ketoacyl-CoA thiolase, peroxisomal</t>
  </si>
  <si>
    <t>Signal recognition particle 19 kDa protein</t>
  </si>
  <si>
    <t>U1 small nuclear ribonucleoprotein C</t>
  </si>
  <si>
    <t>Villin-1</t>
  </si>
  <si>
    <t>Galectin-1</t>
  </si>
  <si>
    <t>Dihydropteridine reductase</t>
  </si>
  <si>
    <t>High mobility group protein B1</t>
  </si>
  <si>
    <t>Isoform 10 of Tropomyosin alpha-1 chain</t>
  </si>
  <si>
    <t>Isoform 3 of Tropomyosin alpha-1 chain</t>
  </si>
  <si>
    <t>Isoform 8 of Tropomyosin alpha-1 chain</t>
  </si>
  <si>
    <t>Isoform 9 of Tropomyosin alpha-1 chain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</si>
  <si>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</si>
  <si>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</si>
  <si>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</si>
  <si>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</si>
  <si>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</si>
  <si>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Dihydrolipoyl dehydrogenase, mitochondrial</t>
  </si>
  <si>
    <t>U2 small nuclear ribonucleoprotein A</t>
  </si>
  <si>
    <t>Pro-cathepsin H</t>
  </si>
  <si>
    <t>Poly [ADP-ribose] polymerase 1</t>
  </si>
  <si>
    <t>DNA polymerase alpha catalytic subunit</t>
  </si>
  <si>
    <t>Ubiquitin carboxyl-terminal hydrolase isozyme L1</t>
  </si>
  <si>
    <t>Leukotriene A-4 hydrolase</t>
  </si>
  <si>
    <t>Fructose-bisphosphate aldolase C</t>
  </si>
  <si>
    <t>Ataxin-1-like</t>
  </si>
  <si>
    <t>DNA-directed RNA polymerase II subunit GRINL1A</t>
  </si>
  <si>
    <t>Chromosome transmission fidelity protein 8 homolog isoform 2</t>
  </si>
  <si>
    <t>Putative zinc finger protein 286B</t>
  </si>
  <si>
    <t>Thymosin beta-15B</t>
  </si>
  <si>
    <t>40S ribosomal protein S17-like</t>
  </si>
  <si>
    <t>Trafficking protein particle complex subunit 2 protein TRAPPC2P1</t>
  </si>
  <si>
    <t>Ras-related protein Rab-34, isoform NARR</t>
  </si>
  <si>
    <t>Zinc finger protein GLI2</t>
  </si>
  <si>
    <t>Zinc finger protein GLI4</t>
  </si>
  <si>
    <t>Adrenodoxin, mitochondrial</t>
  </si>
  <si>
    <t>60 kDa SS-A/Ro ribonucleoprotein</t>
  </si>
  <si>
    <t>Lysosomal alpha-glucosidase</t>
  </si>
  <si>
    <t>Ras-related protein R-Ras</t>
  </si>
  <si>
    <t>Serine/threonine-protein kinase A-Raf</t>
  </si>
  <si>
    <t>Histone H1.4</t>
  </si>
  <si>
    <t>Isoform 5 of Osteopontin</t>
  </si>
  <si>
    <t>Dihydrolipoyllysine-residue acetyltransferase component of pyruvate dehydrogenase complex, mitochondrial</t>
  </si>
  <si>
    <t>Isoform 2 of Receptor-type tyrosine-protein phosphatase F</t>
  </si>
  <si>
    <t>Cytochrome c oxidase subunit 5B, mitochondrial</t>
  </si>
  <si>
    <t>Lysosomal protective protein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</si>
  <si>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</si>
  <si>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</si>
  <si>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</si>
  <si>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</si>
  <si>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</si>
  <si>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78 kDa glucose-regulated protein</t>
  </si>
  <si>
    <t>Laminin subunit gamma-1</t>
  </si>
  <si>
    <t>Lysosomal acid phosphatase</t>
  </si>
  <si>
    <t>Isoform 3 of Microtubule-associated protein 2</t>
  </si>
  <si>
    <t>Heat shock cognate 71 kDa protein</t>
  </si>
  <si>
    <t>Isoform 3 of Protein 4.1</t>
  </si>
  <si>
    <t>Uridine 5-monophosphate synthase</t>
  </si>
  <si>
    <t>Isoform 3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</si>
  <si>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</si>
  <si>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</si>
  <si>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</si>
  <si>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Breakpoint cluster region protein</t>
  </si>
  <si>
    <t>Isoform 3 of Spectrin beta chain, erythrocytic</t>
  </si>
  <si>
    <t>Lysosome-associated membrane glycoprotein 1</t>
  </si>
  <si>
    <t>Medium-chain specific acyl-CoA dehydrogenase, mitochondrial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</si>
  <si>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</si>
  <si>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</si>
  <si>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</si>
  <si>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</si>
  <si>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</si>
  <si>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</si>
  <si>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</si>
  <si>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</si>
  <si>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</si>
  <si>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Ribose-phosphate pyrophosphokinase 2</t>
  </si>
  <si>
    <t>Ornithine decarboxylase</t>
  </si>
  <si>
    <t>Polyadenylate-binding protein 1</t>
  </si>
  <si>
    <t>Proliferating cell nuclear antigen</t>
  </si>
  <si>
    <t>Collagen alpha-1(VI) chain</t>
  </si>
  <si>
    <t>Nucleoprotein TPR</t>
  </si>
  <si>
    <t>Creatine kinase B-type</t>
  </si>
  <si>
    <t>Annexin A3</t>
  </si>
  <si>
    <t>Creatine kinase U-type, mitochondrial</t>
  </si>
  <si>
    <t>2-oxoisovalerate dehydrogenase subunit alpha, mitochondrial</t>
  </si>
  <si>
    <t>Alpha-actinin-1</t>
  </si>
  <si>
    <t>Cadherin-1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</si>
  <si>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</si>
  <si>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</si>
  <si>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</si>
  <si>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</si>
  <si>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</si>
  <si>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Ribonuclease inhibitor</t>
  </si>
  <si>
    <t>Elongation factor 2</t>
  </si>
  <si>
    <t>Keratin, type II cytoskeletal 5</t>
  </si>
  <si>
    <t>Protein disulfide-isomerase A4</t>
  </si>
  <si>
    <t>Isoform 2 of Prolyl 4-hydroxylase subunit alpha-1</t>
  </si>
  <si>
    <t>Translationally-controlled tumor protein</t>
  </si>
  <si>
    <t>Plastin-3</t>
  </si>
  <si>
    <t>Acylamino-acid-releasing enzyme</t>
  </si>
  <si>
    <t>Electron transfer flavoprotein subunit alpha, mitochondrial</t>
  </si>
  <si>
    <t>Isoform 2 of Glycogen [starch] synthase, muscle</t>
  </si>
  <si>
    <t>cAMP-dependent protein kinase type II-alpha regulatory subunit</t>
  </si>
  <si>
    <t>Annexin A8</t>
  </si>
  <si>
    <t>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</si>
  <si>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</si>
  <si>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</si>
  <si>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</si>
  <si>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</si>
  <si>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Glucosidase 2 subunit beta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</si>
  <si>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</si>
  <si>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</si>
  <si>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</si>
  <si>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</si>
  <si>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</si>
  <si>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</si>
  <si>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</si>
  <si>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</si>
  <si>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</si>
  <si>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</si>
  <si>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</si>
  <si>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</si>
  <si>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</si>
  <si>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Cytochrome b-c1 complex subunit 7</t>
  </si>
  <si>
    <t>Serine/threonine-protein kinase B-raf</t>
  </si>
  <si>
    <t>Aldose reductase</t>
  </si>
  <si>
    <t>Isoform Gamma of Poliovirus receptor</t>
  </si>
  <si>
    <t>Isoform 2 of Eukaryotic peptide chain release factor GTP-binding subunit ERF3A</t>
  </si>
  <si>
    <t>Interleukin-9</t>
  </si>
  <si>
    <t>Arylsulfatase A</t>
  </si>
  <si>
    <t>Ezrin</t>
  </si>
  <si>
    <t>Ubiquitin carboxyl-terminal hydrolase isozyme L3</t>
  </si>
  <si>
    <t>15-hydroxyprostaglandin dehydrogenase [NAD(+)]</t>
  </si>
  <si>
    <t>Isoform K of Membrane cofactor protein</t>
  </si>
  <si>
    <t>Nucleoside diphosphate kinase A</t>
  </si>
  <si>
    <t>Isoform 2 of Phosphorylase b kinase gamma catalytic chain, liver/testis isoform</t>
  </si>
  <si>
    <t>Arylsulfatase B</t>
  </si>
  <si>
    <t>40S ribosomal protein S2</t>
  </si>
  <si>
    <t>N-chimaerin</t>
  </si>
  <si>
    <t>Desmoplakin</t>
  </si>
  <si>
    <t>Replication protein A 32 kDa subunit</t>
  </si>
  <si>
    <t>Metalloproteinase inhibitor 2</t>
  </si>
  <si>
    <t>Isoform 18 of CD44 antigen</t>
  </si>
  <si>
    <t>Isoform Beta-4D of Integrin beta-4</t>
  </si>
  <si>
    <t>Carbonyl reductase [NADPH] 1</t>
  </si>
  <si>
    <t>Isoform Er10 of Ankyrin-1</t>
  </si>
  <si>
    <t>Isoform CREB-B of Cyclic AMP-responsive element-binding protein 1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</si>
  <si>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</si>
  <si>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</si>
  <si>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</si>
  <si>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</si>
  <si>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</si>
  <si>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</si>
  <si>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Methylated-DNA--protein-cysteine methyltransferase</t>
  </si>
  <si>
    <t>1-phosphatidylinositol 4,5-bisphosphate phosphodiesterase gamma-2</t>
  </si>
  <si>
    <t>Fumarylacetoacetase</t>
  </si>
  <si>
    <t>Y-box-binding protein 3</t>
  </si>
  <si>
    <t>Isoform 2 of Y-box-binding protein 3</t>
  </si>
  <si>
    <t>Isoform 2 of Zinc finger X-chromosomal protein</t>
  </si>
  <si>
    <t>Zinc finger protein 24</t>
  </si>
  <si>
    <t>Zinc finger protein with KRAB and SCAN domains 1</t>
  </si>
  <si>
    <t>Zinc finger protein 30</t>
  </si>
  <si>
    <t>Alpha-N-acetylgalactosaminidase</t>
  </si>
  <si>
    <t>Heat shock 70 kDa protein 6</t>
  </si>
  <si>
    <t>High mobility group protein HMG-I/HMG-Y</t>
  </si>
  <si>
    <t>Zinc finger protein 8</t>
  </si>
  <si>
    <t>Aspartate aminotransferase, cytoplasmic</t>
  </si>
  <si>
    <t>Protein kinase C alpha type</t>
  </si>
  <si>
    <t>Transcription factor jun-B</t>
  </si>
  <si>
    <t>Gap junction alpha-1 protein</t>
  </si>
  <si>
    <t>Isoform UBF2 of Nucleolar transcription factor 1</t>
  </si>
  <si>
    <t>Transcription factor jun-D</t>
  </si>
  <si>
    <t>Isoform 4 of Cyclic AMP-dependent transcription factor ATF-7</t>
  </si>
  <si>
    <t>cAMP-dependent protein kinase catalytic subunit alpha</t>
  </si>
  <si>
    <t>Calpain-2 catalytic subunit</t>
  </si>
  <si>
    <t>Isoform PTPA of Tyrosine-protein phosphatase non-receptor type 2</t>
  </si>
  <si>
    <t>S-adenosylmethionine decarboxylase proenzyme</t>
  </si>
  <si>
    <t>CTP synthase 1</t>
  </si>
  <si>
    <t>6-phosphofructokinase, liver type</t>
  </si>
  <si>
    <t>Ganglioside GM2 activator</t>
  </si>
  <si>
    <t>Galectin-3</t>
  </si>
  <si>
    <t>Insulin-like growth factor-binding protein 3</t>
  </si>
  <si>
    <t>T-complex protein 1 subunit alpha</t>
  </si>
  <si>
    <t>Tyrosine-protein phosphatase non-receptor type 1</t>
  </si>
  <si>
    <t>Insulin-like growth factor-binding protein 2</t>
  </si>
  <si>
    <t>Integrin beta-5</t>
  </si>
  <si>
    <t>ADP-ribosylation factor 4</t>
  </si>
  <si>
    <t>60S ribosomal protein L7</t>
  </si>
  <si>
    <t>Isoform 1 of Vinculin</t>
  </si>
  <si>
    <t>Glutathione peroxidase 2</t>
  </si>
  <si>
    <t>Arylamine N-acetyltransferase 1</t>
  </si>
  <si>
    <t>Isoform J of Protein SON</t>
  </si>
  <si>
    <t>Negative elongation factor E</t>
  </si>
  <si>
    <t>Phosphoglycerate mutase 1</t>
  </si>
  <si>
    <t>Syndecan-1</t>
  </si>
  <si>
    <t>Cyclic AMP-dependent transcription factor ATF-1</t>
  </si>
  <si>
    <t>DNA ligase 1</t>
  </si>
  <si>
    <t>ATP synthase-coupling factor 6, mitochondrial</t>
  </si>
  <si>
    <t>DNA repair protein XRCC1</t>
  </si>
  <si>
    <t>Keratin, type II cytoskeletal 4</t>
  </si>
  <si>
    <t>Myosin regulatory light chain 12A</t>
  </si>
  <si>
    <t>Isoform 2 of 1-phosphatidylinositol 4,5-bisphosphate phosphodiesterase gamma-1</t>
  </si>
  <si>
    <t>Nucleolin</t>
  </si>
  <si>
    <t>Isoform 4 of Hexokinase-1</t>
  </si>
  <si>
    <t>DNA-directed RNA polymerase II subunit RPB3</t>
  </si>
  <si>
    <t>DNA-directed RNA polymerases I, II, and III subunit RPABC1</t>
  </si>
  <si>
    <t>NADH dehydrogenase [ubiquinone] flavoprotein 2, mitochondrial</t>
  </si>
  <si>
    <t>ETS domain-containing protein Elk-1</t>
  </si>
  <si>
    <t>Gamma-glutamyltranspeptidase 1</t>
  </si>
  <si>
    <t>TFIIH basal transcription factor complex helicase XPB subunit</t>
  </si>
  <si>
    <t>Interferon-induced, double-stranded RNA-activated protein kinase</t>
  </si>
  <si>
    <t>Transcription factor E3</t>
  </si>
  <si>
    <t>Spermidine synthase</t>
  </si>
  <si>
    <t>Bile salt-activated lipase</t>
  </si>
  <si>
    <t>Nuclear factor NF-kappa-B p105 subunit</t>
  </si>
  <si>
    <t>Thymidine phosphorylase</t>
  </si>
  <si>
    <t>Eukaryotic translation initiation factor 2 subunit 2</t>
  </si>
  <si>
    <t>Cyclin-A2</t>
  </si>
  <si>
    <t>Transcription factor BTF3</t>
  </si>
  <si>
    <t>Isoform 2 of Transcription factor BTF3</t>
  </si>
  <si>
    <t>Ras-related protein Rab-4A</t>
  </si>
  <si>
    <t>Isoform 2 of Ras-related protein Rab-6A</t>
  </si>
  <si>
    <t>DNA mismatch repair protein Msh3</t>
  </si>
  <si>
    <t>Proteasome subunit beta type-1</t>
  </si>
  <si>
    <t>Cytochrome c oxidase subunit 5A, mitochondrial</t>
  </si>
  <si>
    <t>Lamin-B1</t>
  </si>
  <si>
    <t>B-cell lymphoma 3 protein</t>
  </si>
  <si>
    <t>Isoform 5 of Calpastatin</t>
  </si>
  <si>
    <t>Isoform 6 of Calpastatin</t>
  </si>
  <si>
    <t>Isoform C of Hepatocyte nuclear factor 1-alpha</t>
  </si>
  <si>
    <t>Isoform 2 of Inosine-5-monophosphate dehydrogenase 1</t>
  </si>
  <si>
    <t>Collagen alpha-1(V) chain</t>
  </si>
  <si>
    <t>Isoform 2 of Ras GTPase-activating protein 1</t>
  </si>
  <si>
    <t>Parathymosin</t>
  </si>
  <si>
    <t>Isoform 8 of 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</si>
  <si>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</si>
  <si>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</si>
  <si>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</si>
  <si>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</si>
  <si>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</si>
  <si>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</si>
  <si>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Cytoplasmic aconitate hydratase</t>
  </si>
  <si>
    <t>Serine--pyruvate aminotransferase</t>
  </si>
  <si>
    <t>Tumor necrosis factor alpha-induced protein 3</t>
  </si>
  <si>
    <t>Isoform 2 of 5-nucleotidase</t>
  </si>
  <si>
    <t>2-oxoisovalerate dehydrogenase subunit beta,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</si>
  <si>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</si>
  <si>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</si>
  <si>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</si>
  <si>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</si>
  <si>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Protein-L-isoaspartate(D-aspartate) O-methyltransferase</t>
  </si>
  <si>
    <t>rRNA 2-O-methyltransferase fibrillarin</t>
  </si>
  <si>
    <t>Trifunctional purine biosynthetic protein adenosine-3</t>
  </si>
  <si>
    <t>Isoform 7 of Non-specific lipid-transfer protein</t>
  </si>
  <si>
    <t>Ubiquitin-like modifier-activating enzyme 1</t>
  </si>
  <si>
    <t>Isoform 3 of Nucleoside diphosphate kinase B</t>
  </si>
  <si>
    <t>Heterogeneous nuclear ribonucleoproteins A2/B1</t>
  </si>
  <si>
    <t>MHC class II regulatory factor RFX1</t>
  </si>
  <si>
    <t>Calretinin</t>
  </si>
  <si>
    <t>E3 ubiquitin-protein ligase CBL</t>
  </si>
  <si>
    <t>Insulin-like growth factor-binding protein 4</t>
  </si>
  <si>
    <t>cAMP-dependent protein kinase catalytic subunit beta</t>
  </si>
  <si>
    <t>Ferrochelatase, mitochondrial</t>
  </si>
  <si>
    <t>DNA repair protein complementing XP-A cells</t>
  </si>
  <si>
    <t>Isoform 3 of Liver carboxylesterase 1</t>
  </si>
  <si>
    <t>Isoform B of Fibulin-1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</si>
  <si>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</si>
  <si>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</si>
  <si>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</si>
  <si>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</si>
  <si>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</si>
  <si>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</si>
  <si>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</si>
  <si>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</si>
  <si>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Myogenic factor 6</t>
  </si>
  <si>
    <t>Glycine cleavage system H protein, mitochondrial</t>
  </si>
  <si>
    <t>Nuclear autoantigen Sp-100</t>
  </si>
  <si>
    <t>Isoform Short of Nuclear transcription factor Y subunit alpha</t>
  </si>
  <si>
    <t>Adenosylhomocysteinase</t>
  </si>
  <si>
    <t>Cofilin-1</t>
  </si>
  <si>
    <t>Eukaryotic translation initiation factor 4B</t>
  </si>
  <si>
    <t>Factor VIII intron 22 protein</t>
  </si>
  <si>
    <t>Diacylglycerol kinase alpha</t>
  </si>
  <si>
    <t>Thymidylate kinase</t>
  </si>
  <si>
    <t>Ribonucleoside-diphosphate reductase large subunit</t>
  </si>
  <si>
    <t>Elongation factor 1-beta</t>
  </si>
  <si>
    <t>A-kinase anchor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</si>
  <si>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</si>
  <si>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</si>
  <si>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</si>
  <si>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Myosin regulatory light polypeptide 9</t>
  </si>
  <si>
    <t>DNA-directed RNA polymerase II subunit RPB1</t>
  </si>
  <si>
    <t>Cyclin-dependent kinase 2</t>
  </si>
  <si>
    <t>Isoform Short of Adenomatous polyposis coli protein</t>
  </si>
  <si>
    <t>Beta-adrenergic receptor kinase 1</t>
  </si>
  <si>
    <t>DNA replication licensing factor MCM3</t>
  </si>
  <si>
    <t>40S ribosomal protein S12</t>
  </si>
  <si>
    <t>Bromodomain-containing protein 2</t>
  </si>
  <si>
    <t>Transcriptional repressor protein YY1</t>
  </si>
  <si>
    <t>DnaJ homolog subfamily B member 1</t>
  </si>
  <si>
    <t>DnaJ homolog subfamily B member 2</t>
  </si>
  <si>
    <t>ATP synthase subunit alpha, mitochondrial</t>
  </si>
  <si>
    <t>Metallothionein-3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</si>
  <si>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</si>
  <si>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</si>
  <si>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</si>
  <si>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</si>
  <si>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</si>
  <si>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</si>
  <si>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Moesin</t>
  </si>
  <si>
    <t>Tyrosine-protein phosphatase non-receptor type 3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</si>
  <si>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</si>
  <si>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</si>
  <si>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</si>
  <si>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</si>
  <si>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</si>
  <si>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</si>
  <si>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</si>
  <si>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Protein S100-A4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</si>
  <si>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</si>
  <si>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</si>
  <si>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</si>
  <si>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</si>
  <si>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</si>
  <si>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Tristetraprolin</t>
  </si>
  <si>
    <t>Peptidyl-prolyl cis-trans isomerase FKBP2</t>
  </si>
  <si>
    <t>GTP:AMP phosphotransferase AK4, mitochondrial</t>
  </si>
  <si>
    <t>Annexin A13</t>
  </si>
  <si>
    <t>14-3-3 protein theta</t>
  </si>
  <si>
    <t>Mitogen-activated protein kinase 3</t>
  </si>
  <si>
    <t>Isoform 7 of MAP/microtubule affinity-regulating kinase 3</t>
  </si>
  <si>
    <t>Isoform 2 of Aryl hydrocarbon receptor nuclear translocator</t>
  </si>
  <si>
    <t>60S ribosomal protein L10</t>
  </si>
  <si>
    <t>Replication protein A 70 kDa DNA-binding subunit</t>
  </si>
  <si>
    <t>DNA-(apurinic or apyrimidinic site) lyase</t>
  </si>
  <si>
    <t>Deoxycytidine kinase</t>
  </si>
  <si>
    <t>Calreticulin</t>
  </si>
  <si>
    <t>Microtubule-associated protein 4</t>
  </si>
  <si>
    <t>Calnexin</t>
  </si>
  <si>
    <t>Phosphatidylinositol 3-kinase regulatory subunit alpha</t>
  </si>
  <si>
    <t>Inositol-trisphosphate 3-kinase B</t>
  </si>
  <si>
    <t>Isoform 2 of 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</si>
  <si>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</si>
  <si>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</si>
  <si>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</si>
  <si>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</si>
  <si>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</si>
  <si>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Isoform 4 of NADH-ubiquinone oxidoreductase 75 kDa subunit, mitochondrial</t>
  </si>
  <si>
    <t>DNA polymerase delta catalytic subunit</t>
  </si>
  <si>
    <t>Mitogen-activated protein kinase 1</t>
  </si>
  <si>
    <t>Dual specificity protein phosphatase 1</t>
  </si>
  <si>
    <t>Retinoic acid receptor RXR-beta</t>
  </si>
  <si>
    <t>DNA repair protein complementing XP-G cells</t>
  </si>
  <si>
    <t>Retinoblastoma-like protein 1</t>
  </si>
  <si>
    <t>Granulins</t>
  </si>
  <si>
    <t>Isoform 2 of Cytosol aminopeptidase</t>
  </si>
  <si>
    <t>Protein S100-A2</t>
  </si>
  <si>
    <t>General transcription factor IIE subunit 1</t>
  </si>
  <si>
    <t>Transcription initiation factor IIE subunit beta</t>
  </si>
  <si>
    <t>Tripeptidyl-peptidase 2</t>
  </si>
  <si>
    <t>Inositol monophosphatase 1</t>
  </si>
  <si>
    <t>Isoform 2 of Ephrin type-B receptor 2</t>
  </si>
  <si>
    <t>Tyrosine-protein phosphatase non-receptor type 6</t>
  </si>
  <si>
    <t>Isoform 6 of SHC-transforming protein 1</t>
  </si>
  <si>
    <t>Isoform 4 of DNA-3-methyladenine glycosylase</t>
  </si>
  <si>
    <t>Cellular retinoic acid-binding protein 2</t>
  </si>
  <si>
    <t>Transketolase</t>
  </si>
  <si>
    <t>Protein PML</t>
  </si>
  <si>
    <t>Elongation factor 1-delta</t>
  </si>
  <si>
    <t>Isoform 2 of Elongation factor 1-delta</t>
  </si>
  <si>
    <t>Cellular retinoic acid-binding protein 1</t>
  </si>
  <si>
    <t>Myristoylated alanine-rich C-kinase substrate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</si>
  <si>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</si>
  <si>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</si>
  <si>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</si>
  <si>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</si>
  <si>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</si>
  <si>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</si>
  <si>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</si>
  <si>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</si>
  <si>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</si>
  <si>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</si>
  <si>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</si>
  <si>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</si>
  <si>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</si>
  <si>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</si>
  <si>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</si>
  <si>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</si>
  <si>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G1/S-specific cyclin-D3</t>
  </si>
  <si>
    <t>Isoform 2 of M-phase inducer phosphatase 3</t>
  </si>
  <si>
    <t>Peptidyl-prolyl cis-trans isomerase F, mitochondrial</t>
  </si>
  <si>
    <t>NK-tumor recognition protein</t>
  </si>
  <si>
    <t>Glycylpeptide N-tetradecanoyltransferase 1</t>
  </si>
  <si>
    <t>Heme oxygenase 2</t>
  </si>
  <si>
    <t>Adenylosuccinate synthetase isozyme 2</t>
  </si>
  <si>
    <t>Alpha-2-macroglobulin receptor-associated protein</t>
  </si>
  <si>
    <t>Adenylosuccinate lyase</t>
  </si>
  <si>
    <t>Isoform L-type of Pyruvate kinase isozymes R/L</t>
  </si>
  <si>
    <t>CAP-Gly domain-containing linker protein 1</t>
  </si>
  <si>
    <t>Isoform 3 of CAP-Gly domain-containing linker protein 1</t>
  </si>
  <si>
    <t>Leukocyte elastase inhibitor</t>
  </si>
  <si>
    <t>Aldehyde dehydrogenase X, mitochondrial</t>
  </si>
  <si>
    <t>Aldehyde dehydrogenase, dimeric NADP-preferring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</si>
  <si>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</si>
  <si>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</si>
  <si>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</si>
  <si>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</si>
  <si>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</si>
  <si>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</si>
  <si>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</si>
  <si>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</si>
  <si>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</si>
  <si>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</si>
  <si>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</si>
  <si>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</si>
  <si>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</si>
  <si>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</si>
  <si>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Heterogeneous nuclear ribonucleoprotein H</t>
  </si>
  <si>
    <t>Caspase-14</t>
  </si>
  <si>
    <t>14-3-3 protein beta/alpha</t>
  </si>
  <si>
    <t>14-3-3 protein sigma</t>
  </si>
  <si>
    <t>Stress-induced-phosphoprotein 1</t>
  </si>
  <si>
    <t>Protein S100-A11</t>
  </si>
  <si>
    <t>Isoform 3 of Type II inositol 1,4,5-trisphosphate 5-phosphatase</t>
  </si>
  <si>
    <t>Isoform 5 of Beta-arrestin-2</t>
  </si>
  <si>
    <t>Cytidine deaminase</t>
  </si>
  <si>
    <t>Isoform 2 of Deoxycytidylate deaminase</t>
  </si>
  <si>
    <t>Pyrroline-5-carboxylate reductase 1, mitochondrial</t>
  </si>
  <si>
    <t>Interferon-induced guanylate-binding protein 1</t>
  </si>
  <si>
    <t>Isoform 2 of ETS-related transcription factor Elf-1</t>
  </si>
  <si>
    <t>General transcription factor IIH subunit 1</t>
  </si>
  <si>
    <t>Cystathionine gamma-lyase</t>
  </si>
  <si>
    <t>60S ribosomal protein L9</t>
  </si>
  <si>
    <t>Isoform 2 of Long-chain-fatty-acid--CoA ligase 1</t>
  </si>
  <si>
    <t>Kinesin-1 heavy chain</t>
  </si>
  <si>
    <t>Isoform 2 of Cleavage stimulation factor subunit 2</t>
  </si>
  <si>
    <t>Isoform 2 of Lymphocyte-specific protein 1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</si>
  <si>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</si>
  <si>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</si>
  <si>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</si>
  <si>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Protein S100-A3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</si>
  <si>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</si>
  <si>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</si>
  <si>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</si>
  <si>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</si>
  <si>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</si>
  <si>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Ribonuclease 4</t>
  </si>
  <si>
    <t>Isoform 2 of Serine hydroxymethyltransferase, cytosolic</t>
  </si>
  <si>
    <t>Isoform 3 of Serine hydroxymethyltransferase, mitochondrial</t>
  </si>
  <si>
    <t>Bifunctional epoxide hydrolase 2</t>
  </si>
  <si>
    <t>Heat shock 70 kDa protein 4</t>
  </si>
  <si>
    <t>Carbonic anhydrase-related protein</t>
  </si>
  <si>
    <t>Catenin alpha-1</t>
  </si>
  <si>
    <t>Polycomb group RING finger protein 2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</si>
  <si>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</si>
  <si>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</si>
  <si>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</si>
  <si>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</si>
  <si>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</si>
  <si>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</si>
  <si>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</si>
  <si>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</si>
  <si>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</si>
  <si>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</si>
  <si>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</si>
  <si>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Fibrillin-2</t>
  </si>
  <si>
    <t>Insulin receptor substrate 1</t>
  </si>
  <si>
    <t>Glycogen debranching enzyme</t>
  </si>
  <si>
    <t>Myosin-9</t>
  </si>
  <si>
    <t>Myosin-10</t>
  </si>
  <si>
    <t>Isoform 4 of Myosin-10</t>
  </si>
  <si>
    <t>Coatomer subunit beta</t>
  </si>
  <si>
    <t>Alpha-adducin</t>
  </si>
  <si>
    <t>Isoform 2 of Alpha-adducin</t>
  </si>
  <si>
    <t>Beta-adducin</t>
  </si>
  <si>
    <t>Isoform Short of RNA-binding protein FUS</t>
  </si>
  <si>
    <t>Isoform 4 of Nuclear pore complex protein Nup214</t>
  </si>
  <si>
    <t>Protein DEK</t>
  </si>
  <si>
    <t>Isoform 4 of Myosin-11</t>
  </si>
  <si>
    <t>Glutaredoxin-1</t>
  </si>
  <si>
    <t>Isoform 2 of Choline kinase alpha</t>
  </si>
  <si>
    <t>Protein phosphatase 1A</t>
  </si>
  <si>
    <t>Aryl hydrocarbon receptor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</si>
  <si>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</si>
  <si>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</si>
  <si>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</si>
  <si>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</si>
  <si>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</si>
  <si>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</si>
  <si>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</si>
  <si>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</si>
  <si>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</si>
  <si>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Serine/threonine-protein phosphatase PP1-gamma catalytic subunit</t>
  </si>
  <si>
    <t>Guanine nucleotide-binding protein-like 1</t>
  </si>
  <si>
    <t>Serpin B5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</si>
  <si>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</si>
  <si>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</si>
  <si>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</si>
  <si>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</si>
  <si>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</si>
  <si>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</si>
  <si>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Transgelin-2</t>
  </si>
  <si>
    <t>Transaldolase</t>
  </si>
  <si>
    <t>Electron transfer flavoprotein subunit beta</t>
  </si>
  <si>
    <t>RNA-binding motif protein, X chromosome</t>
  </si>
  <si>
    <t>Isoform 4 of Breast cancer type 1 susceptibility protein</t>
  </si>
  <si>
    <t>Coilin</t>
  </si>
  <si>
    <t>Isoform 2 of Lysosomal acid lipase/cholesteryl ester hydrolase</t>
  </si>
  <si>
    <t>V-type proton ATPase catalytic subunit A</t>
  </si>
  <si>
    <t>Stress-70 protein, mitochondrial</t>
  </si>
  <si>
    <t>Eukaryotic initiation factor 4A-III</t>
  </si>
  <si>
    <t>DNA-binding protein SMUBP-2</t>
  </si>
  <si>
    <t>Cyclin-dependent kinase inhibitor 1</t>
  </si>
  <si>
    <t>40S ribosomal protein S19</t>
  </si>
  <si>
    <t>60S ribosomal protein L3</t>
  </si>
  <si>
    <t>Isoform 3 of Collagen alpha-1(XVIII) chain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</si>
  <si>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</si>
  <si>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</si>
  <si>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</si>
  <si>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</si>
  <si>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Adenylyl cyclase-associated protein 2</t>
  </si>
  <si>
    <t>Isoform 3 of Interleukin-6 receptor subunit beta</t>
  </si>
  <si>
    <t>Carcinoembryonic antigen-related cell adhesion molecule 6</t>
  </si>
  <si>
    <t>Alpha-taxilin</t>
  </si>
  <si>
    <t>T-complex protein 1 subunit zeta</t>
  </si>
  <si>
    <t>Nicotinamide N-methyltransferase</t>
  </si>
  <si>
    <t>Proteasome subunit beta type-10</t>
  </si>
  <si>
    <t>Isoform 3 of Von Hippel-Lindau disease tumor suppressor</t>
  </si>
  <si>
    <t>60S ribosomal protein L13a</t>
  </si>
  <si>
    <t>DNA mismatch repair protein Mlh1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</si>
  <si>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</si>
  <si>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</si>
  <si>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</si>
  <si>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</si>
  <si>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</si>
  <si>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</si>
  <si>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</si>
  <si>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</si>
  <si>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</si>
  <si>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Isoform ID-B of DNA-binding protein inhibitor ID-1</t>
  </si>
  <si>
    <t>ETS translocation variant 3</t>
  </si>
  <si>
    <t>Centrin-2</t>
  </si>
  <si>
    <t>Transcription factor ETV6</t>
  </si>
  <si>
    <t>Eukaryotic translation initiation factor 2D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</si>
  <si>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</si>
  <si>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</si>
  <si>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</si>
  <si>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</si>
  <si>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</si>
  <si>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</si>
  <si>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</si>
  <si>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</si>
  <si>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</si>
  <si>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</si>
  <si>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</si>
  <si>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</si>
  <si>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</si>
  <si>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</si>
  <si>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</si>
  <si>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</si>
  <si>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</si>
  <si>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</si>
  <si>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</si>
  <si>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</si>
  <si>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</si>
  <si>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</si>
  <si>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</si>
  <si>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</si>
  <si>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Isoform 6 of Abelson tyrosine-protein kinase 2</t>
  </si>
  <si>
    <t>Probable helicase with zinc finger domain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</si>
  <si>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</si>
  <si>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</si>
  <si>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</si>
  <si>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</si>
  <si>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Cyclin-dependent kinase 4 inhibitor C</t>
  </si>
  <si>
    <t>Lysosomal Pro-X carboxypeptidase</t>
  </si>
  <si>
    <t>C-X-C motif chemokine 5</t>
  </si>
  <si>
    <t>Huntingtin</t>
  </si>
  <si>
    <t>Methylenetetrahydrofolate reductase</t>
  </si>
  <si>
    <t>Platelet-activating factor acetylhydrolase IB subunit alpha</t>
  </si>
  <si>
    <t>Isoform 2 of Carnitine O-acetyltransferase</t>
  </si>
  <si>
    <t>Matrin-3</t>
  </si>
  <si>
    <t>DNA mismatch repair protein Msh2</t>
  </si>
  <si>
    <t>Biotinidase</t>
  </si>
  <si>
    <t>Aldehyde dehydrogenase family 3 member B1</t>
  </si>
  <si>
    <t>Melanoma-associated antigen 6</t>
  </si>
  <si>
    <t>Tyrosine-protein phosphatase non-receptor type 9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</si>
  <si>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</si>
  <si>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</si>
  <si>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</si>
  <si>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</si>
  <si>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Peptidyl-prolyl cis-trans isomerase C</t>
  </si>
  <si>
    <t>Short/branched chain specific acyl-CoA dehydrogenase, mitochondrial</t>
  </si>
  <si>
    <t>Chromobox protein homolog 5</t>
  </si>
  <si>
    <t>Isoform Short of Ubiquitin carboxyl-terminal hydrolase 5</t>
  </si>
  <si>
    <t>Isoform Alpha-1 of Mitogen-activated protein kinase 9</t>
  </si>
  <si>
    <t>Dual specificity mitogen-activated protein kinase kinase 4</t>
  </si>
  <si>
    <t>Antigen KI-67</t>
  </si>
  <si>
    <t>Phosphorylase b kinase regulatory subunit alpha, liver isoform</t>
  </si>
  <si>
    <t>Isoform 2 of Phosphorylase b kinase regulatory subunit alpha, skeletal muscle isoform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</si>
  <si>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</si>
  <si>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</si>
  <si>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</si>
  <si>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</si>
  <si>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</si>
  <si>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</si>
  <si>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</si>
  <si>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</si>
  <si>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</si>
  <si>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</si>
  <si>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</si>
  <si>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</si>
  <si>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60S ribosomal protein L28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</si>
  <si>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</si>
  <si>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</si>
  <si>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</si>
  <si>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</si>
  <si>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</si>
  <si>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Yorkie homolog</t>
  </si>
  <si>
    <t>Utrophin</t>
  </si>
  <si>
    <t>Ras GTPase-activating-like protein IQGAP1</t>
  </si>
  <si>
    <t>Isoform GN-1 of Glycogenin-1</t>
  </si>
  <si>
    <t>Guanine nucleotide exchange factor MSS4</t>
  </si>
  <si>
    <t>Isoform 2 of Alpha-S1-casein</t>
  </si>
  <si>
    <t>Cytosolic phospholipase A2</t>
  </si>
  <si>
    <t>Rap1 GTPase-activating protein 1</t>
  </si>
  <si>
    <t>F-actin-capping protein subunit alpha-2</t>
  </si>
  <si>
    <t>Isoform 2 of F-actin-capping protein subunit beta</t>
  </si>
  <si>
    <t>Eukaryotic translation initiation factor 1A, X-chromosomal</t>
  </si>
  <si>
    <t>Aldehyde dehydrogenase family 1 member A3</t>
  </si>
  <si>
    <t>Glutamine--tRNA ligase</t>
  </si>
  <si>
    <t>60S ribosomal protein L29</t>
  </si>
  <si>
    <t>Zinc finger protein 36, C3H1 type-like 2</t>
  </si>
  <si>
    <t>Cytochrome b-c1 complex subunit Rieske, mitochondrial</t>
  </si>
  <si>
    <t>Xanthine dehydrogenase/oxidase</t>
  </si>
  <si>
    <t>LIM and senescent cell antigen-like-containing domain protein 1</t>
  </si>
  <si>
    <t>Prolyl endopeptidase</t>
  </si>
  <si>
    <t>NADP-dependent malic enzyme</t>
  </si>
  <si>
    <t>Gamma-aminobutyric acid receptor subunit alpha-4</t>
  </si>
  <si>
    <t>Iron-responsive element-binding protein 2</t>
  </si>
  <si>
    <t>Tissue factor pathway inhibitor 2</t>
  </si>
  <si>
    <t>Transcription factor SOX-2</t>
  </si>
  <si>
    <t>Transcription factor SOX-9</t>
  </si>
  <si>
    <t>Coatomer subunit delta</t>
  </si>
  <si>
    <t>Isoform 2 of Serine/threonine-protein phosphatase 2B catalytic subunit gamma isoform</t>
  </si>
  <si>
    <t>Glutamate--cysteine ligase catalytic subunit</t>
  </si>
  <si>
    <t>Glutamate--cysteine ligase regulatory subunit</t>
  </si>
  <si>
    <t>Nuclear receptor-interacting protein 1</t>
  </si>
  <si>
    <t>Trafficking protein particle complex subunit 10</t>
  </si>
  <si>
    <t>Protein PRRC2A</t>
  </si>
  <si>
    <t>Glutathione synthetase</t>
  </si>
  <si>
    <t>T-complex protein 1 subunit epsilon</t>
  </si>
  <si>
    <t>Nestin</t>
  </si>
  <si>
    <t>Casein kinase I isoform alpha</t>
  </si>
  <si>
    <t>Isoform 2 of Casein kinase I isoform delta</t>
  </si>
  <si>
    <t>Isocitrate dehydrogenase [NADP], mitochondrial</t>
  </si>
  <si>
    <t>Phosphatidylinositol transfer protein beta isoform</t>
  </si>
  <si>
    <t>DNA polymerase delta subunit 2</t>
  </si>
  <si>
    <t>MARCKS-related protein</t>
  </si>
  <si>
    <t>Isoform Gamma of Paxillin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</si>
  <si>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</si>
  <si>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</si>
  <si>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</si>
  <si>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</si>
  <si>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</si>
  <si>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</si>
  <si>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</si>
  <si>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</si>
  <si>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</si>
  <si>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</si>
  <si>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</si>
  <si>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</si>
  <si>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Isoform 1B of Beta-arrestin-1</t>
  </si>
  <si>
    <t>Elongation factor Tu, mitochondrial</t>
  </si>
  <si>
    <t>Isoform 2 of Alpha-aminoadipic semialdehyde dehydrogenase</t>
  </si>
  <si>
    <t>Ubiquitin-conjugating enzyme E2 R1</t>
  </si>
  <si>
    <t>Inositol polyphosphate 1-phosphatase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</si>
  <si>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</si>
  <si>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</si>
  <si>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</si>
  <si>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</si>
  <si>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</si>
  <si>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</si>
  <si>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</si>
  <si>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DNA primase small subunit</t>
  </si>
  <si>
    <t>DNA primase large subunit</t>
  </si>
  <si>
    <t>Isoform 2 of Caspase-4</t>
  </si>
  <si>
    <t>Casein kinase I isoform epsilon</t>
  </si>
  <si>
    <t>Transcriptional repressor CTCF</t>
  </si>
  <si>
    <t>CCAAT/enhancer-binding protein delta</t>
  </si>
  <si>
    <t>Proteasome subunit beta type-3</t>
  </si>
  <si>
    <t>Proteasome subunit beta type-2</t>
  </si>
  <si>
    <t>DNA replication licensing factor MCM2</t>
  </si>
  <si>
    <t>Very long-chain specific acyl-CoA dehydrogenase, mitochondrial</t>
  </si>
  <si>
    <t>Isoform 4 of YLP motif-containing protein 1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</si>
  <si>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</si>
  <si>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</si>
  <si>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</si>
  <si>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</si>
  <si>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</si>
  <si>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</si>
  <si>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Isoform 4 of Regulator of G-protein signaling 3</t>
  </si>
  <si>
    <t>Isoform 2 of NADH dehydrogenase [ubiquinone] flavoprotein 1, mitochondrial</t>
  </si>
  <si>
    <t>Glycogen synthase kinase-3 alpha</t>
  </si>
  <si>
    <t>Glycogen synthase kinase-3 beta</t>
  </si>
  <si>
    <t>Transcription initiation factor TFIID subunit 6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</si>
  <si>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</si>
  <si>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</si>
  <si>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</si>
  <si>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</si>
  <si>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</si>
  <si>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Double-strand break repair protein MRE11A</t>
  </si>
  <si>
    <t>Ketohexokinase</t>
  </si>
  <si>
    <t>Histamine N-methyltransferase</t>
  </si>
  <si>
    <t>Isocitrate dehydrogenase [NAD] subunit alpha, mitochondrial</t>
  </si>
  <si>
    <t>Motor neuron and pancreas homeobox protein 1</t>
  </si>
  <si>
    <t>Sulfotransferase 1A3/1A4</t>
  </si>
  <si>
    <t>Cysteine-rich protein 1</t>
  </si>
  <si>
    <t>Protoporphyrinogen oxidase</t>
  </si>
  <si>
    <t>Rab GDP dissociation inhibitor beta</t>
  </si>
  <si>
    <t>Emerin</t>
  </si>
  <si>
    <t>Isoform 2 of Glycine amidinotransferase, mitochondrial</t>
  </si>
  <si>
    <t>Serpin B8</t>
  </si>
  <si>
    <t>Serpin B9</t>
  </si>
  <si>
    <t>Serpin H1</t>
  </si>
  <si>
    <t>Hsc70-interacting protein</t>
  </si>
  <si>
    <t>Peroxisomal targeting signal 1 receptor</t>
  </si>
  <si>
    <t>Vasodilator-stimulated phosphoprotein</t>
  </si>
  <si>
    <t>Isoform 2 of Dynamin-2</t>
  </si>
  <si>
    <t>Isoform 3 of Dynamin-2</t>
  </si>
  <si>
    <t>Isoform 4 of Dynamin-2</t>
  </si>
  <si>
    <t>Methionine aminopeptidase 2</t>
  </si>
  <si>
    <t>Bis(5-nucleosyl)-tetraphosphatase [asymmetrical]</t>
  </si>
  <si>
    <t>Cyclin-dependent kinase 7</t>
  </si>
  <si>
    <t>Protein Tob1</t>
  </si>
  <si>
    <t>Biotin--protein ligase</t>
  </si>
  <si>
    <t>Kinetochore-associated protein 1</t>
  </si>
  <si>
    <t>Ras association domain-containing protein 2</t>
  </si>
  <si>
    <t>Cyclin-dependent kinase 9</t>
  </si>
  <si>
    <t>Lipopolysaccharide-responsive and beige-like anchor protein</t>
  </si>
  <si>
    <t>Basal cell adhesion molecule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</si>
  <si>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</si>
  <si>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</si>
  <si>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</si>
  <si>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</si>
  <si>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</si>
  <si>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</si>
  <si>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</si>
  <si>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Rab-13</t>
  </si>
  <si>
    <t>Isoform 3 of Ras-related protein Rab-28</t>
  </si>
  <si>
    <t>Gastrotropin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</si>
  <si>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</si>
  <si>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</si>
  <si>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</si>
  <si>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</si>
  <si>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4 of RNA-binding protein Nova-1</t>
  </si>
  <si>
    <t>Isoform Short of Probable global transcription activator SNF2L2</t>
  </si>
  <si>
    <t>Isocitrate dehydrogenase [NAD] subunit gamma, mitochondrial</t>
  </si>
  <si>
    <t>Galactokinase</t>
  </si>
  <si>
    <t>B-cell receptor-associated protein 31</t>
  </si>
  <si>
    <t>Thiopurine S-methyltransferase</t>
  </si>
  <si>
    <t>Breast cancer type 2 susceptibility protein</t>
  </si>
  <si>
    <t>Cytochrome P450 2J2</t>
  </si>
  <si>
    <t>Methyl-CpG-binding protein 2</t>
  </si>
  <si>
    <t>Host cell factor 1</t>
  </si>
  <si>
    <t>Isoform 4 of Host cell factor 1</t>
  </si>
  <si>
    <t>Interleukin-1 receptor-associated kinase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</si>
  <si>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</si>
  <si>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</si>
  <si>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</si>
  <si>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</si>
  <si>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</si>
  <si>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</si>
  <si>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Signal transducer and activator of transcription 5B</t>
  </si>
  <si>
    <t>Dynein light chain Tctex-type 3</t>
  </si>
  <si>
    <t>Ribosomal protein S6 kinase alpha-3</t>
  </si>
  <si>
    <t>cAMP-dependent protein kinase catalytic subunit PRKX</t>
  </si>
  <si>
    <t>Isoform 2 of AF4/FMR2 family member 1</t>
  </si>
  <si>
    <t>Isoform 2 of Nuclear receptor subfamily 0 group B member 1</t>
  </si>
  <si>
    <t>Isoform 2 of 3-oxo-5-beta-steroid 4-dehydrogenase</t>
  </si>
  <si>
    <t>Hepatoma-derived growth factor</t>
  </si>
  <si>
    <t>CDK-activating kinase assembly factor MAT1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</si>
  <si>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</si>
  <si>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</si>
  <si>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</si>
  <si>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</si>
  <si>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</si>
  <si>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</si>
  <si>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Dual specificity mitogen-activated protein kinase kinase 6</t>
  </si>
  <si>
    <t>Rho GDP-dissociation inhibitor 1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</si>
  <si>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</si>
  <si>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</si>
  <si>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</si>
  <si>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</si>
  <si>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</si>
  <si>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</si>
  <si>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</si>
  <si>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</si>
  <si>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Isoform 2 of Zinc finger protein 131</t>
  </si>
  <si>
    <t>Isoform 2 of Zinc finger protein 143</t>
  </si>
  <si>
    <t>Ribonuclease UK114</t>
  </si>
  <si>
    <t>Spermine synthase</t>
  </si>
  <si>
    <t>39S ribosomal protein L12, mitochondrial</t>
  </si>
  <si>
    <t>Diacylglycerol kinase theta</t>
  </si>
  <si>
    <t>Thimet oligopeptidase</t>
  </si>
  <si>
    <t>Aldo-keto reductase family 1 member C2</t>
  </si>
  <si>
    <t>F-actin-capping protein subunit alpha-1</t>
  </si>
  <si>
    <t>Cysteine-rich protein 2</t>
  </si>
  <si>
    <t>Isoform 5 of Nuclear pore complex protein Nup98-Nup96</t>
  </si>
  <si>
    <t>Biliverdin reductase A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</si>
  <si>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</si>
  <si>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</si>
  <si>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</si>
  <si>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</si>
  <si>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</si>
  <si>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</si>
  <si>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Isoform 2 of 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</si>
  <si>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</si>
  <si>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</si>
  <si>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</si>
  <si>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</si>
  <si>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</si>
  <si>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</si>
  <si>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</si>
  <si>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2 of Clathrin heavy chain 2</t>
  </si>
  <si>
    <t>AP-2 complex subunit sigma</t>
  </si>
  <si>
    <t>Mitogen-activated protein kinase 12</t>
  </si>
  <si>
    <t>DNA-directed RNA polymerases I, II, and III subunit RPABC4</t>
  </si>
  <si>
    <t>Calcipressin-1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</si>
  <si>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</si>
  <si>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</si>
  <si>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</si>
  <si>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</si>
  <si>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</si>
  <si>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</si>
  <si>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Isoform Short of Protein HIRA</t>
  </si>
  <si>
    <t>Atrophin-1</t>
  </si>
  <si>
    <t>Isoform 3 of PMS1 protein homolog 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</si>
  <si>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</si>
  <si>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</si>
  <si>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</si>
  <si>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</si>
  <si>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5-AMP-activated protein kinase catalytic subunit alpha-2</t>
  </si>
  <si>
    <t>Heat shock-related 70 kDa protein 2</t>
  </si>
  <si>
    <t>Branched-chain-amino-acid aminotransferase, cytosolic</t>
  </si>
  <si>
    <t>UV excision repair protein RAD23 homolog B</t>
  </si>
  <si>
    <t>Alpha-N-acetylglucosaminidase</t>
  </si>
  <si>
    <t>Adenylate kinase 2, mitochondrial</t>
  </si>
  <si>
    <t>Isoform Short of Delta-1-pyrroline-5-carboxylate synthase</t>
  </si>
  <si>
    <t>Alpha-soluble NSF attachment protein</t>
  </si>
  <si>
    <t>[Protein ADP-ribosylarginine] hydrolase</t>
  </si>
  <si>
    <t>Eukaryotic translation initiation factor 5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</si>
  <si>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</si>
  <si>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</si>
  <si>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</si>
  <si>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</si>
  <si>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</si>
  <si>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</si>
  <si>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Afadin</t>
  </si>
  <si>
    <t>RNA polymerase II elongation factor ELL</t>
  </si>
  <si>
    <t>Caspase-7</t>
  </si>
  <si>
    <t>Isoform 2 of Caspase-9</t>
  </si>
  <si>
    <t>Caspase-6</t>
  </si>
  <si>
    <t>Adenosine kinase</t>
  </si>
  <si>
    <t>Isoform 5 of Double-stranded RNA-specific adenosine deaminase</t>
  </si>
  <si>
    <t>Laminin subunit beta-2</t>
  </si>
  <si>
    <t>Cyclin-dependent kinase 4 inhibitor D</t>
  </si>
  <si>
    <t>Isoform 2 of Tumor protein D52</t>
  </si>
  <si>
    <t>Protein arginine N-methyltransferase 2</t>
  </si>
  <si>
    <t>Protein SEC13 homolog</t>
  </si>
  <si>
    <t>NHP2-like protein 1</t>
  </si>
  <si>
    <t>Heterogeneous nuclear ribonucleoprotein H2</t>
  </si>
  <si>
    <t>Succinyl-CoA:3-ketoacid coenzyme A transferase 1, mitochondrial</t>
  </si>
  <si>
    <t>Small ubiquitin-related modifier 3</t>
  </si>
  <si>
    <t>Eukaryotic translation initiation factor 3 subunit B</t>
  </si>
  <si>
    <t>Isoform 2 of NADH dehydrogenase [ubiquinone] flavoprotein 3, mitochondrial</t>
  </si>
  <si>
    <t>Methionine--tRNA ligase, cytoplasmic</t>
  </si>
  <si>
    <t>cAMP-regulated phosphoprotein 19</t>
  </si>
  <si>
    <t>Cx9C motif-containing protein 4</t>
  </si>
  <si>
    <t>Isoform 2 of DNA polymerase epsilon subunit 2</t>
  </si>
  <si>
    <t>Histone deacetylase 4</t>
  </si>
  <si>
    <t>Eukaryotic translation initiation factor 6</t>
  </si>
  <si>
    <t>C-terminal-binding protein 2</t>
  </si>
  <si>
    <t>Breast cancer anti-estrogen resistance protein 1</t>
  </si>
  <si>
    <t>Syntaxin-17</t>
  </si>
  <si>
    <t>Uncharacterized protein C21orf59</t>
  </si>
  <si>
    <t>tRNA (guanine-N(7)-)-methyltransferase subunit WDR4</t>
  </si>
  <si>
    <t>Synaptojanin-2-binding protein</t>
  </si>
  <si>
    <t>Isoform 3 of Coronin-7</t>
  </si>
  <si>
    <t>Nuclear pore complex protein Nup107</t>
  </si>
  <si>
    <t>Gasdermin-D</t>
  </si>
  <si>
    <t>Sorting nexin-16</t>
  </si>
  <si>
    <t>Selenocysteine-specific elongation factor</t>
  </si>
  <si>
    <t>Myotrophin</t>
  </si>
  <si>
    <t>AP-3 complex subunit sigma-2</t>
  </si>
  <si>
    <t>Actin-related protein 2/3 complex subunit 4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</si>
  <si>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</si>
  <si>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</si>
  <si>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</si>
  <si>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</si>
  <si>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</si>
  <si>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Isoform Smooth muscle of Myosin light polypeptide 6</t>
  </si>
  <si>
    <t>Actin, cytoplasmic 1</t>
  </si>
  <si>
    <t>Ras-related C3 botulinum toxin substrate 3</t>
  </si>
  <si>
    <t>Eukaryotic initiation factor 4A-I</t>
  </si>
  <si>
    <t>40S ribosomal protein S20</t>
  </si>
  <si>
    <t>Isoform 2 of Synaptosomal-associated protein 25</t>
  </si>
  <si>
    <t>Ribose-phosphate pyrophosphokinase 1</t>
  </si>
  <si>
    <t>Proteasome subunit alpha type-6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</si>
  <si>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</si>
  <si>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</si>
  <si>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</si>
  <si>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</si>
  <si>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</si>
  <si>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</si>
  <si>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</si>
  <si>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</si>
  <si>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</si>
  <si>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</si>
  <si>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</si>
  <si>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</si>
  <si>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</si>
  <si>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</si>
  <si>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</si>
  <si>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</si>
  <si>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</si>
  <si>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</si>
  <si>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</si>
  <si>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</si>
  <si>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</si>
  <si>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</si>
  <si>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</si>
  <si>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Isoform 2 of Protein max</t>
  </si>
  <si>
    <t>40S ribosomal protein S3a</t>
  </si>
  <si>
    <t>60S ribosomal protein L26</t>
  </si>
  <si>
    <t>Proteasome activator complex subunit 3</t>
  </si>
  <si>
    <t>60S ribosomal protein L15</t>
  </si>
  <si>
    <t>60S ribosomal protein L27</t>
  </si>
  <si>
    <t>Pterin-4-alpha-carbinolamine dehydratase</t>
  </si>
  <si>
    <t>Transforming protein RhoA</t>
  </si>
  <si>
    <t>Rho-related GTP-binding protein RhoE</t>
  </si>
  <si>
    <t>N-alpha-acetyltransferase 20</t>
  </si>
  <si>
    <t>10 kDa heat shock protein, mitochondrial</t>
  </si>
  <si>
    <t>Prefoldin subunit 3</t>
  </si>
  <si>
    <t>Coatomer subunit zeta-1</t>
  </si>
  <si>
    <t>60S ribosomal protein L37</t>
  </si>
  <si>
    <t>Guanine nucleotide-binding protein G(I)/G(S)/G(O) subunit gamma-11</t>
  </si>
  <si>
    <t>Small ubiquitin-related modifier 2</t>
  </si>
  <si>
    <t>DDB1- and CUL4-associated factor 7</t>
  </si>
  <si>
    <t>WD repeat-containing protein 5</t>
  </si>
  <si>
    <t>AP-1 complex subunit sigma-1A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</si>
  <si>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</si>
  <si>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</si>
  <si>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</si>
  <si>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</si>
  <si>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</si>
  <si>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</si>
  <si>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</si>
  <si>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</si>
  <si>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Calmodulin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</si>
  <si>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</si>
  <si>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</si>
  <si>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</si>
  <si>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</si>
  <si>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</si>
  <si>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</si>
  <si>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</si>
  <si>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</si>
  <si>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</si>
  <si>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</si>
  <si>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</si>
  <si>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</si>
  <si>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</si>
  <si>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</si>
  <si>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</si>
  <si>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</si>
  <si>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</si>
  <si>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</si>
  <si>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</si>
  <si>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</si>
  <si>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</si>
  <si>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</si>
  <si>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</si>
  <si>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</si>
  <si>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</si>
  <si>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</si>
  <si>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</si>
  <si>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</si>
  <si>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40S ribosomal protein S4, X isoform</t>
  </si>
  <si>
    <t>Serine/threonine-protein phosphatase 2A catalytic subunit beta isoform</t>
  </si>
  <si>
    <t>Actin, aortic smooth muscle</t>
  </si>
  <si>
    <t>60S ribosomal protein L23a</t>
  </si>
  <si>
    <t>40S ribosomal protein S6</t>
  </si>
  <si>
    <t>Histone H4</t>
  </si>
  <si>
    <t>Ras-related protein Rab-1A</t>
  </si>
  <si>
    <t>GTP-binding nuclear protein Ran</t>
  </si>
  <si>
    <t>60S ribosomal protein L23</t>
  </si>
  <si>
    <t>Ubiquitin-conjugating enzyme E2 D2</t>
  </si>
  <si>
    <t>Isoform 2 of 40S ribosomal protein S24</t>
  </si>
  <si>
    <t>40S ribosomal protein S25</t>
  </si>
  <si>
    <t>40S ribosomal protein S26</t>
  </si>
  <si>
    <t>40S ribosomal protein S28</t>
  </si>
  <si>
    <t>Guanine nucleotide-binding protein G(I)/G(S)/G(T) subunit beta-1</t>
  </si>
  <si>
    <t>DNA-directed RNA polymerases I, II, and III subunit RPABC5</t>
  </si>
  <si>
    <t>E3 ubiquitin-protein ligase RBX1</t>
  </si>
  <si>
    <t>60S ribosomal protein L30</t>
  </si>
  <si>
    <t>60S ribosomal protein L10a</t>
  </si>
  <si>
    <t>60S ribosomal protein L8</t>
  </si>
  <si>
    <t>Peptidyl-prolyl cis-trans isomerase FKBP1A</t>
  </si>
  <si>
    <t>Growth factor receptor-bound protein 2</t>
  </si>
  <si>
    <t>Transformer-2 protein homolog beta</t>
  </si>
  <si>
    <t>Ras-related C3 botulinum toxin substrate 1</t>
  </si>
  <si>
    <t>AP-2 complex subunit beta</t>
  </si>
  <si>
    <t>Guanine nucleotide-binding protein G(i) subunit alpha-1</t>
  </si>
  <si>
    <t>14-3-3 protein zeta/delta</t>
  </si>
  <si>
    <t>Serine/threonine-protein phosphatase 2A 55 kDa regulatory subunit B alpha isoform</t>
  </si>
  <si>
    <t>Dynein light chain 1, cytoplasmic</t>
  </si>
  <si>
    <t>60S ribosomal protein L38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</si>
  <si>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</si>
  <si>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</si>
  <si>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</si>
  <si>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</si>
  <si>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Thymosin beta-10</t>
  </si>
  <si>
    <t>Serine/threonine-protein phosphatase 2A catalytic subunit alpha isoform</t>
  </si>
  <si>
    <t>Nuclease-sensitive element-binding protein 1</t>
  </si>
  <si>
    <t>Casein kinase II subunit beta</t>
  </si>
  <si>
    <t>Tropomyosin alpha-4 chain</t>
  </si>
  <si>
    <t>Isoform 2 of Tropomyosin alpha-4 chain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</si>
  <si>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</si>
  <si>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</si>
  <si>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</si>
  <si>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</si>
  <si>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alpha-1B chain</t>
  </si>
  <si>
    <t>Tubulin beta-4B chain</t>
  </si>
  <si>
    <t>Platelet-activating factor acetylhydrolase IB subunit beta</t>
  </si>
  <si>
    <t>Nucleolar protein 14</t>
  </si>
  <si>
    <t>Immunoglobulin-binding protein 1</t>
  </si>
  <si>
    <t>Tyrosine-protein phosphatase non-receptor type substrate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</si>
  <si>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</si>
  <si>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</si>
  <si>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</si>
  <si>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</si>
  <si>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</si>
  <si>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</si>
  <si>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Polyhomeotic-like protein 1</t>
  </si>
  <si>
    <t>T-complex protein 1 subunit beta</t>
  </si>
  <si>
    <t>mRNA export factor</t>
  </si>
  <si>
    <t>Glutathione S-transferase omega-1</t>
  </si>
  <si>
    <t>Protein jagged-1</t>
  </si>
  <si>
    <t>DNA-dependent protein kinase catalytic subunit</t>
  </si>
  <si>
    <t>Biogenesis of lysosome-related organelles complex 1 subunit 1</t>
  </si>
  <si>
    <t>Endonuclease III-like protein 1</t>
  </si>
  <si>
    <t>Microtubule-associated protein 1A</t>
  </si>
  <si>
    <t>Death domain-containing protein CRADD</t>
  </si>
  <si>
    <t>Isoform 2 of Neutrophil gelatinase-associated lipocalin</t>
  </si>
  <si>
    <t>Interferon-induced 35 kDa protein</t>
  </si>
  <si>
    <t>Metallothionein-1X</t>
  </si>
  <si>
    <t>Nucleobindin-2</t>
  </si>
  <si>
    <t>Brain acid soluble protein 1</t>
  </si>
  <si>
    <t>Dermcidin</t>
  </si>
  <si>
    <t>TATA element modulatory factor</t>
  </si>
  <si>
    <t>28S ribosomal protein S36, mitochondrial</t>
  </si>
  <si>
    <t>28S ribosomal protein S34, mitochondrial</t>
  </si>
  <si>
    <t>28S ribosomal protein S6, mitochondrial</t>
  </si>
  <si>
    <t>SAP domain-containing ribonucleoprotein</t>
  </si>
  <si>
    <t>Conserved oligomeric Golgi complex subunit 7</t>
  </si>
  <si>
    <t>60S ribosomal protein L36a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</si>
  <si>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</si>
  <si>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</si>
  <si>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</si>
  <si>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</si>
  <si>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</si>
  <si>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</si>
  <si>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Forkhead box protein K1</t>
  </si>
  <si>
    <t>Isoform 2 of Proline-rich protein 5</t>
  </si>
  <si>
    <t>Vacuolar fusion protein CCZ1 homolog</t>
  </si>
  <si>
    <t>Isoform 3 of Disabled homolog 2</t>
  </si>
  <si>
    <t>Mucin-5AC (Fragments)</t>
  </si>
  <si>
    <t>Isoform Short of Very low-density lipoprotein receptor</t>
  </si>
  <si>
    <t>Basement membrane-specific heparan sulfate proteoglycan core protein</t>
  </si>
  <si>
    <t>E3 ubiquitin-protein ligase XIAP</t>
  </si>
  <si>
    <t>FYVE, RhoGEF and PH domain-containing protein 1</t>
  </si>
  <si>
    <t>Isoform 4 of RNA-binding protein 10</t>
  </si>
  <si>
    <t>Putative RNA-binding protein 3</t>
  </si>
  <si>
    <t>Isoform 2 of 55 kDa erythrocyte membrane protein</t>
  </si>
  <si>
    <t>Transcription factor A, mitochondrial</t>
  </si>
  <si>
    <t>Phosphatidylinositol transfer protein alpha isoform</t>
  </si>
  <si>
    <t>Vigilin</t>
  </si>
  <si>
    <t>Transcription initiation factor IIB</t>
  </si>
  <si>
    <t>Cyclin-dependent kinase 3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</si>
  <si>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</si>
  <si>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</si>
  <si>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</si>
  <si>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</si>
  <si>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</si>
  <si>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</si>
  <si>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</si>
  <si>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</si>
  <si>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Sorbitol dehydrogenase</t>
  </si>
  <si>
    <t>Heterogeneous nuclear ribonucleoprotein U</t>
  </si>
  <si>
    <t>Isoform Short of Heterogeneous nuclear ribonucleoprotein U</t>
  </si>
  <si>
    <t>Interferon regulatory factor 9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</si>
  <si>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</si>
  <si>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</si>
  <si>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</si>
  <si>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</si>
  <si>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Protein SET</t>
  </si>
  <si>
    <t>Isoform 2 of Protein SET</t>
  </si>
  <si>
    <t>Forkhead box protein K2</t>
  </si>
  <si>
    <t>AMP deaminase 3</t>
  </si>
  <si>
    <t>AMP deaminase 2</t>
  </si>
  <si>
    <t>Di-N-acetylchitobiase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</si>
  <si>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</si>
  <si>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</si>
  <si>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</si>
  <si>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</si>
  <si>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Isoform 2 of Exosome component 10</t>
  </si>
  <si>
    <t>OTU domain-containing protein 4</t>
  </si>
  <si>
    <t>6-phosphofructokinase type C</t>
  </si>
  <si>
    <t>Isoform 6 of RNA-binding protein EWS</t>
  </si>
  <si>
    <t>Cerebellar degeneration-related protein 2</t>
  </si>
  <si>
    <t>Isoform B of Inositol polyphosphate 5-phosphatase OCRL-1</t>
  </si>
  <si>
    <t>1-phosphatidylinositol 4,5-bisphosphate phosphodiesterase beta-3</t>
  </si>
  <si>
    <t>Tyrosine-protein kinase transmembrane receptor ROR1</t>
  </si>
  <si>
    <t>Transgelin</t>
  </si>
  <si>
    <t>A-kinase anchor protein 17A</t>
  </si>
  <si>
    <t>Isoform RSRFC9 of Myocyte-specific enhancer factor 2A</t>
  </si>
  <si>
    <t>Isoform 2 of N-acylethanolamine-hydrolyzing acid amidase</t>
  </si>
  <si>
    <t>Isoform 2 of Transcription factor Sp2</t>
  </si>
  <si>
    <t>Protein kinase C epsilon type</t>
  </si>
  <si>
    <t>Isoform 3 of Centromere-associated protein E</t>
  </si>
  <si>
    <t>Kinesin-like protein KIF23</t>
  </si>
  <si>
    <t>Isoform 2 of Kinesin-like protein KIF23</t>
  </si>
  <si>
    <t>Pro-neuregulin-1, membrane-bound isoform</t>
  </si>
  <si>
    <t>Amyloid beta A4 precursor protein-binding family A member 1</t>
  </si>
  <si>
    <t>Desmoglein-1</t>
  </si>
  <si>
    <t>Isoform 3 of Transcription factor Sp3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</si>
  <si>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</si>
  <si>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</si>
  <si>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</si>
  <si>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</si>
  <si>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</si>
  <si>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</si>
  <si>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Beta-1 of DNA topoisomerase 2-beta</t>
  </si>
  <si>
    <t>Isoform 3 of A-kinase anchor protein 12</t>
  </si>
  <si>
    <t>Dystonin</t>
  </si>
  <si>
    <t>Isoform 2 of Dystonin</t>
  </si>
  <si>
    <t>Protein ENL</t>
  </si>
  <si>
    <t>Caveolin-1</t>
  </si>
  <si>
    <t>Aminoacylase-1</t>
  </si>
  <si>
    <t>Isoform 2 of Histone-lysine N-methyltransferase MLL</t>
  </si>
  <si>
    <t>Tumor necrosis factor alpha-induced protein 2</t>
  </si>
  <si>
    <t>Lamin-B2</t>
  </si>
  <si>
    <t>6-pyruvoyl tetrahydrobiopterin synthase</t>
  </si>
  <si>
    <t>DNA excision repair protein ERCC-6</t>
  </si>
  <si>
    <t>CCAAT/enhancer-binding protein zeta</t>
  </si>
  <si>
    <t>1,4-alpha-glucan-branching enzyme</t>
  </si>
  <si>
    <t>Isoform B of Eukaryotic translation initiation factor 4 gamma 1</t>
  </si>
  <si>
    <t>Isoform 5 of Copper-transporting ATPase 1</t>
  </si>
  <si>
    <t>Transducin-like enhancer protein 1</t>
  </si>
  <si>
    <t>Isoform 3 of Transducin-like enhancer protein 3</t>
  </si>
  <si>
    <t>Hepatocyte growth factor activator</t>
  </si>
  <si>
    <t>Lactoylglutathione lyase</t>
  </si>
  <si>
    <t>Aldo-keto reductase family 1 member C1</t>
  </si>
  <si>
    <t>Single-stranded DNA-binding protein, mitochondrial</t>
  </si>
  <si>
    <t>14-3-3 protein eta</t>
  </si>
  <si>
    <t>Cleavage stimulation factor subunit 1</t>
  </si>
  <si>
    <t>Isoform III of Ubiquitin-protein ligase E3A</t>
  </si>
  <si>
    <t>Dynamin-1</t>
  </si>
  <si>
    <t>Tyrosine-protein phosphatase non-receptor type 12</t>
  </si>
  <si>
    <t>Protein kinase C zeta type</t>
  </si>
  <si>
    <t>Isoform 2 of Serine/arginine-rich splicing factor 11</t>
  </si>
  <si>
    <t>Elongation factor 1-alpha 2</t>
  </si>
  <si>
    <t>Protein kinase C delta type</t>
  </si>
  <si>
    <t>Isoform 4 of Caldesmon</t>
  </si>
  <si>
    <t>2-5A-dependent ribonuclease</t>
  </si>
  <si>
    <t>Tyrosine-protein phosphatase non-receptor type 11</t>
  </si>
  <si>
    <t>Serine/threonine-protein phosphatase 2A regulatory subunit B subunit alpha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</si>
  <si>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</si>
  <si>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</si>
  <si>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</si>
  <si>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</si>
  <si>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</si>
  <si>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GA-binding protein alpha chain</t>
  </si>
  <si>
    <t>Isoform 2 of GA-binding protein subunit beta-1</t>
  </si>
  <si>
    <t>E3 ubiquitin-protein ligase RING1</t>
  </si>
  <si>
    <t>Isoform 3 of DNA repair protein RAD51 homolog 1</t>
  </si>
  <si>
    <t>Isoform 8 of Fragile X mental retardation protein 1</t>
  </si>
  <si>
    <t>Transcription factor SOX-4</t>
  </si>
  <si>
    <t>60S ribosomal protein L18</t>
  </si>
  <si>
    <t>Complement component 1 Q subcomponent-binding protein, mitochondrial</t>
  </si>
  <si>
    <t>Cytoskeleton-associated protein 4</t>
  </si>
  <si>
    <t>Trichohyalin</t>
  </si>
  <si>
    <t>Isoform PDE4B3 of cAMP-specific 3,5-cyclic phosphodiesterase 4B</t>
  </si>
  <si>
    <t>Sperm-associated antigen 1</t>
  </si>
  <si>
    <t>KH domain-containing, RNA-binding, signal transduction-associated protein 1</t>
  </si>
  <si>
    <t>Isoform Sigma of Apoptosis regulator BAX</t>
  </si>
  <si>
    <t>Induced myeloid leukemia cell differentiation protein Mcl-1</t>
  </si>
  <si>
    <t>Isoform N of Kinesin light chain 1</t>
  </si>
  <si>
    <t>Prolow-density lipoprotein receptor-related protein 1</t>
  </si>
  <si>
    <t>Serine/arginine-rich splicing factor 1</t>
  </si>
  <si>
    <t>Rho GTPase-activating protein 1</t>
  </si>
  <si>
    <t>Amino-terminal enhancer of split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</si>
  <si>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</si>
  <si>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</si>
  <si>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</si>
  <si>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</si>
  <si>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Golgin subfamily A member 3</t>
  </si>
  <si>
    <t>Golgin subfamily A member 2</t>
  </si>
  <si>
    <t>Galectin-3-binding protein</t>
  </si>
  <si>
    <t>Dematin</t>
  </si>
  <si>
    <t>Isoform 5 of cAMP-specific 3,5-cyclic phosphodiesterase 4D</t>
  </si>
  <si>
    <t>Peptidyl-prolyl cis-trans isomerase D</t>
  </si>
  <si>
    <t>FACT complex subunit SSRP1</t>
  </si>
  <si>
    <t>Retinoblastoma-like protein 2</t>
  </si>
  <si>
    <t>Isoform 2 of Calmodulin-regulated spectrin-associated protein 2</t>
  </si>
  <si>
    <t>Isoform 2 of Protein spire homolog 1</t>
  </si>
  <si>
    <t>Schlafen family member 5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</si>
  <si>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</si>
  <si>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</si>
  <si>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</si>
  <si>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</si>
  <si>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</si>
  <si>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</si>
  <si>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</si>
  <si>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Isoform 2 of Neuroblast differentiation-associated protein AHNAK</t>
  </si>
  <si>
    <t>FCH domain only protein 2</t>
  </si>
  <si>
    <t>Elongator complex protein 6</t>
  </si>
  <si>
    <t>Heat shock 70 kDa protein 14</t>
  </si>
  <si>
    <t>Secernin-3</t>
  </si>
  <si>
    <t>Cingulin-like protein 1</t>
  </si>
  <si>
    <t>Fanconi anemia-associated protein of 100 kDa</t>
  </si>
  <si>
    <t>Ragulator complex protein LAMTOR4</t>
  </si>
  <si>
    <t>Isoform B of AP-1 complex subunit beta-1</t>
  </si>
  <si>
    <t>Isoform C of AP-1 complex subunit beta-1</t>
  </si>
  <si>
    <t>Cleavage and polyadenylation specificity factor subunit 1</t>
  </si>
  <si>
    <t>Mitochondrial-processing peptidase subunit alpha</t>
  </si>
  <si>
    <t>Kinesin-like protein KIF1A</t>
  </si>
  <si>
    <t>Secernin-1</t>
  </si>
  <si>
    <t>WASH complex subunit strumpellin</t>
  </si>
  <si>
    <t>Nuclear pore complex protein Nup160</t>
  </si>
  <si>
    <t>Sterol regulatory element-binding protein 2</t>
  </si>
  <si>
    <t>Rho guanine nucleotide exchange factor 5</t>
  </si>
  <si>
    <t>General transcription factor 3C polypeptide 1</t>
  </si>
  <si>
    <t>Twinfilin-1</t>
  </si>
  <si>
    <t>Aspartyl/asparaginyl beta-hydroxylase</t>
  </si>
  <si>
    <t>A-kinase anchor protein 13</t>
  </si>
  <si>
    <t>Isoform B of SWI/SNF-related matrix-associated actin-dependent regulator of chromatin subfamily B member 1</t>
  </si>
  <si>
    <t>Isoform 4 of Nucleosome-remodeling factor subunit BPTF</t>
  </si>
  <si>
    <t>Follistatin-related protein 1</t>
  </si>
  <si>
    <t>Syntaxin-4</t>
  </si>
  <si>
    <t>Isoform 2 of G-rich sequence factor 1</t>
  </si>
  <si>
    <t>Isoform 2 of Contactin-1</t>
  </si>
  <si>
    <t>Splicing factor, suppressor of white-apricot homolog</t>
  </si>
  <si>
    <t>Chromodomain-helicase-DNA-binding protein 3</t>
  </si>
  <si>
    <t>Splicing factor 3A subunit 3</t>
  </si>
  <si>
    <t>Dihydropyrimidine dehydrogenase [NADP(+)]</t>
  </si>
  <si>
    <t>Tumor suppressor p53-binding protein 1</t>
  </si>
  <si>
    <t>Aminoacyl tRNA synthase complex-interacting multifunctional protein 1</t>
  </si>
  <si>
    <t>Interleukin enhancer-binding factor 2</t>
  </si>
  <si>
    <t>Isoform 7 of Interleukin enhancer-binding factor 3</t>
  </si>
  <si>
    <t>Receptor-type tyrosine-protein phosphatase eta</t>
  </si>
  <si>
    <t>Isoform 2 of Tyrosine-protein phosphatase non-receptor type 13</t>
  </si>
  <si>
    <t>Epidermal growth factor receptor kinase substrate 8</t>
  </si>
  <si>
    <t>Isoform 3 of TNF receptor-associated factor 2</t>
  </si>
  <si>
    <t>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</si>
  <si>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</si>
  <si>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</si>
  <si>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</si>
  <si>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</si>
  <si>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</si>
  <si>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</si>
  <si>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</si>
  <si>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BCL2/adenovirus E1B 19 kDa protein-interacting protein 2</t>
  </si>
  <si>
    <t>Transcriptional repressor NF-X1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</si>
  <si>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</si>
  <si>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</si>
  <si>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</si>
  <si>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</si>
  <si>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</si>
  <si>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</si>
  <si>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Protein flightless-1 homolog</t>
  </si>
  <si>
    <t>Isoform 2 of Protein flightless-1 homolog</t>
  </si>
  <si>
    <t>E3 ubiquitin-protein ligase TRIM32</t>
  </si>
  <si>
    <t>Bifunctional coenzyme A synthase</t>
  </si>
  <si>
    <t>TNF receptor-associated factor 1</t>
  </si>
  <si>
    <t>Acetyl-CoA carboxylase 1</t>
  </si>
  <si>
    <t>Isoform 2 of Ubiquitin carboxyl-terminal hydrolase 4</t>
  </si>
  <si>
    <t>Chromatin assembly factor 1 subunit A</t>
  </si>
  <si>
    <t>Chromatin assembly factor 1 subunit B</t>
  </si>
  <si>
    <t>Isoform 2 of TNF receptor-associated factor 3</t>
  </si>
  <si>
    <t>Dual specificity protein phosphatase 4</t>
  </si>
  <si>
    <t>Isoform 2 of Krueppel-like factor 10</t>
  </si>
  <si>
    <t>Protein Red</t>
  </si>
  <si>
    <t>Isoform 4 of RE1-silencing transcription factor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</si>
  <si>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</si>
  <si>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</si>
  <si>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</si>
  <si>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</si>
  <si>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</si>
  <si>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</si>
  <si>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</si>
  <si>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</si>
  <si>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</si>
  <si>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</si>
  <si>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</si>
  <si>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</si>
  <si>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</si>
  <si>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</si>
  <si>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E3 ubiquitin-protein ligase CBL-B</t>
  </si>
  <si>
    <t>26S proteasome non-ATPase regulatory subunit 2</t>
  </si>
  <si>
    <t>Probable ATP-dependent RNA helicase DDX10</t>
  </si>
  <si>
    <t>DnaJ homolog subfamily C member 3</t>
  </si>
  <si>
    <t>Pappalysin-1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</si>
  <si>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</si>
  <si>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</si>
  <si>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</si>
  <si>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</si>
  <si>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</si>
  <si>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</si>
  <si>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Metabotropic glutamate receptor 1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</si>
  <si>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</si>
  <si>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</si>
  <si>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</si>
  <si>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</si>
  <si>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</si>
  <si>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Isoform 2 of Voltage-gated potassium channel subunit beta-2</t>
  </si>
  <si>
    <t>Isoform 3 of Inactive tyrosine-protein kinase 7</t>
  </si>
  <si>
    <t>Isoform 2 of S-phase kinase-associated protein 2</t>
  </si>
  <si>
    <t>Isoform 3 of Polyadenylate-binding protein 4</t>
  </si>
  <si>
    <t>Serine-protein kinase ATM</t>
  </si>
  <si>
    <t>Isoform 1 of Growth factor receptor-bound protein 10</t>
  </si>
  <si>
    <t>Interferon-induced protein with tetratricopeptide repeats 5</t>
  </si>
  <si>
    <t>Isoform 3 of Metastasis-associated protein MTA1</t>
  </si>
  <si>
    <t>Isoform 2 of Receptor-type tyrosine-protein phosphatase S</t>
  </si>
  <si>
    <t>Eukaryotic translation initiation factor 3 subunit I</t>
  </si>
  <si>
    <t>Isoform 4 of Serine/threonine-protein phosphatase 2A 56 kDa regulatory subunit gamma isoform</t>
  </si>
  <si>
    <t>Isoform 2 of C-terminal-binding protein 1</t>
  </si>
  <si>
    <t>Phosducin-like protein</t>
  </si>
  <si>
    <t>Probable methyltransferase TARBP1</t>
  </si>
  <si>
    <t>Ubiquitin-conjugating enzyme E2 variant 1</t>
  </si>
  <si>
    <t>Isoform 2F of Cytoplasmic dynein 1 intermediate chain 2</t>
  </si>
  <si>
    <t>Origin recognition complex subunit 2</t>
  </si>
  <si>
    <t>Integrin-linked protein kinase</t>
  </si>
  <si>
    <t>Beta-2-syntrophin</t>
  </si>
  <si>
    <t>DNA repair protein XRCC4</t>
  </si>
  <si>
    <t>Peptidyl-prolyl cis-trans isomerase G</t>
  </si>
  <si>
    <t>Isoform 4 of Treacle protein</t>
  </si>
  <si>
    <t>Protein unc-119 homolog A</t>
  </si>
  <si>
    <t>Zinc transporter ZIP6</t>
  </si>
  <si>
    <t>Splicing factor 3B subunit 2</t>
  </si>
  <si>
    <t>Isoform 3 of Golgin subfamily A member 4</t>
  </si>
  <si>
    <t>28 kDa heat- and acid-stable phosphoprotein</t>
  </si>
  <si>
    <t>Disintegrin and metalloproteinase domain-containing protein 9</t>
  </si>
  <si>
    <t>Peptidyl-prolyl cis-trans isomerase FKBP5</t>
  </si>
  <si>
    <t>Rho-associated protein kinase 1</t>
  </si>
  <si>
    <t>Isoform 2 of GRB2-associated-binding protein 1</t>
  </si>
  <si>
    <t>Isoform 3 of Phosphatidylinositol-binding clathrin assembly protein</t>
  </si>
  <si>
    <t>Myotubularin</t>
  </si>
  <si>
    <t>Sequestosome-1</t>
  </si>
  <si>
    <t>Mediator of RNA polymerase II transcription subunit 21</t>
  </si>
  <si>
    <t>NGFI-A-binding protein 1</t>
  </si>
  <si>
    <t>Tubulin beta-3 chain</t>
  </si>
  <si>
    <t>Oligodendrocyte transcription factor 2</t>
  </si>
  <si>
    <t>Peptidyl-prolyl cis-trans isomerase NIMA-interacting 1</t>
  </si>
  <si>
    <t>Isoform 2 of Serine/threonine-protein kinase ATR</t>
  </si>
  <si>
    <t>Eukaryotic translation initiation factor 4E-binding protein 1</t>
  </si>
  <si>
    <t>Receptor-interacting serine/threonine-protein kinase 1</t>
  </si>
  <si>
    <t>Histone deacetylase 1</t>
  </si>
  <si>
    <t>Isoform Delta 6 of Calcium/calmodulin-dependent protein kinase type II subunit delta</t>
  </si>
  <si>
    <t>Dynactin subunit 2</t>
  </si>
  <si>
    <t>Isoform 2 of Polycystin-2</t>
  </si>
  <si>
    <t>Isoform 2 of NEDD8-activating enzyme E1 regulatory subunit</t>
  </si>
  <si>
    <t>Isoform 5 of Interferon regulatory factor 5</t>
  </si>
  <si>
    <t>Inositol-tetrakisphosphate 1-kinase</t>
  </si>
  <si>
    <t>Sorting nexin-1</t>
  </si>
  <si>
    <t>Myotubularin-related protein 1</t>
  </si>
  <si>
    <t>Myotubularin-related protein 2</t>
  </si>
  <si>
    <t>Isoform C of Myotubularin-related protein 3</t>
  </si>
  <si>
    <t>Cullin-1</t>
  </si>
  <si>
    <t>Cullin-2</t>
  </si>
  <si>
    <t>Cullin-3</t>
  </si>
  <si>
    <t>Cullin-4A</t>
  </si>
  <si>
    <t>Apoptosis-stimulating of p53 protein 2</t>
  </si>
  <si>
    <t>Isoform 2 of Dual specificity tyrosine-phosphorylation-regulated kinase 1A</t>
  </si>
  <si>
    <t>GDP-L-fucose synthase</t>
  </si>
  <si>
    <t>Ras-related protein Rab-32</t>
  </si>
  <si>
    <t>Trophoblast glycoprotein</t>
  </si>
  <si>
    <t>Isoform 1 of Four and a half LIM domains protein 1</t>
  </si>
  <si>
    <t>Four and a half LIM domains protein 3</t>
  </si>
  <si>
    <t>Putative postmeiotic segregation increased 2-like protein 11</t>
  </si>
  <si>
    <t>Ras and Rab interactor 1</t>
  </si>
  <si>
    <t>Alkylated DNA repair protein alkB homolog 1</t>
  </si>
  <si>
    <t>Isoform 2 of CD166 antigen</t>
  </si>
  <si>
    <t>THO complex subunit 5 homolog</t>
  </si>
  <si>
    <t>Protein Shroom2</t>
  </si>
  <si>
    <t>Spectrin alpha chain, non-erythrocytic 1</t>
  </si>
  <si>
    <t>Isoform 3 of Spectrin alpha chain, non-erythrocytic 1</t>
  </si>
  <si>
    <t>Methylglutaconyl-CoA hydratase, mitochondrial</t>
  </si>
  <si>
    <t>Spliceosome RNA helicase DDX39B</t>
  </si>
  <si>
    <t>Bleomycin hydrolase</t>
  </si>
  <si>
    <t>Exosome complex component RRP4</t>
  </si>
  <si>
    <t>Tubulin beta-2A chain</t>
  </si>
  <si>
    <t>Krueppel-like factor 5</t>
  </si>
  <si>
    <t>Bystin</t>
  </si>
  <si>
    <t>Isopentenyl-diphosphate Delta-isomerase 1</t>
  </si>
  <si>
    <t>Calcyphosin</t>
  </si>
  <si>
    <t>Core-binding factor subunit beta</t>
  </si>
  <si>
    <t>Isoform 2 of Core-binding factor subunit beta</t>
  </si>
  <si>
    <t>Isoform 2 of Nuclear transcription factor Y subunit gamma</t>
  </si>
  <si>
    <t>Cyclin-dependent kinase 13</t>
  </si>
  <si>
    <t>Cytoskeleton-associated protein 5</t>
  </si>
  <si>
    <t>Cold-inducible RNA-binding protein</t>
  </si>
  <si>
    <t>Calcium/calmodulin-dependent protein kinase type 1</t>
  </si>
  <si>
    <t>Coactosin-like protein</t>
  </si>
  <si>
    <t>Bile acid-CoA:amino acid N-acyltransferase</t>
  </si>
  <si>
    <t>Cytochrome c oxidase copper chaperone</t>
  </si>
  <si>
    <t>Isoform 3 of Heterogeneous nuclear ribonucleoprotein D0</t>
  </si>
  <si>
    <t>Isoform 2 of Lysosome membrane protein 2</t>
  </si>
  <si>
    <t>Isoform 4 of Low-density lipoprotein receptor-related protein 8</t>
  </si>
  <si>
    <t>Isoform 2 of Interleukin-18</t>
  </si>
  <si>
    <t>Dystroglycan</t>
  </si>
  <si>
    <t>Calcium/calmodulin-dependent 3,5-cyclic nucleotide phosphodiesterase 1C</t>
  </si>
  <si>
    <t>Desmoglein-2</t>
  </si>
  <si>
    <t>Ribosome biogenesis protein BOP1</t>
  </si>
  <si>
    <t>Ubiquitin conjugation factor E4 A</t>
  </si>
  <si>
    <t>Isoform I of Septin-6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</si>
  <si>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</si>
  <si>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</si>
  <si>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</si>
  <si>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</si>
  <si>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</si>
  <si>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Isoform 1 of Rho guanine nucleotide exchange factor 7</t>
  </si>
  <si>
    <t>Isoform 2 of Ubiquitin-associated protein 2-like</t>
  </si>
  <si>
    <t>Isoform 3 of Protein scribble homolog</t>
  </si>
  <si>
    <t>ARF GTPase-activating protein GIT2</t>
  </si>
  <si>
    <t>Tubulin--tyrosine ligase-like protein 12</t>
  </si>
  <si>
    <t>DNA polymerase alpha subunit B</t>
  </si>
  <si>
    <t>Dedicator of cytokinesis protein 1</t>
  </si>
  <si>
    <t>Werner syndrome ATP-dependent helicase</t>
  </si>
  <si>
    <t>Four and a half LIM domains protein 2</t>
  </si>
  <si>
    <t>Isoform LCRMP-4 of Dihydropyrimidinase-related protein 3</t>
  </si>
  <si>
    <t>Isoform 2 of Zinc finger MYM-type protein 3</t>
  </si>
  <si>
    <t>Isoform 3 of Dynactin subunit 1</t>
  </si>
  <si>
    <t>Cytoplasmic dynein 1 heavy chain 1</t>
  </si>
  <si>
    <t>Protein NPAT</t>
  </si>
  <si>
    <t>Translation initiation factor eIF-2B subunit alpha</t>
  </si>
  <si>
    <t>Eukaryotic initiation factor 4A-II</t>
  </si>
  <si>
    <t>Transcription elongation factor B polypeptide 3</t>
  </si>
  <si>
    <t>Ensconsin</t>
  </si>
  <si>
    <t>Src substrate cortactin</t>
  </si>
  <si>
    <t>Isoform 3 of Src substrate cortactin</t>
  </si>
  <si>
    <t>Endonuclease G, mitochondrial</t>
  </si>
  <si>
    <t>Reticulocalbin-2</t>
  </si>
  <si>
    <t>E3 ubiquitin/ISG15 ligase TRIM25</t>
  </si>
  <si>
    <t>Isoform 2 of Protein-tyrosine kinase 2-beta</t>
  </si>
  <si>
    <t>Isoform 2 of Filamin-C</t>
  </si>
  <si>
    <t>Protein FAM50A</t>
  </si>
  <si>
    <t>Protein FRG1</t>
  </si>
  <si>
    <t>Guanidinoacetate N-methyltransferase</t>
  </si>
  <si>
    <t>UDP-glucose 4-epimerase</t>
  </si>
  <si>
    <t>cGMP-inhibited 3,5-cyclic phosphodiesterase A</t>
  </si>
  <si>
    <t>Isoform 2 of Caprin-1</t>
  </si>
  <si>
    <t>Growth factor receptor-bound protein 14</t>
  </si>
  <si>
    <t>Growth factor receptor-bound protein 7</t>
  </si>
  <si>
    <t>Beclin-1</t>
  </si>
  <si>
    <t>Transcription factor HES-1</t>
  </si>
  <si>
    <t>Histone RNA hairpin-binding protein</t>
  </si>
  <si>
    <t>Isoform 2 of RNA-binding protein 39</t>
  </si>
  <si>
    <t>Isoform 3 of Enhancer of filamentation 1</t>
  </si>
  <si>
    <t>Protocadherin Fat 1</t>
  </si>
  <si>
    <t>Isoform 2 of Hyaluronan-binding protein 2</t>
  </si>
  <si>
    <t>Helicase-like transcription factor</t>
  </si>
  <si>
    <t>Protein disulfide-isomerase A5</t>
  </si>
  <si>
    <t>Isoform 2 of Phosphoribosyl pyrophosphate synthase-associated protein 1</t>
  </si>
  <si>
    <t>ATP-dependent RNA helicase DHX8</t>
  </si>
  <si>
    <t>DNA replication licensing factor MCM6</t>
  </si>
  <si>
    <t>Plastin-1</t>
  </si>
  <si>
    <t>Interferon regulatory factor 3</t>
  </si>
  <si>
    <t>L antigen family member 3</t>
  </si>
  <si>
    <t>Isoform 3 of E3 ubiquitin-protein ligase TRIP12</t>
  </si>
  <si>
    <t>Isoform 2 of Pumilio homolog 1</t>
  </si>
  <si>
    <t>Mediator of DNA damage checkpoint protein 1</t>
  </si>
  <si>
    <t>Clathrin interactor 1</t>
  </si>
  <si>
    <t>KN motif and ankyrin repeat domain-containing protein 1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</si>
  <si>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</si>
  <si>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</si>
  <si>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</si>
  <si>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</si>
  <si>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</si>
  <si>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Isoform 6 of Disco-interacting protein 2 homolog A</t>
  </si>
  <si>
    <t>DNA replication complex GINS protein PSF1</t>
  </si>
  <si>
    <t>Ubiquitin carboxyl-terminal hydrolase 10</t>
  </si>
  <si>
    <t>LDLR chaperone MESD</t>
  </si>
  <si>
    <t>Neutral alpha-glucosidase AB</t>
  </si>
  <si>
    <t>Major vault protein</t>
  </si>
  <si>
    <t>Golgin subfamily B member 1</t>
  </si>
  <si>
    <t>Isoform 9 of Caspase-8</t>
  </si>
  <si>
    <t>N-alpha-acetyltransferase 30</t>
  </si>
  <si>
    <t>Isoform 2 of Kinesin-like protein KIF22</t>
  </si>
  <si>
    <t>Isoform MEF2DA0 of Myocyte-specific enhancer factor 2D</t>
  </si>
  <si>
    <t>Isoform 2 of Chromodomain-helicase-DNA-binding protein 4</t>
  </si>
  <si>
    <t>LIM and SH3 domain protein 1</t>
  </si>
  <si>
    <t>Thiomorpholine-carboxylate dehydrogenase</t>
  </si>
  <si>
    <t>Isoform 2 of Prostaglandin reductase 1</t>
  </si>
  <si>
    <t>Isoform 2 of Dr1-associated corepressor</t>
  </si>
  <si>
    <t>Zinc finger protein 638</t>
  </si>
  <si>
    <t>Importin subunit beta-1</t>
  </si>
  <si>
    <t>Isoform Beta of Nucleolar and coiled-body phosphoprotein 1</t>
  </si>
  <si>
    <t>Nuclear mitotic apparatus protein 1</t>
  </si>
  <si>
    <t>Isoform 2 of Nuclear mitotic apparatus protein 1</t>
  </si>
  <si>
    <t>Proteasome activator complex subunit 4</t>
  </si>
  <si>
    <t>Cullin-7</t>
  </si>
  <si>
    <t>Isoform 5 of GTPase-activating protein and VPS9 domain-containing protein 1</t>
  </si>
  <si>
    <t>UBX domain-containing protein 2B</t>
  </si>
  <si>
    <t>N-alpha-acetyltransferase 25, NatB auxiliary subunit</t>
  </si>
  <si>
    <t>UPF0472 protein C16orf72</t>
  </si>
  <si>
    <t>Condensin complex subunit 2</t>
  </si>
  <si>
    <t>PCNA-associated factor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</si>
  <si>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</si>
  <si>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</si>
  <si>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</si>
  <si>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MAD2L1-binding protein</t>
  </si>
  <si>
    <t>Mortality factor 4-like protein 2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</si>
  <si>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</si>
  <si>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</si>
  <si>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</si>
  <si>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</si>
  <si>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</si>
  <si>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</si>
  <si>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</si>
  <si>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</si>
  <si>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</si>
  <si>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</si>
  <si>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</si>
  <si>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</si>
  <si>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Leucine-rich repeat-containing protein 14</t>
  </si>
  <si>
    <t>DNA polymerase delta subunit 3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</si>
  <si>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</si>
  <si>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</si>
  <si>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</si>
  <si>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</si>
  <si>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</si>
  <si>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</si>
  <si>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Early endosome antigen 1</t>
  </si>
  <si>
    <t>Platelet-activating factor acetylhydrolase IB subunit gamma</t>
  </si>
  <si>
    <t>[Pyruvate dehydrogenase [lipoamide]] kinase isozyme 3, mitochondrial</t>
  </si>
  <si>
    <t>Astrocytic phosphoprotein PEA-15</t>
  </si>
  <si>
    <t>Phosphomevalonate kinase</t>
  </si>
  <si>
    <t>Serine/threonine-protein kinase D1</t>
  </si>
  <si>
    <t>Isoform 3 of 1-phosphatidylinositol 4,5-bisphosphate phosphodiesterase beta-4</t>
  </si>
  <si>
    <t>Plectin</t>
  </si>
  <si>
    <t>Isoform 3 of Plectin</t>
  </si>
  <si>
    <t>Isoform 4 of Plectin</t>
  </si>
  <si>
    <t>Isoform 8 of Plectin</t>
  </si>
  <si>
    <t>Pericentriolar material 1 protein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</si>
  <si>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</si>
  <si>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</si>
  <si>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</si>
  <si>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</si>
  <si>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</si>
  <si>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</si>
  <si>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</si>
  <si>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Isoform 1 of Serine/threonine-protein phosphatase 2A activator</t>
  </si>
  <si>
    <t>Isoform 2 of Receptor-type tyrosine-protein phosphatase kappa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</si>
  <si>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</si>
  <si>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</si>
  <si>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</si>
  <si>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</si>
  <si>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</si>
  <si>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</si>
  <si>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</si>
  <si>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</si>
  <si>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Poly(rC)-binding protein 1</t>
  </si>
  <si>
    <t>Isoform 6 of Poly(rC)-binding protein 2</t>
  </si>
  <si>
    <t>Isoform 2 of Transcription elongation factor B polypeptide 2</t>
  </si>
  <si>
    <t>GTP-binding protein Rheb</t>
  </si>
  <si>
    <t>Ubiquitin-protein ligase E3C</t>
  </si>
  <si>
    <t>Isoform 2 of Mitochondrial fission regulator 1</t>
  </si>
  <si>
    <t>Splicing factor 3B subunit 3</t>
  </si>
  <si>
    <t>Isoform 3 of Disks large-associated protein 5</t>
  </si>
  <si>
    <t>Ras suppressor protein 1</t>
  </si>
  <si>
    <t>Calponin-3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</si>
  <si>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</si>
  <si>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</si>
  <si>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</si>
  <si>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</si>
  <si>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</si>
  <si>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</si>
  <si>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</si>
  <si>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</si>
  <si>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Helicase SKI2W</t>
  </si>
  <si>
    <t>Isoform 2 of Surfeit locus protein 1</t>
  </si>
  <si>
    <t>Surfeit locus protein 2</t>
  </si>
  <si>
    <t>Isoform Short of Transcription initiation factor TFIID subunit 5</t>
  </si>
  <si>
    <t>Transcription initiation factor TFIID subunit 7</t>
  </si>
  <si>
    <t>Isoform 3 of Telomeric repeat-binding factor 2</t>
  </si>
  <si>
    <t>Isoform 4 of Homeobox protein TGIF1</t>
  </si>
  <si>
    <t>Nuclear receptor coactivator 2</t>
  </si>
  <si>
    <t>Na(+)/H(+) exchange regulatory cofactor NHE-RF2</t>
  </si>
  <si>
    <t>Isoform 3 of Na(+)/H(+) exchange regulatory cofactor NHE-RF2</t>
  </si>
  <si>
    <t>Tumor necrosis factor receptor type 1-associated DEATH domain protein</t>
  </si>
  <si>
    <t>Isoform 2 of RISC-loading complex subunit TARBP2</t>
  </si>
  <si>
    <t>Isoform 4 of Splicing factor 1</t>
  </si>
  <si>
    <t>Isoform 5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</si>
  <si>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</si>
  <si>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</si>
  <si>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</si>
  <si>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</si>
  <si>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</si>
  <si>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</si>
  <si>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</si>
  <si>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</si>
  <si>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Probable JmjC domain-containing histone demethylation protein 2C</t>
  </si>
  <si>
    <t>Thyroid receptor-interacting protein 6</t>
  </si>
  <si>
    <t>Microtubule-associated protein RP/EB family member 1</t>
  </si>
  <si>
    <t>Isoform 2 of Zinc finger protein 174</t>
  </si>
  <si>
    <t>ALX homeobox protein 1</t>
  </si>
  <si>
    <t>TSC22 domain family protein 1</t>
  </si>
  <si>
    <t>ELAV-like protein 1</t>
  </si>
  <si>
    <t>NGFI-A-binding protein 2</t>
  </si>
  <si>
    <t>Isoform 3B of Myosin light chain kinase, smooth muscle</t>
  </si>
  <si>
    <t>Isoform 2 of TGF-beta-activated kinase 1 and MAP3K7-binding protein 1</t>
  </si>
  <si>
    <t>Probable E3 ubiquitin-protein ligase HERC1</t>
  </si>
  <si>
    <t>Isoform 3 of Neutral amino acid transporter B(0)</t>
  </si>
  <si>
    <t>Mitogen-activated protein kinase 11</t>
  </si>
  <si>
    <t>Myeloid leukemia factor 2</t>
  </si>
  <si>
    <t>Mitochondrial import receptor subunit TOM34</t>
  </si>
  <si>
    <t>Isoform 2 of Nuclear receptor coactivator 1</t>
  </si>
  <si>
    <t>Isoform Short of Mothers against decapentaplegic homolog 2</t>
  </si>
  <si>
    <t>Tubulin-specific chaperone C</t>
  </si>
  <si>
    <t>Neuronal pentraxin-1</t>
  </si>
  <si>
    <t>Ubiquitin-conjugating enzyme E2 variant 2</t>
  </si>
  <si>
    <t>Syntaxin-binding protein 2</t>
  </si>
  <si>
    <t>Vesicle-associated membrane protein 3</t>
  </si>
  <si>
    <t>Isoform USF2A-delta-H of Upstream stimulatory factor 2</t>
  </si>
  <si>
    <t>Vacuolar protein sorting-associated protein 72 homolog</t>
  </si>
  <si>
    <t>Ras-related protein Rab-11B</t>
  </si>
  <si>
    <t>Zinc finger homeobox protein 3</t>
  </si>
  <si>
    <t>Zyxin</t>
  </si>
  <si>
    <t>Beta-synuclein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</si>
  <si>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</si>
  <si>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</si>
  <si>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</si>
  <si>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</si>
  <si>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</si>
  <si>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Insulin-like growth factor-binding protein 7</t>
  </si>
  <si>
    <t>Alpha-internexin</t>
  </si>
  <si>
    <t>Isoform 2 of 26S proteasome non-ATPase regulatory subunit 5</t>
  </si>
  <si>
    <t>Serine/threonine-protein kinase N1</t>
  </si>
  <si>
    <t>Serine/threonine-protein kinase N2</t>
  </si>
  <si>
    <t>Isoform TAFII15 of Transcription initiation factor TFIID subunit 12</t>
  </si>
  <si>
    <t>Cryptochrome-1</t>
  </si>
  <si>
    <t>Cysteine and glycine-rich protein 2</t>
  </si>
  <si>
    <t>DNA damage-binding protein 1</t>
  </si>
  <si>
    <t>Mitogen-activated protein kinase 14</t>
  </si>
  <si>
    <t>Hsp90 co-chaperone Cdc37</t>
  </si>
  <si>
    <t>Dihydropyrimidinase-related protein 2</t>
  </si>
  <si>
    <t>Histone-binding protein RBBP7</t>
  </si>
  <si>
    <t>Isoform 5 of Zinc finger protein 74</t>
  </si>
  <si>
    <t>Isoform 3 of Syntaxin-1A</t>
  </si>
  <si>
    <t>Isoform 5 of Occludin</t>
  </si>
  <si>
    <t>Male-enhanced antigen 1</t>
  </si>
  <si>
    <t>Isoform 3 of Serine/arginine-rich splicing factor 7</t>
  </si>
  <si>
    <t>Isoform SMN-delta7 of Survival motor neuron protein</t>
  </si>
  <si>
    <t>Drebrin</t>
  </si>
  <si>
    <t>MAP kinase-activated protein kinase 3</t>
  </si>
  <si>
    <t>Nuclear respiratory factor 1</t>
  </si>
  <si>
    <t>Fascin</t>
  </si>
  <si>
    <t>Isoform 5 of Gamma-interferon-inducible protein 16</t>
  </si>
  <si>
    <t>Kynureninase</t>
  </si>
  <si>
    <t>Isoform ZG of Plasma membrane calcium-transporting ATPase 3</t>
  </si>
  <si>
    <t>Putative ATP-dependent Clp protease proteolytic subunit, mitochondrial</t>
  </si>
  <si>
    <t>Isoform 1 of Diacylglycerol kinase delta</t>
  </si>
  <si>
    <t>Thiosulfate sulfurtransferase</t>
  </si>
  <si>
    <t>Ubiquitin-conjugating enzyme E2 S</t>
  </si>
  <si>
    <t>Kynurenine--oxoglutarate transaminase 1</t>
  </si>
  <si>
    <t>Hydroxyacylglutathione hydrolase, mitochondrial</t>
  </si>
  <si>
    <t>Histone H2B type 2-E</t>
  </si>
  <si>
    <t>Phosphoenolpyruvate carboxykinase [GTP], mitochondrial</t>
  </si>
  <si>
    <t>Tyrosine-protein phosphatase non-receptor type 21</t>
  </si>
  <si>
    <t>Uridine phosphorylase 1</t>
  </si>
  <si>
    <t>Hydroxyacyl-coenzyme A dehydrogenase, mitochondrial</t>
  </si>
  <si>
    <t>UTP--glucose-1-phosphate uridylyltransferase</t>
  </si>
  <si>
    <t>Deoxyguanosine kinase, mitochondrial</t>
  </si>
  <si>
    <t>V-type proton ATPase subunit F</t>
  </si>
  <si>
    <t>Isoform 2 of Putative deoxyribonuclease TATDN3</t>
  </si>
  <si>
    <t>Protein FAM98C</t>
  </si>
  <si>
    <t>Flap endonuclease GEN homolog 1</t>
  </si>
  <si>
    <t>Proto-oncogene c-Rel</t>
  </si>
  <si>
    <t>LON peptidase N-terminal domain and RING finger protein 2</t>
  </si>
  <si>
    <t>Isoform 1 of Centrosome and spindle pole-associated protein 1</t>
  </si>
  <si>
    <t>Inverted formin-2</t>
  </si>
  <si>
    <t>Sister chromatid cohesion protein PDS5 homolog A</t>
  </si>
  <si>
    <t>Glutamine and serine-rich protein 1</t>
  </si>
  <si>
    <t>Protein CLEC16A</t>
  </si>
  <si>
    <t>Isoform 4 of Methenyltetrahydrofolate synthase domain-containing protein</t>
  </si>
  <si>
    <t>AP2-associated protein kinase 1</t>
  </si>
  <si>
    <t>Isoform 5 of Centrosomal protein kizuna</t>
  </si>
  <si>
    <t>WASH complex subunit 7</t>
  </si>
  <si>
    <t>CST complex subunit CTC1</t>
  </si>
  <si>
    <t>DNA excision repair protein ERCC-6-like</t>
  </si>
  <si>
    <t>Isoform 2 of UPF0561 protein C2orf68</t>
  </si>
  <si>
    <t>Pre-rRNA-processing protein TSR1 homolog</t>
  </si>
  <si>
    <t>Glutamine-rich protein 1</t>
  </si>
  <si>
    <t>RELA protein</t>
  </si>
  <si>
    <t>WD40 repeat-containing protein SMU1</t>
  </si>
  <si>
    <t>Autophagy-related protein 2 homolog A</t>
  </si>
  <si>
    <t>TCF3 protein</t>
  </si>
  <si>
    <t>CWF19-like protein 2</t>
  </si>
  <si>
    <t>Cytoplasmic tRNA 2-thiolation protein 2</t>
  </si>
  <si>
    <t>Acid trehalase-like protein 1</t>
  </si>
  <si>
    <t>Leucine-rich repeat flightless-interacting protein 1</t>
  </si>
  <si>
    <t>Isoform 2 of Leucine-rich repeat flightless-interacting protein 1</t>
  </si>
  <si>
    <t>Isoform 3 of Leucine-rich repeat flightless-interacting protein 1</t>
  </si>
  <si>
    <t>Isoform 4 of Leucine-rich repeat flightless-interacting protein 1</t>
  </si>
  <si>
    <t>Prolyl 3-hydroxylase 1</t>
  </si>
  <si>
    <t>tRNA (guanine(37)-N1)-methyltransferase</t>
  </si>
  <si>
    <t>Echinoderm microtubule-associated protein-like 3</t>
  </si>
  <si>
    <t>DNA-directed RNA polymerase I subunit RPA43</t>
  </si>
  <si>
    <t>Glucose-fructose oxidoreductase domain-containing protein 2</t>
  </si>
  <si>
    <t>Isoform 4 of Erythroid differentiation-related factor 1</t>
  </si>
  <si>
    <t>Protein FAM161A</t>
  </si>
  <si>
    <t>Isoform 2 of Uncharacterized protein C1orf106</t>
  </si>
  <si>
    <t>Isoform 2 of MAP7 domain-containing protein 1</t>
  </si>
  <si>
    <t>UDP-N-acetylhexosamine pyrophosphorylase-like protein 1</t>
  </si>
  <si>
    <t>UPF0538 protein C2orf76</t>
  </si>
  <si>
    <t>Alpha-ketoglutarate-dependent dioxygenase alkB homolog 6</t>
  </si>
  <si>
    <t>Isoform 2 of Chromodomain-helicase-DNA-binding protein 9</t>
  </si>
  <si>
    <t>Bifunctional ATP-dependent dihydroxyacetone kinase/FAD-AMP lyase (cyclizing)</t>
  </si>
  <si>
    <t>Protein LSM12 homolog</t>
  </si>
  <si>
    <t>Putative tRNA pseudouridine synthase Pus10</t>
  </si>
  <si>
    <t>Isoform 3 of GON-4-like protein</t>
  </si>
  <si>
    <t>Isoform 2 of Girdin</t>
  </si>
  <si>
    <t>Isoform 4 of Girdin</t>
  </si>
  <si>
    <t>Rab-like protein 6</t>
  </si>
  <si>
    <t>Mitochondrial import inner membrane translocase subunit TIM50</t>
  </si>
  <si>
    <t>Galectin-related protein</t>
  </si>
  <si>
    <t>Isoform 4 of Poly [ADP-ribose] polymerase 14</t>
  </si>
  <si>
    <t>Isoform 2 of Cerebral dopamine neurotrophic factor</t>
  </si>
  <si>
    <t>UPF0489 protein C5orf22</t>
  </si>
  <si>
    <t>Cytochrome c oxidase assembly protein COX19</t>
  </si>
  <si>
    <t>Vacuolar protein sorting-associated protein 26B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</si>
  <si>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</si>
  <si>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</si>
  <si>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</si>
  <si>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</si>
  <si>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</si>
  <si>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</si>
  <si>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Taperin</t>
  </si>
  <si>
    <t>Isoform 2 of 1-phosphatidylinositol 4,5-bisphosphate phosphodiesterase eta-1</t>
  </si>
  <si>
    <t>Dynein light chain 1, axonemal</t>
  </si>
  <si>
    <t>Isoform 2 of AT-rich interactive domain-containing protein 4B</t>
  </si>
  <si>
    <t>GRIP1-associated protein 1</t>
  </si>
  <si>
    <t>Isoform 2 of B-cell CLL/lymphoma 7 protein family member A</t>
  </si>
  <si>
    <t>Isoform 2 of FLYWCH-type zinc finger-containing protein 1</t>
  </si>
  <si>
    <t>Peroxisomal 2,4-dienoyl-CoA reductase</t>
  </si>
  <si>
    <t>Isoform 2 of PAB-dependent poly(A)-specific ribonuclease subunit 2</t>
  </si>
  <si>
    <t>Uncharacterized protein C4orf46</t>
  </si>
  <si>
    <t>Isoform 2 of Protein FAM98B</t>
  </si>
  <si>
    <t>Enhancer of polycomb homolog 2</t>
  </si>
  <si>
    <t>Rho GTPase-activating protein 29</t>
  </si>
  <si>
    <t>Isoform 2 of Programmed cell death protein 4</t>
  </si>
  <si>
    <t>Centrosomal protein of 55 kDa</t>
  </si>
  <si>
    <t>Quinone oxidoreductase PIG3</t>
  </si>
  <si>
    <t>Protein Hikeshi</t>
  </si>
  <si>
    <t>Kelch-like protein 12</t>
  </si>
  <si>
    <t>Pleckstrin homology-like domain family A member 2</t>
  </si>
  <si>
    <t>tRNA wybutosine-synthesizing protein 2 homolog</t>
  </si>
  <si>
    <t>Beta-lactamase-like protein 2</t>
  </si>
  <si>
    <t>Protein TSSC1</t>
  </si>
  <si>
    <t>Single-strand selective monofunctional uracil DNA glycosylase</t>
  </si>
  <si>
    <t>Ankyrin repeat domain-containing protein SOWAHC</t>
  </si>
  <si>
    <t>Protein LBH</t>
  </si>
  <si>
    <t>BolA-like protein 3</t>
  </si>
  <si>
    <t>Isoform 4 of Cordon-bleu protein-like 1</t>
  </si>
  <si>
    <t>HCLS1-binding protein 3</t>
  </si>
  <si>
    <t>WD repeat-containing protein 81</t>
  </si>
  <si>
    <t>Isoform 2 of Shugoshin-like 2</t>
  </si>
  <si>
    <t>Peptidyl-prolyl cis-trans isomerase A</t>
  </si>
  <si>
    <t>Isoform 4 of PAB-dependent poly(A)-specific ribonuclease subunit 3</t>
  </si>
  <si>
    <t>Putative heat shock protein HSP 90-beta 2</t>
  </si>
  <si>
    <t>Putative heat shock protein HSP 90-alpha A4</t>
  </si>
  <si>
    <t>DDB1- and CUL4-associated factor 6</t>
  </si>
  <si>
    <t>Oxidoreductase-like domain-containing protein 1</t>
  </si>
  <si>
    <t>UPF0692 protein C19orf54</t>
  </si>
  <si>
    <t>Ribonuclease ZC3H12A</t>
  </si>
  <si>
    <t>RILP-like protein 1</t>
  </si>
  <si>
    <t>PDZ domain-containing protein 11</t>
  </si>
  <si>
    <t>DnaJ homolog subfamily C member 21</t>
  </si>
  <si>
    <t>Isoform 2 of N-acetyltransferase ESCO1</t>
  </si>
  <si>
    <t>Isoform 2 of Probable E3 ubiquitin-protein ligase HERC4</t>
  </si>
  <si>
    <t>cAMP-dependent protein kinase inhibitor gamma</t>
  </si>
  <si>
    <t>Metalloproteinase inhibitor 1</t>
  </si>
  <si>
    <t>Isoform 2 of BCL-6 corepressor-like protein 1</t>
  </si>
  <si>
    <t>Fidgetin</t>
  </si>
  <si>
    <t>Isoform 2 of SH3 domain-containing protein 19</t>
  </si>
  <si>
    <t>Tetratricopeptide repeat protein 32</t>
  </si>
  <si>
    <t>1,25-dihydroxyvitamin D(3) 24-hydroxylase, mitochondrial</t>
  </si>
  <si>
    <t>Tubulin beta chain</t>
  </si>
  <si>
    <t>Methyltransferase-like protein 10</t>
  </si>
  <si>
    <t>Mov10, Moloney leukemia virus 10, homolog (Mouse), isoform CRA_a</t>
  </si>
  <si>
    <t>Rho-related GTP-binding protein RhoC (Fragment)</t>
  </si>
  <si>
    <t>Isoform 2 of Melanoma inhibitory activity protein 3</t>
  </si>
  <si>
    <t>Nucleoporin p58/p45 (Fragment)</t>
  </si>
  <si>
    <t>TSC22 domain family protein 3</t>
  </si>
  <si>
    <t>Presequence protease, mitochondrial</t>
  </si>
  <si>
    <t>Isoform 2 of NHL repeat-containing protein 3</t>
  </si>
  <si>
    <t>Proteasome assembly chaperone 4</t>
  </si>
  <si>
    <t>Transcription factor Dp-1 (Fragment)</t>
  </si>
  <si>
    <t>Isoform 2 of WD repeat-containing protein 44</t>
  </si>
  <si>
    <t>High mobility group nucleosome-binding domain-containing protein 5 (Fragment)</t>
  </si>
  <si>
    <t>Protein PRRC2B</t>
  </si>
  <si>
    <t>Isoform 2 of APC membrane recruitment protein 1</t>
  </si>
  <si>
    <t>Isoform 2 of Tight junction-associated protein 1</t>
  </si>
  <si>
    <t>RRP12-like protein</t>
  </si>
  <si>
    <t>Isoform 3 of Cytochrome c oxidase assembly factor 6 homolog</t>
  </si>
  <si>
    <t>Glucocorticoid modulatory element binding protein 2, isoform CRA_a</t>
  </si>
  <si>
    <t>Torsin-1A-interacting protein 1</t>
  </si>
  <si>
    <t>Centrosomal protein of 78 kDa</t>
  </si>
  <si>
    <t>Alanine--tRNA ligase, mitochondrial</t>
  </si>
  <si>
    <t>IQ motif and SEC7 domain-containing protein 2</t>
  </si>
  <si>
    <t>Rap guanine nucleotide exchange factor 1 (Fragment)</t>
  </si>
  <si>
    <t>Testis-expressed sequence 30 protein</t>
  </si>
  <si>
    <t>FERM and PDZ domain-containing protein 3</t>
  </si>
  <si>
    <t>Isoform 3 of PCI domain-containing protein 2</t>
  </si>
  <si>
    <t>Unconventional myosin-VI (Fragment)</t>
  </si>
  <si>
    <t>Intracellular hyaluronan-binding protein 4</t>
  </si>
  <si>
    <t>Engulfment and cell motility protein 2</t>
  </si>
  <si>
    <t>Double-stranded RNA-binding protein Staufen homolog 1</t>
  </si>
  <si>
    <t>DBL-transforming protein (Fragment)</t>
  </si>
  <si>
    <t>Spindlin-2B</t>
  </si>
  <si>
    <t>Sterile alpha motif domain-containing protein 9</t>
  </si>
  <si>
    <t>Diacylglycerol kinase kappa</t>
  </si>
  <si>
    <t>Cytospin-B</t>
  </si>
  <si>
    <t>Isoform 2 of Serine/threonine-protein phosphatase 4 regulatory subunit 3B</t>
  </si>
  <si>
    <t>WD repeat domain phosphoinositide-interacting protein 3</t>
  </si>
  <si>
    <t>EGF domain-specific O-linked N-acetylglucosamine transferase</t>
  </si>
  <si>
    <t>Tubulin-specific chaperone cofactor E-like protein</t>
  </si>
  <si>
    <t>Deoxynucleotidyltransferase terminal-interacting protein 2</t>
  </si>
  <si>
    <t>Peroxisomal biogenesis factor 19 (Fragment)</t>
  </si>
  <si>
    <t>Bcl-2-like protein 1 (Fragment)</t>
  </si>
  <si>
    <t>DDB1- and CUL4-associated factor 10</t>
  </si>
  <si>
    <t>RNA-binding protein Raly (Fragment)</t>
  </si>
  <si>
    <t>Proteasome inhibitor PI31 subunit</t>
  </si>
  <si>
    <t>Isoform 4 of Rab GTPase-activating protein 1-like</t>
  </si>
  <si>
    <t>Isoform 3 of Uncharacterized protein C1orf173</t>
  </si>
  <si>
    <t>Exosome complex component MTR3</t>
  </si>
  <si>
    <t>WASH complex subunit FAM21B</t>
  </si>
  <si>
    <t>Isoform 5 of Alpha-tubulin N-acetyltransferase</t>
  </si>
  <si>
    <t>Nucleoporin NUP188 homolog</t>
  </si>
  <si>
    <t>Heterochromatin protein 1-binding protein 3</t>
  </si>
  <si>
    <t>Valine--tRNA ligase, mitochondrial</t>
  </si>
  <si>
    <t>Centrosomal protein of 170 kDa</t>
  </si>
  <si>
    <t>Isoform 3 of Centrosomal protein of 170 kDa</t>
  </si>
  <si>
    <t>Low density lipoprotein receptor adapter protein 1</t>
  </si>
  <si>
    <t>snRNA-activating protein complex subunit 4</t>
  </si>
  <si>
    <t>DNL-type zinc finger protein</t>
  </si>
  <si>
    <t>Isoform 2 of NHS-like protein 1</t>
  </si>
  <si>
    <t>Isoform 3 of Protein SZT2</t>
  </si>
  <si>
    <t>Isoform 3 of Formin-binding protein 1-like</t>
  </si>
  <si>
    <t>Chromosome 9 open reading frame 156, isoform CRA_b</t>
  </si>
  <si>
    <t>SH3 domain-binding glutamic acid-rich-like protein 3</t>
  </si>
  <si>
    <t>Probable arginine--tRNA ligase, mitochondrial</t>
  </si>
  <si>
    <t>Pygopus homolog 2</t>
  </si>
  <si>
    <t>Acyl-coenzyme A thioesterase THEM4</t>
  </si>
  <si>
    <t>FK506-binding protein 15</t>
  </si>
  <si>
    <t>Probable ATP-dependent RNA helicase DDX59</t>
  </si>
  <si>
    <t>Zinc finger CCCH domain-containing protein 13</t>
  </si>
  <si>
    <t>UPF0668 protein C10orf76</t>
  </si>
  <si>
    <t>Na(+)/H(+) exchange regulatory cofactor NHE-RF3</t>
  </si>
  <si>
    <t>Neurobeachin</t>
  </si>
  <si>
    <t>Arrestin domain-containing protein 1 (Fragment)</t>
  </si>
  <si>
    <t>Ligand-dependent nuclear receptor-interacting factor 1</t>
  </si>
  <si>
    <t>Zinc finger protein 438</t>
  </si>
  <si>
    <t>Putative transferase CAF17, mitochondrial</t>
  </si>
  <si>
    <t>E3 ubiquitin-protein ligase HECTD3</t>
  </si>
  <si>
    <t>Isoform 6 of Protrudin</t>
  </si>
  <si>
    <t>Isoform 3 of E3 ubiquitin-protein ligase UBR4</t>
  </si>
  <si>
    <t>Isoform 3 of Syntaxin-binding protein 5</t>
  </si>
  <si>
    <t>Isoform 3 of Sickle tail protein homolog</t>
  </si>
  <si>
    <t>Rho GTPase-activating protein 21</t>
  </si>
  <si>
    <t>Calmodulin-regulated spectrin-associated protein 1</t>
  </si>
  <si>
    <t>DDB1- and CUL4-associated factor 12</t>
  </si>
  <si>
    <t>Ubiquitin-associated protein 2</t>
  </si>
  <si>
    <t>Probable gluconokinase</t>
  </si>
  <si>
    <t>UPF0553 protein C9orf64</t>
  </si>
  <si>
    <t>Zinc finger protein 618</t>
  </si>
  <si>
    <t>Isoform 2 of Zinc finger protein 618</t>
  </si>
  <si>
    <t>Protein phosphatase 1 regulatory subunit 26</t>
  </si>
  <si>
    <t>Isoform 2 of Acyl-CoA-binding domain-containing protein 5</t>
  </si>
  <si>
    <t>Isoform 2 of RNA-binding protein 26</t>
  </si>
  <si>
    <t>Inter-alpha-trypsin inhibitor heavy chain H2</t>
  </si>
  <si>
    <t>Isoform 2 of Protein FAM102A</t>
  </si>
  <si>
    <t>Isoform 2 of Coiled-coil domain-containing protein 18</t>
  </si>
  <si>
    <t>Glutathione S-transferase omega-1 (Fragment)</t>
  </si>
  <si>
    <t>WD repeat-containing protein 96</t>
  </si>
  <si>
    <t>E3 ubiquitin-protein ligase RNF187</t>
  </si>
  <si>
    <t>Isoform 2 of Integrator complex subunit 11</t>
  </si>
  <si>
    <t>Glycolipid transfer protein domain-containing protein 1</t>
  </si>
  <si>
    <t>Protein argonaute-1</t>
  </si>
  <si>
    <t>Mitochondrial nucleoid factor 1</t>
  </si>
  <si>
    <t>Terminal uridylyltransferase 4</t>
  </si>
  <si>
    <t>Ribonuclease H2 subunit B</t>
  </si>
  <si>
    <t>Bcl-2-like protein 15</t>
  </si>
  <si>
    <t>Uncharacterized protein C1orf131 (Fragment)</t>
  </si>
  <si>
    <t>ATP synthase mitochondrial F1 complex assembly factor 1</t>
  </si>
  <si>
    <t>Probable E3 ubiquitin-protein ligase Roquin</t>
  </si>
  <si>
    <t>Opioid growth factor receptor-like protein 1</t>
  </si>
  <si>
    <t>Isoform 4 of Membrane-associated guanylate kinase, WW and PDZ domain-containing protein 3</t>
  </si>
  <si>
    <t>Mitogen-activated protein kinase kinase kinase MLK4</t>
  </si>
  <si>
    <t>Protein DDI1 homolog 2</t>
  </si>
  <si>
    <t>NADH dehydrogenase [ubiquinone] 1 alpha subcomplex assembly factor 5</t>
  </si>
  <si>
    <t>5-nucleotidase domain-containing protein 1</t>
  </si>
  <si>
    <t>Transmembrane and coiled-coil domain-containing protein 4</t>
  </si>
  <si>
    <t>Brefeldin A-inhibited guanine nucleotide-exchange protein 3</t>
  </si>
  <si>
    <t>Protein PRR14L</t>
  </si>
  <si>
    <t>Protein lin-9 homolog</t>
  </si>
  <si>
    <t>Rootletin</t>
  </si>
  <si>
    <t>RNA-binding E3 ubiquitin-protein ligase MEX3C</t>
  </si>
  <si>
    <t>Complex III assembly factor LYRM7</t>
  </si>
  <si>
    <t>Uncharacterized protein C12orf60</t>
  </si>
  <si>
    <t>Telomere-associated protein RIF1</t>
  </si>
  <si>
    <t>Isoform 4 of Vacuolar protein sorting-associated protein 53 homolog</t>
  </si>
  <si>
    <t>Striatin-interacting protein 1</t>
  </si>
  <si>
    <t>Isoform 2 of G kinase-anchoring protein 1</t>
  </si>
  <si>
    <t>Centrosome-associated protein 350</t>
  </si>
  <si>
    <t>Isoform 4 of Serine/threonine-protein kinase MRCK alpha</t>
  </si>
  <si>
    <t>Regulation of nuclear pre-mRNA domain-containing protein 2</t>
  </si>
  <si>
    <t>Annexin A8-like protein 2</t>
  </si>
  <si>
    <t>Pre-mRNA-splicing factor 38B</t>
  </si>
  <si>
    <t>Isoform 5 of Tetratricopeptide repeat protein 39B</t>
  </si>
  <si>
    <t>E3 ubiquitin-protein ligase BRE1A</t>
  </si>
  <si>
    <t>Dynein light chain Tctex-type 1</t>
  </si>
  <si>
    <t>ATP synthase subunit epsilon-like protein, mitochondrial</t>
  </si>
  <si>
    <t>Tropomyosin 3, isoform CRA_b</t>
  </si>
  <si>
    <t>Zinc finger protein 318</t>
  </si>
  <si>
    <t>Uncharacterized protein C1orf53</t>
  </si>
  <si>
    <t>Rho guanine nucleotide exchange factor 16</t>
  </si>
  <si>
    <t>Isoform 2 of Zinc finger protein 691</t>
  </si>
  <si>
    <t>60S ribosomal protein L11 (Fragment)</t>
  </si>
  <si>
    <t>Pleckstrin homology domain-containing family M member 2</t>
  </si>
  <si>
    <t>Isoform 2 of Ubiquitin thioesterase OTU1</t>
  </si>
  <si>
    <t>BRO1 domain-containing protein BROX</t>
  </si>
  <si>
    <t>Focadhesin</t>
  </si>
  <si>
    <t>Transcription initiation factor TFIID subunit 3</t>
  </si>
  <si>
    <t>Sorting nexin-30</t>
  </si>
  <si>
    <t>Protein FAM208B</t>
  </si>
  <si>
    <t>Round spermatid basic protein 1</t>
  </si>
  <si>
    <t>Isoform 2 of Disabled homolog 2-interacting protein</t>
  </si>
  <si>
    <t>Lysophospholipase-like protein 1</t>
  </si>
  <si>
    <t>Spermatogenesis-associated protein 1</t>
  </si>
  <si>
    <t>Isoform 3 of Sterile alpha motif domain-containing protein 13</t>
  </si>
  <si>
    <t>Proteasome-associated protein ECM29 homolog</t>
  </si>
  <si>
    <t>Protein SLX4IP</t>
  </si>
  <si>
    <t>Isoform 2 of Renalase</t>
  </si>
  <si>
    <t>N-alpha-acetyltransferase 35, NatC auxiliary subunit</t>
  </si>
  <si>
    <t>Leucine-rich repeat-containing protein 16A</t>
  </si>
  <si>
    <t>Isoform 4 of Zinc finger MYM-type protein 4</t>
  </si>
  <si>
    <t>6-phosphofructo-2-kinase</t>
  </si>
  <si>
    <t>RING finger protein 219</t>
  </si>
  <si>
    <t>Protein FAM160B1</t>
  </si>
  <si>
    <t>Isoform 2 of SPRY domain-containing protein 7</t>
  </si>
  <si>
    <t>E3 ubiquitin-protein ligase RNF123</t>
  </si>
  <si>
    <t>Isoform 3 of F-box/WD repeat-containing protein 9</t>
  </si>
  <si>
    <t>PI-PLC X domain-containing protein 3</t>
  </si>
  <si>
    <t>E3 ubiquitin-protein ligase RNF213</t>
  </si>
  <si>
    <t>Isoform 2 of E3 ubiquitin-protein ligase RNF213</t>
  </si>
  <si>
    <t>Isoform 3 of KN motif and ankyrin repeat domain-containing protein 2</t>
  </si>
  <si>
    <t>WASH complex subunit FAM21A</t>
  </si>
  <si>
    <t>NMDA receptor-regulated protein 2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</si>
  <si>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</si>
  <si>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</si>
  <si>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</si>
  <si>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</si>
  <si>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Isoform 3 of Kazrin</t>
  </si>
  <si>
    <t>Isoform 2 of Autophagy-related protein 16-1</t>
  </si>
  <si>
    <t>Isoform 3 of Rap1 GTPase-activating protein 2</t>
  </si>
  <si>
    <t>AT-rich interactive domain-containing protein 2</t>
  </si>
  <si>
    <t>Digestive organ expansion factor homolog</t>
  </si>
  <si>
    <t>Isoform 2 of Protein fantom</t>
  </si>
  <si>
    <t>Tensin-3</t>
  </si>
  <si>
    <t>HAUS augmin-like complex subunit 3</t>
  </si>
  <si>
    <t>Schlafen family member 13</t>
  </si>
  <si>
    <t>Isoform 2 of Protein SPT2 homolog</t>
  </si>
  <si>
    <t>Protein PMS2CL</t>
  </si>
  <si>
    <t>Isoform 5 of Formin-1</t>
  </si>
  <si>
    <t>Beta/gamma crystallin domain-containing protein 3</t>
  </si>
  <si>
    <t>Isoform 2 of Integrator complex subunit 3</t>
  </si>
  <si>
    <t>Isoform 6 of Rho GTPase-activating protein 17</t>
  </si>
  <si>
    <t>Cell division cycle-associated protein 2</t>
  </si>
  <si>
    <t>CWF19-like protein 1</t>
  </si>
  <si>
    <t>Protein virilizer homolog</t>
  </si>
  <si>
    <t>Isoform 2 of Cytospin-A</t>
  </si>
  <si>
    <t>HEAT repeat-containing protein 6</t>
  </si>
  <si>
    <t>Ankyrin repeat domain-containing protein 40</t>
  </si>
  <si>
    <t>Isoform 4 of Protein WWC2</t>
  </si>
  <si>
    <t>NADH-cytochrome b5 reductase 2</t>
  </si>
  <si>
    <t>UHRF1-binding protein 1</t>
  </si>
  <si>
    <t>AMMECR1-like protein</t>
  </si>
  <si>
    <t>Zinc finger protein 787</t>
  </si>
  <si>
    <t>Nucleoredoxin</t>
  </si>
  <si>
    <t>Tetratricopeptide repeat protein 19, mitochondrial</t>
  </si>
  <si>
    <t>Isoform 5 of DNA-directed RNA polymerase II subunit GRINL1A, isoforms 4/5</t>
  </si>
  <si>
    <t>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</si>
  <si>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</si>
  <si>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</si>
  <si>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</si>
  <si>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</si>
  <si>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Ral GTPase-activating protein subunit alpha-1</t>
  </si>
  <si>
    <t>THO complex subunit 7 homolog</t>
  </si>
  <si>
    <t>Glutamine-dependent NAD(+) synthetase</t>
  </si>
  <si>
    <t>Isoform 3 of Elongator complex protein 2</t>
  </si>
  <si>
    <t>Twinfilin-2</t>
  </si>
  <si>
    <t>Condensin-2 complex subunit H2</t>
  </si>
  <si>
    <t>Isoform 2 of Protein Jade-1</t>
  </si>
  <si>
    <t>rRNA methyltransferase 1, mitochondrial</t>
  </si>
  <si>
    <t>Serine/threonine-protein phosphatase 4 regulatory subunit 3A</t>
  </si>
  <si>
    <t>tRNA wybutosine-synthesizing protein 3 homolog</t>
  </si>
  <si>
    <t>Ras-related protein Rab-12</t>
  </si>
  <si>
    <t>Isoform 2 of Pleckstrin homology domain-containing family A member 7</t>
  </si>
  <si>
    <t>ADNP homeobox protein 2</t>
  </si>
  <si>
    <t>Isoform 2 of Protein SDE2 homolog</t>
  </si>
  <si>
    <t>Putative polypeptide N-acetylgalactosaminyltransferase-like protein 3</t>
  </si>
  <si>
    <t>Keratin, type II cytoskeletal 80</t>
  </si>
  <si>
    <t>Isoform 2 of Nipped-B-like protein</t>
  </si>
  <si>
    <t>Isoform 2 of 2,5-phosphodiesterase 12</t>
  </si>
  <si>
    <t>Protein lin-54 homolog</t>
  </si>
  <si>
    <t>Isoform 2 of Zinc finger protein 280D</t>
  </si>
  <si>
    <t>2-oxoglutarate and iron-dependent oxygenase domain-containing protein 2</t>
  </si>
  <si>
    <t>N-alpha-acetyltransferase 16, NatA auxiliary subunit</t>
  </si>
  <si>
    <t>Alpha-ketoglutarate-dependent dioxygenase alkB homolog 2</t>
  </si>
  <si>
    <t>Pleckstrin homology-like domain family B member 3</t>
  </si>
  <si>
    <t>TMF-regulated nuclear protein 1</t>
  </si>
  <si>
    <t>UPF0544 protein C5orf45</t>
  </si>
  <si>
    <t>Isoform 2 of Transmembrane protein 214</t>
  </si>
  <si>
    <t>Inactive Ufm1-specific protease 1</t>
  </si>
  <si>
    <t>3-hydroxyisobutyryl-CoA hydrolase, mitochondrial</t>
  </si>
  <si>
    <t>Isoform 2 of Armadillo repeat-containing protein 6</t>
  </si>
  <si>
    <t>Ankyrin repeat domain-containing protein 54</t>
  </si>
  <si>
    <t>Bifunctional arginine demethylase and lysyl-hydroxylase JMJD6</t>
  </si>
  <si>
    <t>Phostensin</t>
  </si>
  <si>
    <t>Polymerase I and transcript release factor</t>
  </si>
  <si>
    <t>Zinc finger CCHC domain-containing protein 8</t>
  </si>
  <si>
    <t>Putative ATP-dependent RNA helicase DHX57</t>
  </si>
  <si>
    <t>Parafibromin</t>
  </si>
  <si>
    <t>Polyamine-modulated factor 1</t>
  </si>
  <si>
    <t>Protein FAM117B</t>
  </si>
  <si>
    <t>39S ribosomal protein L14, mitochondrial</t>
  </si>
  <si>
    <t>Isoform A of Lethal(2) giant larvae protein homolog 2</t>
  </si>
  <si>
    <t>Armadillo repeat-containing X-linked protein 5</t>
  </si>
  <si>
    <t>Coiled-coil and C2 domain-containing protein 1A</t>
  </si>
  <si>
    <t>Putative deoxyribonuclease TATDN1</t>
  </si>
  <si>
    <t>Methyltransferase-like protein 2B</t>
  </si>
  <si>
    <t>tRNA-dihydrouridine(16/17) synthase [NAD(P)(+)]-like</t>
  </si>
  <si>
    <t>Transcription initiation factor TFIID subunit 2</t>
  </si>
  <si>
    <t>UPF0598 protein C8orf82</t>
  </si>
  <si>
    <t>Enhancer of mRNA-decapping protein 4</t>
  </si>
  <si>
    <t>Isoform 2 of Centrosomal protein of 85 kDa</t>
  </si>
  <si>
    <t>Putative protein arginine N-methyltransferase 10</t>
  </si>
  <si>
    <t>Pre-mRNA-processing-splicing factor 8</t>
  </si>
  <si>
    <t>F-box only protein 42</t>
  </si>
  <si>
    <t>SCY1-like protein 2</t>
  </si>
  <si>
    <t>Tetratricopeptide repeat protein 27</t>
  </si>
  <si>
    <t>Adrenodoxin-like protein, mitochondrial</t>
  </si>
  <si>
    <t>ATP-dependent DNA helicase Q5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</si>
  <si>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</si>
  <si>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</si>
  <si>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</si>
  <si>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</si>
  <si>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Uncharacterized protein C8orf47</t>
  </si>
  <si>
    <t>RNA demethylase ALKBH5</t>
  </si>
  <si>
    <t>TLD domain-containing protein KIAA1609</t>
  </si>
  <si>
    <t>Integrator complex subunit 5</t>
  </si>
  <si>
    <t>Round spermatid basic protein 1-like protein</t>
  </si>
  <si>
    <t>Glucose 1,6-bisphosphate synthase</t>
  </si>
  <si>
    <t>Isoform 2 of F-box/LRR-repeat protein 19</t>
  </si>
  <si>
    <t>RNA polymerase-associated protein CTR9 homolog</t>
  </si>
  <si>
    <t>Alpha- and gamma-adaptin-binding protein p34</t>
  </si>
  <si>
    <t>Isoform A of Proline/serine-rich coiled-coil protein 1</t>
  </si>
  <si>
    <t>Tetratricopeptide repeat protein 37</t>
  </si>
  <si>
    <t>Isoform 3 of Serine/threonine-protein kinase ULK3</t>
  </si>
  <si>
    <t>Aspartate--tRNA ligase, mitochondrial</t>
  </si>
  <si>
    <t>Tetratricopeptide repeat protein 33</t>
  </si>
  <si>
    <t>Coiled-coil domain-containing protein 174</t>
  </si>
  <si>
    <t>Isoform 2 of Hydroxyacylglutathione hydrolase-like protein</t>
  </si>
  <si>
    <t>F-box only protein 38</t>
  </si>
  <si>
    <t>CENPC1 protein</t>
  </si>
  <si>
    <t>Isoform 2 of Fidgetin-like protein 1</t>
  </si>
  <si>
    <t>Tripartite motif-containing protein 65</t>
  </si>
  <si>
    <t>Isoform 2 of Inactive rhomboid protein 2</t>
  </si>
  <si>
    <t>ELM2 and SANT domain-containing protein 1</t>
  </si>
  <si>
    <t>BRCA1-associated ATM activator 1</t>
  </si>
  <si>
    <t>Isoform 2 of WD repeat-containing protein 59</t>
  </si>
  <si>
    <t>Isoform 5 of Zinc finger CCCH domain-containing protein 14</t>
  </si>
  <si>
    <t>Coiled-coil domain-containing protein 137</t>
  </si>
  <si>
    <t>La-related protein 1</t>
  </si>
  <si>
    <t>Protein TMED8</t>
  </si>
  <si>
    <t>Complexin-2</t>
  </si>
  <si>
    <t>E3 ubiquitin-protein ligase TRAF7</t>
  </si>
  <si>
    <t>Biogenesis of lysosome-related organelles complex 1 subunit 3</t>
  </si>
  <si>
    <t>Biogenesis of lysosome-related organelles complex 1 subunit 2</t>
  </si>
  <si>
    <t>Rapamycin-insensitive companion of mTOR</t>
  </si>
  <si>
    <t>Protein FAM111B</t>
  </si>
  <si>
    <t>Atherin</t>
  </si>
  <si>
    <t>Sterile alpha and TIR motif-containing protein 1</t>
  </si>
  <si>
    <t>Isoform 4 of Nance-Horan syndrome protein</t>
  </si>
  <si>
    <t>Monofunctional C1-tetrahydrofolate synthase, mitochondrial</t>
  </si>
  <si>
    <t>Ankyrin repeat domain-containing protein 11</t>
  </si>
  <si>
    <t>Isoform 5 of Aftiphilin</t>
  </si>
  <si>
    <t>Pre-mRNA 3-end-processing factor FIP1</t>
  </si>
  <si>
    <t>Isoform 3 of CREB-regulated transcription coactivator 3</t>
  </si>
  <si>
    <t>E3 ubiquitin-protein ligase LRSAM1</t>
  </si>
  <si>
    <t>Dehydrogenase/reductase SDR family member 11</t>
  </si>
  <si>
    <t>Peptidyl-prolyl cis-trans isomerase CWC27 homolog</t>
  </si>
  <si>
    <t>Isoform 4 of Cysteine-rich with EGF-like domain protein 2</t>
  </si>
  <si>
    <t>WD repeat-containing protein 82</t>
  </si>
  <si>
    <t>Isoform 2 of Brain-specific angiogenesis inhibitor 1-associated protein 2-like protein 2</t>
  </si>
  <si>
    <t>Isoform 4 of Dipeptidyl peptidase 8</t>
  </si>
  <si>
    <t>Isoform 2 of Activating transcription factor 7-interacting protein 1</t>
  </si>
  <si>
    <t>Phosphofurin acidic cluster sorting protein 1</t>
  </si>
  <si>
    <t>Isoform 2 of Myosin phosphatase Rho-interacting protein</t>
  </si>
  <si>
    <t>Rab11 family-interacting protein 1</t>
  </si>
  <si>
    <t>Nicotinate phosphoribosyltransferase</t>
  </si>
  <si>
    <t>Isoform 2 of Dual serine/threonine and tyrosine protein kinase</t>
  </si>
  <si>
    <t>Dynamin-binding protein</t>
  </si>
  <si>
    <t>Beta-1,3-glucosyltransferase</t>
  </si>
  <si>
    <t>PERQ amino acid-rich with GYF domain-containing protein 2</t>
  </si>
  <si>
    <t>CD109 antigen</t>
  </si>
  <si>
    <t>Isoform 3 of Thyroid adenoma-associated protein</t>
  </si>
  <si>
    <t>Hydroxysteroid dehydrogenase-like protein 2</t>
  </si>
  <si>
    <t>Isoform 3 of Kynurenine--oxoglutarate transaminase 3</t>
  </si>
  <si>
    <t>Protein phosphatase 1 regulatory subunit 21</t>
  </si>
  <si>
    <t>Isoform 2 of Protein lin-28 homolog B</t>
  </si>
  <si>
    <t>Isoform 2 of Zinc finger protein AEBP2</t>
  </si>
  <si>
    <t>Tropomyosin 1 (Alpha), isoform CRA_f</t>
  </si>
  <si>
    <t>Isoform 2 of E3 ubiquitin-protein ligase Arkadia</t>
  </si>
  <si>
    <t>Beclin 1-associated autophagy-related key regulator</t>
  </si>
  <si>
    <t>Isoform 3 of Neurobeachin-like protein 2</t>
  </si>
  <si>
    <t>GDP-D-glucose phosphorylase 1</t>
  </si>
  <si>
    <t>Isoform 4 of Uncharacterized protein C17orf97</t>
  </si>
  <si>
    <t>Isoform 3 of Helicase SRCAP</t>
  </si>
  <si>
    <t>Isoform 2 of Protein FAM65A</t>
  </si>
  <si>
    <t>Neurobeachin-like protein 1</t>
  </si>
  <si>
    <t>Uncharacterized protein C1orf122</t>
  </si>
  <si>
    <t>Isoform 2 of Rho guanine nucleotide exchange factor 18</t>
  </si>
  <si>
    <t>E3 ubiquitin-protein ligase UBR3</t>
  </si>
  <si>
    <t>SH3 domain-binding protein 1</t>
  </si>
  <si>
    <t>Ubinuclein-2</t>
  </si>
  <si>
    <t>Isoform 2 of Rho GTPase-activating protein 27</t>
  </si>
  <si>
    <t>Isoform 5 of Coiled-coil domain-containing protein 149</t>
  </si>
  <si>
    <t>Isoform 4 of Uncharacterized protein C15orf52</t>
  </si>
  <si>
    <t>DENN domain-containing protein 5B</t>
  </si>
  <si>
    <t>FYVE, RhoGEF and PH domain-containing protein 6</t>
  </si>
  <si>
    <t>G protein-regulated inducer of neurite outgrowth 3</t>
  </si>
  <si>
    <t>8-oxo-dGDP phosphatase NUDT18</t>
  </si>
  <si>
    <t>TOM1-like protein 2</t>
  </si>
  <si>
    <t>Isoform 5 of PAX-interacting protein 1</t>
  </si>
  <si>
    <t>Syntaxin-binding protein 4</t>
  </si>
  <si>
    <t>General transcription factor IIH subunit 5</t>
  </si>
  <si>
    <t>Isoform 3 of Vacuolar protein sorting-associated protein 13C</t>
  </si>
  <si>
    <t>Ubiquitin carboxyl-terminal hydrolase 34</t>
  </si>
  <si>
    <t>Ubiquitin carboxyl-terminal hydrolase 31</t>
  </si>
  <si>
    <t>Ras-associated and pleckstrin homology domains-containing protein 1</t>
  </si>
  <si>
    <t>Inactive ubiquitin carboxyl-terminal hydrolase 53</t>
  </si>
  <si>
    <t>Isoform 4 of Ubiquitin carboxyl-terminal hydrolase 43</t>
  </si>
  <si>
    <t>MOB kinase activator 2</t>
  </si>
  <si>
    <t>Protein unc-13 homolog D</t>
  </si>
  <si>
    <t>Isoform 2 of Protein FRA10AC1</t>
  </si>
  <si>
    <t>Ubiquitin-conjugating enzyme E2 R2</t>
  </si>
  <si>
    <t>Mediator of RNA polymerase II transcription subunit 13-like</t>
  </si>
  <si>
    <t>Isoform 3 of La-related protein 4</t>
  </si>
  <si>
    <t>Isoform 2 of Tubulin alpha-1A chain</t>
  </si>
  <si>
    <t>Histone H2A.V</t>
  </si>
  <si>
    <t>40S ribosomal protein S27-like</t>
  </si>
  <si>
    <t>E3 ubiquitin-protein ligase Hakai</t>
  </si>
  <si>
    <t>MTSS1-like protein</t>
  </si>
  <si>
    <t>Isoform 4 of Nucleolar protein 8</t>
  </si>
  <si>
    <t>Protein phosphatase Slingshot homolog 2</t>
  </si>
  <si>
    <t>Isoform 2 of Centrosomal protein of 68 kDa</t>
  </si>
  <si>
    <t>Transcription elongation factor SPT6</t>
  </si>
  <si>
    <t>Isoform 2 of Transcription elongation factor SPT6</t>
  </si>
  <si>
    <t>Staphylococcal nuclease domain-containing protein 1</t>
  </si>
  <si>
    <t>Isoform 14 of Serine/threonine-protein kinase MARK2</t>
  </si>
  <si>
    <t>Probable ATP-dependent RNA helicase DDX46</t>
  </si>
  <si>
    <t>Isoform 2 of Protein RUFY3</t>
  </si>
  <si>
    <t>Mitochondrial ribonuclease P protein 1</t>
  </si>
  <si>
    <t>Basic leucine zipper and W2 domain-containing protein 1</t>
  </si>
  <si>
    <t>Cytochrome b5 reductase 4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</si>
  <si>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</si>
  <si>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</si>
  <si>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</si>
  <si>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</si>
  <si>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Centromere protein Q</t>
  </si>
  <si>
    <t>Zinc finger protein 771</t>
  </si>
  <si>
    <t>Arginine/serine-rich coiled-coil protein 2</t>
  </si>
  <si>
    <t>Ras-related GTP-binding protein A</t>
  </si>
  <si>
    <t>Cytoplasmic FMR1-interacting protein 1</t>
  </si>
  <si>
    <t>Isoform 2 of Protein MCM10 homolog</t>
  </si>
  <si>
    <t>NADH dehydrogenase [ubiquinone] complex I, assembly factor 7</t>
  </si>
  <si>
    <t>Golgi to ER traffic protein 4 homolog</t>
  </si>
  <si>
    <t>Mitochondrial enolase superfamily member 1</t>
  </si>
  <si>
    <t>Macrophage erythroblast attacher</t>
  </si>
  <si>
    <t>EPM2A-interacting protein 1</t>
  </si>
  <si>
    <t>Putative pre-mRNA-splicing factor ATP-dependent RNA helicase DHX32</t>
  </si>
  <si>
    <t>Serine/threonine-protein kinase TAO1</t>
  </si>
  <si>
    <t>SH3 domain-binding protein 5-like</t>
  </si>
  <si>
    <t>FAST kinase domain-containing protein 5</t>
  </si>
  <si>
    <t>Diphthine--ammonia ligase</t>
  </si>
  <si>
    <t>Lysine-specific demethylase 3B</t>
  </si>
  <si>
    <t>Charged multivesicular body protein 1b</t>
  </si>
  <si>
    <t>Ribonucleoside-diphosphate reductase subunit M2 B</t>
  </si>
  <si>
    <t>Protein-methionine sulfoxide oxidase MICAL3</t>
  </si>
  <si>
    <t>Dymeclin</t>
  </si>
  <si>
    <t>PHD finger-like domain-containing protein 5A</t>
  </si>
  <si>
    <t>Isoform 3 of Aprataxin</t>
  </si>
  <si>
    <t>G protein-regulated inducer of neurite outgrowth 1</t>
  </si>
  <si>
    <t>Zinc finger CCCH-type antiviral protein 1</t>
  </si>
  <si>
    <t>Isoform 3 of Zinc finger CCCH-type antiviral protein 1</t>
  </si>
  <si>
    <t>Elongation factor Tu GTP-binding domain-containing protein 1</t>
  </si>
  <si>
    <t>Protein FAM122B</t>
  </si>
  <si>
    <t>Isoform 3 of Probable helicase senataxin</t>
  </si>
  <si>
    <t>Kelch-like protein 9</t>
  </si>
  <si>
    <t>Trafficking protein particle complex subunit 11</t>
  </si>
  <si>
    <t>KAT8 regulatory NSL complex subunit 1</t>
  </si>
  <si>
    <t>Uncharacterized protein C10orf118</t>
  </si>
  <si>
    <t>LisH domain-containing protein ARMC9</t>
  </si>
  <si>
    <t>Prickle-like protein 2</t>
  </si>
  <si>
    <t>UPF0505 protein C16orf62</t>
  </si>
  <si>
    <t>Isoform 4 of Mesoderm induction early response protein 3</t>
  </si>
  <si>
    <t>Zinc finger FYVE domain-containing protein 16</t>
  </si>
  <si>
    <t>Ubiquitin-protein ligase E3B</t>
  </si>
  <si>
    <t>Isoform 6 of Myosin-14</t>
  </si>
  <si>
    <t>Nuclear fragile X mental retardation-interacting protein 2</t>
  </si>
  <si>
    <t>Isoform 2 of SUZ domain-containing protein 1</t>
  </si>
  <si>
    <t>Mitochondrial antiviral-signaling protein</t>
  </si>
  <si>
    <t>CLIP-associating protein 1</t>
  </si>
  <si>
    <t>ATP-dependent RNA helicase DHX29</t>
  </si>
  <si>
    <t>COMM domain-containing protein 6</t>
  </si>
  <si>
    <t>Isoform 2 of tRNA (guanine(10)-N2)-methyltransferase homolog</t>
  </si>
  <si>
    <t>HD domain-containing protein 2</t>
  </si>
  <si>
    <t>HAUS augmin-like complex subunit 6</t>
  </si>
  <si>
    <t>KDEL motif-containing protein 2</t>
  </si>
  <si>
    <t>Tetratricopeptide repeat protein 21B</t>
  </si>
  <si>
    <t>HEAT repeat-containing protein 3</t>
  </si>
  <si>
    <t>Isoform 5 of Kinesin-like protein KIF21A</t>
  </si>
  <si>
    <t>Hepatoma-derived growth factor-related protein 2</t>
  </si>
  <si>
    <t>L-xylulose reductase</t>
  </si>
  <si>
    <t>Protein EMSY</t>
  </si>
  <si>
    <t>Wings apart-like protein homolog</t>
  </si>
  <si>
    <t>Isoform 2 of R3H and coiled-coil domain-containing protein 1-like</t>
  </si>
  <si>
    <t>Interferon regulatory factor 2-binding protein 2</t>
  </si>
  <si>
    <t>Isoform 4 of Cytoplasmic polyadenylation element-binding protein 2</t>
  </si>
  <si>
    <t>Amyloid beta A4 precursor protein-binding family B member 1-interacting protein</t>
  </si>
  <si>
    <t>Pre-miRNA 5-monophosphate methyltransferase</t>
  </si>
  <si>
    <t>Calmodulin-lysine N-methyltransferase</t>
  </si>
  <si>
    <t>Sprouty-related, EVH1 domain-containing protein 1</t>
  </si>
  <si>
    <t>Isoform 2 of Coiled-coil domain-containing protein 91</t>
  </si>
  <si>
    <t>SLIT-ROBO Rho GTPase-activating protein 1</t>
  </si>
  <si>
    <t>Isoform 2 of E3 ubiquitin-protein ligase RBBP6</t>
  </si>
  <si>
    <t>UPF0461 protein C5orf24</t>
  </si>
  <si>
    <t>E3 ubiquitin-protein ligase SH3RF1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</si>
  <si>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</si>
  <si>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</si>
  <si>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</si>
  <si>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</si>
  <si>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tRNA-specific adenosine deaminase 2</t>
  </si>
  <si>
    <t>Isoform 2 of E3 ubiquitin-protein ligase HUWE1</t>
  </si>
  <si>
    <t>Cytoplasmic tRNA 2-thiolation protein 1</t>
  </si>
  <si>
    <t>Isoform 5 of PX domain-containing protein kinase-like protein</t>
  </si>
  <si>
    <t>Filamin-A-interacting protein 1</t>
  </si>
  <si>
    <t>Transcription initiation factor TFIID subunit 8</t>
  </si>
  <si>
    <t>Ubiquitin-conjugating enzyme E2 Q1</t>
  </si>
  <si>
    <t>UPF0469 protein KIAA0907</t>
  </si>
  <si>
    <t>Isoform 2 of Vacuolar protein sorting-associated protein 13B</t>
  </si>
  <si>
    <t>39S ribosomal protein L10, mitochondrial</t>
  </si>
  <si>
    <t>Calcium/calmodulin-dependent protein kinase II inhibitor 1</t>
  </si>
  <si>
    <t>COX assembly mitochondrial protein homolog</t>
  </si>
  <si>
    <t>Isoform 3 of Centromere protein V</t>
  </si>
  <si>
    <t>Schlafen family member 11</t>
  </si>
  <si>
    <t>Protein zer-1 homolog</t>
  </si>
  <si>
    <t>Zinc finger and SCAN domain-containing protein 2</t>
  </si>
  <si>
    <t>Amphoterin-induced protein 2</t>
  </si>
  <si>
    <t>Pleckstrin homology-like domain family B member 2</t>
  </si>
  <si>
    <t>G-protein coupled receptor 126</t>
  </si>
  <si>
    <t>Serologically defined colon cancer antigen 8</t>
  </si>
  <si>
    <t>Glutaredoxin-related protein 5, mitochondrial</t>
  </si>
  <si>
    <t>Trafficking protein particle complex subunit 6B</t>
  </si>
  <si>
    <t>Transcriptional regulator Kaiso</t>
  </si>
  <si>
    <t>MOB kinase activator 3B</t>
  </si>
  <si>
    <t>Alpha-protein kinase 2</t>
  </si>
  <si>
    <t>Protein PAT1 homolog 1</t>
  </si>
  <si>
    <t>Isoform 4 of Protein PAT1 homolog 1</t>
  </si>
  <si>
    <t>Isoform RF1 of Retrotransposon-derived protein PEG10</t>
  </si>
  <si>
    <t>Isoform 2 of TBC1 domain family member 1</t>
  </si>
  <si>
    <t>Isoform 2 of Dipeptidyl peptidase 9</t>
  </si>
  <si>
    <t>Protein prune homolog</t>
  </si>
  <si>
    <t>Histone-lysine N-methyltransferase setd3</t>
  </si>
  <si>
    <t>Full-length cDNA clone CS0DI002YH20 of Placenta of Homo sapiens (human)</t>
  </si>
  <si>
    <t>Acyl-coenzyme A thioesterase 1</t>
  </si>
  <si>
    <t>Full-length cDNA clone CS0DI083YG01 of Placenta of Homo sapiens (human)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</si>
  <si>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</si>
  <si>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</si>
  <si>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</si>
  <si>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</si>
  <si>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</si>
  <si>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Isoform 3 of RPA-interacting protein</t>
  </si>
  <si>
    <t>Suppressor APC domain-containing protein 2</t>
  </si>
  <si>
    <t>Isoform 2 of Serine/threonine-protein kinase tousled-like 2</t>
  </si>
  <si>
    <t>Isoform 3 of Serine/threonine-protein kinase tousled-like 2</t>
  </si>
  <si>
    <t>Isoform 3 of Zinc finger protein 598</t>
  </si>
  <si>
    <t>Kinectin</t>
  </si>
  <si>
    <t>Telomerase-binding protein EST1A</t>
  </si>
  <si>
    <t>Isoform 4 of B-cell CLL/lymphoma 9-like protein</t>
  </si>
  <si>
    <t>Isoform 2 of Pleckstrin homology-like domain family B member 1</t>
  </si>
  <si>
    <t>Ubiquitin carboxyl-terminal hydrolase 48</t>
  </si>
  <si>
    <t>Serine/threonine-protein kinase 32C</t>
  </si>
  <si>
    <t>TXNDC5 protein</t>
  </si>
  <si>
    <t>N-alpha-acetyltransferase 40</t>
  </si>
  <si>
    <t>Isoform 2 of 5-nucleotidase domain-containing protein 3</t>
  </si>
  <si>
    <t>Acetoacetyl-CoA synthetase</t>
  </si>
  <si>
    <t>Leucine zipper protein 1</t>
  </si>
  <si>
    <t>PNMA-like protein 1</t>
  </si>
  <si>
    <t>Protein FAM160B2</t>
  </si>
  <si>
    <t>Uncharacterized protein C11orf74</t>
  </si>
  <si>
    <t>Ras GTPase-activating-like protein IQGAP3</t>
  </si>
  <si>
    <t>Zinc finger CCCH domain-containing protein 18</t>
  </si>
  <si>
    <t>Vacuolar protein-sorting-associated protein 36</t>
  </si>
  <si>
    <t>Isoform 2 of Tax1-binding protein 1</t>
  </si>
  <si>
    <t>Cullin-associated NEDD8-dissociated protein 1</t>
  </si>
  <si>
    <t>Thioredoxin reductase 3</t>
  </si>
  <si>
    <t>Protein FAM134C</t>
  </si>
  <si>
    <t>Protein Hook homolog 3</t>
  </si>
  <si>
    <t>Mitogen-activated protein kinase kinase kinase kinase</t>
  </si>
  <si>
    <t>SEC14 domain and spectrin repeat-containing protein 1</t>
  </si>
  <si>
    <t>Isoform 2 of COMM domain-containing protein 7</t>
  </si>
  <si>
    <t>Testis-specific Y-encoded-like protein 5</t>
  </si>
  <si>
    <t>Archaemetzincin-2</t>
  </si>
  <si>
    <t>THO complex subunit 6 homolog</t>
  </si>
  <si>
    <t>Methyltransferase-like protein 16</t>
  </si>
  <si>
    <t>Poly(ADP-ribose) glycohydrolase</t>
  </si>
  <si>
    <t>Isoform 2 of Liprin-beta-1</t>
  </si>
  <si>
    <t>Isoform 4 of Liprin-beta-1</t>
  </si>
  <si>
    <t>Isoform 2 of Valacyclovir hydrolase</t>
  </si>
  <si>
    <t>Isoform 2 of Chromodomain-helicase-DNA-binding protein 1-like</t>
  </si>
  <si>
    <t>Isoform 3 of FCH and double SH3 domains protein 1</t>
  </si>
  <si>
    <t>Vasculin</t>
  </si>
  <si>
    <t>Nuclear receptor 2C2-associated protein</t>
  </si>
  <si>
    <t>Coiled-coil domain-containing protein 25</t>
  </si>
  <si>
    <t>Proline and serine-rich protein 2</t>
  </si>
  <si>
    <t>Tetratricopeptide repeat protein 30A</t>
  </si>
  <si>
    <t>Isoform 2 of Probable D-lactate dehydrogenase, mitochondrial</t>
  </si>
  <si>
    <t>Active regulator of SIRT1</t>
  </si>
  <si>
    <t>Cerebellar degeneration-related protein 2-like</t>
  </si>
  <si>
    <t>Ral GTPase-activating protein subunit beta</t>
  </si>
  <si>
    <t>Ras-specific guanine nucleotide-releasing factor RalGPS2</t>
  </si>
  <si>
    <t>Isoform 3 of Leucine-rich repeat-containing protein 28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</si>
  <si>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</si>
  <si>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</si>
  <si>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</si>
  <si>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</si>
  <si>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</si>
  <si>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HEAT repeat-containing protein 5A</t>
  </si>
  <si>
    <t>Condensin-2 complex subunit G2</t>
  </si>
  <si>
    <t>RNA-binding protein MEX3D</t>
  </si>
  <si>
    <t>ATP-dependent RNA helicase DDX42</t>
  </si>
  <si>
    <t>Spermatogenesis-associated serine-rich protein 2</t>
  </si>
  <si>
    <t>Isoform 4 of Serine/threonine-protein kinase VRK2</t>
  </si>
  <si>
    <t>CDK2-associated and cullin domain-containing protein 1</t>
  </si>
  <si>
    <t>HEAT repeat-containing protein 2</t>
  </si>
  <si>
    <t>Probable peptidyl-tRNA hydrolase</t>
  </si>
  <si>
    <t>Syntaxin-12</t>
  </si>
  <si>
    <t>Partner and localizer of BRCA2</t>
  </si>
  <si>
    <t>Decaprenyl-diphosphate synthase subunit 2</t>
  </si>
  <si>
    <t>Testis development-related protein</t>
  </si>
  <si>
    <t>Homer protein homolog 1</t>
  </si>
  <si>
    <t>Isoform 2 of Transcriptional repressor p66-alpha</t>
  </si>
  <si>
    <t>Isoform 4 of G-protein-signaling modulator 1</t>
  </si>
  <si>
    <t>C2 domain-containing protein 5</t>
  </si>
  <si>
    <t>Tyrosine-protein kinase SgK223</t>
  </si>
  <si>
    <t>Hermansky-Pudlak syndrome 6 protein</t>
  </si>
  <si>
    <t>Hornerin</t>
  </si>
  <si>
    <t>Interferon regulatory factor 2-binding protein 1</t>
  </si>
  <si>
    <t>Isoform 2 of Calcium/calmodulin-dependent protein kinase type 1D</t>
  </si>
  <si>
    <t>Rhophilin-2</t>
  </si>
  <si>
    <t>ELKS/Rab6-interacting/CAST family member 1</t>
  </si>
  <si>
    <t>E3 ubiquitin-protein ligase RNF135</t>
  </si>
  <si>
    <t>Isoform 4 of Bifunctional lysine-specific demethylase and histidyl-hydroxylase MINA</t>
  </si>
  <si>
    <t>Cytokine receptor-like factor 3</t>
  </si>
  <si>
    <t>E3 ubiquitin-protein ligase SIAH1</t>
  </si>
  <si>
    <t>Trafficking protein particle complex subunit 5</t>
  </si>
  <si>
    <t>Isoform 7 of Armadillo repeat-containing protein 8</t>
  </si>
  <si>
    <t>ANKRD10 protein</t>
  </si>
  <si>
    <t>Spermatogenesis-associated protein 2-like protein</t>
  </si>
  <si>
    <t>Phospholipase D3</t>
  </si>
  <si>
    <t>Laccase domain-containing protein 1</t>
  </si>
  <si>
    <t>Isoform 3 of Protein HID1</t>
  </si>
  <si>
    <t>Ankyrin repeat and MYND domain-containing protein 2</t>
  </si>
  <si>
    <t>3-5 exoribonuclease 1</t>
  </si>
  <si>
    <t>LysM and putative peptidoglycan-binding domain-containing protein 2</t>
  </si>
  <si>
    <t>Proline-rich protein 15</t>
  </si>
  <si>
    <t>Isoform 3 of Inactive serine/threonine-protein kinase VRK3</t>
  </si>
  <si>
    <t>LIX1-like protein</t>
  </si>
  <si>
    <t>NudC domain-containing protein 3</t>
  </si>
  <si>
    <t>Isoform 3 of Pleckstrin homology domain-containing family H member 2</t>
  </si>
  <si>
    <t>Isoform 3 of Protein AHNAK2</t>
  </si>
  <si>
    <t>Ankyrin repeat domain-containing protein 18A</t>
  </si>
  <si>
    <t>Isoform 3 of Mitogen-activated protein kinase kinase kinase kinase 3</t>
  </si>
  <si>
    <t>Isoform 4 of Neuron navigator 2</t>
  </si>
  <si>
    <t>Prolyl 3-hydroxylase 2</t>
  </si>
  <si>
    <t>Coiled-coil domain-containing protein 50</t>
  </si>
  <si>
    <t>Malonyl-CoA-acyl carrier protein transacylase, mitochondrial</t>
  </si>
  <si>
    <t>Uncharacterized protein C19orf21</t>
  </si>
  <si>
    <t>Lipoxygenase homology domain-containing protein 1</t>
  </si>
  <si>
    <t>Aprataxin and PNK-like factor</t>
  </si>
  <si>
    <t>Isoform 2 of MAP kinase-activated protein kinase 5</t>
  </si>
  <si>
    <t>ATP-dependent (S)-NAD(P)H-hydrate dehydratase</t>
  </si>
  <si>
    <t>Isoform 7 of Protein FAM219A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</si>
  <si>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</si>
  <si>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</si>
  <si>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</si>
  <si>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</si>
  <si>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Protein NOXP20</t>
  </si>
  <si>
    <t>MAX gene-associated protein</t>
  </si>
  <si>
    <t>GRIP and coiled-coil domain-containing protein 2</t>
  </si>
  <si>
    <t>Iron-sulfur cluster co-chaperone protein HscB, mitochondrial</t>
  </si>
  <si>
    <t>Isoform 3 of Serine/threonine-protein kinase BRSK2</t>
  </si>
  <si>
    <t>Protein archease</t>
  </si>
  <si>
    <t>Serine/threonine-protein kinase LMTK2</t>
  </si>
  <si>
    <t>E3 ubiquitin-protein ligase UBR1</t>
  </si>
  <si>
    <t>Isoform 4 of E3 ubiquitin-protein ligase UBR2</t>
  </si>
  <si>
    <t>Isoform 2 of Rho GTPase-activating protein 12</t>
  </si>
  <si>
    <t>Calcium homeostasis endoplasmic reticulum protein</t>
  </si>
  <si>
    <t>Isoform 1 of Codanin-1</t>
  </si>
  <si>
    <t>Isoform 6 of Ankyrin repeat and KH domain-containing protein 1</t>
  </si>
  <si>
    <t>SURP and G-patch domain-containing protein 1</t>
  </si>
  <si>
    <t>Isoform 4 of SURP and G-patch domain-containing protein 2</t>
  </si>
  <si>
    <t>Isoform 2 of Protein KIBRA</t>
  </si>
  <si>
    <t>Isoform 6 of Ubiquitin-conjugating enzyme E2 variant 3</t>
  </si>
  <si>
    <t>Zinc finger protein ZFPM1</t>
  </si>
  <si>
    <t>Isoform 2 of Cell division cycle and apoptosis regulator protein 1</t>
  </si>
  <si>
    <t>Homeobox and leucine zipper protein Homez</t>
  </si>
  <si>
    <t>Isoform 3 of Probable ATP-dependent RNA helicase DHX40</t>
  </si>
  <si>
    <t>Spindle and kinetochore-associated protein 3</t>
  </si>
  <si>
    <t>DnaJ homolog subfamily C member 10</t>
  </si>
  <si>
    <t>Isoform NELF-D of Negative elongation factor C/D</t>
  </si>
  <si>
    <t>Isoform 2 of NAD-dependent protein deacetylase sirtuin-2</t>
  </si>
  <si>
    <t>Isoform 2 of Polyhomeotic-like protein 2</t>
  </si>
  <si>
    <t>N-acetylaspartyl-glutamate synthetase A</t>
  </si>
  <si>
    <t>Uncharacterized protein C9orf40</t>
  </si>
  <si>
    <t>Uncharacterized protein KIAA1704</t>
  </si>
  <si>
    <t>Isoform 2 of Putative RNA polymerase II subunit B1 CTD phosphatase RPAP2</t>
  </si>
  <si>
    <t>C-Maf-inducing protein</t>
  </si>
  <si>
    <t>Intraflagellar transport protein 20 homolog</t>
  </si>
  <si>
    <t>Probable ATP-dependent RNA helicase DHX37</t>
  </si>
  <si>
    <t>Kelch repeat and BTB domain-containing protein 2</t>
  </si>
  <si>
    <t>Isoform 2 of Angiomotin-like protein 1</t>
  </si>
  <si>
    <t>pre-rRNA processing protein FTSJ3</t>
  </si>
  <si>
    <t>EF-hand calcium-binding domain-containing protein 13</t>
  </si>
  <si>
    <t>Structure-specific endonuclease subunit SLX4</t>
  </si>
  <si>
    <t>Cytoskeleton-associated protein 2-like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</si>
  <si>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</si>
  <si>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</si>
  <si>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</si>
  <si>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</si>
  <si>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</si>
  <si>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4 of ZZ-type zinc finger-containing protein 3</t>
  </si>
  <si>
    <t>Exocyst complex component 8</t>
  </si>
  <si>
    <t>UPF0688 protein C1orf174</t>
  </si>
  <si>
    <t>Transcription elongation factor A protein-like 8</t>
  </si>
  <si>
    <t>Focal adhesion kinase 1</t>
  </si>
  <si>
    <t>Threonine synthase-like 1</t>
  </si>
  <si>
    <t>SET and MYND domain-containing protein 4</t>
  </si>
  <si>
    <t>Peptidase M20 domain-containing protein 2</t>
  </si>
  <si>
    <t>FtsJ methyltransferase domain-containing protein 1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</si>
  <si>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</si>
  <si>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</si>
  <si>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</si>
  <si>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</si>
  <si>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Ras and EF-hand domain-containing protein</t>
  </si>
  <si>
    <t>tRNA (uracil-5-)-methyltransferase homolog A</t>
  </si>
  <si>
    <t>RNA pseudouridylate synthase domain-containing protein 2</t>
  </si>
  <si>
    <t>Aldehyde dehydrogenase family 16 member A1</t>
  </si>
  <si>
    <t>Isoform 6 of Histone-lysine N-methyltransferase MLL5</t>
  </si>
  <si>
    <t>mRNA-decapping enzyme 1B</t>
  </si>
  <si>
    <t>Isoform 2 of 5-3 exoribonuclease 1</t>
  </si>
  <si>
    <t>Isoform 10 of Abl interactor 1</t>
  </si>
  <si>
    <t>Isoform 2 of WD repeat and FYVE domain-containing protein 3</t>
  </si>
  <si>
    <t>Isoform 2 of Abnormal spindle-like microcephaly-associated protein</t>
  </si>
  <si>
    <t>Tensin-4</t>
  </si>
  <si>
    <t>Uncharacterized protein C8orf59</t>
  </si>
  <si>
    <t>Isoform 3 of Protein FAM185A</t>
  </si>
  <si>
    <t>L-fucose kinase</t>
  </si>
  <si>
    <t>Spartin</t>
  </si>
  <si>
    <t>Spindle and centriole-associated protein 1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</si>
  <si>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</si>
  <si>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</si>
  <si>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</si>
  <si>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</si>
  <si>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Sodium-dependent phosphate transport protein 2C</t>
  </si>
  <si>
    <t>Adenylosuccinate synthetase isozyme 1</t>
  </si>
  <si>
    <t>DBIRD complex subunit KIAA1967</t>
  </si>
  <si>
    <t>Vacuolar protein sorting-associated protein 52 homolog</t>
  </si>
  <si>
    <t>Nuclear pore complex protein Nup93</t>
  </si>
  <si>
    <t>Zinc finger protein 687</t>
  </si>
  <si>
    <t>RNA exonuclease 1 homolog</t>
  </si>
  <si>
    <t>Cap-specific mRNA (nucleoside-2-O-)-methyltransferase 1</t>
  </si>
  <si>
    <t>Leucine-rich repeat-containing protein 47</t>
  </si>
  <si>
    <t>Dedicator of cytokinesis protein 4</t>
  </si>
  <si>
    <t>Isoform 4 of Rho guanine nucleotide exchange factor 28</t>
  </si>
  <si>
    <t>Integrator complex subunit 1</t>
  </si>
  <si>
    <t>Isoform 4 of Armadillo repeat-containing protein 10</t>
  </si>
  <si>
    <t>E3 SUMO-protein ligase PIAS4</t>
  </si>
  <si>
    <t>Iporin</t>
  </si>
  <si>
    <t>Centromere protein S</t>
  </si>
  <si>
    <t>Coiled-coil domain-containing protein 23</t>
  </si>
  <si>
    <t>Angiogenic factor with G patch and FHA domains 1</t>
  </si>
  <si>
    <t>Glycerol-3-phosphate dehydrogenase 1-like protein</t>
  </si>
  <si>
    <t>Lysine-specific demethylase 8</t>
  </si>
  <si>
    <t>Rho GTPase-activating protein 18</t>
  </si>
  <si>
    <t>Activating signal cointegrator 1 complex subunit 3</t>
  </si>
  <si>
    <t>CAP-Gly domain-containing linker protein 4</t>
  </si>
  <si>
    <t>EH domain-binding protein 1-like protein 1</t>
  </si>
  <si>
    <t>MICAL-like protein 1</t>
  </si>
  <si>
    <t>Isoform 3 of Vacuolar protein sorting-associated protein 8 homolog</t>
  </si>
  <si>
    <t>MAGUK p55 subfamily member 5</t>
  </si>
  <si>
    <t>Isoform 2 of Synaptopodin</t>
  </si>
  <si>
    <t>Formin-binding protein 4</t>
  </si>
  <si>
    <t>F-box/WD repeat-containing protein 8</t>
  </si>
  <si>
    <t>D-2-hydroxyglutarate dehydrogenase, mitochondrial</t>
  </si>
  <si>
    <t>RING1 and YY1-binding protein</t>
  </si>
  <si>
    <t>Misshapen-like kinase 1</t>
  </si>
  <si>
    <t>UPF0586 protein C9orf41</t>
  </si>
  <si>
    <t>Kelch-like protein 36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</si>
  <si>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</si>
  <si>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</si>
  <si>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</si>
  <si>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</si>
  <si>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Actin filament-associated protein 1-like 2</t>
  </si>
  <si>
    <t>2-oxoglutarate and iron-dependent oxygenase domain-containing protein 1</t>
  </si>
  <si>
    <t>Actin filament-associated protein 1</t>
  </si>
  <si>
    <t>Isoform 2 of Oxidation resistance protein 1</t>
  </si>
  <si>
    <t>Isoform 2 of Tetratricopeptide repeat protein 39C</t>
  </si>
  <si>
    <t>Isoform 3 of Zinc finger CCCH-type with G patch domain-containing protein</t>
  </si>
  <si>
    <t>Isoform 2 of TGF-beta-activated kinase 1 and MAP3K7-binding protein 3</t>
  </si>
  <si>
    <t>NF-kappa-B-activating protein</t>
  </si>
  <si>
    <t>Macoilin</t>
  </si>
  <si>
    <t>Uncharacterized protein C12orf45</t>
  </si>
  <si>
    <t>ATP synthase mitochondrial F1 complex assembly factor 2</t>
  </si>
  <si>
    <t>39S ribosomal protein L50, mitochondrial</t>
  </si>
  <si>
    <t>Zinc finger CCCH domain-containing protein 8</t>
  </si>
  <si>
    <t>Calcium/calmodulin-dependent protein kinase kinase 1</t>
  </si>
  <si>
    <t>Protein FAM101B</t>
  </si>
  <si>
    <t>Eukaryotic translation initiation factor 4E type 3</t>
  </si>
  <si>
    <t>FTS and Hook-interacting protein</t>
  </si>
  <si>
    <t>Leucine-zipper-like transcriptional regulator 1</t>
  </si>
  <si>
    <t>Uncharacterized protein C10orf12</t>
  </si>
  <si>
    <t>COMM domain-containing protein 1</t>
  </si>
  <si>
    <t>Cleavage and polyadenylation specificity factor subunit 7</t>
  </si>
  <si>
    <t>ADP-ribosylation factor GTPase-activating protein 2</t>
  </si>
  <si>
    <t>EP300-interacting inhibitor of differentiation 2</t>
  </si>
  <si>
    <t>OTU domain-containing protein 6B</t>
  </si>
  <si>
    <t>Isoform 2 of UPF0690 protein C1orf52</t>
  </si>
  <si>
    <t>Acyl-CoA-binding domain-containing protein 7</t>
  </si>
  <si>
    <t>TOM1-like protein 1</t>
  </si>
  <si>
    <t>Putative E3 ubiquitin-protein ligase UBR7</t>
  </si>
  <si>
    <t>Isoform 2 of Probable protein phosphatase 1N</t>
  </si>
  <si>
    <t>Serine/threonine-protein phosphatase 6 regulatory ankyrin repeat subunit B</t>
  </si>
  <si>
    <t>ATP-dependent RNA helicase DDX51</t>
  </si>
  <si>
    <t>Prostaglandin reductase 2</t>
  </si>
  <si>
    <t>UPF0565 protein C2orf69</t>
  </si>
  <si>
    <t>ARL14 effector protein</t>
  </si>
  <si>
    <t>Protein enabled homolog</t>
  </si>
  <si>
    <t>Isoform 2 of Protein enabled homolog</t>
  </si>
  <si>
    <t>Ankyrin repeat and SAM domain-containing protein 4B</t>
  </si>
  <si>
    <t>G patch domain-containing protein 11</t>
  </si>
  <si>
    <t>Isoform 2 of Ankyrin repeat and BTB/POZ domain-containing protein 2</t>
  </si>
  <si>
    <t>Uncharacterized protein C12orf29</t>
  </si>
  <si>
    <t>Isoform 2 of Junction-mediating and -regulatory protein</t>
  </si>
  <si>
    <t>Transmembrane protein 102</t>
  </si>
  <si>
    <t>Isoform 2 of Activating signal cointegrator 1 complex subunit 1</t>
  </si>
  <si>
    <t>Probable RNA-binding protein EIF1AD</t>
  </si>
  <si>
    <t>Protein SCAI</t>
  </si>
  <si>
    <t>WD repeat, SAM and U-box domain-containing protein 1</t>
  </si>
  <si>
    <t>Zinc finger protein 579</t>
  </si>
  <si>
    <t>Isoform 2 of Zinc finger protein 511</t>
  </si>
  <si>
    <t>Mixed lineage kinase domain-like protein</t>
  </si>
  <si>
    <t>Parkinson disease 7 domain-containing protein 1</t>
  </si>
  <si>
    <t>Serine/threonine-protein phosphatase 6 regulatory ankyrin repeat subunit C</t>
  </si>
  <si>
    <t>Lysine-specific histone demethylase 1B</t>
  </si>
  <si>
    <t>DTW domain-containing protein 2</t>
  </si>
  <si>
    <t>NHL repeat-containing protein 2</t>
  </si>
  <si>
    <t>Late secretory pathway protein AVL9 homolog</t>
  </si>
  <si>
    <t>Isoform 2 of Golgi membrane protein 1</t>
  </si>
  <si>
    <t>Procollagen galactosyltransferase 1</t>
  </si>
  <si>
    <t>Sulfatase-modifying factor 2</t>
  </si>
  <si>
    <t>Isoform 4 of Sulfatase-modifying factor 1</t>
  </si>
  <si>
    <t>Protein O-glucosyltransferase 1</t>
  </si>
  <si>
    <t>Isoform 2 of Zinc finger protein 114</t>
  </si>
  <si>
    <t>Isoform 2 of Plasminogen activator inhibitor 1 RNA-binding protein</t>
  </si>
  <si>
    <t>LEM domain-containing protein 2</t>
  </si>
  <si>
    <t>Adaptin ear-binding coat-associated protein 1</t>
  </si>
  <si>
    <t>Isoform 2 of Protein FAM98A</t>
  </si>
  <si>
    <t>Group XV phospholipase A2</t>
  </si>
  <si>
    <t>Isoform 3 of Holliday junction recognition protein</t>
  </si>
  <si>
    <t>Isoform 4 of tRNA-splicing endonuclease subunit Sen2</t>
  </si>
  <si>
    <t>Isoform 2 of Myotubularin-related protein 14</t>
  </si>
  <si>
    <t>NFATC2-interacting protein</t>
  </si>
  <si>
    <t>Cytoplasmic dynein 2 heavy chain 1</t>
  </si>
  <si>
    <t>E3 ubiquitin-protein ligase RNF169</t>
  </si>
  <si>
    <t>Pyruvate dehydrogenase phosphatase regulatory subunit, mitochondrial</t>
  </si>
  <si>
    <t>NAD(P)H-hydrate epimerase</t>
  </si>
  <si>
    <t>Protein SMG8</t>
  </si>
  <si>
    <t>RING finger protein 214</t>
  </si>
  <si>
    <t>Liprin-beta-2</t>
  </si>
  <si>
    <t>Isoform 2 of Protein LSM14 homolog A</t>
  </si>
  <si>
    <t>Isoform 3 of Cyclin-Y</t>
  </si>
  <si>
    <t>MAPK-interacting and spindle-stabilizing protein-like</t>
  </si>
  <si>
    <t>PAP-associated domain-containing protein 5</t>
  </si>
  <si>
    <t>Probable aminopeptidase NPEPL1</t>
  </si>
  <si>
    <t>Isoform 3 of EH domain-binding protein 1</t>
  </si>
  <si>
    <t>Isoform 6 of Trinucleotide repeat-containing gene 6A protein</t>
  </si>
  <si>
    <t>Isoform 2 of Polyhomeotic-like protein 3</t>
  </si>
  <si>
    <t>ATP-binding cassette sub-family F member 1</t>
  </si>
  <si>
    <t>Phosphatidylinositol 3-kinase catalytic subunit type 3</t>
  </si>
  <si>
    <t>Glutathione S-transferase C-terminal domain-containing protein</t>
  </si>
  <si>
    <t>Serum response factor-binding protein 1</t>
  </si>
  <si>
    <t>Isoform 2 of Phospholipase DDHD1</t>
  </si>
  <si>
    <t>Microcephalin</t>
  </si>
  <si>
    <t>SHC SH2 domain-binding protein 1</t>
  </si>
  <si>
    <t>PDZ domain-containing protein 8</t>
  </si>
  <si>
    <t>DCC-interacting protein 13-beta</t>
  </si>
  <si>
    <t>Isoform 2 of Neuron navigator 1</t>
  </si>
  <si>
    <t>Vacuolar protein sorting-associated protein 37A</t>
  </si>
  <si>
    <t>Histone-lysine N-methyltransferase MLL3</t>
  </si>
  <si>
    <t>F-box only protein 22</t>
  </si>
  <si>
    <t>Putative uncharacterized protein FLJ00310</t>
  </si>
  <si>
    <t>Nesprin-1</t>
  </si>
  <si>
    <t>Ubiquitin carboxyl-terminal hydrolase 32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</si>
  <si>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</si>
  <si>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</si>
  <si>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</si>
  <si>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</si>
  <si>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</si>
  <si>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Isoform 4 of RalBP1-associated Eps domain-containing protein 2</t>
  </si>
  <si>
    <t>Cytosolic endo-beta-N-acetylglucosaminidase</t>
  </si>
  <si>
    <t>Torsin-1A-interacting protein 2</t>
  </si>
  <si>
    <t>Alpha/beta hydrolase domain-containing protein 11</t>
  </si>
  <si>
    <t>N-acylneuraminate cytidylyltransferase</t>
  </si>
  <si>
    <t>TNFAIP3-interacting protein 2</t>
  </si>
  <si>
    <t>Cell adhesion molecule 4</t>
  </si>
  <si>
    <t>DNA helicase B</t>
  </si>
  <si>
    <t>Isoform 3 of E3 ubiquitin-protein ligase Praja-1</t>
  </si>
  <si>
    <t>Isoform 2 of Protein CASC5</t>
  </si>
  <si>
    <t>Tubulin--tyrosine ligase</t>
  </si>
  <si>
    <t>E3 ubiquitin-protein ligase ZNRF2</t>
  </si>
  <si>
    <t>Putative trypsin-6</t>
  </si>
  <si>
    <t>Isoform 2 of Lysine-specific demethylase 2B</t>
  </si>
  <si>
    <t>Putative phospholipase B-like 2</t>
  </si>
  <si>
    <t>Tudor domain-containing protein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</si>
  <si>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</si>
  <si>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</si>
  <si>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</si>
  <si>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</si>
  <si>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</si>
  <si>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InaD-like protein</t>
  </si>
  <si>
    <t>WD repeat-containing protein 36</t>
  </si>
  <si>
    <t>Retinitis pigmentosa 9 protein</t>
  </si>
  <si>
    <t>Smad nuclear-interacting protein 1</t>
  </si>
  <si>
    <t>Protein phosphatase 1 regulatory subunit 14C</t>
  </si>
  <si>
    <t>Growth arrest and DNA damage-inducible proteins-interacting protein 1</t>
  </si>
  <si>
    <t>WD repeat-containing protein 48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</si>
  <si>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</si>
  <si>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</si>
  <si>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</si>
  <si>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</si>
  <si>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Uncharacterized protein CXorf38</t>
  </si>
  <si>
    <t>Spermatogenesis-associated protein 20</t>
  </si>
  <si>
    <t>Ras and Rab interactor 3</t>
  </si>
  <si>
    <t>Iron-sulfur protein NUBPL</t>
  </si>
  <si>
    <t>Abhydrolase domain-containing protein 4</t>
  </si>
  <si>
    <t>F-box only protein 30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</si>
  <si>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</si>
  <si>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</si>
  <si>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</si>
  <si>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</si>
  <si>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</si>
  <si>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Isoform 4 of Prostamide/prostaglandin F synthase</t>
  </si>
  <si>
    <t>DnaJ homolog subfamily B member 14</t>
  </si>
  <si>
    <t>Guanine nucleotide exchange factor for Rab-3A</t>
  </si>
  <si>
    <t>Phosphatidylinositol 5-phosphate 4-kinase type-2 gamma</t>
  </si>
  <si>
    <t>tRNA methyltransferase 10 homolog A</t>
  </si>
  <si>
    <t>Isoform 2 of TBC1 domain family member 15</t>
  </si>
  <si>
    <t>Leucine-rich repeat-containing protein 20</t>
  </si>
  <si>
    <t>5(3)-deoxyribonucleotidase, cytosolic type</t>
  </si>
  <si>
    <t>Isoform 2 of Protein FAM45A</t>
  </si>
  <si>
    <t>Protein CIP2A</t>
  </si>
  <si>
    <t>Zinc finger protein 507</t>
  </si>
  <si>
    <t>Polyribonucleotide nucleotidyltransferase 1, mitochondrial</t>
  </si>
  <si>
    <t>Isoform 3 of Alstrom syndrome protein 1</t>
  </si>
  <si>
    <t>Phosphatidylinositol 3,4,5-trisphosphate-dependent Rac exchanger 1 protein</t>
  </si>
  <si>
    <t>Cytoplasmic dynein 2 light intermediate chain 1</t>
  </si>
  <si>
    <t>Up-regulator of cell proliferation</t>
  </si>
  <si>
    <t>Isoform 2 of Mitogen-activated protein kinase 15</t>
  </si>
  <si>
    <t>Mirror-image polydactyly gene 1 protein</t>
  </si>
  <si>
    <t>Protein bicaudal D homolog 2</t>
  </si>
  <si>
    <t>Serine/threonine-protein kinase Nek9</t>
  </si>
  <si>
    <t>Alanine aminotransferase 2</t>
  </si>
  <si>
    <t>Isoform 2 of Pleckstrin homology domain-containing family O member 2</t>
  </si>
  <si>
    <t>E3 ubiquitin-protein ligase DTX3L</t>
  </si>
  <si>
    <t>ATP-dependent RNA helicase DDX54</t>
  </si>
  <si>
    <t>Biogenesis of lysosome-related organelles complex 1 subunit 5</t>
  </si>
  <si>
    <t>DmX-like protein 2</t>
  </si>
  <si>
    <t>Isoform 3 of Breast carcinoma-amplified sequence 4</t>
  </si>
  <si>
    <t>Disks large homolog 5</t>
  </si>
  <si>
    <t>Ribosome biogenesis protein BRX1 homolog</t>
  </si>
  <si>
    <t>Glucosamine-6-phosphate isomerase 2</t>
  </si>
  <si>
    <t>Isoform 2 of TRAF3-interacting protein 1</t>
  </si>
  <si>
    <t>Serine/threonine-protein kinase Nek7</t>
  </si>
  <si>
    <t>Isoform 2 of RB1-inducible coiled-coil protein 1</t>
  </si>
  <si>
    <t>Protein-methionine sulfoxide oxidase MICAL1</t>
  </si>
  <si>
    <t>Pantothenate kinase 1</t>
  </si>
  <si>
    <t>Isoform 3 of MORC family CW-type zinc finger protein 4</t>
  </si>
  <si>
    <t>Protein phosphatase Slingshot homolog 3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</si>
  <si>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</si>
  <si>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</si>
  <si>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</si>
  <si>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</si>
  <si>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DENN domain-containing protein 1A</t>
  </si>
  <si>
    <t>Isoform 1 of Histone-lysine N-methyltransferase, H3 lysine-79 specific</t>
  </si>
  <si>
    <t>Isoform 2 of Sorting nexin-29</t>
  </si>
  <si>
    <t>Gem-associated protein 5</t>
  </si>
  <si>
    <t>Rho guanine nucleotide exchange factor 40</t>
  </si>
  <si>
    <t>Isoform 5 of Fas-binding factor 1</t>
  </si>
  <si>
    <t>Smith-Magenis syndrome chromosomal region candidate gene 8 protein</t>
  </si>
  <si>
    <t>Isoform 2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</si>
  <si>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</si>
  <si>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</si>
  <si>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</si>
  <si>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</si>
  <si>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DIS3-like exonuclease 1</t>
  </si>
  <si>
    <t>Protein Shroom3</t>
  </si>
  <si>
    <t>Histone-lysine N-methyltransferase SETD7</t>
  </si>
  <si>
    <t>Isoform 4 of Scavenger receptor class B member 1</t>
  </si>
  <si>
    <t>Conserved oligomeric Golgi complex subunit 1</t>
  </si>
  <si>
    <t>Fibroblast growth factor receptor substrate 2</t>
  </si>
  <si>
    <t>Isoform 2 of Sec1 family domain-containing protein 2</t>
  </si>
  <si>
    <t>Isoform 2 of Stromal membrane-associated protein 2</t>
  </si>
  <si>
    <t>Zinc finger CCCH domain-containing protein 15</t>
  </si>
  <si>
    <t>Peptidyl-prolyl cis-trans isomerase-like 4</t>
  </si>
  <si>
    <t>General transcription factor 3C polypeptide 2</t>
  </si>
  <si>
    <t>Tsukushin</t>
  </si>
  <si>
    <t>Isoform 3 of PHD finger protein 10</t>
  </si>
  <si>
    <t>Ras-related protein Rab-2B</t>
  </si>
  <si>
    <t>Coiled-coil domain-containing protein 12</t>
  </si>
  <si>
    <t>RelA-associated inhibitor</t>
  </si>
  <si>
    <t>Protein FAM172A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</si>
  <si>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</si>
  <si>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</si>
  <si>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</si>
  <si>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</si>
  <si>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</si>
  <si>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Nuclear pore complex protein Nup133</t>
  </si>
  <si>
    <t>Programmed cell death 6-interacting protein</t>
  </si>
  <si>
    <t>Ubiquitin domain-containing protein 2</t>
  </si>
  <si>
    <t>Filamin-binding LIM protein 1</t>
  </si>
  <si>
    <t>UPF0235 protein C15orf40</t>
  </si>
  <si>
    <t>Protein BRICK1</t>
  </si>
  <si>
    <t>Cation transport regulator-like protein 2</t>
  </si>
  <si>
    <t>Charged multivesicular body protein 7</t>
  </si>
  <si>
    <t>Non-structural maintenance of chromosomes element 1 homolog</t>
  </si>
  <si>
    <t>Sorting nexin-33</t>
  </si>
  <si>
    <t>MIT domain-containing protein 1</t>
  </si>
  <si>
    <t>Hexosaminidase D</t>
  </si>
  <si>
    <t>Chromosome transmission fidelity protein 18 homolog</t>
  </si>
  <si>
    <t>RNA polymerase-associated protein LEO1</t>
  </si>
  <si>
    <t>40S ribosomal protein S21</t>
  </si>
  <si>
    <t>E3 ubiquitin-protein ligase RNF138</t>
  </si>
  <si>
    <t>N(6)-adenine-specific DNA methyltransferase 2</t>
  </si>
  <si>
    <t>NudC domain-containing protein 2</t>
  </si>
  <si>
    <t>U4/U6.U5 small nuclear ribonucleoprotein 27 kDa protein</t>
  </si>
  <si>
    <t>Ankyrin repeat domain-containing protein 49</t>
  </si>
  <si>
    <t>Sec1 family domain-containing protein 1</t>
  </si>
  <si>
    <t>Isoform 3 of Ubiquitin-conjugating enzyme E2 Q2</t>
  </si>
  <si>
    <t>Trafficking protein particle complex subunit 12</t>
  </si>
  <si>
    <t>Protein POF1B</t>
  </si>
  <si>
    <t>Isoform 4 of Heterogeneous nuclear ribonucleoprotein L-like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</si>
  <si>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</si>
  <si>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</si>
  <si>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</si>
  <si>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</si>
  <si>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Uncharacterized protein C2orf47, mitochondrial</t>
  </si>
  <si>
    <t>Probable tRNA pseudouridine synthase 1</t>
  </si>
  <si>
    <t>Arf-GAP with Rho-GAP domain, ANK repeat and PH domain-containing protein 3</t>
  </si>
  <si>
    <t>Selenoprotein M</t>
  </si>
  <si>
    <t>U4/U6 small nuclear ribonucleoprotein Prp31</t>
  </si>
  <si>
    <t>Isoform B of Ectodysplasin-A receptor-associated adapter protein</t>
  </si>
  <si>
    <t>Negative elongation factor B</t>
  </si>
  <si>
    <t>Isoform 3 of Palladin</t>
  </si>
  <si>
    <t>Isoform 2 of RUN and FYVE domain-containing protein 2</t>
  </si>
  <si>
    <t>Isoform 2 of Splicing regulatory glutamine/lysine-rich protein 1</t>
  </si>
  <si>
    <t>Gem-associated protein 6</t>
  </si>
  <si>
    <t>Caskin-2</t>
  </si>
  <si>
    <t>Isoform 2 of ATR-interacting protein</t>
  </si>
  <si>
    <t>Paraspeckle component 1</t>
  </si>
  <si>
    <t>Isoform 6 of MAP kinase-activating death domain protein</t>
  </si>
  <si>
    <t>Nesprin-2</t>
  </si>
  <si>
    <t>Isoform 4 of Connector enhancer of kinase suppressor of ras 2</t>
  </si>
  <si>
    <t>Isoform 2 of Acyl-coenzyme A thioesterase 11</t>
  </si>
  <si>
    <t>Transcriptional repressor p66-beta</t>
  </si>
  <si>
    <t>Progesterone-induced-blocking factor 1</t>
  </si>
  <si>
    <t>DnaJ homolog subfamily C member 9</t>
  </si>
  <si>
    <t>Intraflagellar transport protein 81 homolog</t>
  </si>
  <si>
    <t>Beta-catenin-like protein 1</t>
  </si>
  <si>
    <t>Isoform 3 of Histone acetyltransferase KAT6B</t>
  </si>
  <si>
    <t>Protein phosphatase Slingshot homolog 1</t>
  </si>
  <si>
    <t>Ras and Rab interactor 2</t>
  </si>
  <si>
    <t>Protein ELYS</t>
  </si>
  <si>
    <t>Isoform 3 of E3 ubiquitin-protein ligase rififylin</t>
  </si>
  <si>
    <t>Ovarian cancer-associated gene 2 protein</t>
  </si>
  <si>
    <t>Protein LZIC</t>
  </si>
  <si>
    <t>Immunity-related GTPase family Q protein</t>
  </si>
  <si>
    <t>DNA damage-binding protein 2</t>
  </si>
  <si>
    <t>ATP-dependent RNA helicase DDX1</t>
  </si>
  <si>
    <t>Isoform 3 of SEC14-like protein 1</t>
  </si>
  <si>
    <t>Estradiol 17-beta-dehydrogenase 8</t>
  </si>
  <si>
    <t>Histone H1x</t>
  </si>
  <si>
    <t>T-complex protein 1 subunit zeta-2</t>
  </si>
  <si>
    <t>Golgi-specific brefeldin A-resistance guanine nucleotide exchange factor 1</t>
  </si>
  <si>
    <t>Isoform 2 of Protein SMG7</t>
  </si>
  <si>
    <t>RNA polymerase-associated protein RTF1 homolog</t>
  </si>
  <si>
    <t>Transmembrane protein 131</t>
  </si>
  <si>
    <t>DNA topoisomerase 2-binding protein 1</t>
  </si>
  <si>
    <t>Inositol hexakisphosphate kinase 1</t>
  </si>
  <si>
    <t>28S ribosomal protein S27, mitochondrial</t>
  </si>
  <si>
    <t>Wiskott-Aldrich syndrome protein family member 1</t>
  </si>
  <si>
    <t>Ubiquitin carboxyl-terminal hydrolase BAP1</t>
  </si>
  <si>
    <t>Isoform 2 of Protein FAM168A</t>
  </si>
  <si>
    <t>AP-3 complex subunit sigma-1</t>
  </si>
  <si>
    <t>Hamartin</t>
  </si>
  <si>
    <t>UBX domain-containing protein 4</t>
  </si>
  <si>
    <t>Isoform 2 of PHD finger protein 3</t>
  </si>
  <si>
    <t>Mastermind-like protein 1</t>
  </si>
  <si>
    <t>Protein NDRG1</t>
  </si>
  <si>
    <t>Isoform Beta of Heat shock protein 105 kDa</t>
  </si>
  <si>
    <t>Isoform 2 of Septin-8</t>
  </si>
  <si>
    <t>Cell differentiation protein RCD1 homolog</t>
  </si>
  <si>
    <t>TBC1 domain family member 5</t>
  </si>
  <si>
    <t>Isoform 3 of Unconventional myosin-XVIIIa</t>
  </si>
  <si>
    <t>La-related protein 4B</t>
  </si>
  <si>
    <t>Translational activator GCN1</t>
  </si>
  <si>
    <t>Zinc finger protein 516</t>
  </si>
  <si>
    <t>Pre-mRNA-splicing factor ATP-dependent RNA helicase PRP16</t>
  </si>
  <si>
    <t>Nuclear pore complex protein Nup205</t>
  </si>
  <si>
    <t>Tetratricopeptide repeat protein 9A</t>
  </si>
  <si>
    <t>Amyloid protein-binding protein 2</t>
  </si>
  <si>
    <t>Ankyrin repeat and SAM domain-containing protein 1A</t>
  </si>
  <si>
    <t>Protein FAN</t>
  </si>
  <si>
    <t>Isoform 2 of Transcription factor IIIA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</si>
  <si>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</si>
  <si>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</si>
  <si>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</si>
  <si>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</si>
  <si>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</si>
  <si>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</si>
  <si>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</si>
  <si>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</si>
  <si>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</si>
  <si>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Ras-responsive element-binding protein 1</t>
  </si>
  <si>
    <t>Isoform 2 of Signal transducing adapter molecule 1</t>
  </si>
  <si>
    <t>Zinc finger protein ubi-d4</t>
  </si>
  <si>
    <t>CREB-binding protein</t>
  </si>
  <si>
    <t>Symplekin</t>
  </si>
  <si>
    <t>Isoform Short of TATA-binding protein-associated factor 2N</t>
  </si>
  <si>
    <t>Golgin subfamily A member 1</t>
  </si>
  <si>
    <t>Envoplakin</t>
  </si>
  <si>
    <t>Gamma-glutamyl hydrolase</t>
  </si>
  <si>
    <t>Histone acetyltransferase KAT2A</t>
  </si>
  <si>
    <t>Isoform 4 of X-linked retinitis pigmentosa GTPase regulator</t>
  </si>
  <si>
    <t>Probable ATP-dependent RNA helicase DDX17</t>
  </si>
  <si>
    <t>Isoform 3 of Bcl-2-like protein 2</t>
  </si>
  <si>
    <t>TRAF family member-associated NF-kappa-B activator</t>
  </si>
  <si>
    <t>Isoform 2 of Kinesin-associated protein 3</t>
  </si>
  <si>
    <t>Isoform D of Caspase-10</t>
  </si>
  <si>
    <t>DNA repair protein RAD50</t>
  </si>
  <si>
    <t>Isoform 2 of CUGBP Elav-like family member 1</t>
  </si>
  <si>
    <t>Osteoclast-stimulating factor 1</t>
  </si>
  <si>
    <t>DNA repair endonuclease XPF</t>
  </si>
  <si>
    <t>Ubiquitin fusion degradation protein 1 homolog</t>
  </si>
  <si>
    <t>Regulator of nonsense transcripts 1</t>
  </si>
  <si>
    <t>Isoform II of Hermansky-Pudlak syndrome 1 protein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</si>
  <si>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</si>
  <si>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</si>
  <si>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</si>
  <si>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</si>
  <si>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</si>
  <si>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</si>
  <si>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Isoform 2 of GTP-binding protein Rit1</t>
  </si>
  <si>
    <t>Isoform 2 of Transportin-1</t>
  </si>
  <si>
    <t>Isoform 3 of Rho guanine nucleotide exchange factor 2</t>
  </si>
  <si>
    <t>Ribosomal RNA small subunit methyltransferase NEP1</t>
  </si>
  <si>
    <t>Isoform 2 of Polyribonucleotide 5-hydroxyl-kinase Clp1</t>
  </si>
  <si>
    <t>Glomulin</t>
  </si>
  <si>
    <t>Isoform 5 of Transcription factor IIIB 90 kDa subunit</t>
  </si>
  <si>
    <t>Isoform 2 of Ubiquitin carboxyl-terminal hydrolase 13</t>
  </si>
  <si>
    <t>Probable ubiquitin carboxyl-terminal hydrolase FAF-X</t>
  </si>
  <si>
    <t>N-acetyltransferase 6</t>
  </si>
  <si>
    <t>Cullin-5</t>
  </si>
  <si>
    <t>Lipoma-preferred partner</t>
  </si>
  <si>
    <t>Isoform D of RNA-binding protein with multiple splicing</t>
  </si>
  <si>
    <t>Isoform 2 of Selenocysteine insertion sequence-binding protein 2-like</t>
  </si>
  <si>
    <t>Isoform 3 of Mediator of RNA polymerase II transcription subunit 12</t>
  </si>
  <si>
    <t>Histone H2A type 1-C</t>
  </si>
  <si>
    <t>Protein tyrosine phosphatase type IVA 1</t>
  </si>
  <si>
    <t>Homogentisate 1,2-dioxygenase</t>
  </si>
  <si>
    <t>Isoform 4 of Phosphorylase b kinase regulatory subunit beta</t>
  </si>
  <si>
    <t>Transcription elongation factor A protein-like 3</t>
  </si>
  <si>
    <t>Pre-rRNA-processing protein TSR2 homolog</t>
  </si>
  <si>
    <t>Hermansky-Pudlak syndrome 3 protein</t>
  </si>
  <si>
    <t>Isoform 2 of SWI/SNF-related matrix-associated actin-dependent regulator of chromatin subfamily E member 1</t>
  </si>
  <si>
    <t>Protein kinase C delta-binding protein</t>
  </si>
  <si>
    <t>Riboflavin kinase</t>
  </si>
  <si>
    <t>UPF0556 protein C19orf10</t>
  </si>
  <si>
    <t>E3 ubiquitin-protein ligase RNF34</t>
  </si>
  <si>
    <t>Protein YIPF5</t>
  </si>
  <si>
    <t>60S ribosomal protein L36a-like</t>
  </si>
  <si>
    <t>Integrin-alpha FG-GAP repeat-containing protein 2</t>
  </si>
  <si>
    <t>Zinc finger protein 622</t>
  </si>
  <si>
    <t>Isoform 3 of Ribosome-releasing factor 2, mitochondrial</t>
  </si>
  <si>
    <t>Isoform 2 of 7-methylguanosine phosphate-specific 5-nucleotidase</t>
  </si>
  <si>
    <t>Proteasome assembly chaperone 2</t>
  </si>
  <si>
    <t>Mitochondrial ubiquitin ligase activator of NFKB 1</t>
  </si>
  <si>
    <t>Isoform 2 of Protein FAM104A</t>
  </si>
  <si>
    <t>RILP-like protein 2</t>
  </si>
  <si>
    <t>Cirhin</t>
  </si>
  <si>
    <t>Isoform 3 of tRNA modification GTPase GTPBP3, mitochondrial</t>
  </si>
  <si>
    <t>Protein TBRG4</t>
  </si>
  <si>
    <t>Protein phosphatase 1 regulatory subunit 14A</t>
  </si>
  <si>
    <t>Coiled-coil domain-containing protein 102A</t>
  </si>
  <si>
    <t>Isoform 3 of RING finger protein 166</t>
  </si>
  <si>
    <t>Mitoferrin-2</t>
  </si>
  <si>
    <t>Synapse-associated protein 1</t>
  </si>
  <si>
    <t>Exocyst complex component 4</t>
  </si>
  <si>
    <t>Protein mago nashi homolog 2</t>
  </si>
  <si>
    <t>Putative monooxygenase p33MONOX</t>
  </si>
  <si>
    <t>Isochorismatase domain-containing protein 2, mitochondrial</t>
  </si>
  <si>
    <t>Protein N-terminal asparagine amidohydrolase</t>
  </si>
  <si>
    <t>Fermitin family homolog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</si>
  <si>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</si>
  <si>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</si>
  <si>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</si>
  <si>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</si>
  <si>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Isoform 2 of Adrenocortical dysplasia protein homolog</t>
  </si>
  <si>
    <t>Uncharacterized protein KIAA1143</t>
  </si>
  <si>
    <t>Ribulose-phosphate 3-epimerase</t>
  </si>
  <si>
    <t>Vacuolar protein sorting-associated protein 33A</t>
  </si>
  <si>
    <t>Peptidyl-prolyl cis-trans isomerase FKBP10</t>
  </si>
  <si>
    <t>Tetratricopeptide repeat protein 28</t>
  </si>
  <si>
    <t>Isoform 2 of RAD51-associated protein 1</t>
  </si>
  <si>
    <t>Isoform 2 of Ubiquitin-conjugating enzyme E2 W</t>
  </si>
  <si>
    <t>Isoform 2 of Uncharacterized protein C18orf25</t>
  </si>
  <si>
    <t>Exosome complex component RRP43</t>
  </si>
  <si>
    <t>Proline-rich AKT1 substrate 1</t>
  </si>
  <si>
    <t>UPF0693 protein C10orf32</t>
  </si>
  <si>
    <t>Leukocyte receptor cluster member 9</t>
  </si>
  <si>
    <t>SH3 domain-containing kinase-binding protein 1</t>
  </si>
  <si>
    <t>Isoform 2 of PHD finger protein 21A</t>
  </si>
  <si>
    <t>Nucleus accumbens-associated protein 2</t>
  </si>
  <si>
    <t>E3 ubiquitin-protein ligase RNF25</t>
  </si>
  <si>
    <t>Axin interactor, dorsalization-associated protein</t>
  </si>
  <si>
    <t>PIN2/TERF1-interacting telomerase inhibitor 1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</si>
  <si>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</si>
  <si>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</si>
  <si>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</si>
  <si>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</si>
  <si>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</si>
  <si>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Calcineurin B homologous protein 3</t>
  </si>
  <si>
    <t>Alkylated DNA repair protein alkB homolog 8</t>
  </si>
  <si>
    <t>Uracil phosphoribosyltransferase homolog</t>
  </si>
  <si>
    <t>Isoform 2 of Phosphotriesterase-related protein</t>
  </si>
  <si>
    <t>MOB kinase activator 3A</t>
  </si>
  <si>
    <t>Dedicator of cytokinesis protein 10</t>
  </si>
  <si>
    <t>Autophagy-related protein 2 homolog B</t>
  </si>
  <si>
    <t>Leukocyte receptor cluster member 1</t>
  </si>
  <si>
    <t>TBC1 domain family member 20</t>
  </si>
  <si>
    <t>Protein FAM136A</t>
  </si>
  <si>
    <t>EF-hand domain-containing protein D2</t>
  </si>
  <si>
    <t>Aldose 1-epimerase</t>
  </si>
  <si>
    <t>Synaptotagmin-like protein 4</t>
  </si>
  <si>
    <t>Isoform 2 of RUN domain-containing protein 1</t>
  </si>
  <si>
    <t>Pyrroline-5-carboxylate reductase 2</t>
  </si>
  <si>
    <t>m7GpppX diphosphatase</t>
  </si>
  <si>
    <t>Protein phosphatase 1 regulatory subunit 14B</t>
  </si>
  <si>
    <t>Integrator complex subunit 12</t>
  </si>
  <si>
    <t>F-box/LRR-repeat protein 8</t>
  </si>
  <si>
    <t>Phosphopantothenoylcysteine decarboxylase</t>
  </si>
  <si>
    <t>Charged multivesicular body protein 4c</t>
  </si>
  <si>
    <t>TRAF-interacting protein with FHA domain-containing protein A</t>
  </si>
  <si>
    <t>EVI5-like protein</t>
  </si>
  <si>
    <t>Isochorismatase domain-containing protein 1</t>
  </si>
  <si>
    <t>GRIP and coiled-coil domain-containing protein 1</t>
  </si>
  <si>
    <t>FLYWCH family member 2</t>
  </si>
  <si>
    <t>Isoform 2 of GRAM domain-containing protein 1A</t>
  </si>
  <si>
    <t>HAUS augmin-like complex subunit 1</t>
  </si>
  <si>
    <t>Coiled-coil domain-containing protein 124</t>
  </si>
  <si>
    <t>Optineurin</t>
  </si>
  <si>
    <t>Isoform 2 of AP-2 complex subunit mu</t>
  </si>
  <si>
    <t>Isoform 2 of 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</si>
  <si>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</si>
  <si>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</si>
  <si>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</si>
  <si>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G-protein coupled receptor-associated sorting protein 2</t>
  </si>
  <si>
    <t>60S ribosomal export protein NMD3</t>
  </si>
  <si>
    <t>Uncharacterized aarF domain-containing protein kinase 4</t>
  </si>
  <si>
    <t>Isoform 3 of RalBP1-associated Eps domain-containing protein 1</t>
  </si>
  <si>
    <t>Regulator of microtubule dynamics protein 1</t>
  </si>
  <si>
    <t>Transmembrane and coiled-coil domain-containing protein 6</t>
  </si>
  <si>
    <t>Ubiquitin thioesterase OTUB2</t>
  </si>
  <si>
    <t>U8 snoRNA-decapping enzyme</t>
  </si>
  <si>
    <t>Anaphase-promoting complex subunit 16</t>
  </si>
  <si>
    <t>Protein DGCR14</t>
  </si>
  <si>
    <t>Carboxymethylenebutenolidase homolog</t>
  </si>
  <si>
    <t>Rho guanine nucleotide exchange factor 26</t>
  </si>
  <si>
    <t>Cysteine protease ATG4C</t>
  </si>
  <si>
    <t>Inositol-trisphosphate 3-kinase C</t>
  </si>
  <si>
    <t>39S ribosomal protein L38, mitochondrial</t>
  </si>
  <si>
    <t>Ankyrin repeat and SOCS box protein 9</t>
  </si>
  <si>
    <t>Isoform 2 of Ankyrin repeat and SOCS box protein 9</t>
  </si>
  <si>
    <t>Tripartite motif-containing protein 44</t>
  </si>
  <si>
    <t>Protein FAM122A</t>
  </si>
  <si>
    <t>Isoform 3 of Ribosome-recycling factor, mitochondrial</t>
  </si>
  <si>
    <t>RecQ-mediated genome instability protein 2</t>
  </si>
  <si>
    <t>Protein Spindly</t>
  </si>
  <si>
    <t>Elongator complex protein 4</t>
  </si>
  <si>
    <t>NAD-dependent protein deacetylase sirtuin-1</t>
  </si>
  <si>
    <t>Isoform 2 of Protein Hook homolog 2</t>
  </si>
  <si>
    <t>Nucleoporin SEH1</t>
  </si>
  <si>
    <t>Mitochondrial assembly of ribosomal large subunit protein 1</t>
  </si>
  <si>
    <t>Transcription elongation factor A protein-like 4</t>
  </si>
  <si>
    <t>THAP domain-containing protein 11</t>
  </si>
  <si>
    <t>KIF1-binding protein</t>
  </si>
  <si>
    <t>Glucosamine 6-phosphate N-acetyltransferase</t>
  </si>
  <si>
    <t>Constitutive coactivator of peroxisome proliferator-activated receptor gamma</t>
  </si>
  <si>
    <t>Protein KTI12 homolog</t>
  </si>
  <si>
    <t>39S ribosomal protein L53, mitochondrial</t>
  </si>
  <si>
    <t>Trans-L-3-hydroxyproline dehydratase</t>
  </si>
  <si>
    <t>Molybdenum cofactor sulfurase</t>
  </si>
  <si>
    <t>E3 ubiquitin-protein ligase RNF31</t>
  </si>
  <si>
    <t>Isoform 2 of E3 ubiquitin-protein ligase CHFR</t>
  </si>
  <si>
    <t>DAZ-associated protein 1</t>
  </si>
  <si>
    <t>Small glutamine-rich tetratricopeptide repeat-containing protein beta</t>
  </si>
  <si>
    <t>SAGA-associated factor 29 homolog</t>
  </si>
  <si>
    <t>RNA-binding protein 33</t>
  </si>
  <si>
    <t>Dysbindin</t>
  </si>
  <si>
    <t>HSPB1-associated protein 1</t>
  </si>
  <si>
    <t>WD repeat-containing protein 34</t>
  </si>
  <si>
    <t>Isoform 2 of DnaJ homolog subfamily A member 3, mitochondrial</t>
  </si>
  <si>
    <t>Translation machinery-associated protein 16</t>
  </si>
  <si>
    <t>Isoform 3 of 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</si>
  <si>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</si>
  <si>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</si>
  <si>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</si>
  <si>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3 of Microspherule protein 1</t>
  </si>
  <si>
    <t>Nuclear receptor-binding factor 2</t>
  </si>
  <si>
    <t>Isoform 3 of E3 ubiquitin-protein ligase TRIM11</t>
  </si>
  <si>
    <t>Interleukin-17 receptor A</t>
  </si>
  <si>
    <t>Coiled-coil domain-containing protein 97</t>
  </si>
  <si>
    <t>Enhancer of mRNA-decapping protein 3</t>
  </si>
  <si>
    <t>Isoform 2 of Phytanoyl-CoA hydroxylase-interacting protein-like</t>
  </si>
  <si>
    <t>Isoform 4 of Probable ATP-dependent RNA helicase DDX11</t>
  </si>
  <si>
    <t>Protein MEF2BNB</t>
  </si>
  <si>
    <t>AMSH-like protease</t>
  </si>
  <si>
    <t>WD repeat-containing protein 89</t>
  </si>
  <si>
    <t>Protein S100-A16</t>
  </si>
  <si>
    <t>Signal-induced proliferation-associated protein 1</t>
  </si>
  <si>
    <t>Intraflagellar transport protein 43 homolog</t>
  </si>
  <si>
    <t>Leucine-rich repeat-containing protein 46</t>
  </si>
  <si>
    <t>Secernin-2</t>
  </si>
  <si>
    <t>THO complex subunit 1</t>
  </si>
  <si>
    <t>Ubiquitin thioesterase OTUB1</t>
  </si>
  <si>
    <t>DPH3 homolog</t>
  </si>
  <si>
    <t>tRNA (adenine(58)-N(1))-methyltransferase catalytic subunit TRMT61A</t>
  </si>
  <si>
    <t>UPF0361 protein C3orf37</t>
  </si>
  <si>
    <t>Phosphoglucomutase-2</t>
  </si>
  <si>
    <t>Protein FAM86A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</si>
  <si>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</si>
  <si>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</si>
  <si>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</si>
  <si>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</si>
  <si>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</si>
  <si>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Protein LTV1 homolog</t>
  </si>
  <si>
    <t>Serine dehydratase-like</t>
  </si>
  <si>
    <t>Pyridoxal phosphate phosphatase</t>
  </si>
  <si>
    <t>Centrosomal protein of 95 kDa</t>
  </si>
  <si>
    <t>DCN1-like protein 1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</si>
  <si>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</si>
  <si>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</si>
  <si>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</si>
  <si>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</si>
  <si>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</si>
  <si>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UNC119-binding protein C5orf30</t>
  </si>
  <si>
    <t>Methionine--tRNA ligase, mitochondrial</t>
  </si>
  <si>
    <t>Putative ataxin-7-like protein 3B</t>
  </si>
  <si>
    <t>Serine/threonine-protein kinase greatwall</t>
  </si>
  <si>
    <t>Methylthioribulose-1-phosphate dehydratase</t>
  </si>
  <si>
    <t>Isoform 2 of Methylthioribulose-1-phosphate dehydratase</t>
  </si>
  <si>
    <t>Zinc finger C2HC domain-containing protein 1A</t>
  </si>
  <si>
    <t>Vacuolar-sorting protein SNF8</t>
  </si>
  <si>
    <t>Zinc finger CCCH-type antiviral protein 1-like</t>
  </si>
  <si>
    <t>Isoform 2 of Tonsoku-like protein</t>
  </si>
  <si>
    <t>Protein N-terminal glutamine amidohydrolase</t>
  </si>
  <si>
    <t>PDZ and LIM domain protein 5</t>
  </si>
  <si>
    <t>Aspartoacylase-2</t>
  </si>
  <si>
    <t>ERO1-like protein alpha</t>
  </si>
  <si>
    <t>Isoform 2 of UPF0562 protein C7orf55</t>
  </si>
  <si>
    <t>Isoform 2 of Putative adenosylhomocysteinase 3</t>
  </si>
  <si>
    <t>Oxidoreductase NAD-binding domain-containing protein 1</t>
  </si>
  <si>
    <t>CDKN2AIP N-terminal-like protein</t>
  </si>
  <si>
    <t>Isoform 2 of 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</si>
  <si>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</si>
  <si>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</si>
  <si>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</si>
  <si>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</si>
  <si>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Protein preY, mitochondrial</t>
  </si>
  <si>
    <t>Far upstream element-binding protein 3</t>
  </si>
  <si>
    <t>Splicing factor 45</t>
  </si>
  <si>
    <t>Probable asparagine--tRNA ligase, mitochondrial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</si>
  <si>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</si>
  <si>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</si>
  <si>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</si>
  <si>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</si>
  <si>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4-hydroxyphenylpyruvate dioxygenase-like protein</t>
  </si>
  <si>
    <t>Alpha/beta hydrolase domain-containing protein 14B</t>
  </si>
  <si>
    <t>Isoform 2 of Peptide-N(4)-(N-acetyl-beta-glucosaminyl)asparagine amidase</t>
  </si>
  <si>
    <t>Kinetochore-associated protein NSL1 homolog</t>
  </si>
  <si>
    <t>PRKC apoptosis WT1 regulator protein</t>
  </si>
  <si>
    <t>Isoform 2 of RNA-binding protein 41</t>
  </si>
  <si>
    <t>Methyltransferase-like protein 2A</t>
  </si>
  <si>
    <t>Isoform 2 of Serine/Arginine-related protein 53</t>
  </si>
  <si>
    <t>THO complex subunit 3</t>
  </si>
  <si>
    <t>Isoform 2 of E3 ubiquitin-protein ligase Itchy homolog</t>
  </si>
  <si>
    <t>Kin of IRRE-like protein 1</t>
  </si>
  <si>
    <t>Conserved oligomeric Golgi complex subunit 3</t>
  </si>
  <si>
    <t>CDK5 regulatory subunit-associated protein 3</t>
  </si>
  <si>
    <t>Isoform 2 of Vam6/Vps39-like protein</t>
  </si>
  <si>
    <t>ELL-associated factor 1</t>
  </si>
  <si>
    <t>Microtubule-associated protein 6</t>
  </si>
  <si>
    <t>Coiled-coil domain-containing protein 132</t>
  </si>
  <si>
    <t>Isoform 2 of Melanoma-associated antigen D4</t>
  </si>
  <si>
    <t>Deubiquitinating protein VCIP135</t>
  </si>
  <si>
    <t>Isoform 2 of Spatacsin</t>
  </si>
  <si>
    <t>Mastermind-like protein 3</t>
  </si>
  <si>
    <t>Chromosome alignment-maintaining phosphoprotein 1</t>
  </si>
  <si>
    <t>Putative unconventional myosin-XVB</t>
  </si>
  <si>
    <t>E3 ubiquitin-protein ligase ZFP91</t>
  </si>
  <si>
    <t>Calmin</t>
  </si>
  <si>
    <t>PDZ and LIM domain protein 2</t>
  </si>
  <si>
    <t>Lymphokine-activated killer T-cell-originated protein kinase</t>
  </si>
  <si>
    <t>DnaJ homolog subfamily C member 1</t>
  </si>
  <si>
    <t>Isoform 3 of N-terminal kinase-like protein</t>
  </si>
  <si>
    <t>Exocyst complex component 2</t>
  </si>
  <si>
    <t>Cytosolic non-specific dipeptidase</t>
  </si>
  <si>
    <t>Apoptosis-stimulating of p53 protein 1</t>
  </si>
  <si>
    <t>Zinc finger RNA-binding protein</t>
  </si>
  <si>
    <t>EPH receptor B4, isoform CRA_b</t>
  </si>
  <si>
    <t>Isoform 2 of Histone-lysine N-methyltransferase, H3 lysine-36 and H4 lysine-20 specific</t>
  </si>
  <si>
    <t>Isoform 5 of E1A-binding protein p400</t>
  </si>
  <si>
    <t>Sorting nexin-27</t>
  </si>
  <si>
    <t>Isoform 5 of Kinesin-like protein KIF16B</t>
  </si>
  <si>
    <t>Intraflagellar transport protein 74 homolog</t>
  </si>
  <si>
    <t>Tripartite motif-containing protein 47</t>
  </si>
  <si>
    <t>Ubiquitin-conjugating enzyme E2 E2</t>
  </si>
  <si>
    <t>Protein C9orf72</t>
  </si>
  <si>
    <t>Protein PRRC1</t>
  </si>
  <si>
    <t>Isoform 4 of F-box/LRR-repeat protein 18</t>
  </si>
  <si>
    <t>Isoform 3 of Zinc finger protein 512</t>
  </si>
  <si>
    <t>Melanoma-associated antigen G1</t>
  </si>
  <si>
    <t>Protein HEXIM2</t>
  </si>
  <si>
    <t>Isoform 2 of YTH domain-containing protein 1</t>
  </si>
  <si>
    <t>Coiled-coil domain-containing protein 43</t>
  </si>
  <si>
    <t>Zinc finger protein 48</t>
  </si>
  <si>
    <t>WD repeat-containing protein 92</t>
  </si>
  <si>
    <t>Uncharacterized protein C20orf112</t>
  </si>
  <si>
    <t>Uncharacterized protein C16orf55</t>
  </si>
  <si>
    <t>Isoform 2 of AP-4 complex accessory subunit tepsin</t>
  </si>
  <si>
    <t>Isoform 4 of Dedicator of cytokinesis protein 7</t>
  </si>
  <si>
    <t>Rab-interacting lysosomal protein</t>
  </si>
  <si>
    <t>LisH domain-containing protein FOPNL</t>
  </si>
  <si>
    <t>Zinc finger protein 830</t>
  </si>
  <si>
    <t>Zinc finger matrin-type protein 2</t>
  </si>
  <si>
    <t>Sodium channel and clathrin linker 1</t>
  </si>
  <si>
    <t>Protein C8orf37</t>
  </si>
  <si>
    <t>Nucleosome assembly protein 1-like 5</t>
  </si>
  <si>
    <t>Probable imidazolonepropionase</t>
  </si>
  <si>
    <t>Ankyrin repeat domain-containing protein 27</t>
  </si>
  <si>
    <t>Isoform 2 of Putative methyltransferase NSUN5</t>
  </si>
  <si>
    <t>Regulation of nuclear pre-mRNA domain-containing protein 1A</t>
  </si>
  <si>
    <t>Arf-GAP with GTPase, ANK repeat and PH domain-containing protein 3</t>
  </si>
  <si>
    <t>Isoform 3 of Arf-GAP with Rho-GAP domain, ANK repeat and PH domain-containing protein 1</t>
  </si>
  <si>
    <t>Importin-9</t>
  </si>
  <si>
    <t>Discoidin, CUB and LCCL domain-containing protein 2</t>
  </si>
  <si>
    <t>Rho guanine nucleotide exchange factor 17</t>
  </si>
  <si>
    <t>Methylmalonyl-CoA epimerase, mitochondrial</t>
  </si>
  <si>
    <t>RNA-binding protein 14</t>
  </si>
  <si>
    <t>RING finger and CHY zinc finger domain-containing protein 1</t>
  </si>
  <si>
    <t>Isoform 4 of Transcriptional-regulating factor 1</t>
  </si>
  <si>
    <t>Isoform 5 of Kelch-like protein 5</t>
  </si>
  <si>
    <t>E3 ubiquitin-protein ligase UHRF2</t>
  </si>
  <si>
    <t>Isoform 7 of E3 ubiquitin-protein ligase NEDD4-like</t>
  </si>
  <si>
    <t>Isoform 6 of Protein quaking</t>
  </si>
  <si>
    <t>Formin-like protein 2</t>
  </si>
  <si>
    <t>Pseudouridylate synthase 7 homolog</t>
  </si>
  <si>
    <t>Isoform 3 of Trafficking protein particle complex subunit 9</t>
  </si>
  <si>
    <t>Isoform 2 of CCA tRNA nucleotidyltransferase 1, mitochondrial</t>
  </si>
  <si>
    <t>Serine/threonine-protein kinase SMG1</t>
  </si>
  <si>
    <t>Alsin</t>
  </si>
  <si>
    <t>Isoform 2 of Transmembrane protein 237</t>
  </si>
  <si>
    <t>Alpha-ketoglutarate-dependent dioxygenase alkB homolog 3</t>
  </si>
  <si>
    <t>Isoform 4 of Kinesin-like protein KIF20B</t>
  </si>
  <si>
    <t>Serine/threonine-protein phosphatase 1 regulatory subunit 10</t>
  </si>
  <si>
    <t>Isoform 2 of ATPase family AAA domain-containing protein 5</t>
  </si>
  <si>
    <t>Isoform 1 of Rab-3A-interacting protein</t>
  </si>
  <si>
    <t>Myotubularin-related protein 9</t>
  </si>
  <si>
    <t>Vacuolar protein sorting-associated protein 35</t>
  </si>
  <si>
    <t>Alpha-protein kinase 1</t>
  </si>
  <si>
    <t>Transcriptional activator protein Pur-beta</t>
  </si>
  <si>
    <t>1-aminocyclopropane-1-carboxylate synthase-like protein 1</t>
  </si>
  <si>
    <t>Exportin-6</t>
  </si>
  <si>
    <t>Isoform 7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</si>
  <si>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</si>
  <si>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</si>
  <si>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</si>
  <si>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</si>
  <si>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BRCA1-A complex subunit RAP80</t>
  </si>
  <si>
    <t>Isoform 3 of Mediator of RNA polymerase II transcription subunit 15</t>
  </si>
  <si>
    <t>Elongation factor G, mitochondrial</t>
  </si>
  <si>
    <t>Twinkle protein, mitochondrial</t>
  </si>
  <si>
    <t>Isoform 2 of Calcium/calmodulin-dependent protein kinase kinase 2</t>
  </si>
  <si>
    <t>Trimethylguanosine synthase</t>
  </si>
  <si>
    <t>NudC domain-containing protein 1</t>
  </si>
  <si>
    <t>Isoform 9 of Protein LAP2</t>
  </si>
  <si>
    <t>Isoform 2 of Gamma-tubulin complex component 6</t>
  </si>
  <si>
    <t>Isoform 2 of Ubiquitin carboxyl-terminal hydrolase 28</t>
  </si>
  <si>
    <t>Isoform 2 of Formin-binding protein 1</t>
  </si>
  <si>
    <t>Isoform 2 of Hemicentin-1</t>
  </si>
  <si>
    <t>Protein cramped-like</t>
  </si>
  <si>
    <t>Intraflagellar transport protein 140 homolog</t>
  </si>
  <si>
    <t>UPF0585 protein C16orf13</t>
  </si>
  <si>
    <t>Ras-related protein Rab-40C</t>
  </si>
  <si>
    <t>Ribosomal protein S6 kinase delta-1</t>
  </si>
  <si>
    <t>TP53-regulating kinase</t>
  </si>
  <si>
    <t>Isoform 2 of ATPase WRNIP1</t>
  </si>
  <si>
    <t>Ran-binding protein 9</t>
  </si>
  <si>
    <t>Isoform 4 of Chloride channel CLIC-like protein 1</t>
  </si>
  <si>
    <t>Ubiquitin-like protein 7</t>
  </si>
  <si>
    <t>LysM and putative peptidoglycan-binding domain-containing protein 1</t>
  </si>
  <si>
    <t>Cyclin-L2</t>
  </si>
  <si>
    <t>Pleckstrin homology domain-containing family F member 1</t>
  </si>
  <si>
    <t>Neurabin-2</t>
  </si>
  <si>
    <t>SRSF protein kinase 1</t>
  </si>
  <si>
    <t>Structural maintenance of chromosomes protein 6</t>
  </si>
  <si>
    <t>BTB/POZ domain-containing protein KCTD15</t>
  </si>
  <si>
    <t>Flt3-interacting zinc finger protein 1</t>
  </si>
  <si>
    <t>Isoform 4 of CDK5 regulatory subunit-associated protein 2</t>
  </si>
  <si>
    <t>Protein IWS1 homolog</t>
  </si>
  <si>
    <t>Paired amphipathic helix protein Sin3a</t>
  </si>
  <si>
    <t>Isoform 7 of Oxysterol-binding protein-related protein 9</t>
  </si>
  <si>
    <t>Isoform 4 of von Willebrand factor A domain-containing protein 9</t>
  </si>
  <si>
    <t>2-aminoethanethiol dioxygenase</t>
  </si>
  <si>
    <t>Isoform 2 of CDK5 regulatory subunit-associated protein 1</t>
  </si>
  <si>
    <t>MAP7 domain-containing protein 2</t>
  </si>
  <si>
    <t>Selenocysteine insertion sequence-binding protein 2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</si>
  <si>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</si>
  <si>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</si>
  <si>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</si>
  <si>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</si>
  <si>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</si>
  <si>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E3 ubiquitin-protein ligase UHRF1</t>
  </si>
  <si>
    <t>Niban-like protein 1</t>
  </si>
  <si>
    <t>Isoform 3 of ATP-dependent zinc metalloprotease YME1L1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</si>
  <si>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</si>
  <si>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</si>
  <si>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</si>
  <si>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</si>
  <si>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</si>
  <si>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</si>
  <si>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</si>
  <si>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Prefoldin subunit 5</t>
  </si>
  <si>
    <t>Platelet-activating factor acetylhydrolase 2, cytoplasmic</t>
  </si>
  <si>
    <t>E3 ubiquitin-protein ligase RING2</t>
  </si>
  <si>
    <t>Protein DJ-1</t>
  </si>
  <si>
    <t>GAS2-like protein 1</t>
  </si>
  <si>
    <t>Isoform 2 of Eyes absent homolog 3</t>
  </si>
  <si>
    <t>Sialidase-1</t>
  </si>
  <si>
    <t>Synaptic vesicle membrane protein VAT-1 homolog</t>
  </si>
  <si>
    <t>Perilipin-2</t>
  </si>
  <si>
    <t>DnaJ homolog subfamily C member 2</t>
  </si>
  <si>
    <t>Isoform 2 of DnaJ homolog subfamily C member 2</t>
  </si>
  <si>
    <t>M-phase phosphoprotein 8</t>
  </si>
  <si>
    <t>Nuclear pore complex protein Nup88</t>
  </si>
  <si>
    <t>Isoform 2 of Plakophilin-4</t>
  </si>
  <si>
    <t>Phosphoinositide 3-kinase regulatory subunit 4</t>
  </si>
  <si>
    <t>Neuroserpin</t>
  </si>
  <si>
    <t>Ribonucleases P/MRP protein subunit POP1</t>
  </si>
  <si>
    <t>Max-binding protein MNT</t>
  </si>
  <si>
    <t>Protein S100-A13</t>
  </si>
  <si>
    <t>Translin-associated protein X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</si>
  <si>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</si>
  <si>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</si>
  <si>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</si>
  <si>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</si>
  <si>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</si>
  <si>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Isoform 2 of COP9 signalosome complex subunit 8</t>
  </si>
  <si>
    <t>Pre-mRNA-splicing factor 18</t>
  </si>
  <si>
    <t>Cell cycle checkpoint control protein RAD9A</t>
  </si>
  <si>
    <t>Calcineurin B homologous protein 1</t>
  </si>
  <si>
    <t>Kinesin-like protein KIF2C</t>
  </si>
  <si>
    <t>Cell growth regulator with EF hand domain protein 1</t>
  </si>
  <si>
    <t>Monoglyceride lipase</t>
  </si>
  <si>
    <t>Isoform 4 of Ataxin-2</t>
  </si>
  <si>
    <t>Methionine synthase</t>
  </si>
  <si>
    <t>DNA endonuclease RBBP8</t>
  </si>
  <si>
    <t>3-hydroxyacyl-CoA dehydrogenase type-2</t>
  </si>
  <si>
    <t>Isoform 3 of Heterogeneous nuclear ribonucleoprotein A/B</t>
  </si>
  <si>
    <t>Nucleosome assembly protein 1-like 4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</si>
  <si>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</si>
  <si>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</si>
  <si>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</si>
  <si>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</si>
  <si>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</si>
  <si>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Aconitate hydratase, mitochondrial</t>
  </si>
  <si>
    <t>Tumor susceptibility gene 101 protein</t>
  </si>
  <si>
    <t>Copine-1</t>
  </si>
  <si>
    <t>T-complex protein 1 subunit eta</t>
  </si>
  <si>
    <t>Isoform 3 of HAUS augmin-like complex subunit 7</t>
  </si>
  <si>
    <t>Histone H2A type 1-J</t>
  </si>
  <si>
    <t>Histone H2B type 1-M</t>
  </si>
  <si>
    <t>Isoform 4 of BAG family molecular chaperone regulator 1</t>
  </si>
  <si>
    <t>Isoform 1 of Plakophilin-2</t>
  </si>
  <si>
    <t>Endophilin-A2</t>
  </si>
  <si>
    <t>Serine/threonine-protein kinase VRK1</t>
  </si>
  <si>
    <t>Isoform 5 of A-kinase anchor protein 9</t>
  </si>
  <si>
    <t>Dihydropyrimidinase-related protein 5</t>
  </si>
  <si>
    <t>Protein NipSnap homolog 1</t>
  </si>
  <si>
    <t>Condensin complex subunit 3</t>
  </si>
  <si>
    <t>Actin-related protein 2/3 complex subunit 5-like protein</t>
  </si>
  <si>
    <t>Isoform 2 of Calcium uptake protein 1, mitochondrial</t>
  </si>
  <si>
    <t>UPF0415 protein C7orf25</t>
  </si>
  <si>
    <t>Zinc finger FYVE domain-containing protein 21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</si>
  <si>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</si>
  <si>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</si>
  <si>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</si>
  <si>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</si>
  <si>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</si>
  <si>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</si>
  <si>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Methylosome protein 50</t>
  </si>
  <si>
    <t>Diphthamide biosynthesis protein 2</t>
  </si>
  <si>
    <t>Tubulin alpha-1C chain</t>
  </si>
  <si>
    <t>Apolipoprotein L2</t>
  </si>
  <si>
    <t>Isoform 4 of B-cell CLL/lymphoma 7 protein family member B</t>
  </si>
  <si>
    <t>Myb-binding protein 1A</t>
  </si>
  <si>
    <t>Peroxisomal NADH pyrophosphatase NUDT12</t>
  </si>
  <si>
    <t>Isoform 2 of Eukaryotic translation initiation factor 2-alpha kinase 1</t>
  </si>
  <si>
    <t>Isoform 2 of Phosphatidate phosphatase LPIN3</t>
  </si>
  <si>
    <t>Fermitin family homolog 1</t>
  </si>
  <si>
    <t>Mitochondrial genome maintenance exonuclease 1</t>
  </si>
  <si>
    <t>FYVE and coiled-coil domain-containing protein 1</t>
  </si>
  <si>
    <t>Acyl-CoA-binding domain-containing protein 6</t>
  </si>
  <si>
    <t>Coronin-1B</t>
  </si>
  <si>
    <t>Isoform 2 of LSM domain-containing protein 1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</si>
  <si>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</si>
  <si>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</si>
  <si>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</si>
  <si>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</si>
  <si>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Leucine zipper putative tumor suppressor 2</t>
  </si>
  <si>
    <t>45 kDa calcium-binding protein</t>
  </si>
  <si>
    <t>Programmed cell death protein 2-like</t>
  </si>
  <si>
    <t>Isoform 2 of Partner of Y14 and mago</t>
  </si>
  <si>
    <t>Apoptosis-inducing factor 2</t>
  </si>
  <si>
    <t>Isoform 2 of ADP-dependent glucokinase</t>
  </si>
  <si>
    <t>G patch domain-containing protein 1</t>
  </si>
  <si>
    <t>Serine/threonine-protein kinase RIO1</t>
  </si>
  <si>
    <t>La-related protein 6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</si>
  <si>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</si>
  <si>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</si>
  <si>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</si>
  <si>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</si>
  <si>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</si>
  <si>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WD repeat domain-containing protein 83</t>
  </si>
  <si>
    <t>Endoplasmic reticulum resident protein 44</t>
  </si>
  <si>
    <t>Latexin</t>
  </si>
  <si>
    <t>Autophagy-related protein 101</t>
  </si>
  <si>
    <t>Cancer-related nucleoside-triphosphatase</t>
  </si>
  <si>
    <t>Agmatinase, mitochondrial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</si>
  <si>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</si>
  <si>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</si>
  <si>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</si>
  <si>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</si>
  <si>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Extended synaptotagmin-1</t>
  </si>
  <si>
    <t>Ubiquitin-associated domain-containing protein 1</t>
  </si>
  <si>
    <t>Malcavernin</t>
  </si>
  <si>
    <t>Isoform 2 of Rhotekin</t>
  </si>
  <si>
    <t>UPF0183 protein C16orf70</t>
  </si>
  <si>
    <t>tRNA-splicing endonuclease subunit Sen34</t>
  </si>
  <si>
    <t>Coiled-coil-helix-coiled-coil-helix domain-containing protein 5</t>
  </si>
  <si>
    <t>Protein canopy homolog 3</t>
  </si>
  <si>
    <t>Mitochondrial GTPase 1</t>
  </si>
  <si>
    <t>Isoform 3 of HAUS augmin-like complex subunit 8</t>
  </si>
  <si>
    <t>Alpha-ketoglutarate-dependent dioxygenase alkB homolog 7</t>
  </si>
  <si>
    <t>Proteasome assembly chaperone 3</t>
  </si>
  <si>
    <t>COP9 signalosome complex subunit 4</t>
  </si>
  <si>
    <t>WW domain-containing adapter protein with coiled-coil</t>
  </si>
  <si>
    <t>Death-inducer obliterator 1</t>
  </si>
  <si>
    <t>Isoform 2 of Dynactin subunit 5</t>
  </si>
  <si>
    <t>Isoform 2 of Mini-chromosome maintenance complex-binding protein</t>
  </si>
  <si>
    <t>Alanyl-tRNA editing protein Aarsd1</t>
  </si>
  <si>
    <t>DCN1-like protein 5</t>
  </si>
  <si>
    <t>THUMP domain-containing protein 2</t>
  </si>
  <si>
    <t>RNMT-activating mini protein</t>
  </si>
  <si>
    <t>Ubiquitin-related modifier 1 homolog</t>
  </si>
  <si>
    <t>Fanconi anemia-associated protein of 24 kDa</t>
  </si>
  <si>
    <t>Acidic leucine-rich nuclear phosphoprotein 32 family member E</t>
  </si>
  <si>
    <t>Mediator of RNA polymerase II transcription subunit 10</t>
  </si>
  <si>
    <t>Leucine-rich repeat-containing protein 1</t>
  </si>
  <si>
    <t>Fibronectin type III and SPRY domain-containing protein 1</t>
  </si>
  <si>
    <t>WD repeat-containing protein 85</t>
  </si>
  <si>
    <t>Tubulin-specific chaperone D</t>
  </si>
  <si>
    <t>Alpha-tocopherol transfer protein-like</t>
  </si>
  <si>
    <t>Plasma alpha-L-fucosidase</t>
  </si>
  <si>
    <t>Protein FAM203A</t>
  </si>
  <si>
    <t>Dehydrogenase/reductase SDR family member 4</t>
  </si>
  <si>
    <t>Thiamine-triphosphatase</t>
  </si>
  <si>
    <t>Isoform b of NADH dehydrogenase [ubiquinone] 1 alpha subcomplex assembly factor 3</t>
  </si>
  <si>
    <t>Centromere protein O</t>
  </si>
  <si>
    <t>Isoform 4 of Multiple myeloma tumor-associated protein 2</t>
  </si>
  <si>
    <t>Deoxyhypusine hydroxylase</t>
  </si>
  <si>
    <t>Uncharacterized protein C11orf84</t>
  </si>
  <si>
    <t>tRNA-specific adenosine deaminase 1</t>
  </si>
  <si>
    <t>Isoform 2 of MAP kinase-interacting serine/threonine-protein kinase 1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</si>
  <si>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</si>
  <si>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</si>
  <si>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</si>
  <si>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</si>
  <si>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</si>
  <si>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3 of Protein misato homolog 1</t>
  </si>
  <si>
    <t>Ribonuclease P protein subunit p25</t>
  </si>
  <si>
    <t>EF-hand domain-containing protein D1</t>
  </si>
  <si>
    <t>Oxidoreductase HTATIP2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</si>
  <si>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</si>
  <si>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</si>
  <si>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</si>
  <si>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</si>
  <si>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</si>
  <si>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Uncharacterized protein C1orf50</t>
  </si>
  <si>
    <t>Methylthioribose-1-phosphate isomerase</t>
  </si>
  <si>
    <t>Melanophilin</t>
  </si>
  <si>
    <t>Isoform 2 of Melanophilin</t>
  </si>
  <si>
    <t>THUMP domain-containing protein 3</t>
  </si>
  <si>
    <t>1,2-dihydroxy-3-keto-5-methylthiopentene dioxygenase</t>
  </si>
  <si>
    <t>Isoform 2 of 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</si>
  <si>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</si>
  <si>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</si>
  <si>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</si>
  <si>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</si>
  <si>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</si>
  <si>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Sister chromatid cohesion protein DCC1</t>
  </si>
  <si>
    <t>Target of rapamycin complex subunit LST8</t>
  </si>
  <si>
    <t>Ashwin</t>
  </si>
  <si>
    <t>Protein PBDC1</t>
  </si>
  <si>
    <t>Isoform 2 of Kinesin-like protein KIFC3</t>
  </si>
  <si>
    <t>Nucleolar complex protein 4 homolog</t>
  </si>
  <si>
    <t>U3 small nucleolar RNA-associated protein 14 homolog A</t>
  </si>
  <si>
    <t>Dual specificity protein phosphatase 23</t>
  </si>
  <si>
    <t>Selenoprotein O</t>
  </si>
  <si>
    <t>Protein DPCD</t>
  </si>
  <si>
    <t>Gamma-glutamylaminecyclotransferase</t>
  </si>
  <si>
    <t>Spermatogenesis-associated protein 5-like protein 1</t>
  </si>
  <si>
    <t>Gamma-tubulin complex component 4</t>
  </si>
  <si>
    <t>Serine/threonine-protein kinase RIO2</t>
  </si>
  <si>
    <t>Isoform 2 of Protein TALPID3</t>
  </si>
  <si>
    <t>TIMELESS-interacting protein</t>
  </si>
  <si>
    <t>Specifically androgen-regulated gene protein</t>
  </si>
  <si>
    <t>Kinesin-like protein KIFC1</t>
  </si>
  <si>
    <t>Nuclear pore complex protein Nup85</t>
  </si>
  <si>
    <t>Tubulin polymerization-promoting protein family member 3</t>
  </si>
  <si>
    <t>DET1- and DDB1-associated protein 1</t>
  </si>
  <si>
    <t>Katanin p60 ATPase-containing subunit A-like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</si>
  <si>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</si>
  <si>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</si>
  <si>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</si>
  <si>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</si>
  <si>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</si>
  <si>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</si>
  <si>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Protein FAM127B</t>
  </si>
  <si>
    <t>Replication initiator 1</t>
  </si>
  <si>
    <t>RNA-binding protein 4</t>
  </si>
  <si>
    <t>FUN14 domain-containing protein 2</t>
  </si>
  <si>
    <t>RNA polymerase II-associated protein 1</t>
  </si>
  <si>
    <t>Splicing factor 3B subunit 5</t>
  </si>
  <si>
    <t>Isoform 3 of Chitinase domain-containing protein 1</t>
  </si>
  <si>
    <t>Poly(A) polymerase gamma</t>
  </si>
  <si>
    <t>Meiotic nuclear division protein 1 homolog</t>
  </si>
  <si>
    <t>Caspase recruitment domain-containing protein 10</t>
  </si>
  <si>
    <t>Kanadaptin</t>
  </si>
  <si>
    <t>Single stranded DNA binding protein-4</t>
  </si>
  <si>
    <t>Protein LSM14 homolog B</t>
  </si>
  <si>
    <t>Fanconi anemia group J protein</t>
  </si>
  <si>
    <t>Histidine triad nucleotide-binding protein 2, mitochondrial</t>
  </si>
  <si>
    <t>Oxysterol-binding protein-related protein 11</t>
  </si>
  <si>
    <t>Isoform 2 of Oxysterol-binding protein-related protein 10</t>
  </si>
  <si>
    <t>Rab11 family-interacting protein 5</t>
  </si>
  <si>
    <t>TBC1 domain family member 10A</t>
  </si>
  <si>
    <t>N-alpha-acetyltransferase 15, NatA auxiliary subunit</t>
  </si>
  <si>
    <t>Krueppel-like factor 16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</si>
  <si>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</si>
  <si>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</si>
  <si>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</si>
  <si>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</si>
  <si>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Isoform 4 of Nucleolar and spindle-associated protein 1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</si>
  <si>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</si>
  <si>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</si>
  <si>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</si>
  <si>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</si>
  <si>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Protein MAK16 homolog</t>
  </si>
  <si>
    <t>Isoform 2 of S phase cyclin A-associated protein in the endoplasmic reticulum</t>
  </si>
  <si>
    <t>Inosine triphosphate pyrophosphatase</t>
  </si>
  <si>
    <t>Protein RTF2 homolog</t>
  </si>
  <si>
    <t>Charged multivesicular body protein 4a</t>
  </si>
  <si>
    <t>Isoform 2 of Cell adhesion molecule 1</t>
  </si>
  <si>
    <t>Polymerase delta-interacting protein 3</t>
  </si>
  <si>
    <t>Uncharacterized protein KIAA1671</t>
  </si>
  <si>
    <t>Guanine nucleotide-binding protein subunit beta-like protein 1</t>
  </si>
  <si>
    <t>39S ribosomal protein L32, mitochondrial</t>
  </si>
  <si>
    <t>Partitioning defective 6 homolog beta</t>
  </si>
  <si>
    <t>YTH domain family protein 1</t>
  </si>
  <si>
    <t>RanBP-type and C3HC4-type zinc finger-containing protein 1</t>
  </si>
  <si>
    <t>Sulfiredoxin-1</t>
  </si>
  <si>
    <t>28S ribosomal protein S26, mitochondrial</t>
  </si>
  <si>
    <t>Neurolysin, mitochondrial</t>
  </si>
  <si>
    <t>Centrosomal protein of 41 kDa</t>
  </si>
  <si>
    <t>Histone-lysine N-methyltransferase SETD2</t>
  </si>
  <si>
    <t>Isoform 4 of TBC1 domain family member 2A</t>
  </si>
  <si>
    <t>Isoform 2 of Pantothenate kinase 2, mitochondrial</t>
  </si>
  <si>
    <t>Isoform 3 of Dedicator of cytokinesis protein 9</t>
  </si>
  <si>
    <t>Isoform 2 of FERM domain-containing protein 8</t>
  </si>
  <si>
    <t>Isoform 4 of Histone-lysine N-methyltransferase NSD3</t>
  </si>
  <si>
    <t>Putative gamma-taxilin 2</t>
  </si>
  <si>
    <t>Kinetochore protein Nuf2</t>
  </si>
  <si>
    <t>Nucleolar GTP-binding protein 1</t>
  </si>
  <si>
    <t>Tether containing UBX domain for GLUT4</t>
  </si>
  <si>
    <t>Ras-related protein Rab-34</t>
  </si>
  <si>
    <t>WD repeat-containing protein 11</t>
  </si>
  <si>
    <t>Isoform 2 of Regulator of nonsense transcripts 3B</t>
  </si>
  <si>
    <t>Isoform 2 of Crooked neck-like protein 1</t>
  </si>
  <si>
    <t>F-box-like/WD repeat-containing protein TBL1XR1</t>
  </si>
  <si>
    <t>Ubiquitin-like protein 5</t>
  </si>
  <si>
    <t>Protein phosphatase 1 regulatory subunit 12C</t>
  </si>
  <si>
    <t>Isoform 3 of Protein phosphatase 1 regulatory subunit 12C</t>
  </si>
  <si>
    <t>Isoform 4 of Protein phosphatase 1 regulatory subunit 12C</t>
  </si>
  <si>
    <t>Serine/threonine-protein kinase D2</t>
  </si>
  <si>
    <t>NKG2D ligand 2</t>
  </si>
  <si>
    <t>Uridine-cytidine kinase 2</t>
  </si>
  <si>
    <t>Isoform 2 of Apoptosis inhibitor 5</t>
  </si>
  <si>
    <t>Protein dpy-30 homolog</t>
  </si>
  <si>
    <t>cAMP-dependent protein kinase inhibitor beta</t>
  </si>
  <si>
    <t>Isoform 5 of E3 ubiquitin-protein ligase TRIM9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</si>
  <si>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</si>
  <si>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</si>
  <si>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</si>
  <si>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</si>
  <si>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</si>
  <si>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Isoform 4 of Activating molecule in BECN1-regulated autophagy protein 1</t>
  </si>
  <si>
    <t>Ubiquitin-conjugating enzyme E2 O</t>
  </si>
  <si>
    <t>Protein zyg-11 homolog B</t>
  </si>
  <si>
    <t>Protein TANC1</t>
  </si>
  <si>
    <t>Centrosomal protein of 44 kDa</t>
  </si>
  <si>
    <t>Kelch-like protein 4</t>
  </si>
  <si>
    <t>Myotubularin-related protein 12</t>
  </si>
  <si>
    <t>pre-mRNA 3 end processing protein WDR33</t>
  </si>
  <si>
    <t>Ribosome biogenesis protein WDR12</t>
  </si>
  <si>
    <t>Actin-related protein 6</t>
  </si>
  <si>
    <t>UPF0687 protein C20orf27</t>
  </si>
  <si>
    <t>PITH domain-containing protein 1</t>
  </si>
  <si>
    <t>COMM domain-containing protein 5</t>
  </si>
  <si>
    <t>Isoform 2 of Sentrin-specific protease 6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</si>
  <si>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</si>
  <si>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</si>
  <si>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</si>
  <si>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</si>
  <si>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NIF3-like protein 1</t>
  </si>
  <si>
    <t>Egl nine homolog 1</t>
  </si>
  <si>
    <t>Protein FAM192A</t>
  </si>
  <si>
    <t>Ankyrin repeat domain-containing protein 2</t>
  </si>
  <si>
    <t>WW domain-containing transcription regulator protein 1</t>
  </si>
  <si>
    <t>Twisted gastrulation protein homolog 1</t>
  </si>
  <si>
    <t>Isoform 2 of Mitochondrial fission factor</t>
  </si>
  <si>
    <t>Ubiquitin-like modifier-activating enzyme 5</t>
  </si>
  <si>
    <t>Phospholysine phosphohistidine inorganic pyrophosphate phosphatase</t>
  </si>
  <si>
    <t>Polyadenylate-binding protein-interacting protein 1</t>
  </si>
  <si>
    <t>Isoform 2 of Caseinolytic peptidase B protein homolog</t>
  </si>
  <si>
    <t>Protein MIS12 homolog</t>
  </si>
  <si>
    <t>Ras-related protein Rab-33B</t>
  </si>
  <si>
    <t>Protein FAM107B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</si>
  <si>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</si>
  <si>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</si>
  <si>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</si>
  <si>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</si>
  <si>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</si>
  <si>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3 of Histone deacetylase complex subunit SAP130</t>
  </si>
  <si>
    <t>Isoform 2 of Bromodomain-containing protein 8</t>
  </si>
  <si>
    <t>Sharpin</t>
  </si>
  <si>
    <t>ADP-ribosylation factor-like protein 6</t>
  </si>
  <si>
    <t>Nuclear speckle splicing regulatory protein 1</t>
  </si>
  <si>
    <t>Rac GTPase-activating protein 1</t>
  </si>
  <si>
    <t>Poly [ADP-ribose] polymerase 12</t>
  </si>
  <si>
    <t>Pseudouridylate synthase 7 homolog-like protein</t>
  </si>
  <si>
    <t>Cleavage stimulation factor subunit 2 tau variant</t>
  </si>
  <si>
    <t>Isoform 1 of Cytosolic 5-nucleotidase 3A</t>
  </si>
  <si>
    <t>AP-5 complex subunit mu-1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</si>
  <si>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</si>
  <si>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</si>
  <si>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</si>
  <si>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Ras-related protein Rab-1B</t>
  </si>
  <si>
    <t>Protein SMG9</t>
  </si>
  <si>
    <t>Isoform 2 of Ester hydrolase C11orf54</t>
  </si>
  <si>
    <t>Nucleotide exchange factor SIL1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</si>
  <si>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</si>
  <si>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</si>
  <si>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</si>
  <si>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</si>
  <si>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Isoform 3 of Kinesin-like protein KIF13A</t>
  </si>
  <si>
    <t>Isoform 3 of Activating signal cointegrator 1 complex subunit 2</t>
  </si>
  <si>
    <t>Isoform 2 of Regulator of nonsense transcripts 3A</t>
  </si>
  <si>
    <t>Rabenosyn-5</t>
  </si>
  <si>
    <t>Iron-sulfur cluster assembly enzyme ISCU, mitochondrial</t>
  </si>
  <si>
    <t>Isoform 2 of Oxysterol-binding protein-related protein 2</t>
  </si>
  <si>
    <t>Multiple epidermal growth factor-like domains protein 9</t>
  </si>
  <si>
    <t>Autophagy protein 5</t>
  </si>
  <si>
    <t>WD repeat-containing protein 13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</si>
  <si>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</si>
  <si>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</si>
  <si>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</si>
  <si>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</si>
  <si>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</si>
  <si>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4 of TRIO and F-actin-binding protein</t>
  </si>
  <si>
    <t>Isoform 2 of Enhancer of polycomb homolog 1</t>
  </si>
  <si>
    <t>STE20-like serine/threonine-protein kinase</t>
  </si>
  <si>
    <t>Peptidyl-prolyl cis-trans isomerase-like 3</t>
  </si>
  <si>
    <t>Phosducin-like protein 3</t>
  </si>
  <si>
    <t>Serine/threonine-protein kinase TAO3</t>
  </si>
  <si>
    <t>Rab3 GTPase-activating protein non-catalytic subunit</t>
  </si>
  <si>
    <t>Activity-dependent neuroprotector homeobox protein</t>
  </si>
  <si>
    <t>Isoform 3 of Diphthine synthase</t>
  </si>
  <si>
    <t>Isoform 3 of Probable ATP-dependent RNA helicase DHX36</t>
  </si>
  <si>
    <t>Inorganic pyrophosphatase 2, mitochondrial</t>
  </si>
  <si>
    <t>39S ribosomal protein L46, mitochondrial</t>
  </si>
  <si>
    <t>Zinc finger protein 106</t>
  </si>
  <si>
    <t>Pinin</t>
  </si>
  <si>
    <t>Isoform 10 of Tumor protein 63</t>
  </si>
  <si>
    <t>BTB/POZ domain-containing adapter for CUL3-mediated RhoA degradation protein 3</t>
  </si>
  <si>
    <t>Isoform 4 of tRNA dimethylallyltransferase, mitochondrial</t>
  </si>
  <si>
    <t>Isoform 2 of UPF0696 protein C11orf68</t>
  </si>
  <si>
    <t>BolA-like protein 2</t>
  </si>
  <si>
    <t>Methylmalonic aciduria and homocystinuria type D protein, mitochondrial</t>
  </si>
  <si>
    <t>Thioredoxin-related transmembrane protein 1</t>
  </si>
  <si>
    <t>Negative elongation factor A</t>
  </si>
  <si>
    <t>Golgi resident protein GCP60</t>
  </si>
  <si>
    <t>Cdc42 effector protein 4</t>
  </si>
  <si>
    <t>Tyrosine-protein phosphatase non-receptor type 23</t>
  </si>
  <si>
    <t>Protein unc-45 homolog A</t>
  </si>
  <si>
    <t>Pancreatic progenitor cell differentiation and proliferation factor</t>
  </si>
  <si>
    <t>Kinetochore-associated protein DSN1 homolog</t>
  </si>
  <si>
    <t>Uncharacterized protein C1orf198</t>
  </si>
  <si>
    <t>Charged multivesicular body protein 4b</t>
  </si>
  <si>
    <t>Frizzled-8</t>
  </si>
  <si>
    <t>CUE domain-containing protein 2</t>
  </si>
  <si>
    <t>F-box/LRR-repeat protein 15</t>
  </si>
  <si>
    <t>Fructosamine-3-kinase</t>
  </si>
  <si>
    <t>GDP-fucose protein O-fucosyltransferase 1</t>
  </si>
  <si>
    <t>Microtubule-associated proteins 1A/1B light chain 3A</t>
  </si>
  <si>
    <t>15 kDa interferon-responsive protein</t>
  </si>
  <si>
    <t>Aminopeptidase B</t>
  </si>
  <si>
    <t>Golgi phosphoprotein 3-like</t>
  </si>
  <si>
    <t>Golgi phosphoprotein 3</t>
  </si>
  <si>
    <t>Probable tRNA threonylcarbamoyladenosine biosynthesis protein OSGEPL1</t>
  </si>
  <si>
    <t>Protein salvador homolog 1</t>
  </si>
  <si>
    <t>SPARC-related modular calcium-binding protein 1</t>
  </si>
  <si>
    <t>Band 4.1-like protein 1</t>
  </si>
  <si>
    <t>Isoform 2 of Band 4.1-like protein 1</t>
  </si>
  <si>
    <t>Isoform 4 of Band 4.1-like protein 1</t>
  </si>
  <si>
    <t>Protein FAM83D</t>
  </si>
  <si>
    <t>Zinc fingers and homeoboxes protein 3</t>
  </si>
  <si>
    <t>Isoform 1d of Oxysterol-binding protein-related protein 3</t>
  </si>
  <si>
    <t>SWI/SNF-related matrix-associated actin-dependent regulator of chromatin subfamily A containing DEAD/H box 1</t>
  </si>
  <si>
    <t>EH domain-containing protein 1</t>
  </si>
  <si>
    <t>Isoform 2 of E3 ubiquitin-protein ligase NRDP1</t>
  </si>
  <si>
    <t>Phosphorylated CTD-interacting factor 1</t>
  </si>
  <si>
    <t>ESF1 homolog</t>
  </si>
  <si>
    <t>Isoform 2 of Zinc finger protein 644</t>
  </si>
  <si>
    <t>Rab GTPase-binding effector protein 2</t>
  </si>
  <si>
    <t>Dimethyladenosine transferase 2, mitochondrial</t>
  </si>
  <si>
    <t>Isoform 3 of UPF0428 protein CXorf56</t>
  </si>
  <si>
    <t>MIP18 family protein FAM96A</t>
  </si>
  <si>
    <t>Isoform 2 of Probable ATP-dependent RNA helicase DHX35</t>
  </si>
  <si>
    <t>Zinc finger protein 576</t>
  </si>
  <si>
    <t>Isoform 3 of Ribonuclease P protein subunit p21</t>
  </si>
  <si>
    <t>Ankyrin repeat and SOCS box protein 7</t>
  </si>
  <si>
    <t>Protein bicaudal C homolog 1</t>
  </si>
  <si>
    <t>Pecanex-like protein 3</t>
  </si>
  <si>
    <t>HAUS augmin-like complex subunit 4</t>
  </si>
  <si>
    <t>Coiled-coil domain-containing protein 134</t>
  </si>
  <si>
    <t>Speckle targeted PIP5K1A-regulated poly(A) polymerase</t>
  </si>
  <si>
    <t>Coiled-coil domain-containing protein 86</t>
  </si>
  <si>
    <t>Transcription factor SOX-17</t>
  </si>
  <si>
    <t>Uncharacterized protein C6orf106</t>
  </si>
  <si>
    <t>Armadillo repeat-containing protein 7</t>
  </si>
  <si>
    <t>Cytosolic Fe-S cluster assembly factor NARFL</t>
  </si>
  <si>
    <t>Isoform 2 of Nucleolar protein 6</t>
  </si>
  <si>
    <t>Isoform 2 of WD repeat-containing protein C2orf44</t>
  </si>
  <si>
    <t>Probable ATP-dependent RNA helicase YTHDC2</t>
  </si>
  <si>
    <t>5-azacytidine-induced protein 2</t>
  </si>
  <si>
    <t>Epidermal growth factor receptor kinase substrate 8-like protein 2</t>
  </si>
  <si>
    <t>Isoform 2 of RNA polymerase II-associated protein 3</t>
  </si>
  <si>
    <t>Isoform 1 of Breast carcinoma-amplified sequence 3</t>
  </si>
  <si>
    <t>Anthrax toxin receptor 1</t>
  </si>
  <si>
    <t>WD repeat-containing protein 55</t>
  </si>
  <si>
    <t>Isoform 2 of Ran-binding protein 3</t>
  </si>
  <si>
    <t>Isoform 2 of GRB2-associated and regulator of MAPK protein</t>
  </si>
  <si>
    <t>dCTP pyrophosphatase 1</t>
  </si>
  <si>
    <t>SH2 domain-containing protein 4A</t>
  </si>
  <si>
    <t>Pseudopodium-enriched atypical kinase 1</t>
  </si>
  <si>
    <t>Histone-lysine N-methyltransferase SMYD3</t>
  </si>
  <si>
    <t>Isoform 2 of Syncoilin</t>
  </si>
  <si>
    <t>Mth938 domain-containing protein</t>
  </si>
  <si>
    <t>Dedicator of cytokinesis protein 5</t>
  </si>
  <si>
    <t>Isoform 2 of WD repeat-containing protein 26</t>
  </si>
  <si>
    <t>Isoform 3 of Tudor domain-containing protein 3</t>
  </si>
  <si>
    <t>UPF0488 protein C8orf33</t>
  </si>
  <si>
    <t>Sin3 histone deacetylase corepressor complex component SDS3</t>
  </si>
  <si>
    <t>Splicing factor, arginine/serine-rich 19</t>
  </si>
  <si>
    <t>Pleckstrin homology domain-containing family G member 2</t>
  </si>
  <si>
    <t>Zinc finger protein 703</t>
  </si>
  <si>
    <t>Isoform 3 of Serine-rich coiled-coil domain-containing protein 2</t>
  </si>
  <si>
    <t>Zinc finger protein 696</t>
  </si>
  <si>
    <t>Isoform 2 of Rab-like protein 5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</si>
  <si>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</si>
  <si>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</si>
  <si>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</si>
  <si>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</si>
  <si>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</si>
  <si>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</si>
  <si>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</si>
  <si>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Isoform 7 of YY1-associated protein 1</t>
  </si>
  <si>
    <t>PRKR-interacting protein 1</t>
  </si>
  <si>
    <t>Caspase activity and apoptosis inhibitor 1</t>
  </si>
  <si>
    <t>Nucleolar protein 11</t>
  </si>
  <si>
    <t>Uncharacterized protein C10orf88</t>
  </si>
  <si>
    <t>Protein FAM188A</t>
  </si>
  <si>
    <t>MOB kinase activator 1A</t>
  </si>
  <si>
    <t>AN1-type zinc finger protein 3</t>
  </si>
  <si>
    <t>Protein ECT2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</si>
  <si>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</si>
  <si>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</si>
  <si>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</si>
  <si>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</si>
  <si>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</si>
  <si>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Mediator of RNA polymerase II transcription subunit 20</t>
  </si>
  <si>
    <t>Queuine tRNA-ribosyltransferase subunit QTRTD1</t>
  </si>
  <si>
    <t>WD repeat-containing protein 54</t>
  </si>
  <si>
    <t>E3 ubiquitin-protein ligase MARCH7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</si>
  <si>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</si>
  <si>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</si>
  <si>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</si>
  <si>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</si>
  <si>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</si>
  <si>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</si>
  <si>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Spermatogenesis-defective protein 39 homolog</t>
  </si>
  <si>
    <t>Zinc finger protein 408</t>
  </si>
  <si>
    <t>Conserved oligomeric Golgi complex subunit 4</t>
  </si>
  <si>
    <t>Actin-related protein 5</t>
  </si>
  <si>
    <t>Vacuolar protein sorting-associated protein 37B</t>
  </si>
  <si>
    <t>39S ribosomal protein L44, mitochondrial</t>
  </si>
  <si>
    <t>Dysbindin domain-containing protein 1</t>
  </si>
  <si>
    <t>Isoform 2 of Elongator complex protein 3</t>
  </si>
  <si>
    <t>DNA-directed RNA polymerase I subunit RPA2</t>
  </si>
  <si>
    <t>Isoform 3 of Uridine-cytidine kinase 1</t>
  </si>
  <si>
    <t>Ketosamine-3-kinase</t>
  </si>
  <si>
    <t>TBC1 domain family member 17</t>
  </si>
  <si>
    <t>Probable cysteine--tRNA ligase, mitochondrial</t>
  </si>
  <si>
    <t>Phosphopantothenate--cysteine ligase</t>
  </si>
  <si>
    <t>WD repeat-containing protein 41</t>
  </si>
  <si>
    <t>Histone deacetylase complex subunit SAP30L</t>
  </si>
  <si>
    <t>MLX-interacting protein</t>
  </si>
  <si>
    <t>Isoform 2 of Sialate O-acetylesterase</t>
  </si>
  <si>
    <t>Pleckstrin homology domain-containing family A member 5</t>
  </si>
  <si>
    <t>E3 ubiquitin-protein ligase SMURF2</t>
  </si>
  <si>
    <t>Regulator of nonsense transcripts 2</t>
  </si>
  <si>
    <t>Arginyl aminopeptidase-like 1</t>
  </si>
  <si>
    <t>Exportin-5</t>
  </si>
  <si>
    <t>GrpE protein homolog 1, mitochondrial</t>
  </si>
  <si>
    <t>Isoform 2 of Claspin</t>
  </si>
  <si>
    <t>Beta,beta-carotene 15,15-monooxygenase</t>
  </si>
  <si>
    <t>UPF0160 protein MYG1, mitochondrial</t>
  </si>
  <si>
    <t>Isoform 3 of Bcl-2-like protein 12</t>
  </si>
  <si>
    <t>Pleckstrin homology domain-containing family A member 2</t>
  </si>
  <si>
    <t>Pleckstrin homology domain-containing family A member 3</t>
  </si>
  <si>
    <t>Pleckstrin homology domain-containing family A member 1</t>
  </si>
  <si>
    <t>Retinoid-inducible serine carboxypeptidase</t>
  </si>
  <si>
    <t>Calcyclin-binding protein</t>
  </si>
  <si>
    <t>Ras-related GTP-binding protein C</t>
  </si>
  <si>
    <t>Fanconi anemia group E protein</t>
  </si>
  <si>
    <t>Isoform 6 of RING finger and CCCH-type zinc finger domain-containing protein 2</t>
  </si>
  <si>
    <t>Isoform 4 of POZ-, AT hook-, and zinc finger-containing protein 1</t>
  </si>
  <si>
    <t>Peptide deformylase, mitochondrial</t>
  </si>
  <si>
    <t>Beta-parvin</t>
  </si>
  <si>
    <t>Arsenite methyltransferase</t>
  </si>
  <si>
    <t>NmrA-like family domain-containing protein 1</t>
  </si>
  <si>
    <t>Kinetochore protein Spc25</t>
  </si>
  <si>
    <t>Putative sodium-coupled neutral amino acid transporter 10</t>
  </si>
  <si>
    <t>Ethanolamine kinase 1</t>
  </si>
  <si>
    <t>Isoform 2 of Aryl hydrocarbon receptor nuclear translocator 2</t>
  </si>
  <si>
    <t>Echinoderm microtubule-associated protein-like 4</t>
  </si>
  <si>
    <t>Isoform 2 of Glyoxalase domain-containing protein 4</t>
  </si>
  <si>
    <t>Chromobox protein homolog 8</t>
  </si>
  <si>
    <t>Mucin-5B</t>
  </si>
  <si>
    <t>Methylcrotonoyl-CoA carboxylase beta chain, mitochondrial</t>
  </si>
  <si>
    <t>Isoform 5 of Lateral signaling target protein 2 homolog</t>
  </si>
  <si>
    <t>Nuclear receptor coactivator 5</t>
  </si>
  <si>
    <t>Protein TANC2</t>
  </si>
  <si>
    <t>Isoform 2 of Ectopic P granules protein 5 homolog</t>
  </si>
  <si>
    <t>Zinc finger protein 532</t>
  </si>
  <si>
    <t>Methyltransferase-like protein 14</t>
  </si>
  <si>
    <t>Nck-associated protein 5-like</t>
  </si>
  <si>
    <t>Isoform 8 of Synaptotagmin-like protein 2</t>
  </si>
  <si>
    <t>Isoform 11 of Synaptotagmin-like protein 2</t>
  </si>
  <si>
    <t>Trinucleotide repeat-containing gene 6C protein</t>
  </si>
  <si>
    <t>Isoform 2 of Ribonucleoprotein PTB-binding 2</t>
  </si>
  <si>
    <t>Chromodomain-helicase-DNA-binding protein 8</t>
  </si>
  <si>
    <t>Uncharacterized protein KIAA1551</t>
  </si>
  <si>
    <t>Isoform 4 of Band 4.1-like protein 5</t>
  </si>
  <si>
    <t>Isoform 3 of GPN-loop GTPase 1</t>
  </si>
  <si>
    <t>Stromal cell-derived factor 2-like protein 1</t>
  </si>
  <si>
    <t>Isoform 1S of Casein kinase I isoform gamma-1</t>
  </si>
  <si>
    <t>Band 4.1-like protein 4A</t>
  </si>
  <si>
    <t>DNA polymerase delta subunit 4</t>
  </si>
  <si>
    <t>Steroid receptor RNA activator 1</t>
  </si>
  <si>
    <t>Isoform 2 of Golgi-associated PDZ and coiled-coil motif-containing protein</t>
  </si>
  <si>
    <t>Isoform 3 of O-phosphoseryl-tRNA(Sec) selenium transferase</t>
  </si>
  <si>
    <t>Isoform 2 of Ran guanine nucleotide release factor</t>
  </si>
  <si>
    <t>Unconventional myosin-X</t>
  </si>
  <si>
    <t>WD repeat-containing protein 6</t>
  </si>
  <si>
    <t>Isoform 2 of Tuftelin</t>
  </si>
  <si>
    <t>ADP-ribosylation factor GTPase-activating protein 3</t>
  </si>
  <si>
    <t>High mobility group protein 20A</t>
  </si>
  <si>
    <t>Ras-related protein Rab-18</t>
  </si>
  <si>
    <t>Isoform 2 of UDP-N-acetylglucosamine transferase subunit ALG13 homolog</t>
  </si>
  <si>
    <t>Palmdelphin</t>
  </si>
  <si>
    <t>RNA polymerase II subunit A C-terminal domain phosphatase SSU72</t>
  </si>
  <si>
    <t>Vacuolar protein sorting-associated protein VTA1 homolog</t>
  </si>
  <si>
    <t>Dynein light chain roadblock-type 1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</si>
  <si>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</si>
  <si>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</si>
  <si>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</si>
  <si>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</si>
  <si>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</si>
  <si>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Neugrin</t>
  </si>
  <si>
    <t>H/ACA ribonucleoprotein complex subunit 3</t>
  </si>
  <si>
    <t>CD320 antigen</t>
  </si>
  <si>
    <t>Probable tRNA threonylcarbamoyladenosine biosynthesis protein OSGEP</t>
  </si>
  <si>
    <t>DNA methyltransferase 1-associated protein 1</t>
  </si>
  <si>
    <t>Lysophosphatidic acid phosphatase type 6</t>
  </si>
  <si>
    <t>mRNA-decapping enzyme 1A</t>
  </si>
  <si>
    <t>Acyl-coenzyme A thioesterase 13</t>
  </si>
  <si>
    <t>Mediator of RNA polymerase II transcription subunit 4</t>
  </si>
  <si>
    <t>Isoform 4 of Synembryn-A</t>
  </si>
  <si>
    <t>Putative RNA-binding protein Luc7-like 1</t>
  </si>
  <si>
    <t>Fructose-2,6-bisphosphatase TIGAR</t>
  </si>
  <si>
    <t>Coordinator of PRMT5 and differentiation stimulator</t>
  </si>
  <si>
    <t>WAS protein family homolog 6</t>
  </si>
  <si>
    <t>Reticulon-4</t>
  </si>
  <si>
    <t>Histidine triad nucleotide-binding protein 3</t>
  </si>
  <si>
    <t>Regulation of nuclear pre-mRNA domain-containing protein 1B</t>
  </si>
  <si>
    <t>Isoform 2 of Probable Xaa-Pro aminopeptidase 3</t>
  </si>
  <si>
    <t>Prefoldin subunit 4</t>
  </si>
  <si>
    <t>Omega-amidase NIT2</t>
  </si>
  <si>
    <t>Cell death regulator Aven</t>
  </si>
  <si>
    <t>Poliovirus receptor-related protein 3</t>
  </si>
  <si>
    <t>Isoform 2 of Inner centromere protein</t>
  </si>
  <si>
    <t>Exosome complex component RRP46</t>
  </si>
  <si>
    <t>Kinesin-like protein KIF13B</t>
  </si>
  <si>
    <t>Actin-binding protein anillin</t>
  </si>
  <si>
    <t>Isoform 3 of Xaa-Pro aminopeptidase 1</t>
  </si>
  <si>
    <t>Gephyrin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</si>
  <si>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</si>
  <si>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</si>
  <si>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</si>
  <si>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</si>
  <si>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</si>
  <si>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</si>
  <si>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</si>
  <si>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</si>
  <si>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</si>
  <si>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</si>
  <si>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</si>
  <si>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Endophilin-B2</t>
  </si>
  <si>
    <t>Translation initiation factor eIF-2B subunit gamma</t>
  </si>
  <si>
    <t>Isoform 3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</si>
  <si>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</si>
  <si>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</si>
  <si>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</si>
  <si>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</si>
  <si>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</si>
  <si>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Yae1 domain-containing protein 1</t>
  </si>
  <si>
    <t>Tubby-related protein 4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</si>
  <si>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</si>
  <si>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</si>
  <si>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</si>
  <si>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</si>
  <si>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Ubiquilin-4</t>
  </si>
  <si>
    <t>Isoform 2 of 72 kDa inositol polyphosphate 5-phosphatase</t>
  </si>
  <si>
    <t>Sorting nexin-15</t>
  </si>
  <si>
    <t>Heme-binding protein 1</t>
  </si>
  <si>
    <t>Vacuolar protein sorting-associated protein 45</t>
  </si>
  <si>
    <t>RNA-binding protein PNO1</t>
  </si>
  <si>
    <t>14 kDa phosphohistidine phosphatase</t>
  </si>
  <si>
    <t>SOSS complex subunit C</t>
  </si>
  <si>
    <t>Rho GTPase-activating protein 35</t>
  </si>
  <si>
    <t>Protein FAM114A2</t>
  </si>
  <si>
    <t>Isoform 3 of Lymphoid-specific helicase</t>
  </si>
  <si>
    <t>Glutaredoxin-2, mitochondrial</t>
  </si>
  <si>
    <t>CREB/ATF bZIP transcription factor</t>
  </si>
  <si>
    <t>Isoform 3 of MAP3K12-binding inhibitory protein 1</t>
  </si>
  <si>
    <t>LanC-like protein 2</t>
  </si>
  <si>
    <t>Isoform 2 of Kinesin-like protein KIF15</t>
  </si>
  <si>
    <t>E3 ubiquitin-protein ligase RAD18</t>
  </si>
  <si>
    <t>Beta-catenin-interacting protein 1</t>
  </si>
  <si>
    <t>Isoform 2 of Homer protein homolog 2</t>
  </si>
  <si>
    <t>Isoform 5 of Homer protein homolog 3</t>
  </si>
  <si>
    <t>Phenylalanine--tRNA ligase beta subunit</t>
  </si>
  <si>
    <t>Isoleucine--tRNA ligase, mitochondrial</t>
  </si>
  <si>
    <t>Isoform B of Protein FAM207A</t>
  </si>
  <si>
    <t>Kinesin light chain 4</t>
  </si>
  <si>
    <t>Ubiquitin-like-conjugating enzyme ATG3</t>
  </si>
  <si>
    <t>Isoform 2 of Sister chromatid cohesion protein PDS5 homolog B</t>
  </si>
  <si>
    <t>Structural maintenance of chromosomes protein 4</t>
  </si>
  <si>
    <t>Isoform 3 of Alpha-mannosidase 2C1</t>
  </si>
  <si>
    <t>Obg-like ATPase 1</t>
  </si>
  <si>
    <t>Isoform 2 of Obg-like ATPase 1</t>
  </si>
  <si>
    <t>Copper homeostasis protein cutC homolog</t>
  </si>
  <si>
    <t>Semaphorin-4G</t>
  </si>
  <si>
    <t>Isoform 6 of Ethylmalonyl-CoA decarboxylase</t>
  </si>
  <si>
    <t>Isoform 2 of E3 ubiquitin-protein ligase RNF146</t>
  </si>
  <si>
    <t>RNA-binding protein 12</t>
  </si>
  <si>
    <t>Midasin</t>
  </si>
  <si>
    <t>Isoform 2 of Acetyl-coenzyme A synthetase 2-like, mitochondrial</t>
  </si>
  <si>
    <t>p53 and DNA damage-regulated protein 1</t>
  </si>
  <si>
    <t>Mycophenolic acid acyl-glucuronide esterase, mitochondrial</t>
  </si>
  <si>
    <t>T-complex protein 11-like protein 1</t>
  </si>
  <si>
    <t>Transmembrane protein 106B</t>
  </si>
  <si>
    <t>Biogenesis of lysosome-related organelles complex 1 subunit 4</t>
  </si>
  <si>
    <t>tRNA:m(4)X modification enzyme TRM13 homolog</t>
  </si>
  <si>
    <t>Protein lin-7 homolog C</t>
  </si>
  <si>
    <t>Gamma-taxilin</t>
  </si>
  <si>
    <t>Isoform 2 of SPATS2-like protein</t>
  </si>
  <si>
    <t>ATP-binding cassette sub-family F member 3</t>
  </si>
  <si>
    <t>Protein FAM49B</t>
  </si>
  <si>
    <t>ATP-dependent RNA helicase DDX19A</t>
  </si>
  <si>
    <t>Tyrosyl-DNA phosphodiesterase 1</t>
  </si>
  <si>
    <t>TBC1 domain family member 23</t>
  </si>
  <si>
    <t>DDB1- and CUL4-associated factor 13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</si>
  <si>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</si>
  <si>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</si>
  <si>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</si>
  <si>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</si>
  <si>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Transmembrane protein 184C</t>
  </si>
  <si>
    <t>Alpha-parvin</t>
  </si>
  <si>
    <t>Ubiquitin carboxyl-terminal hydrolase 40</t>
  </si>
  <si>
    <t>Pantothenate kinase 4</t>
  </si>
  <si>
    <t>F-box only protein 28</t>
  </si>
  <si>
    <t>TBC1 domain family member 13</t>
  </si>
  <si>
    <t>Isoform 3 of Integrator complex subunit 7</t>
  </si>
  <si>
    <t>Isoform 7 of Trimethyllysine dioxygenase, mitochondrial</t>
  </si>
  <si>
    <t>Fanconi anemia group I protein</t>
  </si>
  <si>
    <t>ADP-ribosylation factor-like protein 8B</t>
  </si>
  <si>
    <t>Isoform 3 of Protein arginine N-methyltransferase 7</t>
  </si>
  <si>
    <t>DnaJ homolog subfamily C member 17</t>
  </si>
  <si>
    <t>Protein asunder homolog</t>
  </si>
  <si>
    <t>Synembryn-B</t>
  </si>
  <si>
    <t>Guanine nucleotide-binding protein-like 3-like protein</t>
  </si>
  <si>
    <t>Histone chaperone ASF1B</t>
  </si>
  <si>
    <t>Fas apoptotic inhibitory molecule 1</t>
  </si>
  <si>
    <t>Kelch-like protein 11</t>
  </si>
  <si>
    <t>Integrator complex subunit 10</t>
  </si>
  <si>
    <t>Protein kintoun</t>
  </si>
  <si>
    <t>Pyridoxine-5-phosphate oxidase</t>
  </si>
  <si>
    <t>Armadillo repeat-containing protein 1</t>
  </si>
  <si>
    <t>Isoform 5 of DNA-directed RNA polymerase III subunit RPC5</t>
  </si>
  <si>
    <t>Isoform 2 of Protein SDA1 homolog</t>
  </si>
  <si>
    <t>E3 ubiquitin-protein ligase RLIM</t>
  </si>
  <si>
    <t>Isoform 3 of HAUS augmin-like complex subunit 2</t>
  </si>
  <si>
    <t>Notchless protein homolog 1</t>
  </si>
  <si>
    <t>Kelch repeat and BTB domain-containing protein 4</t>
  </si>
  <si>
    <t>Adaptin ear-binding coat-associated protein 2</t>
  </si>
  <si>
    <t>Isoform 2 of DNA-directed RNA polymerase III subunit RPC2</t>
  </si>
  <si>
    <t>Pre-mRNA-splicing factor RBM22</t>
  </si>
  <si>
    <t>G patch domain-containing protein 2</t>
  </si>
  <si>
    <t>WD repeat-containing protein 70</t>
  </si>
  <si>
    <t>Transmembrane protein 51</t>
  </si>
  <si>
    <t>Mediator of RNA polymerase II transcription subunit 9</t>
  </si>
  <si>
    <t>Arginine and glutamate-rich protein 1</t>
  </si>
  <si>
    <t>E3 ubiquitin-protein ligase RNF216</t>
  </si>
  <si>
    <t>SAFB-like transcription modulator</t>
  </si>
  <si>
    <t>Box C/D snoRNA protein 1</t>
  </si>
  <si>
    <t>Isoform 2 of Spermine oxidase</t>
  </si>
  <si>
    <t>CUE domain-containing protein 1</t>
  </si>
  <si>
    <t>Peptidyl-prolyl cis-trans isomerase FKBP14</t>
  </si>
  <si>
    <t>Isoform 4 of G patch domain-containing protein 2-like</t>
  </si>
  <si>
    <t>Uncharacterized protein C14orf119</t>
  </si>
  <si>
    <t>PIH1 domain-containing protein 1</t>
  </si>
  <si>
    <t>Isoform 5 of PCNA-interacting partner</t>
  </si>
  <si>
    <t>Protein FAM118A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</si>
  <si>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</si>
  <si>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</si>
  <si>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</si>
  <si>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</si>
  <si>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Isoform 2 of Nicotinamide riboside kinase 1</t>
  </si>
  <si>
    <t>Ankyrin repeat and SOCS box protein 6</t>
  </si>
  <si>
    <t>Probable tRNA(His) guanylyltransferase</t>
  </si>
  <si>
    <t>UPF0609 protein C4orf27</t>
  </si>
  <si>
    <t>Interleukin-1 receptor-associated kinase 4</t>
  </si>
  <si>
    <t>Uridine-cytidine kinase-like 1</t>
  </si>
  <si>
    <t>Gem-associated protein 8</t>
  </si>
  <si>
    <t>Thioredoxin-like protein 4B</t>
  </si>
  <si>
    <t>Isoform 5 of NACHT, LRR and PYD domains-containing protein 2</t>
  </si>
  <si>
    <t>Constitutive coactivator of PPAR-gamma-like protein 2</t>
  </si>
  <si>
    <t>tRNA selenocysteine 1-associated protein 1</t>
  </si>
  <si>
    <t>COMM domain-containing protein 8</t>
  </si>
  <si>
    <t>H/ACA ribonucleoprotein complex subunit 2</t>
  </si>
  <si>
    <t>Protein FAM206A</t>
  </si>
  <si>
    <t>Poly(ADP-ribose) glycohydrolase ARH3</t>
  </si>
  <si>
    <t>Huntingtin-interacting protein K</t>
  </si>
  <si>
    <t>Cell growth-regulating nucleolar protein</t>
  </si>
  <si>
    <t>Mediator of RNA polymerase II transcription subunit 29</t>
  </si>
  <si>
    <t>tRNA-dihydrouridine(20) synthase [NAD(P)+]-like</t>
  </si>
  <si>
    <t>NAD-dependent protein deacylase sirtuin-5, mitochondrial</t>
  </si>
  <si>
    <t>WD repeat-containing protein mio</t>
  </si>
  <si>
    <t>Myotubularin-related protein 10</t>
  </si>
  <si>
    <t>Pre-mRNA-splicing factor CWC25 homolog</t>
  </si>
  <si>
    <t>DDB1- and CUL4-associated factor 16</t>
  </si>
  <si>
    <t>THUMP domain-containing protein 1</t>
  </si>
  <si>
    <t>Transmembrane prolyl 4-hydroxylase</t>
  </si>
  <si>
    <t>Isoform 2 of tRNA (guanine(26)-N(2))-dimethyltransferase</t>
  </si>
  <si>
    <t>Isoform 2 of Nuclear distribution protein nudE homolog 1</t>
  </si>
  <si>
    <t>BRCA1-A complex subunit BRE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</si>
  <si>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</si>
  <si>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</si>
  <si>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</si>
  <si>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</si>
  <si>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</si>
  <si>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Serine/threonine-protein phosphatase 4 regulatory subunit 2</t>
  </si>
  <si>
    <t>Dipeptidyl peptidase 3</t>
  </si>
  <si>
    <t>Protein AATF</t>
  </si>
  <si>
    <t>Probable ATP-dependent RNA helicase DDX56</t>
  </si>
  <si>
    <t>Telomeric repeat-binding factor 2-interacting protein 1</t>
  </si>
  <si>
    <t>Isoform 2 of Abl interactor 2</t>
  </si>
  <si>
    <t>Isoform 2 of Bcl-2-associated transcription factor 1</t>
  </si>
  <si>
    <t>Anaphase-promoting complex subunit 11</t>
  </si>
  <si>
    <t>Cytochrome c oxidase assembly factor 4 homolog, mitochondrial</t>
  </si>
  <si>
    <t>TGF-beta-activated kinase 1 and MAP3K7-binding protein 2</t>
  </si>
  <si>
    <t>Isoform 3 of Protein EURL homolog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</si>
  <si>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</si>
  <si>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</si>
  <si>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</si>
  <si>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</si>
  <si>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Cadherin EGF LAG seven-pass G-type receptor 1</t>
  </si>
  <si>
    <t>NF-kappa-B inhibitor-interacting Ras-like protein 1</t>
  </si>
  <si>
    <t>Pleckstrin-2</t>
  </si>
  <si>
    <t>Isoform 2 of UDP-glucose:glycoprotein glucosyltransferase 1</t>
  </si>
  <si>
    <t>Isoform 2 of Cyclin-dependent kinase 12</t>
  </si>
  <si>
    <t>FAST kinase domain-containing protein 2</t>
  </si>
  <si>
    <t>G2 and S phase-expressed protein 1</t>
  </si>
  <si>
    <t>Endoplasmic reticulum aminopeptidase 1</t>
  </si>
  <si>
    <t>Ubiquitin-associated protein 1</t>
  </si>
  <si>
    <t>Actin-related protein 10</t>
  </si>
  <si>
    <t>CDGSH iron-sulfur domain-containing protein 1</t>
  </si>
  <si>
    <t>ADP-ribosylation factor-binding protein GGA3</t>
  </si>
  <si>
    <t>Uncharacterized protein C9orf78</t>
  </si>
  <si>
    <t>Constitutive coactivator of PPAR-gamma-like protein 1</t>
  </si>
  <si>
    <t>SWI/SNF-related matrix-associated actin-dependent regulator of chromatin subfamily A-like protein 1</t>
  </si>
  <si>
    <t>Glycolipid transfer protein</t>
  </si>
  <si>
    <t>Isoform 2 of Maspardin</t>
  </si>
  <si>
    <t>Insulin-like growth factor 2 mRNA-binding protein 1</t>
  </si>
  <si>
    <t>Diphosphoinositol polyphosphate phosphohydrolase 2</t>
  </si>
  <si>
    <t>Isoform 2 of Diphosphoinositol polyphosphate phosphohydrolase 2</t>
  </si>
  <si>
    <t>Methionine adenosyltransferase 2 subunit beta</t>
  </si>
  <si>
    <t>Isoform 6 of Myoferlin</t>
  </si>
  <si>
    <t>Isoform 2 of Intersectin-2</t>
  </si>
  <si>
    <t>Isoform 2 of Glioma tumor suppressor candidate region gene 1 protein</t>
  </si>
  <si>
    <t>EH domain-containing protein 3</t>
  </si>
  <si>
    <t>EH domain-containing protein 2</t>
  </si>
  <si>
    <t>Rho guanine nucleotide exchange factor 12</t>
  </si>
  <si>
    <t>CCR4-NOT transcription complex subunit 2</t>
  </si>
  <si>
    <t>Isoform 3 of NCK-interacting protein with SH3 domain</t>
  </si>
  <si>
    <t>Isoform 2 of Opioid growth factor receptor</t>
  </si>
  <si>
    <t>Leucine-rich repeat transmembrane protein FLRT3</t>
  </si>
  <si>
    <t>LIM and cysteine-rich domains protein 1</t>
  </si>
  <si>
    <t>Cysteine-rich motor neuron 1 protein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</si>
  <si>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</si>
  <si>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</si>
  <si>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</si>
  <si>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</si>
  <si>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</si>
  <si>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</si>
  <si>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[Pyruvate dehydrogenase [acetyl-transferring]]-phosphatase 1, mitochondrial</t>
  </si>
  <si>
    <t>E3 ubiquitin-protein ligase KCMF1</t>
  </si>
  <si>
    <t>Ankycorbin</t>
  </si>
  <si>
    <t>Vesicle-associated membrane protein-associated protein A</t>
  </si>
  <si>
    <t>Isoform 3 of TBC1 domain family member 7</t>
  </si>
  <si>
    <t>E3 ubiquitin-protein ligase RNF181</t>
  </si>
  <si>
    <t>Uncharacterized protein C6orf203</t>
  </si>
  <si>
    <t>GSK3-beta interaction protein</t>
  </si>
  <si>
    <t>CpG-binding protein</t>
  </si>
  <si>
    <t>SH3 domain-binding protein 4</t>
  </si>
  <si>
    <t>Isoform 2 of SWI/SNF-related matrix-associated actin-dependent regulator of chromatin subfamily E member 1-related</t>
  </si>
  <si>
    <t>Costars family protein ABRACL</t>
  </si>
  <si>
    <t>DNA-directed RNA polymerase I subunit RPA12</t>
  </si>
  <si>
    <t>Isoform 2 of Actin-related protein 3B</t>
  </si>
  <si>
    <t>Sterile alpha motif domain-containing protein 15</t>
  </si>
  <si>
    <t>Calmodulin-regulated spectrin-associated protein 3</t>
  </si>
  <si>
    <t>Isoform 2 of Calcium-binding and coiled-coil domain-containing protein 1</t>
  </si>
  <si>
    <t>Isoform 2 of Uncharacterized protein KIAA1522</t>
  </si>
  <si>
    <t>1-phosphatidylinositol 4,5-bisphosphate phosphodiesterase epsilon-1</t>
  </si>
  <si>
    <t>Pogo transposable element with KRAB domain</t>
  </si>
  <si>
    <t>Protein Daple</t>
  </si>
  <si>
    <t>Rho GTPase-activating protein 23</t>
  </si>
  <si>
    <t>Vacuolar protein sorting-associated protein 18 homolog</t>
  </si>
  <si>
    <t>Protein RCC2</t>
  </si>
  <si>
    <t>LisH domain and HEAT repeat-containing protein KIAA1468</t>
  </si>
  <si>
    <t>Isoform 2 of 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</si>
  <si>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</si>
  <si>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</si>
  <si>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</si>
  <si>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Ubiquitin carboxyl-terminal hydrolase 36</t>
  </si>
  <si>
    <t>BRCA2 and CDKN1A-interacting protein</t>
  </si>
  <si>
    <t>Isoform 2 of BRCA2 and CDKN1A-interacting protein</t>
  </si>
  <si>
    <t>Serine/threonine-protein kinase MST4</t>
  </si>
  <si>
    <t>Coatomer subunit zeta-2</t>
  </si>
  <si>
    <t>Prostaglandin F2 receptor negative regulator</t>
  </si>
  <si>
    <t>CTTNBP2 N-terminal-like protein</t>
  </si>
  <si>
    <t>Isoform 2 of UPF0501 protein KIAA1430</t>
  </si>
  <si>
    <t>Chromodomain-helicase-DNA-binding protein 7</t>
  </si>
  <si>
    <t>Isoform 3 of HEAT repeat-containing protein 5B</t>
  </si>
  <si>
    <t>Isoform 3 of Protein FAM135A</t>
  </si>
  <si>
    <t>Isoform 5 of Dynein heavy chain 1, axonemal</t>
  </si>
  <si>
    <t>NFX1-type zinc finger-containing protein 1</t>
  </si>
  <si>
    <t>Ribosome-binding protein 1</t>
  </si>
  <si>
    <t>Intraflagellar transport protein 80 homolog</t>
  </si>
  <si>
    <t>Cleavage and polyadenylation specificity factor subunit 2</t>
  </si>
  <si>
    <t>Leucine--tRNA ligase, cytoplasmic</t>
  </si>
  <si>
    <t>Isoform 4 of REST corepressor 3</t>
  </si>
  <si>
    <t>Isoform 2 of Myelin expression factor 2</t>
  </si>
  <si>
    <t>Kelch-like protein 42</t>
  </si>
  <si>
    <t>Isoform 2 of Eukaryotic translation initiation factor 2-alpha kinase 4</t>
  </si>
  <si>
    <t>TBC1 domain family member 14</t>
  </si>
  <si>
    <t>Cingulin</t>
  </si>
  <si>
    <t>RNA-binding protein 27</t>
  </si>
  <si>
    <t>Isoform 3 of KAT8 regulatory NSL complex subunit 3</t>
  </si>
  <si>
    <t>Ankyrin repeat and FYVE domain-containing protein 1</t>
  </si>
  <si>
    <t>Arginine-glutamic acid dipeptide repeats protein</t>
  </si>
  <si>
    <t>WD repeat-containing protein WRAP73</t>
  </si>
  <si>
    <t>Homologous-pairing protein 2 homolog</t>
  </si>
  <si>
    <t>Protein IMPACT</t>
  </si>
  <si>
    <t>Zinc finger protein 219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</si>
  <si>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</si>
  <si>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</si>
  <si>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</si>
  <si>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</si>
  <si>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</si>
  <si>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</si>
  <si>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Origin recognition complex subunit 3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</si>
  <si>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</si>
  <si>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</si>
  <si>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</si>
  <si>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</si>
  <si>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</si>
  <si>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COMM domain-containing protein 3</t>
  </si>
  <si>
    <t>Guanine nucleotide-binding protein G(I)/G(S)/G(O) subunit gamma-12</t>
  </si>
  <si>
    <t>Isoform B of Methionine synthase reductase</t>
  </si>
  <si>
    <t>Protein UXT</t>
  </si>
  <si>
    <t>Isoform 3 of Set1/Ash2 histone methyltransferase complex subunit ASH2</t>
  </si>
  <si>
    <t>Tumor necrosis factor receptor superfamily member 10D</t>
  </si>
  <si>
    <t>Isoform 3 of Spastin</t>
  </si>
  <si>
    <t>Isoform 4 of Spastin</t>
  </si>
  <si>
    <t>tRNA (guanine-N(7)-)-methyltransferase</t>
  </si>
  <si>
    <t>Isoform 4 of PTB domain-containing engulfment adapter protein 1</t>
  </si>
  <si>
    <t>Vacuolar protein sorting-associated protein 29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</si>
  <si>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</si>
  <si>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</si>
  <si>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</si>
  <si>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</si>
  <si>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</si>
  <si>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SUMO-activating enzyme subunit 2</t>
  </si>
  <si>
    <t>Isoform 2 of Alpha-catulin</t>
  </si>
  <si>
    <t>Nuclear RNA export factor 1</t>
  </si>
  <si>
    <t>Peflin</t>
  </si>
  <si>
    <t>Zinc finger MYM-type protein 2</t>
  </si>
  <si>
    <t>COP9 signalosome complex subunit 7a</t>
  </si>
  <si>
    <t>CAP-Gly domain-containing linker protein 2</t>
  </si>
  <si>
    <t>Isoform 2 of SEC14-like protein 4</t>
  </si>
  <si>
    <t>Isoform C1 of Tight junction protein ZO-2</t>
  </si>
  <si>
    <t>DnaJ homolog subfamily B member 4</t>
  </si>
  <si>
    <t>Mucosa-associated lymphoid tissue lymphoma translocation protein 1</t>
  </si>
  <si>
    <t>Craniofacial development protein 1</t>
  </si>
  <si>
    <t>Zinc finger protein 629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</si>
  <si>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</si>
  <si>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</si>
  <si>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</si>
  <si>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</si>
  <si>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</si>
  <si>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F-box/LRR-repeat protein 17</t>
  </si>
  <si>
    <t>Uncharacterized protein DKFZp434B061</t>
  </si>
  <si>
    <t>Leucine-rich repeat and WD repeat-containing protein 1</t>
  </si>
  <si>
    <t>Neuroplastin (Fragment)</t>
  </si>
  <si>
    <t>Protein NipSnap homolog 3A</t>
  </si>
  <si>
    <t>CGG triplet repeat-binding protein 1</t>
  </si>
  <si>
    <t>ATP-binding cassette sub-family F member 2</t>
  </si>
  <si>
    <t>Testin</t>
  </si>
  <si>
    <t>Isoform 2 of Testin</t>
  </si>
  <si>
    <t>Isoform B of 5-AMP-activated protein kinase subunit gamma-2</t>
  </si>
  <si>
    <t>Secretion-regulating guanine nucleotide exchange factor</t>
  </si>
  <si>
    <t>LIM domain-containing protein 1</t>
  </si>
  <si>
    <t>Sushi domain-containing protein 2</t>
  </si>
  <si>
    <t>Isoform 2 of Transcription factor 20</t>
  </si>
  <si>
    <t>Protein NDRG3</t>
  </si>
  <si>
    <t>Armadillo repeat-containing X-linked protein 3</t>
  </si>
  <si>
    <t>Switch-associated protein 70</t>
  </si>
  <si>
    <t>Isoform Alpha of Max-like protein X</t>
  </si>
  <si>
    <t>Probable ribosome biogenesis protein RLP24</t>
  </si>
  <si>
    <t>LIM domain and actin-binding protein 1</t>
  </si>
  <si>
    <t>AF4/FMR2 family member 4</t>
  </si>
  <si>
    <t>Signal recognition particle subunit SRP68</t>
  </si>
  <si>
    <t>Cysteine and histidine-rich domain-containing protein 1</t>
  </si>
  <si>
    <t>Serine/threonine-protein kinase TBK1</t>
  </si>
  <si>
    <t>Septin-9</t>
  </si>
  <si>
    <t>Ubiquilin-2</t>
  </si>
  <si>
    <t>Doublecortin domain-containing protein 2</t>
  </si>
  <si>
    <t>Probable ATP-dependent RNA helicase DDX20</t>
  </si>
  <si>
    <t>Isoform 2 of Scm-like with four MBT domains protein 1</t>
  </si>
  <si>
    <t>Sedoheptulokinase</t>
  </si>
  <si>
    <t>Dipeptidyl peptidase 2</t>
  </si>
  <si>
    <t>Isoform 2 of Transmembrane protein 2</t>
  </si>
  <si>
    <t>Ubiquitin carboxyl-terminal hydrolase 25</t>
  </si>
  <si>
    <t>Isoform 4 of Nuclear prelamin A recognition factor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</si>
  <si>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</si>
  <si>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</si>
  <si>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</si>
  <si>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</si>
  <si>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</si>
  <si>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</si>
  <si>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</si>
  <si>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Fasciculation and elongation protein zeta-2</t>
  </si>
  <si>
    <t>Ena/VASP-like protein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</si>
  <si>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</si>
  <si>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</si>
  <si>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</si>
  <si>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</si>
  <si>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</si>
  <si>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Exportin-7</t>
  </si>
  <si>
    <t>Leucine carboxyl methyltransferase 1</t>
  </si>
  <si>
    <t>Vacuolar protein sorting-associated protein 51 homolog</t>
  </si>
  <si>
    <t>Zinc finger protein 639</t>
  </si>
  <si>
    <t>Isoform 4 of Bromodomain adjacent to zinc finger domain protein 2B</t>
  </si>
  <si>
    <t>Isoform 2 of Tyrosine-protein kinase BAZ1B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</si>
  <si>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</si>
  <si>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</si>
  <si>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</si>
  <si>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</si>
  <si>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2 of CCR4-NOT transcription complex subunit 7</t>
  </si>
  <si>
    <t>Rab5 GDP/GTP exchange factor</t>
  </si>
  <si>
    <t>Isoform 2 of Mitochondrial peptide methionine sulfoxide reductase</t>
  </si>
  <si>
    <t>Isoform 2 of N-acetyl-D-glucosamine kinase</t>
  </si>
  <si>
    <t>Isoform 2 of DNA helicase MCM8</t>
  </si>
  <si>
    <t>tRNA (adenine(58)-N(1))-methyltransferase non-catalytic subunit TRM6</t>
  </si>
  <si>
    <t>SH3 domain-binding glutamic acid-rich-like protein 2</t>
  </si>
  <si>
    <t>Zinc finger protein 280C (Fragment)</t>
  </si>
  <si>
    <t>Ribosome biogenesis protein TSR3 homolog</t>
  </si>
  <si>
    <t>ERBB receptor feedback inhibitor 1</t>
  </si>
  <si>
    <t>Drebrin-like protein</t>
  </si>
  <si>
    <t>Isoform 2 of Drebrin-like protein</t>
  </si>
  <si>
    <t>Probable ATP-dependent RNA helicase DDX41</t>
  </si>
  <si>
    <t>Dynactin subunit 4</t>
  </si>
  <si>
    <t>Isoform 1 of Oxidative stress-induced growth inhibitor 1</t>
  </si>
  <si>
    <t>Isoform 3 of Cell division cycle protein 23 homolog</t>
  </si>
  <si>
    <t>Isoform 2 of Anaphase-promoting complex subunit 7</t>
  </si>
  <si>
    <t>Anaphase-promoting complex subunit 2</t>
  </si>
  <si>
    <t>Heat shock protein beta-8</t>
  </si>
  <si>
    <t>ADP-ribosylation factor-binding protein GGA2</t>
  </si>
  <si>
    <t>Isoform 4 of ADP-ribosylation factor-binding protein GGA1</t>
  </si>
  <si>
    <t>F-box only protein 2</t>
  </si>
  <si>
    <t>Zinc finger protein 580</t>
  </si>
  <si>
    <t>Vacuolar protein sorting-associated protein 28 homolog</t>
  </si>
  <si>
    <t>U6 snRNA-associated Sm-like protein LSm7</t>
  </si>
  <si>
    <t>Lariat debranching enzyme</t>
  </si>
  <si>
    <t>Isoform 3 of Protein FAM208A</t>
  </si>
  <si>
    <t>Protein fem-1 homolog B</t>
  </si>
  <si>
    <t>Hematological and neurological expressed 1 protein</t>
  </si>
  <si>
    <t>Isoform 3 of F-box only protein 9</t>
  </si>
  <si>
    <t>F-box only protein 3</t>
  </si>
  <si>
    <t>A-kinase anchor protein 11</t>
  </si>
  <si>
    <t>Calcipressin-3</t>
  </si>
  <si>
    <t>Polypyrimidine tract-binding protein 2</t>
  </si>
  <si>
    <t>Isoform A of F-box/WD repeat-containing protein 11</t>
  </si>
  <si>
    <t>DnaJ homolog subfamily C member 12</t>
  </si>
  <si>
    <t>mRNA turnover protein 4 homolog</t>
  </si>
  <si>
    <t>Cleavage and polyadenylation specificity factor subunit 3</t>
  </si>
  <si>
    <t>DCC-interacting protein 13-alpha</t>
  </si>
  <si>
    <t>Peroxisomal carnitine O-octanoyltransferase</t>
  </si>
  <si>
    <t>Serine/threonine-protein kinase tousled-like 1</t>
  </si>
  <si>
    <t>G patch domain-containing protein 8</t>
  </si>
  <si>
    <t>Poly [ADP-ribose] polymerase 4</t>
  </si>
  <si>
    <t>NTF2-related export protein 1</t>
  </si>
  <si>
    <t>ADP-sugar pyrophosphatase</t>
  </si>
  <si>
    <t>CASP8-associated protein 2</t>
  </si>
  <si>
    <t>Phosphatidylcholine transfer protein</t>
  </si>
  <si>
    <t>General transcription factor 3C polypeptide 4</t>
  </si>
  <si>
    <t>Protein kinase C and casein kinase substrate in neurons protein 3</t>
  </si>
  <si>
    <t>Isoform 2 of F-box only protein 5</t>
  </si>
  <si>
    <t>F-box only protein 4</t>
  </si>
  <si>
    <t>Isobutyryl-CoA dehydrogenase, mitochondrial</t>
  </si>
  <si>
    <t>Protein argonaute-2</t>
  </si>
  <si>
    <t>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</si>
  <si>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</si>
  <si>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</si>
  <si>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</si>
  <si>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</si>
  <si>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</si>
  <si>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Isoform 2 of Trafficking protein particle complex subunit 2-like protein</t>
  </si>
  <si>
    <t>Paraneoplastic antigen Ma2</t>
  </si>
  <si>
    <t>Proteasome activator complex subunit 2</t>
  </si>
  <si>
    <t>Potassium/sodium hyperpolarization-activated cyclic nucleotide-gated channel 2</t>
  </si>
  <si>
    <t>Isoform 2 of Serine/threonine-protein kinase TAO2</t>
  </si>
  <si>
    <t>Muskelin</t>
  </si>
  <si>
    <t>Aspartyl aminopeptidase</t>
  </si>
  <si>
    <t>Ras-related protein Rab-23</t>
  </si>
  <si>
    <t>Malignant T-cell-amplified sequence 1</t>
  </si>
  <si>
    <t>Microtubule-associated tumor suppressor 1</t>
  </si>
  <si>
    <t>Zinc finger protein 777</t>
  </si>
  <si>
    <t>Protein WWC3</t>
  </si>
  <si>
    <t>Paladin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</si>
  <si>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</si>
  <si>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</si>
  <si>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</si>
  <si>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</si>
  <si>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</si>
  <si>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</si>
  <si>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Ankyrin repeat domain-containing protein 50</t>
  </si>
  <si>
    <t>Isoform 4 of Neurabin-1</t>
  </si>
  <si>
    <t>Isoform 4 of Mediator of RNA polymerase II transcription subunit 23</t>
  </si>
  <si>
    <t>Isoform 3 of Proline-rich protein 12</t>
  </si>
  <si>
    <t>Isoform 2 of TBC1 domain family member 24</t>
  </si>
  <si>
    <t>Pre-mRNA-splicing factor ISY1 homolog</t>
  </si>
  <si>
    <t>Protein phosphatase 1H</t>
  </si>
  <si>
    <t>E3 ubiquitin-protein ligase HECTD1</t>
  </si>
  <si>
    <t>Unconventional myosin-Vb</t>
  </si>
  <si>
    <t>Isoform 5 of Cip1-interacting zinc finger protein</t>
  </si>
  <si>
    <t>Coronin-1C</t>
  </si>
  <si>
    <t>Targeting protein for Xklp2</t>
  </si>
  <si>
    <t>Protein-arginine deiminase type-3</t>
  </si>
  <si>
    <t>RNA-binding protein NOB1</t>
  </si>
  <si>
    <t>A-kinase anchor protein 8-like</t>
  </si>
  <si>
    <t>Isoform 2 of Transcription factor MafF</t>
  </si>
  <si>
    <t>Apoptosis-associated speck-like protein containing a CARD</t>
  </si>
  <si>
    <t>Anaphase-promoting complex subunit 10</t>
  </si>
  <si>
    <t>Mammalian ependymin-related protein 1</t>
  </si>
  <si>
    <t>Isoform 6 of Unconventional myosin-VI</t>
  </si>
  <si>
    <t>Spermatogenesis-associated protein 2</t>
  </si>
  <si>
    <t>Histone-lysine N-methyltransferase MLL4</t>
  </si>
  <si>
    <t>Isoform 3 of NFU1 iron-sulfur cluster scaffold homolog, mitochondrial</t>
  </si>
  <si>
    <t>Pre-mRNA-processing factor 19</t>
  </si>
  <si>
    <t>Synaptopodin-2</t>
  </si>
  <si>
    <t>Ubiquilin-1</t>
  </si>
  <si>
    <t>Suppressor of fused homolog</t>
  </si>
  <si>
    <t>Neudesin</t>
  </si>
  <si>
    <t>Nucleolar protein 7</t>
  </si>
  <si>
    <t>Isoform 2 of Sorting nexin-12</t>
  </si>
  <si>
    <t>Synergin gamma</t>
  </si>
  <si>
    <t>Isoform 2 of Protein NDRG2</t>
  </si>
  <si>
    <t>Vacuolar protein sorting-associated protein 4A</t>
  </si>
  <si>
    <t>Transcription factor SOX-13</t>
  </si>
  <si>
    <t>Isoform B of Ras GTPase-activating protein-binding protein 2</t>
  </si>
  <si>
    <t>Isoform 2 of Rho GTPase-activating protein 26</t>
  </si>
  <si>
    <t>E3 ubiquitin-protein ligase CHIP</t>
  </si>
  <si>
    <t>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</si>
  <si>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</si>
  <si>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</si>
  <si>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</si>
  <si>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</si>
  <si>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</si>
  <si>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</si>
  <si>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</si>
  <si>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</si>
  <si>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</si>
  <si>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</si>
  <si>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</si>
  <si>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Rab-like protein 2B</t>
  </si>
  <si>
    <t>Multiple inositol polyphosphate phosphatase 1</t>
  </si>
  <si>
    <t>Transcription termination factor 2</t>
  </si>
  <si>
    <t>NSFL1 cofactor p47</t>
  </si>
  <si>
    <t>Leydig cell tumor 10 kDa protein homolog</t>
  </si>
  <si>
    <t>Conserved oligomeric Golgi complex subunit 5</t>
  </si>
  <si>
    <t>AP-4 complex subunit epsilon-1</t>
  </si>
  <si>
    <t>Isoform 3 of 5-azacytidine-induced protein 1</t>
  </si>
  <si>
    <t>Protein SCAF8</t>
  </si>
  <si>
    <t>Serine/threonine-protein phosphatase 6 regulatory subunit 1</t>
  </si>
  <si>
    <t>E3 ubiquitin-protein ligase TRIM33</t>
  </si>
  <si>
    <t>Isoform Beta of E3 ubiquitin-protein ligase TRIM33</t>
  </si>
  <si>
    <t>Isoform 4 of Histone lysine demethylase PHF8</t>
  </si>
  <si>
    <t>Isoform 2 of Uncharacterized protein KIAA1107</t>
  </si>
  <si>
    <t>Isoform 10 of LIM and calponin homology domains-containing protein 1</t>
  </si>
  <si>
    <t>Isoform 4 of LIM and calponin homology domains-containing protein 1</t>
  </si>
  <si>
    <t>Isoform 6 of LIM and calponin homology domains-containing protein 1</t>
  </si>
  <si>
    <t>Arf-GAP with GTPase, ANK repeat and PH domain-containing protein 1</t>
  </si>
  <si>
    <t>Isoform 2 of Trinucleotide repeat-containing gene 6B protein</t>
  </si>
  <si>
    <t>Inactive phospholipase C-like protein 2</t>
  </si>
  <si>
    <t>Protein SMG5</t>
  </si>
  <si>
    <t>Histone-lysine N-methyltransferase SETD1B</t>
  </si>
  <si>
    <t>Ankyrin repeat domain-containing protein 26</t>
  </si>
  <si>
    <t>Isoform 6 of Exocyst complex component 7</t>
  </si>
  <si>
    <t>Zinc finger CCCH domain-containing protein 4</t>
  </si>
  <si>
    <t>Isoform 2 of Ubiquitin carboxyl-terminal hydrolase 22</t>
  </si>
  <si>
    <t>Ubiquitin carboxyl-terminal hydrolase 24</t>
  </si>
  <si>
    <t>TBC1 domain family member 2B</t>
  </si>
  <si>
    <t>Cytosolic carboxypeptidase 1</t>
  </si>
  <si>
    <t>Isoform 3 of SH3 and multiple ankyrin repeat domains protein 2</t>
  </si>
  <si>
    <t>Isoform 2 of Endoribonuclease Dicer</t>
  </si>
  <si>
    <t>Cystine/glutamate transporter</t>
  </si>
  <si>
    <t>Microtubule-associated protein RP/EB family member 3</t>
  </si>
  <si>
    <t>Isoform 2 of Hermansky-Pudlak syndrome 5 protein</t>
  </si>
  <si>
    <t>Thrombospondin type-1 domain-containing protein 7A</t>
  </si>
  <si>
    <t>Isoform 2 of Leucine-rich repeat protein SHOC-2</t>
  </si>
  <si>
    <t>Serine/arginine repetitive matrix protein 2</t>
  </si>
  <si>
    <t>Proliferation-associated protein 2G4</t>
  </si>
  <si>
    <t>Isoform 2 of Exonuclease 1</t>
  </si>
  <si>
    <t>Isoform 3 of Brain-specific angiogenesis inhibitor 1-associated protein 2</t>
  </si>
  <si>
    <t>Isoform 2 of GRB2-associated-binding protein 2</t>
  </si>
  <si>
    <t>Structural maintenance of chromosomes protein 3</t>
  </si>
  <si>
    <t>Charged multivesicular body protein 2b</t>
  </si>
  <si>
    <t>Sex comb on midleg-like protein 2</t>
  </si>
  <si>
    <t>Zinc finger protein 148</t>
  </si>
  <si>
    <t>Myotubularin-related protein 6</t>
  </si>
  <si>
    <t>Bifunctional UDP-N-acetylglucosamine 2-epimerase/N-acetylmannosamine kinase</t>
  </si>
  <si>
    <t>UPF0568 protein C14orf166</t>
  </si>
  <si>
    <t>RuvB-like 2</t>
  </si>
  <si>
    <t>Isoform 2 of Chromodomain Y-like protein</t>
  </si>
  <si>
    <t>Peptidyl-prolyl cis-trans isomerase NIMA-interacting 4</t>
  </si>
  <si>
    <t>Isoform 2 of RAC-gamma serine/threonine-protein kinase</t>
  </si>
  <si>
    <t>Proteasome maturation protein</t>
  </si>
  <si>
    <t>DNA replication complex GINS protein PSF2</t>
  </si>
  <si>
    <t>Choline/ethanolamine kinase</t>
  </si>
  <si>
    <t>Eukaryotic translation initiation factor 3 subunit L</t>
  </si>
  <si>
    <t>Phospholipase A-2-activating protein</t>
  </si>
  <si>
    <t>RuvB-like 1</t>
  </si>
  <si>
    <t>Nuclear migration protein nudC</t>
  </si>
  <si>
    <t>Cofilin-2</t>
  </si>
  <si>
    <t>Phenylalanine--tRNA ligase alpha subunit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</si>
  <si>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</si>
  <si>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</si>
  <si>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</si>
  <si>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</si>
  <si>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</si>
  <si>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Carbonic anhydrase 5B, mitochondrial</t>
  </si>
  <si>
    <t>Exocyst complex component 6B</t>
  </si>
  <si>
    <t>Isoform 4 of A-kinase anchor protein 2</t>
  </si>
  <si>
    <t>Disco-interacting protein 2 homolog C</t>
  </si>
  <si>
    <t>Uncharacterized protein KIAA0947</t>
  </si>
  <si>
    <t>Isoform 5 of Caspase recruitment domain-containing protein 8</t>
  </si>
  <si>
    <t>GDP-fucose protein O-fucosyltransferase 2</t>
  </si>
  <si>
    <t>Isoform 3 of Disks large-associated protein 4</t>
  </si>
  <si>
    <t>Serine/threonine-protein kinase 38-like</t>
  </si>
  <si>
    <t>Phosphatidylinositide phosphatase SAC2</t>
  </si>
  <si>
    <t>Pleckstrin homology domain-containing family A member 6</t>
  </si>
  <si>
    <t>Nischarin</t>
  </si>
  <si>
    <t>WD repeat-containing protein 37</t>
  </si>
  <si>
    <t>Isoform 2 of Angiomotin-like protein 2</t>
  </si>
  <si>
    <t>Isoform 2 of Zinc finger and BTB domain-containing protein 1</t>
  </si>
  <si>
    <t>Lysine-specific demethylase 2A</t>
  </si>
  <si>
    <t>Exosome complex exonuclease RRP44</t>
  </si>
  <si>
    <t>Isoform 2 of Leucine-rich repeat and calponin homology domain-containing protein 1</t>
  </si>
  <si>
    <t>Glutathione S-transferase kappa 1</t>
  </si>
  <si>
    <t>Ragulator complex protein LAMTOR2</t>
  </si>
  <si>
    <t>28S ribosomal protein S28, mitochondrial</t>
  </si>
  <si>
    <t>Probable ATP-dependent RNA helicase DDX52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</si>
  <si>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</si>
  <si>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</si>
  <si>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</si>
  <si>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</si>
  <si>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</si>
  <si>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Guanine deaminase</t>
  </si>
  <si>
    <t>Y-box-binding protein 2</t>
  </si>
  <si>
    <t>Mitogen-activated protein kinase kinase kinase 2</t>
  </si>
  <si>
    <t>Inner nuclear membrane protein Man1</t>
  </si>
  <si>
    <t>Calcium-regulated heat stable protein 1</t>
  </si>
  <si>
    <t>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</si>
  <si>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</si>
  <si>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</si>
  <si>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</si>
  <si>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</si>
  <si>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DNA-directed RNA polymerase III subunit RPC10</t>
  </si>
  <si>
    <t>Krueppel-like factor 13</t>
  </si>
  <si>
    <t>Suppressor of G2 allele of SKP1 homolog</t>
  </si>
  <si>
    <t>Tyrosine--tRNA ligase, mitochondrial</t>
  </si>
  <si>
    <t>Putative N-acetylglucosamine-6-phosphate deacetylase</t>
  </si>
  <si>
    <t>Isoform 2 of Putative N-acetylglucosamine-6-phosphate deacetylase</t>
  </si>
  <si>
    <t>Acyl-coenzyme A thioesterase 9, mitochondrial</t>
  </si>
  <si>
    <t>Protein AAR2 homolog</t>
  </si>
  <si>
    <t>Nitric oxide synthase-interacting protein</t>
  </si>
  <si>
    <t>Putative deoxyribose-phosphate aldolase</t>
  </si>
  <si>
    <t>Protein MEMO1</t>
  </si>
  <si>
    <t>U6 snRNA-associated Sm-like protein LSm2</t>
  </si>
  <si>
    <t>Endophilin-B1</t>
  </si>
  <si>
    <t>Calcium-binding protein 39</t>
  </si>
  <si>
    <t>Putative RNA-binding protein Luc7-like 2</t>
  </si>
  <si>
    <t>Ubiquitin-conjugating enzyme E2 J1</t>
  </si>
  <si>
    <t>28S ribosomal protein S2, mitochondrial</t>
  </si>
  <si>
    <t>Isoform 3 of MOB-like protein phocein</t>
  </si>
  <si>
    <t>Ribosome maturation protein SBDS</t>
  </si>
  <si>
    <t>Pre-mRNA branch site protein p14</t>
  </si>
  <si>
    <t>RRP15-like protein</t>
  </si>
  <si>
    <t>Nucleolar protein 16</t>
  </si>
  <si>
    <t>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</si>
  <si>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</si>
  <si>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</si>
  <si>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</si>
  <si>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</si>
  <si>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</si>
  <si>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</si>
  <si>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</si>
  <si>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</si>
  <si>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</si>
  <si>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Charged multivesicular body protein 3</t>
  </si>
  <si>
    <t>Serine-threonine kinase receptor-associated protein</t>
  </si>
  <si>
    <t>tRNA-splicing ligase RtcB homolog</t>
  </si>
  <si>
    <t>F-box only protein 7</t>
  </si>
  <si>
    <t>Rab GTPase-activating protein 1</t>
  </si>
  <si>
    <t>TSC22 domain family protein 4</t>
  </si>
  <si>
    <t>Isoform 2 of Protein dopey-2</t>
  </si>
  <si>
    <t>Zinc finger protein 330</t>
  </si>
  <si>
    <t>R3H and coiled-coil domain-containing protein 1</t>
  </si>
  <si>
    <t>Nucleolar complex protein 2 homolog</t>
  </si>
  <si>
    <t>60S ribosomal protein L36</t>
  </si>
  <si>
    <t>RWD domain-containing protein 3</t>
  </si>
  <si>
    <t>Coiled-coil domain-containing protein 9</t>
  </si>
  <si>
    <t>Deoxynucleoside triphosphate triphosphohydrolase SAMHD1</t>
  </si>
  <si>
    <t>Protein FAM32A</t>
  </si>
  <si>
    <t>Plakophilin-3</t>
  </si>
  <si>
    <t>Small kinetochore-associated protein</t>
  </si>
  <si>
    <t>Isoform 3 of HBS1-like protein</t>
  </si>
  <si>
    <t>Talin-1</t>
  </si>
  <si>
    <t>Kinesin-like protein KIF3A</t>
  </si>
  <si>
    <t>Helicase ARIP4</t>
  </si>
  <si>
    <t>Protein SOGA2</t>
  </si>
  <si>
    <t>Isoform 2 of Protein VPRBP</t>
  </si>
  <si>
    <t>Lysine-specific demethylase 3A</t>
  </si>
  <si>
    <t>Isoform 2 of Protein FAM115A</t>
  </si>
  <si>
    <t>Malignant fibrous histiocytoma-amplified sequence 1</t>
  </si>
  <si>
    <t>Isoform 2 of WASH complex subunit FAM21C</t>
  </si>
  <si>
    <t>Isoform 2 of WD repeat-containing protein 7</t>
  </si>
  <si>
    <t>Ubiquitin carboxyl-terminal hydrolase 15</t>
  </si>
  <si>
    <t>FERM, RhoGEF and pleckstrin domain-containing protein 1</t>
  </si>
  <si>
    <t>Centrosomal protein of 170 kDa protein B</t>
  </si>
  <si>
    <t>Talin-2</t>
  </si>
  <si>
    <t>Rap guanine nucleotide exchange factor 2</t>
  </si>
  <si>
    <t>Insulin receptor substrate 2</t>
  </si>
  <si>
    <t>Isoform 2 of Unconventional myosin-Va</t>
  </si>
  <si>
    <t>TNF receptor-associated factor 6</t>
  </si>
  <si>
    <t>Mitogen-activated protein kinase kinase kinase kinase 5</t>
  </si>
  <si>
    <t>Isoform 6 of Cysteine protease ATG4B</t>
  </si>
  <si>
    <t>Isoform 4 of WD repeat domain phosphoinositide-interacting protein 2</t>
  </si>
  <si>
    <t>Telomere length regulation protein TEL2 homolog</t>
  </si>
  <si>
    <t>E3 ubiquitin-protein ligase ARIH1</t>
  </si>
  <si>
    <t>U6 snRNA-associated Sm-like protein LSm4</t>
  </si>
  <si>
    <t>RING finger protein 114</t>
  </si>
  <si>
    <t>Isoform 4 of Protein PRRC2C</t>
  </si>
  <si>
    <t>Leucine-rich repeat-containing protein 42</t>
  </si>
  <si>
    <t>Heat shock protein beta-11</t>
  </si>
  <si>
    <t>Protein phosphatase methylesterase 1</t>
  </si>
  <si>
    <t>Isoform 2 of Ankyrin repeat and SOCS box protein 3</t>
  </si>
  <si>
    <t>Isoform 2 of BTB/POZ domain-containing protein KCTD3</t>
  </si>
  <si>
    <t>Isoform 2 of NEDD8 ultimate buster 1</t>
  </si>
  <si>
    <t>YTH domain family protein 2</t>
  </si>
  <si>
    <t>RNA polymerase II subunit A C-terminal domain phosphatase</t>
  </si>
  <si>
    <t>Isoform 2 of Nucleoside diphosphate kinase 7</t>
  </si>
  <si>
    <t>FACT complex subunit SPT16</t>
  </si>
  <si>
    <t>U3 small nucleolar RNA-associated protein 18 homolog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</si>
  <si>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</si>
  <si>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</si>
  <si>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</si>
  <si>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Mitochondrial import inner membrane translocase subunit Tim8 B</t>
  </si>
  <si>
    <t>Isoform 2 of Ubiquitin carboxyl-terminal hydrolase isozyme L5</t>
  </si>
  <si>
    <t>CD2-associated protein</t>
  </si>
  <si>
    <t>V-type proton ATPase subunit D</t>
  </si>
  <si>
    <t>Transportin-3</t>
  </si>
  <si>
    <t>Mitochondrial import inner membrane translocase subunit Tim13</t>
  </si>
  <si>
    <t>Isoform 2 of 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</si>
  <si>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</si>
  <si>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</si>
  <si>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</si>
  <si>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</si>
  <si>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</si>
  <si>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</si>
  <si>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Serine/threonine-protein kinase MRCK beta</t>
  </si>
  <si>
    <t>RNA-binding protein 8A</t>
  </si>
  <si>
    <t>Isoform 2 of Protein TSSC4</t>
  </si>
  <si>
    <t>Zinc finger protein 706</t>
  </si>
  <si>
    <t>Melanoma-associated antigen D1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</si>
  <si>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</si>
  <si>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</si>
  <si>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</si>
  <si>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</si>
  <si>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</si>
  <si>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</si>
  <si>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Host cell factor 2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</si>
  <si>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</si>
  <si>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</si>
  <si>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</si>
  <si>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</si>
  <si>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DNA repair and recombination protein RAD54B</t>
  </si>
  <si>
    <t>Spindlin-1</t>
  </si>
  <si>
    <t>Coatomer subunit gamma-1</t>
  </si>
  <si>
    <t>Isoform 3 of Peptidyl-prolyl cis-trans isomerase FKBP7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</si>
  <si>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</si>
  <si>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</si>
  <si>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</si>
  <si>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</si>
  <si>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</si>
  <si>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Isoform 2 of EP300-interacting inhibitor of differentiation 1</t>
  </si>
  <si>
    <t>GTP-binding protein SAR1b</t>
  </si>
  <si>
    <t>AP-4 complex subunit beta-1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</si>
  <si>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</si>
  <si>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</si>
  <si>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</si>
  <si>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</si>
  <si>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Cytoplasmic dynein 1 light intermediate chain 1</t>
  </si>
  <si>
    <t>Coiled-coil-helix-coiled-coil-helix domain-containing protein 2, mitochondrial</t>
  </si>
  <si>
    <t>Epsin-1</t>
  </si>
  <si>
    <t>Testis-expressed sequence 264 protein</t>
  </si>
  <si>
    <t>TAF6-like RNA polymerase II p300/CBP-associated factor-associated factor 65 kDa subunit 6L</t>
  </si>
  <si>
    <t>Isoform 3 of DNA (cytosine-5)-methyltransferase 3A</t>
  </si>
  <si>
    <t>2-5-oligoadenylate synthase 3</t>
  </si>
  <si>
    <t>NF-kappa-B essential modulator</t>
  </si>
  <si>
    <t>Zinc transporter 1</t>
  </si>
  <si>
    <t>Isoform 5 of Roundabout homolog 1</t>
  </si>
  <si>
    <t>Isoform 5 of Harmonin</t>
  </si>
  <si>
    <t>Isoform 5 of Nuclear receptor coactivator 3</t>
  </si>
  <si>
    <t>Numb-like protein</t>
  </si>
  <si>
    <t>Isoform 2 of Protein piccolo</t>
  </si>
  <si>
    <t>Probable ATP-dependent RNA helicase DDX49</t>
  </si>
  <si>
    <t>Calpain-7</t>
  </si>
  <si>
    <t>Wiskott-Aldrich syndrome protein family member 2</t>
  </si>
  <si>
    <t>Zinc fingers and homeoboxes protein 2</t>
  </si>
  <si>
    <t>MORC family CW-type zinc finger protein 2</t>
  </si>
  <si>
    <t>Influenza virus NS1A-binding protein</t>
  </si>
  <si>
    <t>26S proteasome non-ATPase regulatory subunit 8</t>
  </si>
  <si>
    <t>Ragulator complex protein LAMTOR5</t>
  </si>
  <si>
    <t>Polycomb complex protein BMI-1</t>
  </si>
  <si>
    <t>YTH domain family protein 3</t>
  </si>
  <si>
    <t>Partitioning defective 3 homolog B</t>
  </si>
  <si>
    <t>Protein S100-A6 (Fragment)</t>
  </si>
  <si>
    <t>Ankyrin repeat domain-containing protein 30A</t>
  </si>
  <si>
    <t>Acyl-CoA synthetase family member 4</t>
  </si>
  <si>
    <t>DENN domain-containing protein 4C</t>
  </si>
  <si>
    <t>Ubiquitin-conjugating enzyme E2 E3</t>
  </si>
  <si>
    <t>Pleckstrin homology-like domain family A member 1</t>
  </si>
  <si>
    <t>E3 ubiquitin-protein ligase AMFR (Fragment)</t>
  </si>
  <si>
    <t>26S protease regulatory subunit 6A</t>
  </si>
  <si>
    <t>F-box only protein 44 (Fragment)</t>
  </si>
  <si>
    <t>E2F8</t>
  </si>
  <si>
    <t>UBA6</t>
  </si>
  <si>
    <t>UHRF1BP1L</t>
  </si>
  <si>
    <t>KIAA1598</t>
  </si>
  <si>
    <t>ARHGAP10</t>
  </si>
  <si>
    <t>KIAA0999</t>
  </si>
  <si>
    <t>C17orf89</t>
  </si>
  <si>
    <t>PLEKHG3</t>
  </si>
  <si>
    <t>SH3PXD2B</t>
  </si>
  <si>
    <t>PIPSL</t>
  </si>
  <si>
    <t>TARSL2</t>
  </si>
  <si>
    <t>TYW5</t>
  </si>
  <si>
    <t>DENND3</t>
  </si>
  <si>
    <t>VWA8</t>
  </si>
  <si>
    <t>SBNO1</t>
  </si>
  <si>
    <t>WDR91</t>
  </si>
  <si>
    <t>KLRG2</t>
  </si>
  <si>
    <t>LCHN</t>
  </si>
  <si>
    <t>MBLAC1</t>
  </si>
  <si>
    <t>TRAPPC13</t>
  </si>
  <si>
    <t>CNOT1</t>
  </si>
  <si>
    <t>BDP1</t>
  </si>
  <si>
    <t>FAM83G</t>
  </si>
  <si>
    <t>PGP</t>
  </si>
  <si>
    <t>C5orf51</t>
  </si>
  <si>
    <t>RCCD1</t>
  </si>
  <si>
    <t>OFD1</t>
  </si>
  <si>
    <t>ZNF281</t>
  </si>
  <si>
    <t>BPNT1</t>
  </si>
  <si>
    <t>ZNF316</t>
  </si>
  <si>
    <t>CHMP1A</t>
  </si>
  <si>
    <t>C10orf11</t>
  </si>
  <si>
    <t>PRCC</t>
  </si>
  <si>
    <t>WIPF3</t>
  </si>
  <si>
    <t>HN1L</t>
  </si>
  <si>
    <t>SMCHD1</t>
  </si>
  <si>
    <t>GATSL2</t>
  </si>
  <si>
    <t>UNC119B</t>
  </si>
  <si>
    <t>WTIP</t>
  </si>
  <si>
    <t>METTL15</t>
  </si>
  <si>
    <t>C13orf23</t>
  </si>
  <si>
    <t>CCDC85C</t>
  </si>
  <si>
    <t>RGPD3</t>
  </si>
  <si>
    <t>DIAPH2</t>
  </si>
  <si>
    <t>SHROOM1</t>
  </si>
  <si>
    <t>ZWINT</t>
  </si>
  <si>
    <t>AIF1L</t>
  </si>
  <si>
    <t>BTBD11</t>
  </si>
  <si>
    <t>FAM127A</t>
  </si>
  <si>
    <t>ARHGAP32</t>
  </si>
  <si>
    <t>PYGO1</t>
  </si>
  <si>
    <t>POM121C</t>
  </si>
  <si>
    <t>ITSN1</t>
  </si>
  <si>
    <t>FMR1</t>
  </si>
  <si>
    <t>POT1</t>
  </si>
  <si>
    <t>S100PBP</t>
  </si>
  <si>
    <t>HOOK1</t>
  </si>
  <si>
    <t>TUBA4A</t>
  </si>
  <si>
    <t>BICD1</t>
  </si>
  <si>
    <t>CDH2</t>
  </si>
  <si>
    <t>WIPF2</t>
  </si>
  <si>
    <t>ERCC2</t>
  </si>
  <si>
    <t>NUDT19</t>
  </si>
  <si>
    <t>SRRM1</t>
  </si>
  <si>
    <t>PFKFB2</t>
  </si>
  <si>
    <t>MKL1</t>
  </si>
  <si>
    <t>TBC1D22A</t>
  </si>
  <si>
    <t>FLOT1</t>
  </si>
  <si>
    <t>BAG6</t>
  </si>
  <si>
    <t>EHMT2</t>
  </si>
  <si>
    <t>CENPM</t>
  </si>
  <si>
    <t>PSMD10</t>
  </si>
  <si>
    <t>HMGCL</t>
  </si>
  <si>
    <t>RASAL2</t>
  </si>
  <si>
    <t>EIF4ENIF1</t>
  </si>
  <si>
    <t>NFIA</t>
  </si>
  <si>
    <t>CDC37L1</t>
  </si>
  <si>
    <t>EXOSC1</t>
  </si>
  <si>
    <t>EIF4G3</t>
  </si>
  <si>
    <t>PRSS3</t>
  </si>
  <si>
    <t>GUK1</t>
  </si>
  <si>
    <t>PPFIA4</t>
  </si>
  <si>
    <t>TXNRD1</t>
  </si>
  <si>
    <t>MYO9A</t>
  </si>
  <si>
    <t>CCDC92</t>
  </si>
  <si>
    <t>MDS025</t>
  </si>
  <si>
    <t>HDAC2</t>
  </si>
  <si>
    <t>LZTFL1</t>
  </si>
  <si>
    <t>DCLRE1C</t>
  </si>
  <si>
    <t>SOD2</t>
  </si>
  <si>
    <t>PHF23</t>
  </si>
  <si>
    <t>CENPH</t>
  </si>
  <si>
    <t>PYROXD1</t>
  </si>
  <si>
    <t>RXRA</t>
  </si>
  <si>
    <t>ARL6IP4</t>
  </si>
  <si>
    <t>CNN2</t>
  </si>
  <si>
    <t>ANXA4</t>
  </si>
  <si>
    <t>HARS2</t>
  </si>
  <si>
    <t>MON1B</t>
  </si>
  <si>
    <t>SNX2</t>
  </si>
  <si>
    <t>CTNNB1</t>
  </si>
  <si>
    <t>PIP4K2A</t>
  </si>
  <si>
    <t>MAP1S</t>
  </si>
  <si>
    <t>TSC2</t>
  </si>
  <si>
    <t>PADI2</t>
  </si>
  <si>
    <t>RAB5A</t>
  </si>
  <si>
    <t>SNRPD3</t>
  </si>
  <si>
    <t>CS</t>
  </si>
  <si>
    <t>PWP1</t>
  </si>
  <si>
    <t>ZNF286A</t>
  </si>
  <si>
    <t>LSR</t>
  </si>
  <si>
    <t>SHQ1</t>
  </si>
  <si>
    <t>ATP5C1</t>
  </si>
  <si>
    <t>CHURC1-FNTB</t>
  </si>
  <si>
    <t>CRYBG3</t>
  </si>
  <si>
    <t>DDX5</t>
  </si>
  <si>
    <t>RNF220</t>
  </si>
  <si>
    <t>RNF185</t>
  </si>
  <si>
    <t>PTGES3</t>
  </si>
  <si>
    <t>MKRN2</t>
  </si>
  <si>
    <t>SNX11</t>
  </si>
  <si>
    <t>TOX4</t>
  </si>
  <si>
    <t>EIF2A</t>
  </si>
  <si>
    <t>HDAC8</t>
  </si>
  <si>
    <t>RANBP10</t>
  </si>
  <si>
    <t>PGD</t>
  </si>
  <si>
    <t>CHM</t>
  </si>
  <si>
    <t>MAP3K11</t>
  </si>
  <si>
    <t>ANXA7</t>
  </si>
  <si>
    <t>LIG1</t>
  </si>
  <si>
    <t>RBKS</t>
  </si>
  <si>
    <t>ANXA11</t>
  </si>
  <si>
    <t>EIF3D</t>
  </si>
  <si>
    <t>ARL1</t>
  </si>
  <si>
    <t>KIN</t>
  </si>
  <si>
    <t>FXR1</t>
  </si>
  <si>
    <t>NUP35</t>
  </si>
  <si>
    <t>HDAC6</t>
  </si>
  <si>
    <t>ARHGAP11A</t>
  </si>
  <si>
    <t>PHF6</t>
  </si>
  <si>
    <t>LRCH3</t>
  </si>
  <si>
    <t>PBXIP1</t>
  </si>
  <si>
    <t>MSANTD2</t>
  </si>
  <si>
    <t>RAF1</t>
  </si>
  <si>
    <t>RIOK3</t>
  </si>
  <si>
    <t>SFRS3</t>
  </si>
  <si>
    <t>LAMP2</t>
  </si>
  <si>
    <t>HADHB</t>
  </si>
  <si>
    <t>METTL13</t>
  </si>
  <si>
    <t>DVL3</t>
  </si>
  <si>
    <t>PES1</t>
  </si>
  <si>
    <t>PPM1F</t>
  </si>
  <si>
    <t>R3HDM2</t>
  </si>
  <si>
    <t>CABIN1</t>
  </si>
  <si>
    <t>CWC22</t>
  </si>
  <si>
    <t>PDIA6</t>
  </si>
  <si>
    <t>KLHL22</t>
  </si>
  <si>
    <t>ENO2</t>
  </si>
  <si>
    <t>COG2</t>
  </si>
  <si>
    <t>ZNF346</t>
  </si>
  <si>
    <t>ALAD</t>
  </si>
  <si>
    <t>TBCE</t>
  </si>
  <si>
    <t>PCYOX1</t>
  </si>
  <si>
    <t>DNASE2</t>
  </si>
  <si>
    <t>ERF</t>
  </si>
  <si>
    <t>MLH3</t>
  </si>
  <si>
    <t>RPL7L1</t>
  </si>
  <si>
    <t>DECR1</t>
  </si>
  <si>
    <t>TRIML2</t>
  </si>
  <si>
    <t>MLLT3</t>
  </si>
  <si>
    <t>AMN1</t>
  </si>
  <si>
    <t>NTRK3</t>
  </si>
  <si>
    <t>USP7</t>
  </si>
  <si>
    <t>RFX5</t>
  </si>
  <si>
    <t>NDRG4</t>
  </si>
  <si>
    <t>GALK2</t>
  </si>
  <si>
    <t>PPP1R3G</t>
  </si>
  <si>
    <t>PPP2R5E</t>
  </si>
  <si>
    <t>UBXN2A</t>
  </si>
  <si>
    <t>CPEB4</t>
  </si>
  <si>
    <t>WIZ</t>
  </si>
  <si>
    <t>FAM126A</t>
  </si>
  <si>
    <t>EIF4E2</t>
  </si>
  <si>
    <t>RPL31</t>
  </si>
  <si>
    <t>PTMA</t>
  </si>
  <si>
    <t>VAMP8</t>
  </si>
  <si>
    <t>USP39</t>
  </si>
  <si>
    <t>ASB1</t>
  </si>
  <si>
    <t>RBM12B</t>
  </si>
  <si>
    <t>WASH3P</t>
  </si>
  <si>
    <t>MED30S</t>
  </si>
  <si>
    <t>NPHP1</t>
  </si>
  <si>
    <t>ZC3HC1</t>
  </si>
  <si>
    <t>PFN2</t>
  </si>
  <si>
    <t>SRI</t>
  </si>
  <si>
    <t>ZNF655</t>
  </si>
  <si>
    <t>UBE2F</t>
  </si>
  <si>
    <t>ZNF823</t>
  </si>
  <si>
    <t>CCNE1</t>
  </si>
  <si>
    <t>IKBKG</t>
  </si>
  <si>
    <t>POLR2B</t>
  </si>
  <si>
    <t>IQCJ-SCHIP1</t>
  </si>
  <si>
    <t>CMSS1</t>
  </si>
  <si>
    <t>IMMT</t>
  </si>
  <si>
    <t>PDCD10</t>
  </si>
  <si>
    <t>IGF1R</t>
  </si>
  <si>
    <t>FANCB</t>
  </si>
  <si>
    <t>RPE</t>
  </si>
  <si>
    <t>CEP70</t>
  </si>
  <si>
    <t>KRIT1</t>
  </si>
  <si>
    <t>RNF8</t>
  </si>
  <si>
    <t>RPSA</t>
  </si>
  <si>
    <t>BBX</t>
  </si>
  <si>
    <t>FXN</t>
  </si>
  <si>
    <t>ZNF467</t>
  </si>
  <si>
    <t>BSDC1</t>
  </si>
  <si>
    <t>NFE2L2</t>
  </si>
  <si>
    <t>FOSL2</t>
  </si>
  <si>
    <t>DIAPH3</t>
  </si>
  <si>
    <t>NCOR2</t>
  </si>
  <si>
    <t>CDC42EP3</t>
  </si>
  <si>
    <t>GPS1</t>
  </si>
  <si>
    <t>BAG3</t>
  </si>
  <si>
    <t>AAMP</t>
  </si>
  <si>
    <t>GNB2</t>
  </si>
  <si>
    <t>SH2B2</t>
  </si>
  <si>
    <t>POLR2H</t>
  </si>
  <si>
    <t>SERPINF2</t>
  </si>
  <si>
    <t>GXYLT2</t>
  </si>
  <si>
    <t>OARD1</t>
  </si>
  <si>
    <t>HSPBP1</t>
  </si>
  <si>
    <t>USP4</t>
  </si>
  <si>
    <t>MBNL1</t>
  </si>
  <si>
    <t>USP42</t>
  </si>
  <si>
    <t>CCDC58</t>
  </si>
  <si>
    <t>NME6</t>
  </si>
  <si>
    <t>ATL2</t>
  </si>
  <si>
    <t>STK11IP</t>
  </si>
  <si>
    <t>RNF13</t>
  </si>
  <si>
    <t>AKR1B15</t>
  </si>
  <si>
    <t>RCC1</t>
  </si>
  <si>
    <t>AP4M1</t>
  </si>
  <si>
    <t>RPL24</t>
  </si>
  <si>
    <t>LBR</t>
  </si>
  <si>
    <t>POP7</t>
  </si>
  <si>
    <t>RPL22L1</t>
  </si>
  <si>
    <t>NRCAM</t>
  </si>
  <si>
    <t>NUDT5</t>
  </si>
  <si>
    <t>UBE2H</t>
  </si>
  <si>
    <t>PrLZ</t>
  </si>
  <si>
    <t>ANKS3</t>
  </si>
  <si>
    <t>SLC4A7</t>
  </si>
  <si>
    <t>RPL32</t>
  </si>
  <si>
    <t>NDOR1</t>
  </si>
  <si>
    <t>CXXC5</t>
  </si>
  <si>
    <t>RELB</t>
  </si>
  <si>
    <t>RBM47</t>
  </si>
  <si>
    <t>POLR3G</t>
  </si>
  <si>
    <t>CC2D2A</t>
  </si>
  <si>
    <t>FAM169A</t>
  </si>
  <si>
    <t>ZBTB38</t>
  </si>
  <si>
    <t>OCIAD1</t>
  </si>
  <si>
    <t>LMAN2</t>
  </si>
  <si>
    <t>PACRGL</t>
  </si>
  <si>
    <t>HSD17B11</t>
  </si>
  <si>
    <t>CCDC111</t>
  </si>
  <si>
    <t>ATG10</t>
  </si>
  <si>
    <t>PET112</t>
  </si>
  <si>
    <t>PRELID1</t>
  </si>
  <si>
    <t>SEC31A</t>
  </si>
  <si>
    <t>SEPT11</t>
  </si>
  <si>
    <t>CPLX2</t>
  </si>
  <si>
    <t>ANKHD1</t>
  </si>
  <si>
    <t>CENPK</t>
  </si>
  <si>
    <t>CCNH</t>
  </si>
  <si>
    <t>RNASET2</t>
  </si>
  <si>
    <t>IGJ</t>
  </si>
  <si>
    <t>COMMD10</t>
  </si>
  <si>
    <t>MMS22L</t>
  </si>
  <si>
    <t>C15orf38-AP3S2</t>
  </si>
  <si>
    <t>GMNN</t>
  </si>
  <si>
    <t>FAM92A1</t>
  </si>
  <si>
    <t>NSMCE2</t>
  </si>
  <si>
    <t>IMPA1</t>
  </si>
  <si>
    <t>RWDD1</t>
  </si>
  <si>
    <t>STMN2</t>
  </si>
  <si>
    <t>TCEB1</t>
  </si>
  <si>
    <t>DNM3</t>
  </si>
  <si>
    <t>TTI2</t>
  </si>
  <si>
    <t>CHCHD7</t>
  </si>
  <si>
    <t>PSD3</t>
  </si>
  <si>
    <t>AP3M2</t>
  </si>
  <si>
    <t>ZFAND1</t>
  </si>
  <si>
    <t>BHMT</t>
  </si>
  <si>
    <t>SKP1</t>
  </si>
  <si>
    <t>MTDH</t>
  </si>
  <si>
    <t>COPS6</t>
  </si>
  <si>
    <t>PTPN18</t>
  </si>
  <si>
    <t>EPN2</t>
  </si>
  <si>
    <t>ASAH1</t>
  </si>
  <si>
    <t>UBR5</t>
  </si>
  <si>
    <t>TACC2</t>
  </si>
  <si>
    <t>SETMAR</t>
  </si>
  <si>
    <t>NCSTN</t>
  </si>
  <si>
    <t>CALCOCO2</t>
  </si>
  <si>
    <t>COL3A1</t>
  </si>
  <si>
    <t>RPL14</t>
  </si>
  <si>
    <t>TOM1</t>
  </si>
  <si>
    <t>IBTK</t>
  </si>
  <si>
    <t>PDXDC1</t>
  </si>
  <si>
    <t>PTPRM</t>
  </si>
  <si>
    <t>NAA50</t>
  </si>
  <si>
    <t>ACIN1</t>
  </si>
  <si>
    <t>MTA3</t>
  </si>
  <si>
    <t>FAM91A1</t>
  </si>
  <si>
    <t>ERMP1</t>
  </si>
  <si>
    <t>FAM193B</t>
  </si>
  <si>
    <t>GMIP</t>
  </si>
  <si>
    <t>MAST2</t>
  </si>
  <si>
    <t>HMGB3</t>
  </si>
  <si>
    <t>TTC38</t>
  </si>
  <si>
    <t>EYA4</t>
  </si>
  <si>
    <t>NAT10</t>
  </si>
  <si>
    <t>U2SURP</t>
  </si>
  <si>
    <t>ITIH3</t>
  </si>
  <si>
    <t>DTX2</t>
  </si>
  <si>
    <t>TNIP1</t>
  </si>
  <si>
    <t>RBMS1</t>
  </si>
  <si>
    <t>PLOD2</t>
  </si>
  <si>
    <t>BZW2</t>
  </si>
  <si>
    <t>CSNK2A1</t>
  </si>
  <si>
    <t>NAV3</t>
  </si>
  <si>
    <t>G6PD</t>
  </si>
  <si>
    <t>NUP54</t>
  </si>
  <si>
    <t>FAM193A</t>
  </si>
  <si>
    <t>EIF4G1</t>
  </si>
  <si>
    <t>PCCB</t>
  </si>
  <si>
    <t>ARHGEF4</t>
  </si>
  <si>
    <t>ARFGAP1</t>
  </si>
  <si>
    <t>MAP4</t>
  </si>
  <si>
    <t>HDHD1</t>
  </si>
  <si>
    <t>CYFIP2</t>
  </si>
  <si>
    <t>POR</t>
  </si>
  <si>
    <t>RAI1</t>
  </si>
  <si>
    <t>SEPT10</t>
  </si>
  <si>
    <t>PPIL2</t>
  </si>
  <si>
    <t>EXOC6</t>
  </si>
  <si>
    <t>IQGAP2</t>
  </si>
  <si>
    <t>ASXL2</t>
  </si>
  <si>
    <t>MPP2</t>
  </si>
  <si>
    <t>CALD1</t>
  </si>
  <si>
    <t>NEK4</t>
  </si>
  <si>
    <t>RAVER1</t>
  </si>
  <si>
    <t>GPATCH4</t>
  </si>
  <si>
    <t>PPHLN1</t>
  </si>
  <si>
    <t>PDHX</t>
  </si>
  <si>
    <t>ALYREF</t>
  </si>
  <si>
    <t>PAICS</t>
  </si>
  <si>
    <t>BUB1</t>
  </si>
  <si>
    <t>EIF2B5</t>
  </si>
  <si>
    <t>FNIP1</t>
  </si>
  <si>
    <t>GUSB</t>
  </si>
  <si>
    <t>ELF2</t>
  </si>
  <si>
    <t>TNS3</t>
  </si>
  <si>
    <t>CRMP1</t>
  </si>
  <si>
    <t>CKAP2</t>
  </si>
  <si>
    <t>IFT122</t>
  </si>
  <si>
    <t>ACADS</t>
  </si>
  <si>
    <t>AR</t>
  </si>
  <si>
    <t>HMGXB3</t>
  </si>
  <si>
    <t>PDPK1</t>
  </si>
  <si>
    <t>DIAPH1</t>
  </si>
  <si>
    <t>NUP155</t>
  </si>
  <si>
    <t>ACSF2</t>
  </si>
  <si>
    <t>CEP192</t>
  </si>
  <si>
    <t>PPP2R5D</t>
  </si>
  <si>
    <t>ZFAND2B</t>
  </si>
  <si>
    <t>CEP97</t>
  </si>
  <si>
    <t>MCCC1</t>
  </si>
  <si>
    <t>APP</t>
  </si>
  <si>
    <t>TNS1</t>
  </si>
  <si>
    <t>TSN</t>
  </si>
  <si>
    <t>MED22</t>
  </si>
  <si>
    <t>PRDX3</t>
  </si>
  <si>
    <t>CLEC3B</t>
  </si>
  <si>
    <t>LARS2</t>
  </si>
  <si>
    <t>SSFA2</t>
  </si>
  <si>
    <t>MROH1</t>
  </si>
  <si>
    <t>HLA-DQB1</t>
  </si>
  <si>
    <t>SF3B2</t>
  </si>
  <si>
    <t>PHRF1</t>
  </si>
  <si>
    <t>EBAG9</t>
  </si>
  <si>
    <t>UBXN1</t>
  </si>
  <si>
    <t>CYHR1</t>
  </si>
  <si>
    <t>BRMS1</t>
  </si>
  <si>
    <t>ARHGAP42</t>
  </si>
  <si>
    <t>RPS6KA4</t>
  </si>
  <si>
    <t>SOGA3</t>
  </si>
  <si>
    <t>RPUSD4</t>
  </si>
  <si>
    <t>TEAD1</t>
  </si>
  <si>
    <t>TOR1AIP1</t>
  </si>
  <si>
    <t>PRMT1</t>
  </si>
  <si>
    <t>TTC9C</t>
  </si>
  <si>
    <t>BTF3L4</t>
  </si>
  <si>
    <t>HYOU1</t>
  </si>
  <si>
    <t>PDE4DIP</t>
  </si>
  <si>
    <t>NEDD8-MDP1</t>
  </si>
  <si>
    <t>NPEPPS</t>
  </si>
  <si>
    <t>RPL27A</t>
  </si>
  <si>
    <t>RNF141</t>
  </si>
  <si>
    <t>MACF1</t>
  </si>
  <si>
    <t>USP47</t>
  </si>
  <si>
    <t>C11orf58</t>
  </si>
  <si>
    <t>ME3</t>
  </si>
  <si>
    <t>USF1</t>
  </si>
  <si>
    <t>BIRC2</t>
  </si>
  <si>
    <t>CLNS1A</t>
  </si>
  <si>
    <t>FAM118B</t>
  </si>
  <si>
    <t>AHI1</t>
  </si>
  <si>
    <t>HSF1</t>
  </si>
  <si>
    <t>KCTD21</t>
  </si>
  <si>
    <t>LMO7</t>
  </si>
  <si>
    <t>ZNF595</t>
  </si>
  <si>
    <t>CSRP1</t>
  </si>
  <si>
    <t>STIM1</t>
  </si>
  <si>
    <t>CD59</t>
  </si>
  <si>
    <t>ZFPL1</t>
  </si>
  <si>
    <t>FAU</t>
  </si>
  <si>
    <t>CTSB</t>
  </si>
  <si>
    <t>MAF1</t>
  </si>
  <si>
    <t>RPS6KA1</t>
  </si>
  <si>
    <t>STIL</t>
  </si>
  <si>
    <t>FGGY</t>
  </si>
  <si>
    <t>XPO4</t>
  </si>
  <si>
    <t>C1RL</t>
  </si>
  <si>
    <t>CCDC53</t>
  </si>
  <si>
    <t>PIK3C2B</t>
  </si>
  <si>
    <t>JUP</t>
  </si>
  <si>
    <t>WNK1</t>
  </si>
  <si>
    <t>SMAD5</t>
  </si>
  <si>
    <t>FAM76B</t>
  </si>
  <si>
    <t>FRYL</t>
  </si>
  <si>
    <t>SUCLA2</t>
  </si>
  <si>
    <t>ATE1</t>
  </si>
  <si>
    <t>LTBR</t>
  </si>
  <si>
    <t>ITIH4</t>
  </si>
  <si>
    <t>C4B</t>
  </si>
  <si>
    <t>SASS6</t>
  </si>
  <si>
    <t>SPARC</t>
  </si>
  <si>
    <t>CEP112</t>
  </si>
  <si>
    <t>TK2</t>
  </si>
  <si>
    <t>PXN</t>
  </si>
  <si>
    <t>DTL</t>
  </si>
  <si>
    <t>APLP2</t>
  </si>
  <si>
    <t>TRIM21</t>
  </si>
  <si>
    <t>TPD52</t>
  </si>
  <si>
    <t>PAAF1</t>
  </si>
  <si>
    <t>ANAPC5</t>
  </si>
  <si>
    <t>TDG</t>
  </si>
  <si>
    <t>KSR1</t>
  </si>
  <si>
    <t>SEC23IP</t>
  </si>
  <si>
    <t>CLASRP</t>
  </si>
  <si>
    <t>ZNF384</t>
  </si>
  <si>
    <t>RRN3</t>
  </si>
  <si>
    <t>MSRB3</t>
  </si>
  <si>
    <t>POLE</t>
  </si>
  <si>
    <t>TXNRD2</t>
  </si>
  <si>
    <t>P2RX4</t>
  </si>
  <si>
    <t>KIAA1211</t>
  </si>
  <si>
    <t>FLJ22184</t>
  </si>
  <si>
    <t>C12orf43</t>
  </si>
  <si>
    <t>ANKLE2</t>
  </si>
  <si>
    <t>KIAA1715</t>
  </si>
  <si>
    <t>PRPF4B</t>
  </si>
  <si>
    <t>HMGA2</t>
  </si>
  <si>
    <t>TJP3</t>
  </si>
  <si>
    <t>XAB2</t>
  </si>
  <si>
    <t>SEC23A</t>
  </si>
  <si>
    <t>PRAME</t>
  </si>
  <si>
    <t>KPNA6</t>
  </si>
  <si>
    <t>RNF115</t>
  </si>
  <si>
    <t>PEX14</t>
  </si>
  <si>
    <t>GRIP1</t>
  </si>
  <si>
    <t>VPS37C</t>
  </si>
  <si>
    <t>PDCD2</t>
  </si>
  <si>
    <t>CASC1</t>
  </si>
  <si>
    <t>IFNGR1</t>
  </si>
  <si>
    <t>CLEC4E</t>
  </si>
  <si>
    <t>CLASP2</t>
  </si>
  <si>
    <t>ATF2</t>
  </si>
  <si>
    <t>IFT88</t>
  </si>
  <si>
    <t>ATL3</t>
  </si>
  <si>
    <t>KDM6A</t>
  </si>
  <si>
    <t>MRPL48</t>
  </si>
  <si>
    <t>WBP11</t>
  </si>
  <si>
    <t>OGDH</t>
  </si>
  <si>
    <t>INPP4A</t>
  </si>
  <si>
    <t>TRAP1</t>
  </si>
  <si>
    <t>WDR20</t>
  </si>
  <si>
    <t>MVK</t>
  </si>
  <si>
    <t>POGZ</t>
  </si>
  <si>
    <t>SMARCA1</t>
  </si>
  <si>
    <t>PPP3R1</t>
  </si>
  <si>
    <t>HYI</t>
  </si>
  <si>
    <t>RPS6KB1</t>
  </si>
  <si>
    <t>TPD52L1</t>
  </si>
  <si>
    <t>NME2</t>
  </si>
  <si>
    <t>CAD</t>
  </si>
  <si>
    <t>METAP2</t>
  </si>
  <si>
    <t>PCBP2</t>
  </si>
  <si>
    <t>NEK3</t>
  </si>
  <si>
    <t>E2F7</t>
  </si>
  <si>
    <t>NFYB</t>
  </si>
  <si>
    <t>NAP1L1</t>
  </si>
  <si>
    <t>TENC1</t>
  </si>
  <si>
    <t>MON2</t>
  </si>
  <si>
    <t>FGD4</t>
  </si>
  <si>
    <t>SCAF11</t>
  </si>
  <si>
    <t>OAS1</t>
  </si>
  <si>
    <t>DNAJC14</t>
  </si>
  <si>
    <t>NACA</t>
  </si>
  <si>
    <t>C17orf49</t>
  </si>
  <si>
    <t>RPL6</t>
  </si>
  <si>
    <t>RBMS2</t>
  </si>
  <si>
    <t>CBFA2T2</t>
  </si>
  <si>
    <t>HNRNPA1</t>
  </si>
  <si>
    <t>RASA3</t>
  </si>
  <si>
    <t>EML1</t>
  </si>
  <si>
    <t>UBAP2L</t>
  </si>
  <si>
    <t>VEZT</t>
  </si>
  <si>
    <t>RAB24</t>
  </si>
  <si>
    <t>TIA1</t>
  </si>
  <si>
    <t>AP1S3</t>
  </si>
  <si>
    <t>PPP1R12B</t>
  </si>
  <si>
    <t>ABLIM1</t>
  </si>
  <si>
    <t>WNK2</t>
  </si>
  <si>
    <t>PHF20L1</t>
  </si>
  <si>
    <t>LENG8</t>
  </si>
  <si>
    <t>CCDC93</t>
  </si>
  <si>
    <t>STAG2</t>
  </si>
  <si>
    <t>NDUFA5</t>
  </si>
  <si>
    <t>CTTNBP2</t>
  </si>
  <si>
    <t>MRPL40</t>
  </si>
  <si>
    <t>CBWD2</t>
  </si>
  <si>
    <t>SEC62</t>
  </si>
  <si>
    <t>CPSF6</t>
  </si>
  <si>
    <t>MTERFD1</t>
  </si>
  <si>
    <t>PARP2</t>
  </si>
  <si>
    <t>TJP1</t>
  </si>
  <si>
    <t>GAS2L3</t>
  </si>
  <si>
    <t>LOH12CR1</t>
  </si>
  <si>
    <t>ZEB1</t>
  </si>
  <si>
    <t>ISYNA1</t>
  </si>
  <si>
    <t>MYL6</t>
  </si>
  <si>
    <t>SERPINA3</t>
  </si>
  <si>
    <t>SNW1</t>
  </si>
  <si>
    <t>DCAF8</t>
  </si>
  <si>
    <t>NFKBIA</t>
  </si>
  <si>
    <t>ATXN3</t>
  </si>
  <si>
    <t>SIVA1</t>
  </si>
  <si>
    <t>DCAF5</t>
  </si>
  <si>
    <t>HNRNPC</t>
  </si>
  <si>
    <t>DDX24</t>
  </si>
  <si>
    <t>RPGRIP1</t>
  </si>
  <si>
    <t>FAM177A1</t>
  </si>
  <si>
    <t>CTAGE5</t>
  </si>
  <si>
    <t>FOS</t>
  </si>
  <si>
    <t>GSTZ1</t>
  </si>
  <si>
    <t>ARID1B</t>
  </si>
  <si>
    <t>BCAS1</t>
  </si>
  <si>
    <t>SEPT5</t>
  </si>
  <si>
    <t>FAM133B</t>
  </si>
  <si>
    <t>SLC12A2</t>
  </si>
  <si>
    <t>CFI</t>
  </si>
  <si>
    <t>TRAM1</t>
  </si>
  <si>
    <t>MAP4K4</t>
  </si>
  <si>
    <t>ATG4A</t>
  </si>
  <si>
    <t>USP11</t>
  </si>
  <si>
    <t>DMWD</t>
  </si>
  <si>
    <t>TFPT</t>
  </si>
  <si>
    <t>SOS1</t>
  </si>
  <si>
    <t>MAPRE2</t>
  </si>
  <si>
    <t>DCLK2</t>
  </si>
  <si>
    <t>RPL37A</t>
  </si>
  <si>
    <t>C4orf21</t>
  </si>
  <si>
    <t>WIPI1</t>
  </si>
  <si>
    <t>TMOD2</t>
  </si>
  <si>
    <t>PDIA3</t>
  </si>
  <si>
    <t>MAU2</t>
  </si>
  <si>
    <t>TGFBI</t>
  </si>
  <si>
    <t>PUS1</t>
  </si>
  <si>
    <t>WDR45</t>
  </si>
  <si>
    <t>PACS2</t>
  </si>
  <si>
    <t>C14orf159</t>
  </si>
  <si>
    <t>MPRIP</t>
  </si>
  <si>
    <t>EIF4G2</t>
  </si>
  <si>
    <t>PRRC2B</t>
  </si>
  <si>
    <t>NCOR1</t>
  </si>
  <si>
    <t>EDEM3</t>
  </si>
  <si>
    <t>IMPDH2</t>
  </si>
  <si>
    <t>LARP4B</t>
  </si>
  <si>
    <t>TRRAP</t>
  </si>
  <si>
    <t>SH3PXD2A</t>
  </si>
  <si>
    <t>EPB41L2</t>
  </si>
  <si>
    <t>PBRM1</t>
  </si>
  <si>
    <t>UFM1</t>
  </si>
  <si>
    <t>ARFGAP3</t>
  </si>
  <si>
    <t>PYCRL</t>
  </si>
  <si>
    <t>EFCAB2</t>
  </si>
  <si>
    <t>MAPKAP1</t>
  </si>
  <si>
    <t>PPIP5K2</t>
  </si>
  <si>
    <t>UBE2B</t>
  </si>
  <si>
    <t>PCBD2</t>
  </si>
  <si>
    <t>STOX2</t>
  </si>
  <si>
    <t>MAN2B2</t>
  </si>
  <si>
    <t>RNF4</t>
  </si>
  <si>
    <t>ARHGEF10</t>
  </si>
  <si>
    <t>GSR</t>
  </si>
  <si>
    <t>LETM2</t>
  </si>
  <si>
    <t>MRPL49</t>
  </si>
  <si>
    <t>CRTC2</t>
  </si>
  <si>
    <t>SIGIRR</t>
  </si>
  <si>
    <t>PPP5C</t>
  </si>
  <si>
    <t>ASAP3</t>
  </si>
  <si>
    <t>SSSCA1</t>
  </si>
  <si>
    <t>RNASEH2C</t>
  </si>
  <si>
    <t>KAT5</t>
  </si>
  <si>
    <t>SMPD1</t>
  </si>
  <si>
    <t>LAMTOR1</t>
  </si>
  <si>
    <t>NUDT22</t>
  </si>
  <si>
    <t>REXO2</t>
  </si>
  <si>
    <t>LRP6</t>
  </si>
  <si>
    <t>BRMS1L</t>
  </si>
  <si>
    <t>KANSL2</t>
  </si>
  <si>
    <t>DHRS2</t>
  </si>
  <si>
    <t>FANCM</t>
  </si>
  <si>
    <t>ANXA2</t>
  </si>
  <si>
    <t>POU2F1</t>
  </si>
  <si>
    <t>HMBOX1</t>
  </si>
  <si>
    <t>RFX7</t>
  </si>
  <si>
    <t>T</t>
  </si>
  <si>
    <t>GMPR2</t>
  </si>
  <si>
    <t>MORF4L1</t>
  </si>
  <si>
    <t>ISG20</t>
  </si>
  <si>
    <t>SPPL2A</t>
  </si>
  <si>
    <t>UACA</t>
  </si>
  <si>
    <t>BLM</t>
  </si>
  <si>
    <t>GCHFR</t>
  </si>
  <si>
    <t>AKR7A2</t>
  </si>
  <si>
    <t>GLG1</t>
  </si>
  <si>
    <t>NOL3</t>
  </si>
  <si>
    <t>AKTIP</t>
  </si>
  <si>
    <t>C15orf39</t>
  </si>
  <si>
    <t>SEZ6L2</t>
  </si>
  <si>
    <t>COX4I1</t>
  </si>
  <si>
    <t>KIAA0513</t>
  </si>
  <si>
    <t>FAM219B</t>
  </si>
  <si>
    <t>LYRM1</t>
  </si>
  <si>
    <t>INO80E</t>
  </si>
  <si>
    <t>MPI</t>
  </si>
  <si>
    <t>RNPS1</t>
  </si>
  <si>
    <t>ALDOA</t>
  </si>
  <si>
    <t>ZNF598</t>
  </si>
  <si>
    <t>COG8</t>
  </si>
  <si>
    <t>hCG_2044799</t>
  </si>
  <si>
    <t>ZNRF1</t>
  </si>
  <si>
    <t>ZFYVE19</t>
  </si>
  <si>
    <t>UQCRC2</t>
  </si>
  <si>
    <t>UBFD1</t>
  </si>
  <si>
    <t>NFATC3</t>
  </si>
  <si>
    <t>EIF3C</t>
  </si>
  <si>
    <t>TEX9</t>
  </si>
  <si>
    <t>RAB11A</t>
  </si>
  <si>
    <t>E4F1</t>
  </si>
  <si>
    <t>BLOC1S6</t>
  </si>
  <si>
    <t>LRRC57</t>
  </si>
  <si>
    <t>EARS2</t>
  </si>
  <si>
    <t>MAP1LC3B</t>
  </si>
  <si>
    <t>ARL2BP</t>
  </si>
  <si>
    <t>ATXN2L</t>
  </si>
  <si>
    <t>LGALS8</t>
  </si>
  <si>
    <t>NPRL3</t>
  </si>
  <si>
    <t>PPP6R3</t>
  </si>
  <si>
    <t>ESYT2</t>
  </si>
  <si>
    <t>TPM1</t>
  </si>
  <si>
    <t>BCOR</t>
  </si>
  <si>
    <t>MKI67IP</t>
  </si>
  <si>
    <t>BNIP2</t>
  </si>
  <si>
    <t>YIPF4</t>
  </si>
  <si>
    <t>NHEJ1</t>
  </si>
  <si>
    <t>CHD3</t>
  </si>
  <si>
    <t>DUSP22</t>
  </si>
  <si>
    <t>IQSEC1</t>
  </si>
  <si>
    <t>INO80B</t>
  </si>
  <si>
    <t>MZT2B</t>
  </si>
  <si>
    <t>RALGAPA2</t>
  </si>
  <si>
    <t>COBL</t>
  </si>
  <si>
    <t>CC2D1B</t>
  </si>
  <si>
    <t>MFSD6</t>
  </si>
  <si>
    <t>ART4</t>
  </si>
  <si>
    <t>EPB41L1</t>
  </si>
  <si>
    <t>GCA</t>
  </si>
  <si>
    <t>SDCCAG3</t>
  </si>
  <si>
    <t>SNAP47</t>
  </si>
  <si>
    <t>GNS</t>
  </si>
  <si>
    <t>MDFIC</t>
  </si>
  <si>
    <t>ZMYND8</t>
  </si>
  <si>
    <t>STIM2</t>
  </si>
  <si>
    <t>IAH1</t>
  </si>
  <si>
    <t>GCOM1</t>
  </si>
  <si>
    <t>PWWP2B</t>
  </si>
  <si>
    <t>CEACAM5</t>
  </si>
  <si>
    <t>GABPB1</t>
  </si>
  <si>
    <t>MYO15B</t>
  </si>
  <si>
    <t>ENDOV</t>
  </si>
  <si>
    <t>NSF</t>
  </si>
  <si>
    <t>SAT2</t>
  </si>
  <si>
    <t>CLUAP1</t>
  </si>
  <si>
    <t>DPH1</t>
  </si>
  <si>
    <t>ELP5</t>
  </si>
  <si>
    <t>B3GNTL1</t>
  </si>
  <si>
    <t>CLUH</t>
  </si>
  <si>
    <t>GEMIN4</t>
  </si>
  <si>
    <t>CIC</t>
  </si>
  <si>
    <t>DVL2</t>
  </si>
  <si>
    <t>MAZ</t>
  </si>
  <si>
    <t>TFAP4</t>
  </si>
  <si>
    <t>RPS15A</t>
  </si>
  <si>
    <t>MYL4</t>
  </si>
  <si>
    <t>SPAG7</t>
  </si>
  <si>
    <t>FAM195B</t>
  </si>
  <si>
    <t>NFKBIB</t>
  </si>
  <si>
    <t>GPS2</t>
  </si>
  <si>
    <t>FABP5</t>
  </si>
  <si>
    <t>DNAJC24</t>
  </si>
  <si>
    <t>SMARCD2</t>
  </si>
  <si>
    <t>NPC2</t>
  </si>
  <si>
    <t>INTS2</t>
  </si>
  <si>
    <t>RCOR1</t>
  </si>
  <si>
    <t>CNTLN</t>
  </si>
  <si>
    <t>VGLL4</t>
  </si>
  <si>
    <t>TBC1D8B</t>
  </si>
  <si>
    <t>MAP3K4</t>
  </si>
  <si>
    <t>SAAL1</t>
  </si>
  <si>
    <t>CCS</t>
  </si>
  <si>
    <t>SENP3</t>
  </si>
  <si>
    <t>AP4S1</t>
  </si>
  <si>
    <t>SEC16A</t>
  </si>
  <si>
    <t>ZFYVE1</t>
  </si>
  <si>
    <t>BRAP</t>
  </si>
  <si>
    <t>ALDH6A1</t>
  </si>
  <si>
    <t>FBRS</t>
  </si>
  <si>
    <t>SRSF2</t>
  </si>
  <si>
    <t>PHACTR2</t>
  </si>
  <si>
    <t>FAM83H</t>
  </si>
  <si>
    <t>MYD88</t>
  </si>
  <si>
    <t>MPST</t>
  </si>
  <si>
    <t>COPS7B</t>
  </si>
  <si>
    <t>FBXO6</t>
  </si>
  <si>
    <t>PPP1R37</t>
  </si>
  <si>
    <t>GBA</t>
  </si>
  <si>
    <t>BABAM1</t>
  </si>
  <si>
    <t>KCTD1</t>
  </si>
  <si>
    <t>PER1</t>
  </si>
  <si>
    <t>SS18</t>
  </si>
  <si>
    <t>CYLD</t>
  </si>
  <si>
    <t>CBX1</t>
  </si>
  <si>
    <t>AURKB</t>
  </si>
  <si>
    <t>CDC6</t>
  </si>
  <si>
    <t>ZNF286B</t>
  </si>
  <si>
    <t>SCO1</t>
  </si>
  <si>
    <t>SAP30BP</t>
  </si>
  <si>
    <t>TRAPPC8</t>
  </si>
  <si>
    <t>LIMD2</t>
  </si>
  <si>
    <t>RPL17</t>
  </si>
  <si>
    <t>FDXR</t>
  </si>
  <si>
    <t>MSL1</t>
  </si>
  <si>
    <t>RPL19</t>
  </si>
  <si>
    <t>ALDH3A2</t>
  </si>
  <si>
    <t>hCG_1996301</t>
  </si>
  <si>
    <t>ZSWIM7</t>
  </si>
  <si>
    <t>MIF4GD</t>
  </si>
  <si>
    <t>ZNF207</t>
  </si>
  <si>
    <t>ERAL1</t>
  </si>
  <si>
    <t>CRBN</t>
  </si>
  <si>
    <t>C17orf75</t>
  </si>
  <si>
    <t>RWDD4</t>
  </si>
  <si>
    <t>CUL4B</t>
  </si>
  <si>
    <t>MBD3</t>
  </si>
  <si>
    <t>WBP2</t>
  </si>
  <si>
    <t>NUDT16L1</t>
  </si>
  <si>
    <t>WDR18</t>
  </si>
  <si>
    <t>SMAD4</t>
  </si>
  <si>
    <t>RPS15</t>
  </si>
  <si>
    <t>SPC24</t>
  </si>
  <si>
    <t>H3F3B</t>
  </si>
  <si>
    <t>STAT5A</t>
  </si>
  <si>
    <t>LONP1</t>
  </si>
  <si>
    <t>PPL</t>
  </si>
  <si>
    <t>STX10</t>
  </si>
  <si>
    <t>KATNAL2</t>
  </si>
  <si>
    <t>KRT19</t>
  </si>
  <si>
    <t>ZNF444</t>
  </si>
  <si>
    <t>ELOF1</t>
  </si>
  <si>
    <t>MBD1</t>
  </si>
  <si>
    <t>hCG_2039718</t>
  </si>
  <si>
    <t>C18orf8</t>
  </si>
  <si>
    <t>GGNBP2</t>
  </si>
  <si>
    <t>UBXN6</t>
  </si>
  <si>
    <t>C19orf12</t>
  </si>
  <si>
    <t>SAFB2</t>
  </si>
  <si>
    <t>TPM4</t>
  </si>
  <si>
    <t>EIF3K</t>
  </si>
  <si>
    <t>APOC1</t>
  </si>
  <si>
    <t>UBE2O</t>
  </si>
  <si>
    <t>FSTL3</t>
  </si>
  <si>
    <t>RAD23A</t>
  </si>
  <si>
    <t>DNM2</t>
  </si>
  <si>
    <t>ZCCHC2</t>
  </si>
  <si>
    <t>SARS2</t>
  </si>
  <si>
    <t>PAF1</t>
  </si>
  <si>
    <t>ZNF428</t>
  </si>
  <si>
    <t>GMFG</t>
  </si>
  <si>
    <t>TUBB4A</t>
  </si>
  <si>
    <t>SIRT6</t>
  </si>
  <si>
    <t>SAMD4B</t>
  </si>
  <si>
    <t>HNRNPM</t>
  </si>
  <si>
    <t>ARHGEF1</t>
  </si>
  <si>
    <t>KXD1</t>
  </si>
  <si>
    <t>RPS5</t>
  </si>
  <si>
    <t>MYO9B</t>
  </si>
  <si>
    <t>RAB4B</t>
  </si>
  <si>
    <t>LRRC4B</t>
  </si>
  <si>
    <t>SHKBP1</t>
  </si>
  <si>
    <t>RABAC1</t>
  </si>
  <si>
    <t>KIF2A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</si>
  <si>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</si>
  <si>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</si>
  <si>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</si>
  <si>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</si>
  <si>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</si>
  <si>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</si>
  <si>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</si>
  <si>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</si>
  <si>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STXBP3</t>
  </si>
  <si>
    <t>RAB27B</t>
  </si>
  <si>
    <t>AP3B1</t>
  </si>
  <si>
    <t>SULT2B1</t>
  </si>
  <si>
    <t>APBB1</t>
  </si>
  <si>
    <t>TNFRSF10A</t>
  </si>
  <si>
    <t>NFKBIE</t>
  </si>
  <si>
    <t>PSMD11</t>
  </si>
  <si>
    <t>PSMD12</t>
  </si>
  <si>
    <t>PSMD9</t>
  </si>
  <si>
    <t>ATOX1</t>
  </si>
  <si>
    <t>SUPT5H</t>
  </si>
  <si>
    <t>TAF4</t>
  </si>
  <si>
    <t>DFFA</t>
  </si>
  <si>
    <t>HIP1</t>
  </si>
  <si>
    <t>CLIC1</t>
  </si>
  <si>
    <t>EIF3F</t>
  </si>
  <si>
    <t>WWP2</t>
  </si>
  <si>
    <t>PIK3CD</t>
  </si>
  <si>
    <t>DCTN6</t>
  </si>
  <si>
    <t>WASL</t>
  </si>
  <si>
    <t>IPO5</t>
  </si>
  <si>
    <t>POLRMT</t>
  </si>
  <si>
    <t>EEF2K</t>
  </si>
  <si>
    <t>IGF2BP3</t>
  </si>
  <si>
    <t>DNM1L</t>
  </si>
  <si>
    <t>RTCA</t>
  </si>
  <si>
    <t>PIK3C2A</t>
  </si>
  <si>
    <t>PIK3R2</t>
  </si>
  <si>
    <t>MANBA</t>
  </si>
  <si>
    <t>AGRN</t>
  </si>
  <si>
    <t>EXOC5</t>
  </si>
  <si>
    <t>ELL2</t>
  </si>
  <si>
    <t>HMGN4</t>
  </si>
  <si>
    <t>PSMD14</t>
  </si>
  <si>
    <t>ZNF593</t>
  </si>
  <si>
    <t>BIN1</t>
  </si>
  <si>
    <t>KPNA3</t>
  </si>
  <si>
    <t>STK25</t>
  </si>
  <si>
    <t>BCL9</t>
  </si>
  <si>
    <t>SDCBP</t>
  </si>
  <si>
    <t>PITPNM1</t>
  </si>
  <si>
    <t>MPHOSPH10</t>
  </si>
  <si>
    <t>NOP56</t>
  </si>
  <si>
    <t>DDX3X</t>
  </si>
  <si>
    <t>PODXL</t>
  </si>
  <si>
    <t>PIR</t>
  </si>
  <si>
    <t>KPNA4</t>
  </si>
  <si>
    <t>TRIM38</t>
  </si>
  <si>
    <t>NFIB</t>
  </si>
  <si>
    <t>PPP6C</t>
  </si>
  <si>
    <t>NME4</t>
  </si>
  <si>
    <t>MAN2B1</t>
  </si>
  <si>
    <t>PDXK</t>
  </si>
  <si>
    <t>ARID1A</t>
  </si>
  <si>
    <t>NCKAP5</t>
  </si>
  <si>
    <t>CDK2AP1</t>
  </si>
  <si>
    <t>TXNDC9</t>
  </si>
  <si>
    <t>DPYSL4</t>
  </si>
  <si>
    <t>SOCS6</t>
  </si>
  <si>
    <t>TRAFD1</t>
  </si>
  <si>
    <t>NDUFAB1</t>
  </si>
  <si>
    <t>CIT</t>
  </si>
  <si>
    <t>COPE</t>
  </si>
  <si>
    <t>EIF1AY</t>
  </si>
  <si>
    <t>AP3D1</t>
  </si>
  <si>
    <t>DVL1</t>
  </si>
  <si>
    <t>CHD1</t>
  </si>
  <si>
    <t>GOSR2</t>
  </si>
  <si>
    <t>TOR1A</t>
  </si>
  <si>
    <t>TOR1B</t>
  </si>
  <si>
    <t>ADAM10</t>
  </si>
  <si>
    <t>MLL2</t>
  </si>
  <si>
    <t>ITGB1BP1</t>
  </si>
  <si>
    <t>IMPA2</t>
  </si>
  <si>
    <t>MAP2K7</t>
  </si>
  <si>
    <t>PDCD5</t>
  </si>
  <si>
    <t>PRMT5</t>
  </si>
  <si>
    <t>SLC9A3R1</t>
  </si>
  <si>
    <t>CHEK1</t>
  </si>
  <si>
    <t>TNFRSF10B</t>
  </si>
  <si>
    <t>FPGT</t>
  </si>
  <si>
    <t>TCERG1</t>
  </si>
  <si>
    <t>NDC80</t>
  </si>
  <si>
    <t>KIF3C</t>
  </si>
  <si>
    <t>TNPO2</t>
  </si>
  <si>
    <t>UNC13B</t>
  </si>
  <si>
    <t>POLR3A</t>
  </si>
  <si>
    <t>PSMA7</t>
  </si>
  <si>
    <t>SCAMP3</t>
  </si>
  <si>
    <t>OPLAH</t>
  </si>
  <si>
    <t>BACH1</t>
  </si>
  <si>
    <t>GEMIN2</t>
  </si>
  <si>
    <t>TAX1BP3</t>
  </si>
  <si>
    <t>GIPC1</t>
  </si>
  <si>
    <t>IKBKB</t>
  </si>
  <si>
    <t>RGS12</t>
  </si>
  <si>
    <t>HAT1</t>
  </si>
  <si>
    <t>UBE2L6</t>
  </si>
  <si>
    <t>CASK</t>
  </si>
  <si>
    <t>HGS</t>
  </si>
  <si>
    <t>AURKA</t>
  </si>
  <si>
    <t>DSCR3</t>
  </si>
  <si>
    <t>PPP1R12A</t>
  </si>
  <si>
    <t>GAK</t>
  </si>
  <si>
    <t>HNRPDL</t>
  </si>
  <si>
    <t>XPO1</t>
  </si>
  <si>
    <t>BTAF1</t>
  </si>
  <si>
    <t>ZNF609</t>
  </si>
  <si>
    <t>SPTBN2</t>
  </si>
  <si>
    <t>MAST4</t>
  </si>
  <si>
    <t>PLXNB2</t>
  </si>
  <si>
    <t>KHNYN</t>
  </si>
  <si>
    <t>TECPR2</t>
  </si>
  <si>
    <t>SETD1A</t>
  </si>
  <si>
    <t>KDM6B</t>
  </si>
  <si>
    <t>SYNJ2</t>
  </si>
  <si>
    <t>SYNM</t>
  </si>
  <si>
    <t>KIF3B</t>
  </si>
  <si>
    <t>PFAS</t>
  </si>
  <si>
    <t>ANKRD28</t>
  </si>
  <si>
    <t>ARHGEF11</t>
  </si>
  <si>
    <t>CHUK</t>
  </si>
  <si>
    <t>LSM1</t>
  </si>
  <si>
    <t>NPC1</t>
  </si>
  <si>
    <t>TBX3</t>
  </si>
  <si>
    <t>ARPC1B</t>
  </si>
  <si>
    <t>ARPC2</t>
  </si>
  <si>
    <t>ARPC3</t>
  </si>
  <si>
    <t>POLR1C</t>
  </si>
  <si>
    <t>TRIM24</t>
  </si>
  <si>
    <t>AXIN1</t>
  </si>
  <si>
    <t>PGRMC2</t>
  </si>
  <si>
    <t>PFDN6</t>
  </si>
  <si>
    <t>NKRF</t>
  </si>
  <si>
    <t>LAMA5</t>
  </si>
  <si>
    <t>ZNF185</t>
  </si>
  <si>
    <t>CASC3</t>
  </si>
  <si>
    <t>FANCG</t>
  </si>
  <si>
    <t>OGT</t>
  </si>
  <si>
    <t>PMM2</t>
  </si>
  <si>
    <t>INPP4B</t>
  </si>
  <si>
    <t>MID1</t>
  </si>
  <si>
    <t>PPM1G</t>
  </si>
  <si>
    <t>INPPL1</t>
  </si>
  <si>
    <t>SOX12</t>
  </si>
  <si>
    <t>EIF3H</t>
  </si>
  <si>
    <t>HDAC3</t>
  </si>
  <si>
    <t>NVL</t>
  </si>
  <si>
    <t>BCAT2</t>
  </si>
  <si>
    <t>IPO8</t>
  </si>
  <si>
    <t>STX7</t>
  </si>
  <si>
    <t>SLC16A3</t>
  </si>
  <si>
    <t>CD3EAP</t>
  </si>
  <si>
    <t>P4HA2</t>
  </si>
  <si>
    <t>YKT6</t>
  </si>
  <si>
    <t>ARPC5</t>
  </si>
  <si>
    <t>POLR2D</t>
  </si>
  <si>
    <t>CFLAR</t>
  </si>
  <si>
    <t>RNF113A</t>
  </si>
  <si>
    <t>DHX15</t>
  </si>
  <si>
    <t>RNMT</t>
  </si>
  <si>
    <t>ZZEF1</t>
  </si>
  <si>
    <t>ASAP2</t>
  </si>
  <si>
    <t>TTI1</t>
  </si>
  <si>
    <t>RRP8</t>
  </si>
  <si>
    <t>PJA2</t>
  </si>
  <si>
    <t>PRPF4</t>
  </si>
  <si>
    <t>PHGDH</t>
  </si>
  <si>
    <t>DYNC1LI2</t>
  </si>
  <si>
    <t>PSMD3</t>
  </si>
  <si>
    <t>RBFOX2</t>
  </si>
  <si>
    <t>PAPSS1</t>
  </si>
  <si>
    <t>ZW10</t>
  </si>
  <si>
    <t>SART1</t>
  </si>
  <si>
    <t>SPINT2</t>
  </si>
  <si>
    <t>DAPK3</t>
  </si>
  <si>
    <t>TGFB1I1</t>
  </si>
  <si>
    <t>HSPA12A</t>
  </si>
  <si>
    <t>CCP110</t>
  </si>
  <si>
    <t>CTIF</t>
  </si>
  <si>
    <t>MAP3K7</t>
  </si>
  <si>
    <t>EEF1E1</t>
  </si>
  <si>
    <t>RIPK2</t>
  </si>
  <si>
    <t>WDR62</t>
  </si>
  <si>
    <t>HNRNPR</t>
  </si>
  <si>
    <t>PRPF3</t>
  </si>
  <si>
    <t>TXNL1</t>
  </si>
  <si>
    <t>TPD52L2</t>
  </si>
  <si>
    <t>ERI3</t>
  </si>
  <si>
    <t>FIBP</t>
  </si>
  <si>
    <t>PPIH</t>
  </si>
  <si>
    <t>HTRA2</t>
  </si>
  <si>
    <t>OIP5</t>
  </si>
  <si>
    <t>TGOLN2</t>
  </si>
  <si>
    <t>RAD51C</t>
  </si>
  <si>
    <t>MED7</t>
  </si>
  <si>
    <t>WIPF1</t>
  </si>
  <si>
    <t>XRCC3</t>
  </si>
  <si>
    <t>XRCC2</t>
  </si>
  <si>
    <t>AKAP10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</si>
  <si>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</si>
  <si>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</si>
  <si>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</si>
  <si>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</si>
  <si>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</si>
  <si>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</si>
  <si>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</si>
  <si>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</si>
  <si>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PLRG1</t>
  </si>
  <si>
    <t>PRC1</t>
  </si>
  <si>
    <t>RGS10</t>
  </si>
  <si>
    <t>NDUFA2</t>
  </si>
  <si>
    <t>ASNA1</t>
  </si>
  <si>
    <t>BUB3</t>
  </si>
  <si>
    <t>ACTN4</t>
  </si>
  <si>
    <t>WBSCR22</t>
  </si>
  <si>
    <t>TRIAP1</t>
  </si>
  <si>
    <t>GATC</t>
  </si>
  <si>
    <t>HTATSF1</t>
  </si>
  <si>
    <t>CYTH3</t>
  </si>
  <si>
    <t>AP1G1</t>
  </si>
  <si>
    <t>STX6</t>
  </si>
  <si>
    <t>SGTA</t>
  </si>
  <si>
    <t>LIAS</t>
  </si>
  <si>
    <t>ENSA</t>
  </si>
  <si>
    <t>NARS</t>
  </si>
  <si>
    <t>MYO1B</t>
  </si>
  <si>
    <t>SSNA1</t>
  </si>
  <si>
    <t>NUDT21</t>
  </si>
  <si>
    <t>LANCL1</t>
  </si>
  <si>
    <t>STRN</t>
  </si>
  <si>
    <t>RRP9</t>
  </si>
  <si>
    <t>HYAL3</t>
  </si>
  <si>
    <t>AKAP8</t>
  </si>
  <si>
    <t>IDH3B</t>
  </si>
  <si>
    <t>NRD1</t>
  </si>
  <si>
    <t>CALU</t>
  </si>
  <si>
    <t>AHCYL1</t>
  </si>
  <si>
    <t>KIF1C</t>
  </si>
  <si>
    <t>ORC5</t>
  </si>
  <si>
    <t>PDE6D</t>
  </si>
  <si>
    <t>ORC4</t>
  </si>
  <si>
    <t>RAD21</t>
  </si>
  <si>
    <t>AKR1B10</t>
  </si>
  <si>
    <t>TIMM8A</t>
  </si>
  <si>
    <t>DHX16</t>
  </si>
  <si>
    <t>SH3BP5</t>
  </si>
  <si>
    <t>PRPSAP2</t>
  </si>
  <si>
    <t>SMARCA5</t>
  </si>
  <si>
    <t>GPRIN2</t>
  </si>
  <si>
    <t>SPAG9</t>
  </si>
  <si>
    <t>ZNF292</t>
  </si>
  <si>
    <t>SIPA1L3</t>
  </si>
  <si>
    <t>LCMT2</t>
  </si>
  <si>
    <t>KIAA0556</t>
  </si>
  <si>
    <t>AQR</t>
  </si>
  <si>
    <t>MCM3AP</t>
  </si>
  <si>
    <t>PIP5K1C</t>
  </si>
  <si>
    <t>KIF1B</t>
  </si>
  <si>
    <t>KDM1A</t>
  </si>
  <si>
    <t>TBC1D4</t>
  </si>
  <si>
    <t>ECE2</t>
  </si>
  <si>
    <t>TBC1D12</t>
  </si>
  <si>
    <t>FZD6</t>
  </si>
  <si>
    <t>DFNA5</t>
  </si>
  <si>
    <t>EVI5</t>
  </si>
  <si>
    <t>NRP2</t>
  </si>
  <si>
    <t>ACSL4</t>
  </si>
  <si>
    <t>SNX3</t>
  </si>
  <si>
    <t>MGEA5</t>
  </si>
  <si>
    <t>SORBS3</t>
  </si>
  <si>
    <t>SYNCRIP</t>
  </si>
  <si>
    <t>RANBP6</t>
  </si>
  <si>
    <t>NEMF</t>
  </si>
  <si>
    <t>GMDS</t>
  </si>
  <si>
    <t>NMT2</t>
  </si>
  <si>
    <t>CCNT1</t>
  </si>
  <si>
    <t>BUB1B</t>
  </si>
  <si>
    <t>PLOD3</t>
  </si>
  <si>
    <t>SEP15</t>
  </si>
  <si>
    <t>EXOC3</t>
  </si>
  <si>
    <t>PLIN3</t>
  </si>
  <si>
    <t>RAD1</t>
  </si>
  <si>
    <t>PRMT3</t>
  </si>
  <si>
    <t>UGDH</t>
  </si>
  <si>
    <t>CTNND1</t>
  </si>
  <si>
    <t>USO1</t>
  </si>
  <si>
    <t>CCDC22</t>
  </si>
  <si>
    <t>PQBP1</t>
  </si>
  <si>
    <t>DKC1</t>
  </si>
  <si>
    <t>EIF5B</t>
  </si>
  <si>
    <t>EDF1</t>
  </si>
  <si>
    <t>DNAJA2</t>
  </si>
  <si>
    <t>BRD4</t>
  </si>
  <si>
    <t>CUTA</t>
  </si>
  <si>
    <t>TBL1X</t>
  </si>
  <si>
    <t>HUS1</t>
  </si>
  <si>
    <t>PFDN1</t>
  </si>
  <si>
    <t>PPP1R11</t>
  </si>
  <si>
    <t>NBN</t>
  </si>
  <si>
    <t>RNGTT</t>
  </si>
  <si>
    <t>MITF</t>
  </si>
  <si>
    <t>SRGAP2</t>
  </si>
  <si>
    <t>DENND4B</t>
  </si>
  <si>
    <t>WDR1</t>
  </si>
  <si>
    <t>N4BP1</t>
  </si>
  <si>
    <t>ROCK2</t>
  </si>
  <si>
    <t>CPNE3</t>
  </si>
  <si>
    <t>ATG13</t>
  </si>
  <si>
    <t>HIP1R</t>
  </si>
  <si>
    <t>RNF40</t>
  </si>
  <si>
    <t>PHF2</t>
  </si>
  <si>
    <t>ZC3H11A</t>
  </si>
  <si>
    <t>RAB11FIP3</t>
  </si>
  <si>
    <t>CAND2</t>
  </si>
  <si>
    <t>TSC22D2</t>
  </si>
  <si>
    <t>KDM4A</t>
  </si>
  <si>
    <t>DNAJC13</t>
  </si>
  <si>
    <t>PPP6R2</t>
  </si>
  <si>
    <t>CNOT3</t>
  </si>
  <si>
    <t>SS18L1</t>
  </si>
  <si>
    <t>ANKRD17</t>
  </si>
  <si>
    <t>DNAJB6</t>
  </si>
  <si>
    <t>XYLB</t>
  </si>
  <si>
    <t>COQ9</t>
  </si>
  <si>
    <t>GGCT</t>
  </si>
  <si>
    <t>ZNF259</t>
  </si>
  <si>
    <t>GBAS</t>
  </si>
  <si>
    <t>HMMR</t>
  </si>
  <si>
    <t>PDCD6</t>
  </si>
  <si>
    <t>TBCA</t>
  </si>
  <si>
    <t>ATP6V1G1</t>
  </si>
  <si>
    <t>VPS4B</t>
  </si>
  <si>
    <t>ZNF217</t>
  </si>
  <si>
    <t>H2AFY</t>
  </si>
  <si>
    <t>SH3BGRL</t>
  </si>
  <si>
    <t>FLNB</t>
  </si>
  <si>
    <t>NDUFS6</t>
  </si>
  <si>
    <t>TRIM3</t>
  </si>
  <si>
    <t>ULK1</t>
  </si>
  <si>
    <t>SEC22B</t>
  </si>
  <si>
    <t>PRPF40A</t>
  </si>
  <si>
    <t>TACC1</t>
  </si>
  <si>
    <t>CDC45</t>
  </si>
  <si>
    <t>GIGYF1</t>
  </si>
  <si>
    <t>VPS26A</t>
  </si>
  <si>
    <t>PMPCB</t>
  </si>
  <si>
    <t>KATNA1</t>
  </si>
  <si>
    <t>PSIP1</t>
  </si>
  <si>
    <t>NDUFS3</t>
  </si>
  <si>
    <t>CLN5</t>
  </si>
  <si>
    <t>HSBP1</t>
  </si>
  <si>
    <t>ECI2</t>
  </si>
  <si>
    <t>EED</t>
  </si>
  <si>
    <t>BANF1</t>
  </si>
  <si>
    <t>SF3B1</t>
  </si>
  <si>
    <t>CSDE1</t>
  </si>
  <si>
    <t>WBP4</t>
  </si>
  <si>
    <t>MTRF1</t>
  </si>
  <si>
    <t>RPS6KA5</t>
  </si>
  <si>
    <t>NPM3</t>
  </si>
  <si>
    <t>LYPLA1</t>
  </si>
  <si>
    <t>CREG1</t>
  </si>
  <si>
    <t>SNRNP200</t>
  </si>
  <si>
    <t>TRMU</t>
  </si>
  <si>
    <t>TIPRL</t>
  </si>
  <si>
    <t>PPM1B</t>
  </si>
  <si>
    <t>RP2</t>
  </si>
  <si>
    <t>WDHD1</t>
  </si>
  <si>
    <t>RAD51D</t>
  </si>
  <si>
    <t>PALM</t>
  </si>
  <si>
    <t>RNASEH2A</t>
  </si>
  <si>
    <t>CDC123</t>
  </si>
  <si>
    <t>SOLH</t>
  </si>
  <si>
    <t>BCAR3</t>
  </si>
  <si>
    <t>RPP40</t>
  </si>
  <si>
    <t>EIF3G</t>
  </si>
  <si>
    <t>EIF3J</t>
  </si>
  <si>
    <t>CBR3</t>
  </si>
  <si>
    <t>AP1G2</t>
  </si>
  <si>
    <t>TRAPPC6A</t>
  </si>
  <si>
    <t>IDH1</t>
  </si>
  <si>
    <t>RBBP9</t>
  </si>
  <si>
    <t>STAM2</t>
  </si>
  <si>
    <t>TUSC2</t>
  </si>
  <si>
    <t>CCNK</t>
  </si>
  <si>
    <t>ARL6IP5</t>
  </si>
  <si>
    <t>PIAS2</t>
  </si>
  <si>
    <t>BCAS2</t>
  </si>
  <si>
    <t>DCTN3</t>
  </si>
  <si>
    <t>DNAJC8</t>
  </si>
  <si>
    <t>SMNDC1</t>
  </si>
  <si>
    <t>RAD17</t>
  </si>
  <si>
    <t>TRIO</t>
  </si>
  <si>
    <t>MPDZ</t>
  </si>
  <si>
    <t>CPD</t>
  </si>
  <si>
    <t>GLRX3</t>
  </si>
  <si>
    <t>RSL1D1</t>
  </si>
  <si>
    <t>WFS1</t>
  </si>
  <si>
    <t>CLPX</t>
  </si>
  <si>
    <t>NEBL</t>
  </si>
  <si>
    <t>SEC14L2</t>
  </si>
  <si>
    <t>SNCG</t>
  </si>
  <si>
    <t>CIAO1</t>
  </si>
  <si>
    <t>ZFAND5</t>
  </si>
  <si>
    <t>SRP72</t>
  </si>
  <si>
    <t>DOM3Z</t>
  </si>
  <si>
    <t>DDAH1</t>
  </si>
  <si>
    <t>URI1</t>
  </si>
  <si>
    <t>MTA2</t>
  </si>
  <si>
    <t>STK10</t>
  </si>
  <si>
    <t>PRKD3</t>
  </si>
  <si>
    <t>GFPT2</t>
  </si>
  <si>
    <t>TPPP</t>
  </si>
  <si>
    <t>ATG12</t>
  </si>
  <si>
    <t>KBTBD11</t>
  </si>
  <si>
    <t>LTN1</t>
  </si>
  <si>
    <t>TOMM70A</t>
  </si>
  <si>
    <t>IPO13</t>
  </si>
  <si>
    <t>DDHD2</t>
  </si>
  <si>
    <t>MICAL2</t>
  </si>
  <si>
    <t>KIAA0754</t>
  </si>
  <si>
    <t>SEC24D</t>
  </si>
  <si>
    <t>SUPT7L</t>
  </si>
  <si>
    <t>FCHSD2</t>
  </si>
  <si>
    <t>UFL1</t>
  </si>
  <si>
    <t>PHF14</t>
  </si>
  <si>
    <t>SASH1</t>
  </si>
  <si>
    <t>FARP2</t>
  </si>
  <si>
    <t>UBXN7</t>
  </si>
  <si>
    <t>PROSC</t>
  </si>
  <si>
    <t>PRPF6</t>
  </si>
  <si>
    <t>DKK1</t>
  </si>
  <si>
    <t>PCF11</t>
  </si>
  <si>
    <t>NFAT5</t>
  </si>
  <si>
    <t>GLS</t>
  </si>
  <si>
    <t>HAUS5</t>
  </si>
  <si>
    <t>FBXO21</t>
  </si>
  <si>
    <t>SOGA1</t>
  </si>
  <si>
    <t>USP19</t>
  </si>
  <si>
    <t>WDR47</t>
  </si>
  <si>
    <t>TRIM37</t>
  </si>
  <si>
    <t>AP2A2</t>
  </si>
  <si>
    <t>HEXIM1</t>
  </si>
  <si>
    <t>RPP14</t>
  </si>
  <si>
    <t>CCNB2</t>
  </si>
  <si>
    <t>AGFG2</t>
  </si>
  <si>
    <t>SCAF4</t>
  </si>
  <si>
    <t>SNUPN</t>
  </si>
  <si>
    <t>UBE4B</t>
  </si>
  <si>
    <t>IKBKAP</t>
  </si>
  <si>
    <t>SCEL</t>
  </si>
  <si>
    <t>RTN3</t>
  </si>
  <si>
    <t>LETM1</t>
  </si>
  <si>
    <t>ZRANB2</t>
  </si>
  <si>
    <t>SNX4</t>
  </si>
  <si>
    <t>VENTX</t>
  </si>
  <si>
    <t>LUC7L3</t>
  </si>
  <si>
    <t>KIF20A</t>
  </si>
  <si>
    <t>KIF4A</t>
  </si>
  <si>
    <t>MBD4</t>
  </si>
  <si>
    <t>SBF1</t>
  </si>
  <si>
    <t>GOSR1</t>
  </si>
  <si>
    <t>KAT7</t>
  </si>
  <si>
    <t>CCNDBP1</t>
  </si>
  <si>
    <t>VAPB</t>
  </si>
  <si>
    <t>SNAPIN</t>
  </si>
  <si>
    <t>MPZL1</t>
  </si>
  <si>
    <t>FKBP9</t>
  </si>
  <si>
    <t>PGLS</t>
  </si>
  <si>
    <t>PAPSS2</t>
  </si>
  <si>
    <t>SMC2</t>
  </si>
  <si>
    <t>ATG7</t>
  </si>
  <si>
    <t>TRIM16</t>
  </si>
  <si>
    <t>FARS2</t>
  </si>
  <si>
    <t>ZBTB7A</t>
  </si>
  <si>
    <t>LYPLA2</t>
  </si>
  <si>
    <t>IPO7</t>
  </si>
  <si>
    <t>ARIH2</t>
  </si>
  <si>
    <t>TNFAIP8</t>
  </si>
  <si>
    <t>SLU7</t>
  </si>
  <si>
    <t>PGM3</t>
  </si>
  <si>
    <t>MOCS3</t>
  </si>
  <si>
    <t>UTS2</t>
  </si>
  <si>
    <t>CD2BP2</t>
  </si>
  <si>
    <t>MED26</t>
  </si>
  <si>
    <t>ZFYVE9</t>
  </si>
  <si>
    <t>SVIL</t>
  </si>
  <si>
    <t>BAG4</t>
  </si>
  <si>
    <t>AHSA1</t>
  </si>
  <si>
    <t>PARN</t>
  </si>
  <si>
    <t>PSMG1</t>
  </si>
  <si>
    <t>FMNL1</t>
  </si>
  <si>
    <t>H6PD</t>
  </si>
  <si>
    <t>SEC24A</t>
  </si>
  <si>
    <t>SEC24B</t>
  </si>
  <si>
    <t>NADK</t>
  </si>
  <si>
    <t>TDP2</t>
  </si>
  <si>
    <t>METTL18</t>
  </si>
  <si>
    <t>ETHE1</t>
  </si>
  <si>
    <t>POLR1A</t>
  </si>
  <si>
    <t>PCNT</t>
  </si>
  <si>
    <t>YEATS4</t>
  </si>
  <si>
    <t>CNOT4</t>
  </si>
  <si>
    <t>STAMBP</t>
  </si>
  <si>
    <t>ASMTL</t>
  </si>
  <si>
    <t>FGFR1OP</t>
  </si>
  <si>
    <t>PPP1R3D</t>
  </si>
  <si>
    <t>POP4</t>
  </si>
  <si>
    <t>HERC2</t>
  </si>
  <si>
    <t>RAB3D</t>
  </si>
  <si>
    <t>SNAP29</t>
  </si>
  <si>
    <t>OXSR1</t>
  </si>
  <si>
    <t>GGPS1</t>
  </si>
  <si>
    <t>HSPA4L</t>
  </si>
  <si>
    <t>PTBP3</t>
  </si>
  <si>
    <t>TBC1D8</t>
  </si>
  <si>
    <t>NAA38</t>
  </si>
  <si>
    <t>AP2A1</t>
  </si>
  <si>
    <t>DDX58</t>
  </si>
  <si>
    <t>TTC4</t>
  </si>
  <si>
    <t>SDPR</t>
  </si>
  <si>
    <t>BAG2</t>
  </si>
  <si>
    <t>MLYCD</t>
  </si>
  <si>
    <t>CRYZL1</t>
  </si>
  <si>
    <t>AIFM1</t>
  </si>
  <si>
    <t>CLIC3</t>
  </si>
  <si>
    <t>EML2</t>
  </si>
  <si>
    <t>LATS1</t>
  </si>
  <si>
    <t>NUDT14</t>
  </si>
  <si>
    <t>DDAH2</t>
  </si>
  <si>
    <t>TXNDC12</t>
  </si>
  <si>
    <t>ECD</t>
  </si>
  <si>
    <t>SYF2</t>
  </si>
  <si>
    <t>NUDT3</t>
  </si>
  <si>
    <t>AGR2</t>
  </si>
  <si>
    <t>PTTG1</t>
  </si>
  <si>
    <t>BCL10</t>
  </si>
  <si>
    <t>ZBED1</t>
  </si>
  <si>
    <t>MOCS2</t>
  </si>
  <si>
    <t>PAK4</t>
  </si>
  <si>
    <t>CHEK2</t>
  </si>
  <si>
    <t>ACTL6A</t>
  </si>
  <si>
    <t>WHSC1</t>
  </si>
  <si>
    <t>ADH1B</t>
  </si>
  <si>
    <t>LDHA</t>
  </si>
  <si>
    <t>ALDH1A1</t>
  </si>
  <si>
    <t>DHFR</t>
  </si>
  <si>
    <t>CYB5R3</t>
  </si>
  <si>
    <t>CP</t>
  </si>
  <si>
    <t>PNP</t>
  </si>
  <si>
    <t>HPRT1</t>
  </si>
  <si>
    <t>GOT2</t>
  </si>
  <si>
    <t>ABL1</t>
  </si>
  <si>
    <t>EGFR</t>
  </si>
  <si>
    <t>PGK1</t>
  </si>
  <si>
    <t>AK1</t>
  </si>
  <si>
    <t>ADA</t>
  </si>
  <si>
    <t>ASS1</t>
  </si>
  <si>
    <t>SERPINA1</t>
  </si>
  <si>
    <t>A2M</t>
  </si>
  <si>
    <t>C3</t>
  </si>
  <si>
    <t>CST3</t>
  </si>
  <si>
    <t>KNG1</t>
  </si>
  <si>
    <t>NRAS</t>
  </si>
  <si>
    <t>KRAS</t>
  </si>
  <si>
    <t>LDLR</t>
  </si>
  <si>
    <t>TGFB1</t>
  </si>
  <si>
    <t>COL1A1</t>
  </si>
  <si>
    <t>KRT14</t>
  </si>
  <si>
    <t>LMNA</t>
  </si>
  <si>
    <t>APOA1</t>
  </si>
  <si>
    <t>APOC3</t>
  </si>
  <si>
    <t>FGA</t>
  </si>
  <si>
    <t>MBP</t>
  </si>
  <si>
    <t>FN1</t>
  </si>
  <si>
    <t>AHSG</t>
  </si>
  <si>
    <t>AFP</t>
  </si>
  <si>
    <t>GC</t>
  </si>
  <si>
    <t>TFRC</t>
  </si>
  <si>
    <t>FTL</t>
  </si>
  <si>
    <t>FTH1</t>
  </si>
  <si>
    <t>MT2A</t>
  </si>
  <si>
    <t>FUCA1</t>
  </si>
  <si>
    <t>CSTB</t>
  </si>
  <si>
    <t>ANXA1</t>
  </si>
  <si>
    <t>APOB</t>
  </si>
  <si>
    <t>NR3C1</t>
  </si>
  <si>
    <t>PRNP</t>
  </si>
  <si>
    <t>OAT</t>
  </si>
  <si>
    <t>TK1</t>
  </si>
  <si>
    <t>KRT6B</t>
  </si>
  <si>
    <t>KRT1</t>
  </si>
  <si>
    <t>GAPDH</t>
  </si>
  <si>
    <t>ASL</t>
  </si>
  <si>
    <t>ERBB2</t>
  </si>
  <si>
    <t>CAPNS1</t>
  </si>
  <si>
    <t>MT1A</t>
  </si>
  <si>
    <t>MT1F</t>
  </si>
  <si>
    <t>HSPB1</t>
  </si>
  <si>
    <t>TYMS</t>
  </si>
  <si>
    <t>GNAI2</t>
  </si>
  <si>
    <t>SLC4A2</t>
  </si>
  <si>
    <t>ALDH2</t>
  </si>
  <si>
    <t>HMGN1</t>
  </si>
  <si>
    <t>ISG15</t>
  </si>
  <si>
    <t>LGALS2</t>
  </si>
  <si>
    <t>EIF2S1</t>
  </si>
  <si>
    <t>HMGN2</t>
  </si>
  <si>
    <t>RPLP1</t>
  </si>
  <si>
    <t>RPLP2</t>
  </si>
  <si>
    <t>RPLP0</t>
  </si>
  <si>
    <t>JUN</t>
  </si>
  <si>
    <t>POLR3D</t>
  </si>
  <si>
    <t>SSB</t>
  </si>
  <si>
    <t>ITGB1</t>
  </si>
  <si>
    <t>KRT18</t>
  </si>
  <si>
    <t>KRT8</t>
  </si>
  <si>
    <t>CSN2</t>
  </si>
  <si>
    <t>MYL1</t>
  </si>
  <si>
    <t>COL5A2</t>
  </si>
  <si>
    <t>UROD</t>
  </si>
  <si>
    <t>GLA</t>
  </si>
  <si>
    <t>RB1</t>
  </si>
  <si>
    <t>CDK1</t>
  </si>
  <si>
    <t>ATP5B</t>
  </si>
  <si>
    <t>EIF4E</t>
  </si>
  <si>
    <t>ENO1</t>
  </si>
  <si>
    <t>PYGL</t>
  </si>
  <si>
    <t>GPI</t>
  </si>
  <si>
    <t>NPM1</t>
  </si>
  <si>
    <t>TPM3</t>
  </si>
  <si>
    <t>ITGAV</t>
  </si>
  <si>
    <t>HEXA</t>
  </si>
  <si>
    <t>SERPINE2</t>
  </si>
  <si>
    <t>EPHX1</t>
  </si>
  <si>
    <t>DBI</t>
  </si>
  <si>
    <t>FABP1</t>
  </si>
  <si>
    <t>LDHB</t>
  </si>
  <si>
    <t>CENPB</t>
  </si>
  <si>
    <t>GPX1</t>
  </si>
  <si>
    <t>THBD</t>
  </si>
  <si>
    <t>P4HB</t>
  </si>
  <si>
    <t>H1F0</t>
  </si>
  <si>
    <t>ACYP1</t>
  </si>
  <si>
    <t>CAPN1</t>
  </si>
  <si>
    <t>PSAP</t>
  </si>
  <si>
    <t>HEXB</t>
  </si>
  <si>
    <t>CTSL1</t>
  </si>
  <si>
    <t>PFN1</t>
  </si>
  <si>
    <t>BPGM</t>
  </si>
  <si>
    <t>APRT</t>
  </si>
  <si>
    <t>EPRS</t>
  </si>
  <si>
    <t>HSP90AA1</t>
  </si>
  <si>
    <t>GALT</t>
  </si>
  <si>
    <t>UQCRH</t>
  </si>
  <si>
    <t>LAMB1</t>
  </si>
  <si>
    <t>TPM2</t>
  </si>
  <si>
    <t>FH</t>
  </si>
  <si>
    <t>ERCC1</t>
  </si>
  <si>
    <t>THBS1</t>
  </si>
  <si>
    <t>SP1</t>
  </si>
  <si>
    <t>HSPA1A</t>
  </si>
  <si>
    <t>ANXA6</t>
  </si>
  <si>
    <t>SLC3A2</t>
  </si>
  <si>
    <t>PFKM</t>
  </si>
  <si>
    <t>HSP90AB1</t>
  </si>
  <si>
    <t>SRPR</t>
  </si>
  <si>
    <t>ASNS</t>
  </si>
  <si>
    <t>HMBS</t>
  </si>
  <si>
    <t>PDHA1</t>
  </si>
  <si>
    <t>COL4A2</t>
  </si>
  <si>
    <t>SNRPB2</t>
  </si>
  <si>
    <t>MET</t>
  </si>
  <si>
    <t>MFI2</t>
  </si>
  <si>
    <t>SNRNP70</t>
  </si>
  <si>
    <t>NFIC</t>
  </si>
  <si>
    <t>VIM</t>
  </si>
  <si>
    <t>KRT7</t>
  </si>
  <si>
    <t>GNAI3</t>
  </si>
  <si>
    <t>KRT16</t>
  </si>
  <si>
    <t>SNRPA</t>
  </si>
  <si>
    <t>FGF2</t>
  </si>
  <si>
    <t>ACAA1</t>
  </si>
  <si>
    <t>SRP19</t>
  </si>
  <si>
    <t>SNRPC</t>
  </si>
  <si>
    <t>VIL1</t>
  </si>
  <si>
    <t>LGALS1</t>
  </si>
  <si>
    <t>QDPR</t>
  </si>
  <si>
    <t>HMGB1</t>
  </si>
  <si>
    <t>CLTA</t>
  </si>
  <si>
    <t>CLTB</t>
  </si>
  <si>
    <t>CNP</t>
  </si>
  <si>
    <t>HMOX1</t>
  </si>
  <si>
    <t>DLD</t>
  </si>
  <si>
    <t>SNRPA1</t>
  </si>
  <si>
    <t>CTSH</t>
  </si>
  <si>
    <t>PARP1</t>
  </si>
  <si>
    <t>POLA1</t>
  </si>
  <si>
    <t>UCHL1</t>
  </si>
  <si>
    <t>LTA4H</t>
  </si>
  <si>
    <t>ALDOC</t>
  </si>
  <si>
    <t>ATXN1L</t>
  </si>
  <si>
    <t>POLR2M</t>
  </si>
  <si>
    <t>CHTF8</t>
  </si>
  <si>
    <t>TMSB15B</t>
  </si>
  <si>
    <t>RPS17L</t>
  </si>
  <si>
    <t>TRAPPC2P1</t>
  </si>
  <si>
    <t>RAB34</t>
  </si>
  <si>
    <t>GLI2</t>
  </si>
  <si>
    <t>GLI4</t>
  </si>
  <si>
    <t>FDX1</t>
  </si>
  <si>
    <t>TROVE2</t>
  </si>
  <si>
    <t>GAA</t>
  </si>
  <si>
    <t>RRAS</t>
  </si>
  <si>
    <t>ARAF</t>
  </si>
  <si>
    <t>HIST1H1E</t>
  </si>
  <si>
    <t>SPP1</t>
  </si>
  <si>
    <t>DLAT</t>
  </si>
  <si>
    <t>PTPRF</t>
  </si>
  <si>
    <t>COX5B</t>
  </si>
  <si>
    <t>CTSA</t>
  </si>
  <si>
    <t>PRKAR1A</t>
  </si>
  <si>
    <t>UROS</t>
  </si>
  <si>
    <t>ESD</t>
  </si>
  <si>
    <t>HSPD1</t>
  </si>
  <si>
    <t>CLU</t>
  </si>
  <si>
    <t>HSPA5</t>
  </si>
  <si>
    <t>LAMC1</t>
  </si>
  <si>
    <t>ACP2</t>
  </si>
  <si>
    <t>MAP2</t>
  </si>
  <si>
    <t>HSPA8</t>
  </si>
  <si>
    <t>EPB41</t>
  </si>
  <si>
    <t>UMPS</t>
  </si>
  <si>
    <t>PDHB</t>
  </si>
  <si>
    <t>DBT</t>
  </si>
  <si>
    <t>PYGB</t>
  </si>
  <si>
    <t>RALA</t>
  </si>
  <si>
    <t>BCR</t>
  </si>
  <si>
    <t>SPTB</t>
  </si>
  <si>
    <t>LAMP1</t>
  </si>
  <si>
    <t>ACADM</t>
  </si>
  <si>
    <t>TOP1</t>
  </si>
  <si>
    <t>TOP2A</t>
  </si>
  <si>
    <t>UBL4A</t>
  </si>
  <si>
    <t>PC</t>
  </si>
  <si>
    <t>MTHFD1</t>
  </si>
  <si>
    <t>IGF2R</t>
  </si>
  <si>
    <t>ADH5</t>
  </si>
  <si>
    <t>CDK4</t>
  </si>
  <si>
    <t>PRPS2</t>
  </si>
  <si>
    <t>ODC1</t>
  </si>
  <si>
    <t>PABPC1</t>
  </si>
  <si>
    <t>PCNA</t>
  </si>
  <si>
    <t>COL6A1</t>
  </si>
  <si>
    <t>TPR</t>
  </si>
  <si>
    <t>CKB</t>
  </si>
  <si>
    <t>ANXA3</t>
  </si>
  <si>
    <t>CKMT1A</t>
  </si>
  <si>
    <t>BCKDHA</t>
  </si>
  <si>
    <t>ACTN1</t>
  </si>
  <si>
    <t>CDH1</t>
  </si>
  <si>
    <t>SRC</t>
  </si>
  <si>
    <t>PEPD</t>
  </si>
  <si>
    <t>XRCC6</t>
  </si>
  <si>
    <t>XRCC5</t>
  </si>
  <si>
    <t>UNG</t>
  </si>
  <si>
    <t>RNH1</t>
  </si>
  <si>
    <t>EEF2</t>
  </si>
  <si>
    <t>KRT5</t>
  </si>
  <si>
    <t>PDIA4</t>
  </si>
  <si>
    <t>P4HA1</t>
  </si>
  <si>
    <t>TPT1</t>
  </si>
  <si>
    <t>PLS3</t>
  </si>
  <si>
    <t>APEH</t>
  </si>
  <si>
    <t>ETFA</t>
  </si>
  <si>
    <t>GYS1</t>
  </si>
  <si>
    <t>PRKAR2A</t>
  </si>
  <si>
    <t>ANXA8</t>
  </si>
  <si>
    <t>ENO3</t>
  </si>
  <si>
    <t>GTF2F2</t>
  </si>
  <si>
    <t>MTHFD2</t>
  </si>
  <si>
    <t>MIF</t>
  </si>
  <si>
    <t>CD99</t>
  </si>
  <si>
    <t>PRKCSH</t>
  </si>
  <si>
    <t>FDPS</t>
  </si>
  <si>
    <t>AKR1A1</t>
  </si>
  <si>
    <t>PKM</t>
  </si>
  <si>
    <t>ACYP2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</si>
  <si>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</si>
  <si>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</si>
  <si>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</si>
  <si>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</si>
  <si>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</si>
  <si>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</si>
  <si>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</si>
  <si>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</si>
  <si>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UQCRB</t>
  </si>
  <si>
    <t>BRAF</t>
  </si>
  <si>
    <t>AKR1B1</t>
  </si>
  <si>
    <t>PVR</t>
  </si>
  <si>
    <t>GSPT1</t>
  </si>
  <si>
    <t>IL9</t>
  </si>
  <si>
    <t>ARSA</t>
  </si>
  <si>
    <t>EZR</t>
  </si>
  <si>
    <t>UCHL3</t>
  </si>
  <si>
    <t>HPGD</t>
  </si>
  <si>
    <t>CD46</t>
  </si>
  <si>
    <t>NME1</t>
  </si>
  <si>
    <t>PHKG2</t>
  </si>
  <si>
    <t>ARSB</t>
  </si>
  <si>
    <t>RPS2</t>
  </si>
  <si>
    <t>CHN1</t>
  </si>
  <si>
    <t>DSP</t>
  </si>
  <si>
    <t>RPA2</t>
  </si>
  <si>
    <t>TIMP2</t>
  </si>
  <si>
    <t>CD44</t>
  </si>
  <si>
    <t>ITGB4</t>
  </si>
  <si>
    <t>CBR1</t>
  </si>
  <si>
    <t>ANK1</t>
  </si>
  <si>
    <t>CREB1</t>
  </si>
  <si>
    <t>GLB1</t>
  </si>
  <si>
    <t>PPP3CB</t>
  </si>
  <si>
    <t>NCK1</t>
  </si>
  <si>
    <t>GCFC2</t>
  </si>
  <si>
    <t>HIST1H1B</t>
  </si>
  <si>
    <t>HIST1H1C</t>
  </si>
  <si>
    <t>MGMT</t>
  </si>
  <si>
    <t>PLCG2</t>
  </si>
  <si>
    <t>FAH</t>
  </si>
  <si>
    <t>STMN1</t>
  </si>
  <si>
    <t>YBX3</t>
  </si>
  <si>
    <t>ZFX</t>
  </si>
  <si>
    <t>ZNF24</t>
  </si>
  <si>
    <t>ZKSCAN1</t>
  </si>
  <si>
    <t>ZNF30</t>
  </si>
  <si>
    <t>NAGA</t>
  </si>
  <si>
    <t>HSPA6</t>
  </si>
  <si>
    <t>HMGA1</t>
  </si>
  <si>
    <t>ZNF8</t>
  </si>
  <si>
    <t>GOT1</t>
  </si>
  <si>
    <t>PRKCA</t>
  </si>
  <si>
    <t>JUNB</t>
  </si>
  <si>
    <t>GJA1</t>
  </si>
  <si>
    <t>UBTF</t>
  </si>
  <si>
    <t>JUND</t>
  </si>
  <si>
    <t>ATF7</t>
  </si>
  <si>
    <t>PRKACA</t>
  </si>
  <si>
    <t>CAPN2</t>
  </si>
  <si>
    <t>PTPN2</t>
  </si>
  <si>
    <t>AMD1</t>
  </si>
  <si>
    <t>CTPS1</t>
  </si>
  <si>
    <t>PFKL</t>
  </si>
  <si>
    <t>GM2A</t>
  </si>
  <si>
    <t>LGALS3</t>
  </si>
  <si>
    <t>IGFBP3</t>
  </si>
  <si>
    <t>TCP1</t>
  </si>
  <si>
    <t>PTPN1</t>
  </si>
  <si>
    <t>IGFBP2</t>
  </si>
  <si>
    <t>ITGB5</t>
  </si>
  <si>
    <t>ARF4</t>
  </si>
  <si>
    <t>RPL7</t>
  </si>
  <si>
    <t>VCL</t>
  </si>
  <si>
    <t>GPX2</t>
  </si>
  <si>
    <t>NAT1</t>
  </si>
  <si>
    <t>SON</t>
  </si>
  <si>
    <t>NELFE</t>
  </si>
  <si>
    <t>PGAM1</t>
  </si>
  <si>
    <t>SDC1</t>
  </si>
  <si>
    <t>ATF1</t>
  </si>
  <si>
    <t>ATP5J</t>
  </si>
  <si>
    <t>XRCC1</t>
  </si>
  <si>
    <t>KRT4</t>
  </si>
  <si>
    <t>MYL12A</t>
  </si>
  <si>
    <t>PLCG1</t>
  </si>
  <si>
    <t>NCL</t>
  </si>
  <si>
    <t>HK1</t>
  </si>
  <si>
    <t>POLR2C</t>
  </si>
  <si>
    <t>POLR2E</t>
  </si>
  <si>
    <t>NDUFV2</t>
  </si>
  <si>
    <t>ELK1</t>
  </si>
  <si>
    <t>GGT1</t>
  </si>
  <si>
    <t>ERCC3</t>
  </si>
  <si>
    <t>EIF2AK2</t>
  </si>
  <si>
    <t>TFE3</t>
  </si>
  <si>
    <t>SRM</t>
  </si>
  <si>
    <t>CSNK2A2</t>
  </si>
  <si>
    <t>CEL</t>
  </si>
  <si>
    <t>NFKB1</t>
  </si>
  <si>
    <t>TYMP</t>
  </si>
  <si>
    <t>EIF2S2</t>
  </si>
  <si>
    <t>CCNA2</t>
  </si>
  <si>
    <t>BTF3</t>
  </si>
  <si>
    <t>RAB4A</t>
  </si>
  <si>
    <t>RAB6A</t>
  </si>
  <si>
    <t>MSH3</t>
  </si>
  <si>
    <t>PSMB1</t>
  </si>
  <si>
    <t>COX5A</t>
  </si>
  <si>
    <t>LMNB1</t>
  </si>
  <si>
    <t>BCL3</t>
  </si>
  <si>
    <t>CAST</t>
  </si>
  <si>
    <t>HNF1A</t>
  </si>
  <si>
    <t>IMPDH1</t>
  </si>
  <si>
    <t>COL5A1</t>
  </si>
  <si>
    <t>RASA1</t>
  </si>
  <si>
    <t>PTMS</t>
  </si>
  <si>
    <t>CDK11B</t>
  </si>
  <si>
    <t>GSTM3</t>
  </si>
  <si>
    <t>ATP6V1B2</t>
  </si>
  <si>
    <t>ATP6V1C1</t>
  </si>
  <si>
    <t>FLNA</t>
  </si>
  <si>
    <t>NF1</t>
  </si>
  <si>
    <t>ACO1</t>
  </si>
  <si>
    <t>AGXT</t>
  </si>
  <si>
    <t>TNFAIP3</t>
  </si>
  <si>
    <t>NT5E</t>
  </si>
  <si>
    <t>BCKDHB</t>
  </si>
  <si>
    <t>COMT</t>
  </si>
  <si>
    <t>TGM2</t>
  </si>
  <si>
    <t>MUT</t>
  </si>
  <si>
    <t>OSBP</t>
  </si>
  <si>
    <t>PCMT1</t>
  </si>
  <si>
    <t>FBL</t>
  </si>
  <si>
    <t>GART</t>
  </si>
  <si>
    <t>SCP2</t>
  </si>
  <si>
    <t>UBA1</t>
  </si>
  <si>
    <t>HNRNPA2B1</t>
  </si>
  <si>
    <t>RFX1</t>
  </si>
  <si>
    <t>CALB2</t>
  </si>
  <si>
    <t>CBL</t>
  </si>
  <si>
    <t>IGFBP4</t>
  </si>
  <si>
    <t>PRKACB</t>
  </si>
  <si>
    <t>FECH</t>
  </si>
  <si>
    <t>XPA</t>
  </si>
  <si>
    <t>CES1</t>
  </si>
  <si>
    <t>FBLN1</t>
  </si>
  <si>
    <t>TCEA1</t>
  </si>
  <si>
    <t>SFPQ</t>
  </si>
  <si>
    <t>TUBG1</t>
  </si>
  <si>
    <t>PPIB</t>
  </si>
  <si>
    <t>ME2</t>
  </si>
  <si>
    <t>GLDC</t>
  </si>
  <si>
    <t>WARS</t>
  </si>
  <si>
    <t>RPS3</t>
  </si>
  <si>
    <t>MYF6</t>
  </si>
  <si>
    <t>GCSH</t>
  </si>
  <si>
    <t>SP100</t>
  </si>
  <si>
    <t>NFYA</t>
  </si>
  <si>
    <t>AHCY</t>
  </si>
  <si>
    <t>CFL1</t>
  </si>
  <si>
    <t>EIF4B</t>
  </si>
  <si>
    <t>F8A1</t>
  </si>
  <si>
    <t>DGKA</t>
  </si>
  <si>
    <t>DTYMK</t>
  </si>
  <si>
    <t>RRM1</t>
  </si>
  <si>
    <t>EEF1B2</t>
  </si>
  <si>
    <t>AKAP5</t>
  </si>
  <si>
    <t>ACP1</t>
  </si>
  <si>
    <t>ACAT1</t>
  </si>
  <si>
    <t>MYL9</t>
  </si>
  <si>
    <t>POLR2A</t>
  </si>
  <si>
    <t>CDK2</t>
  </si>
  <si>
    <t>APC</t>
  </si>
  <si>
    <t>ADRBK1</t>
  </si>
  <si>
    <t>MCM3</t>
  </si>
  <si>
    <t>RPS12</t>
  </si>
  <si>
    <t>BRD2</t>
  </si>
  <si>
    <t>YY1</t>
  </si>
  <si>
    <t>DNAJB1</t>
  </si>
  <si>
    <t>DNAJB2</t>
  </si>
  <si>
    <t>ATP5A1</t>
  </si>
  <si>
    <t>MT3</t>
  </si>
  <si>
    <t>CTSS</t>
  </si>
  <si>
    <t>PSMA1</t>
  </si>
  <si>
    <t>PSMA2</t>
  </si>
  <si>
    <t>PSMA3</t>
  </si>
  <si>
    <t>PSMA4</t>
  </si>
  <si>
    <t>S100P</t>
  </si>
  <si>
    <t>MSN</t>
  </si>
  <si>
    <t>PTPN3</t>
  </si>
  <si>
    <t>DDX6</t>
  </si>
  <si>
    <t>DNMT1</t>
  </si>
  <si>
    <t>U2AF2</t>
  </si>
  <si>
    <t>RPL13</t>
  </si>
  <si>
    <t>CHML</t>
  </si>
  <si>
    <t>IVD</t>
  </si>
  <si>
    <t>S100A4</t>
  </si>
  <si>
    <t>HMGB2</t>
  </si>
  <si>
    <t>PTBP1</t>
  </si>
  <si>
    <t>TARS</t>
  </si>
  <si>
    <t>VARS</t>
  </si>
  <si>
    <t>EEF1G</t>
  </si>
  <si>
    <t>ZFP36</t>
  </si>
  <si>
    <t>FKBP2</t>
  </si>
  <si>
    <t>AK4</t>
  </si>
  <si>
    <t>ANXA13</t>
  </si>
  <si>
    <t>YWHAQ</t>
  </si>
  <si>
    <t>MAPK3</t>
  </si>
  <si>
    <t>MARK3</t>
  </si>
  <si>
    <t>ARNT</t>
  </si>
  <si>
    <t>RPL10</t>
  </si>
  <si>
    <t>RPA1</t>
  </si>
  <si>
    <t>APEX1</t>
  </si>
  <si>
    <t>DCK</t>
  </si>
  <si>
    <t>CALR</t>
  </si>
  <si>
    <t>CANX</t>
  </si>
  <si>
    <t>PIK3R1</t>
  </si>
  <si>
    <t>ITPKB</t>
  </si>
  <si>
    <t>PSMB8</t>
  </si>
  <si>
    <t>PSMB9</t>
  </si>
  <si>
    <t>PSMA5</t>
  </si>
  <si>
    <t>PSMB4</t>
  </si>
  <si>
    <t>PSMB6</t>
  </si>
  <si>
    <t>PSMB5</t>
  </si>
  <si>
    <t>NDUFS1</t>
  </si>
  <si>
    <t>POLD1</t>
  </si>
  <si>
    <t>MAPK1</t>
  </si>
  <si>
    <t>DUSP1</t>
  </si>
  <si>
    <t>RXRB</t>
  </si>
  <si>
    <t>ERCC5</t>
  </si>
  <si>
    <t>RBL1</t>
  </si>
  <si>
    <t>GRN</t>
  </si>
  <si>
    <t>LAP3</t>
  </si>
  <si>
    <t>S100A2</t>
  </si>
  <si>
    <t>GTF2E1</t>
  </si>
  <si>
    <t>GTF2E2</t>
  </si>
  <si>
    <t>TPP2</t>
  </si>
  <si>
    <t>EPHB2</t>
  </si>
  <si>
    <t>PTPN6</t>
  </si>
  <si>
    <t>SHC1</t>
  </si>
  <si>
    <t>MPG</t>
  </si>
  <si>
    <t>CRABP2</t>
  </si>
  <si>
    <t>TKT</t>
  </si>
  <si>
    <t>PML</t>
  </si>
  <si>
    <t>EEF1D</t>
  </si>
  <si>
    <t>CRABP1</t>
  </si>
  <si>
    <t>MARCKS</t>
  </si>
  <si>
    <t>ALDH4A1</t>
  </si>
  <si>
    <t>PBLD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</si>
  <si>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</si>
  <si>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</si>
  <si>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</si>
  <si>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</si>
  <si>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</si>
  <si>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</si>
  <si>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</si>
  <si>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</si>
  <si>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</si>
  <si>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</si>
  <si>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</si>
  <si>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</si>
  <si>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</si>
  <si>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</si>
  <si>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CCND3</t>
  </si>
  <si>
    <t>CDC25C</t>
  </si>
  <si>
    <t>PPIF</t>
  </si>
  <si>
    <t>NKTR</t>
  </si>
  <si>
    <t>NMT1</t>
  </si>
  <si>
    <t>HMOX2</t>
  </si>
  <si>
    <t>ADSS</t>
  </si>
  <si>
    <t>LRPAP1</t>
  </si>
  <si>
    <t>ADSL</t>
  </si>
  <si>
    <t>PKLR</t>
  </si>
  <si>
    <t>CLIP1</t>
  </si>
  <si>
    <t>SERPINB1</t>
  </si>
  <si>
    <t>ALDH1B1</t>
  </si>
  <si>
    <t>ALDH3A1</t>
  </si>
  <si>
    <t>SDHA</t>
  </si>
  <si>
    <t>CORO1A</t>
  </si>
  <si>
    <t>GDI1</t>
  </si>
  <si>
    <t>MAT2A</t>
  </si>
  <si>
    <t>PRKAR1B</t>
  </si>
  <si>
    <t>CPS1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</si>
  <si>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</si>
  <si>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</si>
  <si>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</si>
  <si>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</si>
  <si>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</si>
  <si>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</si>
  <si>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</si>
  <si>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</si>
  <si>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</si>
  <si>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</si>
  <si>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</si>
  <si>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</si>
  <si>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</si>
  <si>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</si>
  <si>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INPP5B</t>
  </si>
  <si>
    <t>ARRB2</t>
  </si>
  <si>
    <t>CDA</t>
  </si>
  <si>
    <t>DCTD</t>
  </si>
  <si>
    <t>PYCR1</t>
  </si>
  <si>
    <t>GBP1</t>
  </si>
  <si>
    <t>ELF1</t>
  </si>
  <si>
    <t>GTF2H1</t>
  </si>
  <si>
    <t>CTH</t>
  </si>
  <si>
    <t>RPL9</t>
  </si>
  <si>
    <t>ACSL1</t>
  </si>
  <si>
    <t>KIF5B</t>
  </si>
  <si>
    <t>CSTF2</t>
  </si>
  <si>
    <t>LSP1</t>
  </si>
  <si>
    <t>DUT</t>
  </si>
  <si>
    <t>CKS2</t>
  </si>
  <si>
    <t>S100A3</t>
  </si>
  <si>
    <t>TTK</t>
  </si>
  <si>
    <t>MCM4</t>
  </si>
  <si>
    <t>MCM5</t>
  </si>
  <si>
    <t>MCM7</t>
  </si>
  <si>
    <t>GALNS</t>
  </si>
  <si>
    <t>RNASE4</t>
  </si>
  <si>
    <t>SHMT1</t>
  </si>
  <si>
    <t>SHMT2</t>
  </si>
  <si>
    <t>EPHX2</t>
  </si>
  <si>
    <t>HSPA4</t>
  </si>
  <si>
    <t>CA8</t>
  </si>
  <si>
    <t>CTNNA1</t>
  </si>
  <si>
    <t>PCGF2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</si>
  <si>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</si>
  <si>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</si>
  <si>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</si>
  <si>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</si>
  <si>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</si>
  <si>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</si>
  <si>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</si>
  <si>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</si>
  <si>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</si>
  <si>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</si>
  <si>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</si>
  <si>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FBN2</t>
  </si>
  <si>
    <t>IRS1</t>
  </si>
  <si>
    <t>AGL</t>
  </si>
  <si>
    <t>MYH9</t>
  </si>
  <si>
    <t>MYH10</t>
  </si>
  <si>
    <t>COPB2</t>
  </si>
  <si>
    <t>ADD1</t>
  </si>
  <si>
    <t>ADD2</t>
  </si>
  <si>
    <t>FUS</t>
  </si>
  <si>
    <t>NUP214</t>
  </si>
  <si>
    <t>DEK</t>
  </si>
  <si>
    <t>MYH11</t>
  </si>
  <si>
    <t>GLRX</t>
  </si>
  <si>
    <t>CHKA</t>
  </si>
  <si>
    <t>PPM1A</t>
  </si>
  <si>
    <t>AHR</t>
  </si>
  <si>
    <t>PSMC2</t>
  </si>
  <si>
    <t>ARL2</t>
  </si>
  <si>
    <t>ARL3</t>
  </si>
  <si>
    <t>MAP2K2</t>
  </si>
  <si>
    <t>ATP6V1E1</t>
  </si>
  <si>
    <t>CPOX</t>
  </si>
  <si>
    <t>RPL4</t>
  </si>
  <si>
    <t>NUDT1</t>
  </si>
  <si>
    <t>PGM1</t>
  </si>
  <si>
    <t>PPP1CC</t>
  </si>
  <si>
    <t>GNL1</t>
  </si>
  <si>
    <t>SERPINB5</t>
  </si>
  <si>
    <t>POLR2I</t>
  </si>
  <si>
    <t>DLST</t>
  </si>
  <si>
    <t>GPX4</t>
  </si>
  <si>
    <t>SRP14</t>
  </si>
  <si>
    <t>NUP62</t>
  </si>
  <si>
    <t>HPCAL1</t>
  </si>
  <si>
    <t>TAGLN2</t>
  </si>
  <si>
    <t>TALDO1</t>
  </si>
  <si>
    <t>ETFB</t>
  </si>
  <si>
    <t>RBMX</t>
  </si>
  <si>
    <t>BRCA1</t>
  </si>
  <si>
    <t>COIL</t>
  </si>
  <si>
    <t>LIPA</t>
  </si>
  <si>
    <t>ATP6V1A</t>
  </si>
  <si>
    <t>HSPA9</t>
  </si>
  <si>
    <t>EIF4A3</t>
  </si>
  <si>
    <t>IGHMBP2</t>
  </si>
  <si>
    <t>CDKN1A</t>
  </si>
  <si>
    <t>RPS19</t>
  </si>
  <si>
    <t>RPL3</t>
  </si>
  <si>
    <t>COL18A1</t>
  </si>
  <si>
    <t>ANP32A</t>
  </si>
  <si>
    <t>FEN1</t>
  </si>
  <si>
    <t>CUX1</t>
  </si>
  <si>
    <t>CAPG</t>
  </si>
  <si>
    <t>CAP2</t>
  </si>
  <si>
    <t>IL6ST</t>
  </si>
  <si>
    <t>CEACAM6</t>
  </si>
  <si>
    <t>TXLNA</t>
  </si>
  <si>
    <t>CCT6A</t>
  </si>
  <si>
    <t>NNMT</t>
  </si>
  <si>
    <t>PSMB10</t>
  </si>
  <si>
    <t>VHL</t>
  </si>
  <si>
    <t>RPL13A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</si>
  <si>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</si>
  <si>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</si>
  <si>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</si>
  <si>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</si>
  <si>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</si>
  <si>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</si>
  <si>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</si>
  <si>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</si>
  <si>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</si>
  <si>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</si>
  <si>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ETV3</t>
  </si>
  <si>
    <t>CETN2</t>
  </si>
  <si>
    <t>ETV6</t>
  </si>
  <si>
    <t>EIF2D</t>
  </si>
  <si>
    <t>BUD31</t>
  </si>
  <si>
    <t>NAA10</t>
  </si>
  <si>
    <t>KDM5C</t>
  </si>
  <si>
    <t>PPP1R2</t>
  </si>
  <si>
    <t>CSK</t>
  </si>
  <si>
    <t>GARS</t>
  </si>
  <si>
    <t>IARS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</si>
  <si>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</si>
  <si>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</si>
  <si>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</si>
  <si>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</si>
  <si>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</si>
  <si>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</si>
  <si>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</si>
  <si>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</si>
  <si>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</si>
  <si>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PIK3CA</t>
  </si>
  <si>
    <t>PIK3CB</t>
  </si>
  <si>
    <t>MTOR</t>
  </si>
  <si>
    <t>EPS15</t>
  </si>
  <si>
    <t>CASP3</t>
  </si>
  <si>
    <t>CASP2</t>
  </si>
  <si>
    <t>RPS27</t>
  </si>
  <si>
    <t>ABL2</t>
  </si>
  <si>
    <t>HELZ</t>
  </si>
  <si>
    <t>NCAPD3</t>
  </si>
  <si>
    <t>LRPPRC</t>
  </si>
  <si>
    <t>ACAA2</t>
  </si>
  <si>
    <t>RPL35</t>
  </si>
  <si>
    <t>CDKN2C</t>
  </si>
  <si>
    <t>PRCP</t>
  </si>
  <si>
    <t>CXCL5</t>
  </si>
  <si>
    <t>HTT</t>
  </si>
  <si>
    <t>MTHFR</t>
  </si>
  <si>
    <t>PAFAH1B1</t>
  </si>
  <si>
    <t>CRAT</t>
  </si>
  <si>
    <t>MATR3</t>
  </si>
  <si>
    <t>MSH2</t>
  </si>
  <si>
    <t>BTD</t>
  </si>
  <si>
    <t>ALDH3B1</t>
  </si>
  <si>
    <t>MAGEA6</t>
  </si>
  <si>
    <t>PTPN9</t>
  </si>
  <si>
    <t>RANBP1</t>
  </si>
  <si>
    <t>NAMPT</t>
  </si>
  <si>
    <t>PSMC4</t>
  </si>
  <si>
    <t>TSFM</t>
  </si>
  <si>
    <t>PPIC</t>
  </si>
  <si>
    <t>ACADSB</t>
  </si>
  <si>
    <t>CBX5</t>
  </si>
  <si>
    <t>USP5</t>
  </si>
  <si>
    <t>MAPK9</t>
  </si>
  <si>
    <t>MAP2K4</t>
  </si>
  <si>
    <t>MKI67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</si>
  <si>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</si>
  <si>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</si>
  <si>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</si>
  <si>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</si>
  <si>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</si>
  <si>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</si>
  <si>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</si>
  <si>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</si>
  <si>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</si>
  <si>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</si>
  <si>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MAP2K3</t>
  </si>
  <si>
    <t>BRCC3</t>
  </si>
  <si>
    <t>RPL5</t>
  </si>
  <si>
    <t>RPL21</t>
  </si>
  <si>
    <t>RPL28</t>
  </si>
  <si>
    <t>RPS9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</si>
  <si>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</si>
  <si>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</si>
  <si>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</si>
  <si>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</si>
  <si>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</si>
  <si>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</si>
  <si>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</si>
  <si>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</si>
  <si>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RABIF</t>
  </si>
  <si>
    <t>CSN1S1</t>
  </si>
  <si>
    <t>PLA2G4A</t>
  </si>
  <si>
    <t>RAP1GAP</t>
  </si>
  <si>
    <t>CAPZA2</t>
  </si>
  <si>
    <t>CAPZB</t>
  </si>
  <si>
    <t>EIF1AX</t>
  </si>
  <si>
    <t>ALDH1A3</t>
  </si>
  <si>
    <t>QARS</t>
  </si>
  <si>
    <t>RPL29</t>
  </si>
  <si>
    <t>ZFP36L2</t>
  </si>
  <si>
    <t>UQCRFS1</t>
  </si>
  <si>
    <t>XDH</t>
  </si>
  <si>
    <t>LIMS1</t>
  </si>
  <si>
    <t>PREP</t>
  </si>
  <si>
    <t>ME1</t>
  </si>
  <si>
    <t>GABRA4</t>
  </si>
  <si>
    <t>IREB2</t>
  </si>
  <si>
    <t>TFPI2</t>
  </si>
  <si>
    <t>SOX2</t>
  </si>
  <si>
    <t>SOX9</t>
  </si>
  <si>
    <t>ARCN1</t>
  </si>
  <si>
    <t>PPP3CC</t>
  </si>
  <si>
    <t>GCLC</t>
  </si>
  <si>
    <t>GCLM</t>
  </si>
  <si>
    <t>NRIP1</t>
  </si>
  <si>
    <t>TRAPPC10</t>
  </si>
  <si>
    <t>PRRC2A</t>
  </si>
  <si>
    <t>GSS</t>
  </si>
  <si>
    <t>CCT5</t>
  </si>
  <si>
    <t>NES</t>
  </si>
  <si>
    <t>CSNK1A1</t>
  </si>
  <si>
    <t>CSNK1D</t>
  </si>
  <si>
    <t>IDH2</t>
  </si>
  <si>
    <t>PITPNB</t>
  </si>
  <si>
    <t>POLD2</t>
  </si>
  <si>
    <t>MARCKSL1</t>
  </si>
  <si>
    <t>NR2C2</t>
  </si>
  <si>
    <t>MAPKAPK2</t>
  </si>
  <si>
    <t>ALDH9A1</t>
  </si>
  <si>
    <t>RPL34</t>
  </si>
  <si>
    <t>RPIA</t>
  </si>
  <si>
    <t>NASP</t>
  </si>
  <si>
    <t>FASN</t>
  </si>
  <si>
    <t>CDK8</t>
  </si>
  <si>
    <t>FNTA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</si>
  <si>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</si>
  <si>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</si>
  <si>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</si>
  <si>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</si>
  <si>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</si>
  <si>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</si>
  <si>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</si>
  <si>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</si>
  <si>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CENPF</t>
  </si>
  <si>
    <t>SRP9</t>
  </si>
  <si>
    <t>UBE2A</t>
  </si>
  <si>
    <t>PCYT1A</t>
  </si>
  <si>
    <t>AARS</t>
  </si>
  <si>
    <t>CARS</t>
  </si>
  <si>
    <t>SARS</t>
  </si>
  <si>
    <t>PRIM1</t>
  </si>
  <si>
    <t>PRIM2</t>
  </si>
  <si>
    <t>CASP4</t>
  </si>
  <si>
    <t>CSNK1E</t>
  </si>
  <si>
    <t>CTCF</t>
  </si>
  <si>
    <t>CEBPD</t>
  </si>
  <si>
    <t>PSMB3</t>
  </si>
  <si>
    <t>PSMB2</t>
  </si>
  <si>
    <t>MCM2</t>
  </si>
  <si>
    <t>ACADVL</t>
  </si>
  <si>
    <t>YLPM1</t>
  </si>
  <si>
    <t>RBM25</t>
  </si>
  <si>
    <t>NUMB</t>
  </si>
  <si>
    <t>EIF2B2</t>
  </si>
  <si>
    <t>HINT1</t>
  </si>
  <si>
    <t>NUP153</t>
  </si>
  <si>
    <t>RANBP2</t>
  </si>
  <si>
    <t>RGS3</t>
  </si>
  <si>
    <t>NDUFV1</t>
  </si>
  <si>
    <t>GSK3A</t>
  </si>
  <si>
    <t>GSK3B</t>
  </si>
  <si>
    <t>TAF6</t>
  </si>
  <si>
    <t>NT5C2</t>
  </si>
  <si>
    <t>SEPHS1</t>
  </si>
  <si>
    <t>MTHFS</t>
  </si>
  <si>
    <t>GMPS</t>
  </si>
  <si>
    <t>LIG3</t>
  </si>
  <si>
    <t>MRE11A</t>
  </si>
  <si>
    <t>KHK</t>
  </si>
  <si>
    <t>HNMT</t>
  </si>
  <si>
    <t>IDH3A</t>
  </si>
  <si>
    <t>MNX1</t>
  </si>
  <si>
    <t>SULT1A3</t>
  </si>
  <si>
    <t>CRIP1</t>
  </si>
  <si>
    <t>PPOX</t>
  </si>
  <si>
    <t>GDI2</t>
  </si>
  <si>
    <t>EMD</t>
  </si>
  <si>
    <t>GATM</t>
  </si>
  <si>
    <t>SERPINB8</t>
  </si>
  <si>
    <t>SERPINB9</t>
  </si>
  <si>
    <t>SERPINH1</t>
  </si>
  <si>
    <t>ST13</t>
  </si>
  <si>
    <t>PEX5</t>
  </si>
  <si>
    <t>VASP</t>
  </si>
  <si>
    <t>NUDT2</t>
  </si>
  <si>
    <t>CDK7</t>
  </si>
  <si>
    <t>TOB1</t>
  </si>
  <si>
    <t>HLCS</t>
  </si>
  <si>
    <t>KNTC1</t>
  </si>
  <si>
    <t>RASSF2</t>
  </si>
  <si>
    <t>CDK9</t>
  </si>
  <si>
    <t>LRBA</t>
  </si>
  <si>
    <t>BCAM</t>
  </si>
  <si>
    <t>PPT1</t>
  </si>
  <si>
    <t>CCT8</t>
  </si>
  <si>
    <t>CCT4</t>
  </si>
  <si>
    <t>PAPOLA</t>
  </si>
  <si>
    <t>FXR2</t>
  </si>
  <si>
    <t>RAB5C</t>
  </si>
  <si>
    <t>RAB7A</t>
  </si>
  <si>
    <t>RAB13</t>
  </si>
  <si>
    <t>RAB28</t>
  </si>
  <si>
    <t>FABP6</t>
  </si>
  <si>
    <t>PLCD1</t>
  </si>
  <si>
    <t>DAP</t>
  </si>
  <si>
    <t>DAP3</t>
  </si>
  <si>
    <t>DUSP3</t>
  </si>
  <si>
    <t>NOVA1</t>
  </si>
  <si>
    <t>SMARCA2</t>
  </si>
  <si>
    <t>IDH3G</t>
  </si>
  <si>
    <t>GALK1</t>
  </si>
  <si>
    <t>BCAP31</t>
  </si>
  <si>
    <t>TPMT</t>
  </si>
  <si>
    <t>BRCA2</t>
  </si>
  <si>
    <t>CYP2J2</t>
  </si>
  <si>
    <t>MECP2</t>
  </si>
  <si>
    <t>HCFC1</t>
  </si>
  <si>
    <t>IRAK1</t>
  </si>
  <si>
    <t>ALDH5A1</t>
  </si>
  <si>
    <t>HSD17B4</t>
  </si>
  <si>
    <t>PSMD7</t>
  </si>
  <si>
    <t>UBE2D1</t>
  </si>
  <si>
    <t>SUOX</t>
  </si>
  <si>
    <t>SGSH</t>
  </si>
  <si>
    <t>STAT5B</t>
  </si>
  <si>
    <t>DYNLT3</t>
  </si>
  <si>
    <t>RPS6KA3</t>
  </si>
  <si>
    <t>PRKX</t>
  </si>
  <si>
    <t>AFF1</t>
  </si>
  <si>
    <t>NR0B1</t>
  </si>
  <si>
    <t>AKR1D1</t>
  </si>
  <si>
    <t>HDGF</t>
  </si>
  <si>
    <t>MNAT1</t>
  </si>
  <si>
    <t>HNRNPA3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</si>
  <si>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</si>
  <si>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</si>
  <si>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</si>
  <si>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</si>
  <si>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</si>
  <si>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</si>
  <si>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</si>
  <si>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</si>
  <si>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STAT2</t>
  </si>
  <si>
    <t>GTF2A1</t>
  </si>
  <si>
    <t>GTF2A2</t>
  </si>
  <si>
    <t>MSH6</t>
  </si>
  <si>
    <t>KIF11</t>
  </si>
  <si>
    <t>VAV2</t>
  </si>
  <si>
    <t>ZNF131</t>
  </si>
  <si>
    <t>ZNF143</t>
  </si>
  <si>
    <t>HRSP12</t>
  </si>
  <si>
    <t>SMS</t>
  </si>
  <si>
    <t>MRPL12</t>
  </si>
  <si>
    <t>DGKQ</t>
  </si>
  <si>
    <t>THOP1</t>
  </si>
  <si>
    <t>AKR1C2</t>
  </si>
  <si>
    <t>CAPZA1</t>
  </si>
  <si>
    <t>CRIP2</t>
  </si>
  <si>
    <t>NUP98</t>
  </si>
  <si>
    <t>BLVRA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</si>
  <si>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</si>
  <si>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</si>
  <si>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</si>
  <si>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</si>
  <si>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</si>
  <si>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</si>
  <si>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</si>
  <si>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</si>
  <si>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</si>
  <si>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</si>
  <si>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</si>
  <si>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</si>
  <si>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</si>
  <si>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</si>
  <si>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AP2S1</t>
  </si>
  <si>
    <t>MAPK12</t>
  </si>
  <si>
    <t>POLR2K</t>
  </si>
  <si>
    <t>RCAN1</t>
  </si>
  <si>
    <t>SMTN</t>
  </si>
  <si>
    <t>SLC16A1</t>
  </si>
  <si>
    <t>IST1</t>
  </si>
  <si>
    <t>SEC24C</t>
  </si>
  <si>
    <t>SUB1</t>
  </si>
  <si>
    <t>RARS</t>
  </si>
  <si>
    <t>HIRA</t>
  </si>
  <si>
    <t>ATN1</t>
  </si>
  <si>
    <t>PMS1</t>
  </si>
  <si>
    <t>PMS2</t>
  </si>
  <si>
    <t>YARS</t>
  </si>
  <si>
    <t>USP14</t>
  </si>
  <si>
    <t>PRKAG1</t>
  </si>
  <si>
    <t>PRKAA2</t>
  </si>
  <si>
    <t>HSPA2</t>
  </si>
  <si>
    <t>BCAT1</t>
  </si>
  <si>
    <t>RAD23B</t>
  </si>
  <si>
    <t>NAGLU</t>
  </si>
  <si>
    <t>AK2</t>
  </si>
  <si>
    <t>ALDH18A1</t>
  </si>
  <si>
    <t>NAPA</t>
  </si>
  <si>
    <t>ADPRH</t>
  </si>
  <si>
    <t>EIF5</t>
  </si>
  <si>
    <t>PSMD4</t>
  </si>
  <si>
    <t>DRG2</t>
  </si>
  <si>
    <t>CSE1L</t>
  </si>
  <si>
    <t>VCP</t>
  </si>
  <si>
    <t>MFAP1</t>
  </si>
  <si>
    <t>MANF</t>
  </si>
  <si>
    <t>MLLT4</t>
  </si>
  <si>
    <t>ELL</t>
  </si>
  <si>
    <t>CASP7</t>
  </si>
  <si>
    <t>CASP9</t>
  </si>
  <si>
    <t>CASP6</t>
  </si>
  <si>
    <t>ADK</t>
  </si>
  <si>
    <t>ADAR</t>
  </si>
  <si>
    <t>LAMB2</t>
  </si>
  <si>
    <t>CDKN2D</t>
  </si>
  <si>
    <t>PRMT2</t>
  </si>
  <si>
    <t>SEC13</t>
  </si>
  <si>
    <t>NHP2L1</t>
  </si>
  <si>
    <t>HNRNPH2</t>
  </si>
  <si>
    <t>OXCT1</t>
  </si>
  <si>
    <t>SUMO3</t>
  </si>
  <si>
    <t>EIF3B</t>
  </si>
  <si>
    <t>NDUFV3</t>
  </si>
  <si>
    <t>MARS</t>
  </si>
  <si>
    <t>ARPP19</t>
  </si>
  <si>
    <t>CMC4</t>
  </si>
  <si>
    <t>POLE2</t>
  </si>
  <si>
    <t>HDAC4</t>
  </si>
  <si>
    <t>EIF6</t>
  </si>
  <si>
    <t>CTBP2</t>
  </si>
  <si>
    <t>BCAR1</t>
  </si>
  <si>
    <t>STX17</t>
  </si>
  <si>
    <t>C21orf59</t>
  </si>
  <si>
    <t>WDR4</t>
  </si>
  <si>
    <t>SYNJ2BP</t>
  </si>
  <si>
    <t>CORO7</t>
  </si>
  <si>
    <t>NUP107</t>
  </si>
  <si>
    <t>GSDMD</t>
  </si>
  <si>
    <t>SNX16</t>
  </si>
  <si>
    <t>EEFSEC</t>
  </si>
  <si>
    <t>MTPN</t>
  </si>
  <si>
    <t>AP3S2</t>
  </si>
  <si>
    <t>ARPC4</t>
  </si>
  <si>
    <t>TPI1</t>
  </si>
  <si>
    <t>EIF3E</t>
  </si>
  <si>
    <t>SEC61B</t>
  </si>
  <si>
    <t>PPP4C</t>
  </si>
  <si>
    <t>GABARAPL2</t>
  </si>
  <si>
    <t>ACTB</t>
  </si>
  <si>
    <t>RAC3</t>
  </si>
  <si>
    <t>EIF4A1</t>
  </si>
  <si>
    <t>RPS20</t>
  </si>
  <si>
    <t>SNAP25</t>
  </si>
  <si>
    <t>PRPS1</t>
  </si>
  <si>
    <t>PSMA6</t>
  </si>
  <si>
    <t>S100A10</t>
  </si>
  <si>
    <t>CDC42</t>
  </si>
  <si>
    <t>DSTN</t>
  </si>
  <si>
    <t>GMFB</t>
  </si>
  <si>
    <t>RAB8A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</si>
  <si>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</si>
  <si>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</si>
  <si>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</si>
  <si>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</si>
  <si>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</si>
  <si>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</si>
  <si>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</si>
  <si>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</si>
  <si>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</si>
  <si>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</si>
  <si>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</si>
  <si>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</si>
  <si>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</si>
  <si>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</si>
  <si>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</si>
  <si>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</si>
  <si>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</si>
  <si>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MAX</t>
  </si>
  <si>
    <t>RPS3A</t>
  </si>
  <si>
    <t>RPL26</t>
  </si>
  <si>
    <t>PSME3</t>
  </si>
  <si>
    <t>RPL15</t>
  </si>
  <si>
    <t>RPL27</t>
  </si>
  <si>
    <t>PCBD1</t>
  </si>
  <si>
    <t>RHOA</t>
  </si>
  <si>
    <t>RND3</t>
  </si>
  <si>
    <t>NAA20</t>
  </si>
  <si>
    <t>HSPE1</t>
  </si>
  <si>
    <t>VBP1</t>
  </si>
  <si>
    <t>COPZ1</t>
  </si>
  <si>
    <t>RPL37</t>
  </si>
  <si>
    <t>GNG11</t>
  </si>
  <si>
    <t>SUMO2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</si>
  <si>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</si>
  <si>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</si>
  <si>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</si>
  <si>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</si>
  <si>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</si>
  <si>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</si>
  <si>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</si>
  <si>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</si>
  <si>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</si>
  <si>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</si>
  <si>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</si>
  <si>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CALM1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</si>
  <si>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</si>
  <si>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</si>
  <si>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</si>
  <si>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</si>
  <si>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</si>
  <si>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</si>
  <si>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</si>
  <si>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</si>
  <si>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</si>
  <si>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</si>
  <si>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</si>
  <si>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</si>
  <si>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</si>
  <si>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</si>
  <si>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</si>
  <si>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</si>
  <si>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</si>
  <si>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</si>
  <si>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</si>
  <si>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</si>
  <si>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</si>
  <si>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</si>
  <si>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</si>
  <si>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</si>
  <si>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</si>
  <si>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</si>
  <si>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</si>
  <si>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</si>
  <si>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RPS4X</t>
  </si>
  <si>
    <t>PPP2CB</t>
  </si>
  <si>
    <t>ACTA2</t>
  </si>
  <si>
    <t>RPL23A</t>
  </si>
  <si>
    <t>RPS6</t>
  </si>
  <si>
    <t>HIST1H4A</t>
  </si>
  <si>
    <t>RAB1A</t>
  </si>
  <si>
    <t>RAN</t>
  </si>
  <si>
    <t>RPL23</t>
  </si>
  <si>
    <t>UBE2D2</t>
  </si>
  <si>
    <t>RPS24</t>
  </si>
  <si>
    <t>RPS25</t>
  </si>
  <si>
    <t>RPS26</t>
  </si>
  <si>
    <t>RPS28</t>
  </si>
  <si>
    <t>GNB1</t>
  </si>
  <si>
    <t>POLR2L</t>
  </si>
  <si>
    <t>RBX1</t>
  </si>
  <si>
    <t>RPL30</t>
  </si>
  <si>
    <t>RPL10A</t>
  </si>
  <si>
    <t>RPL8</t>
  </si>
  <si>
    <t>FKBP1A</t>
  </si>
  <si>
    <t>GRB2</t>
  </si>
  <si>
    <t>TRA2B</t>
  </si>
  <si>
    <t>RAC1</t>
  </si>
  <si>
    <t>AP2B1</t>
  </si>
  <si>
    <t>GNAI1</t>
  </si>
  <si>
    <t>YWHAZ</t>
  </si>
  <si>
    <t>PPP2R2A</t>
  </si>
  <si>
    <t>DYNLL1</t>
  </si>
  <si>
    <t>RPL38</t>
  </si>
  <si>
    <t>EIF5A</t>
  </si>
  <si>
    <t>GNB2L1</t>
  </si>
  <si>
    <t>ACTG1</t>
  </si>
  <si>
    <t>SUPT4H1</t>
  </si>
  <si>
    <t>TMSB10</t>
  </si>
  <si>
    <t>PPP2CA</t>
  </si>
  <si>
    <t>YBX1</t>
  </si>
  <si>
    <t>CSNK2B</t>
  </si>
  <si>
    <t>UBE2L3</t>
  </si>
  <si>
    <t>EEF1A1</t>
  </si>
  <si>
    <t>FKBP1B</t>
  </si>
  <si>
    <t>ACTA1</t>
  </si>
  <si>
    <t>TUBA1B</t>
  </si>
  <si>
    <t>TUBB4B</t>
  </si>
  <si>
    <t>PAFAH1B2</t>
  </si>
  <si>
    <t>NOP14</t>
  </si>
  <si>
    <t>IGBP1</t>
  </si>
  <si>
    <t>SIRPA</t>
  </si>
  <si>
    <t>PSPH</t>
  </si>
  <si>
    <t>RBM6</t>
  </si>
  <si>
    <t>RPP38</t>
  </si>
  <si>
    <t>RPP30</t>
  </si>
  <si>
    <t>GTF2I</t>
  </si>
  <si>
    <t>PIP4K2B</t>
  </si>
  <si>
    <t>PHC1</t>
  </si>
  <si>
    <t>CCT2</t>
  </si>
  <si>
    <t>RAE1</t>
  </si>
  <si>
    <t>GSTO1</t>
  </si>
  <si>
    <t>JAG1</t>
  </si>
  <si>
    <t>PRKDC</t>
  </si>
  <si>
    <t>BLOC1S1</t>
  </si>
  <si>
    <t>NTHL1</t>
  </si>
  <si>
    <t>MAP1A</t>
  </si>
  <si>
    <t>CRADD</t>
  </si>
  <si>
    <t>LCN2</t>
  </si>
  <si>
    <t>IFI35</t>
  </si>
  <si>
    <t>MT1X</t>
  </si>
  <si>
    <t>NUCB2</t>
  </si>
  <si>
    <t>BASP1</t>
  </si>
  <si>
    <t>DCD</t>
  </si>
  <si>
    <t>TMF1</t>
  </si>
  <si>
    <t>MRPS36</t>
  </si>
  <si>
    <t>MRPS34</t>
  </si>
  <si>
    <t>MRPS6</t>
  </si>
  <si>
    <t>SARNP</t>
  </si>
  <si>
    <t>COG7</t>
  </si>
  <si>
    <t>RPL36A</t>
  </si>
  <si>
    <t>SMAD3</t>
  </si>
  <si>
    <t>ARF1</t>
  </si>
  <si>
    <t>ARF5</t>
  </si>
  <si>
    <t>ERH</t>
  </si>
  <si>
    <t>RHOG</t>
  </si>
  <si>
    <t>SERF2</t>
  </si>
  <si>
    <t>FOXK1</t>
  </si>
  <si>
    <t>PRR5</t>
  </si>
  <si>
    <t>CCZ1</t>
  </si>
  <si>
    <t>DAB2</t>
  </si>
  <si>
    <t>MUC5AC</t>
  </si>
  <si>
    <t>VLDLR</t>
  </si>
  <si>
    <t>HSPG2</t>
  </si>
  <si>
    <t>XIAP</t>
  </si>
  <si>
    <t>FGD1</t>
  </si>
  <si>
    <t>RBM10</t>
  </si>
  <si>
    <t>RBM3</t>
  </si>
  <si>
    <t>MPP1</t>
  </si>
  <si>
    <t>TFAM</t>
  </si>
  <si>
    <t>PITPNA</t>
  </si>
  <si>
    <t>HDLBP</t>
  </si>
  <si>
    <t>GTF2B</t>
  </si>
  <si>
    <t>CDK3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</si>
  <si>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</si>
  <si>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</si>
  <si>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</si>
  <si>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</si>
  <si>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</si>
  <si>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</si>
  <si>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</si>
  <si>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</si>
  <si>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SORD</t>
  </si>
  <si>
    <t>HNRNPU</t>
  </si>
  <si>
    <t>IRF9</t>
  </si>
  <si>
    <t>U2AF1</t>
  </si>
  <si>
    <t>SPTBN1</t>
  </si>
  <si>
    <t>TIAL1</t>
  </si>
  <si>
    <t>SET</t>
  </si>
  <si>
    <t>FOXK2</t>
  </si>
  <si>
    <t>AMPD3</t>
  </si>
  <si>
    <t>AMPD2</t>
  </si>
  <si>
    <t>CTBS</t>
  </si>
  <si>
    <t>CAP1</t>
  </si>
  <si>
    <t>HMGCS1</t>
  </si>
  <si>
    <t>SLC7A5</t>
  </si>
  <si>
    <t>DR1</t>
  </si>
  <si>
    <t>EXOSC10</t>
  </si>
  <si>
    <t>OTUD4</t>
  </si>
  <si>
    <t>PFKP</t>
  </si>
  <si>
    <t>EWSR1</t>
  </si>
  <si>
    <t>CDR2</t>
  </si>
  <si>
    <t>OCRL</t>
  </si>
  <si>
    <t>PLCB3</t>
  </si>
  <si>
    <t>ROR1</t>
  </si>
  <si>
    <t>TAGLN</t>
  </si>
  <si>
    <t>AKAP17A</t>
  </si>
  <si>
    <t>MEF2A</t>
  </si>
  <si>
    <t>NAAA</t>
  </si>
  <si>
    <t>SP2</t>
  </si>
  <si>
    <t>PRKCE</t>
  </si>
  <si>
    <t>CENPE</t>
  </si>
  <si>
    <t>KIF23</t>
  </si>
  <si>
    <t>NRG1</t>
  </si>
  <si>
    <t>APBA1</t>
  </si>
  <si>
    <t>DSG1</t>
  </si>
  <si>
    <t>SP3</t>
  </si>
  <si>
    <t>RPL18A</t>
  </si>
  <si>
    <t>MAP2K1</t>
  </si>
  <si>
    <t>FKBP4</t>
  </si>
  <si>
    <t>PLOD1</t>
  </si>
  <si>
    <t>NUCB1</t>
  </si>
  <si>
    <t>RASSF7</t>
  </si>
  <si>
    <t>TOP2B</t>
  </si>
  <si>
    <t>AKAP12</t>
  </si>
  <si>
    <t>DST</t>
  </si>
  <si>
    <t>MLLT1</t>
  </si>
  <si>
    <t>CAV1</t>
  </si>
  <si>
    <t>ACY1</t>
  </si>
  <si>
    <t>MLL</t>
  </si>
  <si>
    <t>TNFAIP2</t>
  </si>
  <si>
    <t>LMNB2</t>
  </si>
  <si>
    <t>PTS</t>
  </si>
  <si>
    <t>ERCC6</t>
  </si>
  <si>
    <t>CEBPZ</t>
  </si>
  <si>
    <t>GBE1</t>
  </si>
  <si>
    <t>ATP7A</t>
  </si>
  <si>
    <t>TLE1</t>
  </si>
  <si>
    <t>TLE3</t>
  </si>
  <si>
    <t>HGFAC</t>
  </si>
  <si>
    <t>GLO1</t>
  </si>
  <si>
    <t>AKR1C1</t>
  </si>
  <si>
    <t>SSBP1</t>
  </si>
  <si>
    <t>YWHAH</t>
  </si>
  <si>
    <t>CSTF1</t>
  </si>
  <si>
    <t>UBE3A</t>
  </si>
  <si>
    <t>DNM1</t>
  </si>
  <si>
    <t>PTPN12</t>
  </si>
  <si>
    <t>PRKCZ</t>
  </si>
  <si>
    <t>SRSF11</t>
  </si>
  <si>
    <t>EEF1A2</t>
  </si>
  <si>
    <t>PRKCD</t>
  </si>
  <si>
    <t>RNASEL</t>
  </si>
  <si>
    <t>PTPN11</t>
  </si>
  <si>
    <t>PPP2R3A</t>
  </si>
  <si>
    <t>PPAT</t>
  </si>
  <si>
    <t>GFPT1</t>
  </si>
  <si>
    <t>EXOSC9</t>
  </si>
  <si>
    <t>PSME1</t>
  </si>
  <si>
    <t>RBPJ</t>
  </si>
  <si>
    <t>GABPA</t>
  </si>
  <si>
    <t>RING1</t>
  </si>
  <si>
    <t>RAD51</t>
  </si>
  <si>
    <t>SOX4</t>
  </si>
  <si>
    <t>RPL18</t>
  </si>
  <si>
    <t>C1QBP</t>
  </si>
  <si>
    <t>CKAP4</t>
  </si>
  <si>
    <t>TCHH</t>
  </si>
  <si>
    <t>PDE4B</t>
  </si>
  <si>
    <t>SPAG1</t>
  </si>
  <si>
    <t>KHDRBS1</t>
  </si>
  <si>
    <t>BAX</t>
  </si>
  <si>
    <t>MCL1</t>
  </si>
  <si>
    <t>KLC1</t>
  </si>
  <si>
    <t>LRP1</t>
  </si>
  <si>
    <t>SRSF1</t>
  </si>
  <si>
    <t>ARHGAP1</t>
  </si>
  <si>
    <t>AES</t>
  </si>
  <si>
    <t>SRSF4</t>
  </si>
  <si>
    <t>PPP3CA</t>
  </si>
  <si>
    <t>DHX9</t>
  </si>
  <si>
    <t>CRYZ</t>
  </si>
  <si>
    <t>GOLGA3</t>
  </si>
  <si>
    <t>GOLGA2</t>
  </si>
  <si>
    <t>LGALS3BP</t>
  </si>
  <si>
    <t>EPB49</t>
  </si>
  <si>
    <t>PDE4D</t>
  </si>
  <si>
    <t>PPID</t>
  </si>
  <si>
    <t>SSRP1</t>
  </si>
  <si>
    <t>RBL2</t>
  </si>
  <si>
    <t>CAMSAP2</t>
  </si>
  <si>
    <t>SPIRE1</t>
  </si>
  <si>
    <t>SLFN5</t>
  </si>
  <si>
    <t>MZT1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</si>
  <si>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</si>
  <si>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</si>
  <si>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</si>
  <si>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</si>
  <si>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</si>
  <si>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</si>
  <si>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</si>
  <si>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</si>
  <si>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</si>
  <si>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</si>
  <si>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CGNL1</t>
  </si>
  <si>
    <t>FAAP100</t>
  </si>
  <si>
    <t>LAMTOR4</t>
  </si>
  <si>
    <t>AP1B1</t>
  </si>
  <si>
    <t>CPSF1</t>
  </si>
  <si>
    <t>PMPCA</t>
  </si>
  <si>
    <t>KIF1A</t>
  </si>
  <si>
    <t>SCRN1</t>
  </si>
  <si>
    <t>KIAA0196</t>
  </si>
  <si>
    <t>NUP160</t>
  </si>
  <si>
    <t>SREBF2</t>
  </si>
  <si>
    <t>ARHGEF5</t>
  </si>
  <si>
    <t>GTF3C1</t>
  </si>
  <si>
    <t>TWF1</t>
  </si>
  <si>
    <t>ASPH</t>
  </si>
  <si>
    <t>AKAP13</t>
  </si>
  <si>
    <t>SMARCB1</t>
  </si>
  <si>
    <t>BPTF</t>
  </si>
  <si>
    <t>FSTL1</t>
  </si>
  <si>
    <t>STX4</t>
  </si>
  <si>
    <t>GRSF1</t>
  </si>
  <si>
    <t>CNTN1</t>
  </si>
  <si>
    <t>SFSWAP</t>
  </si>
  <si>
    <t>SF3A3</t>
  </si>
  <si>
    <t>DPYD</t>
  </si>
  <si>
    <t>TP53BP1</t>
  </si>
  <si>
    <t>AIMP1</t>
  </si>
  <si>
    <t>ILF2</t>
  </si>
  <si>
    <t>ILF3</t>
  </si>
  <si>
    <t>PTPRJ</t>
  </si>
  <si>
    <t>PTPN13</t>
  </si>
  <si>
    <t>EPS8</t>
  </si>
  <si>
    <t>TRAF2</t>
  </si>
  <si>
    <t>ANK3</t>
  </si>
  <si>
    <t>DLG1</t>
  </si>
  <si>
    <t>TAF10</t>
  </si>
  <si>
    <t>MYO1E</t>
  </si>
  <si>
    <t>PPP1R8</t>
  </si>
  <si>
    <t>PTP4A2</t>
  </si>
  <si>
    <t>ABR</t>
  </si>
  <si>
    <t>BNIP1</t>
  </si>
  <si>
    <t>NFX1</t>
  </si>
  <si>
    <t>CSTF3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</si>
  <si>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</si>
  <si>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</si>
  <si>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</si>
  <si>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</si>
  <si>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</si>
  <si>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</si>
  <si>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</si>
  <si>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</si>
  <si>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TRAF1</t>
  </si>
  <si>
    <t>ACACA</t>
  </si>
  <si>
    <t>CHAF1A</t>
  </si>
  <si>
    <t>CHAF1B</t>
  </si>
  <si>
    <t>TRAF3</t>
  </si>
  <si>
    <t>DUSP4</t>
  </si>
  <si>
    <t>KLF10</t>
  </si>
  <si>
    <t>IK</t>
  </si>
  <si>
    <t>REST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</si>
  <si>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</si>
  <si>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</si>
  <si>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</si>
  <si>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</si>
  <si>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</si>
  <si>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</si>
  <si>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</si>
  <si>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</si>
  <si>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</si>
  <si>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</si>
  <si>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</si>
  <si>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</si>
  <si>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</si>
  <si>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</si>
  <si>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CBLB</t>
  </si>
  <si>
    <t>PSMD2</t>
  </si>
  <si>
    <t>DDX10</t>
  </si>
  <si>
    <t>DNAJC3</t>
  </si>
  <si>
    <t>PAPPA</t>
  </si>
  <si>
    <t>SELENBP1</t>
  </si>
  <si>
    <t>NME3</t>
  </si>
  <si>
    <t>MAP3K1</t>
  </si>
  <si>
    <t>SRSF9</t>
  </si>
  <si>
    <t>SRSF5</t>
  </si>
  <si>
    <t>SRSF6</t>
  </si>
  <si>
    <t>GRM1</t>
  </si>
  <si>
    <t>MAD2L1</t>
  </si>
  <si>
    <t>TRIM28</t>
  </si>
  <si>
    <t>STX3</t>
  </si>
  <si>
    <t>G3BP1</t>
  </si>
  <si>
    <t>NMI</t>
  </si>
  <si>
    <t>KCNAB2</t>
  </si>
  <si>
    <t>PTK7</t>
  </si>
  <si>
    <t>SKP2</t>
  </si>
  <si>
    <t>PABPC4</t>
  </si>
  <si>
    <t>ATM</t>
  </si>
  <si>
    <t>GRB10</t>
  </si>
  <si>
    <t>IFIT5</t>
  </si>
  <si>
    <t>MTA1</t>
  </si>
  <si>
    <t>PTPRS</t>
  </si>
  <si>
    <t>EIF3I</t>
  </si>
  <si>
    <t>PPP2R5C</t>
  </si>
  <si>
    <t>CTBP1</t>
  </si>
  <si>
    <t>PDCL</t>
  </si>
  <si>
    <t>TARBP1</t>
  </si>
  <si>
    <t>UBE2V1</t>
  </si>
  <si>
    <t>DYNC1I2</t>
  </si>
  <si>
    <t>ORC2</t>
  </si>
  <si>
    <t>ILK</t>
  </si>
  <si>
    <t>SNTB2</t>
  </si>
  <si>
    <t>XRCC4</t>
  </si>
  <si>
    <t>PPIG</t>
  </si>
  <si>
    <t>TCOF1</t>
  </si>
  <si>
    <t>UNC119</t>
  </si>
  <si>
    <t>SLC39A6</t>
  </si>
  <si>
    <t>GOLGA4</t>
  </si>
  <si>
    <t>PDAP1</t>
  </si>
  <si>
    <t>ADAM9</t>
  </si>
  <si>
    <t>FKBP5</t>
  </si>
  <si>
    <t>ROCK1</t>
  </si>
  <si>
    <t>GAB1</t>
  </si>
  <si>
    <t>PICALM</t>
  </si>
  <si>
    <t>MTM1</t>
  </si>
  <si>
    <t>SQSTM1</t>
  </si>
  <si>
    <t>MED21</t>
  </si>
  <si>
    <t>NAB1</t>
  </si>
  <si>
    <t>TUBB3</t>
  </si>
  <si>
    <t>OLIG2</t>
  </si>
  <si>
    <t>PIN1</t>
  </si>
  <si>
    <t>ATR</t>
  </si>
  <si>
    <t>EIF4EBP1</t>
  </si>
  <si>
    <t>RIPK1</t>
  </si>
  <si>
    <t>HDAC1</t>
  </si>
  <si>
    <t>CAMK2D</t>
  </si>
  <si>
    <t>DCTN2</t>
  </si>
  <si>
    <t>PKD2</t>
  </si>
  <si>
    <t>NAE1</t>
  </si>
  <si>
    <t>IRF5</t>
  </si>
  <si>
    <t>ITPK1</t>
  </si>
  <si>
    <t>SNX1</t>
  </si>
  <si>
    <t>MTMR1</t>
  </si>
  <si>
    <t>MTMR2</t>
  </si>
  <si>
    <t>MTMR3</t>
  </si>
  <si>
    <t>CUL1</t>
  </si>
  <si>
    <t>CUL2</t>
  </si>
  <si>
    <t>CUL3</t>
  </si>
  <si>
    <t>CUL4A</t>
  </si>
  <si>
    <t>TP53BP2</t>
  </si>
  <si>
    <t>DYRK1A</t>
  </si>
  <si>
    <t>TSTA3</t>
  </si>
  <si>
    <t>RAB32</t>
  </si>
  <si>
    <t>TPBG</t>
  </si>
  <si>
    <t>FHL1</t>
  </si>
  <si>
    <t>FHL3</t>
  </si>
  <si>
    <t>PMS2P11</t>
  </si>
  <si>
    <t>RIN1</t>
  </si>
  <si>
    <t>ALKBH1</t>
  </si>
  <si>
    <t>ALCAM</t>
  </si>
  <si>
    <t>THOC5</t>
  </si>
  <si>
    <t>SHROOM2</t>
  </si>
  <si>
    <t>SPTAN1</t>
  </si>
  <si>
    <t>AUH</t>
  </si>
  <si>
    <t>DDX39B</t>
  </si>
  <si>
    <t>BLMH</t>
  </si>
  <si>
    <t>EXOSC2</t>
  </si>
  <si>
    <t>TUBB2A</t>
  </si>
  <si>
    <t>KLF5</t>
  </si>
  <si>
    <t>BYSL</t>
  </si>
  <si>
    <t>IDI1</t>
  </si>
  <si>
    <t>CAPS</t>
  </si>
  <si>
    <t>CBFB</t>
  </si>
  <si>
    <t>NFYC</t>
  </si>
  <si>
    <t>CDK13</t>
  </si>
  <si>
    <t>CKAP5</t>
  </si>
  <si>
    <t>CIRBP</t>
  </si>
  <si>
    <t>CAMK1</t>
  </si>
  <si>
    <t>COTL1</t>
  </si>
  <si>
    <t>BAAT</t>
  </si>
  <si>
    <t>COX17</t>
  </si>
  <si>
    <t>HNRNPD</t>
  </si>
  <si>
    <t>SCARB2</t>
  </si>
  <si>
    <t>LRP8</t>
  </si>
  <si>
    <t>IL18</t>
  </si>
  <si>
    <t>DAG1</t>
  </si>
  <si>
    <t>PDE1C</t>
  </si>
  <si>
    <t>DSG2</t>
  </si>
  <si>
    <t>BOP1</t>
  </si>
  <si>
    <t>UBE4A</t>
  </si>
  <si>
    <t>SEPT6</t>
  </si>
  <si>
    <t>KEAP1</t>
  </si>
  <si>
    <t>DHX34</t>
  </si>
  <si>
    <t>MORC3</t>
  </si>
  <si>
    <t>EIF3A</t>
  </si>
  <si>
    <t>ARHGEF7</t>
  </si>
  <si>
    <t>SCRIB</t>
  </si>
  <si>
    <t>GIT2</t>
  </si>
  <si>
    <t>TTLL12</t>
  </si>
  <si>
    <t>POLA2</t>
  </si>
  <si>
    <t>DOCK1</t>
  </si>
  <si>
    <t>WRN</t>
  </si>
  <si>
    <t>FHL2</t>
  </si>
  <si>
    <t>DPYSL3</t>
  </si>
  <si>
    <t>ZMYM3</t>
  </si>
  <si>
    <t>DCTN1</t>
  </si>
  <si>
    <t>DYNC1H1</t>
  </si>
  <si>
    <t>NPAT</t>
  </si>
  <si>
    <t>EIF2B1</t>
  </si>
  <si>
    <t>EIF4A2</t>
  </si>
  <si>
    <t>TCEB3</t>
  </si>
  <si>
    <t>MAP7</t>
  </si>
  <si>
    <t>CTTN</t>
  </si>
  <si>
    <t>ENDOG</t>
  </si>
  <si>
    <t>RCN2</t>
  </si>
  <si>
    <t>TRIM25</t>
  </si>
  <si>
    <t>PTK2B</t>
  </si>
  <si>
    <t>FLNC</t>
  </si>
  <si>
    <t>FAM50A</t>
  </si>
  <si>
    <t>FRG1</t>
  </si>
  <si>
    <t>GAMT</t>
  </si>
  <si>
    <t>GALE</t>
  </si>
  <si>
    <t>PDE3A</t>
  </si>
  <si>
    <t>CAPRIN1</t>
  </si>
  <si>
    <t>GRB14</t>
  </si>
  <si>
    <t>GRB7</t>
  </si>
  <si>
    <t>BECN1</t>
  </si>
  <si>
    <t>HES1</t>
  </si>
  <si>
    <t>SLBP</t>
  </si>
  <si>
    <t>RBM39</t>
  </si>
  <si>
    <t>NEDD9</t>
  </si>
  <si>
    <t>FAT1</t>
  </si>
  <si>
    <t>HABP2</t>
  </si>
  <si>
    <t>HLTF</t>
  </si>
  <si>
    <t>PDIA5</t>
  </si>
  <si>
    <t>PRPSAP1</t>
  </si>
  <si>
    <t>DHX8</t>
  </si>
  <si>
    <t>MCM6</t>
  </si>
  <si>
    <t>PLS1</t>
  </si>
  <si>
    <t>IRF3</t>
  </si>
  <si>
    <t>LAGE3</t>
  </si>
  <si>
    <t>TRIP12</t>
  </si>
  <si>
    <t>PUM1</t>
  </si>
  <si>
    <t>MDC1</t>
  </si>
  <si>
    <t>CLINT1</t>
  </si>
  <si>
    <t>KANK1</t>
  </si>
  <si>
    <t>KCTD2</t>
  </si>
  <si>
    <t>SMC1A</t>
  </si>
  <si>
    <t>RRP1B</t>
  </si>
  <si>
    <t>NCOA6</t>
  </si>
  <si>
    <t>GSE1</t>
  </si>
  <si>
    <t>DIP2A</t>
  </si>
  <si>
    <t>GINS1</t>
  </si>
  <si>
    <t>USP10</t>
  </si>
  <si>
    <t>MESDC2</t>
  </si>
  <si>
    <t>GANAB</t>
  </si>
  <si>
    <t>MVP</t>
  </si>
  <si>
    <t>GOLGB1</t>
  </si>
  <si>
    <t>CASP8</t>
  </si>
  <si>
    <t>NAA30</t>
  </si>
  <si>
    <t>KIF22</t>
  </si>
  <si>
    <t>MEF2D</t>
  </si>
  <si>
    <t>CHD4</t>
  </si>
  <si>
    <t>LASP1</t>
  </si>
  <si>
    <t>CRYM</t>
  </si>
  <si>
    <t>PTGR1</t>
  </si>
  <si>
    <t>DRAP1</t>
  </si>
  <si>
    <t>ZNF638</t>
  </si>
  <si>
    <t>KPNB1</t>
  </si>
  <si>
    <t>NOLC1</t>
  </si>
  <si>
    <t>NUMA1</t>
  </si>
  <si>
    <t>PSME4</t>
  </si>
  <si>
    <t>CUL7</t>
  </si>
  <si>
    <t>GAPVD1</t>
  </si>
  <si>
    <t>UBXN2B</t>
  </si>
  <si>
    <t>NAA25</t>
  </si>
  <si>
    <t>C16orf72</t>
  </si>
  <si>
    <t>NCAPH</t>
  </si>
  <si>
    <t>KIAA0101</t>
  </si>
  <si>
    <t>WTAP</t>
  </si>
  <si>
    <t>PSMD6</t>
  </si>
  <si>
    <t>HERPUD1</t>
  </si>
  <si>
    <t>MAD2L1BP</t>
  </si>
  <si>
    <t>MORF4L2</t>
  </si>
  <si>
    <t>FAM175B</t>
  </si>
  <si>
    <t>SEPT2</t>
  </si>
  <si>
    <t>SART3</t>
  </si>
  <si>
    <t>NCAPD2</t>
  </si>
  <si>
    <t>EXOSC7</t>
  </si>
  <si>
    <t>EFTUD2</t>
  </si>
  <si>
    <t>R3HDM1</t>
  </si>
  <si>
    <t>SNX17</t>
  </si>
  <si>
    <t>RAB3GAP1</t>
  </si>
  <si>
    <t>SLC39A14</t>
  </si>
  <si>
    <t>KARS</t>
  </si>
  <si>
    <t>SETDB1</t>
  </si>
  <si>
    <t>LRRC14</t>
  </si>
  <si>
    <t>POLD3</t>
  </si>
  <si>
    <t>EIF4H</t>
  </si>
  <si>
    <t>ACAP2</t>
  </si>
  <si>
    <t>KIF14</t>
  </si>
  <si>
    <t>BRD3</t>
  </si>
  <si>
    <t>WDR43</t>
  </si>
  <si>
    <t>EEA1</t>
  </si>
  <si>
    <t>PAFAH1B3</t>
  </si>
  <si>
    <t>PDK3</t>
  </si>
  <si>
    <t>PEA15</t>
  </si>
  <si>
    <t>PMVK</t>
  </si>
  <si>
    <t>PRKD1</t>
  </si>
  <si>
    <t>PLCB4</t>
  </si>
  <si>
    <t>PLEC</t>
  </si>
  <si>
    <t>PCM1</t>
  </si>
  <si>
    <t>TCEAL1</t>
  </si>
  <si>
    <t>PPP2R5A</t>
  </si>
  <si>
    <t>PPP2R5B</t>
  </si>
  <si>
    <t>PPA1</t>
  </si>
  <si>
    <t>STK38</t>
  </si>
  <si>
    <t>NONO</t>
  </si>
  <si>
    <t>PPP2R4</t>
  </si>
  <si>
    <t>PTPRK</t>
  </si>
  <si>
    <t>RABEP1</t>
  </si>
  <si>
    <t>RASA2</t>
  </si>
  <si>
    <t>RAB35</t>
  </si>
  <si>
    <t>RBBP5</t>
  </si>
  <si>
    <t>RCN1</t>
  </si>
  <si>
    <t>RALBP1</t>
  </si>
  <si>
    <t>LLGL1</t>
  </si>
  <si>
    <t>LRRC41</t>
  </si>
  <si>
    <t>PCBP1</t>
  </si>
  <si>
    <t>TCEB2</t>
  </si>
  <si>
    <t>RHEB</t>
  </si>
  <si>
    <t>UBE3C</t>
  </si>
  <si>
    <t>MTFR1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</si>
  <si>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</si>
  <si>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</si>
  <si>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</si>
  <si>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</si>
  <si>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</si>
  <si>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</si>
  <si>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</si>
  <si>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</si>
  <si>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SEC23B</t>
  </si>
  <si>
    <t>CYTH1</t>
  </si>
  <si>
    <t>SF3A1</t>
  </si>
  <si>
    <t>SHB</t>
  </si>
  <si>
    <t>SKIV2L</t>
  </si>
  <si>
    <t>SURF1</t>
  </si>
  <si>
    <t>SURF2</t>
  </si>
  <si>
    <t>TAF5</t>
  </si>
  <si>
    <t>TAF7</t>
  </si>
  <si>
    <t>TERF2</t>
  </si>
  <si>
    <t>TGIF1</t>
  </si>
  <si>
    <t>NCOA2</t>
  </si>
  <si>
    <t>SLC9A3R2</t>
  </si>
  <si>
    <t>TRADD</t>
  </si>
  <si>
    <t>TARBP2</t>
  </si>
  <si>
    <t>SF1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</si>
  <si>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</si>
  <si>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</si>
  <si>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</si>
  <si>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</si>
  <si>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</si>
  <si>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</si>
  <si>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</si>
  <si>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</si>
  <si>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TRIP6</t>
  </si>
  <si>
    <t>MAPRE1</t>
  </si>
  <si>
    <t>ZNF174</t>
  </si>
  <si>
    <t>ALX1</t>
  </si>
  <si>
    <t>TSC22D1</t>
  </si>
  <si>
    <t>ELAVL1</t>
  </si>
  <si>
    <t>NAB2</t>
  </si>
  <si>
    <t>MYLK</t>
  </si>
  <si>
    <t>TAB1</t>
  </si>
  <si>
    <t>HERC1</t>
  </si>
  <si>
    <t>SLC1A5</t>
  </si>
  <si>
    <t>MAPK11</t>
  </si>
  <si>
    <t>MLF2</t>
  </si>
  <si>
    <t>TOMM34</t>
  </si>
  <si>
    <t>NCOA1</t>
  </si>
  <si>
    <t>SMAD2</t>
  </si>
  <si>
    <t>TBCC</t>
  </si>
  <si>
    <t>NPTX1</t>
  </si>
  <si>
    <t>UBE2V2</t>
  </si>
  <si>
    <t>STXBP2</t>
  </si>
  <si>
    <t>VAMP3</t>
  </si>
  <si>
    <t>USF2</t>
  </si>
  <si>
    <t>VPS72</t>
  </si>
  <si>
    <t>RAB11B</t>
  </si>
  <si>
    <t>ZFHX3</t>
  </si>
  <si>
    <t>ZYX</t>
  </si>
  <si>
    <t>SNCB</t>
  </si>
  <si>
    <t>SEPT7</t>
  </si>
  <si>
    <t>ADRM1</t>
  </si>
  <si>
    <t>CCDC6</t>
  </si>
  <si>
    <t>UAP1</t>
  </si>
  <si>
    <t>E2F4</t>
  </si>
  <si>
    <t>IGFBP7</t>
  </si>
  <si>
    <t>INA</t>
  </si>
  <si>
    <t>PSMD5</t>
  </si>
  <si>
    <t>PKN1</t>
  </si>
  <si>
    <t>PKN2</t>
  </si>
  <si>
    <t>TAF12</t>
  </si>
  <si>
    <t>CRY1</t>
  </si>
  <si>
    <t>CSRP2</t>
  </si>
  <si>
    <t>DDB1</t>
  </si>
  <si>
    <t>MAPK14</t>
  </si>
  <si>
    <t>CDC37</t>
  </si>
  <si>
    <t>DPYSL2</t>
  </si>
  <si>
    <t>RBBP7</t>
  </si>
  <si>
    <t>ZNF74</t>
  </si>
  <si>
    <t>STX1A</t>
  </si>
  <si>
    <t>OCLN</t>
  </si>
  <si>
    <t>MEA1</t>
  </si>
  <si>
    <t>SRSF7</t>
  </si>
  <si>
    <t>SMN1</t>
  </si>
  <si>
    <t>DBN1</t>
  </si>
  <si>
    <t>MAPKAPK3</t>
  </si>
  <si>
    <t>NRF1</t>
  </si>
  <si>
    <t>FSCN1</t>
  </si>
  <si>
    <t>IFI16</t>
  </si>
  <si>
    <t>KYNU</t>
  </si>
  <si>
    <t>ATP2B3</t>
  </si>
  <si>
    <t>CLPP</t>
  </si>
  <si>
    <t>DGKD</t>
  </si>
  <si>
    <t>TST</t>
  </si>
  <si>
    <t>UBE2S</t>
  </si>
  <si>
    <t>CCBL1</t>
  </si>
  <si>
    <t>HAGH</t>
  </si>
  <si>
    <t>HIST2H2BE</t>
  </si>
  <si>
    <t>PCK2</t>
  </si>
  <si>
    <t>PTPN21</t>
  </si>
  <si>
    <t>UPP1</t>
  </si>
  <si>
    <t>HADH</t>
  </si>
  <si>
    <t>UGP2</t>
  </si>
  <si>
    <t>DGUOK</t>
  </si>
  <si>
    <t>ATP6V1F</t>
  </si>
  <si>
    <t>TATDN3</t>
  </si>
  <si>
    <t>FAM98C</t>
  </si>
  <si>
    <t>GEN1</t>
  </si>
  <si>
    <t>REL</t>
  </si>
  <si>
    <t>LONRF2</t>
  </si>
  <si>
    <t>CSPP1</t>
  </si>
  <si>
    <t>INF2</t>
  </si>
  <si>
    <t>PDS5A</t>
  </si>
  <si>
    <t>QSER1</t>
  </si>
  <si>
    <t>CLEC16A</t>
  </si>
  <si>
    <t>MTHFSD</t>
  </si>
  <si>
    <t>AAK1</t>
  </si>
  <si>
    <t>PLK1S1</t>
  </si>
  <si>
    <t>KIAA1033</t>
  </si>
  <si>
    <t>CTC1</t>
  </si>
  <si>
    <t>ERCC6L</t>
  </si>
  <si>
    <t>C2orf68</t>
  </si>
  <si>
    <t>TSR1</t>
  </si>
  <si>
    <t>QRICH1</t>
  </si>
  <si>
    <t>RELA</t>
  </si>
  <si>
    <t>SMU1</t>
  </si>
  <si>
    <t>ATG2A</t>
  </si>
  <si>
    <t>TCF3</t>
  </si>
  <si>
    <t>CWF19L2</t>
  </si>
  <si>
    <t>CTU2</t>
  </si>
  <si>
    <t>ATHL1</t>
  </si>
  <si>
    <t>LRRFIP1</t>
  </si>
  <si>
    <t>LEPRE1</t>
  </si>
  <si>
    <t>TRMT5</t>
  </si>
  <si>
    <t>EML3</t>
  </si>
  <si>
    <t>TWISTNB</t>
  </si>
  <si>
    <t>GFOD2</t>
  </si>
  <si>
    <t>EDRF1</t>
  </si>
  <si>
    <t>FAM161A</t>
  </si>
  <si>
    <t>C1orf106</t>
  </si>
  <si>
    <t>MAP7D1</t>
  </si>
  <si>
    <t>UAP1L1</t>
  </si>
  <si>
    <t>C2orf76</t>
  </si>
  <si>
    <t>ALKBH6</t>
  </si>
  <si>
    <t>CHD9</t>
  </si>
  <si>
    <t>DAK</t>
  </si>
  <si>
    <t>LSM12</t>
  </si>
  <si>
    <t>PUS10</t>
  </si>
  <si>
    <t>GON4L</t>
  </si>
  <si>
    <t>CCDC88A</t>
  </si>
  <si>
    <t>RABL6</t>
  </si>
  <si>
    <t>TIMM50</t>
  </si>
  <si>
    <t>LGALSL</t>
  </si>
  <si>
    <t>PARP14</t>
  </si>
  <si>
    <t>CDNF</t>
  </si>
  <si>
    <t>C5orf22</t>
  </si>
  <si>
    <t>COX19</t>
  </si>
  <si>
    <t>VPS26B</t>
  </si>
  <si>
    <t>LARP7</t>
  </si>
  <si>
    <t>NADKD1</t>
  </si>
  <si>
    <t>GXYLT1</t>
  </si>
  <si>
    <t>ACSF3</t>
  </si>
  <si>
    <t>PREPL</t>
  </si>
  <si>
    <t>TBC1D10B</t>
  </si>
  <si>
    <t>TPRN</t>
  </si>
  <si>
    <t>PLCH1</t>
  </si>
  <si>
    <t>DNAL1</t>
  </si>
  <si>
    <t>ARID4B</t>
  </si>
  <si>
    <t>GRIPAP1</t>
  </si>
  <si>
    <t>BCL7A</t>
  </si>
  <si>
    <t>FLYWCH1</t>
  </si>
  <si>
    <t>DECR2</t>
  </si>
  <si>
    <t>PAN2</t>
  </si>
  <si>
    <t>C4orf46</t>
  </si>
  <si>
    <t>FAM98B</t>
  </si>
  <si>
    <t>EPC2</t>
  </si>
  <si>
    <t>ARHGAP29</t>
  </si>
  <si>
    <t>PDCD4</t>
  </si>
  <si>
    <t>CEP55</t>
  </si>
  <si>
    <t>TP53I3</t>
  </si>
  <si>
    <t>C11orf73</t>
  </si>
  <si>
    <t>KLHL12</t>
  </si>
  <si>
    <t>PHLDA2</t>
  </si>
  <si>
    <t>TRMT12</t>
  </si>
  <si>
    <t>LACTB2</t>
  </si>
  <si>
    <t>TSSC1</t>
  </si>
  <si>
    <t>SMUG1</t>
  </si>
  <si>
    <t>SOWAHC</t>
  </si>
  <si>
    <t>LBH</t>
  </si>
  <si>
    <t>BOLA3</t>
  </si>
  <si>
    <t>COBLL1</t>
  </si>
  <si>
    <t>HS1BP3</t>
  </si>
  <si>
    <t>WDR81</t>
  </si>
  <si>
    <t>SGOL2</t>
  </si>
  <si>
    <t>PPIA</t>
  </si>
  <si>
    <t>PAN3</t>
  </si>
  <si>
    <t>HSP90AB2P</t>
  </si>
  <si>
    <t>HSP90AA4P</t>
  </si>
  <si>
    <t>DCAF6</t>
  </si>
  <si>
    <t>OXLD1</t>
  </si>
  <si>
    <t>C19orf54</t>
  </si>
  <si>
    <t>ZC3H12A</t>
  </si>
  <si>
    <t>RILPL1</t>
  </si>
  <si>
    <t>PDZD11</t>
  </si>
  <si>
    <t>DNAJC21</t>
  </si>
  <si>
    <t>ESCO1</t>
  </si>
  <si>
    <t>HERC4</t>
  </si>
  <si>
    <t>PKIG</t>
  </si>
  <si>
    <t>TIMP1</t>
  </si>
  <si>
    <t>BCORL1</t>
  </si>
  <si>
    <t>FIGN</t>
  </si>
  <si>
    <t>SH3D19</t>
  </si>
  <si>
    <t>TTC32</t>
  </si>
  <si>
    <t>CYP24</t>
  </si>
  <si>
    <t>TUBB</t>
  </si>
  <si>
    <t>METTL10</t>
  </si>
  <si>
    <t>MOV10</t>
  </si>
  <si>
    <t>RHOC</t>
  </si>
  <si>
    <t>MIA3</t>
  </si>
  <si>
    <t>NUPL1</t>
  </si>
  <si>
    <t>TSC22D3</t>
  </si>
  <si>
    <t>PITRM1</t>
  </si>
  <si>
    <t>NHLRC3</t>
  </si>
  <si>
    <t>PSMG4</t>
  </si>
  <si>
    <t>TFDP1</t>
  </si>
  <si>
    <t>WDR44</t>
  </si>
  <si>
    <t>HMGN5</t>
  </si>
  <si>
    <t>AMER1</t>
  </si>
  <si>
    <t>TJAP1</t>
  </si>
  <si>
    <t>RRP12</t>
  </si>
  <si>
    <t>COA6</t>
  </si>
  <si>
    <t>GMEB2</t>
  </si>
  <si>
    <t>CEP78</t>
  </si>
  <si>
    <t>AARS2</t>
  </si>
  <si>
    <t>IQSEC2</t>
  </si>
  <si>
    <t>RAPGEF1</t>
  </si>
  <si>
    <t>TEX30</t>
  </si>
  <si>
    <t>FRMPD3</t>
  </si>
  <si>
    <t>PCID2</t>
  </si>
  <si>
    <t>MYO6</t>
  </si>
  <si>
    <t>HABP4</t>
  </si>
  <si>
    <t>ELMO2</t>
  </si>
  <si>
    <t>STAU1</t>
  </si>
  <si>
    <t>MCF2</t>
  </si>
  <si>
    <t>SPIN2B</t>
  </si>
  <si>
    <t>SAMD9</t>
  </si>
  <si>
    <t>DGKK</t>
  </si>
  <si>
    <t>SPECC1</t>
  </si>
  <si>
    <t>SMEK2</t>
  </si>
  <si>
    <t>WDR45B</t>
  </si>
  <si>
    <t>EOGT</t>
  </si>
  <si>
    <t>TBCEL</t>
  </si>
  <si>
    <t>DNTTIP2</t>
  </si>
  <si>
    <t>PEX19</t>
  </si>
  <si>
    <t>BCL2L1</t>
  </si>
  <si>
    <t>DCAF10</t>
  </si>
  <si>
    <t>RALY</t>
  </si>
  <si>
    <t>PSMF1</t>
  </si>
  <si>
    <t>RABGAP1L</t>
  </si>
  <si>
    <t>C1orf173</t>
  </si>
  <si>
    <t>EXOSC6</t>
  </si>
  <si>
    <t>FAM21B</t>
  </si>
  <si>
    <t>ATAT1</t>
  </si>
  <si>
    <t>NUP188</t>
  </si>
  <si>
    <t>HP1BP3</t>
  </si>
  <si>
    <t>VARS2</t>
  </si>
  <si>
    <t>CEP170</t>
  </si>
  <si>
    <t>LDLRAP1</t>
  </si>
  <si>
    <t>SNAPC4</t>
  </si>
  <si>
    <t>DNLZ</t>
  </si>
  <si>
    <t>NHSL1</t>
  </si>
  <si>
    <t>SZT2</t>
  </si>
  <si>
    <t>FNBP1L</t>
  </si>
  <si>
    <t>C9orf156</t>
  </si>
  <si>
    <t>SH3BGRL3</t>
  </si>
  <si>
    <t>RARS2</t>
  </si>
  <si>
    <t>PYGO2</t>
  </si>
  <si>
    <t>THEM4</t>
  </si>
  <si>
    <t>FKBP15</t>
  </si>
  <si>
    <t>DDX59</t>
  </si>
  <si>
    <t>ZC3H13</t>
  </si>
  <si>
    <t>C10orf76</t>
  </si>
  <si>
    <t>PDZK1</t>
  </si>
  <si>
    <t>NBEA</t>
  </si>
  <si>
    <t>ARRDC1</t>
  </si>
  <si>
    <t>LRIF1</t>
  </si>
  <si>
    <t>ZNF438</t>
  </si>
  <si>
    <t>IBA57</t>
  </si>
  <si>
    <t>HECTD3</t>
  </si>
  <si>
    <t>ZFYVE27</t>
  </si>
  <si>
    <t>UBR4</t>
  </si>
  <si>
    <t>STXBP5</t>
  </si>
  <si>
    <t>KIAA1217</t>
  </si>
  <si>
    <t>ARHGAP21</t>
  </si>
  <si>
    <t>CAMSAP1</t>
  </si>
  <si>
    <t>DCAF12</t>
  </si>
  <si>
    <t>UBAP2</t>
  </si>
  <si>
    <t>IDNK</t>
  </si>
  <si>
    <t>C9orf64</t>
  </si>
  <si>
    <t>ZNF618</t>
  </si>
  <si>
    <t>PPP1R26</t>
  </si>
  <si>
    <t>ACBD5</t>
  </si>
  <si>
    <t>RBM26</t>
  </si>
  <si>
    <t>ITIH2</t>
  </si>
  <si>
    <t>FAM102A</t>
  </si>
  <si>
    <t>CCDC18</t>
  </si>
  <si>
    <t>WDR96</t>
  </si>
  <si>
    <t>RNF187</t>
  </si>
  <si>
    <t>CPSF3L</t>
  </si>
  <si>
    <t>GLTPD1</t>
  </si>
  <si>
    <t>AGO1</t>
  </si>
  <si>
    <t>MNF1</t>
  </si>
  <si>
    <t>ZCCHC11</t>
  </si>
  <si>
    <t>RNASEH2B</t>
  </si>
  <si>
    <t>BCL2L15</t>
  </si>
  <si>
    <t>C1orf131</t>
  </si>
  <si>
    <t>ATPAF1</t>
  </si>
  <si>
    <t>RC3H1</t>
  </si>
  <si>
    <t>OGFRL1</t>
  </si>
  <si>
    <t>MAGI3</t>
  </si>
  <si>
    <t>MLK4</t>
  </si>
  <si>
    <t>DDI2</t>
  </si>
  <si>
    <t>NDUFAF5</t>
  </si>
  <si>
    <t>NT5DC1</t>
  </si>
  <si>
    <t>TMCO4</t>
  </si>
  <si>
    <t>ARFGEF3</t>
  </si>
  <si>
    <t>PRR14L</t>
  </si>
  <si>
    <t>LIN9</t>
  </si>
  <si>
    <t>CROCC</t>
  </si>
  <si>
    <t>MEX3C</t>
  </si>
  <si>
    <t>LYRM7</t>
  </si>
  <si>
    <t>C12orf60</t>
  </si>
  <si>
    <t>RIF1</t>
  </si>
  <si>
    <t>VPS53</t>
  </si>
  <si>
    <t>STRIP1</t>
  </si>
  <si>
    <t>GKAP1</t>
  </si>
  <si>
    <t>CEP350</t>
  </si>
  <si>
    <t>CDC42BPA</t>
  </si>
  <si>
    <t>RPRD2</t>
  </si>
  <si>
    <t>ANXA8L2</t>
  </si>
  <si>
    <t>PRPF38B</t>
  </si>
  <si>
    <t>TTC39B</t>
  </si>
  <si>
    <t>RNF20</t>
  </si>
  <si>
    <t>DYNLT1</t>
  </si>
  <si>
    <t>ATP5EP2</t>
  </si>
  <si>
    <t>ZNF318</t>
  </si>
  <si>
    <t>C1orf53</t>
  </si>
  <si>
    <t>ARHGEF16</t>
  </si>
  <si>
    <t>ZNF691</t>
  </si>
  <si>
    <t>RPL11</t>
  </si>
  <si>
    <t>PLEKHM2</t>
  </si>
  <si>
    <t>YOD1</t>
  </si>
  <si>
    <t>BROX</t>
  </si>
  <si>
    <t>FOCAD</t>
  </si>
  <si>
    <t>TAF3</t>
  </si>
  <si>
    <t>SNX30</t>
  </si>
  <si>
    <t>FAM208B</t>
  </si>
  <si>
    <t>RSBN1</t>
  </si>
  <si>
    <t>DAB2IP</t>
  </si>
  <si>
    <t>LYPLAL1</t>
  </si>
  <si>
    <t>SPATA1</t>
  </si>
  <si>
    <t>SAMD13</t>
  </si>
  <si>
    <t>ECM29</t>
  </si>
  <si>
    <t>SLX4IP</t>
  </si>
  <si>
    <t>RNLS</t>
  </si>
  <si>
    <t>NAA35</t>
  </si>
  <si>
    <t>LRRC16A</t>
  </si>
  <si>
    <t>ZMYM4</t>
  </si>
  <si>
    <t>PFKFB3</t>
  </si>
  <si>
    <t>RNF219</t>
  </si>
  <si>
    <t>FAM160B1</t>
  </si>
  <si>
    <t>SPRYD7</t>
  </si>
  <si>
    <t>RNF123</t>
  </si>
  <si>
    <t>FBXW9</t>
  </si>
  <si>
    <t>PLCXD3</t>
  </si>
  <si>
    <t>RNF213</t>
  </si>
  <si>
    <t>KANK2</t>
  </si>
  <si>
    <t>FAM21A</t>
  </si>
  <si>
    <t>NARG2</t>
  </si>
  <si>
    <t>CEP135</t>
  </si>
  <si>
    <t>TBC1D9B</t>
  </si>
  <si>
    <t>DCAF15</t>
  </si>
  <si>
    <t>PPP2R2D</t>
  </si>
  <si>
    <t>KAZN</t>
  </si>
  <si>
    <t>ATG16L1</t>
  </si>
  <si>
    <t>RAP1GAP2</t>
  </si>
  <si>
    <t>ARID2</t>
  </si>
  <si>
    <t>DIEXF</t>
  </si>
  <si>
    <t>RPGRIP1L</t>
  </si>
  <si>
    <t>HAUS3</t>
  </si>
  <si>
    <t>SLFN13</t>
  </si>
  <si>
    <t>SPTY2D1</t>
  </si>
  <si>
    <t>PMS2CL</t>
  </si>
  <si>
    <t>FMN1</t>
  </si>
  <si>
    <t>INTS3</t>
  </si>
  <si>
    <t>ARHGAP17</t>
  </si>
  <si>
    <t>CDCA2</t>
  </si>
  <si>
    <t>CWF19L1</t>
  </si>
  <si>
    <t>KIAA1429</t>
  </si>
  <si>
    <t>SPECC1L</t>
  </si>
  <si>
    <t>HEATR6</t>
  </si>
  <si>
    <t>ANKRD40</t>
  </si>
  <si>
    <t>WWC2</t>
  </si>
  <si>
    <t>CYB5R2</t>
  </si>
  <si>
    <t>UHRF1BP1</t>
  </si>
  <si>
    <t>AMMECR1L</t>
  </si>
  <si>
    <t>ZNF787</t>
  </si>
  <si>
    <t>NXN</t>
  </si>
  <si>
    <t>TTC19</t>
  </si>
  <si>
    <t>CIAPIN1</t>
  </si>
  <si>
    <t>ZFAND6</t>
  </si>
  <si>
    <t>SMYD5</t>
  </si>
  <si>
    <t>PTRHD1</t>
  </si>
  <si>
    <t>OTUD7B</t>
  </si>
  <si>
    <t>RALGAPA1</t>
  </si>
  <si>
    <t>THOC7</t>
  </si>
  <si>
    <t>NADSYN1</t>
  </si>
  <si>
    <t>ELP2</t>
  </si>
  <si>
    <t>TWF2</t>
  </si>
  <si>
    <t>NCAPH2</t>
  </si>
  <si>
    <t>PHF17</t>
  </si>
  <si>
    <t>MRM1</t>
  </si>
  <si>
    <t>SMEK1</t>
  </si>
  <si>
    <t>TYW3</t>
  </si>
  <si>
    <t>RAB12</t>
  </si>
  <si>
    <t>PLEKHA7</t>
  </si>
  <si>
    <t>ADNP2</t>
  </si>
  <si>
    <t>SDE2</t>
  </si>
  <si>
    <t>WBSCR17</t>
  </si>
  <si>
    <t>USP3</t>
  </si>
  <si>
    <t>KRT80</t>
  </si>
  <si>
    <t>NIPBL</t>
  </si>
  <si>
    <t>PDE12</t>
  </si>
  <si>
    <t>LIN54</t>
  </si>
  <si>
    <t>ZNF280D</t>
  </si>
  <si>
    <t>OGFOD2</t>
  </si>
  <si>
    <t>NAA16</t>
  </si>
  <si>
    <t>ALKBH2</t>
  </si>
  <si>
    <t>PHLDB3</t>
  </si>
  <si>
    <t>TRNP1</t>
  </si>
  <si>
    <t>C5orf45</t>
  </si>
  <si>
    <t>TMEM214</t>
  </si>
  <si>
    <t>UFSP1</t>
  </si>
  <si>
    <t>HIBCH</t>
  </si>
  <si>
    <t>ARMC6</t>
  </si>
  <si>
    <t>ANKRD54</t>
  </si>
  <si>
    <t>JMJD6</t>
  </si>
  <si>
    <t>PPP1R18</t>
  </si>
  <si>
    <t>PTRF</t>
  </si>
  <si>
    <t>ZCCHC8</t>
  </si>
  <si>
    <t>DHX57</t>
  </si>
  <si>
    <t>CDC73</t>
  </si>
  <si>
    <t>PMF1</t>
  </si>
  <si>
    <t>FAM117B</t>
  </si>
  <si>
    <t>MRPL14</t>
  </si>
  <si>
    <t>LLGL2</t>
  </si>
  <si>
    <t>ARMCX5</t>
  </si>
  <si>
    <t>CC2D1A</t>
  </si>
  <si>
    <t>TATDN1</t>
  </si>
  <si>
    <t>METTL2B</t>
  </si>
  <si>
    <t>DUS1L</t>
  </si>
  <si>
    <t>TAF2</t>
  </si>
  <si>
    <t>C8orf82</t>
  </si>
  <si>
    <t>EDC4</t>
  </si>
  <si>
    <t>CEP85</t>
  </si>
  <si>
    <t>PRMT10</t>
  </si>
  <si>
    <t>PRPF8</t>
  </si>
  <si>
    <t>FBXO42</t>
  </si>
  <si>
    <t>SCYL2</t>
  </si>
  <si>
    <t>TTC27</t>
  </si>
  <si>
    <t>FDX1L</t>
  </si>
  <si>
    <t>RECQL5</t>
  </si>
  <si>
    <t>WDR73</t>
  </si>
  <si>
    <t>NFRKB</t>
  </si>
  <si>
    <t>MZT2A</t>
  </si>
  <si>
    <t>FAHD1</t>
  </si>
  <si>
    <t>C8orf47</t>
  </si>
  <si>
    <t>ALKBH5</t>
  </si>
  <si>
    <t>KIAA1609</t>
  </si>
  <si>
    <t>INTS5</t>
  </si>
  <si>
    <t>RSBN1L</t>
  </si>
  <si>
    <t>PGM2L1</t>
  </si>
  <si>
    <t>FBXL19</t>
  </si>
  <si>
    <t>CTR9</t>
  </si>
  <si>
    <t>AAGAB</t>
  </si>
  <si>
    <t>PSRC1</t>
  </si>
  <si>
    <t>TTC37</t>
  </si>
  <si>
    <t>ULK3</t>
  </si>
  <si>
    <t>DARS2</t>
  </si>
  <si>
    <t>TTC33</t>
  </si>
  <si>
    <t>CCDC174</t>
  </si>
  <si>
    <t>HAGHL</t>
  </si>
  <si>
    <t>FBXO38</t>
  </si>
  <si>
    <t>CENPC1</t>
  </si>
  <si>
    <t>FIGNL1</t>
  </si>
  <si>
    <t>TRIM65</t>
  </si>
  <si>
    <t>RHBDF2</t>
  </si>
  <si>
    <t>ELMSAN1</t>
  </si>
  <si>
    <t>BRAT1</t>
  </si>
  <si>
    <t>WDR59</t>
  </si>
  <si>
    <t>ZC3H14</t>
  </si>
  <si>
    <t>CCDC137</t>
  </si>
  <si>
    <t>LARP1</t>
  </si>
  <si>
    <t>TMED8</t>
  </si>
  <si>
    <t>TRAF7</t>
  </si>
  <si>
    <t>BLOC1S3</t>
  </si>
  <si>
    <t>BLOC1S2</t>
  </si>
  <si>
    <t>RICTOR</t>
  </si>
  <si>
    <t>FAM111B</t>
  </si>
  <si>
    <t>SAMD1</t>
  </si>
  <si>
    <t>SARM1</t>
  </si>
  <si>
    <t>NHS</t>
  </si>
  <si>
    <t>MTHFD1L</t>
  </si>
  <si>
    <t>ANKRD11</t>
  </si>
  <si>
    <t>AFTPH</t>
  </si>
  <si>
    <t>FIP1L1</t>
  </si>
  <si>
    <t>CRTC3</t>
  </si>
  <si>
    <t>LRSAM1</t>
  </si>
  <si>
    <t>DHRS11</t>
  </si>
  <si>
    <t>CWC27</t>
  </si>
  <si>
    <t>CRELD2</t>
  </si>
  <si>
    <t>WDR82</t>
  </si>
  <si>
    <t>BAIAP2L2</t>
  </si>
  <si>
    <t>DPP8</t>
  </si>
  <si>
    <t>ATF7IP</t>
  </si>
  <si>
    <t>PACS1</t>
  </si>
  <si>
    <t>RAB11FIP1</t>
  </si>
  <si>
    <t>NAPRT1</t>
  </si>
  <si>
    <t>DSTYK</t>
  </si>
  <si>
    <t>DNMBP</t>
  </si>
  <si>
    <t>B3GALTL</t>
  </si>
  <si>
    <t>GIGYF2</t>
  </si>
  <si>
    <t>CD109</t>
  </si>
  <si>
    <t>THADA</t>
  </si>
  <si>
    <t>HSDL2</t>
  </si>
  <si>
    <t>CCBL2</t>
  </si>
  <si>
    <t>PPP1R21</t>
  </si>
  <si>
    <t>LIN28B</t>
  </si>
  <si>
    <t>AEBP2</t>
  </si>
  <si>
    <t>RNF111</t>
  </si>
  <si>
    <t>ATG14</t>
  </si>
  <si>
    <t>NBEAL2</t>
  </si>
  <si>
    <t>GDPGP1</t>
  </si>
  <si>
    <t>C17orf97</t>
  </si>
  <si>
    <t>SRCAP</t>
  </si>
  <si>
    <t>FAM65A</t>
  </si>
  <si>
    <t>NBEAL1</t>
  </si>
  <si>
    <t>C1orf122</t>
  </si>
  <si>
    <t>ARHGEF18</t>
  </si>
  <si>
    <t>UBR3</t>
  </si>
  <si>
    <t>SH3BP1</t>
  </si>
  <si>
    <t>UBN2</t>
  </si>
  <si>
    <t>ARHGAP27</t>
  </si>
  <si>
    <t>CCDC149</t>
  </si>
  <si>
    <t>C15orf52</t>
  </si>
  <si>
    <t>DENND5B</t>
  </si>
  <si>
    <t>FGD6</t>
  </si>
  <si>
    <t>GPRIN3</t>
  </si>
  <si>
    <t>NUDT18</t>
  </si>
  <si>
    <t>TOM1L2</t>
  </si>
  <si>
    <t>PAXIP1</t>
  </si>
  <si>
    <t>STXBP4</t>
  </si>
  <si>
    <t>GTF2H5</t>
  </si>
  <si>
    <t>VPS13C</t>
  </si>
  <si>
    <t>USP34</t>
  </si>
  <si>
    <t>USP31</t>
  </si>
  <si>
    <t>RAPH1</t>
  </si>
  <si>
    <t>USP53</t>
  </si>
  <si>
    <t>USP43</t>
  </si>
  <si>
    <t>MOB2</t>
  </si>
  <si>
    <t>UNC13D</t>
  </si>
  <si>
    <t>FRA10AC1</t>
  </si>
  <si>
    <t>UBE2R2</t>
  </si>
  <si>
    <t>MED13L</t>
  </si>
  <si>
    <t>LARP4</t>
  </si>
  <si>
    <t>TUBA1A</t>
  </si>
  <si>
    <t>H2AFV</t>
  </si>
  <si>
    <t>RPS27L</t>
  </si>
  <si>
    <t>CBLL1</t>
  </si>
  <si>
    <t>MTSS1L</t>
  </si>
  <si>
    <t>NOL8</t>
  </si>
  <si>
    <t>SSH2</t>
  </si>
  <si>
    <t>CEP68</t>
  </si>
  <si>
    <t>SUPT6H</t>
  </si>
  <si>
    <t>SND1</t>
  </si>
  <si>
    <t>MARK2</t>
  </si>
  <si>
    <t>DDX46</t>
  </si>
  <si>
    <t>RUFY3</t>
  </si>
  <si>
    <t>TRMT10C</t>
  </si>
  <si>
    <t>BZW1</t>
  </si>
  <si>
    <t>CYB5R4</t>
  </si>
  <si>
    <t>ASRGL1</t>
  </si>
  <si>
    <t>KCTD9</t>
  </si>
  <si>
    <t>EIF3M</t>
  </si>
  <si>
    <t>MEPCE</t>
  </si>
  <si>
    <t>CENPQ</t>
  </si>
  <si>
    <t>ZNF771</t>
  </si>
  <si>
    <t>RSRC2</t>
  </si>
  <si>
    <t>RRAGA</t>
  </si>
  <si>
    <t>CYFIP1</t>
  </si>
  <si>
    <t>MCM10</t>
  </si>
  <si>
    <t>NDUFAF7</t>
  </si>
  <si>
    <t>GET4</t>
  </si>
  <si>
    <t>ENOSF1</t>
  </si>
  <si>
    <t>MAEA</t>
  </si>
  <si>
    <t>EPM2AIP1</t>
  </si>
  <si>
    <t>DHX32</t>
  </si>
  <si>
    <t>TAOK1</t>
  </si>
  <si>
    <t>SH3BP5L</t>
  </si>
  <si>
    <t>FASTKD5</t>
  </si>
  <si>
    <t>ATPBD4</t>
  </si>
  <si>
    <t>KDM3B</t>
  </si>
  <si>
    <t>CHMP1B</t>
  </si>
  <si>
    <t>RRM2B</t>
  </si>
  <si>
    <t>MICAL3</t>
  </si>
  <si>
    <t>DYM</t>
  </si>
  <si>
    <t>PHF5A</t>
  </si>
  <si>
    <t>APTX</t>
  </si>
  <si>
    <t>GPRIN1</t>
  </si>
  <si>
    <t>ZC3HAV1</t>
  </si>
  <si>
    <t>EFTUD1</t>
  </si>
  <si>
    <t>FAM122B</t>
  </si>
  <si>
    <t>SETX</t>
  </si>
  <si>
    <t>DKFZp686L0695</t>
  </si>
  <si>
    <t>TRAPPC11</t>
  </si>
  <si>
    <t>KANSL1</t>
  </si>
  <si>
    <t>C10orf118</t>
  </si>
  <si>
    <t>ARMC9</t>
  </si>
  <si>
    <t>PRICKLE2</t>
  </si>
  <si>
    <t>C16orf62</t>
  </si>
  <si>
    <t>MIER3</t>
  </si>
  <si>
    <t>ZFYVE16</t>
  </si>
  <si>
    <t>UBE3B</t>
  </si>
  <si>
    <t>MYH14</t>
  </si>
  <si>
    <t>NUFIP2</t>
  </si>
  <si>
    <t>SZRD1</t>
  </si>
  <si>
    <t>MAVS</t>
  </si>
  <si>
    <t>CLASP1</t>
  </si>
  <si>
    <t>DHX29</t>
  </si>
  <si>
    <t>COMMD6</t>
  </si>
  <si>
    <t>TRMT11</t>
  </si>
  <si>
    <t>HDDC2</t>
  </si>
  <si>
    <t>HAUS6</t>
  </si>
  <si>
    <t>KDELC2</t>
  </si>
  <si>
    <t>TTC21B</t>
  </si>
  <si>
    <t>HEATR3</t>
  </si>
  <si>
    <t>KIF21A</t>
  </si>
  <si>
    <t>HDGFRP2</t>
  </si>
  <si>
    <t>DCXR</t>
  </si>
  <si>
    <t>EMSY</t>
  </si>
  <si>
    <t>WAPAL</t>
  </si>
  <si>
    <t>R3HCC1L</t>
  </si>
  <si>
    <t>IRF2BP2</t>
  </si>
  <si>
    <t>CPEB2</t>
  </si>
  <si>
    <t>APBB1IP</t>
  </si>
  <si>
    <t>BCDIN3D</t>
  </si>
  <si>
    <t>CAMKMT</t>
  </si>
  <si>
    <t>SPRED1</t>
  </si>
  <si>
    <t>CCDC91</t>
  </si>
  <si>
    <t>SRGAP1</t>
  </si>
  <si>
    <t>RBBP6</t>
  </si>
  <si>
    <t>C5orf24</t>
  </si>
  <si>
    <t>SH3RF1</t>
  </si>
  <si>
    <t>TSEN54</t>
  </si>
  <si>
    <t>PTAR1</t>
  </si>
  <si>
    <t>TECPR1</t>
  </si>
  <si>
    <t>RABEPK</t>
  </si>
  <si>
    <t>ADAT2</t>
  </si>
  <si>
    <t>HUWE1</t>
  </si>
  <si>
    <t>CTU1</t>
  </si>
  <si>
    <t>PXK</t>
  </si>
  <si>
    <t>FILIP1</t>
  </si>
  <si>
    <t>TAF8</t>
  </si>
  <si>
    <t>UBE2Q1</t>
  </si>
  <si>
    <t>KIAA0907</t>
  </si>
  <si>
    <t>VPS13B</t>
  </si>
  <si>
    <t>MRPL10</t>
  </si>
  <si>
    <t>CAMK2N1</t>
  </si>
  <si>
    <t>CMC1</t>
  </si>
  <si>
    <t>CENPV</t>
  </si>
  <si>
    <t>SLFN11</t>
  </si>
  <si>
    <t>ZER1</t>
  </si>
  <si>
    <t>ZSCAN2</t>
  </si>
  <si>
    <t>AMIGO2</t>
  </si>
  <si>
    <t>PHLDB2</t>
  </si>
  <si>
    <t>GPR126</t>
  </si>
  <si>
    <t>SDCCAG8</t>
  </si>
  <si>
    <t>GLRX5</t>
  </si>
  <si>
    <t>TRAPPC6B</t>
  </si>
  <si>
    <t>ZBTB33</t>
  </si>
  <si>
    <t>MOB3B</t>
  </si>
  <si>
    <t>ALPK2</t>
  </si>
  <si>
    <t>PATL1</t>
  </si>
  <si>
    <t>PEG10</t>
  </si>
  <si>
    <t>TBC1D1</t>
  </si>
  <si>
    <t>DPP9</t>
  </si>
  <si>
    <t>PRUNE</t>
  </si>
  <si>
    <t>SETD3</t>
  </si>
  <si>
    <t>LGMN</t>
  </si>
  <si>
    <t>ACOT1</t>
  </si>
  <si>
    <t>TINF2</t>
  </si>
  <si>
    <t>ISCA2</t>
  </si>
  <si>
    <t>METTL3</t>
  </si>
  <si>
    <t>LDB1</t>
  </si>
  <si>
    <t>YRDC</t>
  </si>
  <si>
    <t>PRPF39</t>
  </si>
  <si>
    <t>RPAIN</t>
  </si>
  <si>
    <t>SAPCD2</t>
  </si>
  <si>
    <t>TLK2</t>
  </si>
  <si>
    <t>KTN1</t>
  </si>
  <si>
    <t>SMG6</t>
  </si>
  <si>
    <t>BCL9L</t>
  </si>
  <si>
    <t>PHLDB1</t>
  </si>
  <si>
    <t>USP48</t>
  </si>
  <si>
    <t>STK32C</t>
  </si>
  <si>
    <t>TXNDC5</t>
  </si>
  <si>
    <t>NAA40</t>
  </si>
  <si>
    <t>NT5DC3</t>
  </si>
  <si>
    <t>AACS</t>
  </si>
  <si>
    <t>LUZP1</t>
  </si>
  <si>
    <t>PNMAL1</t>
  </si>
  <si>
    <t>FAM160B2</t>
  </si>
  <si>
    <t>C11orf74</t>
  </si>
  <si>
    <t>IQGAP3</t>
  </si>
  <si>
    <t>ZC3H18</t>
  </si>
  <si>
    <t>VPS36</t>
  </si>
  <si>
    <t>TAX1BP1</t>
  </si>
  <si>
    <t>CAND1</t>
  </si>
  <si>
    <t>TXNRD3</t>
  </si>
  <si>
    <t>FAM134C</t>
  </si>
  <si>
    <t>HOOK3</t>
  </si>
  <si>
    <t>MAP4K2</t>
  </si>
  <si>
    <t>SESTD1</t>
  </si>
  <si>
    <t>COMMD7</t>
  </si>
  <si>
    <t>TSPYL5</t>
  </si>
  <si>
    <t>AMZ2</t>
  </si>
  <si>
    <t>THOC6</t>
  </si>
  <si>
    <t>METTL16</t>
  </si>
  <si>
    <t>PARG</t>
  </si>
  <si>
    <t>PPFIBP1</t>
  </si>
  <si>
    <t>BPHL</t>
  </si>
  <si>
    <t>CHD1L</t>
  </si>
  <si>
    <t>FCHSD1</t>
  </si>
  <si>
    <t>GPBP1</t>
  </si>
  <si>
    <t>NR2C2AP</t>
  </si>
  <si>
    <t>CCDC25</t>
  </si>
  <si>
    <t>PROSER2</t>
  </si>
  <si>
    <t>TTC30A</t>
  </si>
  <si>
    <t>LDHD</t>
  </si>
  <si>
    <t>RPS19BP1</t>
  </si>
  <si>
    <t>CDR2L</t>
  </si>
  <si>
    <t>RALGAPB</t>
  </si>
  <si>
    <t>RALGPS2</t>
  </si>
  <si>
    <t>LRRC28</t>
  </si>
  <si>
    <t>ERICH1</t>
  </si>
  <si>
    <t>CARM1</t>
  </si>
  <si>
    <t>NIT1</t>
  </si>
  <si>
    <t>COMMD2</t>
  </si>
  <si>
    <t>CIR1</t>
  </si>
  <si>
    <t>HEATR5A</t>
  </si>
  <si>
    <t>NCAPG2</t>
  </si>
  <si>
    <t>MEX3D</t>
  </si>
  <si>
    <t>DDX42</t>
  </si>
  <si>
    <t>SPATS2</t>
  </si>
  <si>
    <t>VRK2</t>
  </si>
  <si>
    <t>CACUL1</t>
  </si>
  <si>
    <t>HEATR2</t>
  </si>
  <si>
    <t>PTRH1</t>
  </si>
  <si>
    <t>STX12</t>
  </si>
  <si>
    <t>PALB2</t>
  </si>
  <si>
    <t>PDSS2</t>
  </si>
  <si>
    <t>TDRP</t>
  </si>
  <si>
    <t>HOMER1</t>
  </si>
  <si>
    <t>GATAD2A</t>
  </si>
  <si>
    <t>GPSM1</t>
  </si>
  <si>
    <t>C2CD5</t>
  </si>
  <si>
    <t>SGK223</t>
  </si>
  <si>
    <t>HPS6</t>
  </si>
  <si>
    <t>HRNR</t>
  </si>
  <si>
    <t>IRF2BP1</t>
  </si>
  <si>
    <t>CAMK1D</t>
  </si>
  <si>
    <t>RHPN2</t>
  </si>
  <si>
    <t>ERC1</t>
  </si>
  <si>
    <t>RNF135</t>
  </si>
  <si>
    <t>MINA</t>
  </si>
  <si>
    <t>CRLF3</t>
  </si>
  <si>
    <t>SIAH1</t>
  </si>
  <si>
    <t>TRAPPC5</t>
  </si>
  <si>
    <t>ARMC8</t>
  </si>
  <si>
    <t>ANKRD10</t>
  </si>
  <si>
    <t>SPATA2L</t>
  </si>
  <si>
    <t>PLD3</t>
  </si>
  <si>
    <t>LACC1</t>
  </si>
  <si>
    <t>HID1</t>
  </si>
  <si>
    <t>ANKMY2</t>
  </si>
  <si>
    <t>ERI1</t>
  </si>
  <si>
    <t>LYSMD2</t>
  </si>
  <si>
    <t>PRR15</t>
  </si>
  <si>
    <t>VRK3</t>
  </si>
  <si>
    <t>LIX1L</t>
  </si>
  <si>
    <t>NUDCD3</t>
  </si>
  <si>
    <t>PLEKHH2</t>
  </si>
  <si>
    <t>AHNAK2</t>
  </si>
  <si>
    <t>ANKRD18A</t>
  </si>
  <si>
    <t>MAP4K3</t>
  </si>
  <si>
    <t>NAV2</t>
  </si>
  <si>
    <t>LEPREL1</t>
  </si>
  <si>
    <t>CCDC50</t>
  </si>
  <si>
    <t>MCAT</t>
  </si>
  <si>
    <t>C19orf21</t>
  </si>
  <si>
    <t>LOXHD1</t>
  </si>
  <si>
    <t>APLF</t>
  </si>
  <si>
    <t>MAPKAPK5</t>
  </si>
  <si>
    <t>CARKD</t>
  </si>
  <si>
    <t>FAM219A</t>
  </si>
  <si>
    <t>WDFY1</t>
  </si>
  <si>
    <t>TEX2</t>
  </si>
  <si>
    <t>MAP7D3</t>
  </si>
  <si>
    <t>CCDC117</t>
  </si>
  <si>
    <t>FAM114A1</t>
  </si>
  <si>
    <t>MGA</t>
  </si>
  <si>
    <t>GCC2</t>
  </si>
  <si>
    <t>HSCB</t>
  </si>
  <si>
    <t>BRSK2</t>
  </si>
  <si>
    <t>ZBTB8OS</t>
  </si>
  <si>
    <t>LMTK2</t>
  </si>
  <si>
    <t>UBR1</t>
  </si>
  <si>
    <t>UBR2</t>
  </si>
  <si>
    <t>ARHGAP12</t>
  </si>
  <si>
    <t>CHERP</t>
  </si>
  <si>
    <t>CDAN1</t>
  </si>
  <si>
    <t>SUGP1</t>
  </si>
  <si>
    <t>SUGP2</t>
  </si>
  <si>
    <t>WWC1</t>
  </si>
  <si>
    <t>UEVLD</t>
  </si>
  <si>
    <t>ZFPM1</t>
  </si>
  <si>
    <t>CCAR1</t>
  </si>
  <si>
    <t>HOMEZ</t>
  </si>
  <si>
    <t>DHX40</t>
  </si>
  <si>
    <t>SKA3</t>
  </si>
  <si>
    <t>DNAJC10</t>
  </si>
  <si>
    <t>NELFCD</t>
  </si>
  <si>
    <t>SIRT2</t>
  </si>
  <si>
    <t>PHC2</t>
  </si>
  <si>
    <t>RIMKLA</t>
  </si>
  <si>
    <t>C9orf40</t>
  </si>
  <si>
    <t>KIAA1704</t>
  </si>
  <si>
    <t>RPAP2</t>
  </si>
  <si>
    <t>CMIP</t>
  </si>
  <si>
    <t>IFT20</t>
  </si>
  <si>
    <t>DHX37</t>
  </si>
  <si>
    <t>KBTBD2</t>
  </si>
  <si>
    <t>AMOTL1</t>
  </si>
  <si>
    <t>FTSJ3</t>
  </si>
  <si>
    <t>EFCAB13</t>
  </si>
  <si>
    <t>SLX4</t>
  </si>
  <si>
    <t>CKAP2L</t>
  </si>
  <si>
    <t>MB21D2</t>
  </si>
  <si>
    <t>SMAP1</t>
  </si>
  <si>
    <t>DIS3L2</t>
  </si>
  <si>
    <t>SUPV3L1</t>
  </si>
  <si>
    <t>GSPT2</t>
  </si>
  <si>
    <t>ZZZ3</t>
  </si>
  <si>
    <t>EXOC8</t>
  </si>
  <si>
    <t>C1orf174</t>
  </si>
  <si>
    <t>TCEAL8</t>
  </si>
  <si>
    <t>PTK2</t>
  </si>
  <si>
    <t>THNSL1</t>
  </si>
  <si>
    <t>SMYD4</t>
  </si>
  <si>
    <t>PM20D2</t>
  </si>
  <si>
    <t>FTSJD1</t>
  </si>
  <si>
    <t>MICU2</t>
  </si>
  <si>
    <t>RNF168</t>
  </si>
  <si>
    <t>ANKRD13A</t>
  </si>
  <si>
    <t>PHACTR4</t>
  </si>
  <si>
    <t>RASEF</t>
  </si>
  <si>
    <t>TRMT2A</t>
  </si>
  <si>
    <t>RPUSD2</t>
  </si>
  <si>
    <t>ALDH16A1</t>
  </si>
  <si>
    <t>MLL5</t>
  </si>
  <si>
    <t>DCP1B</t>
  </si>
  <si>
    <t>XRN1</t>
  </si>
  <si>
    <t>ABI1</t>
  </si>
  <si>
    <t>WDFY3</t>
  </si>
  <si>
    <t>ASPM</t>
  </si>
  <si>
    <t>TNS4</t>
  </si>
  <si>
    <t>C8orf59</t>
  </si>
  <si>
    <t>FAM185A</t>
  </si>
  <si>
    <t>FUK</t>
  </si>
  <si>
    <t>SPG20</t>
  </si>
  <si>
    <t>SPICE1</t>
  </si>
  <si>
    <t>TTC5</t>
  </si>
  <si>
    <t>MIER1</t>
  </si>
  <si>
    <t>RPTOR</t>
  </si>
  <si>
    <t>CNPY4</t>
  </si>
  <si>
    <t>SLC34A3</t>
  </si>
  <si>
    <t>ADSSL1</t>
  </si>
  <si>
    <t>KIAA1967</t>
  </si>
  <si>
    <t>VPS52</t>
  </si>
  <si>
    <t>NUP93</t>
  </si>
  <si>
    <t>ZNF687</t>
  </si>
  <si>
    <t>REXO1</t>
  </si>
  <si>
    <t>FTSJD2</t>
  </si>
  <si>
    <t>LRRC47</t>
  </si>
  <si>
    <t>DOCK4</t>
  </si>
  <si>
    <t>ARHGEF28</t>
  </si>
  <si>
    <t>INTS1</t>
  </si>
  <si>
    <t>ARMC10</t>
  </si>
  <si>
    <t>PIAS4</t>
  </si>
  <si>
    <t>RUSC2</t>
  </si>
  <si>
    <t>APITD1</t>
  </si>
  <si>
    <t>CCDC23</t>
  </si>
  <si>
    <t>AGGF1</t>
  </si>
  <si>
    <t>GPD1L</t>
  </si>
  <si>
    <t>KDM8</t>
  </si>
  <si>
    <t>ARHGAP18</t>
  </si>
  <si>
    <t>ASCC3</t>
  </si>
  <si>
    <t>CLIP4</t>
  </si>
  <si>
    <t>EHBP1L1</t>
  </si>
  <si>
    <t>MICALL1</t>
  </si>
  <si>
    <t>VPS8</t>
  </si>
  <si>
    <t>MPP5</t>
  </si>
  <si>
    <t>SYNPO</t>
  </si>
  <si>
    <t>FNBP4</t>
  </si>
  <si>
    <t>FBXW8</t>
  </si>
  <si>
    <t>D2HGDH</t>
  </si>
  <si>
    <t>RYBP</t>
  </si>
  <si>
    <t>MINK1</t>
  </si>
  <si>
    <t>C9orf41</t>
  </si>
  <si>
    <t>KLHL36</t>
  </si>
  <si>
    <t>HDDC3</t>
  </si>
  <si>
    <t>ZADH2</t>
  </si>
  <si>
    <t>CHCHD4</t>
  </si>
  <si>
    <t>CBR4</t>
  </si>
  <si>
    <t>AFAP1L2</t>
  </si>
  <si>
    <t>OGFOD1</t>
  </si>
  <si>
    <t>AFAP1</t>
  </si>
  <si>
    <t>OXR1</t>
  </si>
  <si>
    <t>TTC39C</t>
  </si>
  <si>
    <t>ZGPAT</t>
  </si>
  <si>
    <t>TAB3</t>
  </si>
  <si>
    <t>NKAP</t>
  </si>
  <si>
    <t>TMEM57</t>
  </si>
  <si>
    <t>C12orf45</t>
  </si>
  <si>
    <t>ATPAF2</t>
  </si>
  <si>
    <t>MRPL50</t>
  </si>
  <si>
    <t>ZC3H8</t>
  </si>
  <si>
    <t>CAMKK1</t>
  </si>
  <si>
    <t>FAM101B</t>
  </si>
  <si>
    <t>EIF4E3</t>
  </si>
  <si>
    <t>FAM160A2</t>
  </si>
  <si>
    <t>LZTR1</t>
  </si>
  <si>
    <t>C10orf12</t>
  </si>
  <si>
    <t>COMMD1</t>
  </si>
  <si>
    <t>CPSF7</t>
  </si>
  <si>
    <t>ARFGAP2</t>
  </si>
  <si>
    <t>EID2</t>
  </si>
  <si>
    <t>OTUD6B</t>
  </si>
  <si>
    <t>C1orf52</t>
  </si>
  <si>
    <t>ACBD7</t>
  </si>
  <si>
    <t>TOM1L1</t>
  </si>
  <si>
    <t>UBR7</t>
  </si>
  <si>
    <t>PPM1N</t>
  </si>
  <si>
    <t>ANKRD44</t>
  </si>
  <si>
    <t>DDX51</t>
  </si>
  <si>
    <t>PTGR2</t>
  </si>
  <si>
    <t>C2orf69</t>
  </si>
  <si>
    <t>ARL14EP</t>
  </si>
  <si>
    <t>ENAH</t>
  </si>
  <si>
    <t>ANKS4B</t>
  </si>
  <si>
    <t>GPATCH11</t>
  </si>
  <si>
    <t>ABTB2</t>
  </si>
  <si>
    <t>C12orf29</t>
  </si>
  <si>
    <t>JMY</t>
  </si>
  <si>
    <t>TMEM102</t>
  </si>
  <si>
    <t>ASCC1</t>
  </si>
  <si>
    <t>EIF1AD</t>
  </si>
  <si>
    <t>SCAI</t>
  </si>
  <si>
    <t>WDSUB1</t>
  </si>
  <si>
    <t>ZNF579</t>
  </si>
  <si>
    <t>ZNF511</t>
  </si>
  <si>
    <t>MLKL</t>
  </si>
  <si>
    <t>PDDC1</t>
  </si>
  <si>
    <t>ANKRD52</t>
  </si>
  <si>
    <t>KDM1B</t>
  </si>
  <si>
    <t>DTWD2</t>
  </si>
  <si>
    <t>NHLRC2</t>
  </si>
  <si>
    <t>AVL9</t>
  </si>
  <si>
    <t>GOLM1</t>
  </si>
  <si>
    <t>COLGALT1</t>
  </si>
  <si>
    <t>SUMF2</t>
  </si>
  <si>
    <t>SUMF1</t>
  </si>
  <si>
    <t>POGLUT1</t>
  </si>
  <si>
    <t>ZNF114</t>
  </si>
  <si>
    <t>SERBP1</t>
  </si>
  <si>
    <t>LEMD2</t>
  </si>
  <si>
    <t>NECAP1</t>
  </si>
  <si>
    <t>FAM98A</t>
  </si>
  <si>
    <t>PLA2G15</t>
  </si>
  <si>
    <t>HJURP</t>
  </si>
  <si>
    <t>TSEN2</t>
  </si>
  <si>
    <t>MTMR14</t>
  </si>
  <si>
    <t>NFATC2IP</t>
  </si>
  <si>
    <t>DYNC2H1</t>
  </si>
  <si>
    <t>RNF169</t>
  </si>
  <si>
    <t>PDPR</t>
  </si>
  <si>
    <t>APOA1BP</t>
  </si>
  <si>
    <t>SMG8</t>
  </si>
  <si>
    <t>RNF214</t>
  </si>
  <si>
    <t>PPFIBP2</t>
  </si>
  <si>
    <t>LSM14A</t>
  </si>
  <si>
    <t>CCNY</t>
  </si>
  <si>
    <t>MAPK1IP1L</t>
  </si>
  <si>
    <t>PAPD5</t>
  </si>
  <si>
    <t>NPEPL1</t>
  </si>
  <si>
    <t>EHBP1</t>
  </si>
  <si>
    <t>TNRC6A</t>
  </si>
  <si>
    <t>PHC3</t>
  </si>
  <si>
    <t>ABCF1</t>
  </si>
  <si>
    <t>PIK3C3</t>
  </si>
  <si>
    <t>GSTCD</t>
  </si>
  <si>
    <t>SRFBP1</t>
  </si>
  <si>
    <t>DDHD1</t>
  </si>
  <si>
    <t>MCPH1</t>
  </si>
  <si>
    <t>SHCBP1</t>
  </si>
  <si>
    <t>PDZD8</t>
  </si>
  <si>
    <t>APPL2</t>
  </si>
  <si>
    <t>NAV1</t>
  </si>
  <si>
    <t>VPS37A</t>
  </si>
  <si>
    <t>MLL3</t>
  </si>
  <si>
    <t>FBXO22</t>
  </si>
  <si>
    <t>SYNE1</t>
  </si>
  <si>
    <t>USP32</t>
  </si>
  <si>
    <t>BOD1L1</t>
  </si>
  <si>
    <t>FLAD1</t>
  </si>
  <si>
    <t>FLCN</t>
  </si>
  <si>
    <t>NUP43</t>
  </si>
  <si>
    <t>NUP37</t>
  </si>
  <si>
    <t>REPS2</t>
  </si>
  <si>
    <t>ENGASE</t>
  </si>
  <si>
    <t>TOR1AIP2</t>
  </si>
  <si>
    <t>ABHD11</t>
  </si>
  <si>
    <t>CMAS</t>
  </si>
  <si>
    <t>TNIP2</t>
  </si>
  <si>
    <t>CADM4</t>
  </si>
  <si>
    <t>HELB</t>
  </si>
  <si>
    <t>PJA1</t>
  </si>
  <si>
    <t>CASC5</t>
  </si>
  <si>
    <t>TTL</t>
  </si>
  <si>
    <t>ZNRF2</t>
  </si>
  <si>
    <t>TRY6</t>
  </si>
  <si>
    <t>KDM2B</t>
  </si>
  <si>
    <t>PLBD2</t>
  </si>
  <si>
    <t>TDRD7</t>
  </si>
  <si>
    <t>NEDD1</t>
  </si>
  <si>
    <t>CDC26</t>
  </si>
  <si>
    <t>NCOA7</t>
  </si>
  <si>
    <t>MCFD2</t>
  </si>
  <si>
    <t>THOC2</t>
  </si>
  <si>
    <t>INADL</t>
  </si>
  <si>
    <t>WDR36</t>
  </si>
  <si>
    <t>RP9</t>
  </si>
  <si>
    <t>SNIP1</t>
  </si>
  <si>
    <t>PPP1R14C</t>
  </si>
  <si>
    <t>GADD45GIP1</t>
  </si>
  <si>
    <t>WDR48</t>
  </si>
  <si>
    <t>PPP1R35</t>
  </si>
  <si>
    <t>MPLKIP</t>
  </si>
  <si>
    <t>SMARCC2</t>
  </si>
  <si>
    <t>NPLOC4</t>
  </si>
  <si>
    <t>CXorf38</t>
  </si>
  <si>
    <t>SPATA20</t>
  </si>
  <si>
    <t>RIN3</t>
  </si>
  <si>
    <t>NUBPL</t>
  </si>
  <si>
    <t>ABHD4</t>
  </si>
  <si>
    <t>FBXO30</t>
  </si>
  <si>
    <t>PUM2</t>
  </si>
  <si>
    <t>GOLGA5</t>
  </si>
  <si>
    <t>KLHDC4</t>
  </si>
  <si>
    <t>UBA3</t>
  </si>
  <si>
    <t>NANP</t>
  </si>
  <si>
    <t>FAM213B</t>
  </si>
  <si>
    <t>DNAJB14</t>
  </si>
  <si>
    <t>RAB3IL1</t>
  </si>
  <si>
    <t>PIP4K2C</t>
  </si>
  <si>
    <t>TRMT10A</t>
  </si>
  <si>
    <t>TBC1D15</t>
  </si>
  <si>
    <t>LRRC20</t>
  </si>
  <si>
    <t>NT5C</t>
  </si>
  <si>
    <t>FAM45A</t>
  </si>
  <si>
    <t>KIAA1524</t>
  </si>
  <si>
    <t>ZNF507</t>
  </si>
  <si>
    <t>PNPT1</t>
  </si>
  <si>
    <t>ALMS1</t>
  </si>
  <si>
    <t>PREX1</t>
  </si>
  <si>
    <t>DYNC2LI1</t>
  </si>
  <si>
    <t>URGCP</t>
  </si>
  <si>
    <t>MAPK15</t>
  </si>
  <si>
    <t>MIPOL1</t>
  </si>
  <si>
    <t>BICD2</t>
  </si>
  <si>
    <t>NEK9</t>
  </si>
  <si>
    <t>GPT2</t>
  </si>
  <si>
    <t>PLEKHO2</t>
  </si>
  <si>
    <t>DTX3L</t>
  </si>
  <si>
    <t>DDX54</t>
  </si>
  <si>
    <t>BLOC1S5</t>
  </si>
  <si>
    <t>DMXL2</t>
  </si>
  <si>
    <t>BCAS4</t>
  </si>
  <si>
    <t>DLG5</t>
  </si>
  <si>
    <t>BRIX1</t>
  </si>
  <si>
    <t>GNPDA2</t>
  </si>
  <si>
    <t>TRAF3IP1</t>
  </si>
  <si>
    <t>NEK7</t>
  </si>
  <si>
    <t>RB1CC1</t>
  </si>
  <si>
    <t>MICAL1</t>
  </si>
  <si>
    <t>PANK1</t>
  </si>
  <si>
    <t>MORC4</t>
  </si>
  <si>
    <t>SSH3</t>
  </si>
  <si>
    <t>NSUN6</t>
  </si>
  <si>
    <t>TBCK</t>
  </si>
  <si>
    <t>DTD1</t>
  </si>
  <si>
    <t>DCAF11</t>
  </si>
  <si>
    <t>DENND1A</t>
  </si>
  <si>
    <t>DOT1L</t>
  </si>
  <si>
    <t>SNX29</t>
  </si>
  <si>
    <t>GEMIN5</t>
  </si>
  <si>
    <t>ARHGEF40</t>
  </si>
  <si>
    <t>FBF1</t>
  </si>
  <si>
    <t>SMCR8</t>
  </si>
  <si>
    <t>PARD3</t>
  </si>
  <si>
    <t>IPO4</t>
  </si>
  <si>
    <t>PNISR</t>
  </si>
  <si>
    <t>PPP4R1</t>
  </si>
  <si>
    <t>UBASH3B</t>
  </si>
  <si>
    <t>DIS3L</t>
  </si>
  <si>
    <t>SHROOM3</t>
  </si>
  <si>
    <t>SETD7</t>
  </si>
  <si>
    <t>SCARB1</t>
  </si>
  <si>
    <t>COG1</t>
  </si>
  <si>
    <t>FRS2</t>
  </si>
  <si>
    <t>SCFD2</t>
  </si>
  <si>
    <t>SMAP2</t>
  </si>
  <si>
    <t>ZC3H15</t>
  </si>
  <si>
    <t>PPIL4</t>
  </si>
  <si>
    <t>GTF3C2</t>
  </si>
  <si>
    <t>TSKU</t>
  </si>
  <si>
    <t>PHF10</t>
  </si>
  <si>
    <t>RAB2B</t>
  </si>
  <si>
    <t>CCDC12</t>
  </si>
  <si>
    <t>PPP1R13L</t>
  </si>
  <si>
    <t>FAM172A</t>
  </si>
  <si>
    <t>CHURC1</t>
  </si>
  <si>
    <t>TGFBRAP1</t>
  </si>
  <si>
    <t>C12orf23</t>
  </si>
  <si>
    <t>HDAC7</t>
  </si>
  <si>
    <t>STYX</t>
  </si>
  <si>
    <t>NUP133</t>
  </si>
  <si>
    <t>PDCD6IP</t>
  </si>
  <si>
    <t>UBTD2</t>
  </si>
  <si>
    <t>FBLIM1</t>
  </si>
  <si>
    <t>C15orf40</t>
  </si>
  <si>
    <t>BRK1</t>
  </si>
  <si>
    <t>CHAC2</t>
  </si>
  <si>
    <t>CHMP7</t>
  </si>
  <si>
    <t>NSMCE1</t>
  </si>
  <si>
    <t>SNX33</t>
  </si>
  <si>
    <t>MITD1</t>
  </si>
  <si>
    <t>HEXDC</t>
  </si>
  <si>
    <t>CHTF18</t>
  </si>
  <si>
    <t>LEO1</t>
  </si>
  <si>
    <t>RPS21</t>
  </si>
  <si>
    <t>RNF138</t>
  </si>
  <si>
    <t>N6AMT2</t>
  </si>
  <si>
    <t>NUDCD2</t>
  </si>
  <si>
    <t>SNRNP27</t>
  </si>
  <si>
    <t>ANKRD49</t>
  </si>
  <si>
    <t>SCFD1</t>
  </si>
  <si>
    <t>UBE2Q2</t>
  </si>
  <si>
    <t>TRAPPC12</t>
  </si>
  <si>
    <t>POF1B</t>
  </si>
  <si>
    <t>HNRPLL</t>
  </si>
  <si>
    <t>UBLCP1</t>
  </si>
  <si>
    <t>TSEN15</t>
  </si>
  <si>
    <t>PCNP</t>
  </si>
  <si>
    <t>SPRYD4</t>
  </si>
  <si>
    <t>C2orf47</t>
  </si>
  <si>
    <t>TRUB1</t>
  </si>
  <si>
    <t>ARAP3</t>
  </si>
  <si>
    <t>SELM</t>
  </si>
  <si>
    <t>PRPF31</t>
  </si>
  <si>
    <t>EDARADD</t>
  </si>
  <si>
    <t>NELFB</t>
  </si>
  <si>
    <t>PALLD</t>
  </si>
  <si>
    <t>RUFY2</t>
  </si>
  <si>
    <t>SREK1</t>
  </si>
  <si>
    <t>GEMIN6</t>
  </si>
  <si>
    <t>CASKIN2</t>
  </si>
  <si>
    <t>ATRIP</t>
  </si>
  <si>
    <t>PSPC1</t>
  </si>
  <si>
    <t>MADD</t>
  </si>
  <si>
    <t>SYNE2</t>
  </si>
  <si>
    <t>CNKSR2</t>
  </si>
  <si>
    <t>ACOT11</t>
  </si>
  <si>
    <t>GATAD2B</t>
  </si>
  <si>
    <t>PIBF1</t>
  </si>
  <si>
    <t>DNAJC9</t>
  </si>
  <si>
    <t>IFT81</t>
  </si>
  <si>
    <t>CTNNBL1</t>
  </si>
  <si>
    <t>KAT6B</t>
  </si>
  <si>
    <t>SSH1</t>
  </si>
  <si>
    <t>RIN2</t>
  </si>
  <si>
    <t>AHCTF1</t>
  </si>
  <si>
    <t>RFFL</t>
  </si>
  <si>
    <t>OVCA2</t>
  </si>
  <si>
    <t>LZIC</t>
  </si>
  <si>
    <t>IRGQ</t>
  </si>
  <si>
    <t>DDB2</t>
  </si>
  <si>
    <t>DDX1</t>
  </si>
  <si>
    <t>SEC14L1</t>
  </si>
  <si>
    <t>HSD17B8</t>
  </si>
  <si>
    <t>H1FX</t>
  </si>
  <si>
    <t>CCT6B</t>
  </si>
  <si>
    <t>GBF1</t>
  </si>
  <si>
    <t>SMG7</t>
  </si>
  <si>
    <t>RTF1</t>
  </si>
  <si>
    <t>TMEM131</t>
  </si>
  <si>
    <t>TOPBP1</t>
  </si>
  <si>
    <t>IP6K1</t>
  </si>
  <si>
    <t>MRPS27</t>
  </si>
  <si>
    <t>WASF1</t>
  </si>
  <si>
    <t>BAP1</t>
  </si>
  <si>
    <t>FAM168A</t>
  </si>
  <si>
    <t>AP3S1</t>
  </si>
  <si>
    <t>TSC1</t>
  </si>
  <si>
    <t>UBXN4</t>
  </si>
  <si>
    <t>PHF3</t>
  </si>
  <si>
    <t>MAML1</t>
  </si>
  <si>
    <t>NDRG1</t>
  </si>
  <si>
    <t>HSPH1</t>
  </si>
  <si>
    <t>SEPT8</t>
  </si>
  <si>
    <t>RQCD1</t>
  </si>
  <si>
    <t>TBC1D5</t>
  </si>
  <si>
    <t>MYO18A</t>
  </si>
  <si>
    <t>GCN1L1</t>
  </si>
  <si>
    <t>ZNF516</t>
  </si>
  <si>
    <t>DHX38</t>
  </si>
  <si>
    <t>NUP205</t>
  </si>
  <si>
    <t>TTC9</t>
  </si>
  <si>
    <t>APPBP2</t>
  </si>
  <si>
    <t>ANKS1A</t>
  </si>
  <si>
    <t>NSMAF</t>
  </si>
  <si>
    <t>GTF3A</t>
  </si>
  <si>
    <t>MRPS31</t>
  </si>
  <si>
    <t>AKAP1</t>
  </si>
  <si>
    <t>NRGN</t>
  </si>
  <si>
    <t>ANP32B</t>
  </si>
  <si>
    <t>PVRL2</t>
  </si>
  <si>
    <t>RABGGTA</t>
  </si>
  <si>
    <t>TFG</t>
  </si>
  <si>
    <t>USP6NL</t>
  </si>
  <si>
    <t>ARPC1A</t>
  </si>
  <si>
    <t>RREB1</t>
  </si>
  <si>
    <t>STAM</t>
  </si>
  <si>
    <t>DPF2</t>
  </si>
  <si>
    <t>CREBBP</t>
  </si>
  <si>
    <t>SYMPK</t>
  </si>
  <si>
    <t>TAF15</t>
  </si>
  <si>
    <t>GOLGA1</t>
  </si>
  <si>
    <t>EVPL</t>
  </si>
  <si>
    <t>GGH</t>
  </si>
  <si>
    <t>KAT2A</t>
  </si>
  <si>
    <t>RPGR</t>
  </si>
  <si>
    <t>DDX17</t>
  </si>
  <si>
    <t>BCL2L2</t>
  </si>
  <si>
    <t>TANK</t>
  </si>
  <si>
    <t>KIFAP3</t>
  </si>
  <si>
    <t>CASP10</t>
  </si>
  <si>
    <t>RAD50</t>
  </si>
  <si>
    <t>CELF1</t>
  </si>
  <si>
    <t>OSTF1</t>
  </si>
  <si>
    <t>ERCC4</t>
  </si>
  <si>
    <t>UFD1L</t>
  </si>
  <si>
    <t>UPF1</t>
  </si>
  <si>
    <t>HPS1</t>
  </si>
  <si>
    <t>COPS5</t>
  </si>
  <si>
    <t>GPKOW</t>
  </si>
  <si>
    <t>SMARCC1</t>
  </si>
  <si>
    <t>RAB8B</t>
  </si>
  <si>
    <t>BAD</t>
  </si>
  <si>
    <t>KHSRP</t>
  </si>
  <si>
    <t>RIT1</t>
  </si>
  <si>
    <t>TNPO1</t>
  </si>
  <si>
    <t>ARHGEF2</t>
  </si>
  <si>
    <t>EMG1</t>
  </si>
  <si>
    <t>CLP1</t>
  </si>
  <si>
    <t>GLMN</t>
  </si>
  <si>
    <t>BRF1</t>
  </si>
  <si>
    <t>USP13</t>
  </si>
  <si>
    <t>USP9X</t>
  </si>
  <si>
    <t>NAT6</t>
  </si>
  <si>
    <t>CUL5</t>
  </si>
  <si>
    <t>LPP</t>
  </si>
  <si>
    <t>RBPMS</t>
  </si>
  <si>
    <t>SECISBP2L</t>
  </si>
  <si>
    <t>MED12</t>
  </si>
  <si>
    <t>HIST1H2AC</t>
  </si>
  <si>
    <t>PTP4A1</t>
  </si>
  <si>
    <t>HGD</t>
  </si>
  <si>
    <t>PHKB</t>
  </si>
  <si>
    <t>TCEAL3</t>
  </si>
  <si>
    <t>TSR2</t>
  </si>
  <si>
    <t>HPS3</t>
  </si>
  <si>
    <t>SMARCE1</t>
  </si>
  <si>
    <t>PRKCDBP</t>
  </si>
  <si>
    <t>RFK</t>
  </si>
  <si>
    <t>C19orf10</t>
  </si>
  <si>
    <t>RNF34</t>
  </si>
  <si>
    <t>YIPF5</t>
  </si>
  <si>
    <t>RPL36AL</t>
  </si>
  <si>
    <t>ITFG2</t>
  </si>
  <si>
    <t>ZNF622</t>
  </si>
  <si>
    <t>GFM2</t>
  </si>
  <si>
    <t>NT5C3B</t>
  </si>
  <si>
    <t>PSMG2</t>
  </si>
  <si>
    <t>MUL1</t>
  </si>
  <si>
    <t>FAM104A</t>
  </si>
  <si>
    <t>RILPL2</t>
  </si>
  <si>
    <t>CIRH1A</t>
  </si>
  <si>
    <t>GTPBP3</t>
  </si>
  <si>
    <t>TBRG4</t>
  </si>
  <si>
    <t>PPP1R14A</t>
  </si>
  <si>
    <t>CCDC102A</t>
  </si>
  <si>
    <t>RNF166</t>
  </si>
  <si>
    <t>SLC25A28</t>
  </si>
  <si>
    <t>SYAP1</t>
  </si>
  <si>
    <t>EXOC4</t>
  </si>
  <si>
    <t>MAGOHB</t>
  </si>
  <si>
    <t>KIAA1191</t>
  </si>
  <si>
    <t>ISOC2</t>
  </si>
  <si>
    <t>NTAN1</t>
  </si>
  <si>
    <t>FERMT2</t>
  </si>
  <si>
    <t>FUBP1</t>
  </si>
  <si>
    <t>LRRC59</t>
  </si>
  <si>
    <t>VTI1A</t>
  </si>
  <si>
    <t>ACD</t>
  </si>
  <si>
    <t>KIAA1143</t>
  </si>
  <si>
    <t>VPS33A</t>
  </si>
  <si>
    <t>FKBP10</t>
  </si>
  <si>
    <t>TTC28</t>
  </si>
  <si>
    <t>RAD51AP1</t>
  </si>
  <si>
    <t>UBE2W</t>
  </si>
  <si>
    <t>C18orf25</t>
  </si>
  <si>
    <t>EXOSC8</t>
  </si>
  <si>
    <t>AKT1S1</t>
  </si>
  <si>
    <t>C10orf32</t>
  </si>
  <si>
    <t>LENG9</t>
  </si>
  <si>
    <t>SH3KBP1</t>
  </si>
  <si>
    <t>PHF21A</t>
  </si>
  <si>
    <t>NACC2</t>
  </si>
  <si>
    <t>RNF25</t>
  </si>
  <si>
    <t>AIDA</t>
  </si>
  <si>
    <t>PINX1</t>
  </si>
  <si>
    <t>ARL8A</t>
  </si>
  <si>
    <t>FAM105B</t>
  </si>
  <si>
    <t>CHCHD1</t>
  </si>
  <si>
    <t>PPWD1</t>
  </si>
  <si>
    <t>SELRC1</t>
  </si>
  <si>
    <t>TESC</t>
  </si>
  <si>
    <t>ALKBH8</t>
  </si>
  <si>
    <t>UPRT</t>
  </si>
  <si>
    <t>PTER</t>
  </si>
  <si>
    <t>MOB3A</t>
  </si>
  <si>
    <t>DOCK10</t>
  </si>
  <si>
    <t>ATG2B</t>
  </si>
  <si>
    <t>LENG1</t>
  </si>
  <si>
    <t>TBC1D20</t>
  </si>
  <si>
    <t>FAM136A</t>
  </si>
  <si>
    <t>EFHD2</t>
  </si>
  <si>
    <t>GALM</t>
  </si>
  <si>
    <t>SYTL4</t>
  </si>
  <si>
    <t>RUNDC1</t>
  </si>
  <si>
    <t>PYCR2</t>
  </si>
  <si>
    <t>DCPS</t>
  </si>
  <si>
    <t>PPP1R14B</t>
  </si>
  <si>
    <t>INTS12</t>
  </si>
  <si>
    <t>FBXL8</t>
  </si>
  <si>
    <t>PPCDC</t>
  </si>
  <si>
    <t>CHMP4C</t>
  </si>
  <si>
    <t>TIFA</t>
  </si>
  <si>
    <t>EVI5L</t>
  </si>
  <si>
    <t>ISOC1</t>
  </si>
  <si>
    <t>GCC1</t>
  </si>
  <si>
    <t>FLYWCH2</t>
  </si>
  <si>
    <t>GRAMD1A</t>
  </si>
  <si>
    <t>HAUS1</t>
  </si>
  <si>
    <t>CCDC124</t>
  </si>
  <si>
    <t>OPTN</t>
  </si>
  <si>
    <t>AP2M1</t>
  </si>
  <si>
    <t>TUBGCP3</t>
  </si>
  <si>
    <t>SLC7A6OS</t>
  </si>
  <si>
    <t>KCTD12</t>
  </si>
  <si>
    <t>LRRC58</t>
  </si>
  <si>
    <t>GPRASP2</t>
  </si>
  <si>
    <t>NMD3</t>
  </si>
  <si>
    <t>ADCK4</t>
  </si>
  <si>
    <t>REPS1</t>
  </si>
  <si>
    <t>RMDN1</t>
  </si>
  <si>
    <t>TMCO6</t>
  </si>
  <si>
    <t>OTUB2</t>
  </si>
  <si>
    <t>NUDT16</t>
  </si>
  <si>
    <t>ANAPC16</t>
  </si>
  <si>
    <t>DGCR14</t>
  </si>
  <si>
    <t>CMBL</t>
  </si>
  <si>
    <t>ARHGEF26</t>
  </si>
  <si>
    <t>ATG4C</t>
  </si>
  <si>
    <t>ITPKC</t>
  </si>
  <si>
    <t>MRPL38</t>
  </si>
  <si>
    <t>ASB9</t>
  </si>
  <si>
    <t>TRIM44</t>
  </si>
  <si>
    <t>FAM122A</t>
  </si>
  <si>
    <t>MRRF</t>
  </si>
  <si>
    <t>RMI2</t>
  </si>
  <si>
    <t>SPDL1</t>
  </si>
  <si>
    <t>ELP4</t>
  </si>
  <si>
    <t>SIRT1</t>
  </si>
  <si>
    <t>HOOK2</t>
  </si>
  <si>
    <t>SEH1L</t>
  </si>
  <si>
    <t>MALSU1</t>
  </si>
  <si>
    <t>TCEAL4</t>
  </si>
  <si>
    <t>THAP11</t>
  </si>
  <si>
    <t>KIAA1279</t>
  </si>
  <si>
    <t>GNPNAT1</t>
  </si>
  <si>
    <t>FAM120B</t>
  </si>
  <si>
    <t>KTI12</t>
  </si>
  <si>
    <t>MRPL53</t>
  </si>
  <si>
    <t>L3HYPDH</t>
  </si>
  <si>
    <t>MOCOS</t>
  </si>
  <si>
    <t>RNF31</t>
  </si>
  <si>
    <t>CHFR</t>
  </si>
  <si>
    <t>DAZAP1</t>
  </si>
  <si>
    <t>SGTB</t>
  </si>
  <si>
    <t>CCDC101</t>
  </si>
  <si>
    <t>RBM33</t>
  </si>
  <si>
    <t>DTNBP1</t>
  </si>
  <si>
    <t>HSPBAP1</t>
  </si>
  <si>
    <t>WDR34</t>
  </si>
  <si>
    <t>DNAJA3</t>
  </si>
  <si>
    <t>TMA16</t>
  </si>
  <si>
    <t>MVB12A</t>
  </si>
  <si>
    <t>PTCD3</t>
  </si>
  <si>
    <t>MMAB</t>
  </si>
  <si>
    <t>ADAT3</t>
  </si>
  <si>
    <t>MCRS1</t>
  </si>
  <si>
    <t>NRBF2</t>
  </si>
  <si>
    <t>TRIM11</t>
  </si>
  <si>
    <t>IL17RA</t>
  </si>
  <si>
    <t>CCDC97</t>
  </si>
  <si>
    <t>EDC3</t>
  </si>
  <si>
    <t>PHYHIPL</t>
  </si>
  <si>
    <t>DDX11</t>
  </si>
  <si>
    <t>MEF2BNB</t>
  </si>
  <si>
    <t>STAMBPL1</t>
  </si>
  <si>
    <t>WDR89</t>
  </si>
  <si>
    <t>S100A16</t>
  </si>
  <si>
    <t>SIPA1</t>
  </si>
  <si>
    <t>IFT43</t>
  </si>
  <si>
    <t>LRRC46</t>
  </si>
  <si>
    <t>SCRN2</t>
  </si>
  <si>
    <t>THOC1</t>
  </si>
  <si>
    <t>OTUB1</t>
  </si>
  <si>
    <t>DPH3</t>
  </si>
  <si>
    <t>TRMT61A</t>
  </si>
  <si>
    <t>C3orf37</t>
  </si>
  <si>
    <t>PGM2</t>
  </si>
  <si>
    <t>FAM86A</t>
  </si>
  <si>
    <t>MED8</t>
  </si>
  <si>
    <t>CCDC104</t>
  </si>
  <si>
    <t>DUS3L</t>
  </si>
  <si>
    <t>NUDT11</t>
  </si>
  <si>
    <t>OTUD5</t>
  </si>
  <si>
    <t>LTV1</t>
  </si>
  <si>
    <t>SDSL</t>
  </si>
  <si>
    <t>PDXP</t>
  </si>
  <si>
    <t>CEP95</t>
  </si>
  <si>
    <t>DCUN1D1</t>
  </si>
  <si>
    <t>FAHD2A</t>
  </si>
  <si>
    <t>SMARCD1</t>
  </si>
  <si>
    <t>TOE1</t>
  </si>
  <si>
    <t>DDX27</t>
  </si>
  <si>
    <t>C17orf59</t>
  </si>
  <si>
    <t>C5orf30</t>
  </si>
  <si>
    <t>MARS2</t>
  </si>
  <si>
    <t>ATXN7L3B</t>
  </si>
  <si>
    <t>MASTL</t>
  </si>
  <si>
    <t>APIP</t>
  </si>
  <si>
    <t>ZC2HC1A</t>
  </si>
  <si>
    <t>SNF8</t>
  </si>
  <si>
    <t>ZC3HAV1L</t>
  </si>
  <si>
    <t>TONSL</t>
  </si>
  <si>
    <t>WDYHV1</t>
  </si>
  <si>
    <t>PDLIM5</t>
  </si>
  <si>
    <t>ACY3</t>
  </si>
  <si>
    <t>ERO1L</t>
  </si>
  <si>
    <t>C7orf55</t>
  </si>
  <si>
    <t>AHCYL2</t>
  </si>
  <si>
    <t>OXNAD1</t>
  </si>
  <si>
    <t>CDKN2AIPNL</t>
  </si>
  <si>
    <t>PGAM5</t>
  </si>
  <si>
    <t>INTS4</t>
  </si>
  <si>
    <t>DDRGK1</t>
  </si>
  <si>
    <t>DHTKD1</t>
  </si>
  <si>
    <t>SCLY</t>
  </si>
  <si>
    <t>PYURF</t>
  </si>
  <si>
    <t>FUBP3</t>
  </si>
  <si>
    <t>RBM17</t>
  </si>
  <si>
    <t>NARS2</t>
  </si>
  <si>
    <t>SUCLG2</t>
  </si>
  <si>
    <t>AJUBA</t>
  </si>
  <si>
    <t>GMPPA</t>
  </si>
  <si>
    <t>BOD1</t>
  </si>
  <si>
    <t>HPDL</t>
  </si>
  <si>
    <t>ABHD14B</t>
  </si>
  <si>
    <t>NGLY1</t>
  </si>
  <si>
    <t>NSL1</t>
  </si>
  <si>
    <t>PAWR</t>
  </si>
  <si>
    <t>RBM41</t>
  </si>
  <si>
    <t>METTL2A</t>
  </si>
  <si>
    <t>RSRC1</t>
  </si>
  <si>
    <t>THOC3</t>
  </si>
  <si>
    <t>ITCH</t>
  </si>
  <si>
    <t>KIRREL</t>
  </si>
  <si>
    <t>COG3</t>
  </si>
  <si>
    <t>CDK5RAP3</t>
  </si>
  <si>
    <t>VPS39</t>
  </si>
  <si>
    <t>EAF1</t>
  </si>
  <si>
    <t>MAP6</t>
  </si>
  <si>
    <t>CCDC132</t>
  </si>
  <si>
    <t>MAGED4</t>
  </si>
  <si>
    <t>VCPIP1</t>
  </si>
  <si>
    <t>SPG11</t>
  </si>
  <si>
    <t>MAML3</t>
  </si>
  <si>
    <t>CHAMP1</t>
  </si>
  <si>
    <t>ZFP91</t>
  </si>
  <si>
    <t>CLMN</t>
  </si>
  <si>
    <t>PDLIM2</t>
  </si>
  <si>
    <t>PBK</t>
  </si>
  <si>
    <t>DNAJC1</t>
  </si>
  <si>
    <t>SCYL1</t>
  </si>
  <si>
    <t>EXOC2</t>
  </si>
  <si>
    <t>CNDP2</t>
  </si>
  <si>
    <t>PPP1R13B</t>
  </si>
  <si>
    <t>ZFR</t>
  </si>
  <si>
    <t>EPHB4</t>
  </si>
  <si>
    <t>NSD1</t>
  </si>
  <si>
    <t>EP400</t>
  </si>
  <si>
    <t>SNX27</t>
  </si>
  <si>
    <t>KIF16B</t>
  </si>
  <si>
    <t>IFT74</t>
  </si>
  <si>
    <t>TRIM47</t>
  </si>
  <si>
    <t>UBE2E2</t>
  </si>
  <si>
    <t>C9orf72</t>
  </si>
  <si>
    <t>PRRC1</t>
  </si>
  <si>
    <t>FBXL18</t>
  </si>
  <si>
    <t>ZNF512</t>
  </si>
  <si>
    <t>NDNL2</t>
  </si>
  <si>
    <t>HEXIM2</t>
  </si>
  <si>
    <t>YTHDC1</t>
  </si>
  <si>
    <t>CCDC43</t>
  </si>
  <si>
    <t>ZNF48</t>
  </si>
  <si>
    <t>WDR92</t>
  </si>
  <si>
    <t>C20orf112</t>
  </si>
  <si>
    <t>C16orf55</t>
  </si>
  <si>
    <t>ENTHD2</t>
  </si>
  <si>
    <t>DOCK7</t>
  </si>
  <si>
    <t>RILP</t>
  </si>
  <si>
    <t>FOPNL</t>
  </si>
  <si>
    <t>ZNF830</t>
  </si>
  <si>
    <t>ZMAT2</t>
  </si>
  <si>
    <t>SCLT1</t>
  </si>
  <si>
    <t>C8orf37</t>
  </si>
  <si>
    <t>NAP1L5</t>
  </si>
  <si>
    <t>AMDHD1</t>
  </si>
  <si>
    <t>ANKRD27</t>
  </si>
  <si>
    <t>NSUN5</t>
  </si>
  <si>
    <t>RPRD1A</t>
  </si>
  <si>
    <t>AGAP3</t>
  </si>
  <si>
    <t>ARAP1</t>
  </si>
  <si>
    <t>IPO9</t>
  </si>
  <si>
    <t>DCBLD2</t>
  </si>
  <si>
    <t>ARHGEF17</t>
  </si>
  <si>
    <t>MCEE</t>
  </si>
  <si>
    <t>RBM14</t>
  </si>
  <si>
    <t>RCHY1</t>
  </si>
  <si>
    <t>TRERF1</t>
  </si>
  <si>
    <t>KLHL5</t>
  </si>
  <si>
    <t>UHRF2</t>
  </si>
  <si>
    <t>NEDD4L</t>
  </si>
  <si>
    <t>QKI</t>
  </si>
  <si>
    <t>FMNL2</t>
  </si>
  <si>
    <t>PUS7</t>
  </si>
  <si>
    <t>TRAPPC9</t>
  </si>
  <si>
    <t>TRNT1</t>
  </si>
  <si>
    <t>SMG1</t>
  </si>
  <si>
    <t>ALS2</t>
  </si>
  <si>
    <t>TMEM237</t>
  </si>
  <si>
    <t>ALKBH3</t>
  </si>
  <si>
    <t>KIF20B</t>
  </si>
  <si>
    <t>PPP1R10</t>
  </si>
  <si>
    <t>ATAD5</t>
  </si>
  <si>
    <t>RAB3IP</t>
  </si>
  <si>
    <t>MTMR9</t>
  </si>
  <si>
    <t>VPS35</t>
  </si>
  <si>
    <t>ALPK1</t>
  </si>
  <si>
    <t>PURB</t>
  </si>
  <si>
    <t>ACCS</t>
  </si>
  <si>
    <t>XPO6</t>
  </si>
  <si>
    <t>MAGI1</t>
  </si>
  <si>
    <t>SPAG5</t>
  </si>
  <si>
    <t>NACC1</t>
  </si>
  <si>
    <t>SNX18</t>
  </si>
  <si>
    <t>PASK</t>
  </si>
  <si>
    <t>UIMC1</t>
  </si>
  <si>
    <t>MED15</t>
  </si>
  <si>
    <t>GFM1</t>
  </si>
  <si>
    <t>PEO1</t>
  </si>
  <si>
    <t>CAMKK2</t>
  </si>
  <si>
    <t>TGS1</t>
  </si>
  <si>
    <t>NUDCD1</t>
  </si>
  <si>
    <t>ERBB2IP</t>
  </si>
  <si>
    <t>TUBGCP6</t>
  </si>
  <si>
    <t>USP28</t>
  </si>
  <si>
    <t>FNBP1</t>
  </si>
  <si>
    <t>HMCN1</t>
  </si>
  <si>
    <t>CRAMP1L</t>
  </si>
  <si>
    <t>IFT140</t>
  </si>
  <si>
    <t>C16orf13</t>
  </si>
  <si>
    <t>RAB40C</t>
  </si>
  <si>
    <t>RPS6KC1</t>
  </si>
  <si>
    <t>TP53RK</t>
  </si>
  <si>
    <t>WRNIP1</t>
  </si>
  <si>
    <t>RANBP9</t>
  </si>
  <si>
    <t>CLCC1</t>
  </si>
  <si>
    <t>UBL7</t>
  </si>
  <si>
    <t>LYSMD1</t>
  </si>
  <si>
    <t>CCNL2</t>
  </si>
  <si>
    <t>PLEKHF1</t>
  </si>
  <si>
    <t>PPP1R9B</t>
  </si>
  <si>
    <t>SRPK1</t>
  </si>
  <si>
    <t>SMC6</t>
  </si>
  <si>
    <t>KCTD15</t>
  </si>
  <si>
    <t>FIZ1</t>
  </si>
  <si>
    <t>CDK5RAP2</t>
  </si>
  <si>
    <t>IWS1</t>
  </si>
  <si>
    <t>SIN3A</t>
  </si>
  <si>
    <t>OSBPL9</t>
  </si>
  <si>
    <t>VWA9</t>
  </si>
  <si>
    <t>ADO</t>
  </si>
  <si>
    <t>CDK5RAP1</t>
  </si>
  <si>
    <t>MAP7D2</t>
  </si>
  <si>
    <t>SECISBP2</t>
  </si>
  <si>
    <t>RBM15</t>
  </si>
  <si>
    <t>RUFY1</t>
  </si>
  <si>
    <t>SPEN</t>
  </si>
  <si>
    <t>PNKP</t>
  </si>
  <si>
    <t>MMS19</t>
  </si>
  <si>
    <t>UHRF1</t>
  </si>
  <si>
    <t>FAM129B</t>
  </si>
  <si>
    <t>YME1L1</t>
  </si>
  <si>
    <t>TCF12</t>
  </si>
  <si>
    <t>MYCBP</t>
  </si>
  <si>
    <t>TBCB</t>
  </si>
  <si>
    <t>PSMB7</t>
  </si>
  <si>
    <t>PCYT2</t>
  </si>
  <si>
    <t>CDC5L</t>
  </si>
  <si>
    <t>PSMD1</t>
  </si>
  <si>
    <t>PFDN5</t>
  </si>
  <si>
    <t>PAFAH2</t>
  </si>
  <si>
    <t>RNF2</t>
  </si>
  <si>
    <t>PARK7</t>
  </si>
  <si>
    <t>GAS2L1</t>
  </si>
  <si>
    <t>EYA3</t>
  </si>
  <si>
    <t>NEU1</t>
  </si>
  <si>
    <t>VAT1</t>
  </si>
  <si>
    <t>PLIN2</t>
  </si>
  <si>
    <t>DNAJC2</t>
  </si>
  <si>
    <t>MPHOSPH8</t>
  </si>
  <si>
    <t>NUP88</t>
  </si>
  <si>
    <t>PKP4</t>
  </si>
  <si>
    <t>PIK3R4</t>
  </si>
  <si>
    <t>SERPINI1</t>
  </si>
  <si>
    <t>POP1</t>
  </si>
  <si>
    <t>MNT</t>
  </si>
  <si>
    <t>S100A13</t>
  </si>
  <si>
    <t>TSNAX</t>
  </si>
  <si>
    <t>SEPHS2</t>
  </si>
  <si>
    <t>TTC1</t>
  </si>
  <si>
    <t>DNAJC7</t>
  </si>
  <si>
    <t>CDCA3</t>
  </si>
  <si>
    <t>C12orf57</t>
  </si>
  <si>
    <t>COPS8</t>
  </si>
  <si>
    <t>PRPF18</t>
  </si>
  <si>
    <t>RAD9A</t>
  </si>
  <si>
    <t>CHP1</t>
  </si>
  <si>
    <t>KIF2C</t>
  </si>
  <si>
    <t>CGREF1</t>
  </si>
  <si>
    <t>MGLL</t>
  </si>
  <si>
    <t>ATXN2</t>
  </si>
  <si>
    <t>MTR</t>
  </si>
  <si>
    <t>RBBP8</t>
  </si>
  <si>
    <t>HSD17B10</t>
  </si>
  <si>
    <t>HNRNPAB</t>
  </si>
  <si>
    <t>NAP1L4</t>
  </si>
  <si>
    <t>NAPG</t>
  </si>
  <si>
    <t>TXN2</t>
  </si>
  <si>
    <t>ATP5S</t>
  </si>
  <si>
    <t>APBA2</t>
  </si>
  <si>
    <t>MIPEP</t>
  </si>
  <si>
    <t>ACO2</t>
  </si>
  <si>
    <t>TSG101</t>
  </si>
  <si>
    <t>CPNE1</t>
  </si>
  <si>
    <t>CCT7</t>
  </si>
  <si>
    <t>HAUS7</t>
  </si>
  <si>
    <t>HIST1H2AJ</t>
  </si>
  <si>
    <t>HIST1H2BM</t>
  </si>
  <si>
    <t>BAG1</t>
  </si>
  <si>
    <t>PKP2</t>
  </si>
  <si>
    <t>SH3GL1</t>
  </si>
  <si>
    <t>VRK1</t>
  </si>
  <si>
    <t>AKAP9</t>
  </si>
  <si>
    <t>DPYSL5</t>
  </si>
  <si>
    <t>NIPSNAP1</t>
  </si>
  <si>
    <t>NCAPG</t>
  </si>
  <si>
    <t>ARPC5L</t>
  </si>
  <si>
    <t>MICU1</t>
  </si>
  <si>
    <t>C7orf25</t>
  </si>
  <si>
    <t>ZFYVE21</t>
  </si>
  <si>
    <t>DDX50</t>
  </si>
  <si>
    <t>ELAC2</t>
  </si>
  <si>
    <t>C19orf43</t>
  </si>
  <si>
    <t>GRWD1</t>
  </si>
  <si>
    <t>MACROD1</t>
  </si>
  <si>
    <t>TCF25</t>
  </si>
  <si>
    <t>WDR77</t>
  </si>
  <si>
    <t>DPH2</t>
  </si>
  <si>
    <t>TUBA1C</t>
  </si>
  <si>
    <t>APOL2</t>
  </si>
  <si>
    <t>BCL7B</t>
  </si>
  <si>
    <t>MYBBP1A</t>
  </si>
  <si>
    <t>NUDT12</t>
  </si>
  <si>
    <t>EIF2AK1</t>
  </si>
  <si>
    <t>LPIN3</t>
  </si>
  <si>
    <t>FERMT1</t>
  </si>
  <si>
    <t>MGME1</t>
  </si>
  <si>
    <t>FYCO1</t>
  </si>
  <si>
    <t>ACBD6</t>
  </si>
  <si>
    <t>CORO1B</t>
  </si>
  <si>
    <t>LSMD1</t>
  </si>
  <si>
    <t>TXNDC17</t>
  </si>
  <si>
    <t>BUD13</t>
  </si>
  <si>
    <t>CPPED1</t>
  </si>
  <si>
    <t>VPS25</t>
  </si>
  <si>
    <t>LZTS2</t>
  </si>
  <si>
    <t>SDF4</t>
  </si>
  <si>
    <t>PDCD2L</t>
  </si>
  <si>
    <t>WIBG</t>
  </si>
  <si>
    <t>AIFM2</t>
  </si>
  <si>
    <t>ADPGK</t>
  </si>
  <si>
    <t>GPATCH1</t>
  </si>
  <si>
    <t>RIOK1</t>
  </si>
  <si>
    <t>LARP6</t>
  </si>
  <si>
    <t>MIEN1</t>
  </si>
  <si>
    <t>GINS4</t>
  </si>
  <si>
    <t>SIKE1</t>
  </si>
  <si>
    <t>PELO</t>
  </si>
  <si>
    <t>GINS3</t>
  </si>
  <si>
    <t>WDR83</t>
  </si>
  <si>
    <t>ERP44</t>
  </si>
  <si>
    <t>LXN</t>
  </si>
  <si>
    <t>ATG101</t>
  </si>
  <si>
    <t>NTPCR</t>
  </si>
  <si>
    <t>AGMAT</t>
  </si>
  <si>
    <t>TACO1</t>
  </si>
  <si>
    <t>HDHD3</t>
  </si>
  <si>
    <t>TUBGCP2</t>
  </si>
  <si>
    <t>C17orf80</t>
  </si>
  <si>
    <t>ESYT1</t>
  </si>
  <si>
    <t>UBAC1</t>
  </si>
  <si>
    <t>CCM2</t>
  </si>
  <si>
    <t>RTKN</t>
  </si>
  <si>
    <t>C16orf70</t>
  </si>
  <si>
    <t>TSEN34</t>
  </si>
  <si>
    <t>CHCHD5</t>
  </si>
  <si>
    <t>CNPY3</t>
  </si>
  <si>
    <t>MTG1</t>
  </si>
  <si>
    <t>HAUS8</t>
  </si>
  <si>
    <t>ALKBH7</t>
  </si>
  <si>
    <t>PSMG3</t>
  </si>
  <si>
    <t>COPS4</t>
  </si>
  <si>
    <t>WAC</t>
  </si>
  <si>
    <t>DIDO1</t>
  </si>
  <si>
    <t>DCTN5</t>
  </si>
  <si>
    <t>MCMBP</t>
  </si>
  <si>
    <t>AARSD1</t>
  </si>
  <si>
    <t>DCUN1D5</t>
  </si>
  <si>
    <t>THUMPD2</t>
  </si>
  <si>
    <t>FAM103A1</t>
  </si>
  <si>
    <t>URM1</t>
  </si>
  <si>
    <t>FAAP24</t>
  </si>
  <si>
    <t>ANP32E</t>
  </si>
  <si>
    <t>MED10</t>
  </si>
  <si>
    <t>LRRC1</t>
  </si>
  <si>
    <t>FSD1</t>
  </si>
  <si>
    <t>WDR85</t>
  </si>
  <si>
    <t>TBCD</t>
  </si>
  <si>
    <t>TTPAL</t>
  </si>
  <si>
    <t>FUCA2</t>
  </si>
  <si>
    <t>FAM203A</t>
  </si>
  <si>
    <t>DHRS4</t>
  </si>
  <si>
    <t>THTPA</t>
  </si>
  <si>
    <t>NDUFAF3</t>
  </si>
  <si>
    <t>CENPO</t>
  </si>
  <si>
    <t>MMTAG2</t>
  </si>
  <si>
    <t>DOHH</t>
  </si>
  <si>
    <t>C11orf84</t>
  </si>
  <si>
    <t>ADAT1</t>
  </si>
  <si>
    <t>MKNK1</t>
  </si>
  <si>
    <t>MED18</t>
  </si>
  <si>
    <t>TUBB6</t>
  </si>
  <si>
    <t>C9orf142</t>
  </si>
  <si>
    <t>POLR3C</t>
  </si>
  <si>
    <t>HNRNPUL1</t>
  </si>
  <si>
    <t>MSTO1</t>
  </si>
  <si>
    <t>RPP25</t>
  </si>
  <si>
    <t>EFHD1</t>
  </si>
  <si>
    <t>HTATIP2</t>
  </si>
  <si>
    <t>DDX23</t>
  </si>
  <si>
    <t>WRAP53</t>
  </si>
  <si>
    <t>BDH2</t>
  </si>
  <si>
    <t>FAM195A</t>
  </si>
  <si>
    <t>C9orf16</t>
  </si>
  <si>
    <t>C1orf50</t>
  </si>
  <si>
    <t>MRI1</t>
  </si>
  <si>
    <t>MLPH</t>
  </si>
  <si>
    <t>THUMPD3</t>
  </si>
  <si>
    <t>ADI1</t>
  </si>
  <si>
    <t>RNF126</t>
  </si>
  <si>
    <t>CEP250</t>
  </si>
  <si>
    <t>MECR</t>
  </si>
  <si>
    <t>NTMT1</t>
  </si>
  <si>
    <t>KATNB1</t>
  </si>
  <si>
    <t>DSCC1</t>
  </si>
  <si>
    <t>MLST8</t>
  </si>
  <si>
    <t>C2orf49</t>
  </si>
  <si>
    <t>PBDC1</t>
  </si>
  <si>
    <t>KIFC3</t>
  </si>
  <si>
    <t>NOC4L</t>
  </si>
  <si>
    <t>UTP14A</t>
  </si>
  <si>
    <t>DUSP23</t>
  </si>
  <si>
    <t>SELO</t>
  </si>
  <si>
    <t>DPCD</t>
  </si>
  <si>
    <t>GGACT</t>
  </si>
  <si>
    <t>SPATA5L1</t>
  </si>
  <si>
    <t>TUBGCP4</t>
  </si>
  <si>
    <t>RIOK2</t>
  </si>
  <si>
    <t>KIAA0586</t>
  </si>
  <si>
    <t>TIPIN</t>
  </si>
  <si>
    <t>SARG</t>
  </si>
  <si>
    <t>KIFC1</t>
  </si>
  <si>
    <t>NUP85</t>
  </si>
  <si>
    <t>TPPP3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</si>
  <si>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</si>
  <si>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</si>
  <si>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</si>
  <si>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</si>
  <si>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</si>
  <si>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</si>
  <si>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</si>
  <si>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</si>
  <si>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FAM127B</t>
  </si>
  <si>
    <t>REPIN1</t>
  </si>
  <si>
    <t>RBM4</t>
  </si>
  <si>
    <t>FUNDC2</t>
  </si>
  <si>
    <t>RPAP1</t>
  </si>
  <si>
    <t>SF3B5</t>
  </si>
  <si>
    <t>CHID1</t>
  </si>
  <si>
    <t>PAPOLG</t>
  </si>
  <si>
    <t>MND1</t>
  </si>
  <si>
    <t>CARD10</t>
  </si>
  <si>
    <t>SLC4A1AP</t>
  </si>
  <si>
    <t>SSDP4</t>
  </si>
  <si>
    <t>LSM14B</t>
  </si>
  <si>
    <t>BRIP1</t>
  </si>
  <si>
    <t>HINT2</t>
  </si>
  <si>
    <t>OSBPL11</t>
  </si>
  <si>
    <t>OSBPL10</t>
  </si>
  <si>
    <t>RAB11FIP5</t>
  </si>
  <si>
    <t>TBC1D10A</t>
  </si>
  <si>
    <t>NAA15</t>
  </si>
  <si>
    <t>KLF16</t>
  </si>
  <si>
    <t>SRRT</t>
  </si>
  <si>
    <t>QTRT1</t>
  </si>
  <si>
    <t>AP1M1</t>
  </si>
  <si>
    <t>NUSAP1</t>
  </si>
  <si>
    <t>C14orf142</t>
  </si>
  <si>
    <t>OSBPL1A</t>
  </si>
  <si>
    <t>CECR5</t>
  </si>
  <si>
    <t>FANCD2</t>
  </si>
  <si>
    <t>MAK16</t>
  </si>
  <si>
    <t>SCAPER</t>
  </si>
  <si>
    <t>ITPA</t>
  </si>
  <si>
    <t>RTFDC1</t>
  </si>
  <si>
    <t>CHMP4A</t>
  </si>
  <si>
    <t>CADM1</t>
  </si>
  <si>
    <t>POLDIP3</t>
  </si>
  <si>
    <t>KIAA1671</t>
  </si>
  <si>
    <t>GNB1L</t>
  </si>
  <si>
    <t>MRPL32</t>
  </si>
  <si>
    <t>PARD6B</t>
  </si>
  <si>
    <t>YTHDF1</t>
  </si>
  <si>
    <t>RBCK1</t>
  </si>
  <si>
    <t>SRXN1</t>
  </si>
  <si>
    <t>MRPS26</t>
  </si>
  <si>
    <t>NLN</t>
  </si>
  <si>
    <t>CEP41</t>
  </si>
  <si>
    <t>SETD2</t>
  </si>
  <si>
    <t>TBC1D2</t>
  </si>
  <si>
    <t>PANK2</t>
  </si>
  <si>
    <t>DOCK9</t>
  </si>
  <si>
    <t>FRMD8</t>
  </si>
  <si>
    <t>WHSC1L1</t>
  </si>
  <si>
    <t>TXLNG2P</t>
  </si>
  <si>
    <t>NUF2</t>
  </si>
  <si>
    <t>GTPBP4</t>
  </si>
  <si>
    <t>ASPSCR1</t>
  </si>
  <si>
    <t>WDR11</t>
  </si>
  <si>
    <t>UPF3B</t>
  </si>
  <si>
    <t>CRNKL1</t>
  </si>
  <si>
    <t>TBL1XR1</t>
  </si>
  <si>
    <t>UBL5</t>
  </si>
  <si>
    <t>PPP1R12C</t>
  </si>
  <si>
    <t>PRKD2</t>
  </si>
  <si>
    <t>ULBP2</t>
  </si>
  <si>
    <t>UCK2</t>
  </si>
  <si>
    <t>API5</t>
  </si>
  <si>
    <t>DPY30</t>
  </si>
  <si>
    <t>PKIB</t>
  </si>
  <si>
    <t>TRIM9</t>
  </si>
  <si>
    <t>UNK</t>
  </si>
  <si>
    <t>FTO</t>
  </si>
  <si>
    <t>ZDHHC5</t>
  </si>
  <si>
    <t>TANGO6</t>
  </si>
  <si>
    <t>TNKS1BP1</t>
  </si>
  <si>
    <t>AMBRA1</t>
  </si>
  <si>
    <t>ZYG11B</t>
  </si>
  <si>
    <t>TANC1</t>
  </si>
  <si>
    <t>CEP44</t>
  </si>
  <si>
    <t>KLHL4</t>
  </si>
  <si>
    <t>MTMR12</t>
  </si>
  <si>
    <t>WDR33</t>
  </si>
  <si>
    <t>WDR12</t>
  </si>
  <si>
    <t>ACTR6</t>
  </si>
  <si>
    <t>C20orf27</t>
  </si>
  <si>
    <t>PITHD1</t>
  </si>
  <si>
    <t>COMMD5</t>
  </si>
  <si>
    <t>SENP6</t>
  </si>
  <si>
    <t>POLR1E</t>
  </si>
  <si>
    <t>WDR61</t>
  </si>
  <si>
    <t>SLIRP</t>
  </si>
  <si>
    <t>SRR</t>
  </si>
  <si>
    <t>NIF3L1</t>
  </si>
  <si>
    <t>EGLN1</t>
  </si>
  <si>
    <t>FAM192A</t>
  </si>
  <si>
    <t>ANKRD2</t>
  </si>
  <si>
    <t>WWTR1</t>
  </si>
  <si>
    <t>TWSG1</t>
  </si>
  <si>
    <t>MFF</t>
  </si>
  <si>
    <t>UBA5</t>
  </si>
  <si>
    <t>LHPP</t>
  </si>
  <si>
    <t>PAIP1</t>
  </si>
  <si>
    <t>CLPB</t>
  </si>
  <si>
    <t>MIS12</t>
  </si>
  <si>
    <t>RAB33B</t>
  </si>
  <si>
    <t>FAM107B</t>
  </si>
  <si>
    <t>COMMD4</t>
  </si>
  <si>
    <t>KLC2</t>
  </si>
  <si>
    <t>ILKAP</t>
  </si>
  <si>
    <t>XRN2</t>
  </si>
  <si>
    <t>TOLLIP</t>
  </si>
  <si>
    <t>SAP130</t>
  </si>
  <si>
    <t>BRD8</t>
  </si>
  <si>
    <t>SHARPIN</t>
  </si>
  <si>
    <t>ARL6</t>
  </si>
  <si>
    <t>NSRP1</t>
  </si>
  <si>
    <t>RACGAP1</t>
  </si>
  <si>
    <t>PARP12</t>
  </si>
  <si>
    <t>PUS7L</t>
  </si>
  <si>
    <t>CSTF2T</t>
  </si>
  <si>
    <t>NT5C3A</t>
  </si>
  <si>
    <t>AP5M1</t>
  </si>
  <si>
    <t>HDHD2</t>
  </si>
  <si>
    <t>QRSL1</t>
  </si>
  <si>
    <t>DDX47</t>
  </si>
  <si>
    <t>RAB1B</t>
  </si>
  <si>
    <t>SMG9</t>
  </si>
  <si>
    <t>C11orf54</t>
  </si>
  <si>
    <t>SIL1</t>
  </si>
  <si>
    <t>ANAPC1</t>
  </si>
  <si>
    <t>IRF2BPL</t>
  </si>
  <si>
    <t>POLR3F</t>
  </si>
  <si>
    <t>NUCKS1</t>
  </si>
  <si>
    <t>KIF13A</t>
  </si>
  <si>
    <t>ASCC2</t>
  </si>
  <si>
    <t>UPF3A</t>
  </si>
  <si>
    <t>ZFYVE20</t>
  </si>
  <si>
    <t>ISCU</t>
  </si>
  <si>
    <t>OSBPL2</t>
  </si>
  <si>
    <t>MEGF9</t>
  </si>
  <si>
    <t>ATG5</t>
  </si>
  <si>
    <t>WDR13</t>
  </si>
  <si>
    <t>EHD4</t>
  </si>
  <si>
    <t>VPS33B</t>
  </si>
  <si>
    <t>VPS16</t>
  </si>
  <si>
    <t>VPS11</t>
  </si>
  <si>
    <t>GAN</t>
  </si>
  <si>
    <t>TRIOBP</t>
  </si>
  <si>
    <t>EPC1</t>
  </si>
  <si>
    <t>SLK</t>
  </si>
  <si>
    <t>PPIL3</t>
  </si>
  <si>
    <t>PDCL3</t>
  </si>
  <si>
    <t>TAOK3</t>
  </si>
  <si>
    <t>RAB3GAP2</t>
  </si>
  <si>
    <t>ADNP</t>
  </si>
  <si>
    <t>DPH5</t>
  </si>
  <si>
    <t>DHX36</t>
  </si>
  <si>
    <t>PPA2</t>
  </si>
  <si>
    <t>MRPL46</t>
  </si>
  <si>
    <t>ZNF106</t>
  </si>
  <si>
    <t>PNN</t>
  </si>
  <si>
    <t>TP63</t>
  </si>
  <si>
    <t>KCTD10</t>
  </si>
  <si>
    <t>TRIT1</t>
  </si>
  <si>
    <t>C11orf68</t>
  </si>
  <si>
    <t>BOLA2</t>
  </si>
  <si>
    <t>MMADHC</t>
  </si>
  <si>
    <t>TMX1</t>
  </si>
  <si>
    <t>NELFA</t>
  </si>
  <si>
    <t>ACBD3</t>
  </si>
  <si>
    <t>CDC42EP4</t>
  </si>
  <si>
    <t>PTPN23</t>
  </si>
  <si>
    <t>UNC45A</t>
  </si>
  <si>
    <t>PPDPF</t>
  </si>
  <si>
    <t>DSN1</t>
  </si>
  <si>
    <t>C1orf198</t>
  </si>
  <si>
    <t>CHMP4B</t>
  </si>
  <si>
    <t>FZD8</t>
  </si>
  <si>
    <t>CUEDC2</t>
  </si>
  <si>
    <t>FBXL15</t>
  </si>
  <si>
    <t>FN3K</t>
  </si>
  <si>
    <t>POFUT1</t>
  </si>
  <si>
    <t>MAP1LC3A</t>
  </si>
  <si>
    <t>IFRG15</t>
  </si>
  <si>
    <t>RNPEP</t>
  </si>
  <si>
    <t>GOLPH3L</t>
  </si>
  <si>
    <t>GOLPH3</t>
  </si>
  <si>
    <t>OSGEPL1</t>
  </si>
  <si>
    <t>SAV1</t>
  </si>
  <si>
    <t>SMOC1</t>
  </si>
  <si>
    <t>FAM83D</t>
  </si>
  <si>
    <t>ZHX3</t>
  </si>
  <si>
    <t>OSBPL3</t>
  </si>
  <si>
    <t>SMARCAD1</t>
  </si>
  <si>
    <t>EHD1</t>
  </si>
  <si>
    <t>RNF41</t>
  </si>
  <si>
    <t>PCIF1</t>
  </si>
  <si>
    <t>ESF1</t>
  </si>
  <si>
    <t>ZNF644</t>
  </si>
  <si>
    <t>RABEP2</t>
  </si>
  <si>
    <t>TFB2M</t>
  </si>
  <si>
    <t>CXorf56</t>
  </si>
  <si>
    <t>FAM96A</t>
  </si>
  <si>
    <t>DHX35</t>
  </si>
  <si>
    <t>ZNF576</t>
  </si>
  <si>
    <t>RPP21</t>
  </si>
  <si>
    <t>ASB7</t>
  </si>
  <si>
    <t>BICC1</t>
  </si>
  <si>
    <t>PCNXL3</t>
  </si>
  <si>
    <t>HAUS4</t>
  </si>
  <si>
    <t>CCDC134</t>
  </si>
  <si>
    <t>TUT1</t>
  </si>
  <si>
    <t>CCDC86</t>
  </si>
  <si>
    <t>SOX17</t>
  </si>
  <si>
    <t>C6orf106</t>
  </si>
  <si>
    <t>ARMC7</t>
  </si>
  <si>
    <t>NARFL</t>
  </si>
  <si>
    <t>NOL6</t>
  </si>
  <si>
    <t>C2orf44</t>
  </si>
  <si>
    <t>YTHDC2</t>
  </si>
  <si>
    <t>AZI2</t>
  </si>
  <si>
    <t>EPS8L2</t>
  </si>
  <si>
    <t>RPAP3</t>
  </si>
  <si>
    <t>BCAS3</t>
  </si>
  <si>
    <t>ANTXR1</t>
  </si>
  <si>
    <t>WDR55</t>
  </si>
  <si>
    <t>RANBP3</t>
  </si>
  <si>
    <t>GAREM</t>
  </si>
  <si>
    <t>DCTPP1</t>
  </si>
  <si>
    <t>SH2D4A</t>
  </si>
  <si>
    <t>PEAK1</t>
  </si>
  <si>
    <t>SMYD3</t>
  </si>
  <si>
    <t>SYNC</t>
  </si>
  <si>
    <t>AAMDC</t>
  </si>
  <si>
    <t>DOCK5</t>
  </si>
  <si>
    <t>WDR26</t>
  </si>
  <si>
    <t>TDRD3</t>
  </si>
  <si>
    <t>C8orf33</t>
  </si>
  <si>
    <t>SUDS3</t>
  </si>
  <si>
    <t>SCAF1</t>
  </si>
  <si>
    <t>PLEKHG2</t>
  </si>
  <si>
    <t>ZNF703</t>
  </si>
  <si>
    <t>CCSER2</t>
  </si>
  <si>
    <t>ZNF696</t>
  </si>
  <si>
    <t>RABL5</t>
  </si>
  <si>
    <t>KAT8</t>
  </si>
  <si>
    <t>PTGES2</t>
  </si>
  <si>
    <t>PHAX</t>
  </si>
  <si>
    <t>UBE2Z</t>
  </si>
  <si>
    <t>GEMIN7</t>
  </si>
  <si>
    <t>ACAD9</t>
  </si>
  <si>
    <t>NT5DC2</t>
  </si>
  <si>
    <t>YY1AP1</t>
  </si>
  <si>
    <t>PRKRIP1</t>
  </si>
  <si>
    <t>CAAP1</t>
  </si>
  <si>
    <t>NOL11</t>
  </si>
  <si>
    <t>C10orf88</t>
  </si>
  <si>
    <t>FAM188A</t>
  </si>
  <si>
    <t>MOB1A</t>
  </si>
  <si>
    <t>ZFAND3</t>
  </si>
  <si>
    <t>ECT2</t>
  </si>
  <si>
    <t>PLEKHF2</t>
  </si>
  <si>
    <t>ANKZF1</t>
  </si>
  <si>
    <t>GORASP2</t>
  </si>
  <si>
    <t>ZWILCH</t>
  </si>
  <si>
    <t>MED20</t>
  </si>
  <si>
    <t>QTRTD1</t>
  </si>
  <si>
    <t>WDR54</t>
  </si>
  <si>
    <t>MARCH7</t>
  </si>
  <si>
    <t>C6orf211</t>
  </si>
  <si>
    <t>PANK3</t>
  </si>
  <si>
    <t>CNOT10</t>
  </si>
  <si>
    <t>LRRC40</t>
  </si>
  <si>
    <t>RMI1</t>
  </si>
  <si>
    <t>EHMT1</t>
  </si>
  <si>
    <t>VIPAS39</t>
  </si>
  <si>
    <t>ZNF408</t>
  </si>
  <si>
    <t>COG4</t>
  </si>
  <si>
    <t>ACTR5</t>
  </si>
  <si>
    <t>VPS37B</t>
  </si>
  <si>
    <t>MRPL44</t>
  </si>
  <si>
    <t>DBNDD1</t>
  </si>
  <si>
    <t>ELP3</t>
  </si>
  <si>
    <t>POLR1B</t>
  </si>
  <si>
    <t>UCK1</t>
  </si>
  <si>
    <t>FN3KRP</t>
  </si>
  <si>
    <t>TBC1D17</t>
  </si>
  <si>
    <t>CARS2</t>
  </si>
  <si>
    <t>PPCS</t>
  </si>
  <si>
    <t>WDR41</t>
  </si>
  <si>
    <t>SAP30L</t>
  </si>
  <si>
    <t>MLXIP</t>
  </si>
  <si>
    <t>SIAE</t>
  </si>
  <si>
    <t>PLEKHA5</t>
  </si>
  <si>
    <t>SMURF2</t>
  </si>
  <si>
    <t>UPF2</t>
  </si>
  <si>
    <t>RNPEPL1</t>
  </si>
  <si>
    <t>XPO5</t>
  </si>
  <si>
    <t>GRPEL1</t>
  </si>
  <si>
    <t>CLSPN</t>
  </si>
  <si>
    <t>BCMO1</t>
  </si>
  <si>
    <t>C12orf10</t>
  </si>
  <si>
    <t>BCL2L12</t>
  </si>
  <si>
    <t>PLEKHA2</t>
  </si>
  <si>
    <t>PLEKHA3</t>
  </si>
  <si>
    <t>PLEKHA1</t>
  </si>
  <si>
    <t>SCPEP1</t>
  </si>
  <si>
    <t>CACYBP</t>
  </si>
  <si>
    <t>RRAGC</t>
  </si>
  <si>
    <t>FANCE</t>
  </si>
  <si>
    <t>RC3H2</t>
  </si>
  <si>
    <t>PATZ1</t>
  </si>
  <si>
    <t>PDF</t>
  </si>
  <si>
    <t>PARVB</t>
  </si>
  <si>
    <t>AS3MT</t>
  </si>
  <si>
    <t>NMRAL1</t>
  </si>
  <si>
    <t>SPC25</t>
  </si>
  <si>
    <t>SLC38A10</t>
  </si>
  <si>
    <t>ETNK1</t>
  </si>
  <si>
    <t>ARNT2</t>
  </si>
  <si>
    <t>EML4</t>
  </si>
  <si>
    <t>GLOD4</t>
  </si>
  <si>
    <t>CBX8</t>
  </si>
  <si>
    <t>MUC5B</t>
  </si>
  <si>
    <t>MCCC2</t>
  </si>
  <si>
    <t>ZFYVE28</t>
  </si>
  <si>
    <t>NCOA5</t>
  </si>
  <si>
    <t>TANC2</t>
  </si>
  <si>
    <t>EPG5</t>
  </si>
  <si>
    <t>ZNF532</t>
  </si>
  <si>
    <t>METTL14</t>
  </si>
  <si>
    <t>NCKAP5L</t>
  </si>
  <si>
    <t>SYTL2</t>
  </si>
  <si>
    <t>TNRC6C</t>
  </si>
  <si>
    <t>RAVER2</t>
  </si>
  <si>
    <t>CHD8</t>
  </si>
  <si>
    <t>KIAA1551</t>
  </si>
  <si>
    <t>EPB41L5</t>
  </si>
  <si>
    <t>GPN1</t>
  </si>
  <si>
    <t>SDF2L1</t>
  </si>
  <si>
    <t>CSNK1G1</t>
  </si>
  <si>
    <t>EPB41L4A</t>
  </si>
  <si>
    <t>POLD4</t>
  </si>
  <si>
    <t>SRA1</t>
  </si>
  <si>
    <t>GOPC</t>
  </si>
  <si>
    <t>SEPSECS</t>
  </si>
  <si>
    <t>RANGRF</t>
  </si>
  <si>
    <t>MYO10</t>
  </si>
  <si>
    <t>WDR6</t>
  </si>
  <si>
    <t>TUFT1</t>
  </si>
  <si>
    <t>HMG20A</t>
  </si>
  <si>
    <t>RAB18</t>
  </si>
  <si>
    <t>ALG13</t>
  </si>
  <si>
    <t>PALMD</t>
  </si>
  <si>
    <t>SSU72</t>
  </si>
  <si>
    <t>VTA1</t>
  </si>
  <si>
    <t>DYNLRB1</t>
  </si>
  <si>
    <t>MID1IP1</t>
  </si>
  <si>
    <t>ENY2</t>
  </si>
  <si>
    <t>GPCPD1</t>
  </si>
  <si>
    <t>EXOSC4</t>
  </si>
  <si>
    <t>UBE2T</t>
  </si>
  <si>
    <t>NGRN</t>
  </si>
  <si>
    <t>NOP10</t>
  </si>
  <si>
    <t>CD320</t>
  </si>
  <si>
    <t>OSGEP</t>
  </si>
  <si>
    <t>DMAP1</t>
  </si>
  <si>
    <t>ACP6</t>
  </si>
  <si>
    <t>DCP1A</t>
  </si>
  <si>
    <t>ACOT13</t>
  </si>
  <si>
    <t>MED4</t>
  </si>
  <si>
    <t>RIC8A</t>
  </si>
  <si>
    <t>LUC7L</t>
  </si>
  <si>
    <t>TIGAR</t>
  </si>
  <si>
    <t>COPRS</t>
  </si>
  <si>
    <t>WASH6P</t>
  </si>
  <si>
    <t>RTN4</t>
  </si>
  <si>
    <t>HINT3</t>
  </si>
  <si>
    <t>RPRD1B</t>
  </si>
  <si>
    <t>XPNPEP3</t>
  </si>
  <si>
    <t>PFDN4</t>
  </si>
  <si>
    <t>NIT2</t>
  </si>
  <si>
    <t>AVEN</t>
  </si>
  <si>
    <t>PVRL3</t>
  </si>
  <si>
    <t>INCENP</t>
  </si>
  <si>
    <t>EXOSC5</t>
  </si>
  <si>
    <t>KIF13B</t>
  </si>
  <si>
    <t>ANLN</t>
  </si>
  <si>
    <t>XPNPEP1</t>
  </si>
  <si>
    <t>GPHN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</si>
  <si>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</si>
  <si>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</si>
  <si>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</si>
  <si>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</si>
  <si>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</si>
  <si>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</si>
  <si>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</si>
  <si>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</si>
  <si>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</si>
  <si>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</si>
  <si>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</si>
  <si>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</si>
  <si>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</si>
  <si>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SH2B1</t>
  </si>
  <si>
    <t>CTPS2</t>
  </si>
  <si>
    <t>POLE3</t>
  </si>
  <si>
    <t>CHRAC1</t>
  </si>
  <si>
    <t>PRTFDC1</t>
  </si>
  <si>
    <t>SMYD2</t>
  </si>
  <si>
    <t>YAE1D1</t>
  </si>
  <si>
    <t>TULP4</t>
  </si>
  <si>
    <t>BAZ1A</t>
  </si>
  <si>
    <t>STRN4</t>
  </si>
  <si>
    <t>AASDHPPT</t>
  </si>
  <si>
    <t>METTL5</t>
  </si>
  <si>
    <t>UBQLN4</t>
  </si>
  <si>
    <t>INPP5E</t>
  </si>
  <si>
    <t>SNX15</t>
  </si>
  <si>
    <t>HEBP1</t>
  </si>
  <si>
    <t>VPS45</t>
  </si>
  <si>
    <t>PNO1</t>
  </si>
  <si>
    <t>PHPT1</t>
  </si>
  <si>
    <t>INIP</t>
  </si>
  <si>
    <t>ARHGAP35</t>
  </si>
  <si>
    <t>FAM114A2</t>
  </si>
  <si>
    <t>HELLS</t>
  </si>
  <si>
    <t>GLRX2</t>
  </si>
  <si>
    <t>CREBZF</t>
  </si>
  <si>
    <t>MBIP</t>
  </si>
  <si>
    <t>LANCL2</t>
  </si>
  <si>
    <t>KIF15</t>
  </si>
  <si>
    <t>RAD18</t>
  </si>
  <si>
    <t>CTNNBIP1</t>
  </si>
  <si>
    <t>HOMER2</t>
  </si>
  <si>
    <t>HOMER3</t>
  </si>
  <si>
    <t>FARSB</t>
  </si>
  <si>
    <t>IARS2</t>
  </si>
  <si>
    <t>FAM207A</t>
  </si>
  <si>
    <t>KLC4</t>
  </si>
  <si>
    <t>ATG3</t>
  </si>
  <si>
    <t>PDS5B</t>
  </si>
  <si>
    <t>SMC4</t>
  </si>
  <si>
    <t>MAN2C1</t>
  </si>
  <si>
    <t>OLA1</t>
  </si>
  <si>
    <t>CUTC</t>
  </si>
  <si>
    <t>SEMA4G</t>
  </si>
  <si>
    <t>ECHDC1</t>
  </si>
  <si>
    <t>RNF146</t>
  </si>
  <si>
    <t>RBM12</t>
  </si>
  <si>
    <t>MDN1</t>
  </si>
  <si>
    <t>ACSS1</t>
  </si>
  <si>
    <t>PDRG1</t>
  </si>
  <si>
    <t>ABHD10</t>
  </si>
  <si>
    <t>TCP11L1</t>
  </si>
  <si>
    <t>TMEM106B</t>
  </si>
  <si>
    <t>BLOC1S4</t>
  </si>
  <si>
    <t>TRMT13</t>
  </si>
  <si>
    <t>LIN7C</t>
  </si>
  <si>
    <t>TXLNG</t>
  </si>
  <si>
    <t>SPATS2L</t>
  </si>
  <si>
    <t>ABCF3</t>
  </si>
  <si>
    <t>FAM49B</t>
  </si>
  <si>
    <t>DDX19A</t>
  </si>
  <si>
    <t>TDP1</t>
  </si>
  <si>
    <t>TBC1D23</t>
  </si>
  <si>
    <t>DCAF13</t>
  </si>
  <si>
    <t>NUDT15</t>
  </si>
  <si>
    <t>MRGBP</t>
  </si>
  <si>
    <t>EXOC1</t>
  </si>
  <si>
    <t>INTS9</t>
  </si>
  <si>
    <t>TMEM184C</t>
  </si>
  <si>
    <t>PARVA</t>
  </si>
  <si>
    <t>USP40</t>
  </si>
  <si>
    <t>PANK4</t>
  </si>
  <si>
    <t>FBXO28</t>
  </si>
  <si>
    <t>TBC1D13</t>
  </si>
  <si>
    <t>INTS7</t>
  </si>
  <si>
    <t>TMLHE</t>
  </si>
  <si>
    <t>FANCI</t>
  </si>
  <si>
    <t>ARL8B</t>
  </si>
  <si>
    <t>PRMT7</t>
  </si>
  <si>
    <t>DNAJC17</t>
  </si>
  <si>
    <t>ASUN</t>
  </si>
  <si>
    <t>RIC8B</t>
  </si>
  <si>
    <t>GNL3L</t>
  </si>
  <si>
    <t>ASF1B</t>
  </si>
  <si>
    <t>FAIM</t>
  </si>
  <si>
    <t>KLHL11</t>
  </si>
  <si>
    <t>INTS10</t>
  </si>
  <si>
    <t>DNAAF2</t>
  </si>
  <si>
    <t>PNPO</t>
  </si>
  <si>
    <t>ARMC1</t>
  </si>
  <si>
    <t>POLR3E</t>
  </si>
  <si>
    <t>SDAD1</t>
  </si>
  <si>
    <t>RLIM</t>
  </si>
  <si>
    <t>HAUS2</t>
  </si>
  <si>
    <t>NLE1</t>
  </si>
  <si>
    <t>KBTBD4</t>
  </si>
  <si>
    <t>NECAP2</t>
  </si>
  <si>
    <t>POLR3B</t>
  </si>
  <si>
    <t>RBM22</t>
  </si>
  <si>
    <t>GPATCH2</t>
  </si>
  <si>
    <t>WDR70</t>
  </si>
  <si>
    <t>TMEM51</t>
  </si>
  <si>
    <t>MED9</t>
  </si>
  <si>
    <t>ARGLU1</t>
  </si>
  <si>
    <t>RNF216</t>
  </si>
  <si>
    <t>SLTM</t>
  </si>
  <si>
    <t>ZNHIT6</t>
  </si>
  <si>
    <t>SMOX</t>
  </si>
  <si>
    <t>CUEDC1</t>
  </si>
  <si>
    <t>FKBP14</t>
  </si>
  <si>
    <t>GPATCH2L</t>
  </si>
  <si>
    <t>C14orf119</t>
  </si>
  <si>
    <t>PIH1D1</t>
  </si>
  <si>
    <t>PARPBP</t>
  </si>
  <si>
    <t>FAM118A</t>
  </si>
  <si>
    <t>HIF1AN</t>
  </si>
  <si>
    <t>OXSM</t>
  </si>
  <si>
    <t>GID8</t>
  </si>
  <si>
    <t>C1orf123</t>
  </si>
  <si>
    <t>NMRK1</t>
  </si>
  <si>
    <t>ASB6</t>
  </si>
  <si>
    <t>THG1L</t>
  </si>
  <si>
    <t>C4orf27</t>
  </si>
  <si>
    <t>IRAK4</t>
  </si>
  <si>
    <t>UCKL1</t>
  </si>
  <si>
    <t>GEMIN8</t>
  </si>
  <si>
    <t>TXNL4B</t>
  </si>
  <si>
    <t>NLRP2</t>
  </si>
  <si>
    <t>FAM120C</t>
  </si>
  <si>
    <t>TRNAU1AP</t>
  </si>
  <si>
    <t>COMMD8</t>
  </si>
  <si>
    <t>NHP2</t>
  </si>
  <si>
    <t>FAM206A</t>
  </si>
  <si>
    <t>ADPRHL2</t>
  </si>
  <si>
    <t>HYPK</t>
  </si>
  <si>
    <t>LYAR</t>
  </si>
  <si>
    <t>MED29</t>
  </si>
  <si>
    <t>DUS2L</t>
  </si>
  <si>
    <t>SIRT5</t>
  </si>
  <si>
    <t>MIOS</t>
  </si>
  <si>
    <t>MTMR10</t>
  </si>
  <si>
    <t>CWC25</t>
  </si>
  <si>
    <t>DCAF16</t>
  </si>
  <si>
    <t>THUMPD1</t>
  </si>
  <si>
    <t>P4HTM</t>
  </si>
  <si>
    <t>TRMT1</t>
  </si>
  <si>
    <t>NDE1</t>
  </si>
  <si>
    <t>BRE</t>
  </si>
  <si>
    <t>KCTD5</t>
  </si>
  <si>
    <t>CDKN2AIP</t>
  </si>
  <si>
    <t>DNAJB12</t>
  </si>
  <si>
    <t>ALKBH4</t>
  </si>
  <si>
    <t>NSMCE4A</t>
  </si>
  <si>
    <t>PPP4R2</t>
  </si>
  <si>
    <t>DPP3</t>
  </si>
  <si>
    <t>AATF</t>
  </si>
  <si>
    <t>DDX56</t>
  </si>
  <si>
    <t>TERF2IP</t>
  </si>
  <si>
    <t>ABI2</t>
  </si>
  <si>
    <t>BCLAF1</t>
  </si>
  <si>
    <t>ANAPC11</t>
  </si>
  <si>
    <t>COA4</t>
  </si>
  <si>
    <t>TAB2</t>
  </si>
  <si>
    <t>EURL</t>
  </si>
  <si>
    <t>MLTK</t>
  </si>
  <si>
    <t>TMOD3</t>
  </si>
  <si>
    <t>MIS18A</t>
  </si>
  <si>
    <t>CELSR1</t>
  </si>
  <si>
    <t>NKIRAS1</t>
  </si>
  <si>
    <t>PLEK2</t>
  </si>
  <si>
    <t>UGGT1</t>
  </si>
  <si>
    <t>CDK12</t>
  </si>
  <si>
    <t>FASTKD2</t>
  </si>
  <si>
    <t>GTSE1</t>
  </si>
  <si>
    <t>ERAP1</t>
  </si>
  <si>
    <t>UBAP1</t>
  </si>
  <si>
    <t>ACTR10</t>
  </si>
  <si>
    <t>CISD1</t>
  </si>
  <si>
    <t>GGA3</t>
  </si>
  <si>
    <t>C9orf78</t>
  </si>
  <si>
    <t>FAM120A</t>
  </si>
  <si>
    <t>SMARCAL1</t>
  </si>
  <si>
    <t>GLTP</t>
  </si>
  <si>
    <t>SPG21</t>
  </si>
  <si>
    <t>IGF2BP1</t>
  </si>
  <si>
    <t>NUDT4</t>
  </si>
  <si>
    <t>MAT2B</t>
  </si>
  <si>
    <t>MYOF</t>
  </si>
  <si>
    <t>ITSN2</t>
  </si>
  <si>
    <t>GLTSCR1</t>
  </si>
  <si>
    <t>EHD3</t>
  </si>
  <si>
    <t>EHD2</t>
  </si>
  <si>
    <t>ARHGEF12</t>
  </si>
  <si>
    <t>CNOT2</t>
  </si>
  <si>
    <t>NCKIPSD</t>
  </si>
  <si>
    <t>OGFR</t>
  </si>
  <si>
    <t>FLRT3</t>
  </si>
  <si>
    <t>LMCD1</t>
  </si>
  <si>
    <t>CRIM1</t>
  </si>
  <si>
    <t>MPP6</t>
  </si>
  <si>
    <t>CHMP5</t>
  </si>
  <si>
    <t>COMMD9</t>
  </si>
  <si>
    <t>CWC15</t>
  </si>
  <si>
    <t>THYN1</t>
  </si>
  <si>
    <t>CRIPT</t>
  </si>
  <si>
    <t>PDP1</t>
  </si>
  <si>
    <t>KCMF1</t>
  </si>
  <si>
    <t>RAI14</t>
  </si>
  <si>
    <t>VAPA</t>
  </si>
  <si>
    <t>TBC1D7</t>
  </si>
  <si>
    <t>RNF181</t>
  </si>
  <si>
    <t>C6orf203</t>
  </si>
  <si>
    <t>GSKIP</t>
  </si>
  <si>
    <t>CXXC1</t>
  </si>
  <si>
    <t>SH3BP4</t>
  </si>
  <si>
    <t>HMG20B</t>
  </si>
  <si>
    <t>ABRACL</t>
  </si>
  <si>
    <t>ZNRD1</t>
  </si>
  <si>
    <t>ACTR3B</t>
  </si>
  <si>
    <t>SAMD15</t>
  </si>
  <si>
    <t>CAMSAP3</t>
  </si>
  <si>
    <t>CALCOCO1</t>
  </si>
  <si>
    <t>KIAA1522</t>
  </si>
  <si>
    <t>PLCE1</t>
  </si>
  <si>
    <t>POGK</t>
  </si>
  <si>
    <t>CCDC88C</t>
  </si>
  <si>
    <t>ARHGAP23</t>
  </si>
  <si>
    <t>VPS18</t>
  </si>
  <si>
    <t>RCC2</t>
  </si>
  <si>
    <t>KIAA1468</t>
  </si>
  <si>
    <t>DIP2B</t>
  </si>
  <si>
    <t>KIAA1462</t>
  </si>
  <si>
    <t>SLAIN2</t>
  </si>
  <si>
    <t>USP36</t>
  </si>
  <si>
    <t>BCCIP</t>
  </si>
  <si>
    <t>MST4</t>
  </si>
  <si>
    <t>COPZ2</t>
  </si>
  <si>
    <t>PTGFRN</t>
  </si>
  <si>
    <t>CTTNBP2NL</t>
  </si>
  <si>
    <t>KIAA1430</t>
  </si>
  <si>
    <t>CHD7</t>
  </si>
  <si>
    <t>HEATR5B</t>
  </si>
  <si>
    <t>FAM135A</t>
  </si>
  <si>
    <t>DNAH1</t>
  </si>
  <si>
    <t>ZNFX1</t>
  </si>
  <si>
    <t>RRBP1</t>
  </si>
  <si>
    <t>IFT80</t>
  </si>
  <si>
    <t>CPSF2</t>
  </si>
  <si>
    <t>LARS</t>
  </si>
  <si>
    <t>RCOR3</t>
  </si>
  <si>
    <t>MYEF2</t>
  </si>
  <si>
    <t>KLHL42</t>
  </si>
  <si>
    <t>EIF2AK4</t>
  </si>
  <si>
    <t>TBC1D14</t>
  </si>
  <si>
    <t>CGN</t>
  </si>
  <si>
    <t>RBM27</t>
  </si>
  <si>
    <t>KANSL3</t>
  </si>
  <si>
    <t>ANKFY1</t>
  </si>
  <si>
    <t>RERE</t>
  </si>
  <si>
    <t>WRAP73</t>
  </si>
  <si>
    <t>PSMC3IP</t>
  </si>
  <si>
    <t>IMPACT</t>
  </si>
  <si>
    <t>ZNF219</t>
  </si>
  <si>
    <t>UVRAG</t>
  </si>
  <si>
    <t>ATXN10</t>
  </si>
  <si>
    <t>MBD2</t>
  </si>
  <si>
    <t>NCDN</t>
  </si>
  <si>
    <t>TFIP11</t>
  </si>
  <si>
    <t>EPS15L1</t>
  </si>
  <si>
    <t>ORC3</t>
  </si>
  <si>
    <t>SAE1</t>
  </si>
  <si>
    <t>COPG2</t>
  </si>
  <si>
    <t>RNF7</t>
  </si>
  <si>
    <t>PI4KB</t>
  </si>
  <si>
    <t>MRC2</t>
  </si>
  <si>
    <t>COMMD3</t>
  </si>
  <si>
    <t>GNG12</t>
  </si>
  <si>
    <t>MTRR</t>
  </si>
  <si>
    <t>UXT</t>
  </si>
  <si>
    <t>ASH2L</t>
  </si>
  <si>
    <t>TNFRSF10D</t>
  </si>
  <si>
    <t>SPAST</t>
  </si>
  <si>
    <t>METTL1</t>
  </si>
  <si>
    <t>GULP1</t>
  </si>
  <si>
    <t>VPS29</t>
  </si>
  <si>
    <t>GRHPR</t>
  </si>
  <si>
    <t>CTSZ</t>
  </si>
  <si>
    <t>RPS6KB2</t>
  </si>
  <si>
    <t>DNAJB11</t>
  </si>
  <si>
    <t>RNF14</t>
  </si>
  <si>
    <t>UBA2</t>
  </si>
  <si>
    <t>CTNNAL1</t>
  </si>
  <si>
    <t>NXF1</t>
  </si>
  <si>
    <t>PEF1</t>
  </si>
  <si>
    <t>ZMYM2</t>
  </si>
  <si>
    <t>COPS7A</t>
  </si>
  <si>
    <t>CLIP2</t>
  </si>
  <si>
    <t>SEC14L4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</si>
  <si>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</si>
  <si>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</si>
  <si>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</si>
  <si>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</si>
  <si>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</si>
  <si>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</si>
  <si>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</si>
  <si>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</si>
  <si>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STK39</t>
  </si>
  <si>
    <t>ADD3</t>
  </si>
  <si>
    <t>FBXL17</t>
  </si>
  <si>
    <t>LRWD1</t>
  </si>
  <si>
    <t>DKFZp566H1924</t>
  </si>
  <si>
    <t>NIPSNAP3A</t>
  </si>
  <si>
    <t>CGGBP1</t>
  </si>
  <si>
    <t>ABCF2</t>
  </si>
  <si>
    <t>TES</t>
  </si>
  <si>
    <t>PRKAG2</t>
  </si>
  <si>
    <t>SERGEF</t>
  </si>
  <si>
    <t>LIMD1</t>
  </si>
  <si>
    <t>SUSD2</t>
  </si>
  <si>
    <t>TCF20</t>
  </si>
  <si>
    <t>NDRG3</t>
  </si>
  <si>
    <t>ARMCX3</t>
  </si>
  <si>
    <t>SWAP70</t>
  </si>
  <si>
    <t>MLX</t>
  </si>
  <si>
    <t>RSL24D1</t>
  </si>
  <si>
    <t>LIMA1</t>
  </si>
  <si>
    <t>AFF4</t>
  </si>
  <si>
    <t>SRP68</t>
  </si>
  <si>
    <t>CHORDC1</t>
  </si>
  <si>
    <t>TBK1</t>
  </si>
  <si>
    <t>SEPT9</t>
  </si>
  <si>
    <t>UBQLN2</t>
  </si>
  <si>
    <t>DCDC2</t>
  </si>
  <si>
    <t>DDX20</t>
  </si>
  <si>
    <t>SFMBT1</t>
  </si>
  <si>
    <t>SHPK</t>
  </si>
  <si>
    <t>DPP7</t>
  </si>
  <si>
    <t>TMEM2</t>
  </si>
  <si>
    <t>USP25</t>
  </si>
  <si>
    <t>NARF</t>
  </si>
  <si>
    <t>BAIAP2L1</t>
  </si>
  <si>
    <t>ZNHIT2</t>
  </si>
  <si>
    <t>PFDN2</t>
  </si>
  <si>
    <t>GPN3</t>
  </si>
  <si>
    <t>PUF60</t>
  </si>
  <si>
    <t>NRBP1</t>
  </si>
  <si>
    <t>ENOPH1</t>
  </si>
  <si>
    <t>FEZ2</t>
  </si>
  <si>
    <t>EVL</t>
  </si>
  <si>
    <t>EIF2B4</t>
  </si>
  <si>
    <t>ATP6V1H</t>
  </si>
  <si>
    <t>IPO11</t>
  </si>
  <si>
    <t>TRMT112</t>
  </si>
  <si>
    <t>XPO7</t>
  </si>
  <si>
    <t>LCMT1</t>
  </si>
  <si>
    <t>VPS51</t>
  </si>
  <si>
    <t>ZNF639</t>
  </si>
  <si>
    <t>BAZ2B</t>
  </si>
  <si>
    <t>BAZ1B</t>
  </si>
  <si>
    <t>ATPIF1</t>
  </si>
  <si>
    <t>AK3</t>
  </si>
  <si>
    <t>SCOC</t>
  </si>
  <si>
    <t>FKBPL</t>
  </si>
  <si>
    <t>CNOT7</t>
  </si>
  <si>
    <t>RABGEF1</t>
  </si>
  <si>
    <t>MSRA</t>
  </si>
  <si>
    <t>NAGK</t>
  </si>
  <si>
    <t>MCM8</t>
  </si>
  <si>
    <t>TRMT6</t>
  </si>
  <si>
    <t>SH3BGRL2</t>
  </si>
  <si>
    <t>ZNF280C</t>
  </si>
  <si>
    <t>TSR3</t>
  </si>
  <si>
    <t>ERRFI1</t>
  </si>
  <si>
    <t>DBNL</t>
  </si>
  <si>
    <t>DDX41</t>
  </si>
  <si>
    <t>DCTN4</t>
  </si>
  <si>
    <t>OSGIN1</t>
  </si>
  <si>
    <t>CDC23</t>
  </si>
  <si>
    <t>ANAPC7</t>
  </si>
  <si>
    <t>ANAPC2</t>
  </si>
  <si>
    <t>HSPB8</t>
  </si>
  <si>
    <t>GGA2</t>
  </si>
  <si>
    <t>GGA1</t>
  </si>
  <si>
    <t>FBXO2</t>
  </si>
  <si>
    <t>ZNF580</t>
  </si>
  <si>
    <t>VPS28</t>
  </si>
  <si>
    <t>LSM7</t>
  </si>
  <si>
    <t>DBR1</t>
  </si>
  <si>
    <t>FAM208A</t>
  </si>
  <si>
    <t>FEM1B</t>
  </si>
  <si>
    <t>HN1</t>
  </si>
  <si>
    <t>FBXO9</t>
  </si>
  <si>
    <t>FBXO3</t>
  </si>
  <si>
    <t>AKAP11</t>
  </si>
  <si>
    <t>RCAN3</t>
  </si>
  <si>
    <t>PTBP2</t>
  </si>
  <si>
    <t>FBXW11</t>
  </si>
  <si>
    <t>DNAJC12</t>
  </si>
  <si>
    <t>MRTO4</t>
  </si>
  <si>
    <t>CPSF3</t>
  </si>
  <si>
    <t>APPL1</t>
  </si>
  <si>
    <t>CROT</t>
  </si>
  <si>
    <t>TLK1</t>
  </si>
  <si>
    <t>GPATCH8</t>
  </si>
  <si>
    <t>PARP4</t>
  </si>
  <si>
    <t>NXT1</t>
  </si>
  <si>
    <t>CASP8AP2</t>
  </si>
  <si>
    <t>PCTP</t>
  </si>
  <si>
    <t>GTF3C4</t>
  </si>
  <si>
    <t>PACSIN3</t>
  </si>
  <si>
    <t>FBXO5</t>
  </si>
  <si>
    <t>FBXO4</t>
  </si>
  <si>
    <t>ACAD8</t>
  </si>
  <si>
    <t>AGO2</t>
  </si>
  <si>
    <t>NUP50</t>
  </si>
  <si>
    <t>CDV3</t>
  </si>
  <si>
    <t>CNOT11</t>
  </si>
  <si>
    <t>BAG5</t>
  </si>
  <si>
    <t>RAB21</t>
  </si>
  <si>
    <t>RAB22A</t>
  </si>
  <si>
    <t>TRAPPC2L</t>
  </si>
  <si>
    <t>PNMA2</t>
  </si>
  <si>
    <t>PSME2</t>
  </si>
  <si>
    <t>HCN2</t>
  </si>
  <si>
    <t>TAOK2</t>
  </si>
  <si>
    <t>MKLN1</t>
  </si>
  <si>
    <t>DNPEP</t>
  </si>
  <si>
    <t>RAB23</t>
  </si>
  <si>
    <t>MCTS1</t>
  </si>
  <si>
    <t>MTUS1</t>
  </si>
  <si>
    <t>ZNF777</t>
  </si>
  <si>
    <t>WWC3</t>
  </si>
  <si>
    <t>PALD1</t>
  </si>
  <si>
    <t>SLC39A10</t>
  </si>
  <si>
    <t>KIDINS220</t>
  </si>
  <si>
    <t>ASAP1</t>
  </si>
  <si>
    <t>MKL2</t>
  </si>
  <si>
    <t>ZBTB21</t>
  </si>
  <si>
    <t>ZMIZ1</t>
  </si>
  <si>
    <t>ANKRD50</t>
  </si>
  <si>
    <t>PPP1R9A</t>
  </si>
  <si>
    <t>MED23</t>
  </si>
  <si>
    <t>PRR12</t>
  </si>
  <si>
    <t>TBC1D24</t>
  </si>
  <si>
    <t>ISY1</t>
  </si>
  <si>
    <t>PPM1H</t>
  </si>
  <si>
    <t>HECTD1</t>
  </si>
  <si>
    <t>MYO5B</t>
  </si>
  <si>
    <t>CIZ1</t>
  </si>
  <si>
    <t>CORO1C</t>
  </si>
  <si>
    <t>TPX2</t>
  </si>
  <si>
    <t>PADI3</t>
  </si>
  <si>
    <t>NOB1</t>
  </si>
  <si>
    <t>AKAP8L</t>
  </si>
  <si>
    <t>MAFF</t>
  </si>
  <si>
    <t>PYCARD</t>
  </si>
  <si>
    <t>ANAPC10</t>
  </si>
  <si>
    <t>EPDR1</t>
  </si>
  <si>
    <t>SPATA2</t>
  </si>
  <si>
    <t>WBP7</t>
  </si>
  <si>
    <t>NFU1</t>
  </si>
  <si>
    <t>PRPF19</t>
  </si>
  <si>
    <t>SYNPO2</t>
  </si>
  <si>
    <t>UBQLN1</t>
  </si>
  <si>
    <t>SUFU</t>
  </si>
  <si>
    <t>NENF</t>
  </si>
  <si>
    <t>NOL7</t>
  </si>
  <si>
    <t>SNX12</t>
  </si>
  <si>
    <t>SYNRG</t>
  </si>
  <si>
    <t>NDRG2</t>
  </si>
  <si>
    <t>VPS4A</t>
  </si>
  <si>
    <t>SOX13</t>
  </si>
  <si>
    <t>G3BP2</t>
  </si>
  <si>
    <t>ARHGAP26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</si>
  <si>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</si>
  <si>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</si>
  <si>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</si>
  <si>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</si>
  <si>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</si>
  <si>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</si>
  <si>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</si>
  <si>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</si>
  <si>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</si>
  <si>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</si>
  <si>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</si>
  <si>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TIMELESS</t>
  </si>
  <si>
    <t>COPS3</t>
  </si>
  <si>
    <t>RABL2B</t>
  </si>
  <si>
    <t>MINPP1</t>
  </si>
  <si>
    <t>TTF2</t>
  </si>
  <si>
    <t>NSFL1C</t>
  </si>
  <si>
    <t>C19orf53</t>
  </si>
  <si>
    <t>COG5</t>
  </si>
  <si>
    <t>AP4E1</t>
  </si>
  <si>
    <t>AZI1</t>
  </si>
  <si>
    <t>SCAF8</t>
  </si>
  <si>
    <t>PPP6R1</t>
  </si>
  <si>
    <t>TRIM33</t>
  </si>
  <si>
    <t>PHF8</t>
  </si>
  <si>
    <t>KIAA1107</t>
  </si>
  <si>
    <t>LIMCH1</t>
  </si>
  <si>
    <t>AGAP1</t>
  </si>
  <si>
    <t>TNRC6B</t>
  </si>
  <si>
    <t>PLCL2</t>
  </si>
  <si>
    <t>SMG5</t>
  </si>
  <si>
    <t>SETD1B</t>
  </si>
  <si>
    <t>ANKRD26</t>
  </si>
  <si>
    <t>EXOC7</t>
  </si>
  <si>
    <t>ZC3H4</t>
  </si>
  <si>
    <t>USP22</t>
  </si>
  <si>
    <t>USP24</t>
  </si>
  <si>
    <t>TBC1D2B</t>
  </si>
  <si>
    <t>AGTPBP1</t>
  </si>
  <si>
    <t>SHANK2</t>
  </si>
  <si>
    <t>DICER1</t>
  </si>
  <si>
    <t>SLC7A11</t>
  </si>
  <si>
    <t>MAPRE3</t>
  </si>
  <si>
    <t>HPS5</t>
  </si>
  <si>
    <t>THSD7A</t>
  </si>
  <si>
    <t>SHOC2</t>
  </si>
  <si>
    <t>SRRM2</t>
  </si>
  <si>
    <t>PA2G4</t>
  </si>
  <si>
    <t>EXO1</t>
  </si>
  <si>
    <t>BAIAP2</t>
  </si>
  <si>
    <t>GAB2</t>
  </si>
  <si>
    <t>SMC3</t>
  </si>
  <si>
    <t>CHMP2B</t>
  </si>
  <si>
    <t>SCML2</t>
  </si>
  <si>
    <t>ZNF148</t>
  </si>
  <si>
    <t>MTMR6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</si>
  <si>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</si>
  <si>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</si>
  <si>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</si>
  <si>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</si>
  <si>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</si>
  <si>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</si>
  <si>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</si>
  <si>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</si>
  <si>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</si>
  <si>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</si>
  <si>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</si>
  <si>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</si>
  <si>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</si>
  <si>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</si>
  <si>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</si>
  <si>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</si>
  <si>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</si>
  <si>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</si>
  <si>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</si>
  <si>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CNPY2</t>
  </si>
  <si>
    <t>CA5B</t>
  </si>
  <si>
    <t>EXOC6B</t>
  </si>
  <si>
    <t>AKAP2</t>
  </si>
  <si>
    <t>DIP2C</t>
  </si>
  <si>
    <t>KIAA0947</t>
  </si>
  <si>
    <t>CARD8</t>
  </si>
  <si>
    <t>POFUT2</t>
  </si>
  <si>
    <t>DLGAP4</t>
  </si>
  <si>
    <t>STK38L</t>
  </si>
  <si>
    <t>INPP5F</t>
  </si>
  <si>
    <t>PLEKHA6</t>
  </si>
  <si>
    <t>NISCH</t>
  </si>
  <si>
    <t>WDR37</t>
  </si>
  <si>
    <t>AMOTL2</t>
  </si>
  <si>
    <t>ZBTB1</t>
  </si>
  <si>
    <t>KDM2A</t>
  </si>
  <si>
    <t>DIS3</t>
  </si>
  <si>
    <t>LRCH1</t>
  </si>
  <si>
    <t>GSTK1</t>
  </si>
  <si>
    <t>LAMTOR2</t>
  </si>
  <si>
    <t>MRPS28</t>
  </si>
  <si>
    <t>DDX52</t>
  </si>
  <si>
    <t>POLR1D</t>
  </si>
  <si>
    <t>CRYL1</t>
  </si>
  <si>
    <t>TMA7</t>
  </si>
  <si>
    <t>POLDIP2</t>
  </si>
  <si>
    <t>AP3M1</t>
  </si>
  <si>
    <t>GDA</t>
  </si>
  <si>
    <t>YBX2</t>
  </si>
  <si>
    <t>MAP3K2</t>
  </si>
  <si>
    <t>LEMD3</t>
  </si>
  <si>
    <t>CARHSP1</t>
  </si>
  <si>
    <t>COG6</t>
  </si>
  <si>
    <t>THRAP3</t>
  </si>
  <si>
    <t>MED16</t>
  </si>
  <si>
    <t>NOP58</t>
  </si>
  <si>
    <t>GIT1</t>
  </si>
  <si>
    <t>POLR3K</t>
  </si>
  <si>
    <t>KLF13</t>
  </si>
  <si>
    <t>SUGT1</t>
  </si>
  <si>
    <t>YARS2</t>
  </si>
  <si>
    <t>AMDHD2</t>
  </si>
  <si>
    <t>ACOT9</t>
  </si>
  <si>
    <t>AAR2</t>
  </si>
  <si>
    <t>NOSIP</t>
  </si>
  <si>
    <t>DERA</t>
  </si>
  <si>
    <t>MEMO1</t>
  </si>
  <si>
    <t>LSM2</t>
  </si>
  <si>
    <t>SH3GLB1</t>
  </si>
  <si>
    <t>CAB39</t>
  </si>
  <si>
    <t>LUC7L2</t>
  </si>
  <si>
    <t>UBE2J1</t>
  </si>
  <si>
    <t>MRPS2</t>
  </si>
  <si>
    <t>MOB4</t>
  </si>
  <si>
    <t>SBDS</t>
  </si>
  <si>
    <t>SF3B14</t>
  </si>
  <si>
    <t>RRP15</t>
  </si>
  <si>
    <t>NOP16</t>
  </si>
  <si>
    <t>TPRKB</t>
  </si>
  <si>
    <t>PPIL1</t>
  </si>
  <si>
    <t>UFC1</t>
  </si>
  <si>
    <t>FAM96B</t>
  </si>
  <si>
    <t>MSRB2</t>
  </si>
  <si>
    <t>FIS1</t>
  </si>
  <si>
    <t>TAF9</t>
  </si>
  <si>
    <t>MRPS23</t>
  </si>
  <si>
    <t>HDGFRP3</t>
  </si>
  <si>
    <t>BOLA1</t>
  </si>
  <si>
    <t>CHMP3</t>
  </si>
  <si>
    <t>STRAP</t>
  </si>
  <si>
    <t>C22orf28</t>
  </si>
  <si>
    <t>FBXO7</t>
  </si>
  <si>
    <t>RABGAP1</t>
  </si>
  <si>
    <t>TSC22D4</t>
  </si>
  <si>
    <t>DOPEY2</t>
  </si>
  <si>
    <t>ZNF330</t>
  </si>
  <si>
    <t>R3HCC1</t>
  </si>
  <si>
    <t>NOC2L</t>
  </si>
  <si>
    <t>RPL36</t>
  </si>
  <si>
    <t>RWDD3</t>
  </si>
  <si>
    <t>CCDC9</t>
  </si>
  <si>
    <t>SAMHD1</t>
  </si>
  <si>
    <t>FAM32A</t>
  </si>
  <si>
    <t>PKP3</t>
  </si>
  <si>
    <t>KNSTRN</t>
  </si>
  <si>
    <t>HBS1L</t>
  </si>
  <si>
    <t>TLN1</t>
  </si>
  <si>
    <t>KIF3A</t>
  </si>
  <si>
    <t>RAD54L2</t>
  </si>
  <si>
    <t>SOGA2</t>
  </si>
  <si>
    <t>VPRBP</t>
  </si>
  <si>
    <t>KDM3A</t>
  </si>
  <si>
    <t>FAM115A</t>
  </si>
  <si>
    <t>MFHAS1</t>
  </si>
  <si>
    <t>FAM21C</t>
  </si>
  <si>
    <t>WDR7</t>
  </si>
  <si>
    <t>USP15</t>
  </si>
  <si>
    <t>FARP1</t>
  </si>
  <si>
    <t>CEP170B</t>
  </si>
  <si>
    <t>TLN2</t>
  </si>
  <si>
    <t>RAPGEF2</t>
  </si>
  <si>
    <t>IRS2</t>
  </si>
  <si>
    <t>MYO5A</t>
  </si>
  <si>
    <t>TRAF6</t>
  </si>
  <si>
    <t>MAP4K5</t>
  </si>
  <si>
    <t>ATG4B</t>
  </si>
  <si>
    <t>WIPI2</t>
  </si>
  <si>
    <t>TELO2</t>
  </si>
  <si>
    <t>ARIH1</t>
  </si>
  <si>
    <t>LSM4</t>
  </si>
  <si>
    <t>RNF114</t>
  </si>
  <si>
    <t>PRRC2C</t>
  </si>
  <si>
    <t>LRRC42</t>
  </si>
  <si>
    <t>HSPB11</t>
  </si>
  <si>
    <t>PPME1</t>
  </si>
  <si>
    <t>ASB3</t>
  </si>
  <si>
    <t>KCTD3</t>
  </si>
  <si>
    <t>NUB1</t>
  </si>
  <si>
    <t>YTHDF2</t>
  </si>
  <si>
    <t>CTDP1</t>
  </si>
  <si>
    <t>NME7</t>
  </si>
  <si>
    <t>SUPT16H</t>
  </si>
  <si>
    <t>UTP18</t>
  </si>
  <si>
    <t>PHLDA3</t>
  </si>
  <si>
    <t>TIMM10B</t>
  </si>
  <si>
    <t>TIMM9</t>
  </si>
  <si>
    <t>TIMM8B</t>
  </si>
  <si>
    <t>UCHL5</t>
  </si>
  <si>
    <t>CD2AP</t>
  </si>
  <si>
    <t>ATP6V1D</t>
  </si>
  <si>
    <t>TNPO3</t>
  </si>
  <si>
    <t>TIMM13</t>
  </si>
  <si>
    <t>N6AMT1</t>
  </si>
  <si>
    <t>ORC6</t>
  </si>
  <si>
    <t>COL4A3BP</t>
  </si>
  <si>
    <t>GMPPB</t>
  </si>
  <si>
    <t>GTF3C5</t>
  </si>
  <si>
    <t>GTF3C3</t>
  </si>
  <si>
    <t>TRAPPC1</t>
  </si>
  <si>
    <t>CDC42BPB</t>
  </si>
  <si>
    <t>RBM8A</t>
  </si>
  <si>
    <t>TSSC4</t>
  </si>
  <si>
    <t>ZNF706</t>
  </si>
  <si>
    <t>MAGED1</t>
  </si>
  <si>
    <t>SNX9</t>
  </si>
  <si>
    <t>SNX8</t>
  </si>
  <si>
    <t>SNX5</t>
  </si>
  <si>
    <t>FLVCR1</t>
  </si>
  <si>
    <t>NUBP2</t>
  </si>
  <si>
    <t>HEBP2</t>
  </si>
  <si>
    <t>HCFC2</t>
  </si>
  <si>
    <t>MRFAP1</t>
  </si>
  <si>
    <t>LRRFIP2</t>
  </si>
  <si>
    <t>FHOD1</t>
  </si>
  <si>
    <t>PSAT1</t>
  </si>
  <si>
    <t>RAD54B</t>
  </si>
  <si>
    <t>SPIN1</t>
  </si>
  <si>
    <t>COPG1</t>
  </si>
  <si>
    <t>FKBP7</t>
  </si>
  <si>
    <t>GMEB1</t>
  </si>
  <si>
    <t>CLIC4</t>
  </si>
  <si>
    <t>NFS1</t>
  </si>
  <si>
    <t>C16orf80</t>
  </si>
  <si>
    <t>TACC3</t>
  </si>
  <si>
    <t>EID1</t>
  </si>
  <si>
    <t>SAR1B</t>
  </si>
  <si>
    <t>AP4B1</t>
  </si>
  <si>
    <t>ARFGEF2</t>
  </si>
  <si>
    <t>ARFGEF1</t>
  </si>
  <si>
    <t>MAD1L1</t>
  </si>
  <si>
    <t>STK24</t>
  </si>
  <si>
    <t>DYNC1LI1</t>
  </si>
  <si>
    <t>CHCHD2</t>
  </si>
  <si>
    <t>EPN1</t>
  </si>
  <si>
    <t>TEX264</t>
  </si>
  <si>
    <t>TAF6L</t>
  </si>
  <si>
    <t>DNMT3A</t>
  </si>
  <si>
    <t>OAS3</t>
  </si>
  <si>
    <t>SLC30A1</t>
  </si>
  <si>
    <t>ROBO1</t>
  </si>
  <si>
    <t>USH1C</t>
  </si>
  <si>
    <t>NCOA3</t>
  </si>
  <si>
    <t>NUMBL</t>
  </si>
  <si>
    <t>PCLO</t>
  </si>
  <si>
    <t>DDX49</t>
  </si>
  <si>
    <t>CAPN7</t>
  </si>
  <si>
    <t>WASF2</t>
  </si>
  <si>
    <t>ZHX2</t>
  </si>
  <si>
    <t>MORC2</t>
  </si>
  <si>
    <t>IVNS1ABP</t>
  </si>
  <si>
    <t>PSMD8</t>
  </si>
  <si>
    <t>LAMTOR5</t>
  </si>
  <si>
    <t>BMI1</t>
  </si>
  <si>
    <t>YTHDF3</t>
  </si>
  <si>
    <t>PARD3B</t>
  </si>
  <si>
    <t>S100A6</t>
  </si>
  <si>
    <t>ANKRD30A</t>
  </si>
  <si>
    <t>AASDH</t>
  </si>
  <si>
    <t>DENND4C</t>
  </si>
  <si>
    <t>UBE2E3</t>
  </si>
  <si>
    <t>PHLDA1</t>
  </si>
  <si>
    <t>AMFR</t>
  </si>
  <si>
    <t>PSMC3</t>
  </si>
  <si>
    <t>FBXO44</t>
  </si>
  <si>
    <t>A0AVK6</t>
  </si>
  <si>
    <t>A0AVT1</t>
  </si>
  <si>
    <t>A0JNW5</t>
  </si>
  <si>
    <t>A0MZ66</t>
  </si>
  <si>
    <t>A1A4S6</t>
  </si>
  <si>
    <t>A1A5A9</t>
  </si>
  <si>
    <t>A1L188</t>
  </si>
  <si>
    <t>A1L390</t>
  </si>
  <si>
    <t>A1X283</t>
  </si>
  <si>
    <t>A2A3N6</t>
  </si>
  <si>
    <t>A2RTX5-2</t>
  </si>
  <si>
    <t>A2RUC4</t>
  </si>
  <si>
    <t>A2RUS2-2</t>
  </si>
  <si>
    <t>A3KMH1-2</t>
  </si>
  <si>
    <t>A3KN83-2</t>
  </si>
  <si>
    <t>A4D1P6-2</t>
  </si>
  <si>
    <t>A4D1S0-2</t>
  </si>
  <si>
    <t>A4D1U4</t>
  </si>
  <si>
    <t>A4D2B0</t>
  </si>
  <si>
    <t>A5PLN9-2</t>
  </si>
  <si>
    <t>A5YKK6</t>
  </si>
  <si>
    <t>A6H8Y1-7</t>
  </si>
  <si>
    <t>A6ND36</t>
  </si>
  <si>
    <t>A6NDG6</t>
  </si>
  <si>
    <t>A6NDU8</t>
  </si>
  <si>
    <t>A6NED2</t>
  </si>
  <si>
    <t>A6NF31</t>
  </si>
  <si>
    <t>A6NF48</t>
  </si>
  <si>
    <t>A6NF51</t>
  </si>
  <si>
    <t>A6NFI3</t>
  </si>
  <si>
    <t>A6NG32</t>
  </si>
  <si>
    <t>A6NG64</t>
  </si>
  <si>
    <t>A6NG79</t>
  </si>
  <si>
    <t>A6NGB9</t>
  </si>
  <si>
    <t>A6NGP5</t>
  </si>
  <si>
    <t>A6NHR9</t>
  </si>
  <si>
    <t>A6NHX0</t>
  </si>
  <si>
    <t>A6NIH7</t>
  </si>
  <si>
    <t>A6NIX2</t>
  </si>
  <si>
    <t>A6NJ78-2</t>
  </si>
  <si>
    <t>A6NJ97</t>
  </si>
  <si>
    <t>A6NKD9</t>
  </si>
  <si>
    <t>A6NKT7</t>
  </si>
  <si>
    <t>A6NML8</t>
  </si>
  <si>
    <t>A6NN40</t>
  </si>
  <si>
    <t>A6NNV6</t>
  </si>
  <si>
    <t>A6PVM9</t>
  </si>
  <si>
    <t>A6QL63</t>
  </si>
  <si>
    <t>A6ZKI3</t>
  </si>
  <si>
    <t>A7KAX9</t>
  </si>
  <si>
    <t>A7Y2D6</t>
  </si>
  <si>
    <t>A8CG34-2</t>
  </si>
  <si>
    <t>A8CTX8</t>
  </si>
  <si>
    <t>A8MQB8</t>
  </si>
  <si>
    <t>A8MTK3</t>
  </si>
  <si>
    <t>A8MTZ6</t>
  </si>
  <si>
    <t>A8MU44</t>
  </si>
  <si>
    <t>A8MUB1</t>
  </si>
  <si>
    <t>A8MVZ6</t>
  </si>
  <si>
    <t>A8MWK3</t>
  </si>
  <si>
    <t>A8MWR2</t>
  </si>
  <si>
    <t>A8MX75</t>
  </si>
  <si>
    <t>A8MXV4</t>
  </si>
  <si>
    <t>A9Z1X7</t>
  </si>
  <si>
    <t>B0FLL2</t>
  </si>
  <si>
    <t>B0QY74</t>
  </si>
  <si>
    <t>B0QYI3</t>
  </si>
  <si>
    <t>B0S8A9</t>
  </si>
  <si>
    <t>B0UX83</t>
  </si>
  <si>
    <t>B0UZY3</t>
  </si>
  <si>
    <t>B1AHQ7</t>
  </si>
  <si>
    <t>B1AJY7</t>
  </si>
  <si>
    <t>B1AK13</t>
  </si>
  <si>
    <t>B1AKC7</t>
  </si>
  <si>
    <t>B1AKL4</t>
  </si>
  <si>
    <t>B1AKN7</t>
  </si>
  <si>
    <t>B1AL69</t>
  </si>
  <si>
    <t>B1AMU7</t>
  </si>
  <si>
    <t>B1AN89</t>
  </si>
  <si>
    <t>B1AN99</t>
  </si>
  <si>
    <t>B1ANH0</t>
  </si>
  <si>
    <t>B1N949</t>
  </si>
  <si>
    <t>B2R5P6</t>
  </si>
  <si>
    <t>B2RTY4-5</t>
  </si>
  <si>
    <t>B3KNQ0</t>
  </si>
  <si>
    <t>B3KP87</t>
  </si>
  <si>
    <t>B3KRS5</t>
  </si>
  <si>
    <t>B3KSI9</t>
  </si>
  <si>
    <t>B3KSJ7</t>
  </si>
  <si>
    <t>B3KUK2</t>
  </si>
  <si>
    <t>B3KVH8</t>
  </si>
  <si>
    <t>B3KVZ3</t>
  </si>
  <si>
    <t>B3KWN8</t>
  </si>
  <si>
    <t>B3KY83</t>
  </si>
  <si>
    <t>B3V0L1</t>
  </si>
  <si>
    <t>B4DDF4</t>
  </si>
  <si>
    <t>B4DDF9</t>
  </si>
  <si>
    <t>B4DDY8</t>
  </si>
  <si>
    <t>B4DDZ0</t>
  </si>
  <si>
    <t>B4DEK4</t>
  </si>
  <si>
    <t>B4DGU4</t>
  </si>
  <si>
    <t>B4DGX2</t>
  </si>
  <si>
    <t>B4DH53</t>
  </si>
  <si>
    <t>B4DIL8</t>
  </si>
  <si>
    <t>B4DIU3</t>
  </si>
  <si>
    <t>B4DJA5</t>
  </si>
  <si>
    <t>B4DJP7</t>
  </si>
  <si>
    <t>B4DJV2</t>
  </si>
  <si>
    <t>B4DJV5</t>
  </si>
  <si>
    <t>B4DKF9</t>
  </si>
  <si>
    <t>B4DKL4</t>
  </si>
  <si>
    <t>B4DL05</t>
  </si>
  <si>
    <t>B4DL14</t>
  </si>
  <si>
    <t>B4DL54</t>
  </si>
  <si>
    <t>B4DLE8</t>
  </si>
  <si>
    <t>B4DLW8</t>
  </si>
  <si>
    <t>B4DLZ9</t>
  </si>
  <si>
    <t>B4DMD6</t>
  </si>
  <si>
    <t>B4DP21</t>
  </si>
  <si>
    <t>B4DPR4</t>
  </si>
  <si>
    <t>B4DPY5</t>
  </si>
  <si>
    <t>B4DPY8</t>
  </si>
  <si>
    <t>B4DQ14</t>
  </si>
  <si>
    <t>B4DQE7</t>
  </si>
  <si>
    <t>B4DQH9</t>
  </si>
  <si>
    <t>B4DQJ8</t>
  </si>
  <si>
    <t>B4DRL9</t>
  </si>
  <si>
    <t>B4DS76</t>
  </si>
  <si>
    <t>B4DT77</t>
  </si>
  <si>
    <t>B4DTU4</t>
  </si>
  <si>
    <t>B4DV96</t>
  </si>
  <si>
    <t>B4DVE7</t>
  </si>
  <si>
    <t>B4DVY1</t>
  </si>
  <si>
    <t>B4DWW1</t>
  </si>
  <si>
    <t>B4DX32</t>
  </si>
  <si>
    <t>B4DXZ6</t>
  </si>
  <si>
    <t>B4DYB4</t>
  </si>
  <si>
    <t>B4DZH6</t>
  </si>
  <si>
    <t>B4DZN9</t>
  </si>
  <si>
    <t>B4E0G4</t>
  </si>
  <si>
    <t>B4E0T7</t>
  </si>
  <si>
    <t>B4E1J0</t>
  </si>
  <si>
    <t>B4E1M0</t>
  </si>
  <si>
    <t>B4E1N6</t>
  </si>
  <si>
    <t>B4E1Q4</t>
  </si>
  <si>
    <t>B4E241</t>
  </si>
  <si>
    <t>B4E2S7</t>
  </si>
  <si>
    <t>B4E2W0</t>
  </si>
  <si>
    <t>B4E2X3</t>
  </si>
  <si>
    <t>B4E3E5</t>
  </si>
  <si>
    <t>B5MCF9</t>
  </si>
  <si>
    <t>B5MCT7</t>
  </si>
  <si>
    <t>B5MCU0</t>
  </si>
  <si>
    <t>B5MEB3</t>
  </si>
  <si>
    <t>B7WP27</t>
  </si>
  <si>
    <t>B7Z254</t>
  </si>
  <si>
    <t>B7Z2G1</t>
  </si>
  <si>
    <t>B7Z2S5</t>
  </si>
  <si>
    <t>B7Z2X9</t>
  </si>
  <si>
    <t>B7Z2Y2</t>
  </si>
  <si>
    <t>B7Z367</t>
  </si>
  <si>
    <t>B7Z3I9</t>
  </si>
  <si>
    <t>B7Z3P1</t>
  </si>
  <si>
    <t>B7Z3Y2</t>
  </si>
  <si>
    <t>B7Z4K6</t>
  </si>
  <si>
    <t>B7Z4R0</t>
  </si>
  <si>
    <t>B7Z5D1</t>
  </si>
  <si>
    <t>B7Z652</t>
  </si>
  <si>
    <t>B7Z6B8</t>
  </si>
  <si>
    <t>B7Z6J6</t>
  </si>
  <si>
    <t>B7Z755</t>
  </si>
  <si>
    <t>B7Z7J3</t>
  </si>
  <si>
    <t>B7Z7U4</t>
  </si>
  <si>
    <t>B7Z815</t>
  </si>
  <si>
    <t>B7Z848</t>
  </si>
  <si>
    <t>B7Z9X4</t>
  </si>
  <si>
    <t>B7ZAX5</t>
  </si>
  <si>
    <t>B7ZBB8</t>
  </si>
  <si>
    <t>B7ZKK9</t>
  </si>
  <si>
    <t>B7ZKP8</t>
  </si>
  <si>
    <t>B7ZLQ8</t>
  </si>
  <si>
    <t>B7ZM82</t>
  </si>
  <si>
    <t>B8ZZJ1</t>
  </si>
  <si>
    <t>B8ZZJ9</t>
  </si>
  <si>
    <t>B8ZZK4</t>
  </si>
  <si>
    <t>B8ZZQ6</t>
  </si>
  <si>
    <t>B8ZZT4</t>
  </si>
  <si>
    <t>B9A018</t>
  </si>
  <si>
    <t>B9A047</t>
  </si>
  <si>
    <t>B9ZVT1</t>
  </si>
  <si>
    <t>C4AMC7</t>
  </si>
  <si>
    <t>C6GKU9</t>
  </si>
  <si>
    <t>C9J082</t>
  </si>
  <si>
    <t>C9J0I9</t>
  </si>
  <si>
    <t>C9J0J7</t>
  </si>
  <si>
    <t>C9J0K6</t>
  </si>
  <si>
    <t>C9J0V9</t>
  </si>
  <si>
    <t>C9J212</t>
  </si>
  <si>
    <t>C9J2N8</t>
  </si>
  <si>
    <t>C9J2U0</t>
  </si>
  <si>
    <t>C9J2V2</t>
  </si>
  <si>
    <t>C9J2Y9</t>
  </si>
  <si>
    <t>C9J366</t>
  </si>
  <si>
    <t>C9J384</t>
  </si>
  <si>
    <t>C9J406</t>
  </si>
  <si>
    <t>C9J5C3</t>
  </si>
  <si>
    <t>C9J5X1</t>
  </si>
  <si>
    <t>C9J5X9</t>
  </si>
  <si>
    <t>C9J6A7</t>
  </si>
  <si>
    <t>C9J710</t>
  </si>
  <si>
    <t>C9J712</t>
  </si>
  <si>
    <t>C9J718</t>
  </si>
  <si>
    <t>C9J858</t>
  </si>
  <si>
    <t>C9J9K3</t>
  </si>
  <si>
    <t>C9JA69</t>
  </si>
  <si>
    <t>C9JAX1</t>
  </si>
  <si>
    <t>C9JAX3</t>
  </si>
  <si>
    <t>C9JB13</t>
  </si>
  <si>
    <t>C9JBM0</t>
  </si>
  <si>
    <t>C9JCN8</t>
  </si>
  <si>
    <t>C9JDG0</t>
  </si>
  <si>
    <t>C9JE98</t>
  </si>
  <si>
    <t>C9JEZ4</t>
  </si>
  <si>
    <t>C9JFE4</t>
  </si>
  <si>
    <t>C9JFK9</t>
  </si>
  <si>
    <t>C9JG97</t>
  </si>
  <si>
    <t>C9JIS1</t>
  </si>
  <si>
    <t>C9JK89</t>
  </si>
  <si>
    <t>C9JLU1</t>
  </si>
  <si>
    <t>C9JMH6</t>
  </si>
  <si>
    <t>C9JND4</t>
  </si>
  <si>
    <t>C9JNE2</t>
  </si>
  <si>
    <t>C9JNI7</t>
  </si>
  <si>
    <t>C9JNU9</t>
  </si>
  <si>
    <t>C9JP00</t>
  </si>
  <si>
    <t>C9JPC9</t>
  </si>
  <si>
    <t>C9JQ41</t>
  </si>
  <si>
    <t>C9JQB1</t>
  </si>
  <si>
    <t>C9JQQ5</t>
  </si>
  <si>
    <t>C9JQV3</t>
  </si>
  <si>
    <t>C9JRV0</t>
  </si>
  <si>
    <t>C9JRZ8-2</t>
  </si>
  <si>
    <t>C9JW69</t>
  </si>
  <si>
    <t>C9JWL4</t>
  </si>
  <si>
    <t>C9JXB8</t>
  </si>
  <si>
    <t>C9JXK0</t>
  </si>
  <si>
    <t>C9JYM0</t>
  </si>
  <si>
    <t>C9JYQ9</t>
  </si>
  <si>
    <t>C9JYY6</t>
  </si>
  <si>
    <t>C9JYY9</t>
  </si>
  <si>
    <t>C9JZY6</t>
  </si>
  <si>
    <t>D0UFD3</t>
  </si>
  <si>
    <t>D3DUE4</t>
  </si>
  <si>
    <t>D3K174</t>
  </si>
  <si>
    <t>D3YTB1</t>
  </si>
  <si>
    <t>D3YTG6</t>
  </si>
  <si>
    <t>D6R966</t>
  </si>
  <si>
    <t>D6R992</t>
  </si>
  <si>
    <t>D6R9D6</t>
  </si>
  <si>
    <t>D6R9U7</t>
  </si>
  <si>
    <t>D6R9V3</t>
  </si>
  <si>
    <t>D6RB01</t>
  </si>
  <si>
    <t>D6RBC4</t>
  </si>
  <si>
    <t>D6RBN5</t>
  </si>
  <si>
    <t>D6RBV2</t>
  </si>
  <si>
    <t>D6RC23</t>
  </si>
  <si>
    <t>D6RCD0</t>
  </si>
  <si>
    <t>D6RDM1</t>
  </si>
  <si>
    <t>D6RDX3</t>
  </si>
  <si>
    <t>D6REA0</t>
  </si>
  <si>
    <t>D6REW1</t>
  </si>
  <si>
    <t>D6REX3</t>
  </si>
  <si>
    <t>D6RGI3</t>
  </si>
  <si>
    <t>D6RGY3</t>
  </si>
  <si>
    <t>D6RHC4</t>
  </si>
  <si>
    <t>D6RHD3</t>
  </si>
  <si>
    <t>D6RHI7</t>
  </si>
  <si>
    <t>D6RHI9</t>
  </si>
  <si>
    <t>D6RHJ6</t>
  </si>
  <si>
    <t>D6RJ90</t>
  </si>
  <si>
    <t>E2QRD4</t>
  </si>
  <si>
    <t>E2QRD5</t>
  </si>
  <si>
    <t>E2QRF9</t>
  </si>
  <si>
    <t>E5RFH7</t>
  </si>
  <si>
    <t>E5RFJ1</t>
  </si>
  <si>
    <t>E5RG13</t>
  </si>
  <si>
    <t>E5RGQ3</t>
  </si>
  <si>
    <t>E5RGX5</t>
  </si>
  <si>
    <t>E5RHG8</t>
  </si>
  <si>
    <t>E5RHK8</t>
  </si>
  <si>
    <t>E5RIH5</t>
  </si>
  <si>
    <t>E5RJ08</t>
  </si>
  <si>
    <t>E5RJ29</t>
  </si>
  <si>
    <t>E5RJ52</t>
  </si>
  <si>
    <t>E5RJ99</t>
  </si>
  <si>
    <t>E5RJH0</t>
  </si>
  <si>
    <t>E5RJR5</t>
  </si>
  <si>
    <t>E5RJU9</t>
  </si>
  <si>
    <t>E7EM64</t>
  </si>
  <si>
    <t>E7EMB8</t>
  </si>
  <si>
    <t>E7EMC3</t>
  </si>
  <si>
    <t>E7EMM4</t>
  </si>
  <si>
    <t>E7EMW7</t>
  </si>
  <si>
    <t>E7EMZ9</t>
  </si>
  <si>
    <t>E7EN68</t>
  </si>
  <si>
    <t>E7ENA9</t>
  </si>
  <si>
    <t>E7ENK0</t>
  </si>
  <si>
    <t>E7ENY8</t>
  </si>
  <si>
    <t>E7EPB3</t>
  </si>
  <si>
    <t>E7EPD0</t>
  </si>
  <si>
    <t>E7EPI0</t>
  </si>
  <si>
    <t>E7EPL4</t>
  </si>
  <si>
    <t>E7EPS8</t>
  </si>
  <si>
    <t>E7EQ69</t>
  </si>
  <si>
    <t>E7EQT4</t>
  </si>
  <si>
    <t>E7EQY4</t>
  </si>
  <si>
    <t>E7ER32</t>
  </si>
  <si>
    <t>E7ER68</t>
  </si>
  <si>
    <t>E7ER77</t>
  </si>
  <si>
    <t>E7ER81</t>
  </si>
  <si>
    <t>E7ERB7</t>
  </si>
  <si>
    <t>E7ERL6</t>
  </si>
  <si>
    <t>E7ES08</t>
  </si>
  <si>
    <t>E7ES35</t>
  </si>
  <si>
    <t>E7ESD5</t>
  </si>
  <si>
    <t>E7ESU4</t>
  </si>
  <si>
    <t>E7ET15</t>
  </si>
  <si>
    <t>E7ET33</t>
  </si>
  <si>
    <t>E7ET89</t>
  </si>
  <si>
    <t>E7ET96</t>
  </si>
  <si>
    <t>E7ETU5</t>
  </si>
  <si>
    <t>E7ETU9</t>
  </si>
  <si>
    <t>E7ETZ4</t>
  </si>
  <si>
    <t>E7EU96</t>
  </si>
  <si>
    <t>E7EUC6</t>
  </si>
  <si>
    <t>E7EUI8</t>
  </si>
  <si>
    <t>E7EUM5</t>
  </si>
  <si>
    <t>E7EUR8</t>
  </si>
  <si>
    <t>E7EUU4</t>
  </si>
  <si>
    <t>E7EUY3</t>
  </si>
  <si>
    <t>E7EV07</t>
  </si>
  <si>
    <t>E7EV62</t>
  </si>
  <si>
    <t>E7EVA0</t>
  </si>
  <si>
    <t>E7EVH9</t>
  </si>
  <si>
    <t>E7EVJ5</t>
  </si>
  <si>
    <t>E7EVY7</t>
  </si>
  <si>
    <t>E7EVZ3</t>
  </si>
  <si>
    <t>E7EW69</t>
  </si>
  <si>
    <t>E7EW80</t>
  </si>
  <si>
    <t>E7EW84</t>
  </si>
  <si>
    <t>E7EWC2</t>
  </si>
  <si>
    <t>E7EWD6</t>
  </si>
  <si>
    <t>E7EX01</t>
  </si>
  <si>
    <t>E7EX44</t>
  </si>
  <si>
    <t>E7EX48</t>
  </si>
  <si>
    <t>E9PAU2</t>
  </si>
  <si>
    <t>E9PAV9</t>
  </si>
  <si>
    <t>E9PAX8</t>
  </si>
  <si>
    <t>E9PB14</t>
  </si>
  <si>
    <t>E9PB61</t>
  </si>
  <si>
    <t>E9PBS1</t>
  </si>
  <si>
    <t>E9PC26</t>
  </si>
  <si>
    <t>E9PC74</t>
  </si>
  <si>
    <t>E9PCH4</t>
  </si>
  <si>
    <t>E9PCV0</t>
  </si>
  <si>
    <t>E9PCX3</t>
  </si>
  <si>
    <t>E9PCX8</t>
  </si>
  <si>
    <t>E9PD68</t>
  </si>
  <si>
    <t>E9PD90</t>
  </si>
  <si>
    <t>E9PDG2</t>
  </si>
  <si>
    <t>E9PE82</t>
  </si>
  <si>
    <t>E9PEG3</t>
  </si>
  <si>
    <t>E9PEK0</t>
  </si>
  <si>
    <t>E9PER6</t>
  </si>
  <si>
    <t>E9PEZ3</t>
  </si>
  <si>
    <t>E9PF10</t>
  </si>
  <si>
    <t>E9PF16</t>
  </si>
  <si>
    <t>E9PF99</t>
  </si>
  <si>
    <t>E9PFR3</t>
  </si>
  <si>
    <t>E9PFU9</t>
  </si>
  <si>
    <t>E9PG22</t>
  </si>
  <si>
    <t>E9PG35</t>
  </si>
  <si>
    <t>E9PG40</t>
  </si>
  <si>
    <t>E9PGF5</t>
  </si>
  <si>
    <t>E9PGT1</t>
  </si>
  <si>
    <t>E9PGW7</t>
  </si>
  <si>
    <t>E9PH29</t>
  </si>
  <si>
    <t>E9PHK0</t>
  </si>
  <si>
    <t>E9PHM2</t>
  </si>
  <si>
    <t>E9PHV5</t>
  </si>
  <si>
    <t>E9PHY8</t>
  </si>
  <si>
    <t>E9PIB1</t>
  </si>
  <si>
    <t>E9PJ04</t>
  </si>
  <si>
    <t>E9PJ24</t>
  </si>
  <si>
    <t>E9PJ40</t>
  </si>
  <si>
    <t>E9PJ81</t>
  </si>
  <si>
    <t>E9PJD7</t>
  </si>
  <si>
    <t>E9PJF5</t>
  </si>
  <si>
    <t>E9PJK4</t>
  </si>
  <si>
    <t>E9PJN1</t>
  </si>
  <si>
    <t>E9PJP2</t>
  </si>
  <si>
    <t>E9PJV3</t>
  </si>
  <si>
    <t>E9PKB7</t>
  </si>
  <si>
    <t>E9PKD1</t>
  </si>
  <si>
    <t>E9PKG1</t>
  </si>
  <si>
    <t>E9PKV8</t>
  </si>
  <si>
    <t>E9PL10</t>
  </si>
  <si>
    <t>E9PL22</t>
  </si>
  <si>
    <t>E9PL24</t>
  </si>
  <si>
    <t>E9PL57</t>
  </si>
  <si>
    <t>E9PLK3</t>
  </si>
  <si>
    <t>E9PLL6</t>
  </si>
  <si>
    <t>E9PLX2</t>
  </si>
  <si>
    <t>E9PLY5</t>
  </si>
  <si>
    <t>E9PM46</t>
  </si>
  <si>
    <t>E9PM92</t>
  </si>
  <si>
    <t>E9PMB9</t>
  </si>
  <si>
    <t>E9PME6</t>
  </si>
  <si>
    <t>E9PMH5</t>
  </si>
  <si>
    <t>E9PMI6</t>
  </si>
  <si>
    <t>E9PMJ2</t>
  </si>
  <si>
    <t>E9PML3</t>
  </si>
  <si>
    <t>E9PMQ6</t>
  </si>
  <si>
    <t>E9PMS5</t>
  </si>
  <si>
    <t>E9PMS6</t>
  </si>
  <si>
    <t>E9PN20</t>
  </si>
  <si>
    <t>E9PND2</t>
  </si>
  <si>
    <t>E9PNJ4</t>
  </si>
  <si>
    <t>E9PNW4</t>
  </si>
  <si>
    <t>E9PQ47</t>
  </si>
  <si>
    <t>E9PR30</t>
  </si>
  <si>
    <t>E9PR54</t>
  </si>
  <si>
    <t>E9PR76</t>
  </si>
  <si>
    <t>E9PRI4</t>
  </si>
  <si>
    <t>E9PS84</t>
  </si>
  <si>
    <t>E9PSF2</t>
  </si>
  <si>
    <t>F2Z2V1</t>
  </si>
  <si>
    <t>F2Z2X4</t>
  </si>
  <si>
    <t>F5GWF3</t>
  </si>
  <si>
    <t>F5GWI9</t>
  </si>
  <si>
    <t>F5GWN5</t>
  </si>
  <si>
    <t>F5GWP8</t>
  </si>
  <si>
    <t>F5GWT4</t>
  </si>
  <si>
    <t>F5GWU7</t>
  </si>
  <si>
    <t>F5GX09</t>
  </si>
  <si>
    <t>F5GX82</t>
  </si>
  <si>
    <t>F5GXC8</t>
  </si>
  <si>
    <t>F5GXE4</t>
  </si>
  <si>
    <t>F5GXE7</t>
  </si>
  <si>
    <t>F5GXQ1</t>
  </si>
  <si>
    <t>F5GXS0</t>
  </si>
  <si>
    <t>F5GXY5</t>
  </si>
  <si>
    <t>F5GY03</t>
  </si>
  <si>
    <t>F5GYE8</t>
  </si>
  <si>
    <t>F5GYJ5</t>
  </si>
  <si>
    <t>F5GYK4</t>
  </si>
  <si>
    <t>F5GZ78</t>
  </si>
  <si>
    <t>F5GZ90</t>
  </si>
  <si>
    <t>F5GZY0</t>
  </si>
  <si>
    <t>F5H012</t>
  </si>
  <si>
    <t>F5H0B0</t>
  </si>
  <si>
    <t>F5H0C4</t>
  </si>
  <si>
    <t>F5H0F9</t>
  </si>
  <si>
    <t>F5H0I7</t>
  </si>
  <si>
    <t>F5H0K8</t>
  </si>
  <si>
    <t>F5H0L8</t>
  </si>
  <si>
    <t>F5H0Q6</t>
  </si>
  <si>
    <t>F5H105</t>
  </si>
  <si>
    <t>F5H148</t>
  </si>
  <si>
    <t>F5H199</t>
  </si>
  <si>
    <t>F5H1D6</t>
  </si>
  <si>
    <t>F5H1L4</t>
  </si>
  <si>
    <t>F5H1M6</t>
  </si>
  <si>
    <t>F5H1N7</t>
  </si>
  <si>
    <t>F5H1R7</t>
  </si>
  <si>
    <t>F5H2A0</t>
  </si>
  <si>
    <t>F5H2H5</t>
  </si>
  <si>
    <t>F5H2Q7</t>
  </si>
  <si>
    <t>F5H2U2</t>
  </si>
  <si>
    <t>F5H2U8</t>
  </si>
  <si>
    <t>F5H2X0</t>
  </si>
  <si>
    <t>F5H315</t>
  </si>
  <si>
    <t>F5H365</t>
  </si>
  <si>
    <t>F5H4B1</t>
  </si>
  <si>
    <t>F5H4G7</t>
  </si>
  <si>
    <t>F5H4I2</t>
  </si>
  <si>
    <t>F5H4J2</t>
  </si>
  <si>
    <t>F5H4N6</t>
  </si>
  <si>
    <t>F5H4Q5</t>
  </si>
  <si>
    <t>F5H4V9</t>
  </si>
  <si>
    <t>F5H555</t>
  </si>
  <si>
    <t>F5H5K5</t>
  </si>
  <si>
    <t>F5H5M7</t>
  </si>
  <si>
    <t>F5H5X7</t>
  </si>
  <si>
    <t>F5H604</t>
  </si>
  <si>
    <t>F5H629</t>
  </si>
  <si>
    <t>F5H6C2</t>
  </si>
  <si>
    <t>F5H6I7</t>
  </si>
  <si>
    <t>F5H6S1</t>
  </si>
  <si>
    <t>F5H702</t>
  </si>
  <si>
    <t>F5H721</t>
  </si>
  <si>
    <t>F5H780</t>
  </si>
  <si>
    <t>F5H801</t>
  </si>
  <si>
    <t>F5H860</t>
  </si>
  <si>
    <t>F5H897</t>
  </si>
  <si>
    <t>F5H8E6</t>
  </si>
  <si>
    <t>F5H8H2</t>
  </si>
  <si>
    <t>F5H8H4</t>
  </si>
  <si>
    <t>F6TQG2</t>
  </si>
  <si>
    <t>F6U1T9</t>
  </si>
  <si>
    <t>F6UJY9</t>
  </si>
  <si>
    <t>F6UYM1</t>
  </si>
  <si>
    <t>F6V707</t>
  </si>
  <si>
    <t>F6XY72</t>
  </si>
  <si>
    <t>F8VPD4</t>
  </si>
  <si>
    <t>F8VQZ7</t>
  </si>
  <si>
    <t>F8VRH0</t>
  </si>
  <si>
    <t>F8VS47</t>
  </si>
  <si>
    <t>F8VSE7</t>
  </si>
  <si>
    <t>F8VSL3</t>
  </si>
  <si>
    <t>F8VV59</t>
  </si>
  <si>
    <t>F8VV64</t>
  </si>
  <si>
    <t>F8VWA6</t>
  </si>
  <si>
    <t>F8VWL3</t>
  </si>
  <si>
    <t>F8VXG7</t>
  </si>
  <si>
    <t>F8VXY3</t>
  </si>
  <si>
    <t>F8VY35</t>
  </si>
  <si>
    <t>F8VYY5</t>
  </si>
  <si>
    <t>F8VZJ2</t>
  </si>
  <si>
    <t>F8W038</t>
  </si>
  <si>
    <t>F8W181</t>
  </si>
  <si>
    <t>F8W1T6</t>
  </si>
  <si>
    <t>F8W6D7</t>
  </si>
  <si>
    <t>F8W6I7</t>
  </si>
  <si>
    <t>F8W6X8</t>
  </si>
  <si>
    <t>F8W717</t>
  </si>
  <si>
    <t>F8W726</t>
  </si>
  <si>
    <t>F8W8C2</t>
  </si>
  <si>
    <t>F8W8H5</t>
  </si>
  <si>
    <t>F8W8I6</t>
  </si>
  <si>
    <t>F8W8K9</t>
  </si>
  <si>
    <t>F8W8M3</t>
  </si>
  <si>
    <t>F8W8M4</t>
  </si>
  <si>
    <t>F8W9F9</t>
  </si>
  <si>
    <t>F8W9L8</t>
  </si>
  <si>
    <t>F8W9Q9</t>
  </si>
  <si>
    <t>F8W9X7</t>
  </si>
  <si>
    <t>F8WAK8</t>
  </si>
  <si>
    <t>F8WAS3</t>
  </si>
  <si>
    <t>F8WB16</t>
  </si>
  <si>
    <t>F8WBK5</t>
  </si>
  <si>
    <t>F8WEG4</t>
  </si>
  <si>
    <t>F8WF48</t>
  </si>
  <si>
    <t>F8WJN3</t>
  </si>
  <si>
    <t>G3V130</t>
  </si>
  <si>
    <t>G3V167</t>
  </si>
  <si>
    <t>G3V1L9</t>
  </si>
  <si>
    <t>G3V1N3</t>
  </si>
  <si>
    <t>G3V1P3</t>
  </si>
  <si>
    <t>G3V1R3</t>
  </si>
  <si>
    <t>G3V1R9</t>
  </si>
  <si>
    <t>G3V1V0</t>
  </si>
  <si>
    <t>G3V3A0</t>
  </si>
  <si>
    <t>G3V3A4</t>
  </si>
  <si>
    <t>G3V3G9</t>
  </si>
  <si>
    <t>G3V3I4</t>
  </si>
  <si>
    <t>G3V3R7</t>
  </si>
  <si>
    <t>G3V439</t>
  </si>
  <si>
    <t>G3V4J7</t>
  </si>
  <si>
    <t>G3V4W0</t>
  </si>
  <si>
    <t>G3V529</t>
  </si>
  <si>
    <t>G3V577</t>
  </si>
  <si>
    <t>G3V583</t>
  </si>
  <si>
    <t>G3V599</t>
  </si>
  <si>
    <t>G3V5N7</t>
  </si>
  <si>
    <t>G3V5T0</t>
  </si>
  <si>
    <t>G3XAA0</t>
  </si>
  <si>
    <t>G3XAF7</t>
  </si>
  <si>
    <t>G3XAH0</t>
  </si>
  <si>
    <t>G3XAI9</t>
  </si>
  <si>
    <t>G3XAL9</t>
  </si>
  <si>
    <t>G3XAM2</t>
  </si>
  <si>
    <t>G3XAN4</t>
  </si>
  <si>
    <t>G5E948</t>
  </si>
  <si>
    <t>G5E979</t>
  </si>
  <si>
    <t>G5E9A6</t>
  </si>
  <si>
    <t>G5E9A7</t>
  </si>
  <si>
    <t>G5E9B5</t>
  </si>
  <si>
    <t>G5E9C8</t>
  </si>
  <si>
    <t>G5E9E7</t>
  </si>
  <si>
    <t>G5E9I6</t>
  </si>
  <si>
    <t>G5E9L9</t>
  </si>
  <si>
    <t>G5E9R3</t>
  </si>
  <si>
    <t>G5EA02</t>
  </si>
  <si>
    <t>G5EA37</t>
  </si>
  <si>
    <t>G5EA42</t>
  </si>
  <si>
    <t>G5EA52</t>
  </si>
  <si>
    <t>G8JL95</t>
  </si>
  <si>
    <t>G8JLA8</t>
  </si>
  <si>
    <t>G8JLB3</t>
  </si>
  <si>
    <t>G8JLI5</t>
  </si>
  <si>
    <t>G8JLK3</t>
  </si>
  <si>
    <t>G8JLP2</t>
  </si>
  <si>
    <t>H0Y2S9</t>
  </si>
  <si>
    <t>H0Y3P2</t>
  </si>
  <si>
    <t>H0Y3R8</t>
  </si>
  <si>
    <t>H0Y412</t>
  </si>
  <si>
    <t>H0Y459</t>
  </si>
  <si>
    <t>H0Y498</t>
  </si>
  <si>
    <t>H0Y4R1</t>
  </si>
  <si>
    <t>H0Y4V9</t>
  </si>
  <si>
    <t>H0Y4W2</t>
  </si>
  <si>
    <t>H0Y507</t>
  </si>
  <si>
    <t>H0Y5B0</t>
  </si>
  <si>
    <t>H0Y5B5</t>
  </si>
  <si>
    <t>H0Y5C2</t>
  </si>
  <si>
    <t>H0Y614</t>
  </si>
  <si>
    <t>H0Y6A0</t>
  </si>
  <si>
    <t>H0Y6C3</t>
  </si>
  <si>
    <t>H0Y6F0</t>
  </si>
  <si>
    <t>H0Y7D4</t>
  </si>
  <si>
    <t>H0Y7F8</t>
  </si>
  <si>
    <t>H0Y9S9</t>
  </si>
  <si>
    <t>H0Y9V2</t>
  </si>
  <si>
    <t>H0YA52</t>
  </si>
  <si>
    <t>H0YA59</t>
  </si>
  <si>
    <t>H0YA68</t>
  </si>
  <si>
    <t>H0YAI5</t>
  </si>
  <si>
    <t>H0YAN8</t>
  </si>
  <si>
    <t>H0YBD4</t>
  </si>
  <si>
    <t>H0YCZ8</t>
  </si>
  <si>
    <t>H0YDP7</t>
  </si>
  <si>
    <t>H0YDQ3</t>
  </si>
  <si>
    <t>H0YDQ8</t>
  </si>
  <si>
    <t>H0YDR5</t>
  </si>
  <si>
    <t>H0YDU8</t>
  </si>
  <si>
    <t>H0YEB0</t>
  </si>
  <si>
    <t>H0YEB6</t>
  </si>
  <si>
    <t>H0YEF3</t>
  </si>
  <si>
    <t>H0YEP0</t>
  </si>
  <si>
    <t>H0YEP5</t>
  </si>
  <si>
    <t>H0YFI1</t>
  </si>
  <si>
    <t>H0YGG2</t>
  </si>
  <si>
    <t>H0YGR4</t>
  </si>
  <si>
    <t>H0YGW5</t>
  </si>
  <si>
    <t>H0YHD0</t>
  </si>
  <si>
    <t>H0YIQ8</t>
  </si>
  <si>
    <t>H0YJG9</t>
  </si>
  <si>
    <t>H0YJS3</t>
  </si>
  <si>
    <t>H0YL33</t>
  </si>
  <si>
    <t>H0YLB5</t>
  </si>
  <si>
    <t>H0YLF2</t>
  </si>
  <si>
    <t>H0YLX2</t>
  </si>
  <si>
    <t>H0YM91</t>
  </si>
  <si>
    <t>H0YMB3</t>
  </si>
  <si>
    <t>H0YMJ0</t>
  </si>
  <si>
    <t>H0YMM4</t>
  </si>
  <si>
    <t>H0YNA7</t>
  </si>
  <si>
    <t>H0YNH8</t>
  </si>
  <si>
    <t>H0YNU5</t>
  </si>
  <si>
    <t>H0YNX7</t>
  </si>
  <si>
    <t>H3BLU7</t>
  </si>
  <si>
    <t>H3BM42</t>
  </si>
  <si>
    <t>H3BM67</t>
  </si>
  <si>
    <t>H3BM79</t>
  </si>
  <si>
    <t>H3BMJ2</t>
  </si>
  <si>
    <t>H3BN26</t>
  </si>
  <si>
    <t>H3BN72</t>
  </si>
  <si>
    <t>H3BNA7</t>
  </si>
  <si>
    <t>H3BNG0</t>
  </si>
  <si>
    <t>H3BNK2</t>
  </si>
  <si>
    <t>H3BNM4</t>
  </si>
  <si>
    <t>H3BPB8</t>
  </si>
  <si>
    <t>H3BPE1</t>
  </si>
  <si>
    <t>H3BPG5</t>
  </si>
  <si>
    <t>H3BPS8</t>
  </si>
  <si>
    <t>H3BQF6</t>
  </si>
  <si>
    <t>H3BQQ2</t>
  </si>
  <si>
    <t>H3BQV3</t>
  </si>
  <si>
    <t>H3BQZ7</t>
  </si>
  <si>
    <t>H3BRB6</t>
  </si>
  <si>
    <t>H3BRF9</t>
  </si>
  <si>
    <t>H3BRG4</t>
  </si>
  <si>
    <t>H3BRL3</t>
  </si>
  <si>
    <t>H3BRS1</t>
  </si>
  <si>
    <t>H3BRV0</t>
  </si>
  <si>
    <t>H3BS88</t>
  </si>
  <si>
    <t>H3BSC1</t>
  </si>
  <si>
    <t>H3BSL4</t>
  </si>
  <si>
    <t>H3BST1</t>
  </si>
  <si>
    <t>H3BSW0</t>
  </si>
  <si>
    <t>H3BTB7</t>
  </si>
  <si>
    <t>H3BTL1</t>
  </si>
  <si>
    <t>H3BTX0</t>
  </si>
  <si>
    <t>H3BU49</t>
  </si>
  <si>
    <t>H3BUF6</t>
  </si>
  <si>
    <t>H7BXD8</t>
  </si>
  <si>
    <t>H7BXG2</t>
  </si>
  <si>
    <t>H7BXH2</t>
  </si>
  <si>
    <t>H7BXI1</t>
  </si>
  <si>
    <t>H7BYY1</t>
  </si>
  <si>
    <t>H7BYY2</t>
  </si>
  <si>
    <t>H7BZJ3</t>
  </si>
  <si>
    <t>H7BZL0</t>
  </si>
  <si>
    <t>H7C096</t>
  </si>
  <si>
    <t>H7C0D5</t>
  </si>
  <si>
    <t>H7C0G7</t>
  </si>
  <si>
    <t>H7C0J3</t>
  </si>
  <si>
    <t>H7C0S8</t>
  </si>
  <si>
    <t>H7C0Y4</t>
  </si>
  <si>
    <t>H7C107</t>
  </si>
  <si>
    <t>H7C171</t>
  </si>
  <si>
    <t>H7C173</t>
  </si>
  <si>
    <t>H7C1F9</t>
  </si>
  <si>
    <t>H7C1N2</t>
  </si>
  <si>
    <t>H7C1U3</t>
  </si>
  <si>
    <t>H7C284</t>
  </si>
  <si>
    <t>H7C293</t>
  </si>
  <si>
    <t>H7C2G2</t>
  </si>
  <si>
    <t>H7C2K6</t>
  </si>
  <si>
    <t>H7C2Z6</t>
  </si>
  <si>
    <t>H7C331</t>
  </si>
  <si>
    <t>H7C3C7</t>
  </si>
  <si>
    <t>H7C3P4</t>
  </si>
  <si>
    <t>H7C4B9</t>
  </si>
  <si>
    <t>H7C4X9</t>
  </si>
  <si>
    <t>H7C5A5</t>
  </si>
  <si>
    <t>H7C5G1</t>
  </si>
  <si>
    <t>H8Y6P7</t>
  </si>
  <si>
    <t>H9KV61</t>
  </si>
  <si>
    <t>H9KVA7</t>
  </si>
  <si>
    <t>H9ZYI9</t>
  </si>
  <si>
    <t>I3L077</t>
  </si>
  <si>
    <t>I3L097</t>
  </si>
  <si>
    <t>I3L0L4</t>
  </si>
  <si>
    <t>I3L0N3</t>
  </si>
  <si>
    <t>I3L0W4</t>
  </si>
  <si>
    <t>I3L121</t>
  </si>
  <si>
    <t>I3L1H5</t>
  </si>
  <si>
    <t>I3L1Q3</t>
  </si>
  <si>
    <t>I3L232</t>
  </si>
  <si>
    <t>I3L2B0</t>
  </si>
  <si>
    <t>I3L2C7</t>
  </si>
  <si>
    <t>I3L2J0</t>
  </si>
  <si>
    <t>I3L2N2</t>
  </si>
  <si>
    <t>I3L2Z5</t>
  </si>
  <si>
    <t>I3L301</t>
  </si>
  <si>
    <t>I3L3P7</t>
  </si>
  <si>
    <t>I3L4B1</t>
  </si>
  <si>
    <t>I3L4C3</t>
  </si>
  <si>
    <t>I3L4Q0</t>
  </si>
  <si>
    <t>I3L4X3</t>
  </si>
  <si>
    <t>I3L4X7</t>
  </si>
  <si>
    <t>I6L8B7</t>
  </si>
  <si>
    <t>I6L9B4</t>
  </si>
  <si>
    <t>J3KMW7</t>
  </si>
  <si>
    <t>J3KMX2</t>
  </si>
  <si>
    <t>J3KMY5</t>
  </si>
  <si>
    <t>J3KMZ7</t>
  </si>
  <si>
    <t>J3KN32</t>
  </si>
  <si>
    <t>J3KN33</t>
  </si>
  <si>
    <t>J3KN68</t>
  </si>
  <si>
    <t>J3KN75</t>
  </si>
  <si>
    <t>J3KNB8</t>
  </si>
  <si>
    <t>J3KND1</t>
  </si>
  <si>
    <t>J3KNF4</t>
  </si>
  <si>
    <t>J3KNH7</t>
  </si>
  <si>
    <t>J3KNK4</t>
  </si>
  <si>
    <t>J3KNL6</t>
  </si>
  <si>
    <t>J3KNL9</t>
  </si>
  <si>
    <t>J3KNN7</t>
  </si>
  <si>
    <t>J3KNU8</t>
  </si>
  <si>
    <t>J3KNZ9</t>
  </si>
  <si>
    <t>J3KP15</t>
  </si>
  <si>
    <t>J3KP75</t>
  </si>
  <si>
    <t>J3KPS2</t>
  </si>
  <si>
    <t>J3KPU4</t>
  </si>
  <si>
    <t>J3KPV7</t>
  </si>
  <si>
    <t>J3KQ34</t>
  </si>
  <si>
    <t>J3KQ72</t>
  </si>
  <si>
    <t>J3KQ98</t>
  </si>
  <si>
    <t>J3KQG4</t>
  </si>
  <si>
    <t>J3KQS6</t>
  </si>
  <si>
    <t>J3KQT5</t>
  </si>
  <si>
    <t>J3KRL7</t>
  </si>
  <si>
    <t>J3KRP6</t>
  </si>
  <si>
    <t>J3KRR7</t>
  </si>
  <si>
    <t>J3KS05</t>
  </si>
  <si>
    <t>J3KTD6</t>
  </si>
  <si>
    <t>J3KTI7</t>
  </si>
  <si>
    <t>J3QKZ1</t>
  </si>
  <si>
    <t>J3QL56</t>
  </si>
  <si>
    <t>J3QQJ0</t>
  </si>
  <si>
    <t>J3QQJ5</t>
  </si>
  <si>
    <t>J3QQM5</t>
  </si>
  <si>
    <t>J3QQT2</t>
  </si>
  <si>
    <t>J3QQX3</t>
  </si>
  <si>
    <t>J3QQY0</t>
  </si>
  <si>
    <t>J3QR09</t>
  </si>
  <si>
    <t>J3QRD1</t>
  </si>
  <si>
    <t>J3QRK2</t>
  </si>
  <si>
    <t>J3QRT4</t>
  </si>
  <si>
    <t>J3QRZ6</t>
  </si>
  <si>
    <t>J3QS27</t>
  </si>
  <si>
    <t>J3QSB2</t>
  </si>
  <si>
    <t>J3QT87</t>
  </si>
  <si>
    <t>J9JIC5</t>
  </si>
  <si>
    <t>K4DI92</t>
  </si>
  <si>
    <t>K4DI93</t>
  </si>
  <si>
    <t>K7EIE8</t>
  </si>
  <si>
    <t>K7EIG1</t>
  </si>
  <si>
    <t>K7EIJ0</t>
  </si>
  <si>
    <t>K7EIN2</t>
  </si>
  <si>
    <t>K7EIR0</t>
  </si>
  <si>
    <t>K7EIU8</t>
  </si>
  <si>
    <t>K7EJ78</t>
  </si>
  <si>
    <t>K7EJH0</t>
  </si>
  <si>
    <t>K7EK07</t>
  </si>
  <si>
    <t>K7EK35</t>
  </si>
  <si>
    <t>K7EKE6</t>
  </si>
  <si>
    <t>K7EKI8</t>
  </si>
  <si>
    <t>K7EKZ2</t>
  </si>
  <si>
    <t>K7ELY2</t>
  </si>
  <si>
    <t>K7EM02</t>
  </si>
  <si>
    <t>K7EMS3</t>
  </si>
  <si>
    <t>K7EMV5</t>
  </si>
  <si>
    <t>K7EN05</t>
  </si>
  <si>
    <t>K7EN65</t>
  </si>
  <si>
    <t>K7EN88</t>
  </si>
  <si>
    <t>K7ENL9</t>
  </si>
  <si>
    <t>K7ENW0</t>
  </si>
  <si>
    <t>K7EP32</t>
  </si>
  <si>
    <t>K7EPS8</t>
  </si>
  <si>
    <t>K7EQU4</t>
  </si>
  <si>
    <t>K7EQW8</t>
  </si>
  <si>
    <t>K7EQZ3</t>
  </si>
  <si>
    <t>K7ERF1</t>
  </si>
  <si>
    <t>K7ERI9</t>
  </si>
  <si>
    <t>K7ES11</t>
  </si>
  <si>
    <t>K7ES54</t>
  </si>
  <si>
    <t>K7ESE3</t>
  </si>
  <si>
    <t>K7ESI9</t>
  </si>
  <si>
    <t>K7ESN2</t>
  </si>
  <si>
    <t>M0QWZ7</t>
  </si>
  <si>
    <t>M0QX35</t>
  </si>
  <si>
    <t>M0QXZ5</t>
  </si>
  <si>
    <t>M0QYJ8</t>
  </si>
  <si>
    <t>M0QYM7</t>
  </si>
  <si>
    <t>M0QZ09</t>
  </si>
  <si>
    <t>M0QZ22</t>
  </si>
  <si>
    <t>M0QZM1</t>
  </si>
  <si>
    <t>M0QZR4</t>
  </si>
  <si>
    <t>M0R0B4</t>
  </si>
  <si>
    <t>M0R0F0</t>
  </si>
  <si>
    <t>M0R0P8</t>
  </si>
  <si>
    <t>M0R1E0</t>
  </si>
  <si>
    <t>M0R1G4</t>
  </si>
  <si>
    <t>M0R2G0</t>
  </si>
  <si>
    <t>M0R2P6</t>
  </si>
  <si>
    <t>M0R3D4</t>
  </si>
  <si>
    <t>O00139-2</t>
  </si>
  <si>
    <t>O00148</t>
  </si>
  <si>
    <t>O00151</t>
  </si>
  <si>
    <t>O00154-4</t>
  </si>
  <si>
    <t>O00159</t>
  </si>
  <si>
    <t>O00161</t>
  </si>
  <si>
    <t>O00165-5</t>
  </si>
  <si>
    <t>O00170</t>
  </si>
  <si>
    <t>O00178</t>
  </si>
  <si>
    <t>O00186</t>
  </si>
  <si>
    <t>O00194</t>
  </si>
  <si>
    <t>O00203</t>
  </si>
  <si>
    <t>O00204-2</t>
  </si>
  <si>
    <t>O00213-2</t>
  </si>
  <si>
    <t>O00220</t>
  </si>
  <si>
    <t>O00221</t>
  </si>
  <si>
    <t>O00231</t>
  </si>
  <si>
    <t>O00232</t>
  </si>
  <si>
    <t>O00233</t>
  </si>
  <si>
    <t>O00244</t>
  </si>
  <si>
    <t>O00267-2</t>
  </si>
  <si>
    <t>O00268</t>
  </si>
  <si>
    <t>O00273</t>
  </si>
  <si>
    <t>O00273-2</t>
  </si>
  <si>
    <t>O00291</t>
  </si>
  <si>
    <t>O00299</t>
  </si>
  <si>
    <t>O00303</t>
  </si>
  <si>
    <t>O00308</t>
  </si>
  <si>
    <t>O00329</t>
  </si>
  <si>
    <t>O00399</t>
  </si>
  <si>
    <t>O00401</t>
  </si>
  <si>
    <t>O00410</t>
  </si>
  <si>
    <t>O00411</t>
  </si>
  <si>
    <t>O00418</t>
  </si>
  <si>
    <t>O00425</t>
  </si>
  <si>
    <t>O00429-3</t>
  </si>
  <si>
    <t>O00429-4</t>
  </si>
  <si>
    <t>O00442</t>
  </si>
  <si>
    <t>O00443</t>
  </si>
  <si>
    <t>O00459</t>
  </si>
  <si>
    <t>O00462</t>
  </si>
  <si>
    <t>O00468-2</t>
  </si>
  <si>
    <t>O00471</t>
  </si>
  <si>
    <t>O00472</t>
  </si>
  <si>
    <t>O00479</t>
  </si>
  <si>
    <t>O00487</t>
  </si>
  <si>
    <t>O00488</t>
  </si>
  <si>
    <t>O00499-6</t>
  </si>
  <si>
    <t>O00505</t>
  </si>
  <si>
    <t>O00506</t>
  </si>
  <si>
    <t>O00512</t>
  </si>
  <si>
    <t>O00560-3</t>
  </si>
  <si>
    <t>O00562-2</t>
  </si>
  <si>
    <t>O00566</t>
  </si>
  <si>
    <t>O00567</t>
  </si>
  <si>
    <t>O00571</t>
  </si>
  <si>
    <t>O00592-2</t>
  </si>
  <si>
    <t>O00625</t>
  </si>
  <si>
    <t>O00629</t>
  </si>
  <si>
    <t>O00635</t>
  </si>
  <si>
    <t>O00712</t>
  </si>
  <si>
    <t>O00743</t>
  </si>
  <si>
    <t>O00746</t>
  </si>
  <si>
    <t>O00754-2</t>
  </si>
  <si>
    <t>O00764</t>
  </si>
  <si>
    <t>O14497</t>
  </si>
  <si>
    <t>O14513</t>
  </si>
  <si>
    <t>O14519-2</t>
  </si>
  <si>
    <t>O14530</t>
  </si>
  <si>
    <t>O14531</t>
  </si>
  <si>
    <t>O14544</t>
  </si>
  <si>
    <t>O14545</t>
  </si>
  <si>
    <t>O14561</t>
  </si>
  <si>
    <t>O14578-4</t>
  </si>
  <si>
    <t>O14579</t>
  </si>
  <si>
    <t>O14602</t>
  </si>
  <si>
    <t>O14617-4</t>
  </si>
  <si>
    <t>O14640-2</t>
  </si>
  <si>
    <t>O14646-2</t>
  </si>
  <si>
    <t>O14653-3</t>
  </si>
  <si>
    <t>O14656</t>
  </si>
  <si>
    <t>O14657</t>
  </si>
  <si>
    <t>O14672</t>
  </si>
  <si>
    <t>O14686</t>
  </si>
  <si>
    <t>O14713-2</t>
  </si>
  <si>
    <t>O14732-2</t>
  </si>
  <si>
    <t>O14733</t>
  </si>
  <si>
    <t>O14737</t>
  </si>
  <si>
    <t>O14744</t>
  </si>
  <si>
    <t>O14744-2</t>
  </si>
  <si>
    <t>O14745</t>
  </si>
  <si>
    <t>O14757</t>
  </si>
  <si>
    <t>O14763-2</t>
  </si>
  <si>
    <t>O14772</t>
  </si>
  <si>
    <t>O14776-2</t>
  </si>
  <si>
    <t>O14777</t>
  </si>
  <si>
    <t>O14782</t>
  </si>
  <si>
    <t>O14787-2</t>
  </si>
  <si>
    <t>O14795</t>
  </si>
  <si>
    <t>O14802</t>
  </si>
  <si>
    <t>O14818</t>
  </si>
  <si>
    <t>O14828</t>
  </si>
  <si>
    <t>O14841</t>
  </si>
  <si>
    <t>O14867</t>
  </si>
  <si>
    <t>O14893-3</t>
  </si>
  <si>
    <t>O14907</t>
  </si>
  <si>
    <t>O14908</t>
  </si>
  <si>
    <t>O14920</t>
  </si>
  <si>
    <t>O14924-2</t>
  </si>
  <si>
    <t>O14929</t>
  </si>
  <si>
    <t>O14933</t>
  </si>
  <si>
    <t>O14936-3</t>
  </si>
  <si>
    <t>O14964</t>
  </si>
  <si>
    <t>O14965</t>
  </si>
  <si>
    <t>O14972</t>
  </si>
  <si>
    <t>O14974</t>
  </si>
  <si>
    <t>O14976</t>
  </si>
  <si>
    <t>O14979</t>
  </si>
  <si>
    <t>O14980</t>
  </si>
  <si>
    <t>O14981</t>
  </si>
  <si>
    <t>O15014</t>
  </si>
  <si>
    <t>O15020-2</t>
  </si>
  <si>
    <t>O15021-2</t>
  </si>
  <si>
    <t>O15031</t>
  </si>
  <si>
    <t>O15037</t>
  </si>
  <si>
    <t>O15040</t>
  </si>
  <si>
    <t>O15047</t>
  </si>
  <si>
    <t>O15054</t>
  </si>
  <si>
    <t>O15056</t>
  </si>
  <si>
    <t>O15061</t>
  </si>
  <si>
    <t>O15066</t>
  </si>
  <si>
    <t>O15067</t>
  </si>
  <si>
    <t>O15084</t>
  </si>
  <si>
    <t>O15085-2</t>
  </si>
  <si>
    <t>O15111</t>
  </si>
  <si>
    <t>O15116</t>
  </si>
  <si>
    <t>O15118</t>
  </si>
  <si>
    <t>O15119-2</t>
  </si>
  <si>
    <t>O15143</t>
  </si>
  <si>
    <t>O15144</t>
  </si>
  <si>
    <t>O15145</t>
  </si>
  <si>
    <t>O15160-2</t>
  </si>
  <si>
    <t>O15164</t>
  </si>
  <si>
    <t>O15169-2</t>
  </si>
  <si>
    <t>O15173</t>
  </si>
  <si>
    <t>O15212</t>
  </si>
  <si>
    <t>O15226</t>
  </si>
  <si>
    <t>O15230</t>
  </si>
  <si>
    <t>O15231</t>
  </si>
  <si>
    <t>O15231-2</t>
  </si>
  <si>
    <t>O15231-3</t>
  </si>
  <si>
    <t>O15234</t>
  </si>
  <si>
    <t>O15287</t>
  </si>
  <si>
    <t>O15294</t>
  </si>
  <si>
    <t>O15305</t>
  </si>
  <si>
    <t>O15327</t>
  </si>
  <si>
    <t>O15344</t>
  </si>
  <si>
    <t>O15355</t>
  </si>
  <si>
    <t>O15357</t>
  </si>
  <si>
    <t>O15370</t>
  </si>
  <si>
    <t>O15372</t>
  </si>
  <si>
    <t>O15379</t>
  </si>
  <si>
    <t>O15381</t>
  </si>
  <si>
    <t>O15382</t>
  </si>
  <si>
    <t>O15397</t>
  </si>
  <si>
    <t>O15400-2</t>
  </si>
  <si>
    <t>O15427</t>
  </si>
  <si>
    <t>O15446</t>
  </si>
  <si>
    <t>O15460-2</t>
  </si>
  <si>
    <t>O15498</t>
  </si>
  <si>
    <t>O15511</t>
  </si>
  <si>
    <t>O15514</t>
  </si>
  <si>
    <t>O15519-13</t>
  </si>
  <si>
    <t>O15541</t>
  </si>
  <si>
    <t>O43143</t>
  </si>
  <si>
    <t>O43148</t>
  </si>
  <si>
    <t>O43149</t>
  </si>
  <si>
    <t>O43150</t>
  </si>
  <si>
    <t>O43156</t>
  </si>
  <si>
    <t>O43159</t>
  </si>
  <si>
    <t>O43164-2</t>
  </si>
  <si>
    <t>O43172-2</t>
  </si>
  <si>
    <t>O43175</t>
  </si>
  <si>
    <t>O43237</t>
  </si>
  <si>
    <t>O43242</t>
  </si>
  <si>
    <t>O43251-6</t>
  </si>
  <si>
    <t>O43252</t>
  </si>
  <si>
    <t>O43264</t>
  </si>
  <si>
    <t>O43290</t>
  </si>
  <si>
    <t>O43291</t>
  </si>
  <si>
    <t>O43293</t>
  </si>
  <si>
    <t>O43294-2</t>
  </si>
  <si>
    <t>O43301</t>
  </si>
  <si>
    <t>O43303-2</t>
  </si>
  <si>
    <t>O43310</t>
  </si>
  <si>
    <t>O43314-2</t>
  </si>
  <si>
    <t>O43318-2</t>
  </si>
  <si>
    <t>O43324</t>
  </si>
  <si>
    <t>O43353</t>
  </si>
  <si>
    <t>O43379</t>
  </si>
  <si>
    <t>O43390</t>
  </si>
  <si>
    <t>O43395</t>
  </si>
  <si>
    <t>O43396</t>
  </si>
  <si>
    <t>O43399-5</t>
  </si>
  <si>
    <t>O43414-3</t>
  </si>
  <si>
    <t>O43427-2</t>
  </si>
  <si>
    <t>O43432</t>
  </si>
  <si>
    <t>O43447</t>
  </si>
  <si>
    <t>O43464-3</t>
  </si>
  <si>
    <t>O43482</t>
  </si>
  <si>
    <t>O43491</t>
  </si>
  <si>
    <t>O43493-4</t>
  </si>
  <si>
    <t>O43502</t>
  </si>
  <si>
    <t>O43513</t>
  </si>
  <si>
    <t>O43516</t>
  </si>
  <si>
    <t>O43542</t>
  </si>
  <si>
    <t>O43543</t>
  </si>
  <si>
    <t>O43572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</si>
  <si>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</si>
  <si>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</si>
  <si>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</si>
  <si>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</si>
  <si>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</si>
  <si>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</si>
  <si>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</si>
  <si>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</si>
  <si>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O43660-2</t>
  </si>
  <si>
    <t>O43663</t>
  </si>
  <si>
    <t>O43665-2</t>
  </si>
  <si>
    <t>O43670-2</t>
  </si>
  <si>
    <t>O43678</t>
  </si>
  <si>
    <t>O43681</t>
  </si>
  <si>
    <t>O43684-2</t>
  </si>
  <si>
    <t>O43707</t>
  </si>
  <si>
    <t>O43709</t>
  </si>
  <si>
    <t>O43715</t>
  </si>
  <si>
    <t>O43716</t>
  </si>
  <si>
    <t>O43719</t>
  </si>
  <si>
    <t>O43739-2</t>
  </si>
  <si>
    <t>O43747</t>
  </si>
  <si>
    <t>O43752</t>
  </si>
  <si>
    <t>O43765</t>
  </si>
  <si>
    <t>O43766-2</t>
  </si>
  <si>
    <t>O43768-2</t>
  </si>
  <si>
    <t>O43776</t>
  </si>
  <si>
    <t>O43795-2</t>
  </si>
  <si>
    <t>O43805</t>
  </si>
  <si>
    <t>O43809</t>
  </si>
  <si>
    <t>O43813</t>
  </si>
  <si>
    <t>O43815</t>
  </si>
  <si>
    <t>O43818</t>
  </si>
  <si>
    <t>O43820-4</t>
  </si>
  <si>
    <t>O43823</t>
  </si>
  <si>
    <t>O43837</t>
  </si>
  <si>
    <t>O43847-2</t>
  </si>
  <si>
    <t>O43852</t>
  </si>
  <si>
    <t>O43865</t>
  </si>
  <si>
    <t>O43896</t>
  </si>
  <si>
    <t>O43913</t>
  </si>
  <si>
    <t>O43924</t>
  </si>
  <si>
    <t>O43929-2</t>
  </si>
  <si>
    <t>O60216</t>
  </si>
  <si>
    <t>O60218</t>
  </si>
  <si>
    <t>O60220</t>
  </si>
  <si>
    <t>O60231</t>
  </si>
  <si>
    <t>O60239</t>
  </si>
  <si>
    <t>O60256</t>
  </si>
  <si>
    <t>O60264</t>
  </si>
  <si>
    <t>O60269</t>
  </si>
  <si>
    <t>O60271</t>
  </si>
  <si>
    <t>O60271-4</t>
  </si>
  <si>
    <t>O60271-9</t>
  </si>
  <si>
    <t>O60281-2</t>
  </si>
  <si>
    <t>O60292</t>
  </si>
  <si>
    <t>O60294</t>
  </si>
  <si>
    <t>O60303</t>
  </si>
  <si>
    <t>O60306</t>
  </si>
  <si>
    <t>O60318</t>
  </si>
  <si>
    <t>O60331-4</t>
  </si>
  <si>
    <t>O60333-2</t>
  </si>
  <si>
    <t>O60341</t>
  </si>
  <si>
    <t>O60343-2</t>
  </si>
  <si>
    <t>O60344-4</t>
  </si>
  <si>
    <t>O60347</t>
  </si>
  <si>
    <t>O60353-2</t>
  </si>
  <si>
    <t>O60443</t>
  </si>
  <si>
    <t>O60447</t>
  </si>
  <si>
    <t>O60462-4</t>
  </si>
  <si>
    <t>O60488-2</t>
  </si>
  <si>
    <t>O60493</t>
  </si>
  <si>
    <t>O60502</t>
  </si>
  <si>
    <t>O60504</t>
  </si>
  <si>
    <t>O60506-2</t>
  </si>
  <si>
    <t>O60518</t>
  </si>
  <si>
    <t>O60524-4</t>
  </si>
  <si>
    <t>O60547-2</t>
  </si>
  <si>
    <t>O60551</t>
  </si>
  <si>
    <t>O60563</t>
  </si>
  <si>
    <t>O60566</t>
  </si>
  <si>
    <t>O60568</t>
  </si>
  <si>
    <t>O60613</t>
  </si>
  <si>
    <t>O60645-3</t>
  </si>
  <si>
    <t>O60664</t>
  </si>
  <si>
    <t>O60671</t>
  </si>
  <si>
    <t>O60678</t>
  </si>
  <si>
    <t>O60701</t>
  </si>
  <si>
    <t>O60716-5</t>
  </si>
  <si>
    <t>O60749</t>
  </si>
  <si>
    <t>O60763</t>
  </si>
  <si>
    <t>O60826</t>
  </si>
  <si>
    <t>O60828-2</t>
  </si>
  <si>
    <t>O60832</t>
  </si>
  <si>
    <t>O60841</t>
  </si>
  <si>
    <t>O60869</t>
  </si>
  <si>
    <t>O60884</t>
  </si>
  <si>
    <t>O60885</t>
  </si>
  <si>
    <t>O60888-3</t>
  </si>
  <si>
    <t>O60907-2</t>
  </si>
  <si>
    <t>O60921</t>
  </si>
  <si>
    <t>O60925</t>
  </si>
  <si>
    <t>O60927</t>
  </si>
  <si>
    <t>O60934</t>
  </si>
  <si>
    <t>O60942</t>
  </si>
  <si>
    <t>O75030-12</t>
  </si>
  <si>
    <t>O75044</t>
  </si>
  <si>
    <t>O75064</t>
  </si>
  <si>
    <t>O75083</t>
  </si>
  <si>
    <t>O75113</t>
  </si>
  <si>
    <t>O75116</t>
  </si>
  <si>
    <t>O75131</t>
  </si>
  <si>
    <t>O75143-3</t>
  </si>
  <si>
    <t>O75146</t>
  </si>
  <si>
    <t>O75150</t>
  </si>
  <si>
    <t>O75151</t>
  </si>
  <si>
    <t>O75152</t>
  </si>
  <si>
    <t>O75153</t>
  </si>
  <si>
    <t>O75154</t>
  </si>
  <si>
    <t>O75155-2</t>
  </si>
  <si>
    <t>O75157-2</t>
  </si>
  <si>
    <t>O75164</t>
  </si>
  <si>
    <t>O75165</t>
  </si>
  <si>
    <t>O75170-4</t>
  </si>
  <si>
    <t>O75175</t>
  </si>
  <si>
    <t>O75177</t>
  </si>
  <si>
    <t>O75179-2</t>
  </si>
  <si>
    <t>O75190</t>
  </si>
  <si>
    <t>O75191</t>
  </si>
  <si>
    <t>O75208</t>
  </si>
  <si>
    <t>O75223</t>
  </si>
  <si>
    <t>O75312</t>
  </si>
  <si>
    <t>O75323</t>
  </si>
  <si>
    <t>O75330-2</t>
  </si>
  <si>
    <t>O75340</t>
  </si>
  <si>
    <t>O75347</t>
  </si>
  <si>
    <t>O75348</t>
  </si>
  <si>
    <t>O75351</t>
  </si>
  <si>
    <t>O75362</t>
  </si>
  <si>
    <t>O75367-2</t>
  </si>
  <si>
    <t>O75368</t>
  </si>
  <si>
    <t>O75369-8</t>
  </si>
  <si>
    <t>O75376</t>
  </si>
  <si>
    <t>O75380</t>
  </si>
  <si>
    <t>O75382-2</t>
  </si>
  <si>
    <t>O75385</t>
  </si>
  <si>
    <t>O75391</t>
  </si>
  <si>
    <t>O75396</t>
  </si>
  <si>
    <t>O75400-2</t>
  </si>
  <si>
    <t>O75410-7</t>
  </si>
  <si>
    <t>O75419-2</t>
  </si>
  <si>
    <t>O75420</t>
  </si>
  <si>
    <t>O75436</t>
  </si>
  <si>
    <t>O75439</t>
  </si>
  <si>
    <t>O75449</t>
  </si>
  <si>
    <t>O75475</t>
  </si>
  <si>
    <t>O75489</t>
  </si>
  <si>
    <t>O75503</t>
  </si>
  <si>
    <t>O75506</t>
  </si>
  <si>
    <t>O75521-2</t>
  </si>
  <si>
    <t>O75530-3</t>
  </si>
  <si>
    <t>O75531</t>
  </si>
  <si>
    <t>O75533</t>
  </si>
  <si>
    <t>O75534</t>
  </si>
  <si>
    <t>O75554</t>
  </si>
  <si>
    <t>O75570</t>
  </si>
  <si>
    <t>O75582</t>
  </si>
  <si>
    <t>O75607</t>
  </si>
  <si>
    <t>O75608-2</t>
  </si>
  <si>
    <t>O75629</t>
  </si>
  <si>
    <t>O75643</t>
  </si>
  <si>
    <t>O75648</t>
  </si>
  <si>
    <t>O75663</t>
  </si>
  <si>
    <t>O75688</t>
  </si>
  <si>
    <t>O75695</t>
  </si>
  <si>
    <t>O75717</t>
  </si>
  <si>
    <t>O75771-5</t>
  </si>
  <si>
    <t>O75781</t>
  </si>
  <si>
    <t>O75792</t>
  </si>
  <si>
    <t>O75794</t>
  </si>
  <si>
    <t>O75808</t>
  </si>
  <si>
    <t>O75815</t>
  </si>
  <si>
    <t>O75818-2</t>
  </si>
  <si>
    <t>O75821</t>
  </si>
  <si>
    <t>O75822</t>
  </si>
  <si>
    <t>O75828</t>
  </si>
  <si>
    <t>O75843</t>
  </si>
  <si>
    <t>O75865</t>
  </si>
  <si>
    <t>O75874</t>
  </si>
  <si>
    <t>O75884</t>
  </si>
  <si>
    <t>O75886</t>
  </si>
  <si>
    <t>O75896</t>
  </si>
  <si>
    <t>O75909</t>
  </si>
  <si>
    <t>O75915</t>
  </si>
  <si>
    <t>O75928-3</t>
  </si>
  <si>
    <t>O75934</t>
  </si>
  <si>
    <t>O75935</t>
  </si>
  <si>
    <t>O75937</t>
  </si>
  <si>
    <t>O75940</t>
  </si>
  <si>
    <t>O75943-4</t>
  </si>
  <si>
    <t>O75962</t>
  </si>
  <si>
    <t>O75970-3</t>
  </si>
  <si>
    <t>O75976</t>
  </si>
  <si>
    <t>O76003</t>
  </si>
  <si>
    <t>O76021</t>
  </si>
  <si>
    <t>O76024</t>
  </si>
  <si>
    <t>O76031</t>
  </si>
  <si>
    <t>O76041-2</t>
  </si>
  <si>
    <t>O76054</t>
  </si>
  <si>
    <t>O76070</t>
  </si>
  <si>
    <t>O76071</t>
  </si>
  <si>
    <t>O76080</t>
  </si>
  <si>
    <t>O76094</t>
  </si>
  <si>
    <t>O77932</t>
  </si>
  <si>
    <t>O94760</t>
  </si>
  <si>
    <t>O94763</t>
  </si>
  <si>
    <t>O94776</t>
  </si>
  <si>
    <t>O94804</t>
  </si>
  <si>
    <t>O94806</t>
  </si>
  <si>
    <t>O94808</t>
  </si>
  <si>
    <t>O94811</t>
  </si>
  <si>
    <t>O94817</t>
  </si>
  <si>
    <t>O94819</t>
  </si>
  <si>
    <t>O94822</t>
  </si>
  <si>
    <t>O94826</t>
  </si>
  <si>
    <t>O94829</t>
  </si>
  <si>
    <t>O94830</t>
  </si>
  <si>
    <t>O94851-5</t>
  </si>
  <si>
    <t>O94854-2</t>
  </si>
  <si>
    <t>O94855</t>
  </si>
  <si>
    <t>O94864-2</t>
  </si>
  <si>
    <t>O94868</t>
  </si>
  <si>
    <t>O94874</t>
  </si>
  <si>
    <t>O94880</t>
  </si>
  <si>
    <t>O94885</t>
  </si>
  <si>
    <t>O94887</t>
  </si>
  <si>
    <t>O94888</t>
  </si>
  <si>
    <t>O94903</t>
  </si>
  <si>
    <t>O94906-2</t>
  </si>
  <si>
    <t>O94907</t>
  </si>
  <si>
    <t>O94913</t>
  </si>
  <si>
    <t>O94916</t>
  </si>
  <si>
    <t>O94925</t>
  </si>
  <si>
    <t>O94925-3</t>
  </si>
  <si>
    <t>O94927</t>
  </si>
  <si>
    <t>O94952-1</t>
  </si>
  <si>
    <t>O94964-2</t>
  </si>
  <si>
    <t>O94966-7</t>
  </si>
  <si>
    <t>O94967-2</t>
  </si>
  <si>
    <t>O94972-2</t>
  </si>
  <si>
    <t>O94973</t>
  </si>
  <si>
    <t>O94992</t>
  </si>
  <si>
    <t>O95059</t>
  </si>
  <si>
    <t>O95067</t>
  </si>
  <si>
    <t>O95081</t>
  </si>
  <si>
    <t>O95104</t>
  </si>
  <si>
    <t>O95149</t>
  </si>
  <si>
    <t>O95155-2</t>
  </si>
  <si>
    <t>O95163</t>
  </si>
  <si>
    <t>O95171-2</t>
  </si>
  <si>
    <t>O95197-7</t>
  </si>
  <si>
    <t>O95202</t>
  </si>
  <si>
    <t>O95218-2</t>
  </si>
  <si>
    <t>O95219</t>
  </si>
  <si>
    <t>O95229</t>
  </si>
  <si>
    <t>O95231</t>
  </si>
  <si>
    <t>O95232</t>
  </si>
  <si>
    <t>O95235</t>
  </si>
  <si>
    <t>O95239</t>
  </si>
  <si>
    <t>O95243-3</t>
  </si>
  <si>
    <t>O95248</t>
  </si>
  <si>
    <t>O95249</t>
  </si>
  <si>
    <t>O95251-4</t>
  </si>
  <si>
    <t>O95273</t>
  </si>
  <si>
    <t>O95292</t>
  </si>
  <si>
    <t>O95295</t>
  </si>
  <si>
    <t>O95297-4</t>
  </si>
  <si>
    <t>O95302</t>
  </si>
  <si>
    <t>O95336</t>
  </si>
  <si>
    <t>O95340</t>
  </si>
  <si>
    <t>O95347</t>
  </si>
  <si>
    <t>O95352</t>
  </si>
  <si>
    <t>O95361</t>
  </si>
  <si>
    <t>O95363</t>
  </si>
  <si>
    <t>O95365</t>
  </si>
  <si>
    <t>O95372</t>
  </si>
  <si>
    <t>O95373</t>
  </si>
  <si>
    <t>O95376</t>
  </si>
  <si>
    <t>O95379-3</t>
  </si>
  <si>
    <t>O95391</t>
  </si>
  <si>
    <t>O95394</t>
  </si>
  <si>
    <t>O95396</t>
  </si>
  <si>
    <t>O95399</t>
  </si>
  <si>
    <t>O95400</t>
  </si>
  <si>
    <t>O95402</t>
  </si>
  <si>
    <t>O95405</t>
  </si>
  <si>
    <t>O95425</t>
  </si>
  <si>
    <t>O95429-2</t>
  </si>
  <si>
    <t>O95433</t>
  </si>
  <si>
    <t>O95453-2</t>
  </si>
  <si>
    <t>O95456</t>
  </si>
  <si>
    <t>O95466</t>
  </si>
  <si>
    <t>O95479</t>
  </si>
  <si>
    <t>O95486</t>
  </si>
  <si>
    <t>O95487-2</t>
  </si>
  <si>
    <t>O95544</t>
  </si>
  <si>
    <t>O95551</t>
  </si>
  <si>
    <t>O95568</t>
  </si>
  <si>
    <t>O95571</t>
  </si>
  <si>
    <t>O95602</t>
  </si>
  <si>
    <t>O95613</t>
  </si>
  <si>
    <t>O95619</t>
  </si>
  <si>
    <t>O95628-3</t>
  </si>
  <si>
    <t>O95630</t>
  </si>
  <si>
    <t>O95671-2</t>
  </si>
  <si>
    <t>O95684</t>
  </si>
  <si>
    <t>O95685</t>
  </si>
  <si>
    <t>O95707</t>
  </si>
  <si>
    <t>O95714</t>
  </si>
  <si>
    <t>O95716</t>
  </si>
  <si>
    <t>O95721</t>
  </si>
  <si>
    <t>O95747</t>
  </si>
  <si>
    <t>O95749</t>
  </si>
  <si>
    <t>O95757</t>
  </si>
  <si>
    <t>O95758-1</t>
  </si>
  <si>
    <t>O95759</t>
  </si>
  <si>
    <t>O95777</t>
  </si>
  <si>
    <t>O95782-2</t>
  </si>
  <si>
    <t>O95785</t>
  </si>
  <si>
    <t>O95786-2</t>
  </si>
  <si>
    <t>O95801</t>
  </si>
  <si>
    <t>O95810</t>
  </si>
  <si>
    <t>O95816</t>
  </si>
  <si>
    <t>O95817</t>
  </si>
  <si>
    <t>O95822</t>
  </si>
  <si>
    <t>O95825</t>
  </si>
  <si>
    <t>O95831-3</t>
  </si>
  <si>
    <t>O95833</t>
  </si>
  <si>
    <t>O95834-2</t>
  </si>
  <si>
    <t>O95835</t>
  </si>
  <si>
    <t>O95848</t>
  </si>
  <si>
    <t>O95861</t>
  </si>
  <si>
    <t>O95865</t>
  </si>
  <si>
    <t>O95881</t>
  </si>
  <si>
    <t>O95905</t>
  </si>
  <si>
    <t>O95926</t>
  </si>
  <si>
    <t>O95989</t>
  </si>
  <si>
    <t>O95994</t>
  </si>
  <si>
    <t>O95997</t>
  </si>
  <si>
    <t>O95999</t>
  </si>
  <si>
    <t>O96006</t>
  </si>
  <si>
    <t>O96007</t>
  </si>
  <si>
    <t>O96013</t>
  </si>
  <si>
    <t>O96017</t>
  </si>
  <si>
    <t>O96019</t>
  </si>
  <si>
    <t>O96028</t>
  </si>
  <si>
    <t>O96033</t>
  </si>
  <si>
    <t>P00325</t>
  </si>
  <si>
    <t>P00338</t>
  </si>
  <si>
    <t>P00352</t>
  </si>
  <si>
    <t>P00374</t>
  </si>
  <si>
    <t>P00387-2</t>
  </si>
  <si>
    <t>P00390-2</t>
  </si>
  <si>
    <t>P00450</t>
  </si>
  <si>
    <t>P00491</t>
  </si>
  <si>
    <t>P00492</t>
  </si>
  <si>
    <t>P00505</t>
  </si>
  <si>
    <t>P00519</t>
  </si>
  <si>
    <t>P00533</t>
  </si>
  <si>
    <t>P00558</t>
  </si>
  <si>
    <t>P00568</t>
  </si>
  <si>
    <t>P00813</t>
  </si>
  <si>
    <t>P00966</t>
  </si>
  <si>
    <t>P01009</t>
  </si>
  <si>
    <t>P01023</t>
  </si>
  <si>
    <t>P01024</t>
  </si>
  <si>
    <t>P01034</t>
  </si>
  <si>
    <t>P01042-3</t>
  </si>
  <si>
    <t>P01111</t>
  </si>
  <si>
    <t>P01116-2</t>
  </si>
  <si>
    <t>P01130-3</t>
  </si>
  <si>
    <t>P01137</t>
  </si>
  <si>
    <t>P02452</t>
  </si>
  <si>
    <t>P02533</t>
  </si>
  <si>
    <t>P02545</t>
  </si>
  <si>
    <t>P02545-2</t>
  </si>
  <si>
    <t>P02647</t>
  </si>
  <si>
    <t>P02656</t>
  </si>
  <si>
    <t>P02671-2</t>
  </si>
  <si>
    <t>P02686-2</t>
  </si>
  <si>
    <t>P02751-12</t>
  </si>
  <si>
    <t>P02765</t>
  </si>
  <si>
    <t>P02771</t>
  </si>
  <si>
    <t>P02774</t>
  </si>
  <si>
    <t>P02786</t>
  </si>
  <si>
    <t>P02792</t>
  </si>
  <si>
    <t>P02794</t>
  </si>
  <si>
    <t>P02795</t>
  </si>
  <si>
    <t>P04066</t>
  </si>
  <si>
    <t>P04075</t>
  </si>
  <si>
    <t>P04080</t>
  </si>
  <si>
    <t>P04083</t>
  </si>
  <si>
    <t>P04114</t>
  </si>
  <si>
    <t>P04150-2</t>
  </si>
  <si>
    <t>P04156-2</t>
  </si>
  <si>
    <t>P04181</t>
  </si>
  <si>
    <t>P04183</t>
  </si>
  <si>
    <t>P04259</t>
  </si>
  <si>
    <t>P04264</t>
  </si>
  <si>
    <t>P04350</t>
  </si>
  <si>
    <t>P04406</t>
  </si>
  <si>
    <t>P04424</t>
  </si>
  <si>
    <t>P04626-4</t>
  </si>
  <si>
    <t>P04632</t>
  </si>
  <si>
    <t>P04731</t>
  </si>
  <si>
    <t>P04733</t>
  </si>
  <si>
    <t>P04792</t>
  </si>
  <si>
    <t>P04818</t>
  </si>
  <si>
    <t>P04899</t>
  </si>
  <si>
    <t>P04920-2</t>
  </si>
  <si>
    <t>P05091</t>
  </si>
  <si>
    <t>P05114</t>
  </si>
  <si>
    <t>P05161</t>
  </si>
  <si>
    <t>P05162</t>
  </si>
  <si>
    <t>P05198</t>
  </si>
  <si>
    <t>P05204</t>
  </si>
  <si>
    <t>P05386</t>
  </si>
  <si>
    <t>P05387</t>
  </si>
  <si>
    <t>P05388</t>
  </si>
  <si>
    <t>P05412</t>
  </si>
  <si>
    <t>P05423</t>
  </si>
  <si>
    <t>P05455</t>
  </si>
  <si>
    <t>P05556</t>
  </si>
  <si>
    <t>P05783</t>
  </si>
  <si>
    <t>P05787</t>
  </si>
  <si>
    <t>P05814</t>
  </si>
  <si>
    <t>P05976-2</t>
  </si>
  <si>
    <t>P05997</t>
  </si>
  <si>
    <t>P06132</t>
  </si>
  <si>
    <t>P06280</t>
  </si>
  <si>
    <t>P06400</t>
  </si>
  <si>
    <t>P06493</t>
  </si>
  <si>
    <t>P06576</t>
  </si>
  <si>
    <t>P06730</t>
  </si>
  <si>
    <t>P06733</t>
  </si>
  <si>
    <t>P06737-2</t>
  </si>
  <si>
    <t>P06744</t>
  </si>
  <si>
    <t>P06748</t>
  </si>
  <si>
    <t>P06753-2</t>
  </si>
  <si>
    <t>P06753-3</t>
  </si>
  <si>
    <t>P06756-3</t>
  </si>
  <si>
    <t>P06865</t>
  </si>
  <si>
    <t>P07093-2</t>
  </si>
  <si>
    <t>P07099</t>
  </si>
  <si>
    <t>P07108</t>
  </si>
  <si>
    <t>P07148</t>
  </si>
  <si>
    <t>P07195</t>
  </si>
  <si>
    <t>P07199</t>
  </si>
  <si>
    <t>P07203</t>
  </si>
  <si>
    <t>P07204</t>
  </si>
  <si>
    <t>P07237</t>
  </si>
  <si>
    <t>P07305-2</t>
  </si>
  <si>
    <t>P07311</t>
  </si>
  <si>
    <t>P07355</t>
  </si>
  <si>
    <t>P07384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</si>
  <si>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</si>
  <si>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</si>
  <si>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</si>
  <si>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</si>
  <si>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</si>
  <si>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</si>
  <si>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</si>
  <si>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</si>
  <si>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</si>
  <si>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</si>
  <si>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</si>
  <si>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P07942</t>
  </si>
  <si>
    <t>P07951</t>
  </si>
  <si>
    <t>P07951-2</t>
  </si>
  <si>
    <t>P07954-2</t>
  </si>
  <si>
    <t>P07992</t>
  </si>
  <si>
    <t>P07996</t>
  </si>
  <si>
    <t>P08047</t>
  </si>
  <si>
    <t>P08107</t>
  </si>
  <si>
    <t>P08133</t>
  </si>
  <si>
    <t>P08195-2</t>
  </si>
  <si>
    <t>P08237</t>
  </si>
  <si>
    <t>P08238</t>
  </si>
  <si>
    <t>P08240-2</t>
  </si>
  <si>
    <t>P08243-2</t>
  </si>
  <si>
    <t>P08397-2</t>
  </si>
  <si>
    <t>P08559-3</t>
  </si>
  <si>
    <t>P08572</t>
  </si>
  <si>
    <t>P08579</t>
  </si>
  <si>
    <t>P08581</t>
  </si>
  <si>
    <t>P08582</t>
  </si>
  <si>
    <t>P08621</t>
  </si>
  <si>
    <t>P08651-2</t>
  </si>
  <si>
    <t>P08670</t>
  </si>
  <si>
    <t>P08727</t>
  </si>
  <si>
    <t>P08729</t>
  </si>
  <si>
    <t>P08754</t>
  </si>
  <si>
    <t>P08779</t>
  </si>
  <si>
    <t>P09012</t>
  </si>
  <si>
    <t>P09038-2</t>
  </si>
  <si>
    <t>P09110</t>
  </si>
  <si>
    <t>P09132</t>
  </si>
  <si>
    <t>P09234</t>
  </si>
  <si>
    <t>P09327</t>
  </si>
  <si>
    <t>P09382</t>
  </si>
  <si>
    <t>P09417</t>
  </si>
  <si>
    <t>P09429</t>
  </si>
  <si>
    <t>P09493-10</t>
  </si>
  <si>
    <t>P09493-3</t>
  </si>
  <si>
    <t>P09493-8</t>
  </si>
  <si>
    <t>P09493-9</t>
  </si>
  <si>
    <t>P09496-2</t>
  </si>
  <si>
    <t>P09497-2</t>
  </si>
  <si>
    <t>P09525</t>
  </si>
  <si>
    <t>P09543-2</t>
  </si>
  <si>
    <t>P09601</t>
  </si>
  <si>
    <t>P09622</t>
  </si>
  <si>
    <t>P09661</t>
  </si>
  <si>
    <t>P09668</t>
  </si>
  <si>
    <t>P09874</t>
  </si>
  <si>
    <t>P09884</t>
  </si>
  <si>
    <t>P09936</t>
  </si>
  <si>
    <t>P09960</t>
  </si>
  <si>
    <t>P09972</t>
  </si>
  <si>
    <t>P0C7T5</t>
  </si>
  <si>
    <t>P0CAP2</t>
  </si>
  <si>
    <t>P0CG12</t>
  </si>
  <si>
    <t>P0CG31</t>
  </si>
  <si>
    <t>P0CG35</t>
  </si>
  <si>
    <t>P0CW22</t>
  </si>
  <si>
    <t>P0DI82</t>
  </si>
  <si>
    <t>P0DI83</t>
  </si>
  <si>
    <t>P10070</t>
  </si>
  <si>
    <t>P10075</t>
  </si>
  <si>
    <t>P10109</t>
  </si>
  <si>
    <t>P10155</t>
  </si>
  <si>
    <t>P10253</t>
  </si>
  <si>
    <t>P10301</t>
  </si>
  <si>
    <t>P10398</t>
  </si>
  <si>
    <t>P10412</t>
  </si>
  <si>
    <t>P10451-5</t>
  </si>
  <si>
    <t>P10515</t>
  </si>
  <si>
    <t>P10586-2</t>
  </si>
  <si>
    <t>P10606</t>
  </si>
  <si>
    <t>P10619</t>
  </si>
  <si>
    <t>P10644</t>
  </si>
  <si>
    <t>P10746</t>
  </si>
  <si>
    <t>P10768</t>
  </si>
  <si>
    <t>P10809</t>
  </si>
  <si>
    <t>P10909-4</t>
  </si>
  <si>
    <t>P11021</t>
  </si>
  <si>
    <t>P11047</t>
  </si>
  <si>
    <t>P11117</t>
  </si>
  <si>
    <t>P11137-3</t>
  </si>
  <si>
    <t>P11142</t>
  </si>
  <si>
    <t>P11171-3</t>
  </si>
  <si>
    <t>P11172</t>
  </si>
  <si>
    <t>P11177-3</t>
  </si>
  <si>
    <t>P11182</t>
  </si>
  <si>
    <t>P11216</t>
  </si>
  <si>
    <t>P11233</t>
  </si>
  <si>
    <t>P11274</t>
  </si>
  <si>
    <t>P11277-3</t>
  </si>
  <si>
    <t>P11279</t>
  </si>
  <si>
    <t>P11310</t>
  </si>
  <si>
    <t>P11387</t>
  </si>
  <si>
    <t>P11388</t>
  </si>
  <si>
    <t>P11413</t>
  </si>
  <si>
    <t>P11441</t>
  </si>
  <si>
    <t>P11498</t>
  </si>
  <si>
    <t>P11586</t>
  </si>
  <si>
    <t>P11717</t>
  </si>
  <si>
    <t>P11766</t>
  </si>
  <si>
    <t>P11802</t>
  </si>
  <si>
    <t>P11908</t>
  </si>
  <si>
    <t>P11926</t>
  </si>
  <si>
    <t>P11940</t>
  </si>
  <si>
    <t>P12004</t>
  </si>
  <si>
    <t>P12109</t>
  </si>
  <si>
    <t>P12270</t>
  </si>
  <si>
    <t>P12277</t>
  </si>
  <si>
    <t>P12429</t>
  </si>
  <si>
    <t>P12532</t>
  </si>
  <si>
    <t>P12694</t>
  </si>
  <si>
    <t>P12814</t>
  </si>
  <si>
    <t>P12830</t>
  </si>
  <si>
    <t>P12931</t>
  </si>
  <si>
    <t>P12955</t>
  </si>
  <si>
    <t>P12956</t>
  </si>
  <si>
    <t>P13010</t>
  </si>
  <si>
    <t>P13051</t>
  </si>
  <si>
    <t>P13489</t>
  </si>
  <si>
    <t>P13639</t>
  </si>
  <si>
    <t>P13647</t>
  </si>
  <si>
    <t>P13667</t>
  </si>
  <si>
    <t>P13674-2</t>
  </si>
  <si>
    <t>P13693</t>
  </si>
  <si>
    <t>P13797</t>
  </si>
  <si>
    <t>P13798</t>
  </si>
  <si>
    <t>P13804</t>
  </si>
  <si>
    <t>P13807-2</t>
  </si>
  <si>
    <t>P13861</t>
  </si>
  <si>
    <t>P13928</t>
  </si>
  <si>
    <t>P13929</t>
  </si>
  <si>
    <t>P13984</t>
  </si>
  <si>
    <t>P13995</t>
  </si>
  <si>
    <t>P14174</t>
  </si>
  <si>
    <t>P14209-3</t>
  </si>
  <si>
    <t>P14314-2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</si>
  <si>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</si>
  <si>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</si>
  <si>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</si>
  <si>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</si>
  <si>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</si>
  <si>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</si>
  <si>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</si>
  <si>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</si>
  <si>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</si>
  <si>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</si>
  <si>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</si>
  <si>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</si>
  <si>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</si>
  <si>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</si>
  <si>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</si>
  <si>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P15056</t>
  </si>
  <si>
    <t>P15121</t>
  </si>
  <si>
    <t>P15151-3</t>
  </si>
  <si>
    <t>P15170-2</t>
  </si>
  <si>
    <t>P15248</t>
  </si>
  <si>
    <t>P15289</t>
  </si>
  <si>
    <t>P15311</t>
  </si>
  <si>
    <t>P15374</t>
  </si>
  <si>
    <t>P15428</t>
  </si>
  <si>
    <t>P15529-15</t>
  </si>
  <si>
    <t>P15531</t>
  </si>
  <si>
    <t>P15735-2</t>
  </si>
  <si>
    <t>P15848</t>
  </si>
  <si>
    <t>P15880</t>
  </si>
  <si>
    <t>P15882</t>
  </si>
  <si>
    <t>P15924</t>
  </si>
  <si>
    <t>P15927</t>
  </si>
  <si>
    <t>P16035</t>
  </si>
  <si>
    <t>P16070-18</t>
  </si>
  <si>
    <t>P16144-4</t>
  </si>
  <si>
    <t>P16152</t>
  </si>
  <si>
    <t>P16157-11</t>
  </si>
  <si>
    <t>P16220-2</t>
  </si>
  <si>
    <t>P16278-3</t>
  </si>
  <si>
    <t>P16298</t>
  </si>
  <si>
    <t>P16333</t>
  </si>
  <si>
    <t>P16383</t>
  </si>
  <si>
    <t>P16401</t>
  </si>
  <si>
    <t>P16403</t>
  </si>
  <si>
    <t>P16455</t>
  </si>
  <si>
    <t>P16885</t>
  </si>
  <si>
    <t>P16930</t>
  </si>
  <si>
    <t>P16949</t>
  </si>
  <si>
    <t>P16989</t>
  </si>
  <si>
    <t>P16989-2</t>
  </si>
  <si>
    <t>P17010-2</t>
  </si>
  <si>
    <t>P17028</t>
  </si>
  <si>
    <t>P17029</t>
  </si>
  <si>
    <t>P17039</t>
  </si>
  <si>
    <t>P17050</t>
  </si>
  <si>
    <t>P17066</t>
  </si>
  <si>
    <t>P17096</t>
  </si>
  <si>
    <t>P17098</t>
  </si>
  <si>
    <t>P17174</t>
  </si>
  <si>
    <t>P17252</t>
  </si>
  <si>
    <t>P17275</t>
  </si>
  <si>
    <t>P17302</t>
  </si>
  <si>
    <t>P17480-2</t>
  </si>
  <si>
    <t>P17535</t>
  </si>
  <si>
    <t>P17544-4</t>
  </si>
  <si>
    <t>P17612</t>
  </si>
  <si>
    <t>P17655</t>
  </si>
  <si>
    <t>P17706-2</t>
  </si>
  <si>
    <t>P17707</t>
  </si>
  <si>
    <t>P17812</t>
  </si>
  <si>
    <t>P17858</t>
  </si>
  <si>
    <t>P17900</t>
  </si>
  <si>
    <t>P17931</t>
  </si>
  <si>
    <t>P17936</t>
  </si>
  <si>
    <t>P17987</t>
  </si>
  <si>
    <t>P18031</t>
  </si>
  <si>
    <t>P18065</t>
  </si>
  <si>
    <t>P18084</t>
  </si>
  <si>
    <t>P18085</t>
  </si>
  <si>
    <t>P18124</t>
  </si>
  <si>
    <t>P18206-2</t>
  </si>
  <si>
    <t>P18283</t>
  </si>
  <si>
    <t>P18440</t>
  </si>
  <si>
    <t>P18583-10</t>
  </si>
  <si>
    <t>P18615</t>
  </si>
  <si>
    <t>P18669</t>
  </si>
  <si>
    <t>P18827</t>
  </si>
  <si>
    <t>P18846</t>
  </si>
  <si>
    <t>P18858</t>
  </si>
  <si>
    <t>P18859</t>
  </si>
  <si>
    <t>P18887</t>
  </si>
  <si>
    <t>P19013</t>
  </si>
  <si>
    <t>P19105</t>
  </si>
  <si>
    <t>P19174-2</t>
  </si>
  <si>
    <t>P19338</t>
  </si>
  <si>
    <t>P19367-4</t>
  </si>
  <si>
    <t>P19387</t>
  </si>
  <si>
    <t>P19388</t>
  </si>
  <si>
    <t>P19404</t>
  </si>
  <si>
    <t>P19419</t>
  </si>
  <si>
    <t>P19440</t>
  </si>
  <si>
    <t>P19447</t>
  </si>
  <si>
    <t>P19525</t>
  </si>
  <si>
    <t>P19532</t>
  </si>
  <si>
    <t>P19623</t>
  </si>
  <si>
    <t>P19784</t>
  </si>
  <si>
    <t>P19835</t>
  </si>
  <si>
    <t>P19838</t>
  </si>
  <si>
    <t>P19971</t>
  </si>
  <si>
    <t>P20042</t>
  </si>
  <si>
    <t>P20248</t>
  </si>
  <si>
    <t>P20290</t>
  </si>
  <si>
    <t>P20290-2</t>
  </si>
  <si>
    <t>P20338</t>
  </si>
  <si>
    <t>P20340-2</t>
  </si>
  <si>
    <t>P20585</t>
  </si>
  <si>
    <t>P20618</t>
  </si>
  <si>
    <t>P20674</t>
  </si>
  <si>
    <t>P20700</t>
  </si>
  <si>
    <t>P20749</t>
  </si>
  <si>
    <t>P20810-5</t>
  </si>
  <si>
    <t>P20810-6</t>
  </si>
  <si>
    <t>P20823-3</t>
  </si>
  <si>
    <t>P20839-2</t>
  </si>
  <si>
    <t>P20908</t>
  </si>
  <si>
    <t>P20936-2</t>
  </si>
  <si>
    <t>P20962</t>
  </si>
  <si>
    <t>P21127-8</t>
  </si>
  <si>
    <t>P21266</t>
  </si>
  <si>
    <t>P21281</t>
  </si>
  <si>
    <t>P21283</t>
  </si>
  <si>
    <t>P21291</t>
  </si>
  <si>
    <t>P21333-2</t>
  </si>
  <si>
    <t>P21359-2</t>
  </si>
  <si>
    <t>P21399</t>
  </si>
  <si>
    <t>P21549</t>
  </si>
  <si>
    <t>P21580</t>
  </si>
  <si>
    <t>P21589-2</t>
  </si>
  <si>
    <t>P21953</t>
  </si>
  <si>
    <t>P21964-2</t>
  </si>
  <si>
    <t>P21980</t>
  </si>
  <si>
    <t>P22033</t>
  </si>
  <si>
    <t>P22059</t>
  </si>
  <si>
    <t>P22061</t>
  </si>
  <si>
    <t>P22087</t>
  </si>
  <si>
    <t>P22102</t>
  </si>
  <si>
    <t>P22307-7</t>
  </si>
  <si>
    <t>P22314</t>
  </si>
  <si>
    <t>P22392-2</t>
  </si>
  <si>
    <t>P22570</t>
  </si>
  <si>
    <t>P22626</t>
  </si>
  <si>
    <t>P22670</t>
  </si>
  <si>
    <t>P22676</t>
  </si>
  <si>
    <t>P22681</t>
  </si>
  <si>
    <t>P22692</t>
  </si>
  <si>
    <t>P22694</t>
  </si>
  <si>
    <t>P22830</t>
  </si>
  <si>
    <t>P23025</t>
  </si>
  <si>
    <t>P23141-3</t>
  </si>
  <si>
    <t>P23142-3</t>
  </si>
  <si>
    <t>P23193</t>
  </si>
  <si>
    <t>P23246</t>
  </si>
  <si>
    <t>P23258</t>
  </si>
  <si>
    <t>P23284</t>
  </si>
  <si>
    <t>P23368</t>
  </si>
  <si>
    <t>P23378</t>
  </si>
  <si>
    <t>P23381</t>
  </si>
  <si>
    <t>P23396</t>
  </si>
  <si>
    <t>P23409</t>
  </si>
  <si>
    <t>P23434</t>
  </si>
  <si>
    <t>P23497</t>
  </si>
  <si>
    <t>P23511-2</t>
  </si>
  <si>
    <t>P23526</t>
  </si>
  <si>
    <t>P23528</t>
  </si>
  <si>
    <t>P23588</t>
  </si>
  <si>
    <t>P23610</t>
  </si>
  <si>
    <t>P23743</t>
  </si>
  <si>
    <t>P23919</t>
  </si>
  <si>
    <t>P23921</t>
  </si>
  <si>
    <t>P24534</t>
  </si>
  <si>
    <t>P24588</t>
  </si>
  <si>
    <t>P24666</t>
  </si>
  <si>
    <t>P24666-2</t>
  </si>
  <si>
    <t>P24752</t>
  </si>
  <si>
    <t>P24844</t>
  </si>
  <si>
    <t>P24928</t>
  </si>
  <si>
    <t>P24941</t>
  </si>
  <si>
    <t>P25054-2</t>
  </si>
  <si>
    <t>P25098</t>
  </si>
  <si>
    <t>P25205</t>
  </si>
  <si>
    <t>P25398</t>
  </si>
  <si>
    <t>P25440</t>
  </si>
  <si>
    <t>P25490</t>
  </si>
  <si>
    <t>P25685</t>
  </si>
  <si>
    <t>P25686</t>
  </si>
  <si>
    <t>P25705</t>
  </si>
  <si>
    <t>P25713</t>
  </si>
  <si>
    <t>P25774-2</t>
  </si>
  <si>
    <t>P25786</t>
  </si>
  <si>
    <t>P25787</t>
  </si>
  <si>
    <t>P25788-2</t>
  </si>
  <si>
    <t>P25789</t>
  </si>
  <si>
    <t>P25815</t>
  </si>
  <si>
    <t>P26038</t>
  </si>
  <si>
    <t>P26045</t>
  </si>
  <si>
    <t>P26196</t>
  </si>
  <si>
    <t>P26358</t>
  </si>
  <si>
    <t>P26358-2</t>
  </si>
  <si>
    <t>P26368-2</t>
  </si>
  <si>
    <t>P26373</t>
  </si>
  <si>
    <t>P26374</t>
  </si>
  <si>
    <t>P26440</t>
  </si>
  <si>
    <t>P26447</t>
  </si>
  <si>
    <t>P26583</t>
  </si>
  <si>
    <t>P26599</t>
  </si>
  <si>
    <t>P26639</t>
  </si>
  <si>
    <t>P26640</t>
  </si>
  <si>
    <t>P26641</t>
  </si>
  <si>
    <t>P26651</t>
  </si>
  <si>
    <t>P26885</t>
  </si>
  <si>
    <t>P27144</t>
  </si>
  <si>
    <t>P27216</t>
  </si>
  <si>
    <t>P27348</t>
  </si>
  <si>
    <t>P27361</t>
  </si>
  <si>
    <t>P27448-8</t>
  </si>
  <si>
    <t>P27540-2</t>
  </si>
  <si>
    <t>P27635</t>
  </si>
  <si>
    <t>P27694</t>
  </si>
  <si>
    <t>P27695</t>
  </si>
  <si>
    <t>P27707</t>
  </si>
  <si>
    <t>P27797</t>
  </si>
  <si>
    <t>P27816</t>
  </si>
  <si>
    <t>P27824</t>
  </si>
  <si>
    <t>P27986</t>
  </si>
  <si>
    <t>P27987</t>
  </si>
  <si>
    <t>P28062-2</t>
  </si>
  <si>
    <t>P28065</t>
  </si>
  <si>
    <t>P28066</t>
  </si>
  <si>
    <t>P28070</t>
  </si>
  <si>
    <t>P28072</t>
  </si>
  <si>
    <t>P28074</t>
  </si>
  <si>
    <t>P28331-4</t>
  </si>
  <si>
    <t>P28340</t>
  </si>
  <si>
    <t>P28482</t>
  </si>
  <si>
    <t>P28562</t>
  </si>
  <si>
    <t>P28702</t>
  </si>
  <si>
    <t>P28715</t>
  </si>
  <si>
    <t>P28749</t>
  </si>
  <si>
    <t>P28799</t>
  </si>
  <si>
    <t>P28838-2</t>
  </si>
  <si>
    <t>P29034</t>
  </si>
  <si>
    <t>P29083</t>
  </si>
  <si>
    <t>P29084</t>
  </si>
  <si>
    <t>P29144</t>
  </si>
  <si>
    <t>P29218</t>
  </si>
  <si>
    <t>P29323-2</t>
  </si>
  <si>
    <t>P29350</t>
  </si>
  <si>
    <t>P29353-6</t>
  </si>
  <si>
    <t>P29372-5</t>
  </si>
  <si>
    <t>P29373</t>
  </si>
  <si>
    <t>P29401</t>
  </si>
  <si>
    <t>P29590</t>
  </si>
  <si>
    <t>P29692</t>
  </si>
  <si>
    <t>P29692-2</t>
  </si>
  <si>
    <t>P29762</t>
  </si>
  <si>
    <t>P29966</t>
  </si>
  <si>
    <t>P30038</t>
  </si>
  <si>
    <t>P30039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</si>
  <si>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</si>
  <si>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</si>
  <si>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</si>
  <si>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</si>
  <si>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</si>
  <si>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</si>
  <si>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</si>
  <si>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</si>
  <si>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</si>
  <si>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</si>
  <si>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</si>
  <si>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</si>
  <si>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</si>
  <si>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P30260</t>
  </si>
  <si>
    <t>P30281</t>
  </si>
  <si>
    <t>P30307-2</t>
  </si>
  <si>
    <t>P30405</t>
  </si>
  <si>
    <t>P30414</t>
  </si>
  <si>
    <t>P30419</t>
  </si>
  <si>
    <t>P30519</t>
  </si>
  <si>
    <t>P30520</t>
  </si>
  <si>
    <t>P30533</t>
  </si>
  <si>
    <t>P30566</t>
  </si>
  <si>
    <t>P30613-2</t>
  </si>
  <si>
    <t>P30622</t>
  </si>
  <si>
    <t>P30622-2</t>
  </si>
  <si>
    <t>P30740</t>
  </si>
  <si>
    <t>P30837</t>
  </si>
  <si>
    <t>P30838</t>
  </si>
  <si>
    <t>P31040</t>
  </si>
  <si>
    <t>P31146</t>
  </si>
  <si>
    <t>P31150</t>
  </si>
  <si>
    <t>P31153</t>
  </si>
  <si>
    <t>P31321</t>
  </si>
  <si>
    <t>P31327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</si>
  <si>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</si>
  <si>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</si>
  <si>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</si>
  <si>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</si>
  <si>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</si>
  <si>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</si>
  <si>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</si>
  <si>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</si>
  <si>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P31943</t>
  </si>
  <si>
    <t>P31944</t>
  </si>
  <si>
    <t>P31946</t>
  </si>
  <si>
    <t>P31947</t>
  </si>
  <si>
    <t>P31948</t>
  </si>
  <si>
    <t>P31949</t>
  </si>
  <si>
    <t>P32019-3</t>
  </si>
  <si>
    <t>P32121-5</t>
  </si>
  <si>
    <t>P32320</t>
  </si>
  <si>
    <t>P32321-2</t>
  </si>
  <si>
    <t>P32322</t>
  </si>
  <si>
    <t>P32455</t>
  </si>
  <si>
    <t>P32519-2</t>
  </si>
  <si>
    <t>P32780</t>
  </si>
  <si>
    <t>P32929</t>
  </si>
  <si>
    <t>P32969</t>
  </si>
  <si>
    <t>P33121-2</t>
  </si>
  <si>
    <t>P33176</t>
  </si>
  <si>
    <t>P33240-2</t>
  </si>
  <si>
    <t>P33241-2</t>
  </si>
  <si>
    <t>P33316</t>
  </si>
  <si>
    <t>P33316-2</t>
  </si>
  <si>
    <t>P33552</t>
  </si>
  <si>
    <t>P33764</t>
  </si>
  <si>
    <t>P33981-2</t>
  </si>
  <si>
    <t>P33991</t>
  </si>
  <si>
    <t>P33992</t>
  </si>
  <si>
    <t>P33993</t>
  </si>
  <si>
    <t>P34059</t>
  </si>
  <si>
    <t>P34096</t>
  </si>
  <si>
    <t>P34896-2</t>
  </si>
  <si>
    <t>P34897-3</t>
  </si>
  <si>
    <t>P34913</t>
  </si>
  <si>
    <t>P34932</t>
  </si>
  <si>
    <t>P35219</t>
  </si>
  <si>
    <t>P35221</t>
  </si>
  <si>
    <t>P35227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</si>
  <si>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</si>
  <si>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</si>
  <si>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</si>
  <si>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</si>
  <si>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</si>
  <si>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</si>
  <si>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</si>
  <si>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</si>
  <si>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</si>
  <si>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</si>
  <si>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</si>
  <si>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P35556</t>
  </si>
  <si>
    <t>P35568</t>
  </si>
  <si>
    <t>P35573</t>
  </si>
  <si>
    <t>P35579</t>
  </si>
  <si>
    <t>P35580</t>
  </si>
  <si>
    <t>P35580-4</t>
  </si>
  <si>
    <t>P35606</t>
  </si>
  <si>
    <t>P35611</t>
  </si>
  <si>
    <t>P35611-2</t>
  </si>
  <si>
    <t>P35612</t>
  </si>
  <si>
    <t>P35637-2</t>
  </si>
  <si>
    <t>P35658-4</t>
  </si>
  <si>
    <t>P35659</t>
  </si>
  <si>
    <t>P35749-4</t>
  </si>
  <si>
    <t>P35754</t>
  </si>
  <si>
    <t>P35790-2</t>
  </si>
  <si>
    <t>P35813</t>
  </si>
  <si>
    <t>P35869</t>
  </si>
  <si>
    <t>P35998</t>
  </si>
  <si>
    <t>P36404</t>
  </si>
  <si>
    <t>P36405</t>
  </si>
  <si>
    <t>P36507</t>
  </si>
  <si>
    <t>P36543</t>
  </si>
  <si>
    <t>P36551</t>
  </si>
  <si>
    <t>P36578</t>
  </si>
  <si>
    <t>P36639-4</t>
  </si>
  <si>
    <t>P36871</t>
  </si>
  <si>
    <t>P36873</t>
  </si>
  <si>
    <t>P36915</t>
  </si>
  <si>
    <t>P36952</t>
  </si>
  <si>
    <t>P36954</t>
  </si>
  <si>
    <t>P36957</t>
  </si>
  <si>
    <t>P36969-2</t>
  </si>
  <si>
    <t>P37108</t>
  </si>
  <si>
    <t>P37198</t>
  </si>
  <si>
    <t>P37235</t>
  </si>
  <si>
    <t>P37802</t>
  </si>
  <si>
    <t>P37837</t>
  </si>
  <si>
    <t>P38117</t>
  </si>
  <si>
    <t>P38159</t>
  </si>
  <si>
    <t>P38398-4</t>
  </si>
  <si>
    <t>P38432</t>
  </si>
  <si>
    <t>P38571-2</t>
  </si>
  <si>
    <t>P38606</t>
  </si>
  <si>
    <t>P38646</t>
  </si>
  <si>
    <t>P38919</t>
  </si>
  <si>
    <t>P38935</t>
  </si>
  <si>
    <t>P38936</t>
  </si>
  <si>
    <t>P39019</t>
  </si>
  <si>
    <t>P39023</t>
  </si>
  <si>
    <t>P39060-2</t>
  </si>
  <si>
    <t>P39687</t>
  </si>
  <si>
    <t>P39748</t>
  </si>
  <si>
    <t>P39880-3</t>
  </si>
  <si>
    <t>P40121-2</t>
  </si>
  <si>
    <t>P40123</t>
  </si>
  <si>
    <t>P40189-3</t>
  </si>
  <si>
    <t>P40199</t>
  </si>
  <si>
    <t>P40222</t>
  </si>
  <si>
    <t>P40227</t>
  </si>
  <si>
    <t>P40261</t>
  </si>
  <si>
    <t>P40306</t>
  </si>
  <si>
    <t>P40337-3</t>
  </si>
  <si>
    <t>P40429</t>
  </si>
  <si>
    <t>P40692</t>
  </si>
  <si>
    <t>P40763</t>
  </si>
  <si>
    <t>P40763-2</t>
  </si>
  <si>
    <t>P40818</t>
  </si>
  <si>
    <t>P40925</t>
  </si>
  <si>
    <t>P40926</t>
  </si>
  <si>
    <t>P40937</t>
  </si>
  <si>
    <t>P40938</t>
  </si>
  <si>
    <t>P40939</t>
  </si>
  <si>
    <t>P41091</t>
  </si>
  <si>
    <t>P41134-2</t>
  </si>
  <si>
    <t>P41162</t>
  </si>
  <si>
    <t>P41208</t>
  </si>
  <si>
    <t>P41212</t>
  </si>
  <si>
    <t>P41214</t>
  </si>
  <si>
    <t>P41223</t>
  </si>
  <si>
    <t>P41227-2</t>
  </si>
  <si>
    <t>P41229-2</t>
  </si>
  <si>
    <t>P41236</t>
  </si>
  <si>
    <t>P41240</t>
  </si>
  <si>
    <t>P41250</t>
  </si>
  <si>
    <t>P41252</t>
  </si>
  <si>
    <t>P41567</t>
  </si>
  <si>
    <t>P41743</t>
  </si>
  <si>
    <t>P42025</t>
  </si>
  <si>
    <t>P42126-2</t>
  </si>
  <si>
    <t>P42166</t>
  </si>
  <si>
    <t>P42167</t>
  </si>
  <si>
    <t>P42224</t>
  </si>
  <si>
    <t>P42226</t>
  </si>
  <si>
    <t>P42285</t>
  </si>
  <si>
    <t>P42330</t>
  </si>
  <si>
    <t>P42336</t>
  </si>
  <si>
    <t>P42338</t>
  </si>
  <si>
    <t>P42345</t>
  </si>
  <si>
    <t>P42566</t>
  </si>
  <si>
    <t>P42574</t>
  </si>
  <si>
    <t>P42575</t>
  </si>
  <si>
    <t>P42677</t>
  </si>
  <si>
    <t>P42684-6</t>
  </si>
  <si>
    <t>P42694</t>
  </si>
  <si>
    <t>P42695</t>
  </si>
  <si>
    <t>P42704</t>
  </si>
  <si>
    <t>P42765</t>
  </si>
  <si>
    <t>P42766</t>
  </si>
  <si>
    <t>P42773</t>
  </si>
  <si>
    <t>P42785</t>
  </si>
  <si>
    <t>P42830</t>
  </si>
  <si>
    <t>P42858</t>
  </si>
  <si>
    <t>P42898</t>
  </si>
  <si>
    <t>P43034</t>
  </si>
  <si>
    <t>P43155-2</t>
  </si>
  <si>
    <t>P43243</t>
  </si>
  <si>
    <t>P43246</t>
  </si>
  <si>
    <t>P43251</t>
  </si>
  <si>
    <t>P43353</t>
  </si>
  <si>
    <t>P43360</t>
  </si>
  <si>
    <t>P43378</t>
  </si>
  <si>
    <t>P43487</t>
  </si>
  <si>
    <t>P43490</t>
  </si>
  <si>
    <t>P43686</t>
  </si>
  <si>
    <t>P43897</t>
  </si>
  <si>
    <t>P45877</t>
  </si>
  <si>
    <t>P45954</t>
  </si>
  <si>
    <t>P45973</t>
  </si>
  <si>
    <t>P45974-2</t>
  </si>
  <si>
    <t>P45984-2</t>
  </si>
  <si>
    <t>P45985</t>
  </si>
  <si>
    <t>P46013</t>
  </si>
  <si>
    <t>P46019</t>
  </si>
  <si>
    <t>P46020-2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</si>
  <si>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</si>
  <si>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</si>
  <si>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</si>
  <si>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</si>
  <si>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</si>
  <si>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</si>
  <si>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</si>
  <si>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</si>
  <si>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P46734</t>
  </si>
  <si>
    <t>P46736-2</t>
  </si>
  <si>
    <t>P46777</t>
  </si>
  <si>
    <t>P46778</t>
  </si>
  <si>
    <t>P46779</t>
  </si>
  <si>
    <t>P46781</t>
  </si>
  <si>
    <t>P46783</t>
  </si>
  <si>
    <t>P46821</t>
  </si>
  <si>
    <t>P46926</t>
  </si>
  <si>
    <t>P46934-4</t>
  </si>
  <si>
    <t>P46937</t>
  </si>
  <si>
    <t>P46939</t>
  </si>
  <si>
    <t>P46940</t>
  </si>
  <si>
    <t>P46976-2</t>
  </si>
  <si>
    <t>P47224</t>
  </si>
  <si>
    <t>P47710-2</t>
  </si>
  <si>
    <t>P47712</t>
  </si>
  <si>
    <t>P47736</t>
  </si>
  <si>
    <t>P47755</t>
  </si>
  <si>
    <t>P47756-2</t>
  </si>
  <si>
    <t>P47813</t>
  </si>
  <si>
    <t>P47895</t>
  </si>
  <si>
    <t>P47897</t>
  </si>
  <si>
    <t>P47914</t>
  </si>
  <si>
    <t>P47974</t>
  </si>
  <si>
    <t>P47985</t>
  </si>
  <si>
    <t>P47989</t>
  </si>
  <si>
    <t>P48059</t>
  </si>
  <si>
    <t>P48147</t>
  </si>
  <si>
    <t>P48163</t>
  </si>
  <si>
    <t>P48169</t>
  </si>
  <si>
    <t>P48200</t>
  </si>
  <si>
    <t>P48307</t>
  </si>
  <si>
    <t>P48431</t>
  </si>
  <si>
    <t>P48436</t>
  </si>
  <si>
    <t>P48444</t>
  </si>
  <si>
    <t>P48454-2</t>
  </si>
  <si>
    <t>P48506</t>
  </si>
  <si>
    <t>P48507</t>
  </si>
  <si>
    <t>P48552</t>
  </si>
  <si>
    <t>P48553</t>
  </si>
  <si>
    <t>P48634</t>
  </si>
  <si>
    <t>P48637</t>
  </si>
  <si>
    <t>P48643</t>
  </si>
  <si>
    <t>P48681</t>
  </si>
  <si>
    <t>P48729</t>
  </si>
  <si>
    <t>P48730-2</t>
  </si>
  <si>
    <t>P48735</t>
  </si>
  <si>
    <t>P48739</t>
  </si>
  <si>
    <t>P49005</t>
  </si>
  <si>
    <t>P49006</t>
  </si>
  <si>
    <t>P49023-3</t>
  </si>
  <si>
    <t>P49116</t>
  </si>
  <si>
    <t>P49137</t>
  </si>
  <si>
    <t>P49189</t>
  </si>
  <si>
    <t>P49207</t>
  </si>
  <si>
    <t>P49247</t>
  </si>
  <si>
    <t>P49321</t>
  </si>
  <si>
    <t>P49327</t>
  </si>
  <si>
    <t>P49336-2</t>
  </si>
  <si>
    <t>P49354</t>
  </si>
  <si>
    <t>P49366</t>
  </si>
  <si>
    <t>P49368</t>
  </si>
  <si>
    <t>P49406</t>
  </si>
  <si>
    <t>P49407-2</t>
  </si>
  <si>
    <t>P49411</t>
  </si>
  <si>
    <t>P49419-2</t>
  </si>
  <si>
    <t>P49427</t>
  </si>
  <si>
    <t>P49441</t>
  </si>
  <si>
    <t>P49454</t>
  </si>
  <si>
    <t>P49458</t>
  </si>
  <si>
    <t>P49459</t>
  </si>
  <si>
    <t>P49585</t>
  </si>
  <si>
    <t>P49588</t>
  </si>
  <si>
    <t>P49589-3</t>
  </si>
  <si>
    <t>P49591</t>
  </si>
  <si>
    <t>P49642</t>
  </si>
  <si>
    <t>P49643</t>
  </si>
  <si>
    <t>P49662-2</t>
  </si>
  <si>
    <t>P49674</t>
  </si>
  <si>
    <t>P49711</t>
  </si>
  <si>
    <t>P49716</t>
  </si>
  <si>
    <t>P49720</t>
  </si>
  <si>
    <t>P49721</t>
  </si>
  <si>
    <t>P49736</t>
  </si>
  <si>
    <t>P49748</t>
  </si>
  <si>
    <t>P49750-4</t>
  </si>
  <si>
    <t>P49756</t>
  </si>
  <si>
    <t>P49757-4</t>
  </si>
  <si>
    <t>P49770</t>
  </si>
  <si>
    <t>P49773</t>
  </si>
  <si>
    <t>P49790</t>
  </si>
  <si>
    <t>P49792</t>
  </si>
  <si>
    <t>P49796-4</t>
  </si>
  <si>
    <t>P49821-2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</si>
  <si>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</si>
  <si>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</si>
  <si>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</si>
  <si>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</si>
  <si>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</si>
  <si>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</si>
  <si>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</si>
  <si>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</si>
  <si>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P49959</t>
  </si>
  <si>
    <t>P50053</t>
  </si>
  <si>
    <t>P50135</t>
  </si>
  <si>
    <t>P50213</t>
  </si>
  <si>
    <t>P50219</t>
  </si>
  <si>
    <t>P50224</t>
  </si>
  <si>
    <t>P50238</t>
  </si>
  <si>
    <t>P50336</t>
  </si>
  <si>
    <t>P50395</t>
  </si>
  <si>
    <t>P50402</t>
  </si>
  <si>
    <t>P50440-2</t>
  </si>
  <si>
    <t>P50452</t>
  </si>
  <si>
    <t>P50453</t>
  </si>
  <si>
    <t>P50454</t>
  </si>
  <si>
    <t>P50502</t>
  </si>
  <si>
    <t>P50542</t>
  </si>
  <si>
    <t>P50552</t>
  </si>
  <si>
    <t>P50570-2</t>
  </si>
  <si>
    <t>P50570-3</t>
  </si>
  <si>
    <t>P50570-4</t>
  </si>
  <si>
    <t>P50579</t>
  </si>
  <si>
    <t>P50583</t>
  </si>
  <si>
    <t>P50613</t>
  </si>
  <si>
    <t>P50616</t>
  </si>
  <si>
    <t>P50747</t>
  </si>
  <si>
    <t>P50748</t>
  </si>
  <si>
    <t>P50749</t>
  </si>
  <si>
    <t>P50750</t>
  </si>
  <si>
    <t>P50851</t>
  </si>
  <si>
    <t>P50895</t>
  </si>
  <si>
    <t>P50897</t>
  </si>
  <si>
    <t>P50990</t>
  </si>
  <si>
    <t>P50991</t>
  </si>
  <si>
    <t>P51003</t>
  </si>
  <si>
    <t>P51116</t>
  </si>
  <si>
    <t>P51148</t>
  </si>
  <si>
    <t>P51149</t>
  </si>
  <si>
    <t>P51153</t>
  </si>
  <si>
    <t>P51157-3</t>
  </si>
  <si>
    <t>P51161</t>
  </si>
  <si>
    <t>P51178</t>
  </si>
  <si>
    <t>P51397</t>
  </si>
  <si>
    <t>P51398-2</t>
  </si>
  <si>
    <t>P51452</t>
  </si>
  <si>
    <t>P51513-4</t>
  </si>
  <si>
    <t>P51531-2</t>
  </si>
  <si>
    <t>P51553</t>
  </si>
  <si>
    <t>P51570</t>
  </si>
  <si>
    <t>P51572</t>
  </si>
  <si>
    <t>P51580</t>
  </si>
  <si>
    <t>P51587</t>
  </si>
  <si>
    <t>P51589</t>
  </si>
  <si>
    <t>P51608</t>
  </si>
  <si>
    <t>P51610</t>
  </si>
  <si>
    <t>P51610-4</t>
  </si>
  <si>
    <t>P51617</t>
  </si>
  <si>
    <t>P51649</t>
  </si>
  <si>
    <t>P51659</t>
  </si>
  <si>
    <t>P51665</t>
  </si>
  <si>
    <t>P51668</t>
  </si>
  <si>
    <t>P51687</t>
  </si>
  <si>
    <t>P51688</t>
  </si>
  <si>
    <t>P51692</t>
  </si>
  <si>
    <t>P51808</t>
  </si>
  <si>
    <t>P51812</t>
  </si>
  <si>
    <t>P51817</t>
  </si>
  <si>
    <t>P51825-2</t>
  </si>
  <si>
    <t>P51843-2</t>
  </si>
  <si>
    <t>P51857-2</t>
  </si>
  <si>
    <t>P51858</t>
  </si>
  <si>
    <t>P51948</t>
  </si>
  <si>
    <t>P51991</t>
  </si>
  <si>
    <t>P52272-2</t>
  </si>
  <si>
    <t>P52292</t>
  </si>
  <si>
    <t>P52294</t>
  </si>
  <si>
    <t>P52298</t>
  </si>
  <si>
    <t>P52306</t>
  </si>
  <si>
    <t>P52564</t>
  </si>
  <si>
    <t>P52565</t>
  </si>
  <si>
    <t>P52594-2</t>
  </si>
  <si>
    <t>P52597</t>
  </si>
  <si>
    <t>P52630-4</t>
  </si>
  <si>
    <t>P52655</t>
  </si>
  <si>
    <t>P52657</t>
  </si>
  <si>
    <t>P52701</t>
  </si>
  <si>
    <t>P52732</t>
  </si>
  <si>
    <t>P52735-3</t>
  </si>
  <si>
    <t>P52739-2</t>
  </si>
  <si>
    <t>P52747-2</t>
  </si>
  <si>
    <t>P52758</t>
  </si>
  <si>
    <t>P52788</t>
  </si>
  <si>
    <t>P52815</t>
  </si>
  <si>
    <t>P52824</t>
  </si>
  <si>
    <t>P52888</t>
  </si>
  <si>
    <t>P52895</t>
  </si>
  <si>
    <t>P52907</t>
  </si>
  <si>
    <t>P52943</t>
  </si>
  <si>
    <t>P52948-5</t>
  </si>
  <si>
    <t>P53004</t>
  </si>
  <si>
    <t>P53350</t>
  </si>
  <si>
    <t>P53365</t>
  </si>
  <si>
    <t>P53367</t>
  </si>
  <si>
    <t>P53367-2</t>
  </si>
  <si>
    <t>P53384-2</t>
  </si>
  <si>
    <t>P53396</t>
  </si>
  <si>
    <t>P53396-2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</si>
  <si>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</si>
  <si>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</si>
  <si>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</si>
  <si>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</si>
  <si>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</si>
  <si>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</si>
  <si>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</si>
  <si>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</si>
  <si>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P53675-2</t>
  </si>
  <si>
    <t>P53680</t>
  </si>
  <si>
    <t>P53778</t>
  </si>
  <si>
    <t>P53803</t>
  </si>
  <si>
    <t>P53805</t>
  </si>
  <si>
    <t>P53814-5</t>
  </si>
  <si>
    <t>P53985</t>
  </si>
  <si>
    <t>P53990-2</t>
  </si>
  <si>
    <t>P53992</t>
  </si>
  <si>
    <t>P53999</t>
  </si>
  <si>
    <t>P54136</t>
  </si>
  <si>
    <t>P54198-2</t>
  </si>
  <si>
    <t>P54259</t>
  </si>
  <si>
    <t>P54277-3</t>
  </si>
  <si>
    <t>P54278</t>
  </si>
  <si>
    <t>P54577</t>
  </si>
  <si>
    <t>P54578</t>
  </si>
  <si>
    <t>P54619-2</t>
  </si>
  <si>
    <t>P54646</t>
  </si>
  <si>
    <t>P54652</t>
  </si>
  <si>
    <t>P54687</t>
  </si>
  <si>
    <t>P54727</t>
  </si>
  <si>
    <t>P54802</t>
  </si>
  <si>
    <t>P54819</t>
  </si>
  <si>
    <t>P54886-2</t>
  </si>
  <si>
    <t>P54920</t>
  </si>
  <si>
    <t>P54922</t>
  </si>
  <si>
    <t>P55010</t>
  </si>
  <si>
    <t>P55036</t>
  </si>
  <si>
    <t>P55039</t>
  </si>
  <si>
    <t>P55060-3</t>
  </si>
  <si>
    <t>P55072</t>
  </si>
  <si>
    <t>P55081</t>
  </si>
  <si>
    <t>P55145</t>
  </si>
  <si>
    <t>P55196</t>
  </si>
  <si>
    <t>P55199</t>
  </si>
  <si>
    <t>P55210</t>
  </si>
  <si>
    <t>P55211-2</t>
  </si>
  <si>
    <t>P55212</t>
  </si>
  <si>
    <t>P55263</t>
  </si>
  <si>
    <t>P55265-5</t>
  </si>
  <si>
    <t>P55268</t>
  </si>
  <si>
    <t>P55273</t>
  </si>
  <si>
    <t>P55327-2</t>
  </si>
  <si>
    <t>P55345</t>
  </si>
  <si>
    <t>P55735</t>
  </si>
  <si>
    <t>P55769</t>
  </si>
  <si>
    <t>P55795</t>
  </si>
  <si>
    <t>P55809</t>
  </si>
  <si>
    <t>P55854</t>
  </si>
  <si>
    <t>P55884</t>
  </si>
  <si>
    <t>P56181-2</t>
  </si>
  <si>
    <t>P56192</t>
  </si>
  <si>
    <t>P56211</t>
  </si>
  <si>
    <t>P56277</t>
  </si>
  <si>
    <t>P56282-2</t>
  </si>
  <si>
    <t>P56524</t>
  </si>
  <si>
    <t>P56537</t>
  </si>
  <si>
    <t>P56545</t>
  </si>
  <si>
    <t>P56945</t>
  </si>
  <si>
    <t>P56962</t>
  </si>
  <si>
    <t>P57076</t>
  </si>
  <si>
    <t>P57081</t>
  </si>
  <si>
    <t>P57105</t>
  </si>
  <si>
    <t>P57737-3</t>
  </si>
  <si>
    <t>P57740</t>
  </si>
  <si>
    <t>P57764</t>
  </si>
  <si>
    <t>P57768</t>
  </si>
  <si>
    <t>P57772</t>
  </si>
  <si>
    <t>P58546</t>
  </si>
  <si>
    <t>P59780</t>
  </si>
  <si>
    <t>P59998</t>
  </si>
  <si>
    <t>P60174-1</t>
  </si>
  <si>
    <t>P60228</t>
  </si>
  <si>
    <t>P60468</t>
  </si>
  <si>
    <t>P60510</t>
  </si>
  <si>
    <t>P60520</t>
  </si>
  <si>
    <t>P60660-2</t>
  </si>
  <si>
    <t>P60709</t>
  </si>
  <si>
    <t>P60763</t>
  </si>
  <si>
    <t>P60842</t>
  </si>
  <si>
    <t>P60866</t>
  </si>
  <si>
    <t>P60880-2</t>
  </si>
  <si>
    <t>P60891</t>
  </si>
  <si>
    <t>P60900</t>
  </si>
  <si>
    <t>P60903</t>
  </si>
  <si>
    <t>P60953</t>
  </si>
  <si>
    <t>P60953-1</t>
  </si>
  <si>
    <t>P60981</t>
  </si>
  <si>
    <t>P60983</t>
  </si>
  <si>
    <t>P61006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</si>
  <si>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</si>
  <si>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</si>
  <si>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</si>
  <si>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</si>
  <si>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</si>
  <si>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</si>
  <si>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</si>
  <si>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</si>
  <si>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</si>
  <si>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</si>
  <si>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</si>
  <si>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</si>
  <si>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</si>
  <si>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</si>
  <si>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</si>
  <si>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</si>
  <si>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</si>
  <si>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P61244-2</t>
  </si>
  <si>
    <t>P61247</t>
  </si>
  <si>
    <t>P61254</t>
  </si>
  <si>
    <t>P61289</t>
  </si>
  <si>
    <t>P61313</t>
  </si>
  <si>
    <t>P61353</t>
  </si>
  <si>
    <t>P61457</t>
  </si>
  <si>
    <t>P61586</t>
  </si>
  <si>
    <t>P61587</t>
  </si>
  <si>
    <t>P61599</t>
  </si>
  <si>
    <t>P61604</t>
  </si>
  <si>
    <t>P61758</t>
  </si>
  <si>
    <t>P61923</t>
  </si>
  <si>
    <t>P61927</t>
  </si>
  <si>
    <t>P61952</t>
  </si>
  <si>
    <t>P61956</t>
  </si>
  <si>
    <t>P61962</t>
  </si>
  <si>
    <t>P61964</t>
  </si>
  <si>
    <t>P61966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</si>
  <si>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</si>
  <si>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</si>
  <si>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</si>
  <si>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</si>
  <si>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</si>
  <si>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</si>
  <si>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</si>
  <si>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</si>
  <si>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P62158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</si>
  <si>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</si>
  <si>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</si>
  <si>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</si>
  <si>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</si>
  <si>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</si>
  <si>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</si>
  <si>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</si>
  <si>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</si>
  <si>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</si>
  <si>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</si>
  <si>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</si>
  <si>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</si>
  <si>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</si>
  <si>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</si>
  <si>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</si>
  <si>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</si>
  <si>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</si>
  <si>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</si>
  <si>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</si>
  <si>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</si>
  <si>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</si>
  <si>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</si>
  <si>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</si>
  <si>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</si>
  <si>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</si>
  <si>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</si>
  <si>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</si>
  <si>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</si>
  <si>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P62701</t>
  </si>
  <si>
    <t>P62714</t>
  </si>
  <si>
    <t>P62736</t>
  </si>
  <si>
    <t>P62750</t>
  </si>
  <si>
    <t>P62753</t>
  </si>
  <si>
    <t>P62805</t>
  </si>
  <si>
    <t>P62820</t>
  </si>
  <si>
    <t>P62826</t>
  </si>
  <si>
    <t>P62829</t>
  </si>
  <si>
    <t>P62837</t>
  </si>
  <si>
    <t>P62847-2</t>
  </si>
  <si>
    <t>P62851</t>
  </si>
  <si>
    <t>P62854</t>
  </si>
  <si>
    <t>P62857</t>
  </si>
  <si>
    <t>P62873</t>
  </si>
  <si>
    <t>P62875</t>
  </si>
  <si>
    <t>P62877</t>
  </si>
  <si>
    <t>P62888</t>
  </si>
  <si>
    <t>P62906</t>
  </si>
  <si>
    <t>P62917</t>
  </si>
  <si>
    <t>P62942</t>
  </si>
  <si>
    <t>P62993</t>
  </si>
  <si>
    <t>P62995</t>
  </si>
  <si>
    <t>P63000</t>
  </si>
  <si>
    <t>P63010</t>
  </si>
  <si>
    <t>P63096</t>
  </si>
  <si>
    <t>P63104</t>
  </si>
  <si>
    <t>P63151</t>
  </si>
  <si>
    <t>P63167</t>
  </si>
  <si>
    <t>P63173</t>
  </si>
  <si>
    <t>P63241</t>
  </si>
  <si>
    <t>P63244</t>
  </si>
  <si>
    <t>P63261</t>
  </si>
  <si>
    <t>P63272</t>
  </si>
  <si>
    <t>P63313</t>
  </si>
  <si>
    <t>P67775</t>
  </si>
  <si>
    <t>P67809</t>
  </si>
  <si>
    <t>P67870</t>
  </si>
  <si>
    <t>P67936</t>
  </si>
  <si>
    <t>P67936-2</t>
  </si>
  <si>
    <t>P68036</t>
  </si>
  <si>
    <t>P68104</t>
  </si>
  <si>
    <t>P68106</t>
  </si>
  <si>
    <t>P68133</t>
  </si>
  <si>
    <t>P68363</t>
  </si>
  <si>
    <t>P68371</t>
  </si>
  <si>
    <t>P68402</t>
  </si>
  <si>
    <t>P78316</t>
  </si>
  <si>
    <t>P78318</t>
  </si>
  <si>
    <t>P78324</t>
  </si>
  <si>
    <t>P78330</t>
  </si>
  <si>
    <t>P78332</t>
  </si>
  <si>
    <t>P78345</t>
  </si>
  <si>
    <t>P78346</t>
  </si>
  <si>
    <t>P78347-2</t>
  </si>
  <si>
    <t>P78356</t>
  </si>
  <si>
    <t>P78364</t>
  </si>
  <si>
    <t>P78371</t>
  </si>
  <si>
    <t>P78406</t>
  </si>
  <si>
    <t>P78417</t>
  </si>
  <si>
    <t>P78504</t>
  </si>
  <si>
    <t>P78527</t>
  </si>
  <si>
    <t>P78537</t>
  </si>
  <si>
    <t>P78549</t>
  </si>
  <si>
    <t>P78559</t>
  </si>
  <si>
    <t>P78560</t>
  </si>
  <si>
    <t>P80188-2</t>
  </si>
  <si>
    <t>P80217</t>
  </si>
  <si>
    <t>P80297</t>
  </si>
  <si>
    <t>P80303</t>
  </si>
  <si>
    <t>P80723</t>
  </si>
  <si>
    <t>P81605</t>
  </si>
  <si>
    <t>P82094</t>
  </si>
  <si>
    <t>P82909</t>
  </si>
  <si>
    <t>P82930</t>
  </si>
  <si>
    <t>P82932</t>
  </si>
  <si>
    <t>P82979</t>
  </si>
  <si>
    <t>P83436</t>
  </si>
  <si>
    <t>P83881</t>
  </si>
  <si>
    <t>P84022</t>
  </si>
  <si>
    <t>P84077</t>
  </si>
  <si>
    <t>P84085</t>
  </si>
  <si>
    <t>P84090</t>
  </si>
  <si>
    <t>P84095</t>
  </si>
  <si>
    <t>P84101-4</t>
  </si>
  <si>
    <t>P85037</t>
  </si>
  <si>
    <t>P85299-2</t>
  </si>
  <si>
    <t>P86791</t>
  </si>
  <si>
    <t>P98082-3</t>
  </si>
  <si>
    <t>P98088</t>
  </si>
  <si>
    <t>P98155-2</t>
  </si>
  <si>
    <t>P98160</t>
  </si>
  <si>
    <t>P98170</t>
  </si>
  <si>
    <t>P98174</t>
  </si>
  <si>
    <t>P98175-4</t>
  </si>
  <si>
    <t>P98179</t>
  </si>
  <si>
    <t>Q00013-2</t>
  </si>
  <si>
    <t>Q00059</t>
  </si>
  <si>
    <t>Q00169</t>
  </si>
  <si>
    <t>Q00341</t>
  </si>
  <si>
    <t>Q00403</t>
  </si>
  <si>
    <t>Q00526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</si>
  <si>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</si>
  <si>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</si>
  <si>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</si>
  <si>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</si>
  <si>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</si>
  <si>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</si>
  <si>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</si>
  <si>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</si>
  <si>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Q00796</t>
  </si>
  <si>
    <t>Q00839</t>
  </si>
  <si>
    <t>Q00839-2</t>
  </si>
  <si>
    <t>Q00978</t>
  </si>
  <si>
    <t>Q01081</t>
  </si>
  <si>
    <t>Q01082</t>
  </si>
  <si>
    <t>Q01082-3</t>
  </si>
  <si>
    <t>Q01085-2</t>
  </si>
  <si>
    <t>Q01105</t>
  </si>
  <si>
    <t>Q01105-2</t>
  </si>
  <si>
    <t>Q01167</t>
  </si>
  <si>
    <t>Q01432</t>
  </si>
  <si>
    <t>Q01433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</si>
  <si>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</si>
  <si>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</si>
  <si>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</si>
  <si>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</si>
  <si>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</si>
  <si>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</si>
  <si>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</si>
  <si>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</si>
  <si>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Q01804</t>
  </si>
  <si>
    <t>Q01813</t>
  </si>
  <si>
    <t>Q01844-6</t>
  </si>
  <si>
    <t>Q01850</t>
  </si>
  <si>
    <t>Q01968-2</t>
  </si>
  <si>
    <t>Q01970</t>
  </si>
  <si>
    <t>Q01973</t>
  </si>
  <si>
    <t>Q01995</t>
  </si>
  <si>
    <t>Q02040</t>
  </si>
  <si>
    <t>Q02078-4</t>
  </si>
  <si>
    <t>Q02083-2</t>
  </si>
  <si>
    <t>Q02086-2</t>
  </si>
  <si>
    <t>Q02156</t>
  </si>
  <si>
    <t>Q02224-3</t>
  </si>
  <si>
    <t>Q02241</t>
  </si>
  <si>
    <t>Q02241-2</t>
  </si>
  <si>
    <t>Q02297</t>
  </si>
  <si>
    <t>Q02410</t>
  </si>
  <si>
    <t>Q02413</t>
  </si>
  <si>
    <t>Q02447-3</t>
  </si>
  <si>
    <t>Q02543</t>
  </si>
  <si>
    <t>Q02750</t>
  </si>
  <si>
    <t>Q02790</t>
  </si>
  <si>
    <t>Q02809</t>
  </si>
  <si>
    <t>Q02818</t>
  </si>
  <si>
    <t>Q02833-3</t>
  </si>
  <si>
    <t>Q02880-2</t>
  </si>
  <si>
    <t>Q02952-3</t>
  </si>
  <si>
    <t>Q03001</t>
  </si>
  <si>
    <t>Q03001-8</t>
  </si>
  <si>
    <t>Q03111</t>
  </si>
  <si>
    <t>Q03135</t>
  </si>
  <si>
    <t>Q03154</t>
  </si>
  <si>
    <t>Q03164-2</t>
  </si>
  <si>
    <t>Q03169</t>
  </si>
  <si>
    <t>Q03252</t>
  </si>
  <si>
    <t>Q03393</t>
  </si>
  <si>
    <t>Q03468</t>
  </si>
  <si>
    <t>Q03701</t>
  </si>
  <si>
    <t>Q04446</t>
  </si>
  <si>
    <t>Q04637-3</t>
  </si>
  <si>
    <t>Q04656-5</t>
  </si>
  <si>
    <t>Q04724</t>
  </si>
  <si>
    <t>Q04726-3</t>
  </si>
  <si>
    <t>Q04756</t>
  </si>
  <si>
    <t>Q04760</t>
  </si>
  <si>
    <t>Q04828</t>
  </si>
  <si>
    <t>Q04837</t>
  </si>
  <si>
    <t>Q04917</t>
  </si>
  <si>
    <t>Q05048</t>
  </si>
  <si>
    <t>Q05086-3</t>
  </si>
  <si>
    <t>Q05193</t>
  </si>
  <si>
    <t>Q05209</t>
  </si>
  <si>
    <t>Q05513</t>
  </si>
  <si>
    <t>Q05519-2</t>
  </si>
  <si>
    <t>Q05639</t>
  </si>
  <si>
    <t>Q05655</t>
  </si>
  <si>
    <t>Q05682</t>
  </si>
  <si>
    <t>Q05682-4</t>
  </si>
  <si>
    <t>Q05823</t>
  </si>
  <si>
    <t>Q06124</t>
  </si>
  <si>
    <t>Q06190</t>
  </si>
  <si>
    <t>Q06203</t>
  </si>
  <si>
    <t>Q06210-2</t>
  </si>
  <si>
    <t>Q06265</t>
  </si>
  <si>
    <t>Q06323</t>
  </si>
  <si>
    <t>Q06330-5</t>
  </si>
  <si>
    <t>Q06546</t>
  </si>
  <si>
    <t>Q06547-2</t>
  </si>
  <si>
    <t>Q06587</t>
  </si>
  <si>
    <t>Q06609-3</t>
  </si>
  <si>
    <t>Q06787-8</t>
  </si>
  <si>
    <t>Q06945</t>
  </si>
  <si>
    <t>Q07020</t>
  </si>
  <si>
    <t>Q07021</t>
  </si>
  <si>
    <t>Q07065</t>
  </si>
  <si>
    <t>Q07283</t>
  </si>
  <si>
    <t>Q07343-3</t>
  </si>
  <si>
    <t>Q07617</t>
  </si>
  <si>
    <t>Q07666</t>
  </si>
  <si>
    <t>Q07812-8</t>
  </si>
  <si>
    <t>Q07820</t>
  </si>
  <si>
    <t>Q07866-6</t>
  </si>
  <si>
    <t>Q07954</t>
  </si>
  <si>
    <t>Q07955</t>
  </si>
  <si>
    <t>Q07960</t>
  </si>
  <si>
    <t>Q08117</t>
  </si>
  <si>
    <t>Q08170</t>
  </si>
  <si>
    <t>Q08209-2</t>
  </si>
  <si>
    <t>Q08211</t>
  </si>
  <si>
    <t>Q08257</t>
  </si>
  <si>
    <t>Q08378</t>
  </si>
  <si>
    <t>Q08379</t>
  </si>
  <si>
    <t>Q08380</t>
  </si>
  <si>
    <t>Q08495</t>
  </si>
  <si>
    <t>Q08499-6</t>
  </si>
  <si>
    <t>Q08752</t>
  </si>
  <si>
    <t>Q08945</t>
  </si>
  <si>
    <t>Q08999</t>
  </si>
  <si>
    <t>Q08AD1-2</t>
  </si>
  <si>
    <t>Q08AE8-2</t>
  </si>
  <si>
    <t>Q08AF3</t>
  </si>
  <si>
    <t>Q08AG7</t>
  </si>
  <si>
    <t>Q08AM6</t>
  </si>
  <si>
    <t>Q08J23</t>
  </si>
  <si>
    <t>Q09028-3</t>
  </si>
  <si>
    <t>Q09161</t>
  </si>
  <si>
    <t>Q09472</t>
  </si>
  <si>
    <t>Q09666</t>
  </si>
  <si>
    <t>Q09666-2</t>
  </si>
  <si>
    <t>Q0JRZ9</t>
  </si>
  <si>
    <t>Q0PNE2</t>
  </si>
  <si>
    <t>Q0VDF9</t>
  </si>
  <si>
    <t>Q0VDG4</t>
  </si>
  <si>
    <t>Q0VF96</t>
  </si>
  <si>
    <t>Q0VG06</t>
  </si>
  <si>
    <t>Q0VGL1</t>
  </si>
  <si>
    <t>Q10567-2</t>
  </si>
  <si>
    <t>Q10567-3</t>
  </si>
  <si>
    <t>Q10570</t>
  </si>
  <si>
    <t>Q10713</t>
  </si>
  <si>
    <t>Q12756</t>
  </si>
  <si>
    <t>Q12765</t>
  </si>
  <si>
    <t>Q12768</t>
  </si>
  <si>
    <t>Q12769</t>
  </si>
  <si>
    <t>Q12772</t>
  </si>
  <si>
    <t>Q12774</t>
  </si>
  <si>
    <t>Q12789</t>
  </si>
  <si>
    <t>Q12792</t>
  </si>
  <si>
    <t>Q12797</t>
  </si>
  <si>
    <t>Q12802</t>
  </si>
  <si>
    <t>Q12824-2</t>
  </si>
  <si>
    <t>Q12830-4</t>
  </si>
  <si>
    <t>Q12841</t>
  </si>
  <si>
    <t>Q12846</t>
  </si>
  <si>
    <t>Q12849-5</t>
  </si>
  <si>
    <t>Q12860-2</t>
  </si>
  <si>
    <t>Q12872</t>
  </si>
  <si>
    <t>Q12873</t>
  </si>
  <si>
    <t>Q12874</t>
  </si>
  <si>
    <t>Q12882</t>
  </si>
  <si>
    <t>Q12888</t>
  </si>
  <si>
    <t>Q12904</t>
  </si>
  <si>
    <t>Q12905</t>
  </si>
  <si>
    <t>Q12906-7</t>
  </si>
  <si>
    <t>Q12913</t>
  </si>
  <si>
    <t>Q12923-2</t>
  </si>
  <si>
    <t>Q12929</t>
  </si>
  <si>
    <t>Q12933-3</t>
  </si>
  <si>
    <t>Q12955</t>
  </si>
  <si>
    <t>Q12959-5</t>
  </si>
  <si>
    <t>Q12962</t>
  </si>
  <si>
    <t>Q12965</t>
  </si>
  <si>
    <t>Q12972</t>
  </si>
  <si>
    <t>Q12974</t>
  </si>
  <si>
    <t>Q12979-4</t>
  </si>
  <si>
    <t>Q12981</t>
  </si>
  <si>
    <t>Q12982</t>
  </si>
  <si>
    <t>Q12986</t>
  </si>
  <si>
    <t>Q12996</t>
  </si>
  <si>
    <t>Q13011</t>
  </si>
  <si>
    <t>Q13017-2</t>
  </si>
  <si>
    <t>Q13033-2</t>
  </si>
  <si>
    <t>Q13042-3</t>
  </si>
  <si>
    <t>Q13043</t>
  </si>
  <si>
    <t>Q13045</t>
  </si>
  <si>
    <t>Q13045-2</t>
  </si>
  <si>
    <t>Q13049</t>
  </si>
  <si>
    <t>Q13057</t>
  </si>
  <si>
    <t>Q13077</t>
  </si>
  <si>
    <t>Q13085</t>
  </si>
  <si>
    <t>Q13107-2</t>
  </si>
  <si>
    <t>Q13111</t>
  </si>
  <si>
    <t>Q13112</t>
  </si>
  <si>
    <t>Q13114-2</t>
  </si>
  <si>
    <t>Q13115</t>
  </si>
  <si>
    <t>Q13118-2</t>
  </si>
  <si>
    <t>Q13123</t>
  </si>
  <si>
    <t>Q13127-4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</si>
  <si>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</si>
  <si>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</si>
  <si>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</si>
  <si>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</si>
  <si>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</si>
  <si>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</si>
  <si>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</si>
  <si>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</si>
  <si>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</si>
  <si>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Q13164</t>
  </si>
  <si>
    <t>Q13177</t>
  </si>
  <si>
    <t>Q13185</t>
  </si>
  <si>
    <t>Q13188</t>
  </si>
  <si>
    <t>Q13190</t>
  </si>
  <si>
    <t>Q13191</t>
  </si>
  <si>
    <t>Q13200</t>
  </si>
  <si>
    <t>Q13206</t>
  </si>
  <si>
    <t>Q13217</t>
  </si>
  <si>
    <t>Q13219</t>
  </si>
  <si>
    <t>Q13228</t>
  </si>
  <si>
    <t>Q13232</t>
  </si>
  <si>
    <t>Q13233</t>
  </si>
  <si>
    <t>Q13242</t>
  </si>
  <si>
    <t>Q13243-3</t>
  </si>
  <si>
    <t>Q13247-3</t>
  </si>
  <si>
    <t>Q13255</t>
  </si>
  <si>
    <t>Q13257</t>
  </si>
  <si>
    <t>Q13263</t>
  </si>
  <si>
    <t>Q13277-2</t>
  </si>
  <si>
    <t>Q13283</t>
  </si>
  <si>
    <t>Q13287</t>
  </si>
  <si>
    <t>Q13303-2</t>
  </si>
  <si>
    <t>Q13308-3</t>
  </si>
  <si>
    <t>Q13309-2</t>
  </si>
  <si>
    <t>Q13310-3</t>
  </si>
  <si>
    <t>Q13315</t>
  </si>
  <si>
    <t>Q13322-2</t>
  </si>
  <si>
    <t>Q13325</t>
  </si>
  <si>
    <t>Q13330-3</t>
  </si>
  <si>
    <t>Q13332-6</t>
  </si>
  <si>
    <t>Q13347</t>
  </si>
  <si>
    <t>Q13362-4</t>
  </si>
  <si>
    <t>Q13363-2</t>
  </si>
  <si>
    <t>Q13371</t>
  </si>
  <si>
    <t>Q13395</t>
  </si>
  <si>
    <t>Q13404</t>
  </si>
  <si>
    <t>Q13409-6</t>
  </si>
  <si>
    <t>Q13416</t>
  </si>
  <si>
    <t>Q13418</t>
  </si>
  <si>
    <t>Q13425</t>
  </si>
  <si>
    <t>Q13426</t>
  </si>
  <si>
    <t>Q13427</t>
  </si>
  <si>
    <t>Q13428-4</t>
  </si>
  <si>
    <t>Q13432</t>
  </si>
  <si>
    <t>Q13433</t>
  </si>
  <si>
    <t>Q13435</t>
  </si>
  <si>
    <t>Q13439-3</t>
  </si>
  <si>
    <t>Q13442</t>
  </si>
  <si>
    <t>Q13443</t>
  </si>
  <si>
    <t>Q13451</t>
  </si>
  <si>
    <t>Q13464</t>
  </si>
  <si>
    <t>Q13480-2</t>
  </si>
  <si>
    <t>Q13492-3</t>
  </si>
  <si>
    <t>Q13496</t>
  </si>
  <si>
    <t>Q13501</t>
  </si>
  <si>
    <t>Q13503</t>
  </si>
  <si>
    <t>Q13506</t>
  </si>
  <si>
    <t>Q13509</t>
  </si>
  <si>
    <t>Q13516</t>
  </si>
  <si>
    <t>Q13526</t>
  </si>
  <si>
    <t>Q13535-2</t>
  </si>
  <si>
    <t>Q13541</t>
  </si>
  <si>
    <t>Q13546</t>
  </si>
  <si>
    <t>Q13547</t>
  </si>
  <si>
    <t>Q13557-8</t>
  </si>
  <si>
    <t>Q13561</t>
  </si>
  <si>
    <t>Q13563-2</t>
  </si>
  <si>
    <t>Q13564-2</t>
  </si>
  <si>
    <t>Q13568-5</t>
  </si>
  <si>
    <t>Q13572</t>
  </si>
  <si>
    <t>Q13573</t>
  </si>
  <si>
    <t>Q13596</t>
  </si>
  <si>
    <t>Q13613</t>
  </si>
  <si>
    <t>Q13614</t>
  </si>
  <si>
    <t>Q13615-3</t>
  </si>
  <si>
    <t>Q13616</t>
  </si>
  <si>
    <t>Q13617</t>
  </si>
  <si>
    <t>Q13618</t>
  </si>
  <si>
    <t>Q13619</t>
  </si>
  <si>
    <t>Q13625</t>
  </si>
  <si>
    <t>Q13627-3</t>
  </si>
  <si>
    <t>Q13630</t>
  </si>
  <si>
    <t>Q13637</t>
  </si>
  <si>
    <t>Q13641</t>
  </si>
  <si>
    <t>Q13642-1</t>
  </si>
  <si>
    <t>Q13643</t>
  </si>
  <si>
    <t>Q13670</t>
  </si>
  <si>
    <t>Q13671</t>
  </si>
  <si>
    <t>Q13686</t>
  </si>
  <si>
    <t>Q13740-2</t>
  </si>
  <si>
    <t>Q13769</t>
  </si>
  <si>
    <t>Q13796</t>
  </si>
  <si>
    <t>Q13813</t>
  </si>
  <si>
    <t>Q13813-3</t>
  </si>
  <si>
    <t>Q13825</t>
  </si>
  <si>
    <t>Q13838</t>
  </si>
  <si>
    <t>Q13867</t>
  </si>
  <si>
    <t>Q13868</t>
  </si>
  <si>
    <t>Q13885</t>
  </si>
  <si>
    <t>Q13887</t>
  </si>
  <si>
    <t>Q13895</t>
  </si>
  <si>
    <t>Q13907</t>
  </si>
  <si>
    <t>Q13938</t>
  </si>
  <si>
    <t>Q13951</t>
  </si>
  <si>
    <t>Q13951-2</t>
  </si>
  <si>
    <t>Q13952-3</t>
  </si>
  <si>
    <t>Q14004</t>
  </si>
  <si>
    <t>Q14008</t>
  </si>
  <si>
    <t>Q14011</t>
  </si>
  <si>
    <t>Q14012</t>
  </si>
  <si>
    <t>Q14019</t>
  </si>
  <si>
    <t>Q14032</t>
  </si>
  <si>
    <t>Q14061</t>
  </si>
  <si>
    <t>Q14103-3</t>
  </si>
  <si>
    <t>Q14108-2</t>
  </si>
  <si>
    <t>Q14114-4</t>
  </si>
  <si>
    <t>Q14116-2</t>
  </si>
  <si>
    <t>Q14118</t>
  </si>
  <si>
    <t>Q14123</t>
  </si>
  <si>
    <t>Q14126</t>
  </si>
  <si>
    <t>Q14137</t>
  </si>
  <si>
    <t>Q14139</t>
  </si>
  <si>
    <t>Q14141-2</t>
  </si>
  <si>
    <t>Q14145</t>
  </si>
  <si>
    <t>Q14147</t>
  </si>
  <si>
    <t>Q14149</t>
  </si>
  <si>
    <t>Q14151</t>
  </si>
  <si>
    <t>Q14152</t>
  </si>
  <si>
    <t>Q14155-1</t>
  </si>
  <si>
    <t>Q14157</t>
  </si>
  <si>
    <t>Q14157-1</t>
  </si>
  <si>
    <t>Q14160-3</t>
  </si>
  <si>
    <t>Q14161</t>
  </si>
  <si>
    <t>Q14166</t>
  </si>
  <si>
    <t>Q14181</t>
  </si>
  <si>
    <t>Q14185</t>
  </si>
  <si>
    <t>Q14191</t>
  </si>
  <si>
    <t>Q14192</t>
  </si>
  <si>
    <t>Q14195-2</t>
  </si>
  <si>
    <t>Q14202-2</t>
  </si>
  <si>
    <t>Q14203-3</t>
  </si>
  <si>
    <t>Q14204</t>
  </si>
  <si>
    <t>Q14207</t>
  </si>
  <si>
    <t>Q14232</t>
  </si>
  <si>
    <t>Q14240</t>
  </si>
  <si>
    <t>Q14241</t>
  </si>
  <si>
    <t>Q14244</t>
  </si>
  <si>
    <t>Q14247</t>
  </si>
  <si>
    <t>Q14247-3</t>
  </si>
  <si>
    <t>Q14249</t>
  </si>
  <si>
    <t>Q14257</t>
  </si>
  <si>
    <t>Q14258</t>
  </si>
  <si>
    <t>Q14289-2</t>
  </si>
  <si>
    <t>Q14315-2</t>
  </si>
  <si>
    <t>Q14320</t>
  </si>
  <si>
    <t>Q14331</t>
  </si>
  <si>
    <t>Q14353</t>
  </si>
  <si>
    <t>Q14376</t>
  </si>
  <si>
    <t>Q14432</t>
  </si>
  <si>
    <t>Q14444-2</t>
  </si>
  <si>
    <t>Q14449</t>
  </si>
  <si>
    <t>Q14451</t>
  </si>
  <si>
    <t>Q14457</t>
  </si>
  <si>
    <t>Q14469</t>
  </si>
  <si>
    <t>Q14493</t>
  </si>
  <si>
    <t>Q14498-2</t>
  </si>
  <si>
    <t>Q14511-3</t>
  </si>
  <si>
    <t>Q14517</t>
  </si>
  <si>
    <t>Q14520-2</t>
  </si>
  <si>
    <t>Q14527</t>
  </si>
  <si>
    <t>Q14554</t>
  </si>
  <si>
    <t>Q14558-2</t>
  </si>
  <si>
    <t>Q14562</t>
  </si>
  <si>
    <t>Q14566</t>
  </si>
  <si>
    <t>Q14651</t>
  </si>
  <si>
    <t>Q14653</t>
  </si>
  <si>
    <t>Q14657</t>
  </si>
  <si>
    <t>Q14669-3</t>
  </si>
  <si>
    <t>Q14671-2</t>
  </si>
  <si>
    <t>Q14676</t>
  </si>
  <si>
    <t>Q14677</t>
  </si>
  <si>
    <t>Q14678</t>
  </si>
  <si>
    <t>Q14681</t>
  </si>
  <si>
    <t>Q14683</t>
  </si>
  <si>
    <t>Q14684-2</t>
  </si>
  <si>
    <t>Q14686</t>
  </si>
  <si>
    <t>Q14687-2</t>
  </si>
  <si>
    <t>Q14689-6</t>
  </si>
  <si>
    <t>Q14691</t>
  </si>
  <si>
    <t>Q14694</t>
  </si>
  <si>
    <t>Q14696</t>
  </si>
  <si>
    <t>Q14697</t>
  </si>
  <si>
    <t>Q14764</t>
  </si>
  <si>
    <t>Q14789</t>
  </si>
  <si>
    <t>Q14790-9</t>
  </si>
  <si>
    <t>Q147X3</t>
  </si>
  <si>
    <t>Q14807-2</t>
  </si>
  <si>
    <t>Q14814-4</t>
  </si>
  <si>
    <t>Q14839-2</t>
  </si>
  <si>
    <t>Q14847</t>
  </si>
  <si>
    <t>Q14894</t>
  </si>
  <si>
    <t>Q14914-2</t>
  </si>
  <si>
    <t>Q14919-2</t>
  </si>
  <si>
    <t>Q14966</t>
  </si>
  <si>
    <t>Q14974</t>
  </si>
  <si>
    <t>Q14978-2</t>
  </si>
  <si>
    <t>Q14980</t>
  </si>
  <si>
    <t>Q14980-2</t>
  </si>
  <si>
    <t>Q14997</t>
  </si>
  <si>
    <t>Q14999</t>
  </si>
  <si>
    <t>Q14C86-5</t>
  </si>
  <si>
    <t>Q14CS0</t>
  </si>
  <si>
    <t>Q14CX7</t>
  </si>
  <si>
    <t>Q14CZ0</t>
  </si>
  <si>
    <t>Q15003</t>
  </si>
  <si>
    <t>Q15004</t>
  </si>
  <si>
    <t>Q15007</t>
  </si>
  <si>
    <t>Q15008</t>
  </si>
  <si>
    <t>Q15011-3</t>
  </si>
  <si>
    <t>Q15013</t>
  </si>
  <si>
    <t>Q15014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</si>
  <si>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</si>
  <si>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</si>
  <si>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</si>
  <si>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</si>
  <si>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</si>
  <si>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</si>
  <si>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</si>
  <si>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</si>
  <si>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Q15042</t>
  </si>
  <si>
    <t>Q15043-2</t>
  </si>
  <si>
    <t>Q15046</t>
  </si>
  <si>
    <t>Q15047-3</t>
  </si>
  <si>
    <t>Q15048</t>
  </si>
  <si>
    <t>Q15054</t>
  </si>
  <si>
    <t>Q15056</t>
  </si>
  <si>
    <t>Q15056-2</t>
  </si>
  <si>
    <t>Q15057</t>
  </si>
  <si>
    <t>Q15058</t>
  </si>
  <si>
    <t>Q15059</t>
  </si>
  <si>
    <t>Q15061</t>
  </si>
  <si>
    <t>Q15075</t>
  </si>
  <si>
    <t>Q15102</t>
  </si>
  <si>
    <t>Q15120</t>
  </si>
  <si>
    <t>Q15121</t>
  </si>
  <si>
    <t>Q15126</t>
  </si>
  <si>
    <t>Q15139</t>
  </si>
  <si>
    <t>Q15147-4</t>
  </si>
  <si>
    <t>Q15149</t>
  </si>
  <si>
    <t>Q15149-3</t>
  </si>
  <si>
    <t>Q15149-4</t>
  </si>
  <si>
    <t>Q15149-8</t>
  </si>
  <si>
    <t>Q15154</t>
  </si>
  <si>
    <t>Q15170-2</t>
  </si>
  <si>
    <t>Q15172</t>
  </si>
  <si>
    <t>Q15173-2</t>
  </si>
  <si>
    <t>Q15181</t>
  </si>
  <si>
    <t>Q15208</t>
  </si>
  <si>
    <t>Q15233</t>
  </si>
  <si>
    <t>Q15257</t>
  </si>
  <si>
    <t>Q15257-2</t>
  </si>
  <si>
    <t>Q15262-2</t>
  </si>
  <si>
    <t>Q15276</t>
  </si>
  <si>
    <t>Q15283-2</t>
  </si>
  <si>
    <t>Q15286</t>
  </si>
  <si>
    <t>Q15291</t>
  </si>
  <si>
    <t>Q15293</t>
  </si>
  <si>
    <t>Q15311</t>
  </si>
  <si>
    <t>Q15334</t>
  </si>
  <si>
    <t>Q15345</t>
  </si>
  <si>
    <t>Q15365</t>
  </si>
  <si>
    <t>Q15366-6</t>
  </si>
  <si>
    <t>Q15370-2</t>
  </si>
  <si>
    <t>Q15382</t>
  </si>
  <si>
    <t>Q15386</t>
  </si>
  <si>
    <t>Q15390-2</t>
  </si>
  <si>
    <t>Q15393</t>
  </si>
  <si>
    <t>Q15398-3</t>
  </si>
  <si>
    <t>Q15404</t>
  </si>
  <si>
    <t>Q15417</t>
  </si>
  <si>
    <t>Q15424</t>
  </si>
  <si>
    <t>Q15427</t>
  </si>
  <si>
    <t>Q15428</t>
  </si>
  <si>
    <t>Q15435</t>
  </si>
  <si>
    <t>Q15437</t>
  </si>
  <si>
    <t>Q15438-2</t>
  </si>
  <si>
    <t>Q15459</t>
  </si>
  <si>
    <t>Q15464</t>
  </si>
  <si>
    <t>Q15477</t>
  </si>
  <si>
    <t>Q15526-2</t>
  </si>
  <si>
    <t>Q15527</t>
  </si>
  <si>
    <t>Q15542-2</t>
  </si>
  <si>
    <t>Q15545</t>
  </si>
  <si>
    <t>Q15554-3</t>
  </si>
  <si>
    <t>Q15583-4</t>
  </si>
  <si>
    <t>Q15596</t>
  </si>
  <si>
    <t>Q15599</t>
  </si>
  <si>
    <t>Q15599-3</t>
  </si>
  <si>
    <t>Q15628</t>
  </si>
  <si>
    <t>Q15633-2</t>
  </si>
  <si>
    <t>Q15637-4</t>
  </si>
  <si>
    <t>Q15637-5</t>
  </si>
  <si>
    <t>Q15642</t>
  </si>
  <si>
    <t>Q15642-2</t>
  </si>
  <si>
    <t>Q15643</t>
  </si>
  <si>
    <t>Q15645</t>
  </si>
  <si>
    <t>Q15648</t>
  </si>
  <si>
    <t>Q15649</t>
  </si>
  <si>
    <t>Q15650</t>
  </si>
  <si>
    <t>Q15651</t>
  </si>
  <si>
    <t>Q15652</t>
  </si>
  <si>
    <t>Q15654</t>
  </si>
  <si>
    <t>Q15691</t>
  </si>
  <si>
    <t>Q15697-2</t>
  </si>
  <si>
    <t>Q15699</t>
  </si>
  <si>
    <t>Q15714</t>
  </si>
  <si>
    <t>Q15717</t>
  </si>
  <si>
    <t>Q15742</t>
  </si>
  <si>
    <t>Q15746-4</t>
  </si>
  <si>
    <t>Q15750-2</t>
  </si>
  <si>
    <t>Q15751</t>
  </si>
  <si>
    <t>Q15758-3</t>
  </si>
  <si>
    <t>Q15759</t>
  </si>
  <si>
    <t>Q15773</t>
  </si>
  <si>
    <t>Q15785</t>
  </si>
  <si>
    <t>Q15788-2</t>
  </si>
  <si>
    <t>Q15796-2</t>
  </si>
  <si>
    <t>Q15814</t>
  </si>
  <si>
    <t>Q15818</t>
  </si>
  <si>
    <t>Q15819</t>
  </si>
  <si>
    <t>Q15833</t>
  </si>
  <si>
    <t>Q15836</t>
  </si>
  <si>
    <t>Q15853-2</t>
  </si>
  <si>
    <t>Q15906</t>
  </si>
  <si>
    <t>Q15907</t>
  </si>
  <si>
    <t>Q15911</t>
  </si>
  <si>
    <t>Q15942</t>
  </si>
  <si>
    <t>Q16143</t>
  </si>
  <si>
    <t>Q16181</t>
  </si>
  <si>
    <t>Q16186</t>
  </si>
  <si>
    <t>Q16204</t>
  </si>
  <si>
    <t>Q16222-2</t>
  </si>
  <si>
    <t>Q16254</t>
  </si>
  <si>
    <t>Q16270-2</t>
  </si>
  <si>
    <t>Q16352</t>
  </si>
  <si>
    <t>Q16401-2</t>
  </si>
  <si>
    <t>Q16512</t>
  </si>
  <si>
    <t>Q16513</t>
  </si>
  <si>
    <t>Q16514-2</t>
  </si>
  <si>
    <t>Q16526</t>
  </si>
  <si>
    <t>Q16527</t>
  </si>
  <si>
    <t>Q16531</t>
  </si>
  <si>
    <t>Q16539</t>
  </si>
  <si>
    <t>Q16543</t>
  </si>
  <si>
    <t>Q16555</t>
  </si>
  <si>
    <t>Q16576</t>
  </si>
  <si>
    <t>Q16587-5</t>
  </si>
  <si>
    <t>Q16623-3</t>
  </si>
  <si>
    <t>Q16625-5</t>
  </si>
  <si>
    <t>Q16626</t>
  </si>
  <si>
    <t>Q16629-3</t>
  </si>
  <si>
    <t>Q16637-3</t>
  </si>
  <si>
    <t>Q16643</t>
  </si>
  <si>
    <t>Q16644</t>
  </si>
  <si>
    <t>Q16656</t>
  </si>
  <si>
    <t>Q16658</t>
  </si>
  <si>
    <t>Q16666-7</t>
  </si>
  <si>
    <t>Q16719</t>
  </si>
  <si>
    <t>Q16720-8</t>
  </si>
  <si>
    <t>Q16740</t>
  </si>
  <si>
    <t>Q16760-2</t>
  </si>
  <si>
    <t>Q16762</t>
  </si>
  <si>
    <t>Q16763</t>
  </si>
  <si>
    <t>Q16773</t>
  </si>
  <si>
    <t>Q16775</t>
  </si>
  <si>
    <t>Q16778</t>
  </si>
  <si>
    <t>Q16822</t>
  </si>
  <si>
    <t>Q16825</t>
  </si>
  <si>
    <t>Q16831</t>
  </si>
  <si>
    <t>Q16836</t>
  </si>
  <si>
    <t>Q16851</t>
  </si>
  <si>
    <t>Q16854</t>
  </si>
  <si>
    <t>Q16864</t>
  </si>
  <si>
    <t>Q17R31-2</t>
  </si>
  <si>
    <t>Q17RN3</t>
  </si>
  <si>
    <t>Q17RS7</t>
  </si>
  <si>
    <t>Q17RU2</t>
  </si>
  <si>
    <t>Q1L5Z9</t>
  </si>
  <si>
    <t>Q1MSJ5-1</t>
  </si>
  <si>
    <t>Q27J81</t>
  </si>
  <si>
    <t>Q29RF7</t>
  </si>
  <si>
    <t>Q2KHR3</t>
  </si>
  <si>
    <t>Q2KHT3</t>
  </si>
  <si>
    <t>Q2M296-4</t>
  </si>
  <si>
    <t>Q2M2I8</t>
  </si>
  <si>
    <t>Q2M2Z5-5</t>
  </si>
  <si>
    <t>Q2M389</t>
  </si>
  <si>
    <t>Q2NKJ3</t>
  </si>
  <si>
    <t>Q2NKX8</t>
  </si>
  <si>
    <t>Q2NKX9-3</t>
  </si>
  <si>
    <t>Q2NL82</t>
  </si>
  <si>
    <t>Q2TAL8</t>
  </si>
  <si>
    <t>Q2TAM5</t>
  </si>
  <si>
    <t>Q2TAY7</t>
  </si>
  <si>
    <t>Q2TAZ0</t>
  </si>
  <si>
    <t>Q2TB39</t>
  </si>
  <si>
    <t>Q2TBE0</t>
  </si>
  <si>
    <t>Q2VPK5</t>
  </si>
  <si>
    <t>Q32M88</t>
  </si>
  <si>
    <t>Q32MZ4</t>
  </si>
  <si>
    <t>Q32MZ4-2</t>
  </si>
  <si>
    <t>Q32MZ4-3</t>
  </si>
  <si>
    <t>Q32MZ4-4</t>
  </si>
  <si>
    <t>Q32P28</t>
  </si>
  <si>
    <t>Q32P41</t>
  </si>
  <si>
    <t>Q32P44</t>
  </si>
  <si>
    <t>Q3B726</t>
  </si>
  <si>
    <t>Q3B7J2</t>
  </si>
  <si>
    <t>Q3B7T1-5</t>
  </si>
  <si>
    <t>Q3B820</t>
  </si>
  <si>
    <t>Q3KP66-3</t>
  </si>
  <si>
    <t>Q3KQU3-2</t>
  </si>
  <si>
    <t>Q3KQV9</t>
  </si>
  <si>
    <t>Q3KRA6</t>
  </si>
  <si>
    <t>Q3KRA9</t>
  </si>
  <si>
    <t>Q3L8U1-2</t>
  </si>
  <si>
    <t>Q3LXA3</t>
  </si>
  <si>
    <t>Q3MHD2</t>
  </si>
  <si>
    <t>Q3MIT2</t>
  </si>
  <si>
    <t>Q3T8J9-3</t>
  </si>
  <si>
    <t>Q3V6T2-2</t>
  </si>
  <si>
    <t>Q3V6T2-4</t>
  </si>
  <si>
    <t>Q3YEC7</t>
  </si>
  <si>
    <t>Q3ZCQ8</t>
  </si>
  <si>
    <t>Q3ZCW2</t>
  </si>
  <si>
    <t>Q460N5-4</t>
  </si>
  <si>
    <t>Q49AH0-2</t>
  </si>
  <si>
    <t>Q49AR2</t>
  </si>
  <si>
    <t>Q49B96</t>
  </si>
  <si>
    <t>Q4G0F5</t>
  </si>
  <si>
    <t>Q4G0J3</t>
  </si>
  <si>
    <t>Q4G0N4</t>
  </si>
  <si>
    <t>Q4G148-2</t>
  </si>
  <si>
    <t>Q4G176</t>
  </si>
  <si>
    <t>Q4J6C6-4</t>
  </si>
  <si>
    <t>Q4KMP7</t>
  </si>
  <si>
    <t>Q4KMQ1</t>
  </si>
  <si>
    <t>Q4KWH8-2</t>
  </si>
  <si>
    <t>Q4LDG9</t>
  </si>
  <si>
    <t>Q4LE39-2</t>
  </si>
  <si>
    <t>Q4V328</t>
  </si>
  <si>
    <t>Q4VC05-2</t>
  </si>
  <si>
    <t>Q4VC44-2</t>
  </si>
  <si>
    <t>Q4VXZ8</t>
  </si>
  <si>
    <t>Q504Q3-2</t>
  </si>
  <si>
    <t>Q504U0</t>
  </si>
  <si>
    <t>Q52LJ0-2</t>
  </si>
  <si>
    <t>Q52LR7</t>
  </si>
  <si>
    <t>Q52LW3</t>
  </si>
  <si>
    <t>Q53EL6-2</t>
  </si>
  <si>
    <t>Q53EZ4</t>
  </si>
  <si>
    <t>Q53FA7</t>
  </si>
  <si>
    <t>Q53FT3</t>
  </si>
  <si>
    <t>Q53G59</t>
  </si>
  <si>
    <t>Q53GA4</t>
  </si>
  <si>
    <t>Q53H54</t>
  </si>
  <si>
    <t>Q53H82</t>
  </si>
  <si>
    <t>Q53HC9</t>
  </si>
  <si>
    <t>Q53HV7</t>
  </si>
  <si>
    <t>Q53LP3</t>
  </si>
  <si>
    <t>Q53QV2</t>
  </si>
  <si>
    <t>Q53S33</t>
  </si>
  <si>
    <t>Q53SF7-4</t>
  </si>
  <si>
    <t>Q53T59</t>
  </si>
  <si>
    <t>Q562E7</t>
  </si>
  <si>
    <t>Q562F6-2</t>
  </si>
  <si>
    <t>Q567Q0</t>
  </si>
  <si>
    <t>Q58A45-4</t>
  </si>
  <si>
    <t>Q58FF8</t>
  </si>
  <si>
    <t>Q58FG1</t>
  </si>
  <si>
    <t>Q58WW2</t>
  </si>
  <si>
    <t>Q5BKU9</t>
  </si>
  <si>
    <t>Q5BKX5</t>
  </si>
  <si>
    <t>Q5D1E8</t>
  </si>
  <si>
    <t>Q5EBL4</t>
  </si>
  <si>
    <t>Q5EBL8</t>
  </si>
  <si>
    <t>Q5F1R6</t>
  </si>
  <si>
    <t>Q5FWF5-2</t>
  </si>
  <si>
    <t>Q5GLZ8-2</t>
  </si>
  <si>
    <t>Q5H937</t>
  </si>
  <si>
    <t>Q5H9A7</t>
  </si>
  <si>
    <t>Q5H9F3-2</t>
  </si>
  <si>
    <t>Q5HY92</t>
  </si>
  <si>
    <t>Q5HYK7-2</t>
  </si>
  <si>
    <t>Q5I0X7</t>
  </si>
  <si>
    <t>Q5I2W7</t>
  </si>
  <si>
    <t>Q5JP53</t>
  </si>
  <si>
    <t>Q5JPI9</t>
  </si>
  <si>
    <t>Q5JR04</t>
  </si>
  <si>
    <t>Q5JR08</t>
  </si>
  <si>
    <t>Q5JRA6-2</t>
  </si>
  <si>
    <t>Q5JRG1</t>
  </si>
  <si>
    <t>Q5JRJ0</t>
  </si>
  <si>
    <t>Q5JRX3</t>
  </si>
  <si>
    <t>Q5JS37-2</t>
  </si>
  <si>
    <t>Q5JS54</t>
  </si>
  <si>
    <t>Q5JSB6</t>
  </si>
  <si>
    <t>Q5JSH3-2</t>
  </si>
  <si>
    <t>Q5JSL0</t>
  </si>
  <si>
    <t>Q5JSZ5</t>
  </si>
  <si>
    <t>Q5JTC6-2</t>
  </si>
  <si>
    <t>Q5JTD0-2</t>
  </si>
  <si>
    <t>Q5JTH9</t>
  </si>
  <si>
    <t>Q5JTJ3-3</t>
  </si>
  <si>
    <t>Q5JTV1</t>
  </si>
  <si>
    <t>Q5JTV8</t>
  </si>
  <si>
    <t>Q5JTW2</t>
  </si>
  <si>
    <t>Q5JTZ9</t>
  </si>
  <si>
    <t>Q5JU85</t>
  </si>
  <si>
    <t>Q5JUE6</t>
  </si>
  <si>
    <t>Q5JUR7</t>
  </si>
  <si>
    <t>Q5JV73</t>
  </si>
  <si>
    <t>Q5JVF3-3</t>
  </si>
  <si>
    <t>Q5JVM0</t>
  </si>
  <si>
    <t>Q5JVS0</t>
  </si>
  <si>
    <t>Q5JVZ5</t>
  </si>
  <si>
    <t>Q5JW30</t>
  </si>
  <si>
    <t>Q5JYJ5</t>
  </si>
  <si>
    <t>Q5JZB7</t>
  </si>
  <si>
    <t>Q5K651</t>
  </si>
  <si>
    <t>Q5KSL6</t>
  </si>
  <si>
    <t>Q5M775</t>
  </si>
  <si>
    <t>Q5MIZ7-2</t>
  </si>
  <si>
    <t>Q5MNZ6</t>
  </si>
  <si>
    <t>Q5NDL2</t>
  </si>
  <si>
    <t>Q5QJ74</t>
  </si>
  <si>
    <t>Q5QJE6</t>
  </si>
  <si>
    <t>Q5QNY5</t>
  </si>
  <si>
    <t>Q5QP56</t>
  </si>
  <si>
    <t>Q5QP82</t>
  </si>
  <si>
    <t>Q5QPL9</t>
  </si>
  <si>
    <t>Q5QPM7</t>
  </si>
  <si>
    <t>Q5R372-4</t>
  </si>
  <si>
    <t>Q5RHP9-3</t>
  </si>
  <si>
    <t>Q5RKV6</t>
  </si>
  <si>
    <t>Q5SNT6</t>
  </si>
  <si>
    <t>Q5SQI0-5</t>
  </si>
  <si>
    <t>Q5SRE5</t>
  </si>
  <si>
    <t>Q5SSJ5</t>
  </si>
  <si>
    <t>Q5ST30</t>
  </si>
  <si>
    <t>Q5SW79</t>
  </si>
  <si>
    <t>Q5SW79-3</t>
  </si>
  <si>
    <t>Q5SW96</t>
  </si>
  <si>
    <t>Q5SXM2</t>
  </si>
  <si>
    <t>Q5SXM8</t>
  </si>
  <si>
    <t>Q5SYE7-2</t>
  </si>
  <si>
    <t>Q5T011-5</t>
  </si>
  <si>
    <t>Q5T0N5-3</t>
  </si>
  <si>
    <t>Q5T114</t>
  </si>
  <si>
    <t>Q5T123</t>
  </si>
  <si>
    <t>Q5T160</t>
  </si>
  <si>
    <t>Q5T171</t>
  </si>
  <si>
    <t>Q5T1C6</t>
  </si>
  <si>
    <t>Q5T1M5</t>
  </si>
  <si>
    <t>Q5T1V6</t>
  </si>
  <si>
    <t>Q5T200</t>
  </si>
  <si>
    <t>Q5T2E6</t>
  </si>
  <si>
    <t>Q5T2W1</t>
  </si>
  <si>
    <t>Q5T321</t>
  </si>
  <si>
    <t>Q5T370</t>
  </si>
  <si>
    <t>Q5T3J3</t>
  </si>
  <si>
    <t>Q5T427</t>
  </si>
  <si>
    <t>Q5T440</t>
  </si>
  <si>
    <t>Q5T447</t>
  </si>
  <si>
    <t>Q5T4F4-6</t>
  </si>
  <si>
    <t>Q5T4S7-3</t>
  </si>
  <si>
    <t>Q5T5C0-3</t>
  </si>
  <si>
    <t>Q5T5P2-3</t>
  </si>
  <si>
    <t>Q5T5U3</t>
  </si>
  <si>
    <t>Q5T5Y3</t>
  </si>
  <si>
    <t>Q5T6F0</t>
  </si>
  <si>
    <t>Q5T6F2</t>
  </si>
  <si>
    <t>Q5T6J7</t>
  </si>
  <si>
    <t>Q5T6V5</t>
  </si>
  <si>
    <t>Q5T7W0</t>
  </si>
  <si>
    <t>Q5T7W0-2</t>
  </si>
  <si>
    <t>Q5T8A7</t>
  </si>
  <si>
    <t>Q5T8D3-2</t>
  </si>
  <si>
    <t>Q5T8P6-2</t>
  </si>
  <si>
    <t>Q5T985</t>
  </si>
  <si>
    <t>Q5T9C2-2</t>
  </si>
  <si>
    <t>Q5T9S5-2</t>
  </si>
  <si>
    <t>Q5TA02</t>
  </si>
  <si>
    <t>Q5TA04</t>
  </si>
  <si>
    <t>Q5TA31</t>
  </si>
  <si>
    <t>Q5TA45-2</t>
  </si>
  <si>
    <t>Q5TA50</t>
  </si>
  <si>
    <t>Q5TA58</t>
  </si>
  <si>
    <t>Q5TAQ0</t>
  </si>
  <si>
    <t>Q5TAX3</t>
  </si>
  <si>
    <t>Q5TBB1</t>
  </si>
  <si>
    <t>Q5TBC7</t>
  </si>
  <si>
    <t>Q5TBI2</t>
  </si>
  <si>
    <t>Q5TC12</t>
  </si>
  <si>
    <t>Q5TC82</t>
  </si>
  <si>
    <t>Q5TC84</t>
  </si>
  <si>
    <t>Q5TCQ9-4</t>
  </si>
  <si>
    <t>Q5TCU3</t>
  </si>
  <si>
    <t>Q5TCX8</t>
  </si>
  <si>
    <t>Q5TDH0</t>
  </si>
  <si>
    <t>Q5TEU4</t>
  </si>
  <si>
    <t>Q5TFE4</t>
  </si>
  <si>
    <t>Q5TGY1</t>
  </si>
  <si>
    <t>Q5TH69</t>
  </si>
  <si>
    <t>Q5THK1</t>
  </si>
  <si>
    <t>Q5TKA1</t>
  </si>
  <si>
    <t>Q5TZA2</t>
  </si>
  <si>
    <t>Q5U5Q3</t>
  </si>
  <si>
    <t>Q5U5X0</t>
  </si>
  <si>
    <t>Q5U649</t>
  </si>
  <si>
    <t>Q5UIP0</t>
  </si>
  <si>
    <t>Q5VIR6-4</t>
  </si>
  <si>
    <t>Q5VSL9</t>
  </si>
  <si>
    <t>Q5VSY0-2</t>
  </si>
  <si>
    <t>Q5VT06</t>
  </si>
  <si>
    <t>Q5VT25-4</t>
  </si>
  <si>
    <t>Q5VT52</t>
  </si>
  <si>
    <t>Q5VT79</t>
  </si>
  <si>
    <t>Q5VTL8</t>
  </si>
  <si>
    <t>Q5VTQ0-5</t>
  </si>
  <si>
    <t>Q5VTR2</t>
  </si>
  <si>
    <t>Q5VTU3</t>
  </si>
  <si>
    <t>Q5VTU8</t>
  </si>
  <si>
    <t>Q5VU58</t>
  </si>
  <si>
    <t>Q5VUA4</t>
  </si>
  <si>
    <t>Q5VUE5</t>
  </si>
  <si>
    <t>Q5VV41</t>
  </si>
  <si>
    <t>Q5VV52-2</t>
  </si>
  <si>
    <t>Q5VVC8</t>
  </si>
  <si>
    <t>Q5VVD7</t>
  </si>
  <si>
    <t>Q5VVQ6-2</t>
  </si>
  <si>
    <t>Q5VW32</t>
  </si>
  <si>
    <t>Q5VW36</t>
  </si>
  <si>
    <t>Q5VWC4</t>
  </si>
  <si>
    <t>Q5VWG9</t>
  </si>
  <si>
    <t>Q5VWJ9</t>
  </si>
  <si>
    <t>Q5VWN6</t>
  </si>
  <si>
    <t>Q5VWQ0</t>
  </si>
  <si>
    <t>Q5VWQ8-2</t>
  </si>
  <si>
    <t>Q5VWZ2</t>
  </si>
  <si>
    <t>Q5VX52</t>
  </si>
  <si>
    <t>Q5VXD3-3</t>
  </si>
  <si>
    <t>Q5VYK3</t>
  </si>
  <si>
    <t>Q5VYV7</t>
  </si>
  <si>
    <t>Q5VYX0-2</t>
  </si>
  <si>
    <t>Q5VZE5</t>
  </si>
  <si>
    <t>Q5VZK9</t>
  </si>
  <si>
    <t>Q5VZL5-4</t>
  </si>
  <si>
    <t>Q5W015</t>
  </si>
  <si>
    <t>Q5W0B1</t>
  </si>
  <si>
    <t>Q5W0V3</t>
  </si>
  <si>
    <t>Q5W111-2</t>
  </si>
  <si>
    <t>Q5XPI4</t>
  </si>
  <si>
    <t>Q5XUX1-3</t>
  </si>
  <si>
    <t>Q63HM9</t>
  </si>
  <si>
    <t>Q63HN8</t>
  </si>
  <si>
    <t>Q63HN8-4</t>
  </si>
  <si>
    <t>Q63ZY3-3</t>
  </si>
  <si>
    <t>Q641Q2</t>
  </si>
  <si>
    <t>Q659A1</t>
  </si>
  <si>
    <t>Q66GS9</t>
  </si>
  <si>
    <t>Q66K14-2</t>
  </si>
  <si>
    <t>Q66K64</t>
  </si>
  <si>
    <t>Q66LE6</t>
  </si>
  <si>
    <t>Q66PJ3</t>
  </si>
  <si>
    <t>Q674X7-3</t>
  </si>
  <si>
    <t>Q676U5-2</t>
  </si>
  <si>
    <t>Q684P5-3</t>
  </si>
  <si>
    <t>Q68CP9</t>
  </si>
  <si>
    <t>Q68CQ4</t>
  </si>
  <si>
    <t>Q68CZ1-2</t>
  </si>
  <si>
    <t>Q68CZ2</t>
  </si>
  <si>
    <t>Q68CZ6</t>
  </si>
  <si>
    <t>Q68D06</t>
  </si>
  <si>
    <t>Q68D10-2</t>
  </si>
  <si>
    <t>Q68D20</t>
  </si>
  <si>
    <t>Q68DA7-5</t>
  </si>
  <si>
    <t>Q68DQ2</t>
  </si>
  <si>
    <t>Q68E01-2</t>
  </si>
  <si>
    <t>Q68EM7-6</t>
  </si>
  <si>
    <t>Q69YH5</t>
  </si>
  <si>
    <t>Q69YN2</t>
  </si>
  <si>
    <t>Q69YN4</t>
  </si>
  <si>
    <t>Q69YQ0-2</t>
  </si>
  <si>
    <t>Q6AI08</t>
  </si>
  <si>
    <t>Q6AI12</t>
  </si>
  <si>
    <t>Q6AWC2-4</t>
  </si>
  <si>
    <t>Q6BCY4</t>
  </si>
  <si>
    <t>Q6BDS2</t>
  </si>
  <si>
    <t>Q6DCA0</t>
  </si>
  <si>
    <t>Q6DD87</t>
  </si>
  <si>
    <t>Q6DKJ4</t>
  </si>
  <si>
    <t>Q6DKK2</t>
  </si>
  <si>
    <t>Q6EEV4-2</t>
  </si>
  <si>
    <t>Q6FI81</t>
  </si>
  <si>
    <t>Q6FIF0-2</t>
  </si>
  <si>
    <t>Q6GMV2</t>
  </si>
  <si>
    <t>Q6GMV3</t>
  </si>
  <si>
    <t>Q6GQQ9</t>
  </si>
  <si>
    <t>Q6GYQ0</t>
  </si>
  <si>
    <t>Q6I9Y2</t>
  </si>
  <si>
    <t>Q6IA69</t>
  </si>
  <si>
    <t>Q6IA86-3</t>
  </si>
  <si>
    <t>Q6IBS0</t>
  </si>
  <si>
    <t>Q6IBW4</t>
  </si>
  <si>
    <t>Q6IE81-2</t>
  </si>
  <si>
    <t>Q6IN84</t>
  </si>
  <si>
    <t>Q6IN85</t>
  </si>
  <si>
    <t>Q6IPR3</t>
  </si>
  <si>
    <t>Q6IQ22</t>
  </si>
  <si>
    <t>Q6IQ23-2</t>
  </si>
  <si>
    <t>Q6IQ32</t>
  </si>
  <si>
    <t>Q6IQ49-2</t>
  </si>
  <si>
    <t>Q6IS24</t>
  </si>
  <si>
    <t>Q6JHV3</t>
  </si>
  <si>
    <t>Q6KB66</t>
  </si>
  <si>
    <t>Q6KC79-2</t>
  </si>
  <si>
    <t>Q6L8Q7-2</t>
  </si>
  <si>
    <t>Q6MZP7</t>
  </si>
  <si>
    <t>Q6N043-2</t>
  </si>
  <si>
    <t>Q6N063</t>
  </si>
  <si>
    <t>Q6N069</t>
  </si>
  <si>
    <t>Q6NS38</t>
  </si>
  <si>
    <t>Q6NSJ2</t>
  </si>
  <si>
    <t>Q6NT89</t>
  </si>
  <si>
    <t>Q6NTE8</t>
  </si>
  <si>
    <t>Q6NUQ4-2</t>
  </si>
  <si>
    <t>Q6NVU6</t>
  </si>
  <si>
    <t>Q6NVY1</t>
  </si>
  <si>
    <t>Q6NXE6-2</t>
  </si>
  <si>
    <t>Q6NXT1</t>
  </si>
  <si>
    <t>Q6NYC1</t>
  </si>
  <si>
    <t>Q6NYC8</t>
  </si>
  <si>
    <t>Q6NZI2</t>
  </si>
  <si>
    <t>Q6NZY4</t>
  </si>
  <si>
    <t>Q6P158</t>
  </si>
  <si>
    <t>Q6P1J9</t>
  </si>
  <si>
    <t>Q6P1K2</t>
  </si>
  <si>
    <t>Q6P1L5</t>
  </si>
  <si>
    <t>Q6P1L8</t>
  </si>
  <si>
    <t>Q6P1M3-2</t>
  </si>
  <si>
    <t>Q6P1M9</t>
  </si>
  <si>
    <t>Q6P1N0</t>
  </si>
  <si>
    <t>Q6P1N9</t>
  </si>
  <si>
    <t>Q6P1Q9</t>
  </si>
  <si>
    <t>Q6P1R4</t>
  </si>
  <si>
    <t>Q6P1X5</t>
  </si>
  <si>
    <t>Q6P1X6</t>
  </si>
  <si>
    <t>Q6P2E9</t>
  </si>
  <si>
    <t>Q6P2H3-2</t>
  </si>
  <si>
    <t>Q6P2P2</t>
  </si>
  <si>
    <t>Q6P2Q9</t>
  </si>
  <si>
    <t>Q6P3S6</t>
  </si>
  <si>
    <t>Q6P3W7</t>
  </si>
  <si>
    <t>Q6P3X3</t>
  </si>
  <si>
    <t>Q6P4F2</t>
  </si>
  <si>
    <t>Q6P4G0</t>
  </si>
  <si>
    <t>Q6P4I2</t>
  </si>
  <si>
    <t>Q6P4R8-3</t>
  </si>
  <si>
    <t>Q6P582</t>
  </si>
  <si>
    <t>Q6P587</t>
  </si>
  <si>
    <t>Q6P6B1</t>
  </si>
  <si>
    <t>Q6P6C2</t>
  </si>
  <si>
    <t>Q6P9B6</t>
  </si>
  <si>
    <t>Q6P9B9</t>
  </si>
  <si>
    <t>Q6PCB5</t>
  </si>
  <si>
    <t>Q6PCE3</t>
  </si>
  <si>
    <t>Q6PCT2-2</t>
  </si>
  <si>
    <t>Q6PD62</t>
  </si>
  <si>
    <t>Q6PD74</t>
  </si>
  <si>
    <t>Q6PGN9-2</t>
  </si>
  <si>
    <t>Q6PGP7</t>
  </si>
  <si>
    <t>Q6PHR2-3</t>
  </si>
  <si>
    <t>Q6PI48</t>
  </si>
  <si>
    <t>Q6PID6</t>
  </si>
  <si>
    <t>Q6PII3</t>
  </si>
  <si>
    <t>Q6PII5-2</t>
  </si>
  <si>
    <t>Q6PIJ6</t>
  </si>
  <si>
    <t>Q6PIR0</t>
  </si>
  <si>
    <t>Q6PIW4-2</t>
  </si>
  <si>
    <t>Q6PJ69</t>
  </si>
  <si>
    <t>Q6PJF5-2</t>
  </si>
  <si>
    <t>Q6PJG2</t>
  </si>
  <si>
    <t>Q6PJG6</t>
  </si>
  <si>
    <t>Q6PJI9-2</t>
  </si>
  <si>
    <t>Q6PJT7-5</t>
  </si>
  <si>
    <t>Q6PK04</t>
  </si>
  <si>
    <t>Q6PKG0</t>
  </si>
  <si>
    <t>Q6PL24</t>
  </si>
  <si>
    <t>Q6PUV4</t>
  </si>
  <si>
    <t>Q6Q0C0</t>
  </si>
  <si>
    <t>Q6QNY0</t>
  </si>
  <si>
    <t>Q6QNY1</t>
  </si>
  <si>
    <t>Q6R327</t>
  </si>
  <si>
    <t>Q6SJ93</t>
  </si>
  <si>
    <t>Q6SPF0</t>
  </si>
  <si>
    <t>Q6SZW1</t>
  </si>
  <si>
    <t>Q6T4R5-4</t>
  </si>
  <si>
    <t>Q6UB35</t>
  </si>
  <si>
    <t>Q6UB99</t>
  </si>
  <si>
    <t>Q6ULP2-5</t>
  </si>
  <si>
    <t>Q6UN15</t>
  </si>
  <si>
    <t>Q6UUV7-3</t>
  </si>
  <si>
    <t>Q6UWE0</t>
  </si>
  <si>
    <t>Q6UWP2</t>
  </si>
  <si>
    <t>Q6UX04</t>
  </si>
  <si>
    <t>Q6UXH1-4</t>
  </si>
  <si>
    <t>Q6UXN9</t>
  </si>
  <si>
    <t>Q6UXY1-2</t>
  </si>
  <si>
    <t>Q6V1X1-4</t>
  </si>
  <si>
    <t>Q6VMQ6-2</t>
  </si>
  <si>
    <t>Q6VY07</t>
  </si>
  <si>
    <t>Q6WCQ1-2</t>
  </si>
  <si>
    <t>Q6WKZ4</t>
  </si>
  <si>
    <t>Q6XQN6</t>
  </si>
  <si>
    <t>Q6XUX3-2</t>
  </si>
  <si>
    <t>Q6XZF7</t>
  </si>
  <si>
    <t>Q6Y288</t>
  </si>
  <si>
    <t>Q6Y7W6</t>
  </si>
  <si>
    <t>Q6YHK3</t>
  </si>
  <si>
    <t>Q6YHU6-3</t>
  </si>
  <si>
    <t>Q6YN16</t>
  </si>
  <si>
    <t>Q6YP21-3</t>
  </si>
  <si>
    <t>Q6ZMI0</t>
  </si>
  <si>
    <t>Q6ZN17-2</t>
  </si>
  <si>
    <t>Q6ZN18-2</t>
  </si>
  <si>
    <t>Q6ZN40</t>
  </si>
  <si>
    <t>Q6ZNA4-2</t>
  </si>
  <si>
    <t>Q6ZNE5</t>
  </si>
  <si>
    <t>Q6ZNJ1-3</t>
  </si>
  <si>
    <t>Q6ZNW5</t>
  </si>
  <si>
    <t>Q6ZQX7-4</t>
  </si>
  <si>
    <t>Q6ZRS2-3</t>
  </si>
  <si>
    <t>Q6ZS17-2</t>
  </si>
  <si>
    <t>Q6ZS30</t>
  </si>
  <si>
    <t>Q6ZSJ8</t>
  </si>
  <si>
    <t>Q6ZSZ5-2</t>
  </si>
  <si>
    <t>Q6ZT12</t>
  </si>
  <si>
    <t>Q6ZT62</t>
  </si>
  <si>
    <t>Q6ZU65</t>
  </si>
  <si>
    <t>Q6ZUM4-2</t>
  </si>
  <si>
    <t>Q6ZUS6-5</t>
  </si>
  <si>
    <t>Q6ZUT6-4</t>
  </si>
  <si>
    <t>Q6ZUT9</t>
  </si>
  <si>
    <t>Q6ZV73</t>
  </si>
  <si>
    <t>Q6ZVF9</t>
  </si>
  <si>
    <t>Q6ZVK8</t>
  </si>
  <si>
    <t>Q6ZVM7</t>
  </si>
  <si>
    <t>Q6ZW49-4</t>
  </si>
  <si>
    <t>Q6ZWJ1</t>
  </si>
  <si>
    <t>Q6ZYL4</t>
  </si>
  <si>
    <t>Q709C8-3</t>
  </si>
  <si>
    <t>Q70CQ2</t>
  </si>
  <si>
    <t>Q70CQ4</t>
  </si>
  <si>
    <t>Q70E73</t>
  </si>
  <si>
    <t>Q70EK8</t>
  </si>
  <si>
    <t>Q70EL4-4</t>
  </si>
  <si>
    <t>Q70IA6</t>
  </si>
  <si>
    <t>Q70J99</t>
  </si>
  <si>
    <t>Q70Z53-2</t>
  </si>
  <si>
    <t>Q712K3</t>
  </si>
  <si>
    <t>Q71F56</t>
  </si>
  <si>
    <t>Q71RC2-3</t>
  </si>
  <si>
    <t>Q71U36-2</t>
  </si>
  <si>
    <t>Q71UI9</t>
  </si>
  <si>
    <t>Q71UM5</t>
  </si>
  <si>
    <t>Q75N03</t>
  </si>
  <si>
    <t>Q765P7</t>
  </si>
  <si>
    <t>Q76FK4-4</t>
  </si>
  <si>
    <t>Q76I76</t>
  </si>
  <si>
    <t>Q76N32-2</t>
  </si>
  <si>
    <t>Q7KZ85</t>
  </si>
  <si>
    <t>Q7KZ85-2</t>
  </si>
  <si>
    <t>Q7KZF4</t>
  </si>
  <si>
    <t>Q7KZI7-14</t>
  </si>
  <si>
    <t>Q7L014</t>
  </si>
  <si>
    <t>Q7L099-2</t>
  </si>
  <si>
    <t>Q7L0Y3</t>
  </si>
  <si>
    <t>Q7L1Q6</t>
  </si>
  <si>
    <t>Q7L1T6</t>
  </si>
  <si>
    <t>Q7L266</t>
  </si>
  <si>
    <t>Q7L273</t>
  </si>
  <si>
    <t>Q7L2H7</t>
  </si>
  <si>
    <t>Q7L2J0</t>
  </si>
  <si>
    <t>Q7L2Z9</t>
  </si>
  <si>
    <t>Q7L3S4</t>
  </si>
  <si>
    <t>Q7L4I2</t>
  </si>
  <si>
    <t>Q7L523</t>
  </si>
  <si>
    <t>Q7L576</t>
  </si>
  <si>
    <t>Q7L590-2</t>
  </si>
  <si>
    <t>Q7L592</t>
  </si>
  <si>
    <t>Q7L5D6</t>
  </si>
  <si>
    <t>Q7L5Y1</t>
  </si>
  <si>
    <t>Q7L5Y9</t>
  </si>
  <si>
    <t>Q7L775</t>
  </si>
  <si>
    <t>Q7L7V1</t>
  </si>
  <si>
    <t>Q7L7X3</t>
  </si>
  <si>
    <t>Q7L8J4</t>
  </si>
  <si>
    <t>Q7L8L6</t>
  </si>
  <si>
    <t>Q7L8W6</t>
  </si>
  <si>
    <t>Q7LBC6</t>
  </si>
  <si>
    <t>Q7LBR1</t>
  </si>
  <si>
    <t>Q7LG56</t>
  </si>
  <si>
    <t>Q7RTP6</t>
  </si>
  <si>
    <t>Q7RTS9</t>
  </si>
  <si>
    <t>Q7RTV0</t>
  </si>
  <si>
    <t>Q7Z2E3-3</t>
  </si>
  <si>
    <t>Q7Z2K8</t>
  </si>
  <si>
    <t>Q7Z2W4</t>
  </si>
  <si>
    <t>Q7Z2W4-3</t>
  </si>
  <si>
    <t>Q7Z2Z2</t>
  </si>
  <si>
    <t>Q7Z309</t>
  </si>
  <si>
    <t>Q7Z333-3</t>
  </si>
  <si>
    <t>Q7Z350</t>
  </si>
  <si>
    <t>Q7Z392</t>
  </si>
  <si>
    <t>Q7Z3B3</t>
  </si>
  <si>
    <t>Q7Z3E2</t>
  </si>
  <si>
    <t>Q7Z3E5</t>
  </si>
  <si>
    <t>Q7Z3G6</t>
  </si>
  <si>
    <t>Q7Z3J2</t>
  </si>
  <si>
    <t>Q7Z3K6-4</t>
  </si>
  <si>
    <t>Q7Z3T8</t>
  </si>
  <si>
    <t>Q7Z3V4</t>
  </si>
  <si>
    <t>Q7Z406-6</t>
  </si>
  <si>
    <t>Q7Z417</t>
  </si>
  <si>
    <t>Q7Z422-2</t>
  </si>
  <si>
    <t>Q7Z434</t>
  </si>
  <si>
    <t>Q7Z460</t>
  </si>
  <si>
    <t>Q7Z478</t>
  </si>
  <si>
    <t>Q7Z4G1</t>
  </si>
  <si>
    <t>Q7Z4G4-2</t>
  </si>
  <si>
    <t>Q7Z4H3</t>
  </si>
  <si>
    <t>Q7Z4H7</t>
  </si>
  <si>
    <t>Q7Z4H8</t>
  </si>
  <si>
    <t>Q7Z4L5</t>
  </si>
  <si>
    <t>Q7Z4Q2</t>
  </si>
  <si>
    <t>Q7Z4S6-5</t>
  </si>
  <si>
    <t>Q7Z4V5</t>
  </si>
  <si>
    <t>Q7Z4W1</t>
  </si>
  <si>
    <t>Q7Z589</t>
  </si>
  <si>
    <t>Q7Z5K2</t>
  </si>
  <si>
    <t>Q7Z5L2-2</t>
  </si>
  <si>
    <t>Q7Z5L9</t>
  </si>
  <si>
    <t>Q7Z5Q1-5</t>
  </si>
  <si>
    <t>Q7Z5R6</t>
  </si>
  <si>
    <t>Q7Z5W3</t>
  </si>
  <si>
    <t>Q7Z624</t>
  </si>
  <si>
    <t>Q7Z699</t>
  </si>
  <si>
    <t>Q7Z6B0-2</t>
  </si>
  <si>
    <t>Q7Z6B7</t>
  </si>
  <si>
    <t>Q7Z6E9-2</t>
  </si>
  <si>
    <t>Q7Z6I8</t>
  </si>
  <si>
    <t>Q7Z6J0</t>
  </si>
  <si>
    <t>Q7Z6J9</t>
  </si>
  <si>
    <t>Q7Z6K3</t>
  </si>
  <si>
    <t>Q7Z6L1</t>
  </si>
  <si>
    <t>Q7Z6M1</t>
  </si>
  <si>
    <t>Q7Z6V5</t>
  </si>
  <si>
    <t>Q7Z6Z7-2</t>
  </si>
  <si>
    <t>Q7Z7A3</t>
  </si>
  <si>
    <t>Q7Z7A4-5</t>
  </si>
  <si>
    <t>Q7Z7B0</t>
  </si>
  <si>
    <t>Q7Z7C8</t>
  </si>
  <si>
    <t>Q7Z7E8</t>
  </si>
  <si>
    <t>Q7Z7F0</t>
  </si>
  <si>
    <t>Q7Z7G8-2</t>
  </si>
  <si>
    <t>Q7Z7H8</t>
  </si>
  <si>
    <t>Q7Z7J9</t>
  </si>
  <si>
    <t>Q7Z7K0</t>
  </si>
  <si>
    <t>Q7Z7K6-3</t>
  </si>
  <si>
    <t>Q7Z7L1</t>
  </si>
  <si>
    <t>Q7Z7L7</t>
  </si>
  <si>
    <t>Q7Z7L9</t>
  </si>
  <si>
    <t>Q86SJ2</t>
  </si>
  <si>
    <t>Q86SQ0</t>
  </si>
  <si>
    <t>Q86SQ4</t>
  </si>
  <si>
    <t>Q86SQ7</t>
  </si>
  <si>
    <t>Q86SX6</t>
  </si>
  <si>
    <t>Q86SZ2</t>
  </si>
  <si>
    <t>Q86T24</t>
  </si>
  <si>
    <t>Q86TA1</t>
  </si>
  <si>
    <t>Q86TB3</t>
  </si>
  <si>
    <t>Q86TB9</t>
  </si>
  <si>
    <t>Q86TB9-4</t>
  </si>
  <si>
    <t>Q86TG7-2</t>
  </si>
  <si>
    <t>Q86TI0-2</t>
  </si>
  <si>
    <t>Q86TI2-2</t>
  </si>
  <si>
    <t>Q86TP1</t>
  </si>
  <si>
    <t>Q86TU7</t>
  </si>
  <si>
    <t>Q86TV2</t>
  </si>
  <si>
    <t>Q86TX2</t>
  </si>
  <si>
    <t>Q86TZ8</t>
  </si>
  <si>
    <t>Q86U28</t>
  </si>
  <si>
    <t>Q86U44</t>
  </si>
  <si>
    <t>Q86U70-3</t>
  </si>
  <si>
    <t>Q86U90</t>
  </si>
  <si>
    <t>Q86UA1</t>
  </si>
  <si>
    <t>Q86UA6-3</t>
  </si>
  <si>
    <t>Q86UD0</t>
  </si>
  <si>
    <t>Q86UE8-2</t>
  </si>
  <si>
    <t>Q86UE8-3</t>
  </si>
  <si>
    <t>Q86UK7-3</t>
  </si>
  <si>
    <t>Q86UP2</t>
  </si>
  <si>
    <t>Q86US8</t>
  </si>
  <si>
    <t>Q86UU0-4</t>
  </si>
  <si>
    <t>Q86UU1-2</t>
  </si>
  <si>
    <t>Q86UV5</t>
  </si>
  <si>
    <t>Q86UX6</t>
  </si>
  <si>
    <t>Q86UY0</t>
  </si>
  <si>
    <t>Q86UY6</t>
  </si>
  <si>
    <t>Q86UY8-2</t>
  </si>
  <si>
    <t>Q86V21</t>
  </si>
  <si>
    <t>Q86V48</t>
  </si>
  <si>
    <t>Q86V59</t>
  </si>
  <si>
    <t>Q86V87</t>
  </si>
  <si>
    <t>Q86VG3</t>
  </si>
  <si>
    <t>Q86VI3</t>
  </si>
  <si>
    <t>Q86VM9</t>
  </si>
  <si>
    <t>Q86VN1</t>
  </si>
  <si>
    <t>Q86VP1-2</t>
  </si>
  <si>
    <t>Q86VP6</t>
  </si>
  <si>
    <t>Q86VQ6</t>
  </si>
  <si>
    <t>Q86VR2</t>
  </si>
  <si>
    <t>Q86VS8</t>
  </si>
  <si>
    <t>Q86VU3</t>
  </si>
  <si>
    <t>Q86VW0</t>
  </si>
  <si>
    <t>Q86VX2-2</t>
  </si>
  <si>
    <t>Q86VY4</t>
  </si>
  <si>
    <t>Q86W34</t>
  </si>
  <si>
    <t>Q86W42</t>
  </si>
  <si>
    <t>Q86W50</t>
  </si>
  <si>
    <t>Q86W56</t>
  </si>
  <si>
    <t>Q86W92-2</t>
  </si>
  <si>
    <t>Q86W92-4</t>
  </si>
  <si>
    <t>Q86WA6-2</t>
  </si>
  <si>
    <t>Q86WJ1-2</t>
  </si>
  <si>
    <t>Q86WN1-3</t>
  </si>
  <si>
    <t>Q86WP2</t>
  </si>
  <si>
    <t>Q86WQ0</t>
  </si>
  <si>
    <t>Q86WR0</t>
  </si>
  <si>
    <t>Q86WR7</t>
  </si>
  <si>
    <t>Q86WT1</t>
  </si>
  <si>
    <t>Q86WU2-2</t>
  </si>
  <si>
    <t>Q86WX3</t>
  </si>
  <si>
    <t>Q86X02</t>
  </si>
  <si>
    <t>Q86X10</t>
  </si>
  <si>
    <t>Q86X27</t>
  </si>
  <si>
    <t>Q86X40-3</t>
  </si>
  <si>
    <t>Q86X53</t>
  </si>
  <si>
    <t>Q86X55-1</t>
  </si>
  <si>
    <t>Q86X76-2</t>
  </si>
  <si>
    <t>Q86X83</t>
  </si>
  <si>
    <t>Q86X95-2</t>
  </si>
  <si>
    <t>Q86XA9</t>
  </si>
  <si>
    <t>Q86XI2</t>
  </si>
  <si>
    <t>Q86XN8</t>
  </si>
  <si>
    <t>Q86XP3</t>
  </si>
  <si>
    <t>Q86XZ4</t>
  </si>
  <si>
    <t>Q86Y07-4</t>
  </si>
  <si>
    <t>Q86Y37</t>
  </si>
  <si>
    <t>Q86Y56</t>
  </si>
  <si>
    <t>Q86Y79</t>
  </si>
  <si>
    <t>Q86Y82</t>
  </si>
  <si>
    <t>Q86YC2</t>
  </si>
  <si>
    <t>Q86YH6</t>
  </si>
  <si>
    <t>Q86YL5</t>
  </si>
  <si>
    <t>Q86YM7</t>
  </si>
  <si>
    <t>Q86YP4-2</t>
  </si>
  <si>
    <t>Q86YR5-4</t>
  </si>
  <si>
    <t>Q86YS7</t>
  </si>
  <si>
    <t>Q86YV5</t>
  </si>
  <si>
    <t>Q86YV9</t>
  </si>
  <si>
    <t>Q86YZ3</t>
  </si>
  <si>
    <t>Q8IU81</t>
  </si>
  <si>
    <t>Q8IU85-2</t>
  </si>
  <si>
    <t>Q8IUC4</t>
  </si>
  <si>
    <t>Q8IUD2</t>
  </si>
  <si>
    <t>Q8IUD6</t>
  </si>
  <si>
    <t>Q8IUF8-4</t>
  </si>
  <si>
    <t>Q8IUI8</t>
  </si>
  <si>
    <t>Q8IUQ4</t>
  </si>
  <si>
    <t>Q8IUR0</t>
  </si>
  <si>
    <t>Q8IUR7-7</t>
  </si>
  <si>
    <t>Q8IUW1</t>
  </si>
  <si>
    <t>Q8IUW3</t>
  </si>
  <si>
    <t>Q8IV08</t>
  </si>
  <si>
    <t>Q8IV20</t>
  </si>
  <si>
    <t>Q8IV36-3</t>
  </si>
  <si>
    <t>Q8IV38</t>
  </si>
  <si>
    <t>Q8IV48</t>
  </si>
  <si>
    <t>Q8IV50</t>
  </si>
  <si>
    <t>Q8IV56</t>
  </si>
  <si>
    <t>Q8IV63-3</t>
  </si>
  <si>
    <t>Q8IVB5</t>
  </si>
  <si>
    <t>Q8IVD9</t>
  </si>
  <si>
    <t>Q8IVE3-3</t>
  </si>
  <si>
    <t>Q8IVF2-3</t>
  </si>
  <si>
    <t>Q8IVF6</t>
  </si>
  <si>
    <t>Q8IVH8-3</t>
  </si>
  <si>
    <t>Q8IVL1-4</t>
  </si>
  <si>
    <t>Q8IVL5</t>
  </si>
  <si>
    <t>Q8IVM0</t>
  </si>
  <si>
    <t>Q8IVS2</t>
  </si>
  <si>
    <t>Q8IVT2</t>
  </si>
  <si>
    <t>Q8IVV2</t>
  </si>
  <si>
    <t>Q8IW19</t>
  </si>
  <si>
    <t>Q8IW41-2</t>
  </si>
  <si>
    <t>Q8IW45</t>
  </si>
  <si>
    <t>Q8IW50-7</t>
  </si>
  <si>
    <t>Q8IWB7</t>
  </si>
  <si>
    <t>Q8IWB9</t>
  </si>
  <si>
    <t>Q8IWC1-2</t>
  </si>
  <si>
    <t>Q8IWD4</t>
  </si>
  <si>
    <t>Q8IWE2</t>
  </si>
  <si>
    <t>Q8IWI9</t>
  </si>
  <si>
    <t>Q8IWJ2</t>
  </si>
  <si>
    <t>Q8IWL3</t>
  </si>
  <si>
    <t>Q8IWQ3-3</t>
  </si>
  <si>
    <t>Q8IWT0</t>
  </si>
  <si>
    <t>Q8IWU2</t>
  </si>
  <si>
    <t>Q8IWV7</t>
  </si>
  <si>
    <t>Q8IWV8-4</t>
  </si>
  <si>
    <t>Q8IWW6-2</t>
  </si>
  <si>
    <t>Q8IWX8</t>
  </si>
  <si>
    <t>Q8IWY9-1</t>
  </si>
  <si>
    <t>Q8IWZ3-6</t>
  </si>
  <si>
    <t>Q8IWZ8</t>
  </si>
  <si>
    <t>Q8IX01-4</t>
  </si>
  <si>
    <t>Q8IX03-2</t>
  </si>
  <si>
    <t>Q8IX04-6</t>
  </si>
  <si>
    <t>Q8IX07</t>
  </si>
  <si>
    <t>Q8IX12-2</t>
  </si>
  <si>
    <t>Q8IX15</t>
  </si>
  <si>
    <t>Q8IX18-3</t>
  </si>
  <si>
    <t>Q8IX90</t>
  </si>
  <si>
    <t>Q8IXB1</t>
  </si>
  <si>
    <t>Q8IXH7-4</t>
  </si>
  <si>
    <t>Q8IXJ6-2</t>
  </si>
  <si>
    <t>Q8IXK0-2</t>
  </si>
  <si>
    <t>Q8IXN7</t>
  </si>
  <si>
    <t>Q8IXQ3</t>
  </si>
  <si>
    <t>Q8IXQ4</t>
  </si>
  <si>
    <t>Q8IXW5-2</t>
  </si>
  <si>
    <t>Q8IY22</t>
  </si>
  <si>
    <t>Q8IY31</t>
  </si>
  <si>
    <t>Q8IY37</t>
  </si>
  <si>
    <t>Q8IY47</t>
  </si>
  <si>
    <t>Q8IY63-2</t>
  </si>
  <si>
    <t>Q8IY81</t>
  </si>
  <si>
    <t>Q8IY85</t>
  </si>
  <si>
    <t>Q8IY92</t>
  </si>
  <si>
    <t>Q8IYA6</t>
  </si>
  <si>
    <t>Q8IYB1</t>
  </si>
  <si>
    <t>Q8IYB5-3</t>
  </si>
  <si>
    <t>Q8IYB7</t>
  </si>
  <si>
    <t>Q8IYB8</t>
  </si>
  <si>
    <t>Q8IYD1</t>
  </si>
  <si>
    <t>Q8IYH5-4</t>
  </si>
  <si>
    <t>Q8IYI6</t>
  </si>
  <si>
    <t>Q8IYL3</t>
  </si>
  <si>
    <t>Q8IYN2</t>
  </si>
  <si>
    <t>Q8IYN9</t>
  </si>
  <si>
    <t>Q8IYQ7</t>
  </si>
  <si>
    <t>Q8IYR2</t>
  </si>
  <si>
    <t>Q8IYS1</t>
  </si>
  <si>
    <t>Q8IYT2</t>
  </si>
  <si>
    <t>Q8IYU8</t>
  </si>
  <si>
    <t>Q8IYW5</t>
  </si>
  <si>
    <t>Q8IZ07</t>
  </si>
  <si>
    <t>Q8IZ21-3</t>
  </si>
  <si>
    <t>Q8IZ41</t>
  </si>
  <si>
    <t>Q8IZ69</t>
  </si>
  <si>
    <t>Q8IZ73</t>
  </si>
  <si>
    <t>Q8IZ83</t>
  </si>
  <si>
    <t>Q8IZD2-6</t>
  </si>
  <si>
    <t>Q8IZD4</t>
  </si>
  <si>
    <t>Q8IZH2-2</t>
  </si>
  <si>
    <t>Q8IZP0-10</t>
  </si>
  <si>
    <t>Q8IZQ1-2</t>
  </si>
  <si>
    <t>Q8IZT6-2</t>
  </si>
  <si>
    <t>Q8IZW8</t>
  </si>
  <si>
    <t>Q8N0T1</t>
  </si>
  <si>
    <t>Q8N0U4-3</t>
  </si>
  <si>
    <t>Q8N0W3</t>
  </si>
  <si>
    <t>Q8N0X7</t>
  </si>
  <si>
    <t>Q8N0Z3</t>
  </si>
  <si>
    <t>Q8N0Z6</t>
  </si>
  <si>
    <t>Q8N108-17</t>
  </si>
  <si>
    <t>Q8N122</t>
  </si>
  <si>
    <t>Q8N129</t>
  </si>
  <si>
    <t>Q8N130</t>
  </si>
  <si>
    <t>Q8N142</t>
  </si>
  <si>
    <t>Q8N163</t>
  </si>
  <si>
    <t>Q8N1B4</t>
  </si>
  <si>
    <t>Q8N1F7</t>
  </si>
  <si>
    <t>Q8N1G0</t>
  </si>
  <si>
    <t>Q8N1G1</t>
  </si>
  <si>
    <t>Q8N1G2</t>
  </si>
  <si>
    <t>Q8N1G4</t>
  </si>
  <si>
    <t>Q8N1I0</t>
  </si>
  <si>
    <t>Q8N1W1-4</t>
  </si>
  <si>
    <t>Q8N201</t>
  </si>
  <si>
    <t>Q8N2F6-4</t>
  </si>
  <si>
    <t>Q8N2W9</t>
  </si>
  <si>
    <t>Q8N2Y8</t>
  </si>
  <si>
    <t>Q8N2Z9</t>
  </si>
  <si>
    <t>Q8N300</t>
  </si>
  <si>
    <t>Q8N302</t>
  </si>
  <si>
    <t>Q8N335</t>
  </si>
  <si>
    <t>Q8N371</t>
  </si>
  <si>
    <t>Q8N392</t>
  </si>
  <si>
    <t>Q8N3C0</t>
  </si>
  <si>
    <t>Q8N3C7</t>
  </si>
  <si>
    <t>Q8N3D4</t>
  </si>
  <si>
    <t>Q8N3F8</t>
  </si>
  <si>
    <t>Q8N3P4-3</t>
  </si>
  <si>
    <t>Q8N3R9</t>
  </si>
  <si>
    <t>Q8N3V7-2</t>
  </si>
  <si>
    <t>Q8N3X1</t>
  </si>
  <si>
    <t>Q8N3Y1</t>
  </si>
  <si>
    <t>Q8N465</t>
  </si>
  <si>
    <t>Q8N488</t>
  </si>
  <si>
    <t>Q8N4C8</t>
  </si>
  <si>
    <t>Q8N4J0</t>
  </si>
  <si>
    <t>Q8N4N3</t>
  </si>
  <si>
    <t>Q8N4P3</t>
  </si>
  <si>
    <t>Q8N4Q0</t>
  </si>
  <si>
    <t>Q8N4Q1</t>
  </si>
  <si>
    <t>Q8N4T8</t>
  </si>
  <si>
    <t>Q8N4X5</t>
  </si>
  <si>
    <t>Q8N543</t>
  </si>
  <si>
    <t>Q8N556</t>
  </si>
  <si>
    <t>Q8N573-2</t>
  </si>
  <si>
    <t>Q8N584-2</t>
  </si>
  <si>
    <t>Q8N5A5-3</t>
  </si>
  <si>
    <t>Q8N5C8-2</t>
  </si>
  <si>
    <t>Q8N5F7</t>
  </si>
  <si>
    <t>Q8N5G2</t>
  </si>
  <si>
    <t>Q8N5I9</t>
  </si>
  <si>
    <t>Q8N5M1</t>
  </si>
  <si>
    <t>Q8N5N7</t>
  </si>
  <si>
    <t>Q8N5P1</t>
  </si>
  <si>
    <t>Q8N5S9</t>
  </si>
  <si>
    <t>Q8N5W9</t>
  </si>
  <si>
    <t>Q8N5X7</t>
  </si>
  <si>
    <t>Q8N612</t>
  </si>
  <si>
    <t>Q8N653</t>
  </si>
  <si>
    <t>Q8N655</t>
  </si>
  <si>
    <t>Q8N668</t>
  </si>
  <si>
    <t>Q8N684</t>
  </si>
  <si>
    <t>Q8N6H7</t>
  </si>
  <si>
    <t>Q8N6I1</t>
  </si>
  <si>
    <t>Q8N6M0</t>
  </si>
  <si>
    <t>Q8N6N3-2</t>
  </si>
  <si>
    <t>Q8N6N7</t>
  </si>
  <si>
    <t>Q8N749</t>
  </si>
  <si>
    <t>Q8N7C3</t>
  </si>
  <si>
    <t>Q8N806</t>
  </si>
  <si>
    <t>Q8N819-2</t>
  </si>
  <si>
    <t>Q8N8A2</t>
  </si>
  <si>
    <t>Q8N8A6</t>
  </si>
  <si>
    <t>Q8N8N7</t>
  </si>
  <si>
    <t>Q8N8R5</t>
  </si>
  <si>
    <t>Q8N8R7</t>
  </si>
  <si>
    <t>Q8N8S7</t>
  </si>
  <si>
    <t>Q8N8S7-2</t>
  </si>
  <si>
    <t>Q8N8V4</t>
  </si>
  <si>
    <t>Q8N954</t>
  </si>
  <si>
    <t>Q8N961-2</t>
  </si>
  <si>
    <t>Q8N999</t>
  </si>
  <si>
    <t>Q8N9B5-2</t>
  </si>
  <si>
    <t>Q8N9M5</t>
  </si>
  <si>
    <t>Q8N9N2-2</t>
  </si>
  <si>
    <t>Q8N9N8</t>
  </si>
  <si>
    <t>Q8N9R8</t>
  </si>
  <si>
    <t>Q8N9V3</t>
  </si>
  <si>
    <t>Q8NAF0</t>
  </si>
  <si>
    <t>Q8NB15-2</t>
  </si>
  <si>
    <t>Q8NB16</t>
  </si>
  <si>
    <t>Q8NB37</t>
  </si>
  <si>
    <t>Q8NB46</t>
  </si>
  <si>
    <t>Q8NB78</t>
  </si>
  <si>
    <t>Q8NBA8</t>
  </si>
  <si>
    <t>Q8NBF2</t>
  </si>
  <si>
    <t>Q8NBF6</t>
  </si>
  <si>
    <t>Q8NBJ4-2</t>
  </si>
  <si>
    <t>Q8NBJ5</t>
  </si>
  <si>
    <t>Q8NBJ7</t>
  </si>
  <si>
    <t>Q8NBK3-4</t>
  </si>
  <si>
    <t>Q8NBL1</t>
  </si>
  <si>
    <t>Q8NC26-2</t>
  </si>
  <si>
    <t>Q8NC51-2</t>
  </si>
  <si>
    <t>Q8NC56</t>
  </si>
  <si>
    <t>Q8NC96</t>
  </si>
  <si>
    <t>Q8NCA5-2</t>
  </si>
  <si>
    <t>Q8NCC3</t>
  </si>
  <si>
    <t>Q8NCD3-3</t>
  </si>
  <si>
    <t>Q8NCE0-4</t>
  </si>
  <si>
    <t>Q8NCE2-2</t>
  </si>
  <si>
    <t>Q8NCF5</t>
  </si>
  <si>
    <t>Q8NCM8</t>
  </si>
  <si>
    <t>Q8NCN4</t>
  </si>
  <si>
    <t>Q8NCN5</t>
  </si>
  <si>
    <t>Q8NCW5</t>
  </si>
  <si>
    <t>Q8ND04</t>
  </si>
  <si>
    <t>Q8ND24</t>
  </si>
  <si>
    <t>Q8ND30</t>
  </si>
  <si>
    <t>Q8ND56-2</t>
  </si>
  <si>
    <t>Q8ND76-3</t>
  </si>
  <si>
    <t>Q8NDC0</t>
  </si>
  <si>
    <t>Q8NDF8</t>
  </si>
  <si>
    <t>Q8NDH3</t>
  </si>
  <si>
    <t>Q8NDI1-3</t>
  </si>
  <si>
    <t>Q8NDV7-6</t>
  </si>
  <si>
    <t>Q8NDX5-2</t>
  </si>
  <si>
    <t>Q8NE71</t>
  </si>
  <si>
    <t>Q8NEB9</t>
  </si>
  <si>
    <t>Q8NEC7</t>
  </si>
  <si>
    <t>Q8NEF9</t>
  </si>
  <si>
    <t>Q8NEL9-2</t>
  </si>
  <si>
    <t>Q8NEM0</t>
  </si>
  <si>
    <t>Q8NEM2</t>
  </si>
  <si>
    <t>Q8NEN9</t>
  </si>
  <si>
    <t>Q8NEU8</t>
  </si>
  <si>
    <t>Q8NEY1-2</t>
  </si>
  <si>
    <t>Q8NEZ2</t>
  </si>
  <si>
    <t>Q8NEZ4</t>
  </si>
  <si>
    <t>Q8NEZ5</t>
  </si>
  <si>
    <t>Q8NF67</t>
  </si>
  <si>
    <t>Q8NF91</t>
  </si>
  <si>
    <t>Q8NFA0</t>
  </si>
  <si>
    <t>Q8NFC6</t>
  </si>
  <si>
    <t>Q8NFF5-2</t>
  </si>
  <si>
    <t>Q8NFG4</t>
  </si>
  <si>
    <t>Q8NFH3</t>
  </si>
  <si>
    <t>Q8NFH4</t>
  </si>
  <si>
    <t>Q8NFH8-4</t>
  </si>
  <si>
    <t>Q8NFI3</t>
  </si>
  <si>
    <t>Q8NFQ8</t>
  </si>
  <si>
    <t>Q8NFV4</t>
  </si>
  <si>
    <t>Q8NFW8</t>
  </si>
  <si>
    <t>Q8NFZ5</t>
  </si>
  <si>
    <t>Q8NFZ8</t>
  </si>
  <si>
    <t>Q8NG08</t>
  </si>
  <si>
    <t>Q8NG27-3</t>
  </si>
  <si>
    <t>Q8NG31-2</t>
  </si>
  <si>
    <t>Q8NG68</t>
  </si>
  <si>
    <t>Q8NHG8</t>
  </si>
  <si>
    <t>Q8NHM4</t>
  </si>
  <si>
    <t>Q8NHM5-2</t>
  </si>
  <si>
    <t>Q8NHP8</t>
  </si>
  <si>
    <t>Q8NHU6</t>
  </si>
  <si>
    <t>Q8NHV4</t>
  </si>
  <si>
    <t>Q8NHZ8</t>
  </si>
  <si>
    <t>Q8NI08-2</t>
  </si>
  <si>
    <t>Q8NI22-2</t>
  </si>
  <si>
    <t>Q8NI27</t>
  </si>
  <si>
    <t>Q8NI35</t>
  </si>
  <si>
    <t>Q8NI36</t>
  </si>
  <si>
    <t>Q8TA86</t>
  </si>
  <si>
    <t>Q8TAD8</t>
  </si>
  <si>
    <t>Q8TAE6</t>
  </si>
  <si>
    <t>Q8TAE8</t>
  </si>
  <si>
    <t>Q8TAF3</t>
  </si>
  <si>
    <t>Q8TAP8</t>
  </si>
  <si>
    <t>Q8TAP9</t>
  </si>
  <si>
    <t>Q8TAQ2</t>
  </si>
  <si>
    <t>Q8TAT6</t>
  </si>
  <si>
    <t>Q8TB03</t>
  </si>
  <si>
    <t>Q8TB22</t>
  </si>
  <si>
    <t>Q8TB24</t>
  </si>
  <si>
    <t>Q8TB37</t>
  </si>
  <si>
    <t>Q8TB40</t>
  </si>
  <si>
    <t>Q8TB52</t>
  </si>
  <si>
    <t>Q8TB72-3</t>
  </si>
  <si>
    <t>Q8TBA6-2</t>
  </si>
  <si>
    <t>Q8TBB5-3</t>
  </si>
  <si>
    <t>Q8TBC4</t>
  </si>
  <si>
    <t>Q8TBE9</t>
  </si>
  <si>
    <t>Q8TBF2-4</t>
  </si>
  <si>
    <t>Q8TBM8</t>
  </si>
  <si>
    <t>Q8TBN0</t>
  </si>
  <si>
    <t>Q8TBX8</t>
  </si>
  <si>
    <t>Q8TBZ6</t>
  </si>
  <si>
    <t>Q8TC07-2</t>
  </si>
  <si>
    <t>Q8TCA0</t>
  </si>
  <si>
    <t>Q8TCD5</t>
  </si>
  <si>
    <t>Q8TCE6-2</t>
  </si>
  <si>
    <t>Q8TCG1</t>
  </si>
  <si>
    <t>Q8TCN5</t>
  </si>
  <si>
    <t>Q8TCS8</t>
  </si>
  <si>
    <t>Q8TCU4-3</t>
  </si>
  <si>
    <t>Q8TCU6</t>
  </si>
  <si>
    <t>Q8TCX1</t>
  </si>
  <si>
    <t>Q8TCY9</t>
  </si>
  <si>
    <t>Q8TD08-2</t>
  </si>
  <si>
    <t>Q8TD10</t>
  </si>
  <si>
    <t>Q8TD16</t>
  </si>
  <si>
    <t>Q8TD19</t>
  </si>
  <si>
    <t>Q8TD30</t>
  </si>
  <si>
    <t>Q8TD55-2</t>
  </si>
  <si>
    <t>Q8TDB6</t>
  </si>
  <si>
    <t>Q8TDD1</t>
  </si>
  <si>
    <t>Q8TDH9</t>
  </si>
  <si>
    <t>Q8TDJ6</t>
  </si>
  <si>
    <t>Q8TDM0-3</t>
  </si>
  <si>
    <t>Q8TDM6</t>
  </si>
  <si>
    <t>Q8TDN6</t>
  </si>
  <si>
    <t>Q8TDQ7</t>
  </si>
  <si>
    <t>Q8TDR0-2</t>
  </si>
  <si>
    <t>Q8TDX7</t>
  </si>
  <si>
    <t>Q8TDY2-2</t>
  </si>
  <si>
    <t>Q8TDZ2</t>
  </si>
  <si>
    <t>Q8TE04</t>
  </si>
  <si>
    <t>Q8TE76-3</t>
  </si>
  <si>
    <t>Q8TE77</t>
  </si>
  <si>
    <t>Q8TEA1</t>
  </si>
  <si>
    <t>Q8TEA7-3</t>
  </si>
  <si>
    <t>Q8TEA8</t>
  </si>
  <si>
    <t>Q8TEB1-2</t>
  </si>
  <si>
    <t>Q8TEH3</t>
  </si>
  <si>
    <t>Q8TEK3-2</t>
  </si>
  <si>
    <t>Q8TEQ0-2</t>
  </si>
  <si>
    <t>Q8TEQ6</t>
  </si>
  <si>
    <t>Q8TER5</t>
  </si>
  <si>
    <t>Q8TES7-5</t>
  </si>
  <si>
    <t>Q8TEV9</t>
  </si>
  <si>
    <t>Q8TEW0-2</t>
  </si>
  <si>
    <t>Q8TEX9</t>
  </si>
  <si>
    <t>Q8TF01</t>
  </si>
  <si>
    <t>Q8TF05-2</t>
  </si>
  <si>
    <t>Q8TF42</t>
  </si>
  <si>
    <t>Q8TF46</t>
  </si>
  <si>
    <t>Q8TF72</t>
  </si>
  <si>
    <t>Q8TF74</t>
  </si>
  <si>
    <t>Q8WTS6</t>
  </si>
  <si>
    <t>Q8WTV0-4</t>
  </si>
  <si>
    <t>Q8WTW3</t>
  </si>
  <si>
    <t>Q8WU20</t>
  </si>
  <si>
    <t>Q8WU76-2</t>
  </si>
  <si>
    <t>Q8WU79-2</t>
  </si>
  <si>
    <t>Q8WU90</t>
  </si>
  <si>
    <t>Q8WUA2</t>
  </si>
  <si>
    <t>Q8WUA4</t>
  </si>
  <si>
    <t>Q8WUA8</t>
  </si>
  <si>
    <t>Q8WUB8-3</t>
  </si>
  <si>
    <t>Q8WUD1</t>
  </si>
  <si>
    <t>Q8WUD4</t>
  </si>
  <si>
    <t>Q8WUF5</t>
  </si>
  <si>
    <t>Q8WUF8</t>
  </si>
  <si>
    <t>Q8WUH1</t>
  </si>
  <si>
    <t>Q8WUH2</t>
  </si>
  <si>
    <t>Q8WUH6</t>
  </si>
  <si>
    <t>Q8WUI4-3</t>
  </si>
  <si>
    <t>Q8WUJ0</t>
  </si>
  <si>
    <t>Q8WUM0</t>
  </si>
  <si>
    <t>Q8WUM4</t>
  </si>
  <si>
    <t>Q8WUN7</t>
  </si>
  <si>
    <t>Q8WUP2</t>
  </si>
  <si>
    <t>Q8WUR7</t>
  </si>
  <si>
    <t>Q8WUW1</t>
  </si>
  <si>
    <t>Q8WUX2</t>
  </si>
  <si>
    <t>Q8WUX9</t>
  </si>
  <si>
    <t>Q8WV22</t>
  </si>
  <si>
    <t>Q8WV41</t>
  </si>
  <si>
    <t>Q8WV92</t>
  </si>
  <si>
    <t>Q8WVB3</t>
  </si>
  <si>
    <t>Q8WVB6</t>
  </si>
  <si>
    <t>Q8WVC0</t>
  </si>
  <si>
    <t>Q8WVC2</t>
  </si>
  <si>
    <t>Q8WVD3</t>
  </si>
  <si>
    <t>Q8WVE0</t>
  </si>
  <si>
    <t>Q8WVJ2</t>
  </si>
  <si>
    <t>Q8WVK2</t>
  </si>
  <si>
    <t>Q8WVL7</t>
  </si>
  <si>
    <t>Q8WVM8</t>
  </si>
  <si>
    <t>Q8WVN8-3</t>
  </si>
  <si>
    <t>Q8WVT3</t>
  </si>
  <si>
    <t>Q8WVV4</t>
  </si>
  <si>
    <t>Q8WVV9-4</t>
  </si>
  <si>
    <t>Q8WVY7</t>
  </si>
  <si>
    <t>Q8WW01</t>
  </si>
  <si>
    <t>Q8WW12</t>
  </si>
  <si>
    <t>Q8WW59</t>
  </si>
  <si>
    <t>Q8WWC4</t>
  </si>
  <si>
    <t>Q8WWH5</t>
  </si>
  <si>
    <t>Q8WWM7</t>
  </si>
  <si>
    <t>Q8WWN8</t>
  </si>
  <si>
    <t>Q8WWX9</t>
  </si>
  <si>
    <t>Q8WWY3</t>
  </si>
  <si>
    <t>Q8WWZ3-2</t>
  </si>
  <si>
    <t>Q8WX92</t>
  </si>
  <si>
    <t>Q8WX93-3</t>
  </si>
  <si>
    <t>Q8WXA3-2</t>
  </si>
  <si>
    <t>Q8WXA9-2</t>
  </si>
  <si>
    <t>Q8WXD5</t>
  </si>
  <si>
    <t>Q8WXE0</t>
  </si>
  <si>
    <t>Q8WXE1-2</t>
  </si>
  <si>
    <t>Q8WXF1</t>
  </si>
  <si>
    <t>Q8WXG6-6</t>
  </si>
  <si>
    <t>Q8WXH0</t>
  </si>
  <si>
    <t>Q8WXI2-5</t>
  </si>
  <si>
    <t>Q8WXI4-2</t>
  </si>
  <si>
    <t>Q8WXI9</t>
  </si>
  <si>
    <t>Q8WXW3</t>
  </si>
  <si>
    <t>Q8WXX5</t>
  </si>
  <si>
    <t>Q8WYA0</t>
  </si>
  <si>
    <t>Q8WYA6</t>
  </si>
  <si>
    <t>Q8WYB5-3</t>
  </si>
  <si>
    <t>Q8WYL5</t>
  </si>
  <si>
    <t>Q8WYP3</t>
  </si>
  <si>
    <t>Q8WYP5</t>
  </si>
  <si>
    <t>Q8WZ73-3</t>
  </si>
  <si>
    <t>Q8WZ82</t>
  </si>
  <si>
    <t>Q8WZA0</t>
  </si>
  <si>
    <t>Q8WZA9</t>
  </si>
  <si>
    <t>Q92466</t>
  </si>
  <si>
    <t>Q92499</t>
  </si>
  <si>
    <t>Q92503-3</t>
  </si>
  <si>
    <t>Q92506</t>
  </si>
  <si>
    <t>Q92522</t>
  </si>
  <si>
    <t>Q92526</t>
  </si>
  <si>
    <t>Q92538</t>
  </si>
  <si>
    <t>Q92540-2</t>
  </si>
  <si>
    <t>Q92541</t>
  </si>
  <si>
    <t>Q92545</t>
  </si>
  <si>
    <t>Q92547</t>
  </si>
  <si>
    <t>Q92551</t>
  </si>
  <si>
    <t>Q92552</t>
  </si>
  <si>
    <t>Q92558</t>
  </si>
  <si>
    <t>Q92560</t>
  </si>
  <si>
    <t>Q92567-2</t>
  </si>
  <si>
    <t>Q92572</t>
  </si>
  <si>
    <t>Q92574</t>
  </si>
  <si>
    <t>Q92575</t>
  </si>
  <si>
    <t>Q92576-2</t>
  </si>
  <si>
    <t>Q92585</t>
  </si>
  <si>
    <t>Q92597</t>
  </si>
  <si>
    <t>Q92598-2</t>
  </si>
  <si>
    <t>Q92599-2</t>
  </si>
  <si>
    <t>Q92600</t>
  </si>
  <si>
    <t>Q92609</t>
  </si>
  <si>
    <t>Q92614-3</t>
  </si>
  <si>
    <t>Q92615</t>
  </si>
  <si>
    <t>Q92616</t>
  </si>
  <si>
    <t>Q92618</t>
  </si>
  <si>
    <t>Q92620</t>
  </si>
  <si>
    <t>Q92621</t>
  </si>
  <si>
    <t>Q92623</t>
  </si>
  <si>
    <t>Q92624</t>
  </si>
  <si>
    <t>Q92625</t>
  </si>
  <si>
    <t>Q92636</t>
  </si>
  <si>
    <t>Q92664-2</t>
  </si>
  <si>
    <t>Q92665</t>
  </si>
  <si>
    <t>Q92667</t>
  </si>
  <si>
    <t>Q92686</t>
  </si>
  <si>
    <t>Q92688-2</t>
  </si>
  <si>
    <t>Q92692</t>
  </si>
  <si>
    <t>Q92696</t>
  </si>
  <si>
    <t>Q92734-2</t>
  </si>
  <si>
    <t>Q92738</t>
  </si>
  <si>
    <t>Q92747</t>
  </si>
  <si>
    <t>Q92766</t>
  </si>
  <si>
    <t>Q92783-2</t>
  </si>
  <si>
    <t>Q92785</t>
  </si>
  <si>
    <t>Q92793</t>
  </si>
  <si>
    <t>Q92797</t>
  </si>
  <si>
    <t>Q92804-2</t>
  </si>
  <si>
    <t>Q92805</t>
  </si>
  <si>
    <t>Q92817</t>
  </si>
  <si>
    <t>Q92820</t>
  </si>
  <si>
    <t>Q92830</t>
  </si>
  <si>
    <t>Q92834-4</t>
  </si>
  <si>
    <t>Q92841</t>
  </si>
  <si>
    <t>Q92843-2</t>
  </si>
  <si>
    <t>Q92844</t>
  </si>
  <si>
    <t>Q92845-2</t>
  </si>
  <si>
    <t>Q92851-4</t>
  </si>
  <si>
    <t>Q92878</t>
  </si>
  <si>
    <t>Q92879-2</t>
  </si>
  <si>
    <t>Q92882</t>
  </si>
  <si>
    <t>Q92889</t>
  </si>
  <si>
    <t>Q92890</t>
  </si>
  <si>
    <t>Q92900</t>
  </si>
  <si>
    <t>Q92902-2</t>
  </si>
  <si>
    <t>Q92905</t>
  </si>
  <si>
    <t>Q92917</t>
  </si>
  <si>
    <t>Q92922</t>
  </si>
  <si>
    <t>Q92930</t>
  </si>
  <si>
    <t>Q92934</t>
  </si>
  <si>
    <t>Q92945</t>
  </si>
  <si>
    <t>Q92963-2</t>
  </si>
  <si>
    <t>Q92973-2</t>
  </si>
  <si>
    <t>Q92974-3</t>
  </si>
  <si>
    <t>Q92979</t>
  </si>
  <si>
    <t>Q92989-2</t>
  </si>
  <si>
    <t>Q92990</t>
  </si>
  <si>
    <t>Q92994-5</t>
  </si>
  <si>
    <t>Q92995-2</t>
  </si>
  <si>
    <t>Q93008</t>
  </si>
  <si>
    <t>Q93015</t>
  </si>
  <si>
    <t>Q93034</t>
  </si>
  <si>
    <t>Q93052</t>
  </si>
  <si>
    <t>Q93062-4</t>
  </si>
  <si>
    <t>Q93073-2</t>
  </si>
  <si>
    <t>Q93074-3</t>
  </si>
  <si>
    <t>Q93077</t>
  </si>
  <si>
    <t>Q93096</t>
  </si>
  <si>
    <t>Q93099</t>
  </si>
  <si>
    <t>Q93100-4</t>
  </si>
  <si>
    <t>Q969E4</t>
  </si>
  <si>
    <t>Q969E8</t>
  </si>
  <si>
    <t>Q969F9</t>
  </si>
  <si>
    <t>Q969G3-2</t>
  </si>
  <si>
    <t>Q969G5</t>
  </si>
  <si>
    <t>Q969G6</t>
  </si>
  <si>
    <t>Q969H8</t>
  </si>
  <si>
    <t>Q969K3</t>
  </si>
  <si>
    <t>Q969M3</t>
  </si>
  <si>
    <t>Q969Q0</t>
  </si>
  <si>
    <t>Q969R8</t>
  </si>
  <si>
    <t>Q969S3</t>
  </si>
  <si>
    <t>Q969S9-3</t>
  </si>
  <si>
    <t>Q969T7-2</t>
  </si>
  <si>
    <t>Q969U7</t>
  </si>
  <si>
    <t>Q969V5</t>
  </si>
  <si>
    <t>Q969W3-2</t>
  </si>
  <si>
    <t>Q969X0</t>
  </si>
  <si>
    <t>Q969X6</t>
  </si>
  <si>
    <t>Q969Y2-3</t>
  </si>
  <si>
    <t>Q969Z0</t>
  </si>
  <si>
    <t>Q96A00</t>
  </si>
  <si>
    <t>Q96A19</t>
  </si>
  <si>
    <t>Q96A37-3</t>
  </si>
  <si>
    <t>Q96A46</t>
  </si>
  <si>
    <t>Q96A49</t>
  </si>
  <si>
    <t>Q96A65</t>
  </si>
  <si>
    <t>Q96A72</t>
  </si>
  <si>
    <t>Q96A73</t>
  </si>
  <si>
    <t>Q96AB3</t>
  </si>
  <si>
    <t>Q96AB6</t>
  </si>
  <si>
    <t>Q96AC1</t>
  </si>
  <si>
    <t>Q96AE4</t>
  </si>
  <si>
    <t>Q96AE4-2</t>
  </si>
  <si>
    <t>Q96AG4</t>
  </si>
  <si>
    <t>Q96AJ9-1</t>
  </si>
  <si>
    <t>Q96AP0-2</t>
  </si>
  <si>
    <t>Q96AT1</t>
  </si>
  <si>
    <t>Q96AT9</t>
  </si>
  <si>
    <t>Q96AX1</t>
  </si>
  <si>
    <t>Q96AY3</t>
  </si>
  <si>
    <t>Q96AY4</t>
  </si>
  <si>
    <t>Q96B01-2</t>
  </si>
  <si>
    <t>Q96B02-2</t>
  </si>
  <si>
    <t>Q96B23-2</t>
  </si>
  <si>
    <t>Q96B26</t>
  </si>
  <si>
    <t>Q96B36</t>
  </si>
  <si>
    <t>Q96B45</t>
  </si>
  <si>
    <t>Q96B70</t>
  </si>
  <si>
    <t>Q96B97</t>
  </si>
  <si>
    <t>Q96BD5-2</t>
  </si>
  <si>
    <t>Q96BF6</t>
  </si>
  <si>
    <t>Q96BH1</t>
  </si>
  <si>
    <t>Q96BJ3</t>
  </si>
  <si>
    <t>Q96BK5</t>
  </si>
  <si>
    <t>Q96BM9</t>
  </si>
  <si>
    <t>Q96BN8</t>
  </si>
  <si>
    <t>Q96BP2</t>
  </si>
  <si>
    <t>Q96BP3</t>
  </si>
  <si>
    <t>Q96BR5</t>
  </si>
  <si>
    <t>Q96BS2</t>
  </si>
  <si>
    <t>Q96BT7</t>
  </si>
  <si>
    <t>Q96BW1</t>
  </si>
  <si>
    <t>Q96BW5-2</t>
  </si>
  <si>
    <t>Q96BX8</t>
  </si>
  <si>
    <t>Q96BY6</t>
  </si>
  <si>
    <t>Q96BY7</t>
  </si>
  <si>
    <t>Q96BZ8</t>
  </si>
  <si>
    <t>Q96BZ9</t>
  </si>
  <si>
    <t>Q96C01</t>
  </si>
  <si>
    <t>Q96C19</t>
  </si>
  <si>
    <t>Q96C23</t>
  </si>
  <si>
    <t>Q96C24</t>
  </si>
  <si>
    <t>Q96C34-2</t>
  </si>
  <si>
    <t>Q96C36</t>
  </si>
  <si>
    <t>Q96C57</t>
  </si>
  <si>
    <t>Q96C86</t>
  </si>
  <si>
    <t>Q96C90</t>
  </si>
  <si>
    <t>Q96CB8</t>
  </si>
  <si>
    <t>Q96CD0</t>
  </si>
  <si>
    <t>Q96CD2</t>
  </si>
  <si>
    <t>Q96CF2</t>
  </si>
  <si>
    <t>Q96CG3</t>
  </si>
  <si>
    <t>Q96CN4</t>
  </si>
  <si>
    <t>Q96CN7</t>
  </si>
  <si>
    <t>Q96CN9</t>
  </si>
  <si>
    <t>Q96CP2</t>
  </si>
  <si>
    <t>Q96CP6-2</t>
  </si>
  <si>
    <t>Q96CS2</t>
  </si>
  <si>
    <t>Q96CT7</t>
  </si>
  <si>
    <t>Q96CV9</t>
  </si>
  <si>
    <t>Q96CW1-2</t>
  </si>
  <si>
    <t>Q96CW5-2</t>
  </si>
  <si>
    <t>Q96CW6</t>
  </si>
  <si>
    <t>Q96CX2</t>
  </si>
  <si>
    <t>Q96CX6</t>
  </si>
  <si>
    <t>Q96D09</t>
  </si>
  <si>
    <t>Q96D46</t>
  </si>
  <si>
    <t>Q96D53</t>
  </si>
  <si>
    <t>Q96D71-3</t>
  </si>
  <si>
    <t>Q96DB5</t>
  </si>
  <si>
    <t>Q96DC7</t>
  </si>
  <si>
    <t>Q96DC9</t>
  </si>
  <si>
    <t>Q96DE0</t>
  </si>
  <si>
    <t>Q96DE5</t>
  </si>
  <si>
    <t>Q96DF8</t>
  </si>
  <si>
    <t>Q96DG6</t>
  </si>
  <si>
    <t>Q96DR7</t>
  </si>
  <si>
    <t>Q96DT6</t>
  </si>
  <si>
    <t>Q96DU7</t>
  </si>
  <si>
    <t>Q96DV4</t>
  </si>
  <si>
    <t>Q96DX5</t>
  </si>
  <si>
    <t>Q96DX5-2</t>
  </si>
  <si>
    <t>Q96DX7</t>
  </si>
  <si>
    <t>Q96E09</t>
  </si>
  <si>
    <t>Q96E11-3</t>
  </si>
  <si>
    <t>Q96E14</t>
  </si>
  <si>
    <t>Q96EA4</t>
  </si>
  <si>
    <t>Q96EB1</t>
  </si>
  <si>
    <t>Q96EB6</t>
  </si>
  <si>
    <t>Q96ED9-2</t>
  </si>
  <si>
    <t>Q96EE3</t>
  </si>
  <si>
    <t>Q96EH3</t>
  </si>
  <si>
    <t>Q96EI5</t>
  </si>
  <si>
    <t>Q96EK4</t>
  </si>
  <si>
    <t>Q96EK5</t>
  </si>
  <si>
    <t>Q96EK6</t>
  </si>
  <si>
    <t>Q96EK7</t>
  </si>
  <si>
    <t>Q96EK9</t>
  </si>
  <si>
    <t>Q96EL3</t>
  </si>
  <si>
    <t>Q96EM0</t>
  </si>
  <si>
    <t>Q96EN8</t>
  </si>
  <si>
    <t>Q96EP0</t>
  </si>
  <si>
    <t>Q96EP1-2</t>
  </si>
  <si>
    <t>Q96EP5</t>
  </si>
  <si>
    <t>Q96EQ0</t>
  </si>
  <si>
    <t>Q96ER3</t>
  </si>
  <si>
    <t>Q96ES7</t>
  </si>
  <si>
    <t>Q96EV2</t>
  </si>
  <si>
    <t>Q96EV8</t>
  </si>
  <si>
    <t>Q96EW2</t>
  </si>
  <si>
    <t>Q96EX3</t>
  </si>
  <si>
    <t>Q96EY1-2</t>
  </si>
  <si>
    <t>Q96EY4</t>
  </si>
  <si>
    <t>Q96EY5-3</t>
  </si>
  <si>
    <t>Q96EY7</t>
  </si>
  <si>
    <t>Q96EY8</t>
  </si>
  <si>
    <t>Q96EY9</t>
  </si>
  <si>
    <t>Q96EZ8-3</t>
  </si>
  <si>
    <t>Q96F24</t>
  </si>
  <si>
    <t>Q96F44-3</t>
  </si>
  <si>
    <t>Q96F46</t>
  </si>
  <si>
    <t>Q96F63</t>
  </si>
  <si>
    <t>Q96F86</t>
  </si>
  <si>
    <t>Q96FC7-2</t>
  </si>
  <si>
    <t>Q96FC9-4</t>
  </si>
  <si>
    <t>Q96FH0</t>
  </si>
  <si>
    <t>Q96FJ0</t>
  </si>
  <si>
    <t>Q96FK6</t>
  </si>
  <si>
    <t>Q96FQ6</t>
  </si>
  <si>
    <t>Q96FS4</t>
  </si>
  <si>
    <t>Q96FT9</t>
  </si>
  <si>
    <t>Q96FV0</t>
  </si>
  <si>
    <t>Q96FV2</t>
  </si>
  <si>
    <t>Q96FV9</t>
  </si>
  <si>
    <t>Q96FW1</t>
  </si>
  <si>
    <t>Q96FX2</t>
  </si>
  <si>
    <t>Q96FX7</t>
  </si>
  <si>
    <t>Q96FZ2</t>
  </si>
  <si>
    <t>Q96G03</t>
  </si>
  <si>
    <t>Q96G04</t>
  </si>
  <si>
    <t>Q96G25</t>
  </si>
  <si>
    <t>Q96G28</t>
  </si>
  <si>
    <t>Q96G46</t>
  </si>
  <si>
    <t>Q96G61</t>
  </si>
  <si>
    <t>Q96G74-3</t>
  </si>
  <si>
    <t>Q96GA3</t>
  </si>
  <si>
    <t>Q96GA7</t>
  </si>
  <si>
    <t>Q96GD0</t>
  </si>
  <si>
    <t>Q96GE4</t>
  </si>
  <si>
    <t>Q96GG9</t>
  </si>
  <si>
    <t>Q96GK7</t>
  </si>
  <si>
    <t>Q96GM5</t>
  </si>
  <si>
    <t>Q96GM8</t>
  </si>
  <si>
    <t>Q96GQ7</t>
  </si>
  <si>
    <t>Q96GS4</t>
  </si>
  <si>
    <t>Q96GV9</t>
  </si>
  <si>
    <t>Q96GW9</t>
  </si>
  <si>
    <t>Q96GX2</t>
  </si>
  <si>
    <t>Q96GX5</t>
  </si>
  <si>
    <t>Q96GX9</t>
  </si>
  <si>
    <t>Q96GX9-3</t>
  </si>
  <si>
    <t>Q96GY0</t>
  </si>
  <si>
    <t>Q96H20</t>
  </si>
  <si>
    <t>Q96H79</t>
  </si>
  <si>
    <t>Q96HA7-2</t>
  </si>
  <si>
    <t>Q96HA8</t>
  </si>
  <si>
    <t>Q96HC4</t>
  </si>
  <si>
    <t>Q96HD9</t>
  </si>
  <si>
    <t>Q96HE7</t>
  </si>
  <si>
    <t>Q96HJ9-2</t>
  </si>
  <si>
    <t>Q96HN2-2</t>
  </si>
  <si>
    <t>Q96HP4</t>
  </si>
  <si>
    <t>Q96HQ2</t>
  </si>
  <si>
    <t>Q96HS1-2</t>
  </si>
  <si>
    <t>Q96HW7</t>
  </si>
  <si>
    <t>Q96HY6</t>
  </si>
  <si>
    <t>Q96HY7</t>
  </si>
  <si>
    <t>Q96I15</t>
  </si>
  <si>
    <t>Q96I23</t>
  </si>
  <si>
    <t>Q96I24</t>
  </si>
  <si>
    <t>Q96I25</t>
  </si>
  <si>
    <t>Q96I59</t>
  </si>
  <si>
    <t>Q96I99</t>
  </si>
  <si>
    <t>Q96IF1</t>
  </si>
  <si>
    <t>Q96IJ6</t>
  </si>
  <si>
    <t>Q96IK1</t>
  </si>
  <si>
    <t>Q96IR7</t>
  </si>
  <si>
    <t>Q96IU4</t>
  </si>
  <si>
    <t>Q96IV0-2</t>
  </si>
  <si>
    <t>Q96IY1</t>
  </si>
  <si>
    <t>Q96IZ0</t>
  </si>
  <si>
    <t>Q96IZ5-2</t>
  </si>
  <si>
    <t>Q96IZ6</t>
  </si>
  <si>
    <t>Q96IZ7-2</t>
  </si>
  <si>
    <t>Q96J01</t>
  </si>
  <si>
    <t>Q96J02-2</t>
  </si>
  <si>
    <t>Q96J84</t>
  </si>
  <si>
    <t>Q96JB2</t>
  </si>
  <si>
    <t>Q96JB5</t>
  </si>
  <si>
    <t>Q96JC1-2</t>
  </si>
  <si>
    <t>Q96JC9</t>
  </si>
  <si>
    <t>Q96JE9</t>
  </si>
  <si>
    <t>Q96JG6</t>
  </si>
  <si>
    <t>Q96JG8-2</t>
  </si>
  <si>
    <t>Q96JH7</t>
  </si>
  <si>
    <t>Q96JI7-2</t>
  </si>
  <si>
    <t>Q96JK9</t>
  </si>
  <si>
    <t>Q96JM3</t>
  </si>
  <si>
    <t>Q96JP2</t>
  </si>
  <si>
    <t>Q96JP5</t>
  </si>
  <si>
    <t>Q96JQ2</t>
  </si>
  <si>
    <t>Q96JY6</t>
  </si>
  <si>
    <t>Q96KB5</t>
  </si>
  <si>
    <t>Q96KC8</t>
  </si>
  <si>
    <t>Q96KG9-3</t>
  </si>
  <si>
    <t>Q96KP1</t>
  </si>
  <si>
    <t>Q96KP4</t>
  </si>
  <si>
    <t>Q96KQ4</t>
  </si>
  <si>
    <t>Q96KR1</t>
  </si>
  <si>
    <t>Q96L35</t>
  </si>
  <si>
    <t>Q96L73-2</t>
  </si>
  <si>
    <t>Q96L91-5</t>
  </si>
  <si>
    <t>Q96L92</t>
  </si>
  <si>
    <t>Q96L93-6</t>
  </si>
  <si>
    <t>Q96LB3</t>
  </si>
  <si>
    <t>Q96LD4</t>
  </si>
  <si>
    <t>Q96LR5</t>
  </si>
  <si>
    <t>Q96LT7</t>
  </si>
  <si>
    <t>Q96M27</t>
  </si>
  <si>
    <t>Q96ME1-4</t>
  </si>
  <si>
    <t>Q96ME7-3</t>
  </si>
  <si>
    <t>Q96MG7</t>
  </si>
  <si>
    <t>Q96MH2</t>
  </si>
  <si>
    <t>Q96MU7-2</t>
  </si>
  <si>
    <t>Q96MW1</t>
  </si>
  <si>
    <t>Q96MX3</t>
  </si>
  <si>
    <t>Q96MX6</t>
  </si>
  <si>
    <t>Q96MY1</t>
  </si>
  <si>
    <t>Q96N06</t>
  </si>
  <si>
    <t>Q96N21-2</t>
  </si>
  <si>
    <t>Q96N67-4</t>
  </si>
  <si>
    <t>Q96NA2</t>
  </si>
  <si>
    <t>Q96NB1</t>
  </si>
  <si>
    <t>Q96NB3</t>
  </si>
  <si>
    <t>Q96NC0</t>
  </si>
  <si>
    <t>Q96NL6</t>
  </si>
  <si>
    <t>Q96NL8</t>
  </si>
  <si>
    <t>Q96NT1</t>
  </si>
  <si>
    <t>Q96NU7</t>
  </si>
  <si>
    <t>Q96NW4</t>
  </si>
  <si>
    <t>Q96P11-2</t>
  </si>
  <si>
    <t>Q96P16</t>
  </si>
  <si>
    <t>Q96P47</t>
  </si>
  <si>
    <t>Q96P48-3</t>
  </si>
  <si>
    <t>Q96P70</t>
  </si>
  <si>
    <t>Q96PD2</t>
  </si>
  <si>
    <t>Q96PE2</t>
  </si>
  <si>
    <t>Q96PE7</t>
  </si>
  <si>
    <t>Q96PK6</t>
  </si>
  <si>
    <t>Q96PM5</t>
  </si>
  <si>
    <t>Q96PN7-4</t>
  </si>
  <si>
    <t>Q96PQ7-5</t>
  </si>
  <si>
    <t>Q96PU4</t>
  </si>
  <si>
    <t>Q96PU5-7</t>
  </si>
  <si>
    <t>Q96PU8-9</t>
  </si>
  <si>
    <t>Q96PY5</t>
  </si>
  <si>
    <t>Q96PZ0</t>
  </si>
  <si>
    <t>Q96Q05-3</t>
  </si>
  <si>
    <t>Q96Q11-2</t>
  </si>
  <si>
    <t>Q96Q15</t>
  </si>
  <si>
    <t>Q96Q42</t>
  </si>
  <si>
    <t>Q96Q45-2</t>
  </si>
  <si>
    <t>Q96Q83</t>
  </si>
  <si>
    <t>Q96Q89-4</t>
  </si>
  <si>
    <t>Q96QC0</t>
  </si>
  <si>
    <t>Q96QE3-2</t>
  </si>
  <si>
    <t>Q96QF0-2</t>
  </si>
  <si>
    <t>Q96QG7</t>
  </si>
  <si>
    <t>Q96QK1</t>
  </si>
  <si>
    <t>Q96QP1</t>
  </si>
  <si>
    <t>Q96QR8</t>
  </si>
  <si>
    <t>Q96QU6</t>
  </si>
  <si>
    <t>Q96QU8</t>
  </si>
  <si>
    <t>Q96QZ7-7</t>
  </si>
  <si>
    <t>Q96R06</t>
  </si>
  <si>
    <t>Q96RE7</t>
  </si>
  <si>
    <t>Q96RF0-3</t>
  </si>
  <si>
    <t>Q96RG2</t>
  </si>
  <si>
    <t>Q96RK0</t>
  </si>
  <si>
    <t>Q96RL1</t>
  </si>
  <si>
    <t>Q96RN5-3</t>
  </si>
  <si>
    <t>Q96RP9</t>
  </si>
  <si>
    <t>Q96RR1</t>
  </si>
  <si>
    <t>Q96RR4-2</t>
  </si>
  <si>
    <t>Q96RS0</t>
  </si>
  <si>
    <t>Q96RS6</t>
  </si>
  <si>
    <t>Q96RT1-9</t>
  </si>
  <si>
    <t>Q96RT7-2</t>
  </si>
  <si>
    <t>Q96RU2-2</t>
  </si>
  <si>
    <t>Q96RU3-2</t>
  </si>
  <si>
    <t>Q96RW7-2</t>
  </si>
  <si>
    <t>Q96RY5</t>
  </si>
  <si>
    <t>Q96RY7</t>
  </si>
  <si>
    <t>Q96S19</t>
  </si>
  <si>
    <t>Q96S21</t>
  </si>
  <si>
    <t>Q96S38</t>
  </si>
  <si>
    <t>Q96S44</t>
  </si>
  <si>
    <t>Q96S55-2</t>
  </si>
  <si>
    <t>Q96S59</t>
  </si>
  <si>
    <t>Q96S66-4</t>
  </si>
  <si>
    <t>Q96S82</t>
  </si>
  <si>
    <t>Q96S90</t>
  </si>
  <si>
    <t>Q96S94</t>
  </si>
  <si>
    <t>Q96S99</t>
  </si>
  <si>
    <t>Q96SB3</t>
  </si>
  <si>
    <t>Q96SB4</t>
  </si>
  <si>
    <t>Q96SB8</t>
  </si>
  <si>
    <t>Q96SI1</t>
  </si>
  <si>
    <t>Q96SL8</t>
  </si>
  <si>
    <t>Q96SN8-4</t>
  </si>
  <si>
    <t>Q96ST2</t>
  </si>
  <si>
    <t>Q96ST3</t>
  </si>
  <si>
    <t>Q96SU4-7</t>
  </si>
  <si>
    <t>Q96SY0-4</t>
  </si>
  <si>
    <t>Q96SZ5</t>
  </si>
  <si>
    <t>Q96SZ6-2</t>
  </si>
  <si>
    <t>Q96T17</t>
  </si>
  <si>
    <t>Q96T21</t>
  </si>
  <si>
    <t>Q96T37-2</t>
  </si>
  <si>
    <t>Q96T51</t>
  </si>
  <si>
    <t>Q96T58</t>
  </si>
  <si>
    <t>Q96T60</t>
  </si>
  <si>
    <t>Q96T76</t>
  </si>
  <si>
    <t>Q96T88</t>
  </si>
  <si>
    <t>Q96TA1</t>
  </si>
  <si>
    <t>Q96TA2-3</t>
  </si>
  <si>
    <t>Q99081</t>
  </si>
  <si>
    <t>Q99417</t>
  </si>
  <si>
    <t>Q99426</t>
  </si>
  <si>
    <t>Q99436</t>
  </si>
  <si>
    <t>Q99447</t>
  </si>
  <si>
    <t>Q99459</t>
  </si>
  <si>
    <t>Q99460</t>
  </si>
  <si>
    <t>Q99471</t>
  </si>
  <si>
    <t>Q99487</t>
  </si>
  <si>
    <t>Q99496</t>
  </si>
  <si>
    <t>Q99497</t>
  </si>
  <si>
    <t>Q99501</t>
  </si>
  <si>
    <t>Q99504-2</t>
  </si>
  <si>
    <t>Q99519</t>
  </si>
  <si>
    <t>Q99536</t>
  </si>
  <si>
    <t>Q99541</t>
  </si>
  <si>
    <t>Q99543</t>
  </si>
  <si>
    <t>Q99543-2</t>
  </si>
  <si>
    <t>Q99549</t>
  </si>
  <si>
    <t>Q99567</t>
  </si>
  <si>
    <t>Q99569-2</t>
  </si>
  <si>
    <t>Q99570</t>
  </si>
  <si>
    <t>Q99574</t>
  </si>
  <si>
    <t>Q99575</t>
  </si>
  <si>
    <t>Q99583</t>
  </si>
  <si>
    <t>Q99584</t>
  </si>
  <si>
    <t>Q99598</t>
  </si>
  <si>
    <t>Q99611</t>
  </si>
  <si>
    <t>Q99614</t>
  </si>
  <si>
    <t>Q99615</t>
  </si>
  <si>
    <t>Q99618</t>
  </si>
  <si>
    <t>Q99622</t>
  </si>
  <si>
    <t>Q99627-2</t>
  </si>
  <si>
    <t>Q99633</t>
  </si>
  <si>
    <t>Q99638</t>
  </si>
  <si>
    <t>Q99653</t>
  </si>
  <si>
    <t>Q99661</t>
  </si>
  <si>
    <t>Q99674</t>
  </si>
  <si>
    <t>Q99685</t>
  </si>
  <si>
    <t>Q99700-4</t>
  </si>
  <si>
    <t>Q99707</t>
  </si>
  <si>
    <t>Q99708</t>
  </si>
  <si>
    <t>Q99714</t>
  </si>
  <si>
    <t>Q99729-3</t>
  </si>
  <si>
    <t>Q99733</t>
  </si>
  <si>
    <t>Q99747</t>
  </si>
  <si>
    <t>Q99757</t>
  </si>
  <si>
    <t>Q99766</t>
  </si>
  <si>
    <t>Q99767-2</t>
  </si>
  <si>
    <t>Q99797</t>
  </si>
  <si>
    <t>Q99798</t>
  </si>
  <si>
    <t>Q99816</t>
  </si>
  <si>
    <t>Q99829</t>
  </si>
  <si>
    <t>Q99832</t>
  </si>
  <si>
    <t>Q99871-3</t>
  </si>
  <si>
    <t>Q99878</t>
  </si>
  <si>
    <t>Q99879</t>
  </si>
  <si>
    <t>Q99933-4</t>
  </si>
  <si>
    <t>Q99959-2</t>
  </si>
  <si>
    <t>Q99961</t>
  </si>
  <si>
    <t>Q99986</t>
  </si>
  <si>
    <t>Q99996-5</t>
  </si>
  <si>
    <t>Q9BPU6</t>
  </si>
  <si>
    <t>Q9BPW8</t>
  </si>
  <si>
    <t>Q9BPX3</t>
  </si>
  <si>
    <t>Q9BPX5</t>
  </si>
  <si>
    <t>Q9BPX6-2</t>
  </si>
  <si>
    <t>Q9BPX7</t>
  </si>
  <si>
    <t>Q9BQ24</t>
  </si>
  <si>
    <t>Q9BQ39</t>
  </si>
  <si>
    <t>Q9BQ52</t>
  </si>
  <si>
    <t>Q9BQ61</t>
  </si>
  <si>
    <t>Q9BQ67</t>
  </si>
  <si>
    <t>Q9BQ69</t>
  </si>
  <si>
    <t>Q9BQ70</t>
  </si>
  <si>
    <t>Q9BQA1</t>
  </si>
  <si>
    <t>Q9BQC3</t>
  </si>
  <si>
    <t>Q9BQE3</t>
  </si>
  <si>
    <t>Q9BQE5</t>
  </si>
  <si>
    <t>Q9BQE9-4</t>
  </si>
  <si>
    <t>Q9BQG0</t>
  </si>
  <si>
    <t>Q9BQG2</t>
  </si>
  <si>
    <t>Q9BQI3-2</t>
  </si>
  <si>
    <t>Q9BQK8-2</t>
  </si>
  <si>
    <t>Q9BQL6</t>
  </si>
  <si>
    <t>Q9BQP7</t>
  </si>
  <si>
    <t>Q9BQS8</t>
  </si>
  <si>
    <t>Q9BR61</t>
  </si>
  <si>
    <t>Q9BR76</t>
  </si>
  <si>
    <t>Q9BRA0-2</t>
  </si>
  <si>
    <t>Q9BRA2</t>
  </si>
  <si>
    <t>Q9BRD0</t>
  </si>
  <si>
    <t>Q9BRF8</t>
  </si>
  <si>
    <t>Q9BRG1</t>
  </si>
  <si>
    <t>Q9BRK4</t>
  </si>
  <si>
    <t>Q9BRK5</t>
  </si>
  <si>
    <t>Q9BRP1</t>
  </si>
  <si>
    <t>Q9BRP4</t>
  </si>
  <si>
    <t>Q9BRP8-2</t>
  </si>
  <si>
    <t>Q9BRQ8</t>
  </si>
  <si>
    <t>Q9BRR6-2</t>
  </si>
  <si>
    <t>Q9BRR8</t>
  </si>
  <si>
    <t>Q9BRS2</t>
  </si>
  <si>
    <t>Q9BRS8</t>
  </si>
  <si>
    <t>Q9BRT3</t>
  </si>
  <si>
    <t>Q9BRT9</t>
  </si>
  <si>
    <t>Q9BRV8</t>
  </si>
  <si>
    <t>Q9BRX2</t>
  </si>
  <si>
    <t>Q9BRX5</t>
  </si>
  <si>
    <t>Q9BRX9</t>
  </si>
  <si>
    <t>Q9BS26</t>
  </si>
  <si>
    <t>Q9BS40</t>
  </si>
  <si>
    <t>Q9BSB4</t>
  </si>
  <si>
    <t>Q9BSD7</t>
  </si>
  <si>
    <t>Q9BSE5</t>
  </si>
  <si>
    <t>Q9BSH4</t>
  </si>
  <si>
    <t>Q9BSH5</t>
  </si>
  <si>
    <t>Q9BSJ2</t>
  </si>
  <si>
    <t>Q9BSJ5-3</t>
  </si>
  <si>
    <t>Q9BSJ8</t>
  </si>
  <si>
    <t>Q9BSL1</t>
  </si>
  <si>
    <t>Q9BSQ5</t>
  </si>
  <si>
    <t>Q9BST9-2</t>
  </si>
  <si>
    <t>Q9BSU1</t>
  </si>
  <si>
    <t>Q9BSV6</t>
  </si>
  <si>
    <t>Q9BSY4</t>
  </si>
  <si>
    <t>Q9BT09</t>
  </si>
  <si>
    <t>Q9BT17</t>
  </si>
  <si>
    <t>Q9BT25-3</t>
  </si>
  <si>
    <t>Q9BT30</t>
  </si>
  <si>
    <t>Q9BT73</t>
  </si>
  <si>
    <t>Q9BT78</t>
  </si>
  <si>
    <t>Q9BTA9</t>
  </si>
  <si>
    <t>Q9BTC0</t>
  </si>
  <si>
    <t>Q9BTE1-2</t>
  </si>
  <si>
    <t>Q9BTE3-2</t>
  </si>
  <si>
    <t>Q9BTE6</t>
  </si>
  <si>
    <t>Q9BTE7</t>
  </si>
  <si>
    <t>Q9BTF0</t>
  </si>
  <si>
    <t>Q9BTL3</t>
  </si>
  <si>
    <t>Q9BTM9</t>
  </si>
  <si>
    <t>Q9BTP7</t>
  </si>
  <si>
    <t>Q9BTT0</t>
  </si>
  <si>
    <t>Q9BTT4</t>
  </si>
  <si>
    <t>Q9BTT6</t>
  </si>
  <si>
    <t>Q9BTV5</t>
  </si>
  <si>
    <t>Q9BTV6</t>
  </si>
  <si>
    <t>Q9BTW9</t>
  </si>
  <si>
    <t>Q9BTX7</t>
  </si>
  <si>
    <t>Q9BTY2</t>
  </si>
  <si>
    <t>Q9BTY7</t>
  </si>
  <si>
    <t>Q9BTZ2</t>
  </si>
  <si>
    <t>Q9BU02</t>
  </si>
  <si>
    <t>Q9BU61-2</t>
  </si>
  <si>
    <t>Q9BU64</t>
  </si>
  <si>
    <t>Q9BU76-4</t>
  </si>
  <si>
    <t>Q9BU89</t>
  </si>
  <si>
    <t>Q9BUA3</t>
  </si>
  <si>
    <t>Q9BUB4</t>
  </si>
  <si>
    <t>Q9BUB5-2</t>
  </si>
  <si>
    <t>Q9BUE0</t>
  </si>
  <si>
    <t>Q9BUF5</t>
  </si>
  <si>
    <t>Q9BUH6</t>
  </si>
  <si>
    <t>Q9BUI4</t>
  </si>
  <si>
    <t>Q9BUJ2-2</t>
  </si>
  <si>
    <t>Q9BUK6-3</t>
  </si>
  <si>
    <t>Q9BUL9</t>
  </si>
  <si>
    <t>Q9BUP0</t>
  </si>
  <si>
    <t>Q9BUP3</t>
  </si>
  <si>
    <t>Q9BUQ8</t>
  </si>
  <si>
    <t>Q9BUR4</t>
  </si>
  <si>
    <t>Q9BUT1</t>
  </si>
  <si>
    <t>Q9BUT9</t>
  </si>
  <si>
    <t>Q9BUW7</t>
  </si>
  <si>
    <t>Q9BV19</t>
  </si>
  <si>
    <t>Q9BV20</t>
  </si>
  <si>
    <t>Q9BV36</t>
  </si>
  <si>
    <t>Q9BV36-2</t>
  </si>
  <si>
    <t>Q9BV44</t>
  </si>
  <si>
    <t>Q9BV57</t>
  </si>
  <si>
    <t>Q9BV57-2</t>
  </si>
  <si>
    <t>Q9BV68-2</t>
  </si>
  <si>
    <t>Q9BV73-2</t>
  </si>
  <si>
    <t>Q9BV79</t>
  </si>
  <si>
    <t>Q9BV86</t>
  </si>
  <si>
    <t>Q9BVA0</t>
  </si>
  <si>
    <t>Q9BVC3</t>
  </si>
  <si>
    <t>Q9BVC4</t>
  </si>
  <si>
    <t>Q9BVC5</t>
  </si>
  <si>
    <t>Q9BVG4</t>
  </si>
  <si>
    <t>Q9BVG8-2</t>
  </si>
  <si>
    <t>Q9BVI4</t>
  </si>
  <si>
    <t>Q9BVJ6</t>
  </si>
  <si>
    <t>Q9BVJ7</t>
  </si>
  <si>
    <t>Q9BVL4</t>
  </si>
  <si>
    <t>Q9BVM2</t>
  </si>
  <si>
    <t>Q9BVM4</t>
  </si>
  <si>
    <t>Q9BVQ7</t>
  </si>
  <si>
    <t>Q9BVR6</t>
  </si>
  <si>
    <t>Q9BVS4</t>
  </si>
  <si>
    <t>Q9BVV6-2</t>
  </si>
  <si>
    <t>Q9BVW5</t>
  </si>
  <si>
    <t>Q9BW04</t>
  </si>
  <si>
    <t>Q9BW19</t>
  </si>
  <si>
    <t>Q9BW27</t>
  </si>
  <si>
    <t>Q9BW30</t>
  </si>
  <si>
    <t>Q9BW61</t>
  </si>
  <si>
    <t>Q9BW62</t>
  </si>
  <si>
    <t>Q9BW71</t>
  </si>
  <si>
    <t>Q9BW83</t>
  </si>
  <si>
    <t>Q9BW85</t>
  </si>
  <si>
    <t>Q9BW91-2</t>
  </si>
  <si>
    <t>Q9BW92</t>
  </si>
  <si>
    <t>Q9BWD1</t>
  </si>
  <si>
    <t>Q9BWD3</t>
  </si>
  <si>
    <t>Q9BWE0</t>
  </si>
  <si>
    <t>Q9BWF3</t>
  </si>
  <si>
    <t>Q9BWH2</t>
  </si>
  <si>
    <t>Q9BWH6</t>
  </si>
  <si>
    <t>Q9BWJ5</t>
  </si>
  <si>
    <t>Q9BWS9-3</t>
  </si>
  <si>
    <t>Q9BWT3</t>
  </si>
  <si>
    <t>Q9BWT6</t>
  </si>
  <si>
    <t>Q9BWT7</t>
  </si>
  <si>
    <t>Q9BWU0</t>
  </si>
  <si>
    <t>Q9BWW5</t>
  </si>
  <si>
    <t>Q9BX40</t>
  </si>
  <si>
    <t>Q9BX63</t>
  </si>
  <si>
    <t>Q9BX68</t>
  </si>
  <si>
    <t>Q9BXB4</t>
  </si>
  <si>
    <t>Q9BXB5-2</t>
  </si>
  <si>
    <t>Q9BXF6</t>
  </si>
  <si>
    <t>Q9BXI6</t>
  </si>
  <si>
    <t>Q9BXJ9</t>
  </si>
  <si>
    <t>Q9BXK1</t>
  </si>
  <si>
    <t>Q9BXP5-4</t>
  </si>
  <si>
    <t>Q9BXR0</t>
  </si>
  <si>
    <t>Q9BXS5</t>
  </si>
  <si>
    <t>Q9BXS6-2</t>
  </si>
  <si>
    <t>Q9BXS6-4</t>
  </si>
  <si>
    <t>Q9BXV9</t>
  </si>
  <si>
    <t>Q9BXW6</t>
  </si>
  <si>
    <t>Q9BXW7-2</t>
  </si>
  <si>
    <t>Q9BXW9-2</t>
  </si>
  <si>
    <t>Q9BXY0</t>
  </si>
  <si>
    <t>Q9BY12-2</t>
  </si>
  <si>
    <t>Q9BY32</t>
  </si>
  <si>
    <t>Q9BY42</t>
  </si>
  <si>
    <t>Q9BY43</t>
  </si>
  <si>
    <t>Q9BY67-2</t>
  </si>
  <si>
    <t>Q9BY77</t>
  </si>
  <si>
    <t>Q9BY89</t>
  </si>
  <si>
    <t>Q9BYB4</t>
  </si>
  <si>
    <t>Q9BYC8</t>
  </si>
  <si>
    <t>Q9BYG5</t>
  </si>
  <si>
    <t>Q9BYJ9</t>
  </si>
  <si>
    <t>Q9BYM8</t>
  </si>
  <si>
    <t>Q9BYN0</t>
  </si>
  <si>
    <t>Q9BYN8</t>
  </si>
  <si>
    <t>Q9BYT8</t>
  </si>
  <si>
    <t>Q9BYV8</t>
  </si>
  <si>
    <t>Q9BYW2</t>
  </si>
  <si>
    <t>Q9BYX2-4</t>
  </si>
  <si>
    <t>Q9BZ23-3</t>
  </si>
  <si>
    <t>Q9BZ29-3</t>
  </si>
  <si>
    <t>Q9BZ67-2</t>
  </si>
  <si>
    <t>Q9BZ95-4</t>
  </si>
  <si>
    <t>Q9BZA5</t>
  </si>
  <si>
    <t>Q9BZD4</t>
  </si>
  <si>
    <t>Q9BZE4</t>
  </si>
  <si>
    <t>Q9BZE9</t>
  </si>
  <si>
    <t>Q9BZG1</t>
  </si>
  <si>
    <t>Q9BZH6</t>
  </si>
  <si>
    <t>Q9BZI7-2</t>
  </si>
  <si>
    <t>Q9BZJ0-2</t>
  </si>
  <si>
    <t>Q9BZK7</t>
  </si>
  <si>
    <t>Q9BZL1</t>
  </si>
  <si>
    <t>Q9BZL4</t>
  </si>
  <si>
    <t>Q9BZL4-3</t>
  </si>
  <si>
    <t>Q9BZL4-4</t>
  </si>
  <si>
    <t>Q9BZL6</t>
  </si>
  <si>
    <t>Q9BZM5</t>
  </si>
  <si>
    <t>Q9BZX2</t>
  </si>
  <si>
    <t>Q9BZZ5-2</t>
  </si>
  <si>
    <t>Q9C005</t>
  </si>
  <si>
    <t>Q9C010</t>
  </si>
  <si>
    <t>Q9C026-5</t>
  </si>
  <si>
    <t>Q9C0B0</t>
  </si>
  <si>
    <t>Q9C0B1</t>
  </si>
  <si>
    <t>Q9C0B5-2</t>
  </si>
  <si>
    <t>Q9C0B7</t>
  </si>
  <si>
    <t>Q9C0C2</t>
  </si>
  <si>
    <t>Q9C0C7-4</t>
  </si>
  <si>
    <t>Q9C0C9</t>
  </si>
  <si>
    <t>Q9C0D3</t>
  </si>
  <si>
    <t>Q9C0D5</t>
  </si>
  <si>
    <t>Q9C0F1</t>
  </si>
  <si>
    <t>Q9C0H6</t>
  </si>
  <si>
    <t>Q9C0I1</t>
  </si>
  <si>
    <t>Q9C0J8</t>
  </si>
  <si>
    <t>Q9GZL7</t>
  </si>
  <si>
    <t>Q9GZN1</t>
  </si>
  <si>
    <t>Q9GZN8</t>
  </si>
  <si>
    <t>Q9GZP4</t>
  </si>
  <si>
    <t>Q9GZQ3</t>
  </si>
  <si>
    <t>Q9GZR1-2</t>
  </si>
  <si>
    <t>Q9GZS1-2</t>
  </si>
  <si>
    <t>Q9GZS3</t>
  </si>
  <si>
    <t>Q9GZT3-2</t>
  </si>
  <si>
    <t>Q9GZT4</t>
  </si>
  <si>
    <t>Q9GZT8</t>
  </si>
  <si>
    <t>Q9GZT9</t>
  </si>
  <si>
    <t>Q9GZU8</t>
  </si>
  <si>
    <t>Q9GZV1</t>
  </si>
  <si>
    <t>Q9GZV5</t>
  </si>
  <si>
    <t>Q9GZX9</t>
  </si>
  <si>
    <t>Q9GZY8-2</t>
  </si>
  <si>
    <t>Q9GZZ9</t>
  </si>
  <si>
    <t>Q9H008</t>
  </si>
  <si>
    <t>Q9H074</t>
  </si>
  <si>
    <t>Q9H078-2</t>
  </si>
  <si>
    <t>Q9H081</t>
  </si>
  <si>
    <t>Q9H082</t>
  </si>
  <si>
    <t>Q9H098</t>
  </si>
  <si>
    <t>Q9H0A8</t>
  </si>
  <si>
    <t>Q9H0B6</t>
  </si>
  <si>
    <t>Q9H0C8</t>
  </si>
  <si>
    <t>Q9H0D6</t>
  </si>
  <si>
    <t>Q9H0E2</t>
  </si>
  <si>
    <t>Q9H0E3-3</t>
  </si>
  <si>
    <t>Q9H0E9-2</t>
  </si>
  <si>
    <t>Q9H0F6</t>
  </si>
  <si>
    <t>Q9H0F7</t>
  </si>
  <si>
    <t>Q9H0G5</t>
  </si>
  <si>
    <t>Q9H0H5</t>
  </si>
  <si>
    <t>Q9H0J9</t>
  </si>
  <si>
    <t>Q9H0K6</t>
  </si>
  <si>
    <t>Q9H0L4</t>
  </si>
  <si>
    <t>Q9H0P0-1</t>
  </si>
  <si>
    <t>Q9H0R1</t>
  </si>
  <si>
    <t>Q9H0R4</t>
  </si>
  <si>
    <t>Q9H0R6</t>
  </si>
  <si>
    <t>Q9H0S4-2</t>
  </si>
  <si>
    <t>Q9H0U4</t>
  </si>
  <si>
    <t>Q9H0W8</t>
  </si>
  <si>
    <t>Q9H0W9-2</t>
  </si>
  <si>
    <t>Q9H173</t>
  </si>
  <si>
    <t>Q9H1A4</t>
  </si>
  <si>
    <t>Q9H1B7</t>
  </si>
  <si>
    <t>Q9H1D9</t>
  </si>
  <si>
    <t>Q9H1E3</t>
  </si>
  <si>
    <t>Q9H1H9-3</t>
  </si>
  <si>
    <t>Q9H1I8-3</t>
  </si>
  <si>
    <t>Q9H1J1-2</t>
  </si>
  <si>
    <t>Q9H1K0</t>
  </si>
  <si>
    <t>Q9H1K1</t>
  </si>
  <si>
    <t>Q9H1P3-2</t>
  </si>
  <si>
    <t>Q9H1U4</t>
  </si>
  <si>
    <t>Q9H1Y0</t>
  </si>
  <si>
    <t>Q9H1Z4</t>
  </si>
  <si>
    <t>Q9H223</t>
  </si>
  <si>
    <t>Q9H267</t>
  </si>
  <si>
    <t>Q9H269</t>
  </si>
  <si>
    <t>Q9H270</t>
  </si>
  <si>
    <t>Q9H2C0</t>
  </si>
  <si>
    <t>Q9H2D6-3</t>
  </si>
  <si>
    <t>Q9H2F5-2</t>
  </si>
  <si>
    <t>Q9H2G2</t>
  </si>
  <si>
    <t>Q9H2H8</t>
  </si>
  <si>
    <t>Q9H2J4</t>
  </si>
  <si>
    <t>Q9H2K8</t>
  </si>
  <si>
    <t>Q9H2M9</t>
  </si>
  <si>
    <t>Q9H2P0</t>
  </si>
  <si>
    <t>Q9H2P9-3</t>
  </si>
  <si>
    <t>Q9H2U1-3</t>
  </si>
  <si>
    <t>Q9H2U2</t>
  </si>
  <si>
    <t>Q9H2W6</t>
  </si>
  <si>
    <t>Q9H2Y7</t>
  </si>
  <si>
    <t>Q9H307</t>
  </si>
  <si>
    <t>Q9H3D4-10</t>
  </si>
  <si>
    <t>Q9H3F6</t>
  </si>
  <si>
    <t>Q9H3H1-4</t>
  </si>
  <si>
    <t>Q9H3H3-2</t>
  </si>
  <si>
    <t>Q9H3K6</t>
  </si>
  <si>
    <t>Q9H3L0</t>
  </si>
  <si>
    <t>Q9H3N1</t>
  </si>
  <si>
    <t>Q9H3P2</t>
  </si>
  <si>
    <t>Q9H3P7</t>
  </si>
  <si>
    <t>Q9H3Q1</t>
  </si>
  <si>
    <t>Q9H3S7</t>
  </si>
  <si>
    <t>Q9H3U1</t>
  </si>
  <si>
    <t>Q9H3Y8</t>
  </si>
  <si>
    <t>Q9H410</t>
  </si>
  <si>
    <t>Q9H425</t>
  </si>
  <si>
    <t>Q9H444</t>
  </si>
  <si>
    <t>Q9H461</t>
  </si>
  <si>
    <t>Q9H467</t>
  </si>
  <si>
    <t>Q9H469</t>
  </si>
  <si>
    <t>Q9H479</t>
  </si>
  <si>
    <t>Q9H488</t>
  </si>
  <si>
    <t>Q9H492</t>
  </si>
  <si>
    <t>Q9H496</t>
  </si>
  <si>
    <t>Q9H4A4</t>
  </si>
  <si>
    <t>Q9H4A5</t>
  </si>
  <si>
    <t>Q9H4A6</t>
  </si>
  <si>
    <t>Q9H4B0</t>
  </si>
  <si>
    <t>Q9H4B6</t>
  </si>
  <si>
    <t>Q9H4F8</t>
  </si>
  <si>
    <t>Q9H4G0</t>
  </si>
  <si>
    <t>Q9H4G0-2</t>
  </si>
  <si>
    <t>Q9H4G0-4</t>
  </si>
  <si>
    <t>Q9H4H8</t>
  </si>
  <si>
    <t>Q9H4I2</t>
  </si>
  <si>
    <t>Q9H4L5-4</t>
  </si>
  <si>
    <t>Q9H4L7</t>
  </si>
  <si>
    <t>Q9H4M9</t>
  </si>
  <si>
    <t>Q9H4P4-2</t>
  </si>
  <si>
    <t>Q9H4Z3</t>
  </si>
  <si>
    <t>Q9H501</t>
  </si>
  <si>
    <t>Q9H582-2</t>
  </si>
  <si>
    <t>Q9H5N1</t>
  </si>
  <si>
    <t>Q9H5Q4</t>
  </si>
  <si>
    <t>Q9H5V9-3</t>
  </si>
  <si>
    <t>Q9H5X1</t>
  </si>
  <si>
    <t>Q9H5Z1-2</t>
  </si>
  <si>
    <t>Q9H609</t>
  </si>
  <si>
    <t>Q9H633-3</t>
  </si>
  <si>
    <t>Q9H672</t>
  </si>
  <si>
    <t>Q9H694</t>
  </si>
  <si>
    <t>Q9H6A9</t>
  </si>
  <si>
    <t>Q9H6D7</t>
  </si>
  <si>
    <t>Q9H6E4</t>
  </si>
  <si>
    <t>Q9H6E5</t>
  </si>
  <si>
    <t>Q9H6F5</t>
  </si>
  <si>
    <t>Q9H6I2</t>
  </si>
  <si>
    <t>Q9H6K1</t>
  </si>
  <si>
    <t>Q9H6L4</t>
  </si>
  <si>
    <t>Q9H6Q4</t>
  </si>
  <si>
    <t>Q9H6R4-2</t>
  </si>
  <si>
    <t>Q9H6R7-2</t>
  </si>
  <si>
    <t>Q9H6S0</t>
  </si>
  <si>
    <t>Q9H6S1</t>
  </si>
  <si>
    <t>Q9H6S3</t>
  </si>
  <si>
    <t>Q9H6T3-2</t>
  </si>
  <si>
    <t>Q9H6U6-2</t>
  </si>
  <si>
    <t>Q9H6X2</t>
  </si>
  <si>
    <t>Q9H6Y2</t>
  </si>
  <si>
    <t>Q9H6Z4-2</t>
  </si>
  <si>
    <t>Q9H706-2</t>
  </si>
  <si>
    <t>Q9H773</t>
  </si>
  <si>
    <t>Q9H788</t>
  </si>
  <si>
    <t>Q9H792</t>
  </si>
  <si>
    <t>Q9H7B4</t>
  </si>
  <si>
    <t>Q9H7C4-2</t>
  </si>
  <si>
    <t>Q9H7C9</t>
  </si>
  <si>
    <t>Q9H7D0</t>
  </si>
  <si>
    <t>Q9H7D7-2</t>
  </si>
  <si>
    <t>Q9H7E2-3</t>
  </si>
  <si>
    <t>Q9H7E9</t>
  </si>
  <si>
    <t>Q9H7L9</t>
  </si>
  <si>
    <t>Q9H7N4</t>
  </si>
  <si>
    <t>Q9H7P9</t>
  </si>
  <si>
    <t>Q9H7S9</t>
  </si>
  <si>
    <t>Q9H7U1-3</t>
  </si>
  <si>
    <t>Q9H7X3</t>
  </si>
  <si>
    <t>Q9H7X7-2</t>
  </si>
  <si>
    <t>Q9H7Z6</t>
  </si>
  <si>
    <t>Q9H7Z7</t>
  </si>
  <si>
    <t>Q9H814</t>
  </si>
  <si>
    <t>Q9H832</t>
  </si>
  <si>
    <t>Q9H840</t>
  </si>
  <si>
    <t>Q9H845</t>
  </si>
  <si>
    <t>Q9H857-2</t>
  </si>
  <si>
    <t>Q9H869-7</t>
  </si>
  <si>
    <t>Q9H875</t>
  </si>
  <si>
    <t>Q9H8G2</t>
  </si>
  <si>
    <t>Q9H8H0</t>
  </si>
  <si>
    <t>Q9H8K7</t>
  </si>
  <si>
    <t>Q9H8M7</t>
  </si>
  <si>
    <t>Q9H8S9</t>
  </si>
  <si>
    <t>Q9H8U3</t>
  </si>
  <si>
    <t>Q9H8V3</t>
  </si>
  <si>
    <t>Q9H8W4</t>
  </si>
  <si>
    <t>Q9H8Y5</t>
  </si>
  <si>
    <t>Q9H8Y8</t>
  </si>
  <si>
    <t>Q9H900</t>
  </si>
  <si>
    <t>Q9H910-2</t>
  </si>
  <si>
    <t>Q9H944</t>
  </si>
  <si>
    <t>Q9H974</t>
  </si>
  <si>
    <t>Q9H977</t>
  </si>
  <si>
    <t>Q9H992</t>
  </si>
  <si>
    <t>Q9H993</t>
  </si>
  <si>
    <t>Q9H999</t>
  </si>
  <si>
    <t>Q9H9A5-2</t>
  </si>
  <si>
    <t>Q9H9A6</t>
  </si>
  <si>
    <t>Q9H9A7</t>
  </si>
  <si>
    <t>Q9H9B1</t>
  </si>
  <si>
    <t>Q9H9C1</t>
  </si>
  <si>
    <t>Q9H9D4</t>
  </si>
  <si>
    <t>Q9H9E3</t>
  </si>
  <si>
    <t>Q9H9F9</t>
  </si>
  <si>
    <t>Q9H9H4</t>
  </si>
  <si>
    <t>Q9H9J2</t>
  </si>
  <si>
    <t>Q9H9R9</t>
  </si>
  <si>
    <t>Q9H9T3-2</t>
  </si>
  <si>
    <t>Q9H9Y6</t>
  </si>
  <si>
    <t>Q9HA47-3</t>
  </si>
  <si>
    <t>Q9HA64</t>
  </si>
  <si>
    <t>Q9HA65</t>
  </si>
  <si>
    <t>Q9HA77</t>
  </si>
  <si>
    <t>Q9HAB8</t>
  </si>
  <si>
    <t>Q9HAD4</t>
  </si>
  <si>
    <t>Q9HAJ7</t>
  </si>
  <si>
    <t>Q9HAP2</t>
  </si>
  <si>
    <t>Q9HAT2-2</t>
  </si>
  <si>
    <t>Q9HAU0</t>
  </si>
  <si>
    <t>Q9HAU4</t>
  </si>
  <si>
    <t>Q9HAU5</t>
  </si>
  <si>
    <t>Q9HAU8</t>
  </si>
  <si>
    <t>Q9HAV4</t>
  </si>
  <si>
    <t>Q9HAV7</t>
  </si>
  <si>
    <t>Q9HAW4-2</t>
  </si>
  <si>
    <t>Q9HAY6</t>
  </si>
  <si>
    <t>Q9HB07</t>
  </si>
  <si>
    <t>Q9HB09-3</t>
  </si>
  <si>
    <t>Q9HB19</t>
  </si>
  <si>
    <t>Q9HB20</t>
  </si>
  <si>
    <t>Q9HB21</t>
  </si>
  <si>
    <t>Q9HB40</t>
  </si>
  <si>
    <t>Q9HB71</t>
  </si>
  <si>
    <t>Q9HB90</t>
  </si>
  <si>
    <t>Q9HB96</t>
  </si>
  <si>
    <t>Q9HBD1-6</t>
  </si>
  <si>
    <t>Q9HBE1-4</t>
  </si>
  <si>
    <t>Q9HBH1</t>
  </si>
  <si>
    <t>Q9HBI1</t>
  </si>
  <si>
    <t>Q9HBK9</t>
  </si>
  <si>
    <t>Q9HBL8</t>
  </si>
  <si>
    <t>Q9HBM1</t>
  </si>
  <si>
    <t>Q9HBR0</t>
  </si>
  <si>
    <t>Q9HBU6</t>
  </si>
  <si>
    <t>Q9HBZ2-2</t>
  </si>
  <si>
    <t>Q9HC35</t>
  </si>
  <si>
    <t>Q9HC38-2</t>
  </si>
  <si>
    <t>Q9HC52</t>
  </si>
  <si>
    <t>Q9HC84</t>
  </si>
  <si>
    <t>Q9HCC0</t>
  </si>
  <si>
    <t>Q9HCC9-5</t>
  </si>
  <si>
    <t>Q9HCD5</t>
  </si>
  <si>
    <t>Q9HCD6</t>
  </si>
  <si>
    <t>Q9HCE0-2</t>
  </si>
  <si>
    <t>Q9HCE3</t>
  </si>
  <si>
    <t>Q9HCE5</t>
  </si>
  <si>
    <t>Q9HCH0</t>
  </si>
  <si>
    <t>Q9HCH5-11</t>
  </si>
  <si>
    <t>Q9HCH5-14</t>
  </si>
  <si>
    <t>Q9HCJ0</t>
  </si>
  <si>
    <t>Q9HCJ3-2</t>
  </si>
  <si>
    <t>Q9HCK8</t>
  </si>
  <si>
    <t>Q9HCM1</t>
  </si>
  <si>
    <t>Q9HCM4-4</t>
  </si>
  <si>
    <t>Q9HCN4-3</t>
  </si>
  <si>
    <t>Q9HCN8</t>
  </si>
  <si>
    <t>Q9HCP0-2</t>
  </si>
  <si>
    <t>Q9HCS5</t>
  </si>
  <si>
    <t>Q9HCU8</t>
  </si>
  <si>
    <t>Q9HD15</t>
  </si>
  <si>
    <t>Q9HD26-2</t>
  </si>
  <si>
    <t>Q9HD40-3</t>
  </si>
  <si>
    <t>Q9HD42</t>
  </si>
  <si>
    <t>Q9HD47-2</t>
  </si>
  <si>
    <t>Q9HD67</t>
  </si>
  <si>
    <t>Q9NNW5</t>
  </si>
  <si>
    <t>Q9NNX1-2</t>
  </si>
  <si>
    <t>Q9NP61</t>
  </si>
  <si>
    <t>Q9NP66</t>
  </si>
  <si>
    <t>Q9NP72</t>
  </si>
  <si>
    <t>Q9NP73-2</t>
  </si>
  <si>
    <t>Q9NP74</t>
  </si>
  <si>
    <t>Q9NP77</t>
  </si>
  <si>
    <t>Q9NP79</t>
  </si>
  <si>
    <t>Q9NP97</t>
  </si>
  <si>
    <t>Q9NPA3</t>
  </si>
  <si>
    <t>Q9NPA8-2</t>
  </si>
  <si>
    <t>Q9NPB8</t>
  </si>
  <si>
    <t>Q9NPD3</t>
  </si>
  <si>
    <t>Q9NPD8</t>
  </si>
  <si>
    <t>Q9NPE2</t>
  </si>
  <si>
    <t>Q9NPE3</t>
  </si>
  <si>
    <t>Q9NPF0</t>
  </si>
  <si>
    <t>Q9NPF4</t>
  </si>
  <si>
    <t>Q9NPF5</t>
  </si>
  <si>
    <t>Q9NPH0</t>
  </si>
  <si>
    <t>Q9NPI6</t>
  </si>
  <si>
    <t>Q9NPJ3</t>
  </si>
  <si>
    <t>Q9NPJ6</t>
  </si>
  <si>
    <t>Q9NPQ8-4</t>
  </si>
  <si>
    <t>Q9NQ29</t>
  </si>
  <si>
    <t>Q9NQ88</t>
  </si>
  <si>
    <t>Q9NQ92</t>
  </si>
  <si>
    <t>Q9NQA3</t>
  </si>
  <si>
    <t>Q9NQC3</t>
  </si>
  <si>
    <t>Q9NQE9</t>
  </si>
  <si>
    <t>Q9NQG5</t>
  </si>
  <si>
    <t>Q9NQH7-2</t>
  </si>
  <si>
    <t>Q9NQP4</t>
  </si>
  <si>
    <t>Q9NQR4</t>
  </si>
  <si>
    <t>Q9NQS1</t>
  </si>
  <si>
    <t>Q9NQS3</t>
  </si>
  <si>
    <t>Q9NQS7-2</t>
  </si>
  <si>
    <t>Q9NQT4</t>
  </si>
  <si>
    <t>Q9NQT8</t>
  </si>
  <si>
    <t>Q9NQW6</t>
  </si>
  <si>
    <t>Q9NQW7-3</t>
  </si>
  <si>
    <t>Q9NQX3</t>
  </si>
  <si>
    <t>Q9NQY0</t>
  </si>
  <si>
    <t>Q9NQZ2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</si>
  <si>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</si>
  <si>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</si>
  <si>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</si>
  <si>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</si>
  <si>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</si>
  <si>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</si>
  <si>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</si>
  <si>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</si>
  <si>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</si>
  <si>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Q9NR46</t>
  </si>
  <si>
    <t>Q9NR50</t>
  </si>
  <si>
    <t>Q9NRF2-3</t>
  </si>
  <si>
    <t>Q9NRF8</t>
  </si>
  <si>
    <t>Q9NRF9</t>
  </si>
  <si>
    <t>Q9NRG0</t>
  </si>
  <si>
    <t>Q9NRG1</t>
  </si>
  <si>
    <t>Q9NRG4</t>
  </si>
  <si>
    <t>Q9NRH1</t>
  </si>
  <si>
    <t>Q9NRJ4</t>
  </si>
  <si>
    <t>Q9NRL2-2</t>
  </si>
  <si>
    <t>Q9NRL3</t>
  </si>
  <si>
    <t>Q9NRN7</t>
  </si>
  <si>
    <t>Q9NRN9</t>
  </si>
  <si>
    <t>Q9NRR5</t>
  </si>
  <si>
    <t>Q9NRR6-2</t>
  </si>
  <si>
    <t>Q9NRS6</t>
  </si>
  <si>
    <t>Q9NRV9</t>
  </si>
  <si>
    <t>Q9NRW7</t>
  </si>
  <si>
    <t>Q9NRX1</t>
  </si>
  <si>
    <t>Q9NRX4</t>
  </si>
  <si>
    <t>Q9NRY2</t>
  </si>
  <si>
    <t>Q9NRY4</t>
  </si>
  <si>
    <t>Q9NRY5</t>
  </si>
  <si>
    <t>Q9NRZ9-3</t>
  </si>
  <si>
    <t>Q9NS18</t>
  </si>
  <si>
    <t>Q9NS37</t>
  </si>
  <si>
    <t>Q9NS73-3</t>
  </si>
  <si>
    <t>Q9NS86</t>
  </si>
  <si>
    <t>Q9NS87-2</t>
  </si>
  <si>
    <t>Q9NS91</t>
  </si>
  <si>
    <t>Q9NSA3</t>
  </si>
  <si>
    <t>Q9NSB8-2</t>
  </si>
  <si>
    <t>Q9NSC5-5</t>
  </si>
  <si>
    <t>Q9NSD9</t>
  </si>
  <si>
    <t>Q9NSE4</t>
  </si>
  <si>
    <t>Q9NSI2-2</t>
  </si>
  <si>
    <t>Q9NSK0</t>
  </si>
  <si>
    <t>Q9NT62</t>
  </si>
  <si>
    <t>Q9NTI5-2</t>
  </si>
  <si>
    <t>Q9NTJ3</t>
  </si>
  <si>
    <t>Q9NTJ4-3</t>
  </si>
  <si>
    <t>Q9NTK5</t>
  </si>
  <si>
    <t>Q9NTK5-2</t>
  </si>
  <si>
    <t>Q9NTM9</t>
  </si>
  <si>
    <t>Q9NTN9</t>
  </si>
  <si>
    <t>Q9NTX5-6</t>
  </si>
  <si>
    <t>Q9NTX7-2</t>
  </si>
  <si>
    <t>Q9NTZ6</t>
  </si>
  <si>
    <t>Q9NU22</t>
  </si>
  <si>
    <t>Q9NUB1-2</t>
  </si>
  <si>
    <t>Q9NUG6</t>
  </si>
  <si>
    <t>Q9NUJ1</t>
  </si>
  <si>
    <t>Q9NUJ3</t>
  </si>
  <si>
    <t>Q9NUM4</t>
  </si>
  <si>
    <t>Q9NUP1</t>
  </si>
  <si>
    <t>Q9NUP7</t>
  </si>
  <si>
    <t>Q9NUP9</t>
  </si>
  <si>
    <t>Q9NUQ3</t>
  </si>
  <si>
    <t>Q9NUQ6-2</t>
  </si>
  <si>
    <t>Q9NUQ8</t>
  </si>
  <si>
    <t>Q9NUQ9</t>
  </si>
  <si>
    <t>Q9NUU7</t>
  </si>
  <si>
    <t>Q9NUW8</t>
  </si>
  <si>
    <t>Q9NUY8</t>
  </si>
  <si>
    <t>Q9NV06</t>
  </si>
  <si>
    <t>Q9NV35</t>
  </si>
  <si>
    <t>Q9NV56</t>
  </si>
  <si>
    <t>Q9NV70-2</t>
  </si>
  <si>
    <t>Q9NV88-3</t>
  </si>
  <si>
    <t>Q9NVA4</t>
  </si>
  <si>
    <t>Q9NVD7</t>
  </si>
  <si>
    <t>Q9NVE5</t>
  </si>
  <si>
    <t>Q9NVE7</t>
  </si>
  <si>
    <t>Q9NVF7</t>
  </si>
  <si>
    <t>Q9NVG8</t>
  </si>
  <si>
    <t>Q9NVH2-3</t>
  </si>
  <si>
    <t>Q9NVH6-7</t>
  </si>
  <si>
    <t>Q9NVI1</t>
  </si>
  <si>
    <t>Q9NVJ2</t>
  </si>
  <si>
    <t>Q9NVM4-3</t>
  </si>
  <si>
    <t>Q9NVM6</t>
  </si>
  <si>
    <t>Q9NVM9</t>
  </si>
  <si>
    <t>Q9NVN3</t>
  </si>
  <si>
    <t>Q9NVN8</t>
  </si>
  <si>
    <t>Q9NVP2</t>
  </si>
  <si>
    <t>Q9NVQ4</t>
  </si>
  <si>
    <t>Q9NVR0</t>
  </si>
  <si>
    <t>Q9NVR2</t>
  </si>
  <si>
    <t>Q9NVR5</t>
  </si>
  <si>
    <t>Q9NVS9</t>
  </si>
  <si>
    <t>Q9NVT9</t>
  </si>
  <si>
    <t>Q9NVU0-5</t>
  </si>
  <si>
    <t>Q9NVU7-2</t>
  </si>
  <si>
    <t>Q9NVW2</t>
  </si>
  <si>
    <t>Q9NVX0-3</t>
  </si>
  <si>
    <t>Q9NVX2</t>
  </si>
  <si>
    <t>Q9NVX7</t>
  </si>
  <si>
    <t>Q9NVZ3</t>
  </si>
  <si>
    <t>Q9NW08-2</t>
  </si>
  <si>
    <t>Q9NW64</t>
  </si>
  <si>
    <t>Q9NW75</t>
  </si>
  <si>
    <t>Q9NW82</t>
  </si>
  <si>
    <t>Q9NW97</t>
  </si>
  <si>
    <t>Q9NWA0</t>
  </si>
  <si>
    <t>Q9NWB6</t>
  </si>
  <si>
    <t>Q9NWF9</t>
  </si>
  <si>
    <t>Q9NWH9</t>
  </si>
  <si>
    <t>Q9NWK9</t>
  </si>
  <si>
    <t>Q9NWM0-2</t>
  </si>
  <si>
    <t>Q9NWM3</t>
  </si>
  <si>
    <t>Q9NWM8</t>
  </si>
  <si>
    <t>Q9NWQ4-4</t>
  </si>
  <si>
    <t>Q9NWQ9</t>
  </si>
  <si>
    <t>Q9NWS0</t>
  </si>
  <si>
    <t>Q9NWS1-5</t>
  </si>
  <si>
    <t>Q9NWS6</t>
  </si>
  <si>
    <t>Q9NWT6</t>
  </si>
  <si>
    <t>Q9NWU1</t>
  </si>
  <si>
    <t>Q9NWU2</t>
  </si>
  <si>
    <t>Q9NWV4</t>
  </si>
  <si>
    <t>Q9NWW6-2</t>
  </si>
  <si>
    <t>Q9NWX5</t>
  </si>
  <si>
    <t>Q9NWX6</t>
  </si>
  <si>
    <t>Q9NWY4</t>
  </si>
  <si>
    <t>Q9NWZ3</t>
  </si>
  <si>
    <t>Q9NWZ5</t>
  </si>
  <si>
    <t>Q9NWZ8</t>
  </si>
  <si>
    <t>Q9NX01</t>
  </si>
  <si>
    <t>Q9NX02-5</t>
  </si>
  <si>
    <t>Q9NX05</t>
  </si>
  <si>
    <t>Q9NX07</t>
  </si>
  <si>
    <t>Q9NX08</t>
  </si>
  <si>
    <t>Q9NX24</t>
  </si>
  <si>
    <t>Q9NX38</t>
  </si>
  <si>
    <t>Q9NX46</t>
  </si>
  <si>
    <t>Q9NX55</t>
  </si>
  <si>
    <t>Q9NX58</t>
  </si>
  <si>
    <t>Q9NX70</t>
  </si>
  <si>
    <t>Q9NX74</t>
  </si>
  <si>
    <t>Q9NXA8</t>
  </si>
  <si>
    <t>Q9NXC5</t>
  </si>
  <si>
    <t>Q9NXD2</t>
  </si>
  <si>
    <t>Q9NXE8</t>
  </si>
  <si>
    <t>Q9NXF7</t>
  </si>
  <si>
    <t>Q9NXG2</t>
  </si>
  <si>
    <t>Q9NXG6</t>
  </si>
  <si>
    <t>Q9NXH9-2</t>
  </si>
  <si>
    <t>Q9NXR1-2</t>
  </si>
  <si>
    <t>Q9NXR7</t>
  </si>
  <si>
    <t>Q9NXV2</t>
  </si>
  <si>
    <t>Q9NXV6</t>
  </si>
  <si>
    <t>Q9NXW2</t>
  </si>
  <si>
    <t>Q9NXW9</t>
  </si>
  <si>
    <t>Q9NXX6</t>
  </si>
  <si>
    <t>Q9NY27</t>
  </si>
  <si>
    <t>Q9NY33</t>
  </si>
  <si>
    <t>Q9NY61</t>
  </si>
  <si>
    <t>Q9NY93</t>
  </si>
  <si>
    <t>Q9NYB0</t>
  </si>
  <si>
    <t>Q9NYB9-2</t>
  </si>
  <si>
    <t>Q9NYF8-2</t>
  </si>
  <si>
    <t>Q9NYG5</t>
  </si>
  <si>
    <t>Q9NYJ1</t>
  </si>
  <si>
    <t>Q9NYJ8</t>
  </si>
  <si>
    <t>Q9NYK6-3</t>
  </si>
  <si>
    <t>Q9NYL2</t>
  </si>
  <si>
    <t>Q9NYL2-2</t>
  </si>
  <si>
    <t>Q9NYL9</t>
  </si>
  <si>
    <t>Q9NYP9</t>
  </si>
  <si>
    <t>Q9NYQ6</t>
  </si>
  <si>
    <t>Q9NYS0</t>
  </si>
  <si>
    <t>Q9NYT0</t>
  </si>
  <si>
    <t>Q9NYU2-2</t>
  </si>
  <si>
    <t>Q9NYV4-2</t>
  </si>
  <si>
    <t>Q9NYY8</t>
  </si>
  <si>
    <t>Q9NYZ3</t>
  </si>
  <si>
    <t>Q9NZ08</t>
  </si>
  <si>
    <t>Q9NZ09</t>
  </si>
  <si>
    <t>Q9NZ32</t>
  </si>
  <si>
    <t>Q9NZ45</t>
  </si>
  <si>
    <t>Q9NZ52</t>
  </si>
  <si>
    <t>Q9NZ63</t>
  </si>
  <si>
    <t>Q9NZB2</t>
  </si>
  <si>
    <t>Q9NZC9</t>
  </si>
  <si>
    <t>Q9NZD2</t>
  </si>
  <si>
    <t>Q9NZD8-2</t>
  </si>
  <si>
    <t>Q9NZI8</t>
  </si>
  <si>
    <t>Q9NZJ9</t>
  </si>
  <si>
    <t>Q9NZJ9-2</t>
  </si>
  <si>
    <t>Q9NZL4</t>
  </si>
  <si>
    <t>Q9NZL9</t>
  </si>
  <si>
    <t>Q9NZM1-6</t>
  </si>
  <si>
    <t>Q9NZM3-2</t>
  </si>
  <si>
    <t>Q9NZM4-2</t>
  </si>
  <si>
    <t>Q9NZN3</t>
  </si>
  <si>
    <t>Q9NZN4</t>
  </si>
  <si>
    <t>Q9NZN5</t>
  </si>
  <si>
    <t>Q9NZN8</t>
  </si>
  <si>
    <t>Q9NZQ3-3</t>
  </si>
  <si>
    <t>Q9NZT2-2</t>
  </si>
  <si>
    <t>Q9NZU0</t>
  </si>
  <si>
    <t>Q9NZU5</t>
  </si>
  <si>
    <t>Q9NZV1</t>
  </si>
  <si>
    <t>Q9NZW5</t>
  </si>
  <si>
    <t>Q9NZZ3</t>
  </si>
  <si>
    <t>Q9P000</t>
  </si>
  <si>
    <t>Q9P013</t>
  </si>
  <si>
    <t>Q9P016</t>
  </si>
  <si>
    <t>Q9P021</t>
  </si>
  <si>
    <t>Q9P0J1</t>
  </si>
  <si>
    <t>Q9P0J7</t>
  </si>
  <si>
    <t>Q9P0K7</t>
  </si>
  <si>
    <t>Q9P0L0</t>
  </si>
  <si>
    <t>Q9P0N9-3</t>
  </si>
  <si>
    <t>Q9P0P0</t>
  </si>
  <si>
    <t>Q9P0P8</t>
  </si>
  <si>
    <t>Q9P0R6</t>
  </si>
  <si>
    <t>Q9P0U4</t>
  </si>
  <si>
    <t>Q9P0V3</t>
  </si>
  <si>
    <t>Q9P0W2-2</t>
  </si>
  <si>
    <t>Q9P1F3</t>
  </si>
  <si>
    <t>Q9P1U0</t>
  </si>
  <si>
    <t>Q9P1U1-2</t>
  </si>
  <si>
    <t>Q9P1V8</t>
  </si>
  <si>
    <t>Q9P1Y5</t>
  </si>
  <si>
    <t>Q9P1Z2-2</t>
  </si>
  <si>
    <t>Q9P206-2</t>
  </si>
  <si>
    <t>Q9P212</t>
  </si>
  <si>
    <t>Q9P215</t>
  </si>
  <si>
    <t>Q9P219</t>
  </si>
  <si>
    <t>Q9P227</t>
  </si>
  <si>
    <t>Q9P253</t>
  </si>
  <si>
    <t>Q9P258</t>
  </si>
  <si>
    <t>Q9P260</t>
  </si>
  <si>
    <t>Q9P260-2</t>
  </si>
  <si>
    <t>Q9P265</t>
  </si>
  <si>
    <t>Q9P266</t>
  </si>
  <si>
    <t>Q9P270</t>
  </si>
  <si>
    <t>Q9P275</t>
  </si>
  <si>
    <t>Q9P287</t>
  </si>
  <si>
    <t>Q9P287-2</t>
  </si>
  <si>
    <t>Q9P289</t>
  </si>
  <si>
    <t>Q9P299</t>
  </si>
  <si>
    <t>Q9P2B2</t>
  </si>
  <si>
    <t>Q9P2B4</t>
  </si>
  <si>
    <t>Q9P2B7-2</t>
  </si>
  <si>
    <t>Q9P2D1</t>
  </si>
  <si>
    <t>Q9P2D3-3</t>
  </si>
  <si>
    <t>Q9P2D6-3</t>
  </si>
  <si>
    <t>Q9P2D7-5</t>
  </si>
  <si>
    <t>Q9P2E3</t>
  </si>
  <si>
    <t>Q9P2E9</t>
  </si>
  <si>
    <t>Q9P2H3</t>
  </si>
  <si>
    <t>Q9P2I0</t>
  </si>
  <si>
    <t>Q9P2J5</t>
  </si>
  <si>
    <t>Q9P2K3-4</t>
  </si>
  <si>
    <t>Q9P2K5-2</t>
  </si>
  <si>
    <t>Q9P2K6</t>
  </si>
  <si>
    <t>Q9P2K8-2</t>
  </si>
  <si>
    <t>Q9P2M4</t>
  </si>
  <si>
    <t>Q9P2M7</t>
  </si>
  <si>
    <t>Q9P2N5</t>
  </si>
  <si>
    <t>Q9P2N6-3</t>
  </si>
  <si>
    <t>Q9P2R3</t>
  </si>
  <si>
    <t>Q9P2R6</t>
  </si>
  <si>
    <t>Q9P2S5</t>
  </si>
  <si>
    <t>Q9P2W1</t>
  </si>
  <si>
    <t>Q9P2X3</t>
  </si>
  <si>
    <t>Q9P2Y4</t>
  </si>
  <si>
    <t>Q9P2Y5</t>
  </si>
  <si>
    <t>Q9UBB4</t>
  </si>
  <si>
    <t>Q9UBB5</t>
  </si>
  <si>
    <t>Q9UBB6</t>
  </si>
  <si>
    <t>Q9UBB9</t>
  </si>
  <si>
    <t>Q9UBC2-2</t>
  </si>
  <si>
    <t>Q9UBD5</t>
  </si>
  <si>
    <t>Q9UBE0</t>
  </si>
  <si>
    <t>Q9UBF2</t>
  </si>
  <si>
    <t>Q9UBF6</t>
  </si>
  <si>
    <t>Q9UBF8-2</t>
  </si>
  <si>
    <t>Q9UBG0</t>
  </si>
  <si>
    <t>Q9UBI1</t>
  </si>
  <si>
    <t>Q9UBI6</t>
  </si>
  <si>
    <t>Q9UBK8-2</t>
  </si>
  <si>
    <t>Q9UBK9</t>
  </si>
  <si>
    <t>Q9UBL3-3</t>
  </si>
  <si>
    <t>Q9UBN6</t>
  </si>
  <si>
    <t>Q9UBP0-3</t>
  </si>
  <si>
    <t>Q9UBP0-4</t>
  </si>
  <si>
    <t>Q9UBP6</t>
  </si>
  <si>
    <t>Q9UBP9-4</t>
  </si>
  <si>
    <t>Q9UBQ0</t>
  </si>
  <si>
    <t>Q9UBQ7</t>
  </si>
  <si>
    <t>Q9UBR2</t>
  </si>
  <si>
    <t>Q9UBS0</t>
  </si>
  <si>
    <t>Q9UBS4</t>
  </si>
  <si>
    <t>Q9UBS8</t>
  </si>
  <si>
    <t>Q9UBT2</t>
  </si>
  <si>
    <t>Q9UBT7-2</t>
  </si>
  <si>
    <t>Q9UBU9</t>
  </si>
  <si>
    <t>Q9UBV8</t>
  </si>
  <si>
    <t>Q9UBW7</t>
  </si>
  <si>
    <t>Q9UBW8</t>
  </si>
  <si>
    <t>Q9UDT6</t>
  </si>
  <si>
    <t>Q9UDX3-2</t>
  </si>
  <si>
    <t>Q9UDY2-3</t>
  </si>
  <si>
    <t>Q9UDY4</t>
  </si>
  <si>
    <t>Q9UDY8</t>
  </si>
  <si>
    <t>Q9UEE9</t>
  </si>
  <si>
    <t>Q9UEG4</t>
  </si>
  <si>
    <t>Q9UER7-3</t>
  </si>
  <si>
    <t>Q9UET6-2</t>
  </si>
  <si>
    <t>Q9UEU0</t>
  </si>
  <si>
    <t>Q9UEW8</t>
  </si>
  <si>
    <t>Q9UEY8-2</t>
  </si>
  <si>
    <t>Q9UF56</t>
  </si>
  <si>
    <t>Q9UF83</t>
  </si>
  <si>
    <t>Q9UFC0</t>
  </si>
  <si>
    <t>Q9UFM8</t>
  </si>
  <si>
    <t>Q9UFN0</t>
  </si>
  <si>
    <t>Q9UFW8</t>
  </si>
  <si>
    <t>Q9UG63</t>
  </si>
  <si>
    <t>Q9UGI8</t>
  </si>
  <si>
    <t>Q9UGI8-2</t>
  </si>
  <si>
    <t>Q9UGJ0-2</t>
  </si>
  <si>
    <t>Q9UGK8</t>
  </si>
  <si>
    <t>Q9UGP4</t>
  </si>
  <si>
    <t>Q9UGT4</t>
  </si>
  <si>
    <t>Q9UGU0-2</t>
  </si>
  <si>
    <t>Q9UGV2</t>
  </si>
  <si>
    <t>Q9UH62</t>
  </si>
  <si>
    <t>Q9UH65</t>
  </si>
  <si>
    <t>Q9UH92-2</t>
  </si>
  <si>
    <t>Q9UHA3</t>
  </si>
  <si>
    <t>Q9UHB6</t>
  </si>
  <si>
    <t>Q9UHB7</t>
  </si>
  <si>
    <t>Q9UHB9</t>
  </si>
  <si>
    <t>Q9UHD1</t>
  </si>
  <si>
    <t>Q9UHD2</t>
  </si>
  <si>
    <t>Q9UHD8</t>
  </si>
  <si>
    <t>Q9UHD9</t>
  </si>
  <si>
    <t>Q9UHG0</t>
  </si>
  <si>
    <t>Q9UHI6</t>
  </si>
  <si>
    <t>Q9UHJ3-2</t>
  </si>
  <si>
    <t>Q9UHJ6</t>
  </si>
  <si>
    <t>Q9UHL4</t>
  </si>
  <si>
    <t>Q9UHN6-2</t>
  </si>
  <si>
    <t>Q9UHP3</t>
  </si>
  <si>
    <t>Q9UHQ1-4</t>
  </si>
  <si>
    <t>Q9UHR4</t>
  </si>
  <si>
    <t>Q9UHR6</t>
  </si>
  <si>
    <t>Q9UHV9</t>
  </si>
  <si>
    <t>Q9UHW5</t>
  </si>
  <si>
    <t>Q9UHX1-4</t>
  </si>
  <si>
    <t>Q9UHY1</t>
  </si>
  <si>
    <t>Q9UHY7</t>
  </si>
  <si>
    <t>Q9UHY8</t>
  </si>
  <si>
    <t>Q9UI08</t>
  </si>
  <si>
    <t>Q9UI10</t>
  </si>
  <si>
    <t>Q9UI10-3</t>
  </si>
  <si>
    <t>Q9UI12-2</t>
  </si>
  <si>
    <t>Q9UI26</t>
  </si>
  <si>
    <t>Q9UI30</t>
  </si>
  <si>
    <t>Q9UIA9</t>
  </si>
  <si>
    <t>Q9UIC8</t>
  </si>
  <si>
    <t>Q9UID3</t>
  </si>
  <si>
    <t>Q9UID6</t>
  </si>
  <si>
    <t>Q9UIF8-4</t>
  </si>
  <si>
    <t>Q9UIG0-2</t>
  </si>
  <si>
    <t>Q9UII2</t>
  </si>
  <si>
    <t>Q9UIJ7</t>
  </si>
  <si>
    <t>Q9UIL1-3</t>
  </si>
  <si>
    <t>Q9UIM3</t>
  </si>
  <si>
    <t>Q9UIV1-2</t>
  </si>
  <si>
    <t>Q9UJ41</t>
  </si>
  <si>
    <t>Q9UJ68-2</t>
  </si>
  <si>
    <t>Q9UJ70-2</t>
  </si>
  <si>
    <t>Q9UJA3-2</t>
  </si>
  <si>
    <t>Q9UJA5</t>
  </si>
  <si>
    <t>Q9UJC5</t>
  </si>
  <si>
    <t>Q9UJJ2</t>
  </si>
  <si>
    <t>Q9UJK0</t>
  </si>
  <si>
    <t>Q9UJM3</t>
  </si>
  <si>
    <t>Q9UJU6</t>
  </si>
  <si>
    <t>Q9UJU6-2</t>
  </si>
  <si>
    <t>Q9UJV9</t>
  </si>
  <si>
    <t>Q9UJW0</t>
  </si>
  <si>
    <t>Q9UJX0-2</t>
  </si>
  <si>
    <t>Q9UJX2-3</t>
  </si>
  <si>
    <t>Q9UJX3-2</t>
  </si>
  <si>
    <t>Q9UJX6</t>
  </si>
  <si>
    <t>Q9UJY1</t>
  </si>
  <si>
    <t>Q9UJY4</t>
  </si>
  <si>
    <t>Q9UJY5-4</t>
  </si>
  <si>
    <t>Q9UK22</t>
  </si>
  <si>
    <t>Q9UK33</t>
  </si>
  <si>
    <t>Q9UK41</t>
  </si>
  <si>
    <t>Q9UK45</t>
  </si>
  <si>
    <t>Q9UK59</t>
  </si>
  <si>
    <t>Q9UK61-3</t>
  </si>
  <si>
    <t>Q9UK73</t>
  </si>
  <si>
    <t>Q9UK76</t>
  </si>
  <si>
    <t>Q9UK97-3</t>
  </si>
  <si>
    <t>Q9UK99</t>
  </si>
  <si>
    <t>Q9UKA4</t>
  </si>
  <si>
    <t>Q9UKA8</t>
  </si>
  <si>
    <t>Q9UKA9</t>
  </si>
  <si>
    <t>Q9UKB1-2</t>
  </si>
  <si>
    <t>Q9UKB3</t>
  </si>
  <si>
    <t>Q9UKD2</t>
  </si>
  <si>
    <t>Q9UKF6</t>
  </si>
  <si>
    <t>Q9UKG1</t>
  </si>
  <si>
    <t>Q9UKG9</t>
  </si>
  <si>
    <t>Q9UKI8</t>
  </si>
  <si>
    <t>Q9UKJ3</t>
  </si>
  <si>
    <t>Q9UKK3</t>
  </si>
  <si>
    <t>Q9UKK6</t>
  </si>
  <si>
    <t>Q9UKK9</t>
  </si>
  <si>
    <t>Q9UKL3</t>
  </si>
  <si>
    <t>Q9UKL6</t>
  </si>
  <si>
    <t>Q9UKN8</t>
  </si>
  <si>
    <t>Q9UKS6</t>
  </si>
  <si>
    <t>Q9UKT4-2</t>
  </si>
  <si>
    <t>Q9UKT5</t>
  </si>
  <si>
    <t>Q9UKU7</t>
  </si>
  <si>
    <t>Q9UKV8</t>
  </si>
  <si>
    <t>Q9UKX7</t>
  </si>
  <si>
    <t>Q9UKY7</t>
  </si>
  <si>
    <t>Q9UKZ1</t>
  </si>
  <si>
    <t>Q9UL15</t>
  </si>
  <si>
    <t>Q9UL25</t>
  </si>
  <si>
    <t>Q9UL26</t>
  </si>
  <si>
    <t>Q9UL33-2</t>
  </si>
  <si>
    <t>Q9UL42</t>
  </si>
  <si>
    <t>Q9UL46</t>
  </si>
  <si>
    <t>Q9UL51</t>
  </si>
  <si>
    <t>Q9UL54-2</t>
  </si>
  <si>
    <t>Q9UL63</t>
  </si>
  <si>
    <t>Q9ULA0</t>
  </si>
  <si>
    <t>Q9ULC3</t>
  </si>
  <si>
    <t>Q9ULC4</t>
  </si>
  <si>
    <t>Q9ULD2</t>
  </si>
  <si>
    <t>Q9ULD5</t>
  </si>
  <si>
    <t>Q9ULE0</t>
  </si>
  <si>
    <t>Q9ULE6</t>
  </si>
  <si>
    <t>Q9ULF5</t>
  </si>
  <si>
    <t>Q9ULH0-5</t>
  </si>
  <si>
    <t>Q9ULH1</t>
  </si>
  <si>
    <t>Q9ULH7-4</t>
  </si>
  <si>
    <t>Q9ULJ3-2</t>
  </si>
  <si>
    <t>Q9ULJ6</t>
  </si>
  <si>
    <t>Q9ULJ7</t>
  </si>
  <si>
    <t>Q9ULJ8-4</t>
  </si>
  <si>
    <t>Q9ULK4-4</t>
  </si>
  <si>
    <t>Q9ULL5-3</t>
  </si>
  <si>
    <t>Q9ULP9-2</t>
  </si>
  <si>
    <t>Q9ULR0</t>
  </si>
  <si>
    <t>Q9ULR3</t>
  </si>
  <si>
    <t>Q9ULT8</t>
  </si>
  <si>
    <t>Q9ULV0</t>
  </si>
  <si>
    <t>Q9ULV3-5</t>
  </si>
  <si>
    <t>Q9ULV4</t>
  </si>
  <si>
    <t>Q9ULW0</t>
  </si>
  <si>
    <t>Q9ULW8</t>
  </si>
  <si>
    <t>Q9ULX3</t>
  </si>
  <si>
    <t>Q9ULX6</t>
  </si>
  <si>
    <t>Q9ULX9-2</t>
  </si>
  <si>
    <t>Q9ULZ3</t>
  </si>
  <si>
    <t>Q9UM13</t>
  </si>
  <si>
    <t>Q9UM22</t>
  </si>
  <si>
    <t>Q9UM54-6</t>
  </si>
  <si>
    <t>Q9UM82</t>
  </si>
  <si>
    <t>Q9UMN6</t>
  </si>
  <si>
    <t>Q9UMS0-3</t>
  </si>
  <si>
    <t>Q9UMS4</t>
  </si>
  <si>
    <t>Q9UMS6</t>
  </si>
  <si>
    <t>Q9UMX0</t>
  </si>
  <si>
    <t>Q9UMX1</t>
  </si>
  <si>
    <t>Q9UMX5</t>
  </si>
  <si>
    <t>Q9UMY1</t>
  </si>
  <si>
    <t>Q9UMY4-2</t>
  </si>
  <si>
    <t>Q9UMZ2</t>
  </si>
  <si>
    <t>Q9UN36-2</t>
  </si>
  <si>
    <t>Q9UN37</t>
  </si>
  <si>
    <t>Q9UN79</t>
  </si>
  <si>
    <t>Q9UN86-2</t>
  </si>
  <si>
    <t>Q9UNA1-2</t>
  </si>
  <si>
    <t>Q9UNE7</t>
  </si>
  <si>
    <t>Q9UNF0</t>
  </si>
  <si>
    <t>Q9UNF1</t>
  </si>
  <si>
    <t>Q9UNH7</t>
  </si>
  <si>
    <t>Q9UNI6</t>
  </si>
  <si>
    <t>Q9UNK0</t>
  </si>
  <si>
    <t>Q9UNM6</t>
  </si>
  <si>
    <t>Q9UNN5</t>
  </si>
  <si>
    <t>Q9UNN8</t>
  </si>
  <si>
    <t>Q9UNP9</t>
  </si>
  <si>
    <t>Q9UNQ2</t>
  </si>
  <si>
    <t>Q9UNS1-2</t>
  </si>
  <si>
    <t>Q9UNS2</t>
  </si>
  <si>
    <t>Q9UNT1</t>
  </si>
  <si>
    <t>Q9UNW1</t>
  </si>
  <si>
    <t>Q9UNY4</t>
  </si>
  <si>
    <t>Q9UNZ2</t>
  </si>
  <si>
    <t>Q9UNZ5</t>
  </si>
  <si>
    <t>Q9UP83</t>
  </si>
  <si>
    <t>Q9UPM8</t>
  </si>
  <si>
    <t>Q9UPN4-3</t>
  </si>
  <si>
    <t>Q9UPN6</t>
  </si>
  <si>
    <t>Q9UPN7</t>
  </si>
  <si>
    <t>Q9UPN9</t>
  </si>
  <si>
    <t>Q9UPN9-2</t>
  </si>
  <si>
    <t>Q9UPP1-4</t>
  </si>
  <si>
    <t>Q9UPP5-2</t>
  </si>
  <si>
    <t>Q9UPQ0-10</t>
  </si>
  <si>
    <t>Q9UPQ0-4</t>
  </si>
  <si>
    <t>Q9UPQ0-6</t>
  </si>
  <si>
    <t>Q9UPQ3</t>
  </si>
  <si>
    <t>Q9UPQ9-1</t>
  </si>
  <si>
    <t>Q9UPR0</t>
  </si>
  <si>
    <t>Q9UPR3</t>
  </si>
  <si>
    <t>Q9UPS6</t>
  </si>
  <si>
    <t>Q9UPS8</t>
  </si>
  <si>
    <t>Q9UPT5-6</t>
  </si>
  <si>
    <t>Q9UPT8</t>
  </si>
  <si>
    <t>Q9UPT9-2</t>
  </si>
  <si>
    <t>Q9UPU5</t>
  </si>
  <si>
    <t>Q9UPU7</t>
  </si>
  <si>
    <t>Q9UPW5</t>
  </si>
  <si>
    <t>Q9UPX8-3</t>
  </si>
  <si>
    <t>Q9UPY3-2</t>
  </si>
  <si>
    <t>Q9UPY5</t>
  </si>
  <si>
    <t>Q9UPY8</t>
  </si>
  <si>
    <t>Q9UPZ3-2</t>
  </si>
  <si>
    <t>Q9UPZ6</t>
  </si>
  <si>
    <t>Q9UQ13-2</t>
  </si>
  <si>
    <t>Q9UQ35</t>
  </si>
  <si>
    <t>Q9UQ80</t>
  </si>
  <si>
    <t>Q9UQ84-4</t>
  </si>
  <si>
    <t>Q9UQB8-3</t>
  </si>
  <si>
    <t>Q9UQC2-2</t>
  </si>
  <si>
    <t>Q9UQE7</t>
  </si>
  <si>
    <t>Q9UQN3</t>
  </si>
  <si>
    <t>Q9UQR0</t>
  </si>
  <si>
    <t>Q9UQR1</t>
  </si>
  <si>
    <t>Q9Y217</t>
  </si>
  <si>
    <t>Q9Y223</t>
  </si>
  <si>
    <t>Q9Y224</t>
  </si>
  <si>
    <t>Q9Y230</t>
  </si>
  <si>
    <t>Q9Y232-2</t>
  </si>
  <si>
    <t>Q9Y237</t>
  </si>
  <si>
    <t>Q9Y243-2</t>
  </si>
  <si>
    <t>Q9Y244</t>
  </si>
  <si>
    <t>Q9Y248</t>
  </si>
  <si>
    <t>Q9Y259</t>
  </si>
  <si>
    <t>Q9Y262</t>
  </si>
  <si>
    <t>Q9Y263</t>
  </si>
  <si>
    <t>Q9Y265</t>
  </si>
  <si>
    <t>Q9Y266</t>
  </si>
  <si>
    <t>Q9Y281</t>
  </si>
  <si>
    <t>Q9Y285</t>
  </si>
  <si>
    <t>Q9Y294</t>
  </si>
  <si>
    <t>Q9Y295</t>
  </si>
  <si>
    <t>Q9Y296</t>
  </si>
  <si>
    <t>Q9Y2A7</t>
  </si>
  <si>
    <t>Q9Y2B0</t>
  </si>
  <si>
    <t>Q9Y2D0</t>
  </si>
  <si>
    <t>Q9Y2D4</t>
  </si>
  <si>
    <t>Q9Y2D5-6</t>
  </si>
  <si>
    <t>Q9Y2E4</t>
  </si>
  <si>
    <t>Q9Y2F5</t>
  </si>
  <si>
    <t>Q9Y2G2-5</t>
  </si>
  <si>
    <t>Q9Y2G5</t>
  </si>
  <si>
    <t>Q9Y2H0-3</t>
  </si>
  <si>
    <t>Q9Y2H1</t>
  </si>
  <si>
    <t>Q9Y2H2</t>
  </si>
  <si>
    <t>Q9Y2H5</t>
  </si>
  <si>
    <t>Q9Y2I1</t>
  </si>
  <si>
    <t>Q9Y2I8</t>
  </si>
  <si>
    <t>Q9Y2J4-2</t>
  </si>
  <si>
    <t>Q9Y2K1-2</t>
  </si>
  <si>
    <t>Q9Y2K7</t>
  </si>
  <si>
    <t>Q9Y2L1</t>
  </si>
  <si>
    <t>Q9Y2L9-2</t>
  </si>
  <si>
    <t>Q9Y2Q3</t>
  </si>
  <si>
    <t>Q9Y2Q5</t>
  </si>
  <si>
    <t>Q9Y2Q9</t>
  </si>
  <si>
    <t>Q9Y2R4</t>
  </si>
  <si>
    <t>Q9Y2S0</t>
  </si>
  <si>
    <t>Q9Y2S2-2</t>
  </si>
  <si>
    <t>Q9Y2S6</t>
  </si>
  <si>
    <t>Q9Y2S7</t>
  </si>
  <si>
    <t>Q9Y2T2</t>
  </si>
  <si>
    <t>Q9Y2T3</t>
  </si>
  <si>
    <t>Q9Y2T7</t>
  </si>
  <si>
    <t>Q9Y2U5</t>
  </si>
  <si>
    <t>Q9Y2U8</t>
  </si>
  <si>
    <t>Q9Y2V2</t>
  </si>
  <si>
    <t>Q9Y2V7</t>
  </si>
  <si>
    <t>Q9Y2W1</t>
  </si>
  <si>
    <t>Q9Y2X0-2</t>
  </si>
  <si>
    <t>Q9Y2X3</t>
  </si>
  <si>
    <t>Q9Y2X7</t>
  </si>
  <si>
    <t>Q9Y2Y1</t>
  </si>
  <si>
    <t>Q9Y2Y9</t>
  </si>
  <si>
    <t>Q9Y2Z0</t>
  </si>
  <si>
    <t>Q9Y2Z4</t>
  </si>
  <si>
    <t>Q9Y303</t>
  </si>
  <si>
    <t>Q9Y303-2</t>
  </si>
  <si>
    <t>Q9Y305</t>
  </si>
  <si>
    <t>Q9Y312</t>
  </si>
  <si>
    <t>Q9Y314</t>
  </si>
  <si>
    <t>Q9Y315</t>
  </si>
  <si>
    <t>Q9Y316</t>
  </si>
  <si>
    <t>Q9Y333</t>
  </si>
  <si>
    <t>Q9Y371</t>
  </si>
  <si>
    <t>Q9Y376</t>
  </si>
  <si>
    <t>Q9Y383</t>
  </si>
  <si>
    <t>Q9Y385</t>
  </si>
  <si>
    <t>Q9Y399</t>
  </si>
  <si>
    <t>Q9Y3A3-3</t>
  </si>
  <si>
    <t>Q9Y3A5</t>
  </si>
  <si>
    <t>Q9Y3B4</t>
  </si>
  <si>
    <t>Q9Y3B9</t>
  </si>
  <si>
    <t>Q9Y3C1</t>
  </si>
  <si>
    <t>Q9Y3C4</t>
  </si>
  <si>
    <t>Q9Y3C6</t>
  </si>
  <si>
    <t>Q9Y3C8</t>
  </si>
  <si>
    <t>Q9Y3D0</t>
  </si>
  <si>
    <t>Q9Y3D2</t>
  </si>
  <si>
    <t>Q9Y3D6</t>
  </si>
  <si>
    <t>Q9Y3D8</t>
  </si>
  <si>
    <t>Q9Y3D9</t>
  </si>
  <si>
    <t>Q9Y3E1</t>
  </si>
  <si>
    <t>Q9Y3E2</t>
  </si>
  <si>
    <t>Q9Y3E7</t>
  </si>
  <si>
    <t>Q9Y3F4</t>
  </si>
  <si>
    <t>Q9Y3I0</t>
  </si>
  <si>
    <t>Q9Y3I1</t>
  </si>
  <si>
    <t>Q9Y3P9</t>
  </si>
  <si>
    <t>Q9Y3Q8</t>
  </si>
  <si>
    <t>Q9Y3R5-2</t>
  </si>
  <si>
    <t>Q9Y3S2</t>
  </si>
  <si>
    <t>Q9Y3T6</t>
  </si>
  <si>
    <t>Q9Y3T9</t>
  </si>
  <si>
    <t>Q9Y3U8</t>
  </si>
  <si>
    <t>Q9Y3V2</t>
  </si>
  <si>
    <t>Q9Y3X0</t>
  </si>
  <si>
    <t>Q9Y3Z3</t>
  </si>
  <si>
    <t>Q9Y421</t>
  </si>
  <si>
    <t>Q9Y446</t>
  </si>
  <si>
    <t>Q9Y448</t>
  </si>
  <si>
    <t>Q9Y450-4</t>
  </si>
  <si>
    <t>Q9Y490</t>
  </si>
  <si>
    <t>Q9Y496</t>
  </si>
  <si>
    <t>Q9Y4B4</t>
  </si>
  <si>
    <t>Q9Y4B5</t>
  </si>
  <si>
    <t>Q9Y4B6-2</t>
  </si>
  <si>
    <t>Q9Y4C1</t>
  </si>
  <si>
    <t>Q9Y4C2-2</t>
  </si>
  <si>
    <t>Q9Y4C4</t>
  </si>
  <si>
    <t>Q9Y4E1-2</t>
  </si>
  <si>
    <t>Q9Y4E6-2</t>
  </si>
  <si>
    <t>Q9Y4E8</t>
  </si>
  <si>
    <t>Q9Y4F1</t>
  </si>
  <si>
    <t>Q9Y4F5</t>
  </si>
  <si>
    <t>Q9Y4G6</t>
  </si>
  <si>
    <t>Q9Y4G8</t>
  </si>
  <si>
    <t>Q9Y4H2</t>
  </si>
  <si>
    <t>Q9Y4I1-2</t>
  </si>
  <si>
    <t>Q9Y4K3</t>
  </si>
  <si>
    <t>Q9Y4K4</t>
  </si>
  <si>
    <t>Q9Y4P1-6</t>
  </si>
  <si>
    <t>Q9Y4P8-4</t>
  </si>
  <si>
    <t>Q9Y4R8</t>
  </si>
  <si>
    <t>Q9Y4X5</t>
  </si>
  <si>
    <t>Q9Y4Z0</t>
  </si>
  <si>
    <t>Q9Y508</t>
  </si>
  <si>
    <t>Q9Y520-4</t>
  </si>
  <si>
    <t>Q9Y546</t>
  </si>
  <si>
    <t>Q9Y547</t>
  </si>
  <si>
    <t>Q9Y570</t>
  </si>
  <si>
    <t>Q9Y575-2</t>
  </si>
  <si>
    <t>Q9Y597-2</t>
  </si>
  <si>
    <t>Q9Y5A7-2</t>
  </si>
  <si>
    <t>Q9Y5A9</t>
  </si>
  <si>
    <t>Q9Y5B0</t>
  </si>
  <si>
    <t>Q9Y5B8-2</t>
  </si>
  <si>
    <t>Q9Y5B9</t>
  </si>
  <si>
    <t>Q9Y5J1</t>
  </si>
  <si>
    <t>Q9Y5J5</t>
  </si>
  <si>
    <t>Q9Y5J6</t>
  </si>
  <si>
    <t>Q9Y5J7</t>
  </si>
  <si>
    <t>Q9Y5J9</t>
  </si>
  <si>
    <t>Q9Y5K5-2</t>
  </si>
  <si>
    <t>Q9Y5K6</t>
  </si>
  <si>
    <t>Q9Y5K8</t>
  </si>
  <si>
    <t>Q9Y5L0</t>
  </si>
  <si>
    <t>Q9Y5L4</t>
  </si>
  <si>
    <t>Q9Y5N5-2</t>
  </si>
  <si>
    <t>Q9Y5N6</t>
  </si>
  <si>
    <t>Q9Y5P4-2</t>
  </si>
  <si>
    <t>Q9Y5P6</t>
  </si>
  <si>
    <t>Q9Y5Q8</t>
  </si>
  <si>
    <t>Q9Y5Q9</t>
  </si>
  <si>
    <t>Q9Y5R8</t>
  </si>
  <si>
    <t>Q9Y5S2</t>
  </si>
  <si>
    <t>Q9Y5S9</t>
  </si>
  <si>
    <t>Q9Y5U2-2</t>
  </si>
  <si>
    <t>Q9Y5V0</t>
  </si>
  <si>
    <t>Q9Y5V3</t>
  </si>
  <si>
    <t>Q9Y5X1</t>
  </si>
  <si>
    <t>Q9Y5X2</t>
  </si>
  <si>
    <t>Q9Y5X3</t>
  </si>
  <si>
    <t>Q9Y5Y0</t>
  </si>
  <si>
    <t>Q9Y5Y2</t>
  </si>
  <si>
    <t>Q9Y5Z4</t>
  </si>
  <si>
    <t>Q9Y5Z7</t>
  </si>
  <si>
    <t>Q9Y605</t>
  </si>
  <si>
    <t>Q9Y608-4</t>
  </si>
  <si>
    <t>Q9Y613</t>
  </si>
  <si>
    <t>Q9Y617</t>
  </si>
  <si>
    <t>Q9Y620</t>
  </si>
  <si>
    <t>Q9Y657</t>
  </si>
  <si>
    <t>Q9Y678</t>
  </si>
  <si>
    <t>Q9Y680-3</t>
  </si>
  <si>
    <t>Q9Y692-2</t>
  </si>
  <si>
    <t>Q9Y696</t>
  </si>
  <si>
    <t>Q9Y697-2</t>
  </si>
  <si>
    <t>Q9Y6A4</t>
  </si>
  <si>
    <t>Q9Y6A5</t>
  </si>
  <si>
    <t>Q9Y6B2-2</t>
  </si>
  <si>
    <t>Q9Y6B6</t>
  </si>
  <si>
    <t>Q9Y6B7</t>
  </si>
  <si>
    <t>Q9Y6D5</t>
  </si>
  <si>
    <t>Q9Y6D6</t>
  </si>
  <si>
    <t>Q9Y6D9</t>
  </si>
  <si>
    <t>Q9Y6E0-2</t>
  </si>
  <si>
    <t>Q9Y6G9</t>
  </si>
  <si>
    <t>Q9Y6H1</t>
  </si>
  <si>
    <t>Q9Y6I3</t>
  </si>
  <si>
    <t>Q9Y6I9</t>
  </si>
  <si>
    <t>Q9Y6J9</t>
  </si>
  <si>
    <t>Q9Y6K1-3</t>
  </si>
  <si>
    <t>Q9Y6K5</t>
  </si>
  <si>
    <t>Q9Y6K9</t>
  </si>
  <si>
    <t>Q9Y6M5</t>
  </si>
  <si>
    <t>Q9Y6N7-5</t>
  </si>
  <si>
    <t>Q9Y6N9-5</t>
  </si>
  <si>
    <t>Q9Y6Q9-5</t>
  </si>
  <si>
    <t>Q9Y6R0</t>
  </si>
  <si>
    <t>Q9Y6V0-2</t>
  </si>
  <si>
    <t>Q9Y6V7</t>
  </si>
  <si>
    <t>Q9Y6W3</t>
  </si>
  <si>
    <t>Q9Y6W5</t>
  </si>
  <si>
    <t>Q9Y6X8</t>
  </si>
  <si>
    <t>Q9Y6X9</t>
  </si>
  <si>
    <t>Q9Y6Y0</t>
  </si>
  <si>
    <t>R4GMR5</t>
  </si>
  <si>
    <t>R4GMU8</t>
  </si>
  <si>
    <t>R4GMX3</t>
  </si>
  <si>
    <t>R4GN55</t>
  </si>
  <si>
    <t>R4GN62</t>
  </si>
  <si>
    <t>R4GN98</t>
  </si>
  <si>
    <t>R4GNA2</t>
  </si>
  <si>
    <t>R4GNB1</t>
  </si>
  <si>
    <t>R4GNB2</t>
  </si>
  <si>
    <t>R4GND1</t>
  </si>
  <si>
    <t>R4GND3</t>
  </si>
  <si>
    <t>R4GNG2</t>
  </si>
  <si>
    <t>R4GNH3</t>
  </si>
  <si>
    <t>R4GNH4</t>
  </si>
  <si>
    <t>norm_FC_TMT126_H.sapiens_A549_P013697</t>
  </si>
  <si>
    <t>norm_FC_TMT127L_H.sapiens_A549_P013697</t>
  </si>
  <si>
    <t>norm_FC_TMT127H_H.sapiens_A549_P013697</t>
  </si>
  <si>
    <t>norm_FC_TMT128L_H.sapiens_A549_P013697</t>
  </si>
  <si>
    <t>norm_FC_TMT128H_H.sapiens_A549_P013697</t>
  </si>
  <si>
    <t>norm_FC_TMT129L_H.sapiens_A549_P013697</t>
  </si>
  <si>
    <t>norm_FC_TMT129H_H.sapiens_A549_P013697</t>
  </si>
  <si>
    <t>norm_FC_TMT130L_H.sapiens_A549_P013697</t>
  </si>
  <si>
    <t>norm_FC_TMT130H_H.sapiens_A549_P013697</t>
  </si>
  <si>
    <t>norm_FC_TMT131L_H.sapiens_A549_P013697</t>
  </si>
  <si>
    <t>a_H.sapiens_A549_P013697</t>
  </si>
  <si>
    <t>b_H.sapiens_A549_P013697</t>
  </si>
  <si>
    <t>meltPoint_H.sapiens_A549_P013697</t>
  </si>
  <si>
    <t>inflPoint_H.sapiens_A549_P013697</t>
  </si>
  <si>
    <t>slope_H.sapiens_A549_P013697</t>
  </si>
  <si>
    <t>plateau_H.sapiens_A549_P013697</t>
  </si>
  <si>
    <t>R_sq_H.sapiens_A549_P013697</t>
  </si>
  <si>
    <t>protein_identified_in_H.sapiens_A549_P013697</t>
  </si>
  <si>
    <t>model_converged_H.sapiens_A549_P013697</t>
  </si>
  <si>
    <t>sufficient_data_for_fit_H.sapiens_A549_P013697</t>
  </si>
  <si>
    <t>Proteinname_H.sapiens_A549_P013697</t>
  </si>
  <si>
    <t>numSpec_H.sapiens_A549_P013697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</si>
</sst>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282"/>
  <sheetViews>
    <sheetView tabSelected="1" workbookViewId="0">
      <selection activeCell="F1" sqref="F1"/>
    </sheetView>
  </sheetViews>
  <sheetFormatPr defaultRowHeight="15" x14ac:dyDescent="0.25"/>
  <sheetData>
    <row r="1" spans="1:28" s="2" customFormat="1" ht="60" x14ac:dyDescent="0.25">
      <c r="A1" s="1" t="s">
        <v>0</v>
      </c>
      <c r="B1" s="1" t="s">
        <v>31153</v>
      </c>
      <c r="C1" s="1" t="s">
        <v>31154</v>
      </c>
      <c r="D1" s="1" t="s">
        <v>31155</v>
      </c>
      <c r="E1" s="1" t="s">
        <v>31156</v>
      </c>
      <c r="F1" s="1" t="s">
        <v>31157</v>
      </c>
      <c r="G1" s="1" t="s">
        <v>31158</v>
      </c>
      <c r="H1" s="1" t="s">
        <v>31159</v>
      </c>
      <c r="I1" s="1" t="s">
        <v>31160</v>
      </c>
      <c r="J1" s="1" t="s">
        <v>31161</v>
      </c>
      <c r="K1" s="1" t="s">
        <v>31162</v>
      </c>
      <c r="L1" s="1" t="s">
        <v>31163</v>
      </c>
      <c r="M1" s="1" t="s">
        <v>31164</v>
      </c>
      <c r="N1" s="1" t="s">
        <v>31165</v>
      </c>
      <c r="O1" s="1" t="s">
        <v>31166</v>
      </c>
      <c r="P1" s="1" t="s">
        <v>31167</v>
      </c>
      <c r="Q1" s="1" t="s">
        <v>31168</v>
      </c>
      <c r="R1" s="1" t="s">
        <v>31169</v>
      </c>
      <c r="S1" s="1" t="s">
        <v>1</v>
      </c>
      <c r="T1" s="1" t="s">
        <v>31170</v>
      </c>
      <c r="U1" s="1" t="s">
        <v>31171</v>
      </c>
      <c r="V1" s="1" t="s">
        <v>31172</v>
      </c>
      <c r="W1" s="1" t="s">
        <v>31173</v>
      </c>
      <c r="X1" s="1" t="s">
        <v>31174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0.99352677808782597</v>
      </c>
      <c r="C2">
        <v>0.83983436155801405</v>
      </c>
      <c r="D2">
        <v>0.88491270189348503</v>
      </c>
      <c r="E2">
        <v>0.70531061361984104</v>
      </c>
      <c r="F2">
        <v>0.67822364826019199</v>
      </c>
      <c r="G2">
        <v>0.55685406194716702</v>
      </c>
      <c r="H2">
        <v>0.53237195192887199</v>
      </c>
      <c r="I2">
        <v>0.47449191129845902</v>
      </c>
      <c r="J2">
        <v>0.62925257075733998</v>
      </c>
      <c r="K2">
        <v>0.53843360832288001</v>
      </c>
      <c r="L2">
        <v>586.26200716861604</v>
      </c>
      <c r="M2">
        <v>12.1043393640202</v>
      </c>
      <c r="O2">
        <v>47.168923417151703</v>
      </c>
      <c r="P2">
        <v>-3.07136793050059E-2</v>
      </c>
      <c r="Q2">
        <v>0.52136389935624605</v>
      </c>
      <c r="R2">
        <v>0.90494655429493298</v>
      </c>
      <c r="S2" t="s">
        <v>6287</v>
      </c>
      <c r="T2" t="s">
        <v>12568</v>
      </c>
      <c r="U2" t="s">
        <v>12568</v>
      </c>
      <c r="V2" t="s">
        <v>12568</v>
      </c>
      <c r="W2" t="s">
        <v>12570</v>
      </c>
      <c r="X2">
        <v>1</v>
      </c>
      <c r="Y2" t="s">
        <v>18798</v>
      </c>
      <c r="Z2" t="s">
        <v>24872</v>
      </c>
      <c r="AA2">
        <v>0.67386525410870413</v>
      </c>
      <c r="AB2" t="str">
        <f>HYPERLINK("Melting_Curves/meltCurve_A0AVK6_E2F8.pdf", "Melting_Curves/meltCurve_A0AVK6_E2F8.pdf")</f>
        <v>Melting_Curves/meltCurve_A0AVK6_E2F8.pdf</v>
      </c>
    </row>
    <row r="3" spans="1:28" x14ac:dyDescent="0.25">
      <c r="A3" t="s">
        <v>7</v>
      </c>
      <c r="B3">
        <v>0.99352677808782597</v>
      </c>
      <c r="C3">
        <v>0.98409927070374403</v>
      </c>
      <c r="D3">
        <v>0.90576566107834</v>
      </c>
      <c r="E3">
        <v>0.36626321311983101</v>
      </c>
      <c r="F3">
        <v>0.28522837453146599</v>
      </c>
      <c r="G3">
        <v>0.18357968643032899</v>
      </c>
      <c r="H3">
        <v>0.107503998092826</v>
      </c>
      <c r="I3">
        <v>9.2995872797984894E-2</v>
      </c>
      <c r="J3">
        <v>7.7089377036366702E-2</v>
      </c>
      <c r="K3">
        <v>5.6270645812083998E-2</v>
      </c>
      <c r="L3">
        <v>1259.32863431132</v>
      </c>
      <c r="M3">
        <v>25.717500437195199</v>
      </c>
      <c r="N3">
        <v>49.407547540462197</v>
      </c>
      <c r="O3">
        <v>48.6745763911631</v>
      </c>
      <c r="P3">
        <v>-0.11857771263455399</v>
      </c>
      <c r="Q3">
        <v>0.102300040235562</v>
      </c>
      <c r="R3">
        <v>0.98679205407455906</v>
      </c>
      <c r="S3" t="s">
        <v>6288</v>
      </c>
      <c r="T3" t="s">
        <v>12568</v>
      </c>
      <c r="U3" t="s">
        <v>12568</v>
      </c>
      <c r="V3" t="s">
        <v>12568</v>
      </c>
      <c r="W3" t="s">
        <v>12571</v>
      </c>
      <c r="X3">
        <v>31</v>
      </c>
      <c r="Y3" t="s">
        <v>18799</v>
      </c>
      <c r="Z3" t="s">
        <v>24873</v>
      </c>
      <c r="AA3">
        <v>0.37814806546528251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0.99352677808782597</v>
      </c>
      <c r="C4">
        <v>0.95280318308561696</v>
      </c>
      <c r="D4">
        <v>0.87744336906947995</v>
      </c>
      <c r="E4">
        <v>0.98515776643886799</v>
      </c>
      <c r="F4">
        <v>0.88699444482074397</v>
      </c>
      <c r="G4">
        <v>0.48818629835781802</v>
      </c>
      <c r="H4">
        <v>0.317408819404503</v>
      </c>
      <c r="I4">
        <v>0.26058543841964199</v>
      </c>
      <c r="J4">
        <v>0.23946681048742599</v>
      </c>
      <c r="K4">
        <v>0.18470270487183699</v>
      </c>
      <c r="L4">
        <v>1602.0147657124501</v>
      </c>
      <c r="M4">
        <v>28.636644576147699</v>
      </c>
      <c r="N4">
        <v>57.121525350132899</v>
      </c>
      <c r="O4">
        <v>55.672147515650003</v>
      </c>
      <c r="P4">
        <v>-9.9907505808570204E-2</v>
      </c>
      <c r="Q4">
        <v>0.22309027061949999</v>
      </c>
      <c r="R4">
        <v>0.98108303074865899</v>
      </c>
      <c r="S4" t="s">
        <v>6289</v>
      </c>
      <c r="T4" t="s">
        <v>12568</v>
      </c>
      <c r="U4" t="s">
        <v>12568</v>
      </c>
      <c r="V4" t="s">
        <v>12568</v>
      </c>
      <c r="W4" t="s">
        <v>12572</v>
      </c>
      <c r="X4">
        <v>6</v>
      </c>
      <c r="Y4" t="s">
        <v>18800</v>
      </c>
      <c r="Z4" t="s">
        <v>24874</v>
      </c>
      <c r="AA4">
        <v>0.64159862357208775</v>
      </c>
      <c r="AB4" t="str">
        <f>HYPERLINK("Melting_Curves/meltCurve_A0JNW5_UHRF1BP1L.pdf", "Melting_Curves/meltCurve_A0JNW5_UHRF1BP1L.pdf")</f>
        <v>Melting_Curves/meltCurve_A0JNW5_UHRF1BP1L.pdf</v>
      </c>
    </row>
    <row r="5" spans="1:28" x14ac:dyDescent="0.25">
      <c r="A5" t="s">
        <v>9</v>
      </c>
      <c r="B5">
        <v>0.99352677808782597</v>
      </c>
      <c r="C5">
        <v>1.0188516591771899</v>
      </c>
      <c r="D5">
        <v>0.980892219063068</v>
      </c>
      <c r="E5">
        <v>0.69731251030919505</v>
      </c>
      <c r="F5">
        <v>0.587545525955805</v>
      </c>
      <c r="G5">
        <v>0.444707320962625</v>
      </c>
      <c r="H5">
        <v>0.339283145316021</v>
      </c>
      <c r="I5">
        <v>0.29266059002969802</v>
      </c>
      <c r="J5">
        <v>0.31928823765578201</v>
      </c>
      <c r="K5">
        <v>0.268291565005226</v>
      </c>
      <c r="L5">
        <v>878.06670304144302</v>
      </c>
      <c r="M5">
        <v>16.920517017669798</v>
      </c>
      <c r="N5">
        <v>54.592113211993997</v>
      </c>
      <c r="O5">
        <v>51.185015719751497</v>
      </c>
      <c r="P5">
        <v>-5.92292330975124E-2</v>
      </c>
      <c r="Q5">
        <v>0.28336476733545202</v>
      </c>
      <c r="R5">
        <v>0.988346324013327</v>
      </c>
      <c r="S5" t="s">
        <v>6290</v>
      </c>
      <c r="T5" t="s">
        <v>12568</v>
      </c>
      <c r="U5" t="s">
        <v>12568</v>
      </c>
      <c r="V5" t="s">
        <v>12568</v>
      </c>
      <c r="W5" t="s">
        <v>12573</v>
      </c>
      <c r="X5">
        <v>41</v>
      </c>
      <c r="Y5" t="s">
        <v>18801</v>
      </c>
      <c r="Z5" t="s">
        <v>24875</v>
      </c>
      <c r="AA5">
        <v>0.5807350197396457</v>
      </c>
      <c r="AB5" t="str">
        <f>HYPERLINK("Melting_Curves/meltCurve_A0MZ66_KIAA1598.pdf", "Melting_Curves/meltCurve_A0MZ66_KIAA1598.pdf")</f>
        <v>Melting_Curves/meltCurve_A0MZ66_KIAA1598.pdf</v>
      </c>
    </row>
    <row r="6" spans="1:28" x14ac:dyDescent="0.25">
      <c r="A6" t="s">
        <v>10</v>
      </c>
      <c r="B6">
        <v>0.99352677808782597</v>
      </c>
      <c r="C6">
        <v>0.99413643030042698</v>
      </c>
      <c r="D6">
        <v>0.99145373099009304</v>
      </c>
      <c r="E6">
        <v>0.76193629385209805</v>
      </c>
      <c r="F6">
        <v>0.59202880999485297</v>
      </c>
      <c r="G6">
        <v>0.48553694990017099</v>
      </c>
      <c r="H6">
        <v>0.37901793811541601</v>
      </c>
      <c r="I6">
        <v>0.375084289032663</v>
      </c>
      <c r="J6">
        <v>0.355527519652658</v>
      </c>
      <c r="K6">
        <v>0.30929105814077801</v>
      </c>
      <c r="L6">
        <v>940.88183718997504</v>
      </c>
      <c r="M6">
        <v>18.105227883135399</v>
      </c>
      <c r="N6">
        <v>55.426149070073798</v>
      </c>
      <c r="O6">
        <v>51.345877114009099</v>
      </c>
      <c r="P6">
        <v>-5.8320245125969998E-2</v>
      </c>
      <c r="Q6">
        <v>0.33845411490115801</v>
      </c>
      <c r="R6">
        <v>0.991777098674683</v>
      </c>
      <c r="S6" t="s">
        <v>6291</v>
      </c>
      <c r="T6" t="s">
        <v>12568</v>
      </c>
      <c r="U6" t="s">
        <v>12568</v>
      </c>
      <c r="V6" t="s">
        <v>12568</v>
      </c>
      <c r="W6" t="s">
        <v>12574</v>
      </c>
      <c r="X6">
        <v>3</v>
      </c>
      <c r="Y6" t="s">
        <v>18802</v>
      </c>
      <c r="Z6" t="s">
        <v>24876</v>
      </c>
      <c r="AA6">
        <v>0.61325814768819342</v>
      </c>
      <c r="AB6" t="str">
        <f>HYPERLINK("Melting_Curves/meltCurve_A1A4S6_ARHGAP10.pdf", "Melting_Curves/meltCurve_A1A4S6_ARHGAP10.pdf")</f>
        <v>Melting_Curves/meltCurve_A1A4S6_ARHGAP10.pdf</v>
      </c>
    </row>
    <row r="7" spans="1:28" x14ac:dyDescent="0.25">
      <c r="A7" t="s">
        <v>11</v>
      </c>
      <c r="B7">
        <v>0.99352677808782597</v>
      </c>
      <c r="C7">
        <v>0.88016200414217605</v>
      </c>
      <c r="D7">
        <v>0.90654888728493099</v>
      </c>
      <c r="E7">
        <v>0.65157487028919603</v>
      </c>
      <c r="F7">
        <v>0.58654944597348402</v>
      </c>
      <c r="G7">
        <v>0.47942351870655298</v>
      </c>
      <c r="H7">
        <v>0.43052018476026199</v>
      </c>
      <c r="I7">
        <v>0.39857095512770002</v>
      </c>
      <c r="J7">
        <v>0.34677966167707702</v>
      </c>
      <c r="K7">
        <v>0.33025234913012302</v>
      </c>
      <c r="L7">
        <v>575.02489532347101</v>
      </c>
      <c r="M7">
        <v>11.2840402404871</v>
      </c>
      <c r="N7">
        <v>55.953457394400097</v>
      </c>
      <c r="O7">
        <v>49.437351785945502</v>
      </c>
      <c r="P7">
        <v>-3.8963836295915197E-2</v>
      </c>
      <c r="Q7">
        <v>0.31737939551142302</v>
      </c>
      <c r="R7">
        <v>0.98210626371281995</v>
      </c>
      <c r="S7" t="s">
        <v>6292</v>
      </c>
      <c r="T7" t="s">
        <v>12568</v>
      </c>
      <c r="U7" t="s">
        <v>12568</v>
      </c>
      <c r="V7" t="s">
        <v>12568</v>
      </c>
      <c r="W7" t="s">
        <v>12575</v>
      </c>
      <c r="X7">
        <v>2</v>
      </c>
      <c r="Y7" t="s">
        <v>18803</v>
      </c>
      <c r="Z7" t="s">
        <v>24877</v>
      </c>
      <c r="AA7">
        <v>0.59107576568873887</v>
      </c>
      <c r="AB7" t="str">
        <f>HYPERLINK("Melting_Curves/meltCurve_A1A5A9_KIAA0999.pdf", "Melting_Curves/meltCurve_A1A5A9_KIAA0999.pdf")</f>
        <v>Melting_Curves/meltCurve_A1A5A9_KIAA0999.pdf</v>
      </c>
    </row>
    <row r="8" spans="1:28" x14ac:dyDescent="0.25">
      <c r="A8" t="s">
        <v>12</v>
      </c>
      <c r="B8">
        <v>0.99352677808782597</v>
      </c>
      <c r="C8">
        <v>0.967215961904626</v>
      </c>
      <c r="D8">
        <v>1.0030116217270899</v>
      </c>
      <c r="E8">
        <v>0.99017823940364202</v>
      </c>
      <c r="F8">
        <v>0.88591781399494696</v>
      </c>
      <c r="G8">
        <v>0.880743834014594</v>
      </c>
      <c r="H8">
        <v>0.69766963813232297</v>
      </c>
      <c r="I8">
        <v>0.80711863590320898</v>
      </c>
      <c r="J8">
        <v>0.941623520597209</v>
      </c>
      <c r="K8">
        <v>0.78692906275546604</v>
      </c>
      <c r="L8">
        <v>1836.8116673340901</v>
      </c>
      <c r="M8">
        <v>34.833810682423803</v>
      </c>
      <c r="O8">
        <v>52.557809651865703</v>
      </c>
      <c r="P8">
        <v>-3.0134733601968802E-2</v>
      </c>
      <c r="Q8">
        <v>0.81812950395573003</v>
      </c>
      <c r="R8">
        <v>0.63408218669965699</v>
      </c>
      <c r="S8" t="s">
        <v>6293</v>
      </c>
      <c r="T8" t="s">
        <v>12568</v>
      </c>
      <c r="U8" t="s">
        <v>12568</v>
      </c>
      <c r="V8" t="s">
        <v>12568</v>
      </c>
      <c r="W8" t="s">
        <v>12576</v>
      </c>
      <c r="X8">
        <v>3</v>
      </c>
      <c r="Y8" t="s">
        <v>18804</v>
      </c>
      <c r="Z8" t="s">
        <v>24878</v>
      </c>
      <c r="AA8">
        <v>0.89618122231895569</v>
      </c>
      <c r="AB8" t="str">
        <f>HYPERLINK("Melting_Curves/meltCurve_A1L188_C17orf89.pdf", "Melting_Curves/meltCurve_A1L188_C17orf89.pdf")</f>
        <v>Melting_Curves/meltCurve_A1L188_C17orf89.pdf</v>
      </c>
    </row>
    <row r="9" spans="1:28" x14ac:dyDescent="0.25">
      <c r="A9" t="s">
        <v>13</v>
      </c>
      <c r="B9">
        <v>0.99352677808782597</v>
      </c>
      <c r="C9">
        <v>0.92439389225919599</v>
      </c>
      <c r="D9">
        <v>0.93438326561068796</v>
      </c>
      <c r="E9">
        <v>0.94033454984255904</v>
      </c>
      <c r="F9">
        <v>0.82193736525833005</v>
      </c>
      <c r="G9">
        <v>0.79254799986019897</v>
      </c>
      <c r="H9">
        <v>0.63471371686545897</v>
      </c>
      <c r="I9">
        <v>0.65884743938148205</v>
      </c>
      <c r="J9">
        <v>0.68274033533326095</v>
      </c>
      <c r="K9">
        <v>0.60971234205556402</v>
      </c>
      <c r="L9">
        <v>540.70185494202497</v>
      </c>
      <c r="M9">
        <v>9.7024373581277104</v>
      </c>
      <c r="O9">
        <v>53.5155781043932</v>
      </c>
      <c r="P9">
        <v>-1.9618438497027001E-2</v>
      </c>
      <c r="Q9">
        <v>0.567399527896152</v>
      </c>
      <c r="R9">
        <v>0.93253396505842601</v>
      </c>
      <c r="S9" t="s">
        <v>6294</v>
      </c>
      <c r="T9" t="s">
        <v>12568</v>
      </c>
      <c r="U9" t="s">
        <v>12568</v>
      </c>
      <c r="V9" t="s">
        <v>12568</v>
      </c>
      <c r="W9" t="s">
        <v>12577</v>
      </c>
      <c r="X9">
        <v>4</v>
      </c>
      <c r="Y9" t="s">
        <v>18805</v>
      </c>
      <c r="Z9" t="s">
        <v>24879</v>
      </c>
      <c r="AA9">
        <v>0.80393647435276239</v>
      </c>
      <c r="AB9" t="str">
        <f>HYPERLINK("Melting_Curves/meltCurve_A1L390_PLEKHG3.pdf", "Melting_Curves/meltCurve_A1L390_PLEKHG3.pdf")</f>
        <v>Melting_Curves/meltCurve_A1L390_PLEKHG3.pdf</v>
      </c>
    </row>
    <row r="10" spans="1:28" x14ac:dyDescent="0.25">
      <c r="A10" t="s">
        <v>14</v>
      </c>
      <c r="B10">
        <v>0.99352677808782597</v>
      </c>
      <c r="C10">
        <v>0.95597534086186897</v>
      </c>
      <c r="D10">
        <v>0.96916341544462203</v>
      </c>
      <c r="E10">
        <v>0.51724676482515697</v>
      </c>
      <c r="F10">
        <v>0.46281469527885699</v>
      </c>
      <c r="G10">
        <v>0.31850726637754001</v>
      </c>
      <c r="H10">
        <v>0.24019136747120401</v>
      </c>
      <c r="I10">
        <v>0.21704705441508601</v>
      </c>
      <c r="J10">
        <v>0.20499418575101999</v>
      </c>
      <c r="K10">
        <v>0.16464233568883799</v>
      </c>
      <c r="L10">
        <v>952.31554839447301</v>
      </c>
      <c r="M10">
        <v>18.9882778814905</v>
      </c>
      <c r="N10">
        <v>51.576809456562202</v>
      </c>
      <c r="O10">
        <v>49.606468569179199</v>
      </c>
      <c r="P10">
        <v>-7.6175792387498997E-2</v>
      </c>
      <c r="Q10">
        <v>0.204000966835823</v>
      </c>
      <c r="R10">
        <v>0.977599241092731</v>
      </c>
      <c r="S10" t="s">
        <v>6295</v>
      </c>
      <c r="T10" t="s">
        <v>12568</v>
      </c>
      <c r="U10" t="s">
        <v>12568</v>
      </c>
      <c r="V10" t="s">
        <v>12568</v>
      </c>
      <c r="W10" t="s">
        <v>12578</v>
      </c>
      <c r="X10">
        <v>24</v>
      </c>
      <c r="Y10" t="s">
        <v>18806</v>
      </c>
      <c r="Z10" t="s">
        <v>24880</v>
      </c>
      <c r="AA10">
        <v>0.48562870351218668</v>
      </c>
      <c r="AB10" t="str">
        <f>HYPERLINK("Melting_Curves/meltCurve_A1X283_SH3PXD2B.pdf", "Melting_Curves/meltCurve_A1X283_SH3PXD2B.pdf")</f>
        <v>Melting_Curves/meltCurve_A1X283_SH3PXD2B.pdf</v>
      </c>
    </row>
    <row r="11" spans="1:28" x14ac:dyDescent="0.25">
      <c r="A11" t="s">
        <v>15</v>
      </c>
      <c r="B11">
        <v>0.99352677808782597</v>
      </c>
      <c r="C11">
        <v>0.94118202689993402</v>
      </c>
      <c r="D11">
        <v>0.75841789125467496</v>
      </c>
      <c r="E11">
        <v>0.36761945508576599</v>
      </c>
      <c r="F11">
        <v>0.26125719090548899</v>
      </c>
      <c r="G11">
        <v>0.15148184021459701</v>
      </c>
      <c r="H11">
        <v>9.9573060159780805E-2</v>
      </c>
      <c r="I11">
        <v>0.113576410817896</v>
      </c>
      <c r="J11">
        <v>7.6562204357626396E-2</v>
      </c>
      <c r="K11">
        <v>6.8195163194671504E-2</v>
      </c>
      <c r="L11">
        <v>935.90601327791296</v>
      </c>
      <c r="M11">
        <v>19.3657455272478</v>
      </c>
      <c r="N11">
        <v>48.817910133773502</v>
      </c>
      <c r="O11">
        <v>47.821439453688903</v>
      </c>
      <c r="P11">
        <v>-9.2301036918641305E-2</v>
      </c>
      <c r="Q11">
        <v>8.8327390529498201E-2</v>
      </c>
      <c r="R11">
        <v>0.99681435209007296</v>
      </c>
      <c r="S11" t="s">
        <v>6296</v>
      </c>
      <c r="T11" t="s">
        <v>12568</v>
      </c>
      <c r="U11" t="s">
        <v>12568</v>
      </c>
      <c r="V11" t="s">
        <v>12568</v>
      </c>
      <c r="W11" t="s">
        <v>12579</v>
      </c>
      <c r="X11">
        <v>5</v>
      </c>
      <c r="Y11" t="s">
        <v>18807</v>
      </c>
      <c r="Z11" t="s">
        <v>24881</v>
      </c>
      <c r="AA11">
        <v>0.355179407435257</v>
      </c>
      <c r="AB11" t="str">
        <f>HYPERLINK("Melting_Curves/meltCurve_A2A3N6_PIPSL.pdf", "Melting_Curves/meltCurve_A2A3N6_PIPSL.pdf")</f>
        <v>Melting_Curves/meltCurve_A2A3N6_PIPSL.pdf</v>
      </c>
    </row>
    <row r="12" spans="1:28" x14ac:dyDescent="0.25">
      <c r="A12" t="s">
        <v>16</v>
      </c>
      <c r="B12">
        <v>0.99352677808782597</v>
      </c>
      <c r="C12">
        <v>0.97758665565717795</v>
      </c>
      <c r="D12">
        <v>0.92476514311954905</v>
      </c>
      <c r="E12">
        <v>0.57197989313993702</v>
      </c>
      <c r="F12">
        <v>0.417807479611705</v>
      </c>
      <c r="G12">
        <v>0.271031765835551</v>
      </c>
      <c r="H12">
        <v>0.14579189348722299</v>
      </c>
      <c r="I12">
        <v>0.18780018069844701</v>
      </c>
      <c r="J12">
        <v>0.165733342825376</v>
      </c>
      <c r="K12">
        <v>0.102088975060038</v>
      </c>
      <c r="L12">
        <v>927.52258131520603</v>
      </c>
      <c r="M12">
        <v>18.324971035427598</v>
      </c>
      <c r="N12">
        <v>51.536937265263703</v>
      </c>
      <c r="O12">
        <v>50.024017029153697</v>
      </c>
      <c r="P12">
        <v>-7.8788759496475097E-2</v>
      </c>
      <c r="Q12">
        <v>0.13972054202720399</v>
      </c>
      <c r="R12">
        <v>0.99224940083306001</v>
      </c>
      <c r="S12" t="s">
        <v>6297</v>
      </c>
      <c r="T12" t="s">
        <v>12568</v>
      </c>
      <c r="U12" t="s">
        <v>12568</v>
      </c>
      <c r="V12" t="s">
        <v>12568</v>
      </c>
      <c r="W12" t="s">
        <v>12580</v>
      </c>
      <c r="X12">
        <v>3</v>
      </c>
      <c r="Y12" t="s">
        <v>18808</v>
      </c>
      <c r="Z12" t="s">
        <v>24882</v>
      </c>
      <c r="AA12">
        <v>0.45820985035260559</v>
      </c>
      <c r="AB12" t="str">
        <f>HYPERLINK("Melting_Curves/meltCurve_A2RTX5_2_TARSL2.pdf", "Melting_Curves/meltCurve_A2RTX5_2_TARSL2.pdf")</f>
        <v>Melting_Curves/meltCurve_A2RTX5_2_TARSL2.pdf</v>
      </c>
    </row>
    <row r="13" spans="1:28" x14ac:dyDescent="0.25">
      <c r="A13" t="s">
        <v>17</v>
      </c>
      <c r="B13">
        <v>0.99352677808782597</v>
      </c>
      <c r="C13">
        <v>0.93472911027158201</v>
      </c>
      <c r="D13">
        <v>0.93775805495832398</v>
      </c>
      <c r="E13">
        <v>0.464551305916382</v>
      </c>
      <c r="F13">
        <v>0.40376542487028899</v>
      </c>
      <c r="G13">
        <v>0.25753518713902102</v>
      </c>
      <c r="H13">
        <v>0.17762510124980299</v>
      </c>
      <c r="I13">
        <v>0.178911832086564</v>
      </c>
      <c r="J13">
        <v>0.151850748899856</v>
      </c>
      <c r="K13">
        <v>0.128857492888025</v>
      </c>
      <c r="L13">
        <v>981.941781762397</v>
      </c>
      <c r="M13">
        <v>19.7655462468026</v>
      </c>
      <c r="N13">
        <v>50.668358785719199</v>
      </c>
      <c r="O13">
        <v>49.1793163747489</v>
      </c>
      <c r="P13">
        <v>-8.4400259247805406E-2</v>
      </c>
      <c r="Q13">
        <v>0.16003201505741901</v>
      </c>
      <c r="R13">
        <v>0.981580915664511</v>
      </c>
      <c r="S13" t="s">
        <v>6298</v>
      </c>
      <c r="T13" t="s">
        <v>12568</v>
      </c>
      <c r="U13" t="s">
        <v>12568</v>
      </c>
      <c r="V13" t="s">
        <v>12568</v>
      </c>
      <c r="W13" t="s">
        <v>12581</v>
      </c>
      <c r="X13">
        <v>4</v>
      </c>
      <c r="Y13" t="s">
        <v>18809</v>
      </c>
      <c r="Z13" t="s">
        <v>24883</v>
      </c>
      <c r="AA13">
        <v>0.44303261900651708</v>
      </c>
      <c r="AB13" t="str">
        <f>HYPERLINK("Melting_Curves/meltCurve_A2RUC4_TYW5.pdf", "Melting_Curves/meltCurve_A2RUC4_TYW5.pdf")</f>
        <v>Melting_Curves/meltCurve_A2RUC4_TYW5.pdf</v>
      </c>
    </row>
    <row r="14" spans="1:28" x14ac:dyDescent="0.25">
      <c r="A14" t="s">
        <v>18</v>
      </c>
      <c r="B14">
        <v>0.99352677808782597</v>
      </c>
      <c r="C14">
        <v>0.949209531302871</v>
      </c>
      <c r="D14">
        <v>0.93441475646257899</v>
      </c>
      <c r="E14">
        <v>0.36879004491117801</v>
      </c>
      <c r="F14">
        <v>0.336761644125953</v>
      </c>
      <c r="G14">
        <v>0.181398301120858</v>
      </c>
      <c r="H14">
        <v>0.12863391865823601</v>
      </c>
      <c r="I14">
        <v>0.120384461857304</v>
      </c>
      <c r="J14">
        <v>8.7568672641462703E-2</v>
      </c>
      <c r="K14">
        <v>8.9207323961507504E-2</v>
      </c>
      <c r="L14">
        <v>1230.5633450154901</v>
      </c>
      <c r="M14">
        <v>25.084631082080701</v>
      </c>
      <c r="N14">
        <v>49.609245736899098</v>
      </c>
      <c r="O14">
        <v>48.747864497232399</v>
      </c>
      <c r="P14">
        <v>-0.112961629170825</v>
      </c>
      <c r="Q14">
        <v>0.121921744939555</v>
      </c>
      <c r="R14">
        <v>0.97953825974445596</v>
      </c>
      <c r="S14" t="s">
        <v>6299</v>
      </c>
      <c r="T14" t="s">
        <v>12568</v>
      </c>
      <c r="U14" t="s">
        <v>12568</v>
      </c>
      <c r="V14" t="s">
        <v>12568</v>
      </c>
      <c r="W14" t="s">
        <v>12582</v>
      </c>
      <c r="X14">
        <v>1</v>
      </c>
      <c r="Y14" t="s">
        <v>18810</v>
      </c>
      <c r="Z14" t="s">
        <v>24884</v>
      </c>
      <c r="AA14">
        <v>0.39472789847813472</v>
      </c>
      <c r="AB14" t="str">
        <f>HYPERLINK("Melting_Curves/meltCurve_A2RUS2_2_DENND3.pdf", "Melting_Curves/meltCurve_A2RUS2_2_DENND3.pdf")</f>
        <v>Melting_Curves/meltCurve_A2RUS2_2_DENND3.pdf</v>
      </c>
    </row>
    <row r="15" spans="1:28" x14ac:dyDescent="0.25">
      <c r="A15" t="s">
        <v>19</v>
      </c>
      <c r="B15">
        <v>0.99352677808782597</v>
      </c>
      <c r="C15">
        <v>0.87454470374818105</v>
      </c>
      <c r="D15">
        <v>0.86930299760820595</v>
      </c>
      <c r="E15">
        <v>0.27466782653724298</v>
      </c>
      <c r="F15">
        <v>0.208484443480139</v>
      </c>
      <c r="G15">
        <v>8.9773326717187296E-2</v>
      </c>
      <c r="H15">
        <v>5.1337184517364402E-2</v>
      </c>
      <c r="I15">
        <v>7.9049205883590101E-2</v>
      </c>
      <c r="J15">
        <v>6.7149797600462593E-2</v>
      </c>
      <c r="K15">
        <v>1.82768638890277E-2</v>
      </c>
      <c r="L15">
        <v>1328.72361566069</v>
      </c>
      <c r="M15">
        <v>27.494648228988201</v>
      </c>
      <c r="N15">
        <v>48.566986078732199</v>
      </c>
      <c r="O15">
        <v>48.073148176296101</v>
      </c>
      <c r="P15">
        <v>-0.133889472183018</v>
      </c>
      <c r="Q15">
        <v>6.3609896497064805E-2</v>
      </c>
      <c r="R15">
        <v>0.98353863120036999</v>
      </c>
      <c r="S15" t="s">
        <v>6300</v>
      </c>
      <c r="T15" t="s">
        <v>12568</v>
      </c>
      <c r="U15" t="s">
        <v>12568</v>
      </c>
      <c r="V15" t="s">
        <v>12568</v>
      </c>
      <c r="W15" t="s">
        <v>12583</v>
      </c>
      <c r="X15">
        <v>3</v>
      </c>
      <c r="Y15" t="s">
        <v>18811</v>
      </c>
      <c r="Z15" t="s">
        <v>24885</v>
      </c>
      <c r="AA15">
        <v>0.3302886480043154</v>
      </c>
      <c r="AB15" t="str">
        <f>HYPERLINK("Melting_Curves/meltCurve_A3KMH1_2_VWA8.pdf", "Melting_Curves/meltCurve_A3KMH1_2_VWA8.pdf")</f>
        <v>Melting_Curves/meltCurve_A3KMH1_2_VWA8.pdf</v>
      </c>
    </row>
    <row r="16" spans="1:28" x14ac:dyDescent="0.25">
      <c r="A16" t="s">
        <v>20</v>
      </c>
      <c r="B16">
        <v>0.99352677808782597</v>
      </c>
      <c r="C16">
        <v>0.99342771913550099</v>
      </c>
      <c r="D16">
        <v>0.98212036392403101</v>
      </c>
      <c r="E16">
        <v>0.58192696060493299</v>
      </c>
      <c r="F16">
        <v>0.47932128214638697</v>
      </c>
      <c r="G16">
        <v>0.33215934091745802</v>
      </c>
      <c r="H16">
        <v>0.27327862229920302</v>
      </c>
      <c r="I16">
        <v>0.26285470481772699</v>
      </c>
      <c r="J16">
        <v>0.22704965136889499</v>
      </c>
      <c r="K16">
        <v>0.193044793944116</v>
      </c>
      <c r="L16">
        <v>1035.71003011839</v>
      </c>
      <c r="M16">
        <v>20.526998083455201</v>
      </c>
      <c r="N16">
        <v>52.082631876913503</v>
      </c>
      <c r="O16">
        <v>49.984425262514897</v>
      </c>
      <c r="P16">
        <v>-7.8373820974413005E-2</v>
      </c>
      <c r="Q16">
        <v>0.236642944204773</v>
      </c>
      <c r="R16">
        <v>0.98453068977519698</v>
      </c>
      <c r="S16" t="s">
        <v>6301</v>
      </c>
      <c r="T16" t="s">
        <v>12568</v>
      </c>
      <c r="U16" t="s">
        <v>12568</v>
      </c>
      <c r="V16" t="s">
        <v>12568</v>
      </c>
      <c r="W16" t="s">
        <v>12584</v>
      </c>
      <c r="X16">
        <v>27</v>
      </c>
      <c r="Y16" t="s">
        <v>18812</v>
      </c>
      <c r="Z16" t="s">
        <v>24886</v>
      </c>
      <c r="AA16">
        <v>0.51279225377607796</v>
      </c>
      <c r="AB16" t="str">
        <f>HYPERLINK("Melting_Curves/meltCurve_A3KN83_2_SBNO1.pdf", "Melting_Curves/meltCurve_A3KN83_2_SBNO1.pdf")</f>
        <v>Melting_Curves/meltCurve_A3KN83_2_SBNO1.pdf</v>
      </c>
    </row>
    <row r="17" spans="1:28" x14ac:dyDescent="0.25">
      <c r="A17" t="s">
        <v>21</v>
      </c>
      <c r="B17">
        <v>0.99352677808782597</v>
      </c>
      <c r="C17">
        <v>0.96445690408864504</v>
      </c>
      <c r="D17">
        <v>0.88545448836227902</v>
      </c>
      <c r="E17">
        <v>0.73511670477005797</v>
      </c>
      <c r="F17">
        <v>0.63258268367581405</v>
      </c>
      <c r="G17">
        <v>0.51355966037071499</v>
      </c>
      <c r="H17">
        <v>0.45157278202804901</v>
      </c>
      <c r="I17">
        <v>0.43136312726659398</v>
      </c>
      <c r="J17">
        <v>0.38892778708046</v>
      </c>
      <c r="K17">
        <v>0.243911555675771</v>
      </c>
      <c r="L17">
        <v>497.33406071579401</v>
      </c>
      <c r="M17">
        <v>9.1942307875612297</v>
      </c>
      <c r="N17">
        <v>58.105193393742802</v>
      </c>
      <c r="O17">
        <v>51.717562733700902</v>
      </c>
      <c r="P17">
        <v>-3.4020990766532401E-2</v>
      </c>
      <c r="Q17">
        <v>0.23503981800601201</v>
      </c>
      <c r="R17">
        <v>0.97940092475350005</v>
      </c>
      <c r="S17" t="s">
        <v>6302</v>
      </c>
      <c r="T17" t="s">
        <v>12568</v>
      </c>
      <c r="U17" t="s">
        <v>12568</v>
      </c>
      <c r="V17" t="s">
        <v>12568</v>
      </c>
      <c r="W17" t="s">
        <v>12585</v>
      </c>
      <c r="X17">
        <v>4</v>
      </c>
      <c r="Y17" t="s">
        <v>18813</v>
      </c>
      <c r="Z17" t="s">
        <v>24887</v>
      </c>
      <c r="AA17">
        <v>0.61836421608040448</v>
      </c>
      <c r="AB17" t="str">
        <f>HYPERLINK("Melting_Curves/meltCurve_A4D1P6_2_WDR91.pdf", "Melting_Curves/meltCurve_A4D1P6_2_WDR91.pdf")</f>
        <v>Melting_Curves/meltCurve_A4D1P6_2_WDR91.pdf</v>
      </c>
    </row>
    <row r="18" spans="1:28" x14ac:dyDescent="0.25">
      <c r="A18" t="s">
        <v>22</v>
      </c>
      <c r="B18">
        <v>0.99352677808782597</v>
      </c>
      <c r="C18">
        <v>0.940415312173701</v>
      </c>
      <c r="D18">
        <v>0.95953053183027703</v>
      </c>
      <c r="E18">
        <v>0.89971691675038101</v>
      </c>
      <c r="F18">
        <v>0.82828998017469502</v>
      </c>
      <c r="G18">
        <v>0.73392891340567701</v>
      </c>
      <c r="H18">
        <v>0.64132890091859596</v>
      </c>
      <c r="I18">
        <v>0.74816006989926798</v>
      </c>
      <c r="J18">
        <v>0.65230906386695098</v>
      </c>
      <c r="K18">
        <v>0.60936006874973203</v>
      </c>
      <c r="L18">
        <v>590.16902128313598</v>
      </c>
      <c r="M18">
        <v>10.9369431199293</v>
      </c>
      <c r="O18">
        <v>52.2511185946654</v>
      </c>
      <c r="P18">
        <v>-2.05214097289994E-2</v>
      </c>
      <c r="Q18">
        <v>0.60797203925312104</v>
      </c>
      <c r="R18">
        <v>0.93411934127931495</v>
      </c>
      <c r="S18" t="s">
        <v>6303</v>
      </c>
      <c r="T18" t="s">
        <v>12568</v>
      </c>
      <c r="U18" t="s">
        <v>12568</v>
      </c>
      <c r="V18" t="s">
        <v>12568</v>
      </c>
      <c r="W18" t="s">
        <v>12586</v>
      </c>
      <c r="X18">
        <v>3</v>
      </c>
      <c r="Y18" t="s">
        <v>18814</v>
      </c>
      <c r="Z18" t="s">
        <v>24888</v>
      </c>
      <c r="AA18">
        <v>0.80154760042763995</v>
      </c>
      <c r="AB18" t="str">
        <f>HYPERLINK("Melting_Curves/meltCurve_A4D1S0_2_KLRG2.pdf", "Melting_Curves/meltCurve_A4D1S0_2_KLRG2.pdf")</f>
        <v>Melting_Curves/meltCurve_A4D1S0_2_KLRG2.pdf</v>
      </c>
    </row>
    <row r="19" spans="1:28" x14ac:dyDescent="0.25">
      <c r="A19" t="s">
        <v>23</v>
      </c>
      <c r="B19">
        <v>0.99352677808782597</v>
      </c>
      <c r="C19">
        <v>0.86025969622906595</v>
      </c>
      <c r="D19">
        <v>0.953064378542687</v>
      </c>
      <c r="E19">
        <v>0.99329456749545797</v>
      </c>
      <c r="F19">
        <v>1.25193012894727</v>
      </c>
      <c r="G19">
        <v>1.1759149936392601</v>
      </c>
      <c r="H19">
        <v>0.52743823986757199</v>
      </c>
      <c r="I19">
        <v>0.35443300964652102</v>
      </c>
      <c r="J19">
        <v>0.25372944388183699</v>
      </c>
      <c r="K19">
        <v>0.226946572903129</v>
      </c>
      <c r="L19">
        <v>6602.0602468507204</v>
      </c>
      <c r="M19">
        <v>108.85483854170199</v>
      </c>
      <c r="N19">
        <v>61.103693827425701</v>
      </c>
      <c r="O19">
        <v>60.629668381254298</v>
      </c>
      <c r="P19">
        <v>-0.32446205849940901</v>
      </c>
      <c r="Q19">
        <v>0.27712808161333902</v>
      </c>
      <c r="R19">
        <v>0.90592264352962804</v>
      </c>
      <c r="S19" t="s">
        <v>6304</v>
      </c>
      <c r="T19" t="s">
        <v>12568</v>
      </c>
      <c r="U19" t="s">
        <v>12568</v>
      </c>
      <c r="V19" t="s">
        <v>12568</v>
      </c>
      <c r="W19" t="s">
        <v>12587</v>
      </c>
      <c r="X19">
        <v>2</v>
      </c>
      <c r="Y19" t="s">
        <v>18815</v>
      </c>
      <c r="Z19" t="s">
        <v>24889</v>
      </c>
      <c r="AA19">
        <v>0.77511429390188469</v>
      </c>
      <c r="AB19" t="str">
        <f>HYPERLINK("Melting_Curves/meltCurve_A4D1U4_LCHN.pdf", "Melting_Curves/meltCurve_A4D1U4_LCHN.pdf")</f>
        <v>Melting_Curves/meltCurve_A4D1U4_LCHN.pdf</v>
      </c>
    </row>
    <row r="20" spans="1:28" x14ac:dyDescent="0.25">
      <c r="A20" t="s">
        <v>24</v>
      </c>
      <c r="B20">
        <v>0.99352677808782597</v>
      </c>
      <c r="C20">
        <v>0.91287897524290595</v>
      </c>
      <c r="D20">
        <v>0.859648612741713</v>
      </c>
      <c r="E20">
        <v>0.28915055440704002</v>
      </c>
      <c r="F20">
        <v>0.59603491655055996</v>
      </c>
      <c r="G20">
        <v>0.41261419738833</v>
      </c>
      <c r="H20">
        <v>0.34974446317578101</v>
      </c>
      <c r="I20">
        <v>0.36689679278512299</v>
      </c>
      <c r="J20">
        <v>0.33792961546031502</v>
      </c>
      <c r="K20">
        <v>0.29211995626588499</v>
      </c>
      <c r="L20">
        <v>11556.741607924199</v>
      </c>
      <c r="M20">
        <v>250</v>
      </c>
      <c r="N20">
        <v>46.488942367060801</v>
      </c>
      <c r="O20">
        <v>46.224007419939298</v>
      </c>
      <c r="P20">
        <v>-0.84130475224910195</v>
      </c>
      <c r="Q20">
        <v>0.37778435629206802</v>
      </c>
      <c r="R20">
        <v>0.89368733919777998</v>
      </c>
      <c r="S20" t="s">
        <v>6305</v>
      </c>
      <c r="T20" t="s">
        <v>12568</v>
      </c>
      <c r="U20" t="s">
        <v>12568</v>
      </c>
      <c r="V20" t="s">
        <v>12568</v>
      </c>
      <c r="W20" t="s">
        <v>12588</v>
      </c>
      <c r="X20">
        <v>2</v>
      </c>
      <c r="Y20" t="s">
        <v>18816</v>
      </c>
      <c r="Z20" t="s">
        <v>24890</v>
      </c>
      <c r="AA20">
        <v>0.50698536604625111</v>
      </c>
      <c r="AB20" t="str">
        <f>HYPERLINK("Melting_Curves/meltCurve_A4D2B0_MBLAC1.pdf", "Melting_Curves/meltCurve_A4D2B0_MBLAC1.pdf")</f>
        <v>Melting_Curves/meltCurve_A4D2B0_MBLAC1.pdf</v>
      </c>
    </row>
    <row r="21" spans="1:28" x14ac:dyDescent="0.25">
      <c r="A21" t="s">
        <v>25</v>
      </c>
      <c r="B21">
        <v>0.99352677808782597</v>
      </c>
      <c r="C21">
        <v>0.90635721971177297</v>
      </c>
      <c r="D21">
        <v>0.70483541684461304</v>
      </c>
      <c r="E21">
        <v>0.32532162251712898</v>
      </c>
      <c r="F21">
        <v>0.25845191375154802</v>
      </c>
      <c r="G21">
        <v>0.13237314577852299</v>
      </c>
      <c r="H21">
        <v>5.78626663107474E-2</v>
      </c>
      <c r="I21">
        <v>4.7318632172578798E-2</v>
      </c>
      <c r="J21">
        <v>3.1801056062481001E-2</v>
      </c>
      <c r="K21">
        <v>2.29141034749334E-2</v>
      </c>
      <c r="L21">
        <v>799.76314435461904</v>
      </c>
      <c r="M21">
        <v>16.588487077901299</v>
      </c>
      <c r="N21">
        <v>48.418831966690199</v>
      </c>
      <c r="O21">
        <v>47.527669876278402</v>
      </c>
      <c r="P21">
        <v>-8.4277682187885006E-2</v>
      </c>
      <c r="Q21">
        <v>3.4210330235506903E-2</v>
      </c>
      <c r="R21">
        <v>0.99440982977683601</v>
      </c>
      <c r="S21" t="s">
        <v>6306</v>
      </c>
      <c r="T21" t="s">
        <v>12568</v>
      </c>
      <c r="U21" t="s">
        <v>12568</v>
      </c>
      <c r="V21" t="s">
        <v>12568</v>
      </c>
      <c r="W21" t="s">
        <v>12589</v>
      </c>
      <c r="X21">
        <v>2</v>
      </c>
      <c r="Y21" t="s">
        <v>18817</v>
      </c>
      <c r="Z21" t="s">
        <v>24891</v>
      </c>
      <c r="AA21">
        <v>0.31871120334144643</v>
      </c>
      <c r="AB21" t="str">
        <f>HYPERLINK("Melting_Curves/meltCurve_A5PLN9_2_TRAPPC13.pdf", "Melting_Curves/meltCurve_A5PLN9_2_TRAPPC13.pdf")</f>
        <v>Melting_Curves/meltCurve_A5PLN9_2_TRAPPC13.pdf</v>
      </c>
    </row>
    <row r="22" spans="1:28" x14ac:dyDescent="0.25">
      <c r="A22" t="s">
        <v>26</v>
      </c>
      <c r="B22">
        <v>0.99352677808782597</v>
      </c>
      <c r="C22">
        <v>0.98916355972125303</v>
      </c>
      <c r="D22">
        <v>0.87508597790791798</v>
      </c>
      <c r="E22">
        <v>0.42357261229757898</v>
      </c>
      <c r="F22">
        <v>0.33428534086063799</v>
      </c>
      <c r="G22">
        <v>0.14125641681458601</v>
      </c>
      <c r="H22">
        <v>9.0835724610997703E-2</v>
      </c>
      <c r="I22">
        <v>8.7825105632173106E-2</v>
      </c>
      <c r="J22">
        <v>6.6832713780515501E-2</v>
      </c>
      <c r="K22">
        <v>5.2962173940923001E-2</v>
      </c>
      <c r="L22">
        <v>997.91883499258802</v>
      </c>
      <c r="M22">
        <v>20.136286933574699</v>
      </c>
      <c r="N22">
        <v>49.942464268323</v>
      </c>
      <c r="O22">
        <v>49.077215688047303</v>
      </c>
      <c r="P22">
        <v>-9.52170840431633E-2</v>
      </c>
      <c r="Q22">
        <v>7.1756891283116297E-2</v>
      </c>
      <c r="R22">
        <v>0.99151644154340302</v>
      </c>
      <c r="S22" t="s">
        <v>6307</v>
      </c>
      <c r="T22" t="s">
        <v>12568</v>
      </c>
      <c r="U22" t="s">
        <v>12568</v>
      </c>
      <c r="V22" t="s">
        <v>12568</v>
      </c>
      <c r="W22" t="s">
        <v>12590</v>
      </c>
      <c r="X22">
        <v>51</v>
      </c>
      <c r="Y22" t="s">
        <v>18818</v>
      </c>
      <c r="Z22" t="s">
        <v>24892</v>
      </c>
      <c r="AA22">
        <v>0.38027795155609367</v>
      </c>
      <c r="AB22" t="str">
        <f>HYPERLINK("Melting_Curves/meltCurve_A5YKK6_CNOT1.pdf", "Melting_Curves/meltCurve_A5YKK6_CNOT1.pdf")</f>
        <v>Melting_Curves/meltCurve_A5YKK6_CNOT1.pdf</v>
      </c>
    </row>
    <row r="23" spans="1:28" x14ac:dyDescent="0.25">
      <c r="A23" t="s">
        <v>27</v>
      </c>
      <c r="B23">
        <v>0.99352677808782597</v>
      </c>
      <c r="C23">
        <v>1.0179232920766199</v>
      </c>
      <c r="D23">
        <v>1.00026090319672</v>
      </c>
      <c r="E23">
        <v>0.88240355439789497</v>
      </c>
      <c r="F23">
        <v>0.78382636016042795</v>
      </c>
      <c r="G23">
        <v>0.66769811445968996</v>
      </c>
      <c r="H23">
        <v>0.76857358950937105</v>
      </c>
      <c r="I23">
        <v>0.73323616988589102</v>
      </c>
      <c r="J23">
        <v>0.81317660914377998</v>
      </c>
      <c r="K23">
        <v>0.69845920804109096</v>
      </c>
      <c r="L23">
        <v>2026.7534941584299</v>
      </c>
      <c r="M23">
        <v>40.262261477116901</v>
      </c>
      <c r="O23">
        <v>50.215084888107803</v>
      </c>
      <c r="P23">
        <v>-5.24908255815002E-2</v>
      </c>
      <c r="Q23">
        <v>0.73813433777471804</v>
      </c>
      <c r="R23">
        <v>0.90767101633871605</v>
      </c>
      <c r="S23" t="s">
        <v>6308</v>
      </c>
      <c r="T23" t="s">
        <v>12568</v>
      </c>
      <c r="U23" t="s">
        <v>12568</v>
      </c>
      <c r="V23" t="s">
        <v>12568</v>
      </c>
      <c r="W23" t="s">
        <v>12591</v>
      </c>
      <c r="X23">
        <v>5</v>
      </c>
      <c r="Y23" t="s">
        <v>18819</v>
      </c>
      <c r="Z23" t="s">
        <v>24893</v>
      </c>
      <c r="AA23">
        <v>0.82927955667701125</v>
      </c>
      <c r="AB23" t="str">
        <f>HYPERLINK("Melting_Curves/meltCurve_A6H8Y1_7_BDP1.pdf", "Melting_Curves/meltCurve_A6H8Y1_7_BDP1.pdf")</f>
        <v>Melting_Curves/meltCurve_A6H8Y1_7_BDP1.pdf</v>
      </c>
    </row>
    <row r="24" spans="1:28" x14ac:dyDescent="0.25">
      <c r="A24" t="s">
        <v>28</v>
      </c>
      <c r="B24">
        <v>0.99352677808782597</v>
      </c>
      <c r="C24">
        <v>0.93921733929709805</v>
      </c>
      <c r="D24">
        <v>0.91652471940192604</v>
      </c>
      <c r="E24">
        <v>0.62376720512891504</v>
      </c>
      <c r="F24">
        <v>0.53579783699809502</v>
      </c>
      <c r="G24">
        <v>0.40950667836111998</v>
      </c>
      <c r="H24">
        <v>0.35851488526058201</v>
      </c>
      <c r="I24">
        <v>0.40293574969489299</v>
      </c>
      <c r="J24">
        <v>0.38622788202719499</v>
      </c>
      <c r="K24">
        <v>0.32717220323736901</v>
      </c>
      <c r="L24">
        <v>934.65097239604404</v>
      </c>
      <c r="M24">
        <v>18.838678969100499</v>
      </c>
      <c r="N24">
        <v>53.236970597011897</v>
      </c>
      <c r="O24">
        <v>49.064496715229097</v>
      </c>
      <c r="P24">
        <v>-6.1311520142176099E-2</v>
      </c>
      <c r="Q24">
        <v>0.36129388455553302</v>
      </c>
      <c r="R24">
        <v>0.98851775108534601</v>
      </c>
      <c r="S24" t="s">
        <v>6309</v>
      </c>
      <c r="T24" t="s">
        <v>12568</v>
      </c>
      <c r="U24" t="s">
        <v>12568</v>
      </c>
      <c r="V24" t="s">
        <v>12568</v>
      </c>
      <c r="W24" t="s">
        <v>12592</v>
      </c>
      <c r="X24">
        <v>12</v>
      </c>
      <c r="Y24" t="s">
        <v>18820</v>
      </c>
      <c r="Z24" t="s">
        <v>24894</v>
      </c>
      <c r="AA24">
        <v>0.57598673114301424</v>
      </c>
      <c r="AB24" t="str">
        <f>HYPERLINK("Melting_Curves/meltCurve_A6ND36_FAM83G.pdf", "Melting_Curves/meltCurve_A6ND36_FAM83G.pdf")</f>
        <v>Melting_Curves/meltCurve_A6ND36_FAM83G.pdf</v>
      </c>
    </row>
    <row r="25" spans="1:28" x14ac:dyDescent="0.25">
      <c r="A25" t="s">
        <v>29</v>
      </c>
      <c r="B25">
        <v>0.99352677808782597</v>
      </c>
      <c r="C25">
        <v>0.990622367348718</v>
      </c>
      <c r="D25">
        <v>0.96098712601576597</v>
      </c>
      <c r="E25">
        <v>1.0090314906234901</v>
      </c>
      <c r="F25">
        <v>0.97695314483089502</v>
      </c>
      <c r="G25">
        <v>0.951760689782429</v>
      </c>
      <c r="H25">
        <v>0.83745219270557103</v>
      </c>
      <c r="I25">
        <v>0.38396235647473598</v>
      </c>
      <c r="J25">
        <v>9.18063966740333E-2</v>
      </c>
      <c r="K25">
        <v>7.2521733357271898E-2</v>
      </c>
      <c r="L25">
        <v>2881.11658881635</v>
      </c>
      <c r="M25">
        <v>45.649948076879497</v>
      </c>
      <c r="N25">
        <v>63.2521985401102</v>
      </c>
      <c r="O25">
        <v>62.992493057224799</v>
      </c>
      <c r="P25">
        <v>-0.17252890364356099</v>
      </c>
      <c r="Q25">
        <v>4.7708671491781998E-2</v>
      </c>
      <c r="R25">
        <v>0.99663169821133801</v>
      </c>
      <c r="S25" t="s">
        <v>6310</v>
      </c>
      <c r="T25" t="s">
        <v>12568</v>
      </c>
      <c r="U25" t="s">
        <v>12568</v>
      </c>
      <c r="V25" t="s">
        <v>12568</v>
      </c>
      <c r="W25" t="s">
        <v>12593</v>
      </c>
      <c r="X25">
        <v>11</v>
      </c>
      <c r="Y25" t="s">
        <v>18821</v>
      </c>
      <c r="Z25" t="s">
        <v>24895</v>
      </c>
      <c r="AA25">
        <v>0.78394424823999842</v>
      </c>
      <c r="AB25" t="str">
        <f>HYPERLINK("Melting_Curves/meltCurve_A6NDG6_PGP.pdf", "Melting_Curves/meltCurve_A6NDG6_PGP.pdf")</f>
        <v>Melting_Curves/meltCurve_A6NDG6_PGP.pdf</v>
      </c>
    </row>
    <row r="26" spans="1:28" x14ac:dyDescent="0.25">
      <c r="A26" t="s">
        <v>30</v>
      </c>
      <c r="B26">
        <v>0.99352677808782597</v>
      </c>
      <c r="C26">
        <v>0.96641842815559498</v>
      </c>
      <c r="D26">
        <v>0.98801916424772995</v>
      </c>
      <c r="E26">
        <v>0.43359467056328699</v>
      </c>
      <c r="F26">
        <v>0.34588435590181899</v>
      </c>
      <c r="G26">
        <v>0.18047320270070399</v>
      </c>
      <c r="H26">
        <v>0.113583661132521</v>
      </c>
      <c r="I26">
        <v>9.3089098012083704E-2</v>
      </c>
      <c r="J26">
        <v>8.4959468146856898E-2</v>
      </c>
      <c r="K26">
        <v>5.9800325318724402E-2</v>
      </c>
      <c r="L26">
        <v>1192.63136547708</v>
      </c>
      <c r="M26">
        <v>23.9493442171926</v>
      </c>
      <c r="N26">
        <v>50.259700733307</v>
      </c>
      <c r="O26">
        <v>49.454779637652301</v>
      </c>
      <c r="P26">
        <v>-0.109116165607448</v>
      </c>
      <c r="Q26">
        <v>9.8726082685345107E-2</v>
      </c>
      <c r="R26">
        <v>0.98086955588028701</v>
      </c>
      <c r="S26" t="s">
        <v>6311</v>
      </c>
      <c r="T26" t="s">
        <v>12568</v>
      </c>
      <c r="U26" t="s">
        <v>12568</v>
      </c>
      <c r="V26" t="s">
        <v>12568</v>
      </c>
      <c r="W26" t="s">
        <v>12594</v>
      </c>
      <c r="X26">
        <v>6</v>
      </c>
      <c r="Y26" t="s">
        <v>18822</v>
      </c>
      <c r="Z26" t="s">
        <v>24896</v>
      </c>
      <c r="AA26">
        <v>0.40185121616920938</v>
      </c>
      <c r="AB26" t="str">
        <f>HYPERLINK("Melting_Curves/meltCurve_A6NDU8_C5orf51.pdf", "Melting_Curves/meltCurve_A6NDU8_C5orf51.pdf")</f>
        <v>Melting_Curves/meltCurve_A6NDU8_C5orf51.pdf</v>
      </c>
    </row>
    <row r="27" spans="1:28" x14ac:dyDescent="0.25">
      <c r="A27" t="s">
        <v>31</v>
      </c>
      <c r="B27">
        <v>0.99352677808782597</v>
      </c>
      <c r="C27">
        <v>0.96136689283275101</v>
      </c>
      <c r="D27">
        <v>0.88411732856877101</v>
      </c>
      <c r="E27">
        <v>0.49187872608281502</v>
      </c>
      <c r="F27">
        <v>0.451857349198314</v>
      </c>
      <c r="G27">
        <v>0.25112893330340702</v>
      </c>
      <c r="H27">
        <v>0.18352701180962699</v>
      </c>
      <c r="I27">
        <v>0.16848646687459701</v>
      </c>
      <c r="J27">
        <v>0.14867417877488301</v>
      </c>
      <c r="K27">
        <v>0.119348440918805</v>
      </c>
      <c r="L27">
        <v>809.40247548683101</v>
      </c>
      <c r="M27">
        <v>16.137699572510002</v>
      </c>
      <c r="N27">
        <v>51.155623024651398</v>
      </c>
      <c r="O27">
        <v>49.4047875608778</v>
      </c>
      <c r="P27">
        <v>-7.0622964412048503E-2</v>
      </c>
      <c r="Q27">
        <v>0.135230408523728</v>
      </c>
      <c r="R27">
        <v>0.98730686686715297</v>
      </c>
      <c r="S27" t="s">
        <v>6312</v>
      </c>
      <c r="T27" t="s">
        <v>12568</v>
      </c>
      <c r="U27" t="s">
        <v>12568</v>
      </c>
      <c r="V27" t="s">
        <v>12568</v>
      </c>
      <c r="W27" t="s">
        <v>12595</v>
      </c>
      <c r="X27">
        <v>10</v>
      </c>
      <c r="Y27" t="s">
        <v>18823</v>
      </c>
      <c r="Z27" t="s">
        <v>24897</v>
      </c>
      <c r="AA27">
        <v>0.4459950189706558</v>
      </c>
      <c r="AB27" t="str">
        <f>HYPERLINK("Melting_Curves/meltCurve_A6NED2_RCCD1.pdf", "Melting_Curves/meltCurve_A6NED2_RCCD1.pdf")</f>
        <v>Melting_Curves/meltCurve_A6NED2_RCCD1.pdf</v>
      </c>
    </row>
    <row r="28" spans="1:28" x14ac:dyDescent="0.25">
      <c r="A28" t="s">
        <v>32</v>
      </c>
      <c r="B28">
        <v>0.99352677808782597</v>
      </c>
      <c r="C28">
        <v>0.93426619486899898</v>
      </c>
      <c r="D28">
        <v>0.94205857637789303</v>
      </c>
      <c r="E28">
        <v>0.86962561894134804</v>
      </c>
      <c r="F28">
        <v>0.85836505581217104</v>
      </c>
      <c r="G28">
        <v>0.78434476286408705</v>
      </c>
      <c r="H28">
        <v>0.71680239977707805</v>
      </c>
      <c r="I28">
        <v>0.83504930371913799</v>
      </c>
      <c r="J28">
        <v>0.80752282347079296</v>
      </c>
      <c r="K28">
        <v>0.80711653166936603</v>
      </c>
      <c r="L28">
        <v>658.24027792151298</v>
      </c>
      <c r="M28">
        <v>13.6562956799839</v>
      </c>
      <c r="O28">
        <v>47.202181840685803</v>
      </c>
      <c r="P28">
        <v>-1.5515067583691301E-2</v>
      </c>
      <c r="Q28">
        <v>0.78552362850719004</v>
      </c>
      <c r="R28">
        <v>0.81684626433840402</v>
      </c>
      <c r="S28" t="s">
        <v>6313</v>
      </c>
      <c r="T28" t="s">
        <v>12568</v>
      </c>
      <c r="U28" t="s">
        <v>12568</v>
      </c>
      <c r="V28" t="s">
        <v>12568</v>
      </c>
      <c r="W28" t="s">
        <v>12596</v>
      </c>
      <c r="X28">
        <v>7</v>
      </c>
      <c r="Y28" t="s">
        <v>18824</v>
      </c>
      <c r="Z28" t="s">
        <v>24898</v>
      </c>
      <c r="AA28">
        <v>0.8507002547225494</v>
      </c>
      <c r="AB28" t="str">
        <f>HYPERLINK("Melting_Curves/meltCurve_A6NF31_OFD1.pdf", "Melting_Curves/meltCurve_A6NF31_OFD1.pdf")</f>
        <v>Melting_Curves/meltCurve_A6NF31_OFD1.pdf</v>
      </c>
    </row>
    <row r="29" spans="1:28" x14ac:dyDescent="0.25">
      <c r="A29" t="s">
        <v>33</v>
      </c>
      <c r="B29">
        <v>0.99352677808782597</v>
      </c>
      <c r="C29">
        <v>0.97052961989726405</v>
      </c>
      <c r="D29">
        <v>1.0215585576655</v>
      </c>
      <c r="E29">
        <v>0.89245267265565498</v>
      </c>
      <c r="F29">
        <v>0.77450513618665795</v>
      </c>
      <c r="G29">
        <v>0.66327694909461699</v>
      </c>
      <c r="H29">
        <v>0.57642009698723895</v>
      </c>
      <c r="I29">
        <v>0.58284598023781498</v>
      </c>
      <c r="J29">
        <v>0.55739963624021704</v>
      </c>
      <c r="K29">
        <v>0.53490809769391401</v>
      </c>
      <c r="L29">
        <v>1006.5577591587499</v>
      </c>
      <c r="M29">
        <v>18.880332699962</v>
      </c>
      <c r="O29">
        <v>52.725222075128301</v>
      </c>
      <c r="P29">
        <v>-4.0605510186382199E-2</v>
      </c>
      <c r="Q29">
        <v>0.54643870762005897</v>
      </c>
      <c r="R29">
        <v>0.989964090519034</v>
      </c>
      <c r="S29" t="s">
        <v>6314</v>
      </c>
      <c r="T29" t="s">
        <v>12568</v>
      </c>
      <c r="U29" t="s">
        <v>12568</v>
      </c>
      <c r="V29" t="s">
        <v>12568</v>
      </c>
      <c r="W29" t="s">
        <v>12597</v>
      </c>
      <c r="X29">
        <v>8</v>
      </c>
      <c r="Y29" t="s">
        <v>18825</v>
      </c>
      <c r="Z29" t="s">
        <v>24899</v>
      </c>
      <c r="AA29">
        <v>0.75454597287809932</v>
      </c>
      <c r="AB29" t="str">
        <f>HYPERLINK("Melting_Curves/meltCurve_A6NF48_ZNF281.pdf", "Melting_Curves/meltCurve_A6NF48_ZNF281.pdf")</f>
        <v>Melting_Curves/meltCurve_A6NF48_ZNF281.pdf</v>
      </c>
    </row>
    <row r="30" spans="1:28" x14ac:dyDescent="0.25">
      <c r="A30" t="s">
        <v>34</v>
      </c>
      <c r="B30">
        <v>0.99352677808782597</v>
      </c>
      <c r="C30">
        <v>0.87853899000895597</v>
      </c>
      <c r="D30">
        <v>0.94509317707315799</v>
      </c>
      <c r="E30">
        <v>0.77323176699460605</v>
      </c>
      <c r="F30">
        <v>0.71901144853559495</v>
      </c>
      <c r="G30">
        <v>0.32578177346572501</v>
      </c>
      <c r="H30">
        <v>0.23988207145992299</v>
      </c>
      <c r="I30">
        <v>0.27752921865193803</v>
      </c>
      <c r="J30">
        <v>0.29633839306542498</v>
      </c>
      <c r="K30">
        <v>0.25049023919892199</v>
      </c>
      <c r="L30">
        <v>1056.93664585178</v>
      </c>
      <c r="M30">
        <v>19.918887635663701</v>
      </c>
      <c r="N30">
        <v>54.840337402120902</v>
      </c>
      <c r="O30">
        <v>52.5358965365605</v>
      </c>
      <c r="P30">
        <v>-7.2238912719441994E-2</v>
      </c>
      <c r="Q30">
        <v>0.23790710193131101</v>
      </c>
      <c r="R30">
        <v>0.96159219681235897</v>
      </c>
      <c r="S30" t="s">
        <v>6315</v>
      </c>
      <c r="T30" t="s">
        <v>12568</v>
      </c>
      <c r="U30" t="s">
        <v>12568</v>
      </c>
      <c r="V30" t="s">
        <v>12568</v>
      </c>
      <c r="W30" t="s">
        <v>12598</v>
      </c>
      <c r="X30">
        <v>12</v>
      </c>
      <c r="Y30" t="s">
        <v>18826</v>
      </c>
      <c r="Z30" t="s">
        <v>24900</v>
      </c>
      <c r="AA30">
        <v>0.58027175462737335</v>
      </c>
      <c r="AB30" t="str">
        <f>HYPERLINK("Melting_Curves/meltCurve_A6NF51_BPNT1.pdf", "Melting_Curves/meltCurve_A6NF51_BPNT1.pdf")</f>
        <v>Melting_Curves/meltCurve_A6NF51_BPNT1.pdf</v>
      </c>
    </row>
    <row r="31" spans="1:28" x14ac:dyDescent="0.25">
      <c r="A31" t="s">
        <v>35</v>
      </c>
      <c r="B31">
        <v>0.99352677808782597</v>
      </c>
      <c r="C31">
        <v>1.7837557769746299</v>
      </c>
      <c r="D31">
        <v>0.75596509055635397</v>
      </c>
      <c r="E31">
        <v>1.0259765195525301</v>
      </c>
      <c r="F31">
        <v>3.57023581870153</v>
      </c>
      <c r="G31">
        <v>0.52947878852905195</v>
      </c>
      <c r="H31">
        <v>0.63049323839462401</v>
      </c>
      <c r="I31">
        <v>0.92328370772147506</v>
      </c>
      <c r="J31">
        <v>9.8965642157395006E-2</v>
      </c>
      <c r="K31">
        <v>6.5879177176903295E-2</v>
      </c>
      <c r="L31">
        <v>7953.5614210182703</v>
      </c>
      <c r="M31">
        <v>121.88682230097299</v>
      </c>
      <c r="N31">
        <v>65.326632557385096</v>
      </c>
      <c r="O31">
        <v>65.236099828358107</v>
      </c>
      <c r="P31">
        <v>-0.43736934418027301</v>
      </c>
      <c r="Q31">
        <v>6.3647109527376594E-2</v>
      </c>
      <c r="R31">
        <v>0.17995327600707101</v>
      </c>
      <c r="S31" t="s">
        <v>6316</v>
      </c>
      <c r="T31" t="s">
        <v>12568</v>
      </c>
      <c r="U31" t="s">
        <v>12568</v>
      </c>
      <c r="V31" t="s">
        <v>12568</v>
      </c>
      <c r="W31" t="s">
        <v>12599</v>
      </c>
      <c r="X31">
        <v>1</v>
      </c>
      <c r="Y31" t="s">
        <v>18827</v>
      </c>
      <c r="Z31" t="s">
        <v>24901</v>
      </c>
      <c r="AA31">
        <v>0.85230479396285597</v>
      </c>
      <c r="AB31" t="str">
        <f>HYPERLINK("Melting_Curves/meltCurve_A6NFI3_ZNF316.pdf", "Melting_Curves/meltCurve_A6NFI3_ZNF316.pdf")</f>
        <v>Melting_Curves/meltCurve_A6NFI3_ZNF316.pdf</v>
      </c>
    </row>
    <row r="32" spans="1:28" x14ac:dyDescent="0.25">
      <c r="A32" t="s">
        <v>36</v>
      </c>
      <c r="B32">
        <v>0.99352677808782597</v>
      </c>
      <c r="C32">
        <v>0.97923157380697001</v>
      </c>
      <c r="D32">
        <v>0.93661520318481795</v>
      </c>
      <c r="E32">
        <v>0.91870224209683504</v>
      </c>
      <c r="F32">
        <v>0.90647415224817696</v>
      </c>
      <c r="G32">
        <v>0.69229970444993505</v>
      </c>
      <c r="H32">
        <v>0.69082447597013097</v>
      </c>
      <c r="I32">
        <v>0.74004488008123004</v>
      </c>
      <c r="J32">
        <v>0.66876671581868896</v>
      </c>
      <c r="K32">
        <v>0.58329677162193905</v>
      </c>
      <c r="L32">
        <v>599.70231880065</v>
      </c>
      <c r="M32">
        <v>10.7482535254785</v>
      </c>
      <c r="O32">
        <v>53.968002291458198</v>
      </c>
      <c r="P32">
        <v>-2.0549279410349001E-2</v>
      </c>
      <c r="Q32">
        <v>0.58743262610042901</v>
      </c>
      <c r="R32">
        <v>0.913248530451374</v>
      </c>
      <c r="S32" t="s">
        <v>6317</v>
      </c>
      <c r="T32" t="s">
        <v>12568</v>
      </c>
      <c r="U32" t="s">
        <v>12568</v>
      </c>
      <c r="V32" t="s">
        <v>12568</v>
      </c>
      <c r="W32" t="s">
        <v>12600</v>
      </c>
      <c r="X32">
        <v>6</v>
      </c>
      <c r="Y32" t="s">
        <v>18828</v>
      </c>
      <c r="Z32" t="s">
        <v>24902</v>
      </c>
      <c r="AA32">
        <v>0.81367504806750146</v>
      </c>
      <c r="AB32" t="str">
        <f>HYPERLINK("Melting_Curves/meltCurve_A6NG32_CHMP1A.pdf", "Melting_Curves/meltCurve_A6NG32_CHMP1A.pdf")</f>
        <v>Melting_Curves/meltCurve_A6NG32_CHMP1A.pdf</v>
      </c>
    </row>
    <row r="33" spans="1:28" x14ac:dyDescent="0.25">
      <c r="A33" t="s">
        <v>37</v>
      </c>
      <c r="B33">
        <v>0.99352677808782597</v>
      </c>
      <c r="C33">
        <v>1.0021203352989101</v>
      </c>
      <c r="D33">
        <v>0.92483990372179603</v>
      </c>
      <c r="E33">
        <v>0.71814889276230398</v>
      </c>
      <c r="F33">
        <v>0.63627493188379403</v>
      </c>
      <c r="G33">
        <v>0.55540663467596896</v>
      </c>
      <c r="H33">
        <v>0.53317447454955902</v>
      </c>
      <c r="I33">
        <v>0.58208951085341099</v>
      </c>
      <c r="J33">
        <v>0.566384736702087</v>
      </c>
      <c r="K33">
        <v>0.48085667466603799</v>
      </c>
      <c r="L33">
        <v>1097.4122079368999</v>
      </c>
      <c r="M33">
        <v>22.271004191807901</v>
      </c>
      <c r="O33">
        <v>48.883246899831803</v>
      </c>
      <c r="P33">
        <v>-5.2547495773168598E-2</v>
      </c>
      <c r="Q33">
        <v>0.53865787773922802</v>
      </c>
      <c r="R33">
        <v>0.981109069904884</v>
      </c>
      <c r="S33" t="s">
        <v>6318</v>
      </c>
      <c r="T33" t="s">
        <v>12568</v>
      </c>
      <c r="U33" t="s">
        <v>12568</v>
      </c>
      <c r="V33" t="s">
        <v>12568</v>
      </c>
      <c r="W33" t="s">
        <v>12601</v>
      </c>
      <c r="X33">
        <v>3</v>
      </c>
      <c r="Y33" t="s">
        <v>18829</v>
      </c>
      <c r="Z33" t="s">
        <v>24903</v>
      </c>
      <c r="AA33">
        <v>0.68648177836770974</v>
      </c>
      <c r="AB33" t="str">
        <f>HYPERLINK("Melting_Curves/meltCurve_A6NG64_C10orf11.pdf", "Melting_Curves/meltCurve_A6NG64_C10orf11.pdf")</f>
        <v>Melting_Curves/meltCurve_A6NG64_C10orf11.pdf</v>
      </c>
    </row>
    <row r="34" spans="1:28" x14ac:dyDescent="0.25">
      <c r="A34" t="s">
        <v>38</v>
      </c>
      <c r="B34">
        <v>0.99352677808782597</v>
      </c>
      <c r="C34">
        <v>0.98096406361906596</v>
      </c>
      <c r="D34">
        <v>0.98250719123948804</v>
      </c>
      <c r="E34">
        <v>1.0142072723423501</v>
      </c>
      <c r="F34">
        <v>0.713988868304263</v>
      </c>
      <c r="G34">
        <v>0.61241718654069099</v>
      </c>
      <c r="H34">
        <v>0.82807395679319695</v>
      </c>
      <c r="I34">
        <v>0.82577279693835104</v>
      </c>
      <c r="J34">
        <v>0.71829549647824897</v>
      </c>
      <c r="K34">
        <v>0.48545828928509399</v>
      </c>
      <c r="L34">
        <v>13108.9694492214</v>
      </c>
      <c r="M34">
        <v>250</v>
      </c>
      <c r="O34">
        <v>52.432521841948997</v>
      </c>
      <c r="P34">
        <v>-0.364750568830572</v>
      </c>
      <c r="Q34">
        <v>0.69400332331254</v>
      </c>
      <c r="R34">
        <v>0.70675153074063501</v>
      </c>
      <c r="S34" t="s">
        <v>6319</v>
      </c>
      <c r="T34" t="s">
        <v>12568</v>
      </c>
      <c r="U34" t="s">
        <v>12568</v>
      </c>
      <c r="V34" t="s">
        <v>12568</v>
      </c>
      <c r="W34" t="s">
        <v>12602</v>
      </c>
      <c r="X34">
        <v>5</v>
      </c>
      <c r="Y34" t="s">
        <v>18830</v>
      </c>
      <c r="Z34" t="s">
        <v>24904</v>
      </c>
      <c r="AA34">
        <v>0.82087605831439248</v>
      </c>
      <c r="AB34" t="str">
        <f>HYPERLINK("Melting_Curves/meltCurve_A6NG79_PRCC.pdf", "Melting_Curves/meltCurve_A6NG79_PRCC.pdf")</f>
        <v>Melting_Curves/meltCurve_A6NG79_PRCC.pdf</v>
      </c>
    </row>
    <row r="35" spans="1:28" x14ac:dyDescent="0.25">
      <c r="A35" t="s">
        <v>39</v>
      </c>
      <c r="B35">
        <v>0.99352677808782597</v>
      </c>
      <c r="C35">
        <v>1.24475350906217</v>
      </c>
      <c r="D35">
        <v>1.0095786952007</v>
      </c>
      <c r="E35">
        <v>1.0333986691024299</v>
      </c>
      <c r="F35">
        <v>0.80205273323405102</v>
      </c>
      <c r="G35">
        <v>0.56812036793686305</v>
      </c>
      <c r="H35">
        <v>0.61266562756491305</v>
      </c>
      <c r="I35">
        <v>0.53579102817870505</v>
      </c>
      <c r="J35">
        <v>0.54911847129240898</v>
      </c>
      <c r="K35">
        <v>0.42444570124459402</v>
      </c>
      <c r="L35">
        <v>13265.2662021916</v>
      </c>
      <c r="M35">
        <v>250</v>
      </c>
      <c r="O35">
        <v>53.057669215979999</v>
      </c>
      <c r="P35">
        <v>-0.54418589773895898</v>
      </c>
      <c r="Q35">
        <v>0.538028234555189</v>
      </c>
      <c r="R35">
        <v>0.88330285645201101</v>
      </c>
      <c r="S35" t="s">
        <v>6320</v>
      </c>
      <c r="T35" t="s">
        <v>12568</v>
      </c>
      <c r="U35" t="s">
        <v>12568</v>
      </c>
      <c r="V35" t="s">
        <v>12568</v>
      </c>
      <c r="W35" t="s">
        <v>12603</v>
      </c>
      <c r="X35">
        <v>1</v>
      </c>
      <c r="Y35" t="s">
        <v>18831</v>
      </c>
      <c r="Z35" t="s">
        <v>24905</v>
      </c>
      <c r="AA35">
        <v>0.73919935959621164</v>
      </c>
      <c r="AB35" t="str">
        <f>HYPERLINK("Melting_Curves/meltCurve_A6NGB9_WIPF3.pdf", "Melting_Curves/meltCurve_A6NGB9_WIPF3.pdf")</f>
        <v>Melting_Curves/meltCurve_A6NGB9_WIPF3.pdf</v>
      </c>
    </row>
    <row r="36" spans="1:28" x14ac:dyDescent="0.25">
      <c r="A36" t="s">
        <v>40</v>
      </c>
      <c r="B36">
        <v>0.99352677808782597</v>
      </c>
      <c r="C36">
        <v>0.922258415561098</v>
      </c>
      <c r="D36">
        <v>0.99285680689324596</v>
      </c>
      <c r="E36">
        <v>0.95269212258758296</v>
      </c>
      <c r="F36">
        <v>0.85775613338413703</v>
      </c>
      <c r="G36">
        <v>0.81251219656109797</v>
      </c>
      <c r="H36">
        <v>0.75177597992682399</v>
      </c>
      <c r="I36">
        <v>0.75834739436887699</v>
      </c>
      <c r="J36">
        <v>0.78502298675348403</v>
      </c>
      <c r="K36">
        <v>0.66938458914014098</v>
      </c>
      <c r="L36">
        <v>529.19258048502695</v>
      </c>
      <c r="M36">
        <v>9.44686926592051</v>
      </c>
      <c r="O36">
        <v>53.679770323371699</v>
      </c>
      <c r="P36">
        <v>-1.45660460238445E-2</v>
      </c>
      <c r="Q36">
        <v>0.66912649044044803</v>
      </c>
      <c r="R36">
        <v>0.89419140712690603</v>
      </c>
      <c r="S36" t="s">
        <v>6321</v>
      </c>
      <c r="T36" t="s">
        <v>12568</v>
      </c>
      <c r="U36" t="s">
        <v>12568</v>
      </c>
      <c r="V36" t="s">
        <v>12568</v>
      </c>
      <c r="W36" t="s">
        <v>12604</v>
      </c>
      <c r="X36">
        <v>18</v>
      </c>
      <c r="Y36" t="s">
        <v>18832</v>
      </c>
      <c r="Z36" t="s">
        <v>24906</v>
      </c>
      <c r="AA36">
        <v>0.85270397302200474</v>
      </c>
      <c r="AB36" t="str">
        <f>HYPERLINK("Melting_Curves/meltCurve_A6NGP5_HN1L.pdf", "Melting_Curves/meltCurve_A6NGP5_HN1L.pdf")</f>
        <v>Melting_Curves/meltCurve_A6NGP5_HN1L.pdf</v>
      </c>
    </row>
    <row r="37" spans="1:28" x14ac:dyDescent="0.25">
      <c r="A37" t="s">
        <v>41</v>
      </c>
      <c r="B37">
        <v>0.99352677808782597</v>
      </c>
      <c r="C37">
        <v>0.87703396877151796</v>
      </c>
      <c r="D37">
        <v>0.55919695496160005</v>
      </c>
      <c r="E37">
        <v>0.25081530824352599</v>
      </c>
      <c r="F37">
        <v>0.191785072776292</v>
      </c>
      <c r="G37">
        <v>0.106234231001652</v>
      </c>
      <c r="H37">
        <v>7.1171670959440297E-2</v>
      </c>
      <c r="I37">
        <v>5.55020917092812E-2</v>
      </c>
      <c r="J37">
        <v>4.9281836487094499E-2</v>
      </c>
      <c r="K37">
        <v>3.7616026738385898E-2</v>
      </c>
      <c r="L37">
        <v>895.70599214559297</v>
      </c>
      <c r="M37">
        <v>19.217723117574899</v>
      </c>
      <c r="N37">
        <v>46.9208271286833</v>
      </c>
      <c r="O37">
        <v>46.112457054733902</v>
      </c>
      <c r="P37">
        <v>-9.7934545334763201E-2</v>
      </c>
      <c r="Q37">
        <v>6.0069625518479802E-2</v>
      </c>
      <c r="R37">
        <v>0.99473868084915096</v>
      </c>
      <c r="S37" t="s">
        <v>6322</v>
      </c>
      <c r="T37" t="s">
        <v>12568</v>
      </c>
      <c r="U37" t="s">
        <v>12568</v>
      </c>
      <c r="V37" t="s">
        <v>12568</v>
      </c>
      <c r="W37" t="s">
        <v>12605</v>
      </c>
      <c r="X37">
        <v>15</v>
      </c>
      <c r="Y37" t="s">
        <v>18833</v>
      </c>
      <c r="Z37" t="s">
        <v>24907</v>
      </c>
      <c r="AA37">
        <v>0.28243072228188049</v>
      </c>
      <c r="AB37" t="str">
        <f>HYPERLINK("Melting_Curves/meltCurve_A6NHR9_SMCHD1.pdf", "Melting_Curves/meltCurve_A6NHR9_SMCHD1.pdf")</f>
        <v>Melting_Curves/meltCurve_A6NHR9_SMCHD1.pdf</v>
      </c>
    </row>
    <row r="38" spans="1:28" x14ac:dyDescent="0.25">
      <c r="A38" t="s">
        <v>42</v>
      </c>
      <c r="B38">
        <v>0.99352677808782597</v>
      </c>
      <c r="C38">
        <v>0.99992916059991599</v>
      </c>
      <c r="D38">
        <v>1.02922725143259</v>
      </c>
      <c r="E38">
        <v>0.94274952652690702</v>
      </c>
      <c r="F38">
        <v>0.84763026797826901</v>
      </c>
      <c r="G38">
        <v>0.74221608183522003</v>
      </c>
      <c r="H38">
        <v>0.55860690641864497</v>
      </c>
      <c r="I38">
        <v>0.27572791708951999</v>
      </c>
      <c r="J38">
        <v>9.6647904608390706E-2</v>
      </c>
      <c r="K38">
        <v>6.9607865189003706E-2</v>
      </c>
      <c r="L38">
        <v>1057.22122300968</v>
      </c>
      <c r="M38">
        <v>17.429437615373701</v>
      </c>
      <c r="N38">
        <v>60.657219772778298</v>
      </c>
      <c r="O38">
        <v>59.875630177350402</v>
      </c>
      <c r="P38">
        <v>-7.2777580662169397E-2</v>
      </c>
      <c r="Q38">
        <v>0</v>
      </c>
      <c r="R38">
        <v>0.98472376307309495</v>
      </c>
      <c r="S38" t="s">
        <v>6323</v>
      </c>
      <c r="T38" t="s">
        <v>12568</v>
      </c>
      <c r="U38" t="s">
        <v>12568</v>
      </c>
      <c r="V38" t="s">
        <v>12568</v>
      </c>
      <c r="W38" t="s">
        <v>12606</v>
      </c>
      <c r="X38">
        <v>3</v>
      </c>
      <c r="Y38" t="s">
        <v>18834</v>
      </c>
      <c r="Z38" t="s">
        <v>24908</v>
      </c>
      <c r="AA38">
        <v>0.69469620134105525</v>
      </c>
      <c r="AB38" t="str">
        <f>HYPERLINK("Melting_Curves/meltCurve_A6NHX0_GATSL2.pdf", "Melting_Curves/meltCurve_A6NHX0_GATSL2.pdf")</f>
        <v>Melting_Curves/meltCurve_A6NHX0_GATSL2.pdf</v>
      </c>
    </row>
    <row r="39" spans="1:28" x14ac:dyDescent="0.25">
      <c r="A39" t="s">
        <v>43</v>
      </c>
      <c r="B39">
        <v>0.99352677808782597</v>
      </c>
      <c r="C39">
        <v>0.40444689499772501</v>
      </c>
      <c r="D39">
        <v>0.69459968455918097</v>
      </c>
      <c r="E39">
        <v>0.36941250942919202</v>
      </c>
      <c r="F39">
        <v>0.30253429156245099</v>
      </c>
      <c r="G39">
        <v>0.18787280545072399</v>
      </c>
      <c r="H39">
        <v>0.145046160992235</v>
      </c>
      <c r="I39">
        <v>0.13805939638275899</v>
      </c>
      <c r="J39">
        <v>0.12754392709058801</v>
      </c>
      <c r="K39">
        <v>9.6471227377239496E-2</v>
      </c>
      <c r="L39">
        <v>417.23090522365402</v>
      </c>
      <c r="M39">
        <v>9.0168949902745403</v>
      </c>
      <c r="N39">
        <v>46.957569990238298</v>
      </c>
      <c r="O39">
        <v>44.166274317539298</v>
      </c>
      <c r="P39">
        <v>-4.7926815910047403E-2</v>
      </c>
      <c r="Q39">
        <v>6.1661919899815003E-2</v>
      </c>
      <c r="R39">
        <v>0.82089394245887704</v>
      </c>
      <c r="S39" t="s">
        <v>6324</v>
      </c>
      <c r="T39" t="s">
        <v>12568</v>
      </c>
      <c r="U39" t="s">
        <v>12568</v>
      </c>
      <c r="V39" t="s">
        <v>12568</v>
      </c>
      <c r="W39" t="s">
        <v>12607</v>
      </c>
      <c r="X39">
        <v>7</v>
      </c>
      <c r="Y39" t="s">
        <v>18835</v>
      </c>
      <c r="Z39" t="s">
        <v>24909</v>
      </c>
      <c r="AA39">
        <v>0.32522504090267929</v>
      </c>
      <c r="AB39" t="str">
        <f>HYPERLINK("Melting_Curves/meltCurve_A6NIH7_UNC119B.pdf", "Melting_Curves/meltCurve_A6NIH7_UNC119B.pdf")</f>
        <v>Melting_Curves/meltCurve_A6NIH7_UNC119B.pdf</v>
      </c>
    </row>
    <row r="40" spans="1:28" x14ac:dyDescent="0.25">
      <c r="A40" t="s">
        <v>44</v>
      </c>
      <c r="B40">
        <v>0.99352677808782597</v>
      </c>
      <c r="C40">
        <v>0.94694350262717597</v>
      </c>
      <c r="D40">
        <v>1.01501683523192</v>
      </c>
      <c r="E40">
        <v>0.810775455448975</v>
      </c>
      <c r="F40">
        <v>1.0180880754370201</v>
      </c>
      <c r="G40">
        <v>0.83830952151120397</v>
      </c>
      <c r="H40">
        <v>0.96355728850445199</v>
      </c>
      <c r="I40">
        <v>0.92732840874709899</v>
      </c>
      <c r="J40">
        <v>0.89988226239090296</v>
      </c>
      <c r="K40">
        <v>0.70453539256518805</v>
      </c>
      <c r="L40">
        <v>288.31637234229902</v>
      </c>
      <c r="M40">
        <v>2.6615984120560001</v>
      </c>
      <c r="Q40">
        <v>0</v>
      </c>
      <c r="R40">
        <v>0.32739190694221798</v>
      </c>
      <c r="S40" t="s">
        <v>6325</v>
      </c>
      <c r="T40" t="s">
        <v>12568</v>
      </c>
      <c r="U40" t="s">
        <v>12568</v>
      </c>
      <c r="V40" t="s">
        <v>12568</v>
      </c>
      <c r="W40" t="s">
        <v>12608</v>
      </c>
      <c r="X40">
        <v>1</v>
      </c>
      <c r="Y40" t="s">
        <v>18836</v>
      </c>
      <c r="Z40" t="s">
        <v>24910</v>
      </c>
      <c r="AA40">
        <v>0.91948774525599675</v>
      </c>
      <c r="AB40" t="str">
        <f>HYPERLINK("Melting_Curves/meltCurve_A6NIX2_WTIP.pdf", "Melting_Curves/meltCurve_A6NIX2_WTIP.pdf")</f>
        <v>Melting_Curves/meltCurve_A6NIX2_WTIP.pdf</v>
      </c>
    </row>
    <row r="41" spans="1:28" x14ac:dyDescent="0.25">
      <c r="A41" t="s">
        <v>45</v>
      </c>
      <c r="B41">
        <v>0.99352677808782597</v>
      </c>
      <c r="C41">
        <v>0.88154408630442904</v>
      </c>
      <c r="D41">
        <v>0.92656952104064705</v>
      </c>
      <c r="E41">
        <v>0.50255323268243601</v>
      </c>
      <c r="F41">
        <v>0.47232340210435197</v>
      </c>
      <c r="G41">
        <v>0.242527448706677</v>
      </c>
      <c r="H41">
        <v>0.168000436511866</v>
      </c>
      <c r="I41">
        <v>0.16837002015188601</v>
      </c>
      <c r="J41">
        <v>0.171634554360377</v>
      </c>
      <c r="K41">
        <v>0.166906293075676</v>
      </c>
      <c r="L41">
        <v>819.54535505857496</v>
      </c>
      <c r="M41">
        <v>16.328093059590401</v>
      </c>
      <c r="N41">
        <v>51.300916087138603</v>
      </c>
      <c r="O41">
        <v>49.457599321848399</v>
      </c>
      <c r="P41">
        <v>-7.0271733825010299E-2</v>
      </c>
      <c r="Q41">
        <v>0.14865268043350999</v>
      </c>
      <c r="R41">
        <v>0.97655499592513195</v>
      </c>
      <c r="S41" t="s">
        <v>6326</v>
      </c>
      <c r="T41" t="s">
        <v>12568</v>
      </c>
      <c r="U41" t="s">
        <v>12568</v>
      </c>
      <c r="V41" t="s">
        <v>12568</v>
      </c>
      <c r="W41" t="s">
        <v>12609</v>
      </c>
      <c r="X41">
        <v>2</v>
      </c>
      <c r="Y41" t="s">
        <v>18837</v>
      </c>
      <c r="Z41" t="s">
        <v>24911</v>
      </c>
      <c r="AA41">
        <v>0.45523765300019131</v>
      </c>
      <c r="AB41" t="str">
        <f>HYPERLINK("Melting_Curves/meltCurve_A6NJ78_2_METTL15.pdf", "Melting_Curves/meltCurve_A6NJ78_2_METTL15.pdf")</f>
        <v>Melting_Curves/meltCurve_A6NJ78_2_METTL15.pdf</v>
      </c>
    </row>
    <row r="42" spans="1:28" x14ac:dyDescent="0.25">
      <c r="A42" t="s">
        <v>46</v>
      </c>
      <c r="B42">
        <v>0.99352677808782597</v>
      </c>
      <c r="C42">
        <v>0.96998204850640402</v>
      </c>
      <c r="D42">
        <v>0.97207665666426302</v>
      </c>
      <c r="E42">
        <v>0.62961489851083796</v>
      </c>
      <c r="F42">
        <v>0.58842748451202198</v>
      </c>
      <c r="G42">
        <v>0.467906322465999</v>
      </c>
      <c r="H42">
        <v>0.40643917843052002</v>
      </c>
      <c r="I42">
        <v>0.379618876042492</v>
      </c>
      <c r="J42">
        <v>0.32204282530313699</v>
      </c>
      <c r="K42">
        <v>0.35001370508697</v>
      </c>
      <c r="L42">
        <v>852.92197589405998</v>
      </c>
      <c r="M42">
        <v>16.848935453408799</v>
      </c>
      <c r="N42">
        <v>54.571025961603198</v>
      </c>
      <c r="O42">
        <v>49.9247563538988</v>
      </c>
      <c r="P42">
        <v>-5.4651824044691599E-2</v>
      </c>
      <c r="Q42">
        <v>0.35229039086902902</v>
      </c>
      <c r="R42">
        <v>0.97673030265231997</v>
      </c>
      <c r="S42" t="s">
        <v>6327</v>
      </c>
      <c r="T42" t="s">
        <v>12568</v>
      </c>
      <c r="U42" t="s">
        <v>12568</v>
      </c>
      <c r="V42" t="s">
        <v>12568</v>
      </c>
      <c r="W42" t="s">
        <v>12610</v>
      </c>
      <c r="X42">
        <v>1</v>
      </c>
      <c r="Y42" t="s">
        <v>18838</v>
      </c>
      <c r="Z42" t="s">
        <v>24912</v>
      </c>
      <c r="AA42">
        <v>0.59397690608852183</v>
      </c>
      <c r="AB42" t="str">
        <f>HYPERLINK("Melting_Curves/meltCurve_A6NJ97_C13orf23.pdf", "Melting_Curves/meltCurve_A6NJ97_C13orf23.pdf")</f>
        <v>Melting_Curves/meltCurve_A6NJ97_C13orf23.pdf</v>
      </c>
    </row>
    <row r="43" spans="1:28" x14ac:dyDescent="0.25">
      <c r="A43" t="s">
        <v>47</v>
      </c>
      <c r="B43">
        <v>0.99352677808782597</v>
      </c>
      <c r="C43">
        <v>0.99062500431968503</v>
      </c>
      <c r="D43">
        <v>1.01051171936047</v>
      </c>
      <c r="E43">
        <v>1.03865724667374</v>
      </c>
      <c r="F43">
        <v>0.92552356869477703</v>
      </c>
      <c r="G43">
        <v>0.83307659487687102</v>
      </c>
      <c r="H43">
        <v>0.75213008618610799</v>
      </c>
      <c r="I43">
        <v>0.84032256233670699</v>
      </c>
      <c r="J43">
        <v>0.91530734191280705</v>
      </c>
      <c r="K43">
        <v>0.79735641847529204</v>
      </c>
      <c r="L43">
        <v>13264.4854947852</v>
      </c>
      <c r="M43">
        <v>250</v>
      </c>
      <c r="O43">
        <v>53.0545463931496</v>
      </c>
      <c r="P43">
        <v>-0.203047397834659</v>
      </c>
      <c r="Q43">
        <v>0.82763859804112805</v>
      </c>
      <c r="R43">
        <v>0.81720325952595496</v>
      </c>
      <c r="S43" t="s">
        <v>6328</v>
      </c>
      <c r="T43" t="s">
        <v>12568</v>
      </c>
      <c r="U43" t="s">
        <v>12568</v>
      </c>
      <c r="V43" t="s">
        <v>12568</v>
      </c>
      <c r="W43" t="s">
        <v>12611</v>
      </c>
      <c r="X43">
        <v>13</v>
      </c>
      <c r="Y43" t="s">
        <v>18839</v>
      </c>
      <c r="Z43" t="s">
        <v>24913</v>
      </c>
      <c r="AA43">
        <v>0.90267748716246132</v>
      </c>
      <c r="AB43" t="str">
        <f>HYPERLINK("Melting_Curves/meltCurve_A6NKD9_CCDC85C.pdf", "Melting_Curves/meltCurve_A6NKD9_CCDC85C.pdf")</f>
        <v>Melting_Curves/meltCurve_A6NKD9_CCDC85C.pdf</v>
      </c>
    </row>
    <row r="44" spans="1:28" x14ac:dyDescent="0.25">
      <c r="A44" t="s">
        <v>48</v>
      </c>
      <c r="B44">
        <v>0.99352677808782597</v>
      </c>
      <c r="C44">
        <v>0.859178660396132</v>
      </c>
      <c r="D44">
        <v>0.75231724218513796</v>
      </c>
      <c r="E44">
        <v>0.42917048705543398</v>
      </c>
      <c r="F44">
        <v>0.397999514236899</v>
      </c>
      <c r="G44">
        <v>0.215136484806527</v>
      </c>
      <c r="H44">
        <v>0.17514784373304401</v>
      </c>
      <c r="I44">
        <v>0.117359213496006</v>
      </c>
      <c r="J44">
        <v>8.6375359013111205E-2</v>
      </c>
      <c r="K44">
        <v>5.7909197608890697E-2</v>
      </c>
      <c r="L44">
        <v>593.05155991047002</v>
      </c>
      <c r="M44">
        <v>11.981014013431</v>
      </c>
      <c r="N44">
        <v>49.988842229166501</v>
      </c>
      <c r="O44">
        <v>48.180759510122002</v>
      </c>
      <c r="P44">
        <v>-5.8739901627501798E-2</v>
      </c>
      <c r="Q44">
        <v>5.5356543340760497E-2</v>
      </c>
      <c r="R44">
        <v>0.98912654593611404</v>
      </c>
      <c r="S44" t="s">
        <v>6329</v>
      </c>
      <c r="T44" t="s">
        <v>12568</v>
      </c>
      <c r="U44" t="s">
        <v>12568</v>
      </c>
      <c r="V44" t="s">
        <v>12568</v>
      </c>
      <c r="W44" t="s">
        <v>12612</v>
      </c>
      <c r="X44">
        <v>13</v>
      </c>
      <c r="Y44" t="s">
        <v>18840</v>
      </c>
      <c r="Z44" t="s">
        <v>24914</v>
      </c>
      <c r="AA44">
        <v>0.38823841301878559</v>
      </c>
      <c r="AB44" t="str">
        <f>HYPERLINK("Melting_Curves/meltCurve_A6NKT7_RGPD3.pdf", "Melting_Curves/meltCurve_A6NKT7_RGPD3.pdf")</f>
        <v>Melting_Curves/meltCurve_A6NKT7_RGPD3.pdf</v>
      </c>
    </row>
    <row r="45" spans="1:28" x14ac:dyDescent="0.25">
      <c r="A45" t="s">
        <v>49</v>
      </c>
      <c r="B45">
        <v>0.99352677808782597</v>
      </c>
      <c r="C45">
        <v>0.99409275574207501</v>
      </c>
      <c r="D45">
        <v>0.848839921601245</v>
      </c>
      <c r="E45">
        <v>0.29594055575982903</v>
      </c>
      <c r="F45">
        <v>0.24282711397039899</v>
      </c>
      <c r="G45">
        <v>0.162452168716061</v>
      </c>
      <c r="H45">
        <v>9.5390101955165299E-2</v>
      </c>
      <c r="I45">
        <v>8.7462404124749094E-2</v>
      </c>
      <c r="J45">
        <v>6.9796842127079706E-2</v>
      </c>
      <c r="K45">
        <v>5.57097811833187E-2</v>
      </c>
      <c r="L45">
        <v>1392.8997114505</v>
      </c>
      <c r="M45">
        <v>28.843161581642899</v>
      </c>
      <c r="N45">
        <v>48.667310231467603</v>
      </c>
      <c r="O45">
        <v>48.061853289488603</v>
      </c>
      <c r="P45">
        <v>-0.13507921882885099</v>
      </c>
      <c r="Q45">
        <v>9.9667692067179403E-2</v>
      </c>
      <c r="R45">
        <v>0.98932810462995902</v>
      </c>
      <c r="S45" t="s">
        <v>6330</v>
      </c>
      <c r="T45" t="s">
        <v>12568</v>
      </c>
      <c r="U45" t="s">
        <v>12568</v>
      </c>
      <c r="V45" t="s">
        <v>12568</v>
      </c>
      <c r="W45" t="s">
        <v>12613</v>
      </c>
      <c r="X45">
        <v>15</v>
      </c>
      <c r="Y45" t="s">
        <v>18841</v>
      </c>
      <c r="Z45" t="s">
        <v>24915</v>
      </c>
      <c r="AA45">
        <v>0.3544229261616364</v>
      </c>
      <c r="AB45" t="str">
        <f>HYPERLINK("Melting_Curves/meltCurve_A6NML8_DIAPH2.pdf", "Melting_Curves/meltCurve_A6NML8_DIAPH2.pdf")</f>
        <v>Melting_Curves/meltCurve_A6NML8_DIAPH2.pdf</v>
      </c>
    </row>
    <row r="46" spans="1:28" x14ac:dyDescent="0.25">
      <c r="A46" t="s">
        <v>50</v>
      </c>
      <c r="B46">
        <v>0.99352677808782597</v>
      </c>
      <c r="C46">
        <v>0.90107845857795799</v>
      </c>
      <c r="D46">
        <v>0.85201679793854801</v>
      </c>
      <c r="E46">
        <v>0.80923355474073</v>
      </c>
      <c r="F46">
        <v>0.75064076787383005</v>
      </c>
      <c r="G46">
        <v>0.55797728834334703</v>
      </c>
      <c r="H46">
        <v>0.51836804687548099</v>
      </c>
      <c r="I46">
        <v>0.49617930622620599</v>
      </c>
      <c r="J46">
        <v>0.523568364740712</v>
      </c>
      <c r="K46">
        <v>0.44802600798717901</v>
      </c>
      <c r="L46">
        <v>477.60279146885102</v>
      </c>
      <c r="M46">
        <v>8.9963809156721393</v>
      </c>
      <c r="N46">
        <v>64.440460450478696</v>
      </c>
      <c r="O46">
        <v>50.662065861424701</v>
      </c>
      <c r="P46">
        <v>-2.6766427635988101E-2</v>
      </c>
      <c r="Q46">
        <v>0.397510211104106</v>
      </c>
      <c r="R46">
        <v>0.96820135286811404</v>
      </c>
      <c r="S46" t="s">
        <v>6331</v>
      </c>
      <c r="T46" t="s">
        <v>12568</v>
      </c>
      <c r="U46" t="s">
        <v>12568</v>
      </c>
      <c r="V46" t="s">
        <v>12568</v>
      </c>
      <c r="W46" t="s">
        <v>12614</v>
      </c>
      <c r="X46">
        <v>4</v>
      </c>
      <c r="Y46" t="s">
        <v>18842</v>
      </c>
      <c r="Z46" t="s">
        <v>24916</v>
      </c>
      <c r="AA46">
        <v>0.68262519038944347</v>
      </c>
      <c r="AB46" t="str">
        <f>HYPERLINK("Melting_Curves/meltCurve_A6NN40_SHROOM1.pdf", "Melting_Curves/meltCurve_A6NN40_SHROOM1.pdf")</f>
        <v>Melting_Curves/meltCurve_A6NN40_SHROOM1.pdf</v>
      </c>
    </row>
    <row r="47" spans="1:28" x14ac:dyDescent="0.25">
      <c r="A47" t="s">
        <v>51</v>
      </c>
      <c r="B47">
        <v>0.99352677808782597</v>
      </c>
      <c r="C47">
        <v>0.96932246654547305</v>
      </c>
      <c r="D47">
        <v>0.90516259118931797</v>
      </c>
      <c r="E47">
        <v>0.86703720496264303</v>
      </c>
      <c r="F47">
        <v>0.895932832048973</v>
      </c>
      <c r="G47">
        <v>0.64299453973461695</v>
      </c>
      <c r="H47">
        <v>0.65617865560685595</v>
      </c>
      <c r="I47">
        <v>0.73309581462196705</v>
      </c>
      <c r="J47">
        <v>0.79113769830007596</v>
      </c>
      <c r="K47">
        <v>0.65674776148620895</v>
      </c>
      <c r="L47">
        <v>722.14624110828504</v>
      </c>
      <c r="M47">
        <v>14.1703256516503</v>
      </c>
      <c r="O47">
        <v>49.979146692988401</v>
      </c>
      <c r="P47">
        <v>-2.21909864891114E-2</v>
      </c>
      <c r="Q47">
        <v>0.686966518630445</v>
      </c>
      <c r="R47">
        <v>0.78026155806235997</v>
      </c>
      <c r="S47" t="s">
        <v>6332</v>
      </c>
      <c r="T47" t="s">
        <v>12568</v>
      </c>
      <c r="U47" t="s">
        <v>12568</v>
      </c>
      <c r="V47" t="s">
        <v>12568</v>
      </c>
      <c r="W47" t="s">
        <v>12615</v>
      </c>
      <c r="X47">
        <v>6</v>
      </c>
      <c r="Y47" t="s">
        <v>18843</v>
      </c>
      <c r="Z47" t="s">
        <v>24917</v>
      </c>
      <c r="AA47">
        <v>0.80929340188221555</v>
      </c>
      <c r="AB47" t="str">
        <f>HYPERLINK("Melting_Curves/meltCurve_A6NNV6_ZWINT.pdf", "Melting_Curves/meltCurve_A6NNV6_ZWINT.pdf")</f>
        <v>Melting_Curves/meltCurve_A6NNV6_ZWINT.pdf</v>
      </c>
    </row>
    <row r="48" spans="1:28" x14ac:dyDescent="0.25">
      <c r="A48" t="s">
        <v>52</v>
      </c>
      <c r="B48">
        <v>0.99352677808782597</v>
      </c>
      <c r="C48">
        <v>1.0426106635413499</v>
      </c>
      <c r="D48">
        <v>0.98280653220804104</v>
      </c>
      <c r="E48">
        <v>0.89758623853336195</v>
      </c>
      <c r="F48">
        <v>0.70788111039059598</v>
      </c>
      <c r="G48">
        <v>0.60840206178211498</v>
      </c>
      <c r="H48">
        <v>0.52878114312555302</v>
      </c>
      <c r="I48">
        <v>0.46334286808182601</v>
      </c>
      <c r="J48">
        <v>0.38081975626529402</v>
      </c>
      <c r="K48">
        <v>0.28229284431207202</v>
      </c>
      <c r="L48">
        <v>605.83879002825597</v>
      </c>
      <c r="M48">
        <v>10.536722391602799</v>
      </c>
      <c r="N48">
        <v>60.9635152983303</v>
      </c>
      <c r="O48">
        <v>55.542648259103302</v>
      </c>
      <c r="P48">
        <v>-3.6754890377175102E-2</v>
      </c>
      <c r="Q48">
        <v>0.225318293588637</v>
      </c>
      <c r="R48">
        <v>0.97700311411221497</v>
      </c>
      <c r="S48" t="s">
        <v>6333</v>
      </c>
      <c r="T48" t="s">
        <v>12568</v>
      </c>
      <c r="U48" t="s">
        <v>12568</v>
      </c>
      <c r="V48" t="s">
        <v>12568</v>
      </c>
      <c r="W48" t="s">
        <v>12616</v>
      </c>
      <c r="X48">
        <v>1</v>
      </c>
      <c r="Y48" t="s">
        <v>18844</v>
      </c>
      <c r="Z48" t="s">
        <v>24918</v>
      </c>
      <c r="AA48">
        <v>0.6877762909339824</v>
      </c>
      <c r="AB48" t="str">
        <f>HYPERLINK("Melting_Curves/meltCurve_A6PVM9_AIF1L.pdf", "Melting_Curves/meltCurve_A6PVM9_AIF1L.pdf")</f>
        <v>Melting_Curves/meltCurve_A6PVM9_AIF1L.pdf</v>
      </c>
    </row>
    <row r="49" spans="1:28" x14ac:dyDescent="0.25">
      <c r="A49" t="s">
        <v>53</v>
      </c>
      <c r="B49">
        <v>0.99352677808782597</v>
      </c>
      <c r="C49">
        <v>0.98829766784490403</v>
      </c>
      <c r="D49">
        <v>0.84073542231557097</v>
      </c>
      <c r="E49">
        <v>0.68286393595564798</v>
      </c>
      <c r="F49">
        <v>0.59970465320186905</v>
      </c>
      <c r="G49">
        <v>0.187297224233618</v>
      </c>
      <c r="H49">
        <v>0.18267650539668001</v>
      </c>
      <c r="I49">
        <v>0.224760317829544</v>
      </c>
      <c r="J49">
        <v>9.5037601287922796E-2</v>
      </c>
      <c r="K49">
        <v>6.0633346108714598E-2</v>
      </c>
      <c r="L49">
        <v>740.16834516772496</v>
      </c>
      <c r="M49">
        <v>14.0710194665774</v>
      </c>
      <c r="N49">
        <v>53.114223490827499</v>
      </c>
      <c r="O49">
        <v>51.574092446134301</v>
      </c>
      <c r="P49">
        <v>-6.3891099468466994E-2</v>
      </c>
      <c r="Q49">
        <v>6.3409320091741703E-2</v>
      </c>
      <c r="R49">
        <v>0.97336516166047904</v>
      </c>
      <c r="S49" t="s">
        <v>6334</v>
      </c>
      <c r="T49" t="s">
        <v>12568</v>
      </c>
      <c r="U49" t="s">
        <v>12568</v>
      </c>
      <c r="V49" t="s">
        <v>12568</v>
      </c>
      <c r="W49" t="s">
        <v>12617</v>
      </c>
      <c r="X49">
        <v>13</v>
      </c>
      <c r="Y49" t="s">
        <v>18845</v>
      </c>
      <c r="Z49" t="s">
        <v>24919</v>
      </c>
      <c r="AA49">
        <v>0.47926400694208338</v>
      </c>
      <c r="AB49" t="str">
        <f>HYPERLINK("Melting_Curves/meltCurve_A6QL63_BTBD11.pdf", "Melting_Curves/meltCurve_A6QL63_BTBD11.pdf")</f>
        <v>Melting_Curves/meltCurve_A6QL63_BTBD11.pdf</v>
      </c>
    </row>
    <row r="50" spans="1:28" x14ac:dyDescent="0.25">
      <c r="A50" t="s">
        <v>54</v>
      </c>
      <c r="B50">
        <v>0.99352677808782597</v>
      </c>
      <c r="C50">
        <v>0.892973958352692</v>
      </c>
      <c r="D50">
        <v>0.66334361796963004</v>
      </c>
      <c r="E50">
        <v>0.27734520716078198</v>
      </c>
      <c r="F50">
        <v>0.18511928437707301</v>
      </c>
      <c r="G50">
        <v>0.11809506317158699</v>
      </c>
      <c r="H50">
        <v>7.9203819684665902E-2</v>
      </c>
      <c r="I50">
        <v>6.0349378350234899E-2</v>
      </c>
      <c r="J50">
        <v>4.9673477366346898E-2</v>
      </c>
      <c r="K50">
        <v>5.1783790810345502E-2</v>
      </c>
      <c r="L50">
        <v>941.18847349087002</v>
      </c>
      <c r="M50">
        <v>19.900431387252301</v>
      </c>
      <c r="N50">
        <v>47.615645455605701</v>
      </c>
      <c r="O50">
        <v>46.825073312360701</v>
      </c>
      <c r="P50">
        <v>-9.9587069449765295E-2</v>
      </c>
      <c r="Q50">
        <v>6.2730464884159301E-2</v>
      </c>
      <c r="R50">
        <v>0.997910033901385</v>
      </c>
      <c r="S50" t="s">
        <v>6335</v>
      </c>
      <c r="T50" t="s">
        <v>12568</v>
      </c>
      <c r="U50" t="s">
        <v>12568</v>
      </c>
      <c r="V50" t="s">
        <v>12568</v>
      </c>
      <c r="W50" t="s">
        <v>12618</v>
      </c>
      <c r="X50">
        <v>4</v>
      </c>
      <c r="Y50" t="s">
        <v>18846</v>
      </c>
      <c r="Z50" t="s">
        <v>24920</v>
      </c>
      <c r="AA50">
        <v>0.30436110661869031</v>
      </c>
      <c r="AB50" t="str">
        <f>HYPERLINK("Melting_Curves/meltCurve_A6ZKI3_FAM127A.pdf", "Melting_Curves/meltCurve_A6ZKI3_FAM127A.pdf")</f>
        <v>Melting_Curves/meltCurve_A6ZKI3_FAM127A.pdf</v>
      </c>
    </row>
    <row r="51" spans="1:28" x14ac:dyDescent="0.25">
      <c r="A51" t="s">
        <v>55</v>
      </c>
      <c r="B51">
        <v>0.99352677808782597</v>
      </c>
      <c r="C51">
        <v>1.00369430871981</v>
      </c>
      <c r="D51">
        <v>0.90668939924374303</v>
      </c>
      <c r="E51">
        <v>0.77375423265335797</v>
      </c>
      <c r="F51">
        <v>0.73113511023509903</v>
      </c>
      <c r="G51">
        <v>0.498002707737078</v>
      </c>
      <c r="H51">
        <v>0.33935150691981603</v>
      </c>
      <c r="I51">
        <v>0.30368887982471499</v>
      </c>
      <c r="J51">
        <v>0.22159675445279201</v>
      </c>
      <c r="K51">
        <v>0.171496876123475</v>
      </c>
      <c r="L51">
        <v>596.42047938453197</v>
      </c>
      <c r="M51">
        <v>10.578138331979</v>
      </c>
      <c r="N51">
        <v>57.249821753346602</v>
      </c>
      <c r="O51">
        <v>54.479280253275498</v>
      </c>
      <c r="P51">
        <v>-4.4965238776767398E-2</v>
      </c>
      <c r="Q51">
        <v>7.4047784738327793E-2</v>
      </c>
      <c r="R51">
        <v>0.99367536737169604</v>
      </c>
      <c r="S51" t="s">
        <v>6336</v>
      </c>
      <c r="T51" t="s">
        <v>12568</v>
      </c>
      <c r="U51" t="s">
        <v>12568</v>
      </c>
      <c r="V51" t="s">
        <v>12568</v>
      </c>
      <c r="W51" t="s">
        <v>12619</v>
      </c>
      <c r="X51">
        <v>5</v>
      </c>
      <c r="Y51" t="s">
        <v>18847</v>
      </c>
      <c r="Z51" t="s">
        <v>24921</v>
      </c>
      <c r="AA51">
        <v>0.59756379063408493</v>
      </c>
      <c r="AB51" t="str">
        <f>HYPERLINK("Melting_Curves/meltCurve_A7KAX9_ARHGAP32.pdf", "Melting_Curves/meltCurve_A7KAX9_ARHGAP32.pdf")</f>
        <v>Melting_Curves/meltCurve_A7KAX9_ARHGAP32.pdf</v>
      </c>
    </row>
    <row r="52" spans="1:28" x14ac:dyDescent="0.25">
      <c r="A52" t="s">
        <v>56</v>
      </c>
      <c r="B52">
        <v>0.99352677808782597</v>
      </c>
      <c r="C52">
        <v>0.96471592606932499</v>
      </c>
      <c r="D52">
        <v>0.97006498452984302</v>
      </c>
      <c r="E52">
        <v>1.0345078271389301</v>
      </c>
      <c r="F52">
        <v>0.93982775119909301</v>
      </c>
      <c r="G52">
        <v>1.0650236653498799</v>
      </c>
      <c r="H52">
        <v>0.884468651341072</v>
      </c>
      <c r="I52">
        <v>0.94870914322418898</v>
      </c>
      <c r="J52">
        <v>0.95526756008915603</v>
      </c>
      <c r="K52">
        <v>0.98472453561663698</v>
      </c>
      <c r="L52">
        <v>179.669151341375</v>
      </c>
      <c r="M52">
        <v>1.8204594279136299</v>
      </c>
      <c r="O52">
        <v>55.224262288360201</v>
      </c>
      <c r="P52">
        <v>-1.2178937907341199E-3</v>
      </c>
      <c r="Q52">
        <v>0.86707926749275699</v>
      </c>
      <c r="R52">
        <v>4.9381836778663597E-2</v>
      </c>
      <c r="S52" t="s">
        <v>6337</v>
      </c>
      <c r="T52" t="s">
        <v>12568</v>
      </c>
      <c r="U52" t="s">
        <v>12568</v>
      </c>
      <c r="V52" t="s">
        <v>12568</v>
      </c>
      <c r="W52" t="s">
        <v>12620</v>
      </c>
      <c r="X52">
        <v>3</v>
      </c>
      <c r="Y52" t="s">
        <v>18848</v>
      </c>
      <c r="Z52" t="s">
        <v>24922</v>
      </c>
      <c r="AA52">
        <v>0.97459031495978465</v>
      </c>
      <c r="AB52" t="str">
        <f>HYPERLINK("Melting_Curves/meltCurve_A7Y2D6_PYGO1.pdf", "Melting_Curves/meltCurve_A7Y2D6_PYGO1.pdf")</f>
        <v>Melting_Curves/meltCurve_A7Y2D6_PYGO1.pdf</v>
      </c>
    </row>
    <row r="53" spans="1:28" x14ac:dyDescent="0.25">
      <c r="A53" t="s">
        <v>57</v>
      </c>
      <c r="B53">
        <v>0.99352677808782597</v>
      </c>
      <c r="C53">
        <v>0.98228645558774796</v>
      </c>
      <c r="D53">
        <v>0.83568989961247897</v>
      </c>
      <c r="E53">
        <v>0.76721060401934305</v>
      </c>
      <c r="F53">
        <v>0.70504911918480995</v>
      </c>
      <c r="G53">
        <v>0.44784536574242201</v>
      </c>
      <c r="H53">
        <v>0.37883071273369001</v>
      </c>
      <c r="I53">
        <v>0.397528696159895</v>
      </c>
      <c r="J53">
        <v>0.33032017133227498</v>
      </c>
      <c r="K53">
        <v>0.265291983199478</v>
      </c>
      <c r="L53">
        <v>572.194388758218</v>
      </c>
      <c r="M53">
        <v>10.6320365058132</v>
      </c>
      <c r="N53">
        <v>57.127325692217298</v>
      </c>
      <c r="O53">
        <v>52.018763321276403</v>
      </c>
      <c r="P53">
        <v>-3.9363720795281998E-2</v>
      </c>
      <c r="Q53">
        <v>0.22992554607350599</v>
      </c>
      <c r="R53">
        <v>0.97910706760257604</v>
      </c>
      <c r="S53" t="s">
        <v>6338</v>
      </c>
      <c r="T53" t="s">
        <v>12568</v>
      </c>
      <c r="U53" t="s">
        <v>12568</v>
      </c>
      <c r="V53" t="s">
        <v>12568</v>
      </c>
      <c r="W53" t="s">
        <v>12621</v>
      </c>
      <c r="X53">
        <v>2</v>
      </c>
      <c r="Y53" t="s">
        <v>18849</v>
      </c>
      <c r="Z53" t="s">
        <v>24923</v>
      </c>
      <c r="AA53">
        <v>0.60737728428117832</v>
      </c>
      <c r="AB53" t="str">
        <f>HYPERLINK("Melting_Curves/meltCurve_A8CG34_2_POM121C.pdf", "Melting_Curves/meltCurve_A8CG34_2_POM121C.pdf")</f>
        <v>Melting_Curves/meltCurve_A8CG34_2_POM121C.pdf</v>
      </c>
    </row>
    <row r="54" spans="1:28" x14ac:dyDescent="0.25">
      <c r="A54" t="s">
        <v>58</v>
      </c>
      <c r="B54">
        <v>0.99352677808782597</v>
      </c>
      <c r="C54">
        <v>0.950195006425546</v>
      </c>
      <c r="D54">
        <v>0.94881449774798099</v>
      </c>
      <c r="E54">
        <v>0.90070383934874099</v>
      </c>
      <c r="F54">
        <v>0.842312515386199</v>
      </c>
      <c r="G54">
        <v>0.57926770948513395</v>
      </c>
      <c r="H54">
        <v>0.40301678366479499</v>
      </c>
      <c r="I54">
        <v>0.31084685066053502</v>
      </c>
      <c r="J54">
        <v>0.27008220717227799</v>
      </c>
      <c r="K54">
        <v>0.18993214491667501</v>
      </c>
      <c r="L54">
        <v>811.65681701748201</v>
      </c>
      <c r="M54">
        <v>14.100456194206201</v>
      </c>
      <c r="N54">
        <v>58.959631477232897</v>
      </c>
      <c r="O54">
        <v>56.441776021154098</v>
      </c>
      <c r="P54">
        <v>-5.35924447381603E-2</v>
      </c>
      <c r="Q54">
        <v>0.14202391311137</v>
      </c>
      <c r="R54">
        <v>0.99403601033796096</v>
      </c>
      <c r="S54" t="s">
        <v>6339</v>
      </c>
      <c r="T54" t="s">
        <v>12568</v>
      </c>
      <c r="U54" t="s">
        <v>12568</v>
      </c>
      <c r="V54" t="s">
        <v>12568</v>
      </c>
      <c r="W54" t="s">
        <v>12622</v>
      </c>
      <c r="X54">
        <v>20</v>
      </c>
      <c r="Y54" t="s">
        <v>18850</v>
      </c>
      <c r="Z54" t="s">
        <v>24924</v>
      </c>
      <c r="AA54">
        <v>0.65698665811590551</v>
      </c>
      <c r="AB54" t="str">
        <f>HYPERLINK("Melting_Curves/meltCurve_A8CTX8_ITSN1.pdf", "Melting_Curves/meltCurve_A8CTX8_ITSN1.pdf")</f>
        <v>Melting_Curves/meltCurve_A8CTX8_ITSN1.pdf</v>
      </c>
    </row>
    <row r="55" spans="1:28" x14ac:dyDescent="0.25">
      <c r="A55" t="s">
        <v>59</v>
      </c>
      <c r="B55">
        <v>0.99352677808782597</v>
      </c>
      <c r="C55">
        <v>0.84867576666176503</v>
      </c>
      <c r="D55">
        <v>1.0335261677563199</v>
      </c>
      <c r="E55">
        <v>1.23748376226541</v>
      </c>
      <c r="F55">
        <v>1.3426698788646101</v>
      </c>
      <c r="G55">
        <v>1.3437058776917501</v>
      </c>
      <c r="H55">
        <v>1.5151966188220101</v>
      </c>
      <c r="I55">
        <v>1.70997313391772</v>
      </c>
      <c r="J55">
        <v>1.3318374062664999</v>
      </c>
      <c r="K55">
        <v>1.2828902830242199</v>
      </c>
      <c r="L55">
        <v>1370.1930634369</v>
      </c>
      <c r="M55">
        <v>27.347412172894099</v>
      </c>
      <c r="O55">
        <v>49.837595020886297</v>
      </c>
      <c r="P55">
        <v>6.0409889966977902E-2</v>
      </c>
      <c r="Q55">
        <v>1.4403569048585301</v>
      </c>
      <c r="R55">
        <v>0.74510960750279098</v>
      </c>
      <c r="S55" t="s">
        <v>6340</v>
      </c>
      <c r="T55" t="s">
        <v>12568</v>
      </c>
      <c r="U55" t="s">
        <v>12568</v>
      </c>
      <c r="V55" t="s">
        <v>12568</v>
      </c>
      <c r="W55" t="s">
        <v>12623</v>
      </c>
      <c r="X55">
        <v>8</v>
      </c>
      <c r="Y55" t="s">
        <v>18851</v>
      </c>
      <c r="Z55" t="s">
        <v>24925</v>
      </c>
      <c r="AA55">
        <v>1.288767267740202</v>
      </c>
      <c r="AB55" t="str">
        <f>HYPERLINK("Melting_Curves/meltCurve_A8MQB8_FMR1.pdf", "Melting_Curves/meltCurve_A8MQB8_FMR1.pdf")</f>
        <v>Melting_Curves/meltCurve_A8MQB8_FMR1.pdf</v>
      </c>
    </row>
    <row r="56" spans="1:28" x14ac:dyDescent="0.25">
      <c r="A56" t="s">
        <v>60</v>
      </c>
      <c r="B56">
        <v>0.99352677808782597</v>
      </c>
      <c r="C56">
        <v>0.975056020863732</v>
      </c>
      <c r="D56">
        <v>0.90913241560240898</v>
      </c>
      <c r="E56">
        <v>0.30982924345999902</v>
      </c>
      <c r="F56">
        <v>0.26340385820532303</v>
      </c>
      <c r="G56">
        <v>0.14734706963309199</v>
      </c>
      <c r="H56">
        <v>0.13021461791275599</v>
      </c>
      <c r="I56">
        <v>0.15856877872161301</v>
      </c>
      <c r="J56">
        <v>9.3531620773962099E-2</v>
      </c>
      <c r="K56">
        <v>7.7728602440011896E-2</v>
      </c>
      <c r="L56">
        <v>1719.6506511028001</v>
      </c>
      <c r="M56">
        <v>35.516318686496497</v>
      </c>
      <c r="N56">
        <v>48.844715856574602</v>
      </c>
      <c r="O56">
        <v>48.265874208742197</v>
      </c>
      <c r="P56">
        <v>-0.15945566178509801</v>
      </c>
      <c r="Q56">
        <v>0.133216316541102</v>
      </c>
      <c r="R56">
        <v>0.98820868603918699</v>
      </c>
      <c r="S56" t="s">
        <v>6341</v>
      </c>
      <c r="T56" t="s">
        <v>12568</v>
      </c>
      <c r="U56" t="s">
        <v>12568</v>
      </c>
      <c r="V56" t="s">
        <v>12568</v>
      </c>
      <c r="W56" t="s">
        <v>12624</v>
      </c>
      <c r="X56">
        <v>4</v>
      </c>
      <c r="Y56" t="s">
        <v>18852</v>
      </c>
      <c r="Z56" t="s">
        <v>24926</v>
      </c>
      <c r="AA56">
        <v>0.38015591970746182</v>
      </c>
      <c r="AB56" t="str">
        <f>HYPERLINK("Melting_Curves/meltCurve_A8MTK3_POT1.pdf", "Melting_Curves/meltCurve_A8MTK3_POT1.pdf")</f>
        <v>Melting_Curves/meltCurve_A8MTK3_POT1.pdf</v>
      </c>
    </row>
    <row r="57" spans="1:28" x14ac:dyDescent="0.25">
      <c r="A57" t="s">
        <v>61</v>
      </c>
      <c r="B57">
        <v>0.99352677808782597</v>
      </c>
      <c r="C57">
        <v>1.0147316389698</v>
      </c>
      <c r="D57">
        <v>0.95959881794470403</v>
      </c>
      <c r="E57">
        <v>0.85112965303127697</v>
      </c>
      <c r="F57">
        <v>0.73936099364918195</v>
      </c>
      <c r="G57">
        <v>0.63249324321612199</v>
      </c>
      <c r="H57">
        <v>0.64499557685879205</v>
      </c>
      <c r="I57">
        <v>0.69273610236803795</v>
      </c>
      <c r="J57">
        <v>0.76885070803426703</v>
      </c>
      <c r="K57">
        <v>0.62017111368030098</v>
      </c>
      <c r="L57">
        <v>1497.8843029464799</v>
      </c>
      <c r="M57">
        <v>29.817729803751199</v>
      </c>
      <c r="O57">
        <v>50.010372805523502</v>
      </c>
      <c r="P57">
        <v>-4.8943995677912203E-2</v>
      </c>
      <c r="Q57">
        <v>0.67164627470209004</v>
      </c>
      <c r="R57">
        <v>0.92196756254146495</v>
      </c>
      <c r="S57" t="s">
        <v>6342</v>
      </c>
      <c r="T57" t="s">
        <v>12568</v>
      </c>
      <c r="U57" t="s">
        <v>12568</v>
      </c>
      <c r="V57" t="s">
        <v>12568</v>
      </c>
      <c r="W57" t="s">
        <v>12625</v>
      </c>
      <c r="X57">
        <v>4</v>
      </c>
      <c r="Y57" t="s">
        <v>18853</v>
      </c>
      <c r="Z57" t="s">
        <v>24927</v>
      </c>
      <c r="AA57">
        <v>0.78573011152315841</v>
      </c>
      <c r="AB57" t="str">
        <f>HYPERLINK("Melting_Curves/meltCurve_A8MTZ6_S100PBP.pdf", "Melting_Curves/meltCurve_A8MTZ6_S100PBP.pdf")</f>
        <v>Melting_Curves/meltCurve_A8MTZ6_S100PBP.pdf</v>
      </c>
    </row>
    <row r="58" spans="1:28" x14ac:dyDescent="0.25">
      <c r="A58" t="s">
        <v>62</v>
      </c>
      <c r="B58">
        <v>0.99352677808782597</v>
      </c>
      <c r="C58">
        <v>1.0351626971169099</v>
      </c>
      <c r="D58">
        <v>0.89672846649109095</v>
      </c>
      <c r="E58">
        <v>0.51876118710559005</v>
      </c>
      <c r="F58">
        <v>0.39738387587583301</v>
      </c>
      <c r="G58">
        <v>0.280685144819183</v>
      </c>
      <c r="H58">
        <v>0.20078747094493801</v>
      </c>
      <c r="I58">
        <v>0.19285434707562399</v>
      </c>
      <c r="J58">
        <v>0.17461982607374299</v>
      </c>
      <c r="K58">
        <v>0.13744084803657999</v>
      </c>
      <c r="L58">
        <v>1013.551121576</v>
      </c>
      <c r="M58">
        <v>20.3420098450765</v>
      </c>
      <c r="N58">
        <v>50.928754770119397</v>
      </c>
      <c r="O58">
        <v>49.351514613508598</v>
      </c>
      <c r="P58">
        <v>-8.4686863528186301E-2</v>
      </c>
      <c r="Q58">
        <v>0.17819411478066099</v>
      </c>
      <c r="R58">
        <v>0.98902650143876003</v>
      </c>
      <c r="S58" t="s">
        <v>6343</v>
      </c>
      <c r="T58" t="s">
        <v>12568</v>
      </c>
      <c r="U58" t="s">
        <v>12568</v>
      </c>
      <c r="V58" t="s">
        <v>12568</v>
      </c>
      <c r="W58" t="s">
        <v>12626</v>
      </c>
      <c r="X58">
        <v>11</v>
      </c>
      <c r="Y58" t="s">
        <v>18854</v>
      </c>
      <c r="Z58" t="s">
        <v>24928</v>
      </c>
      <c r="AA58">
        <v>0.45842282364471582</v>
      </c>
      <c r="AB58" t="str">
        <f>HYPERLINK("Melting_Curves/meltCurve_A8MU44_HOOK1.pdf", "Melting_Curves/meltCurve_A8MU44_HOOK1.pdf")</f>
        <v>Melting_Curves/meltCurve_A8MU44_HOOK1.pdf</v>
      </c>
    </row>
    <row r="59" spans="1:28" x14ac:dyDescent="0.25">
      <c r="A59" t="s">
        <v>63</v>
      </c>
      <c r="B59">
        <v>0.99352677808782597</v>
      </c>
      <c r="C59">
        <v>0.954080735341022</v>
      </c>
      <c r="D59">
        <v>0.95350958817478604</v>
      </c>
      <c r="E59">
        <v>0.57824164560462898</v>
      </c>
      <c r="F59">
        <v>0.44275878735231899</v>
      </c>
      <c r="G59">
        <v>0.24217925973521701</v>
      </c>
      <c r="H59">
        <v>9.5803639844932204E-2</v>
      </c>
      <c r="I59">
        <v>8.0958255485578501E-2</v>
      </c>
      <c r="J59">
        <v>6.6305333337142905E-2</v>
      </c>
      <c r="K59">
        <v>5.82062544677759E-2</v>
      </c>
      <c r="L59">
        <v>844.72691818109399</v>
      </c>
      <c r="M59">
        <v>16.378036782401601</v>
      </c>
      <c r="N59">
        <v>51.880821228743699</v>
      </c>
      <c r="O59">
        <v>50.826302158797397</v>
      </c>
      <c r="P59">
        <v>-7.6878428075157795E-2</v>
      </c>
      <c r="Q59">
        <v>4.5754971338106E-2</v>
      </c>
      <c r="R59">
        <v>0.99226986800540196</v>
      </c>
      <c r="S59" t="s">
        <v>6344</v>
      </c>
      <c r="T59" t="s">
        <v>12568</v>
      </c>
      <c r="U59" t="s">
        <v>12568</v>
      </c>
      <c r="V59" t="s">
        <v>12568</v>
      </c>
      <c r="W59" t="s">
        <v>12627</v>
      </c>
      <c r="X59">
        <v>22</v>
      </c>
      <c r="Y59" t="s">
        <v>18855</v>
      </c>
      <c r="Z59" t="s">
        <v>24929</v>
      </c>
      <c r="AA59">
        <v>0.43275405663651972</v>
      </c>
      <c r="AB59" t="str">
        <f>HYPERLINK("Melting_Curves/meltCurve_A8MUB1_TUBA4A.pdf", "Melting_Curves/meltCurve_A8MUB1_TUBA4A.pdf")</f>
        <v>Melting_Curves/meltCurve_A8MUB1_TUBA4A.pdf</v>
      </c>
    </row>
    <row r="60" spans="1:28" x14ac:dyDescent="0.25">
      <c r="A60" t="s">
        <v>64</v>
      </c>
      <c r="B60">
        <v>0.99352677808782597</v>
      </c>
      <c r="C60">
        <v>1.0021544599672301</v>
      </c>
      <c r="D60">
        <v>0.90296725339862405</v>
      </c>
      <c r="E60">
        <v>0.66123090879325297</v>
      </c>
      <c r="F60">
        <v>0.53316053853289103</v>
      </c>
      <c r="G60">
        <v>0.37956052938582702</v>
      </c>
      <c r="H60">
        <v>0.16789473968659699</v>
      </c>
      <c r="I60">
        <v>0.13758009148712999</v>
      </c>
      <c r="J60">
        <v>0.13316163981329401</v>
      </c>
      <c r="K60">
        <v>0.10915631684344999</v>
      </c>
      <c r="L60">
        <v>702.42121329786005</v>
      </c>
      <c r="M60">
        <v>13.2732268826002</v>
      </c>
      <c r="N60">
        <v>53.507686751805402</v>
      </c>
      <c r="O60">
        <v>51.7622142761116</v>
      </c>
      <c r="P60">
        <v>-5.9769348524297203E-2</v>
      </c>
      <c r="Q60">
        <v>6.7810749277141993E-2</v>
      </c>
      <c r="R60">
        <v>0.99307318458449201</v>
      </c>
      <c r="S60" t="s">
        <v>6345</v>
      </c>
      <c r="T60" t="s">
        <v>12568</v>
      </c>
      <c r="U60" t="s">
        <v>12568</v>
      </c>
      <c r="V60" t="s">
        <v>12568</v>
      </c>
      <c r="W60" t="s">
        <v>12628</v>
      </c>
      <c r="X60">
        <v>3</v>
      </c>
      <c r="Y60" t="s">
        <v>18856</v>
      </c>
      <c r="Z60" t="s">
        <v>24930</v>
      </c>
      <c r="AA60">
        <v>0.4929576899662369</v>
      </c>
      <c r="AB60" t="str">
        <f>HYPERLINK("Melting_Curves/meltCurve_A8MVZ6_BICD1.pdf", "Melting_Curves/meltCurve_A8MVZ6_BICD1.pdf")</f>
        <v>Melting_Curves/meltCurve_A8MVZ6_BICD1.pdf</v>
      </c>
    </row>
    <row r="61" spans="1:28" x14ac:dyDescent="0.25">
      <c r="A61" t="s">
        <v>65</v>
      </c>
      <c r="B61">
        <v>0.99352677808782597</v>
      </c>
      <c r="C61">
        <v>0.95666591063773199</v>
      </c>
      <c r="D61">
        <v>0.94452324219779904</v>
      </c>
      <c r="E61">
        <v>0.84964537199689005</v>
      </c>
      <c r="F61">
        <v>0.76681117835937196</v>
      </c>
      <c r="G61">
        <v>0.65829721684945097</v>
      </c>
      <c r="H61">
        <v>0.61456241505262899</v>
      </c>
      <c r="I61">
        <v>0.69659269243975197</v>
      </c>
      <c r="J61">
        <v>0.68928483609190005</v>
      </c>
      <c r="K61">
        <v>0.543263072133505</v>
      </c>
      <c r="L61">
        <v>764.47171664981101</v>
      </c>
      <c r="M61">
        <v>14.931482439460501</v>
      </c>
      <c r="O61">
        <v>50.306632091936898</v>
      </c>
      <c r="P61">
        <v>-2.85617782094717E-2</v>
      </c>
      <c r="Q61">
        <v>0.61512218248100303</v>
      </c>
      <c r="R61">
        <v>0.92531884870703296</v>
      </c>
      <c r="S61" t="s">
        <v>6346</v>
      </c>
      <c r="T61" t="s">
        <v>12568</v>
      </c>
      <c r="U61" t="s">
        <v>12568</v>
      </c>
      <c r="V61" t="s">
        <v>12568</v>
      </c>
      <c r="W61" t="s">
        <v>12629</v>
      </c>
      <c r="X61">
        <v>6</v>
      </c>
      <c r="Y61" t="s">
        <v>18857</v>
      </c>
      <c r="Z61" t="s">
        <v>24931</v>
      </c>
      <c r="AA61">
        <v>0.76769525878559652</v>
      </c>
      <c r="AB61" t="str">
        <f>HYPERLINK("Melting_Curves/meltCurve_A8MWK3_CDH2.pdf", "Melting_Curves/meltCurve_A8MWK3_CDH2.pdf")</f>
        <v>Melting_Curves/meltCurve_A8MWK3_CDH2.pdf</v>
      </c>
    </row>
    <row r="62" spans="1:28" x14ac:dyDescent="0.25">
      <c r="A62" t="s">
        <v>66</v>
      </c>
      <c r="B62">
        <v>0.99352677808782597</v>
      </c>
      <c r="C62">
        <v>1.10662153455737</v>
      </c>
      <c r="D62">
        <v>0.95597672291684499</v>
      </c>
      <c r="E62">
        <v>1.0088827643390199</v>
      </c>
      <c r="F62">
        <v>0.90867665792893704</v>
      </c>
      <c r="G62">
        <v>0.69086932831399595</v>
      </c>
      <c r="H62">
        <v>0.537016189206454</v>
      </c>
      <c r="I62">
        <v>0.59647351184005803</v>
      </c>
      <c r="J62">
        <v>0.80743714588048798</v>
      </c>
      <c r="K62">
        <v>0.72668215443414297</v>
      </c>
      <c r="L62">
        <v>3212.82471500067</v>
      </c>
      <c r="M62">
        <v>59.629746310524403</v>
      </c>
      <c r="O62">
        <v>53.819065313763097</v>
      </c>
      <c r="P62">
        <v>-9.1662216909102603E-2</v>
      </c>
      <c r="Q62">
        <v>0.66907974256945502</v>
      </c>
      <c r="R62">
        <v>0.82065882555857805</v>
      </c>
      <c r="S62" t="s">
        <v>6347</v>
      </c>
      <c r="T62" t="s">
        <v>12568</v>
      </c>
      <c r="U62" t="s">
        <v>12568</v>
      </c>
      <c r="V62" t="s">
        <v>12568</v>
      </c>
      <c r="W62" t="s">
        <v>12630</v>
      </c>
      <c r="X62">
        <v>6</v>
      </c>
      <c r="Y62" t="s">
        <v>18858</v>
      </c>
      <c r="Z62" t="s">
        <v>24932</v>
      </c>
      <c r="AA62">
        <v>0.82273273287879478</v>
      </c>
      <c r="AB62" t="str">
        <f>HYPERLINK("Melting_Curves/meltCurve_A8MWR2_WIPF2.pdf", "Melting_Curves/meltCurve_A8MWR2_WIPF2.pdf")</f>
        <v>Melting_Curves/meltCurve_A8MWR2_WIPF2.pdf</v>
      </c>
    </row>
    <row r="63" spans="1:28" x14ac:dyDescent="0.25">
      <c r="A63" t="s">
        <v>67</v>
      </c>
      <c r="B63">
        <v>0.99352677808782597</v>
      </c>
      <c r="C63">
        <v>0.83248188351876096</v>
      </c>
      <c r="D63">
        <v>0.77214554193101304</v>
      </c>
      <c r="E63">
        <v>0.45644760901571702</v>
      </c>
      <c r="F63">
        <v>0.37216109055624902</v>
      </c>
      <c r="G63">
        <v>0.26796465062415498</v>
      </c>
      <c r="H63">
        <v>0.18595155162140101</v>
      </c>
      <c r="I63">
        <v>0.190655246744482</v>
      </c>
      <c r="J63">
        <v>0.17160031135499401</v>
      </c>
      <c r="K63">
        <v>0.12707731613927101</v>
      </c>
      <c r="L63">
        <v>646.16070891048196</v>
      </c>
      <c r="M63">
        <v>13.2644397200913</v>
      </c>
      <c r="N63">
        <v>49.948345995385303</v>
      </c>
      <c r="O63">
        <v>47.646496015875101</v>
      </c>
      <c r="P63">
        <v>-5.98803424003495E-2</v>
      </c>
      <c r="Q63">
        <v>0.13976840040465499</v>
      </c>
      <c r="R63">
        <v>0.99032786667476302</v>
      </c>
      <c r="S63" t="s">
        <v>6348</v>
      </c>
      <c r="T63" t="s">
        <v>12568</v>
      </c>
      <c r="U63" t="s">
        <v>12568</v>
      </c>
      <c r="V63" t="s">
        <v>12568</v>
      </c>
      <c r="W63" t="s">
        <v>12631</v>
      </c>
      <c r="X63">
        <v>8</v>
      </c>
      <c r="Y63" t="s">
        <v>18859</v>
      </c>
      <c r="Z63" t="s">
        <v>24933</v>
      </c>
      <c r="AA63">
        <v>0.41660900614855362</v>
      </c>
      <c r="AB63" t="str">
        <f>HYPERLINK("Melting_Curves/meltCurve_A8MX75_ERCC2.pdf", "Melting_Curves/meltCurve_A8MX75_ERCC2.pdf")</f>
        <v>Melting_Curves/meltCurve_A8MX75_ERCC2.pdf</v>
      </c>
    </row>
    <row r="64" spans="1:28" x14ac:dyDescent="0.25">
      <c r="A64" t="s">
        <v>68</v>
      </c>
      <c r="B64">
        <v>0.99352677808782597</v>
      </c>
      <c r="C64">
        <v>0.96124219905595099</v>
      </c>
      <c r="D64">
        <v>0.94703834771255702</v>
      </c>
      <c r="E64">
        <v>0.80661373886149001</v>
      </c>
      <c r="F64">
        <v>0.75644627839136203</v>
      </c>
      <c r="G64">
        <v>0.37680520636766601</v>
      </c>
      <c r="H64">
        <v>0.21192157162526101</v>
      </c>
      <c r="I64">
        <v>0.166446503929982</v>
      </c>
      <c r="J64">
        <v>0.12322366782482599</v>
      </c>
      <c r="K64">
        <v>9.6037586578038903E-2</v>
      </c>
      <c r="L64">
        <v>918.79935610584096</v>
      </c>
      <c r="M64">
        <v>16.667463537468802</v>
      </c>
      <c r="N64">
        <v>55.630270178693401</v>
      </c>
      <c r="O64">
        <v>54.350129855488497</v>
      </c>
      <c r="P64">
        <v>-7.1289845638458194E-2</v>
      </c>
      <c r="Q64">
        <v>7.0199540105701799E-2</v>
      </c>
      <c r="R64">
        <v>0.99190421479450896</v>
      </c>
      <c r="S64" t="s">
        <v>6349</v>
      </c>
      <c r="T64" t="s">
        <v>12568</v>
      </c>
      <c r="U64" t="s">
        <v>12568</v>
      </c>
      <c r="V64" t="s">
        <v>12568</v>
      </c>
      <c r="W64" t="s">
        <v>12632</v>
      </c>
      <c r="X64">
        <v>4</v>
      </c>
      <c r="Y64" t="s">
        <v>18860</v>
      </c>
      <c r="Z64" t="s">
        <v>24934</v>
      </c>
      <c r="AA64">
        <v>0.55476320106422372</v>
      </c>
      <c r="AB64" t="str">
        <f>HYPERLINK("Melting_Curves/meltCurve_A8MXV4_NUDT19.pdf", "Melting_Curves/meltCurve_A8MXV4_NUDT19.pdf")</f>
        <v>Melting_Curves/meltCurve_A8MXV4_NUDT19.pdf</v>
      </c>
    </row>
    <row r="65" spans="1:28" x14ac:dyDescent="0.25">
      <c r="A65" t="s">
        <v>69</v>
      </c>
      <c r="B65">
        <v>0.99352677808782597</v>
      </c>
      <c r="C65">
        <v>0.92788710494805804</v>
      </c>
      <c r="D65">
        <v>0.95242237935067597</v>
      </c>
      <c r="E65">
        <v>1.06763464497561</v>
      </c>
      <c r="F65">
        <v>1.0378027083977099</v>
      </c>
      <c r="G65">
        <v>1.33827114808112</v>
      </c>
      <c r="H65">
        <v>1.2054122787604999</v>
      </c>
      <c r="I65">
        <v>1.1245095892899899</v>
      </c>
      <c r="J65">
        <v>0.95394531408739403</v>
      </c>
      <c r="K65">
        <v>0.95821372696506502</v>
      </c>
      <c r="L65">
        <v>2113.6796403365702</v>
      </c>
      <c r="M65">
        <v>42.098548300351602</v>
      </c>
      <c r="O65">
        <v>50.095019463272301</v>
      </c>
      <c r="P65">
        <v>2.24489272954367E-2</v>
      </c>
      <c r="Q65">
        <v>1.1068518774307301</v>
      </c>
      <c r="R65">
        <v>0.23561701555480399</v>
      </c>
      <c r="S65" t="s">
        <v>6350</v>
      </c>
      <c r="T65" t="s">
        <v>12568</v>
      </c>
      <c r="U65" t="s">
        <v>12568</v>
      </c>
      <c r="V65" t="s">
        <v>12568</v>
      </c>
      <c r="W65" t="s">
        <v>12633</v>
      </c>
      <c r="X65">
        <v>10</v>
      </c>
      <c r="Y65" t="s">
        <v>18861</v>
      </c>
      <c r="Z65" t="s">
        <v>24935</v>
      </c>
      <c r="AA65">
        <v>1.070159522051817</v>
      </c>
      <c r="AB65" t="str">
        <f>HYPERLINK("Melting_Curves/meltCurve_A9Z1X7_SRRM1.pdf", "Melting_Curves/meltCurve_A9Z1X7_SRRM1.pdf")</f>
        <v>Melting_Curves/meltCurve_A9Z1X7_SRRM1.pdf</v>
      </c>
    </row>
    <row r="66" spans="1:28" x14ac:dyDescent="0.25">
      <c r="A66" t="s">
        <v>70</v>
      </c>
      <c r="B66">
        <v>0.99352677808782597</v>
      </c>
      <c r="C66">
        <v>0.96287322774749196</v>
      </c>
      <c r="D66">
        <v>0.87704559895224099</v>
      </c>
      <c r="E66">
        <v>0.52183760023459302</v>
      </c>
      <c r="F66">
        <v>0.427084160531292</v>
      </c>
      <c r="G66">
        <v>0.19447587253885501</v>
      </c>
      <c r="H66">
        <v>0.101024226131045</v>
      </c>
      <c r="I66">
        <v>0.157286148161499</v>
      </c>
      <c r="J66">
        <v>0.138421962404427</v>
      </c>
      <c r="K66">
        <v>0.14322214097236899</v>
      </c>
      <c r="L66">
        <v>902.93627242022797</v>
      </c>
      <c r="M66">
        <v>18.0030339849074</v>
      </c>
      <c r="N66">
        <v>50.939496381924101</v>
      </c>
      <c r="O66">
        <v>49.5481308673982</v>
      </c>
      <c r="P66">
        <v>-7.9838579056200898E-2</v>
      </c>
      <c r="Q66">
        <v>0.12111327789043901</v>
      </c>
      <c r="R66">
        <v>0.99082827633707904</v>
      </c>
      <c r="S66" t="s">
        <v>6351</v>
      </c>
      <c r="T66" t="s">
        <v>12568</v>
      </c>
      <c r="U66" t="s">
        <v>12568</v>
      </c>
      <c r="V66" t="s">
        <v>12568</v>
      </c>
      <c r="W66" t="s">
        <v>12634</v>
      </c>
      <c r="X66">
        <v>12</v>
      </c>
      <c r="Y66" t="s">
        <v>18862</v>
      </c>
      <c r="Z66" t="s">
        <v>24936</v>
      </c>
      <c r="AA66">
        <v>0.43356052419873498</v>
      </c>
      <c r="AB66" t="str">
        <f>HYPERLINK("Melting_Curves/meltCurve_B0FLL2_PFKFB2.pdf", "Melting_Curves/meltCurve_B0FLL2_PFKFB2.pdf")</f>
        <v>Melting_Curves/meltCurve_B0FLL2_PFKFB2.pdf</v>
      </c>
    </row>
    <row r="67" spans="1:28" x14ac:dyDescent="0.25">
      <c r="A67" t="s">
        <v>71</v>
      </c>
      <c r="B67">
        <v>0.99352677808782597</v>
      </c>
      <c r="C67">
        <v>0.98768856069486</v>
      </c>
      <c r="D67">
        <v>0.857107704130884</v>
      </c>
      <c r="E67">
        <v>0.72684722765030296</v>
      </c>
      <c r="F67">
        <v>0.52942625784805897</v>
      </c>
      <c r="G67">
        <v>0.48209350226612302</v>
      </c>
      <c r="H67">
        <v>0.47600927009168198</v>
      </c>
      <c r="I67">
        <v>0.44843554839382699</v>
      </c>
      <c r="J67">
        <v>0.44680083003957699</v>
      </c>
      <c r="K67">
        <v>0.319069309345485</v>
      </c>
      <c r="L67">
        <v>792.76833976642001</v>
      </c>
      <c r="M67">
        <v>15.8717694252376</v>
      </c>
      <c r="N67">
        <v>55.661821068680801</v>
      </c>
      <c r="O67">
        <v>49.175594913900802</v>
      </c>
      <c r="P67">
        <v>-4.8259714305067203E-2</v>
      </c>
      <c r="Q67">
        <v>0.40195503378288999</v>
      </c>
      <c r="R67">
        <v>0.97076690856061998</v>
      </c>
      <c r="S67" t="s">
        <v>6352</v>
      </c>
      <c r="T67" t="s">
        <v>12568</v>
      </c>
      <c r="U67" t="s">
        <v>12568</v>
      </c>
      <c r="V67" t="s">
        <v>12568</v>
      </c>
      <c r="W67" t="s">
        <v>12635</v>
      </c>
      <c r="X67">
        <v>1</v>
      </c>
      <c r="Y67" t="s">
        <v>18863</v>
      </c>
      <c r="Z67" t="s">
        <v>24937</v>
      </c>
      <c r="AA67">
        <v>0.61317743474986297</v>
      </c>
      <c r="AB67" t="str">
        <f>HYPERLINK("Melting_Curves/meltCurve_B0QY74_MKL1.pdf", "Melting_Curves/meltCurve_B0QY74_MKL1.pdf")</f>
        <v>Melting_Curves/meltCurve_B0QY74_MKL1.pdf</v>
      </c>
    </row>
    <row r="68" spans="1:28" x14ac:dyDescent="0.25">
      <c r="A68" t="s">
        <v>72</v>
      </c>
      <c r="B68">
        <v>0.99352677808782597</v>
      </c>
      <c r="C68">
        <v>0.98641998737661596</v>
      </c>
      <c r="D68">
        <v>0.98098545976830698</v>
      </c>
      <c r="E68">
        <v>1.0082051560532099</v>
      </c>
      <c r="F68">
        <v>0.94811720139033895</v>
      </c>
      <c r="G68">
        <v>0.85537824069589996</v>
      </c>
      <c r="H68">
        <v>0.49492704723790998</v>
      </c>
      <c r="I68">
        <v>0.24732745010153601</v>
      </c>
      <c r="J68">
        <v>0.17039593603343101</v>
      </c>
      <c r="K68">
        <v>0.16321095948283301</v>
      </c>
      <c r="L68">
        <v>1741.96912018591</v>
      </c>
      <c r="M68">
        <v>28.9513450723462</v>
      </c>
      <c r="N68">
        <v>60.825205326155597</v>
      </c>
      <c r="O68">
        <v>59.883972119775798</v>
      </c>
      <c r="P68">
        <v>-0.104650101121089</v>
      </c>
      <c r="Q68">
        <v>0.134158818772695</v>
      </c>
      <c r="R68">
        <v>0.99790059380564899</v>
      </c>
      <c r="S68" t="s">
        <v>6353</v>
      </c>
      <c r="T68" t="s">
        <v>12568</v>
      </c>
      <c r="U68" t="s">
        <v>12568</v>
      </c>
      <c r="V68" t="s">
        <v>12568</v>
      </c>
      <c r="W68" t="s">
        <v>12636</v>
      </c>
      <c r="X68">
        <v>10</v>
      </c>
      <c r="Y68" t="s">
        <v>18864</v>
      </c>
      <c r="Z68" t="s">
        <v>24938</v>
      </c>
      <c r="AA68">
        <v>0.72168470479311664</v>
      </c>
      <c r="AB68" t="str">
        <f>HYPERLINK("Melting_Curves/meltCurve_B0QYI3_TBC1D22A.pdf", "Melting_Curves/meltCurve_B0QYI3_TBC1D22A.pdf")</f>
        <v>Melting_Curves/meltCurve_B0QYI3_TBC1D22A.pdf</v>
      </c>
    </row>
    <row r="69" spans="1:28" x14ac:dyDescent="0.25">
      <c r="A69" t="s">
        <v>73</v>
      </c>
      <c r="B69">
        <v>0.99352677808782597</v>
      </c>
      <c r="C69">
        <v>0.96520516844364002</v>
      </c>
      <c r="D69">
        <v>0.921269448606022</v>
      </c>
      <c r="E69">
        <v>0.75218171861073002</v>
      </c>
      <c r="F69">
        <v>0.75506793881454604</v>
      </c>
      <c r="G69">
        <v>0.55714031373543105</v>
      </c>
      <c r="H69">
        <v>0.50074609380355795</v>
      </c>
      <c r="I69">
        <v>0.48497419486994198</v>
      </c>
      <c r="J69">
        <v>0.495558128822366</v>
      </c>
      <c r="K69">
        <v>0.49353834786094802</v>
      </c>
      <c r="L69">
        <v>695.82193228897404</v>
      </c>
      <c r="M69">
        <v>13.4271553755664</v>
      </c>
      <c r="N69">
        <v>63.713000081190401</v>
      </c>
      <c r="O69">
        <v>50.713017482679099</v>
      </c>
      <c r="P69">
        <v>-3.5802031620117802E-2</v>
      </c>
      <c r="Q69">
        <v>0.45920152202666098</v>
      </c>
      <c r="R69">
        <v>0.98033389691769901</v>
      </c>
      <c r="S69" t="s">
        <v>6354</v>
      </c>
      <c r="T69" t="s">
        <v>12568</v>
      </c>
      <c r="U69" t="s">
        <v>12568</v>
      </c>
      <c r="V69" t="s">
        <v>12568</v>
      </c>
      <c r="W69" t="s">
        <v>12637</v>
      </c>
      <c r="X69">
        <v>2</v>
      </c>
      <c r="Y69" t="s">
        <v>18865</v>
      </c>
      <c r="Z69" t="s">
        <v>24939</v>
      </c>
      <c r="AA69">
        <v>0.68666486926324499</v>
      </c>
      <c r="AB69" t="str">
        <f>HYPERLINK("Melting_Curves/meltCurve_B0S8A9_FLOT1.pdf", "Melting_Curves/meltCurve_B0S8A9_FLOT1.pdf")</f>
        <v>Melting_Curves/meltCurve_B0S8A9_FLOT1.pdf</v>
      </c>
    </row>
    <row r="70" spans="1:28" x14ac:dyDescent="0.25">
      <c r="A70" t="s">
        <v>74</v>
      </c>
      <c r="B70">
        <v>0.99352677808782597</v>
      </c>
      <c r="C70">
        <v>1.04117693386704</v>
      </c>
      <c r="D70">
        <v>0.91217876478943305</v>
      </c>
      <c r="E70">
        <v>0.8953685039464</v>
      </c>
      <c r="F70">
        <v>0.80399688896048505</v>
      </c>
      <c r="G70">
        <v>0.59623948266062299</v>
      </c>
      <c r="H70">
        <v>0.47910388064739301</v>
      </c>
      <c r="I70">
        <v>0.42655142577779798</v>
      </c>
      <c r="J70">
        <v>0.38304537119453202</v>
      </c>
      <c r="K70">
        <v>0.28231630026335403</v>
      </c>
      <c r="L70">
        <v>671.09260303467204</v>
      </c>
      <c r="M70">
        <v>11.7239867886202</v>
      </c>
      <c r="N70">
        <v>60.506517395702801</v>
      </c>
      <c r="O70">
        <v>55.651736781888197</v>
      </c>
      <c r="P70">
        <v>-4.0330549072842101E-2</v>
      </c>
      <c r="Q70">
        <v>0.234433262094531</v>
      </c>
      <c r="R70">
        <v>0.98676757849854801</v>
      </c>
      <c r="S70" t="s">
        <v>6355</v>
      </c>
      <c r="T70" t="s">
        <v>12568</v>
      </c>
      <c r="U70" t="s">
        <v>12568</v>
      </c>
      <c r="V70" t="s">
        <v>12568</v>
      </c>
      <c r="W70" t="s">
        <v>12638</v>
      </c>
      <c r="X70">
        <v>29</v>
      </c>
      <c r="Y70" t="s">
        <v>18866</v>
      </c>
      <c r="Z70" t="s">
        <v>24940</v>
      </c>
      <c r="AA70">
        <v>0.68651011121027905</v>
      </c>
      <c r="AB70" t="str">
        <f>HYPERLINK("Melting_Curves/meltCurve_B0UX83_BAG6.pdf", "Melting_Curves/meltCurve_B0UX83_BAG6.pdf")</f>
        <v>Melting_Curves/meltCurve_B0UX83_BAG6.pdf</v>
      </c>
    </row>
    <row r="71" spans="1:28" x14ac:dyDescent="0.25">
      <c r="A71" t="s">
        <v>75</v>
      </c>
      <c r="B71">
        <v>0.99352677808782597</v>
      </c>
      <c r="C71">
        <v>0.95697683167534997</v>
      </c>
      <c r="D71">
        <v>0.91459477037646397</v>
      </c>
      <c r="E71">
        <v>0.74950865217532203</v>
      </c>
      <c r="F71">
        <v>0.69037829002351003</v>
      </c>
      <c r="G71">
        <v>0.568706209483264</v>
      </c>
      <c r="H71">
        <v>0.45281371392719399</v>
      </c>
      <c r="I71">
        <v>0.480960973236078</v>
      </c>
      <c r="J71">
        <v>0.46113146375491298</v>
      </c>
      <c r="K71">
        <v>0.44180241621493999</v>
      </c>
      <c r="L71">
        <v>667.98512946747701</v>
      </c>
      <c r="M71">
        <v>12.9105251262915</v>
      </c>
      <c r="N71">
        <v>60.467208699739103</v>
      </c>
      <c r="O71">
        <v>50.5454204611056</v>
      </c>
      <c r="P71">
        <v>-3.6887874051148697E-2</v>
      </c>
      <c r="Q71">
        <v>0.42243254099118199</v>
      </c>
      <c r="R71">
        <v>0.99217713863911605</v>
      </c>
      <c r="S71" t="s">
        <v>6356</v>
      </c>
      <c r="T71" t="s">
        <v>12568</v>
      </c>
      <c r="U71" t="s">
        <v>12568</v>
      </c>
      <c r="V71" t="s">
        <v>12568</v>
      </c>
      <c r="W71" t="s">
        <v>12639</v>
      </c>
      <c r="X71">
        <v>4</v>
      </c>
      <c r="Y71" t="s">
        <v>18867</v>
      </c>
      <c r="Z71" t="s">
        <v>24941</v>
      </c>
      <c r="AA71">
        <v>0.66472120128767287</v>
      </c>
      <c r="AB71" t="str">
        <f>HYPERLINK("Melting_Curves/meltCurve_B0UZY3_EHMT2.pdf", "Melting_Curves/meltCurve_B0UZY3_EHMT2.pdf")</f>
        <v>Melting_Curves/meltCurve_B0UZY3_EHMT2.pdf</v>
      </c>
    </row>
    <row r="72" spans="1:28" x14ac:dyDescent="0.25">
      <c r="A72" t="s">
        <v>76</v>
      </c>
      <c r="B72">
        <v>0.99352677808782597</v>
      </c>
      <c r="C72">
        <v>1.1004853613443799</v>
      </c>
      <c r="D72">
        <v>1.1290292972409399</v>
      </c>
      <c r="E72">
        <v>0.65641058398269303</v>
      </c>
      <c r="F72">
        <v>0.52694563377621495</v>
      </c>
      <c r="G72">
        <v>0.22499332811228301</v>
      </c>
      <c r="H72">
        <v>0.136948644655948</v>
      </c>
      <c r="I72">
        <v>0.13507153195164601</v>
      </c>
      <c r="J72">
        <v>0.118428343566401</v>
      </c>
      <c r="K72">
        <v>0.107434189940462</v>
      </c>
      <c r="L72">
        <v>1211.4553917626899</v>
      </c>
      <c r="M72">
        <v>23.2421116639612</v>
      </c>
      <c r="N72">
        <v>52.721527806422102</v>
      </c>
      <c r="O72">
        <v>51.742022440802401</v>
      </c>
      <c r="P72">
        <v>-9.9283399528664995E-2</v>
      </c>
      <c r="Q72">
        <v>0.115909511401732</v>
      </c>
      <c r="R72">
        <v>0.96805593262179501</v>
      </c>
      <c r="S72" t="s">
        <v>6357</v>
      </c>
      <c r="T72" t="s">
        <v>12568</v>
      </c>
      <c r="U72" t="s">
        <v>12568</v>
      </c>
      <c r="V72" t="s">
        <v>12568</v>
      </c>
      <c r="W72" t="s">
        <v>12640</v>
      </c>
      <c r="X72">
        <v>1</v>
      </c>
      <c r="Y72" t="s">
        <v>18868</v>
      </c>
      <c r="Z72" t="s">
        <v>24942</v>
      </c>
      <c r="AA72">
        <v>0.48246115715814042</v>
      </c>
      <c r="AB72" t="str">
        <f>HYPERLINK("Melting_Curves/meltCurve_B1AHQ7_CENPM.pdf", "Melting_Curves/meltCurve_B1AHQ7_CENPM.pdf")</f>
        <v>Melting_Curves/meltCurve_B1AHQ7_CENPM.pdf</v>
      </c>
    </row>
    <row r="73" spans="1:28" x14ac:dyDescent="0.25">
      <c r="A73" t="s">
        <v>77</v>
      </c>
      <c r="B73">
        <v>0.99352677808782597</v>
      </c>
      <c r="C73">
        <v>0.95230147075457905</v>
      </c>
      <c r="D73">
        <v>0.90588401240214</v>
      </c>
      <c r="E73">
        <v>0.44833233156719998</v>
      </c>
      <c r="F73">
        <v>0.367825986793408</v>
      </c>
      <c r="G73">
        <v>0.16168721758673499</v>
      </c>
      <c r="H73">
        <v>9.8845465563420901E-2</v>
      </c>
      <c r="I73">
        <v>0.10493465185084799</v>
      </c>
      <c r="J73">
        <v>0.105383504819191</v>
      </c>
      <c r="K73">
        <v>6.1590991885863797E-2</v>
      </c>
      <c r="L73">
        <v>968.35124098247502</v>
      </c>
      <c r="M73">
        <v>19.441794923306801</v>
      </c>
      <c r="N73">
        <v>50.298680064758599</v>
      </c>
      <c r="O73">
        <v>49.289726772221201</v>
      </c>
      <c r="P73">
        <v>-9.0090522625967798E-2</v>
      </c>
      <c r="Q73">
        <v>8.6426750000690403E-2</v>
      </c>
      <c r="R73">
        <v>0.98891769200453095</v>
      </c>
      <c r="S73" t="s">
        <v>6358</v>
      </c>
      <c r="T73" t="s">
        <v>12568</v>
      </c>
      <c r="U73" t="s">
        <v>12568</v>
      </c>
      <c r="V73" t="s">
        <v>12568</v>
      </c>
      <c r="W73" t="s">
        <v>12641</v>
      </c>
      <c r="X73">
        <v>7</v>
      </c>
      <c r="Y73" t="s">
        <v>18869</v>
      </c>
      <c r="Z73" t="s">
        <v>24943</v>
      </c>
      <c r="AA73">
        <v>0.39855008792062752</v>
      </c>
      <c r="AB73" t="str">
        <f>HYPERLINK("Melting_Curves/meltCurve_B1AJY7_PSMD10.pdf", "Melting_Curves/meltCurve_B1AJY7_PSMD10.pdf")</f>
        <v>Melting_Curves/meltCurve_B1AJY7_PSMD10.pdf</v>
      </c>
    </row>
    <row r="74" spans="1:28" x14ac:dyDescent="0.25">
      <c r="A74" t="s">
        <v>78</v>
      </c>
      <c r="B74">
        <v>0.99352677808782597</v>
      </c>
      <c r="C74">
        <v>0.87702583795573796</v>
      </c>
      <c r="D74">
        <v>0.80646092720506801</v>
      </c>
      <c r="E74">
        <v>0.41003865567597902</v>
      </c>
      <c r="F74">
        <v>0.359208765683385</v>
      </c>
      <c r="G74">
        <v>0.25028430355301601</v>
      </c>
      <c r="H74">
        <v>0.17890314315153499</v>
      </c>
      <c r="I74">
        <v>0.157670876756524</v>
      </c>
      <c r="J74">
        <v>0.15212138807995201</v>
      </c>
      <c r="K74">
        <v>0.11291454329796601</v>
      </c>
      <c r="L74">
        <v>765.17625711483299</v>
      </c>
      <c r="M74">
        <v>15.7205573799235</v>
      </c>
      <c r="N74">
        <v>49.701207769807098</v>
      </c>
      <c r="O74">
        <v>47.906440203034499</v>
      </c>
      <c r="P74">
        <v>-7.0661241156246293E-2</v>
      </c>
      <c r="Q74">
        <v>0.138747470716959</v>
      </c>
      <c r="R74">
        <v>0.98763398592667095</v>
      </c>
      <c r="S74" t="s">
        <v>6359</v>
      </c>
      <c r="T74" t="s">
        <v>12568</v>
      </c>
      <c r="U74" t="s">
        <v>12568</v>
      </c>
      <c r="V74" t="s">
        <v>12568</v>
      </c>
      <c r="W74" t="s">
        <v>12642</v>
      </c>
      <c r="X74">
        <v>3</v>
      </c>
      <c r="Y74" t="s">
        <v>18870</v>
      </c>
      <c r="Z74" t="s">
        <v>24944</v>
      </c>
      <c r="AA74">
        <v>0.40741300966857191</v>
      </c>
      <c r="AB74" t="str">
        <f>HYPERLINK("Melting_Curves/meltCurve_B1AK13_HMGCL.pdf", "Melting_Curves/meltCurve_B1AK13_HMGCL.pdf")</f>
        <v>Melting_Curves/meltCurve_B1AK13_HMGCL.pdf</v>
      </c>
    </row>
    <row r="75" spans="1:28" x14ac:dyDescent="0.25">
      <c r="A75" t="s">
        <v>79</v>
      </c>
      <c r="B75">
        <v>0.99352677808782597</v>
      </c>
      <c r="C75">
        <v>0.95358919765445105</v>
      </c>
      <c r="D75">
        <v>0.911258919341698</v>
      </c>
      <c r="E75">
        <v>0.657101285870061</v>
      </c>
      <c r="F75">
        <v>0.57515643092112101</v>
      </c>
      <c r="G75">
        <v>0.45899653368487803</v>
      </c>
      <c r="H75">
        <v>0.39258200038389701</v>
      </c>
      <c r="I75">
        <v>0.41178015316383298</v>
      </c>
      <c r="J75">
        <v>0.38731843751814898</v>
      </c>
      <c r="K75">
        <v>0.32909827048279799</v>
      </c>
      <c r="L75">
        <v>787.06896960909501</v>
      </c>
      <c r="M75">
        <v>15.653720692382301</v>
      </c>
      <c r="N75">
        <v>54.783588069930197</v>
      </c>
      <c r="O75">
        <v>49.480878983267402</v>
      </c>
      <c r="P75">
        <v>-5.0469102642957397E-2</v>
      </c>
      <c r="Q75">
        <v>0.36193006374693898</v>
      </c>
      <c r="R75">
        <v>0.990750428552018</v>
      </c>
      <c r="S75" t="s">
        <v>6360</v>
      </c>
      <c r="T75" t="s">
        <v>12568</v>
      </c>
      <c r="U75" t="s">
        <v>12568</v>
      </c>
      <c r="V75" t="s">
        <v>12568</v>
      </c>
      <c r="W75" t="s">
        <v>12643</v>
      </c>
      <c r="X75">
        <v>21</v>
      </c>
      <c r="Y75" t="s">
        <v>18871</v>
      </c>
      <c r="Z75" t="s">
        <v>24945</v>
      </c>
      <c r="AA75">
        <v>0.59456657903743593</v>
      </c>
      <c r="AB75" t="str">
        <f>HYPERLINK("Melting_Curves/meltCurve_B1AKC7_RASAL2.pdf", "Melting_Curves/meltCurve_B1AKC7_RASAL2.pdf")</f>
        <v>Melting_Curves/meltCurve_B1AKC7_RASAL2.pdf</v>
      </c>
    </row>
    <row r="76" spans="1:28" x14ac:dyDescent="0.25">
      <c r="A76" t="s">
        <v>80</v>
      </c>
      <c r="B76">
        <v>0.99352677808782597</v>
      </c>
      <c r="C76">
        <v>1.0309181549095301</v>
      </c>
      <c r="D76">
        <v>1.1692132633341801</v>
      </c>
      <c r="E76">
        <v>1.1306177047847901</v>
      </c>
      <c r="F76">
        <v>1.00636454095744</v>
      </c>
      <c r="G76">
        <v>1.04242076350613</v>
      </c>
      <c r="H76">
        <v>0.90071864264608303</v>
      </c>
      <c r="I76">
        <v>1.0259035782686501</v>
      </c>
      <c r="J76">
        <v>0.94539511573160895</v>
      </c>
      <c r="K76">
        <v>1.08317252871119</v>
      </c>
      <c r="L76">
        <v>15000</v>
      </c>
      <c r="M76">
        <v>212.67388184875799</v>
      </c>
      <c r="Q76">
        <v>1.5</v>
      </c>
      <c r="R76">
        <v>-6.6305727050656599E-2</v>
      </c>
      <c r="S76" t="s">
        <v>6361</v>
      </c>
      <c r="T76" t="s">
        <v>12568</v>
      </c>
      <c r="U76" t="s">
        <v>12568</v>
      </c>
      <c r="V76" t="s">
        <v>12568</v>
      </c>
      <c r="W76" t="s">
        <v>12644</v>
      </c>
      <c r="X76">
        <v>6</v>
      </c>
      <c r="Y76" t="s">
        <v>18872</v>
      </c>
      <c r="Z76" t="s">
        <v>24946</v>
      </c>
      <c r="AA76">
        <v>1.0009809316673151</v>
      </c>
      <c r="AB76" t="str">
        <f>HYPERLINK("Melting_Curves/meltCurve_B1AKL4_EIF4ENIF1.pdf", "Melting_Curves/meltCurve_B1AKL4_EIF4ENIF1.pdf")</f>
        <v>Melting_Curves/meltCurve_B1AKL4_EIF4ENIF1.pdf</v>
      </c>
    </row>
    <row r="77" spans="1:28" x14ac:dyDescent="0.25">
      <c r="A77" t="s">
        <v>81</v>
      </c>
      <c r="B77">
        <v>0.99352677808782597</v>
      </c>
      <c r="C77">
        <v>0.94753652330800597</v>
      </c>
      <c r="D77">
        <v>1.0531736226786901</v>
      </c>
      <c r="E77">
        <v>1.0090537774096</v>
      </c>
      <c r="F77">
        <v>0.93614723373770303</v>
      </c>
      <c r="G77">
        <v>0.86288446505669003</v>
      </c>
      <c r="H77">
        <v>0.79936839680851801</v>
      </c>
      <c r="I77">
        <v>0.80463163292671103</v>
      </c>
      <c r="J77">
        <v>0.706395081569686</v>
      </c>
      <c r="K77">
        <v>0.64802063217890304</v>
      </c>
      <c r="L77">
        <v>626.88141933465499</v>
      </c>
      <c r="M77">
        <v>9.6983412607555497</v>
      </c>
      <c r="O77">
        <v>62.069336391765702</v>
      </c>
      <c r="P77">
        <v>-1.9595122402471101E-2</v>
      </c>
      <c r="Q77">
        <v>0.49863931802418399</v>
      </c>
      <c r="R77">
        <v>0.93187742776354499</v>
      </c>
      <c r="S77" t="s">
        <v>6362</v>
      </c>
      <c r="T77" t="s">
        <v>12568</v>
      </c>
      <c r="U77" t="s">
        <v>12568</v>
      </c>
      <c r="V77" t="s">
        <v>12568</v>
      </c>
      <c r="W77" t="s">
        <v>12645</v>
      </c>
      <c r="X77">
        <v>7</v>
      </c>
      <c r="Y77" t="s">
        <v>18873</v>
      </c>
      <c r="Z77" t="s">
        <v>24947</v>
      </c>
      <c r="AA77">
        <v>0.88407660515728026</v>
      </c>
      <c r="AB77" t="str">
        <f>HYPERLINK("Melting_Curves/meltCurve_B1AKN7_NFIA.pdf", "Melting_Curves/meltCurve_B1AKN7_NFIA.pdf")</f>
        <v>Melting_Curves/meltCurve_B1AKN7_NFIA.pdf</v>
      </c>
    </row>
    <row r="78" spans="1:28" x14ac:dyDescent="0.25">
      <c r="A78" t="s">
        <v>82</v>
      </c>
      <c r="B78">
        <v>0.99352677808782597</v>
      </c>
      <c r="C78">
        <v>1.0084967331610799</v>
      </c>
      <c r="D78">
        <v>0.94028731614556404</v>
      </c>
      <c r="E78">
        <v>0.95294713096693495</v>
      </c>
      <c r="F78">
        <v>0.94300516067486295</v>
      </c>
      <c r="G78">
        <v>0.76320147514080405</v>
      </c>
      <c r="H78">
        <v>0.48166955689686602</v>
      </c>
      <c r="I78">
        <v>0.39285629030792502</v>
      </c>
      <c r="J78">
        <v>0.27734129963625997</v>
      </c>
      <c r="K78">
        <v>0.21494884014347301</v>
      </c>
      <c r="L78">
        <v>1053.93612602547</v>
      </c>
      <c r="M78">
        <v>17.615923610880198</v>
      </c>
      <c r="N78">
        <v>61.215377226328897</v>
      </c>
      <c r="O78">
        <v>59.073586402161297</v>
      </c>
      <c r="P78">
        <v>-6.2288428771427297E-2</v>
      </c>
      <c r="Q78">
        <v>0.16452785891030999</v>
      </c>
      <c r="R78">
        <v>0.99350469070936298</v>
      </c>
      <c r="S78" t="s">
        <v>6363</v>
      </c>
      <c r="T78" t="s">
        <v>12568</v>
      </c>
      <c r="U78" t="s">
        <v>12568</v>
      </c>
      <c r="V78" t="s">
        <v>12568</v>
      </c>
      <c r="W78" t="s">
        <v>12646</v>
      </c>
      <c r="X78">
        <v>9</v>
      </c>
      <c r="Y78" t="s">
        <v>18874</v>
      </c>
      <c r="Z78" t="s">
        <v>24948</v>
      </c>
      <c r="AA78">
        <v>0.72396898066690052</v>
      </c>
      <c r="AB78" t="str">
        <f>HYPERLINK("Melting_Curves/meltCurve_B1AL69_CDC37L1.pdf", "Melting_Curves/meltCurve_B1AL69_CDC37L1.pdf")</f>
        <v>Melting_Curves/meltCurve_B1AL69_CDC37L1.pdf</v>
      </c>
    </row>
    <row r="79" spans="1:28" x14ac:dyDescent="0.25">
      <c r="A79" t="s">
        <v>83</v>
      </c>
      <c r="B79">
        <v>0.99352677808782597</v>
      </c>
      <c r="C79">
        <v>1.01755055624831</v>
      </c>
      <c r="D79">
        <v>1.10824786283489</v>
      </c>
      <c r="E79">
        <v>0.354185645633041</v>
      </c>
      <c r="F79">
        <v>0.29127134926321002</v>
      </c>
      <c r="G79">
        <v>0.184895877775684</v>
      </c>
      <c r="H79">
        <v>0.15345704575122901</v>
      </c>
      <c r="I79">
        <v>0.16171439165979601</v>
      </c>
      <c r="J79">
        <v>0.155178547473109</v>
      </c>
      <c r="K79">
        <v>0.10727999642078</v>
      </c>
      <c r="L79">
        <v>4816.8444639890504</v>
      </c>
      <c r="M79">
        <v>97.611124838571101</v>
      </c>
      <c r="N79">
        <v>49.566488298880898</v>
      </c>
      <c r="O79">
        <v>49.326587191152399</v>
      </c>
      <c r="P79">
        <v>-0.408000847891337</v>
      </c>
      <c r="Q79">
        <v>0.17528710684417101</v>
      </c>
      <c r="R79">
        <v>0.97960362217067198</v>
      </c>
      <c r="S79" t="s">
        <v>6364</v>
      </c>
      <c r="T79" t="s">
        <v>12568</v>
      </c>
      <c r="U79" t="s">
        <v>12568</v>
      </c>
      <c r="V79" t="s">
        <v>12568</v>
      </c>
      <c r="W79" t="s">
        <v>12647</v>
      </c>
      <c r="X79">
        <v>4</v>
      </c>
      <c r="Y79" t="s">
        <v>18875</v>
      </c>
      <c r="Z79" t="s">
        <v>24949</v>
      </c>
      <c r="AA79">
        <v>0.43271721027732762</v>
      </c>
      <c r="AB79" t="str">
        <f>HYPERLINK("Melting_Curves/meltCurve_B1AMU7_EXOSC1.pdf", "Melting_Curves/meltCurve_B1AMU7_EXOSC1.pdf")</f>
        <v>Melting_Curves/meltCurve_B1AMU7_EXOSC1.pdf</v>
      </c>
    </row>
    <row r="80" spans="1:28" x14ac:dyDescent="0.25">
      <c r="A80" t="s">
        <v>84</v>
      </c>
      <c r="B80">
        <v>0.99352677808782597</v>
      </c>
      <c r="C80">
        <v>0.92275399033392103</v>
      </c>
      <c r="D80">
        <v>0.97439788222898205</v>
      </c>
      <c r="E80">
        <v>0.92626901686478802</v>
      </c>
      <c r="F80">
        <v>0.90271835046413096</v>
      </c>
      <c r="G80">
        <v>0.81468338920057704</v>
      </c>
      <c r="H80">
        <v>0.75498142767380305</v>
      </c>
      <c r="I80">
        <v>0.86994252564473895</v>
      </c>
      <c r="J80">
        <v>0.85660962990286504</v>
      </c>
      <c r="K80">
        <v>0.829995001135161</v>
      </c>
      <c r="L80">
        <v>665.44589943086203</v>
      </c>
      <c r="M80">
        <v>13.298678532398799</v>
      </c>
      <c r="O80">
        <v>48.947647593731801</v>
      </c>
      <c r="P80">
        <v>-1.23064828956628E-2</v>
      </c>
      <c r="Q80">
        <v>0.81884636348037698</v>
      </c>
      <c r="R80">
        <v>0.69569167493746498</v>
      </c>
      <c r="S80" t="s">
        <v>6365</v>
      </c>
      <c r="T80" t="s">
        <v>12568</v>
      </c>
      <c r="U80" t="s">
        <v>12568</v>
      </c>
      <c r="V80" t="s">
        <v>12568</v>
      </c>
      <c r="W80" t="s">
        <v>12648</v>
      </c>
      <c r="X80">
        <v>6</v>
      </c>
      <c r="Y80" t="s">
        <v>18876</v>
      </c>
      <c r="Z80" t="s">
        <v>24950</v>
      </c>
      <c r="AA80">
        <v>0.88476683359175068</v>
      </c>
      <c r="AB80" t="str">
        <f>HYPERLINK("Melting_Curves/meltCurve_B1AN89_EIF4G3.pdf", "Melting_Curves/meltCurve_B1AN89_EIF4G3.pdf")</f>
        <v>Melting_Curves/meltCurve_B1AN89_EIF4G3.pdf</v>
      </c>
    </row>
    <row r="81" spans="1:28" x14ac:dyDescent="0.25">
      <c r="A81" t="s">
        <v>85</v>
      </c>
      <c r="B81">
        <v>0.99352677808782597</v>
      </c>
      <c r="C81">
        <v>1.04171399504115</v>
      </c>
      <c r="D81">
        <v>1.0240482830208399</v>
      </c>
      <c r="E81">
        <v>1.05565309707199</v>
      </c>
      <c r="F81">
        <v>0.91365263477982495</v>
      </c>
      <c r="G81">
        <v>1.0394003060277599</v>
      </c>
      <c r="H81">
        <v>0.90407214343216102</v>
      </c>
      <c r="I81">
        <v>0.925438208613374</v>
      </c>
      <c r="J81">
        <v>0.89058991224356099</v>
      </c>
      <c r="K81">
        <v>1.0859110164049799</v>
      </c>
      <c r="L81">
        <v>12870.1457845804</v>
      </c>
      <c r="M81">
        <v>250</v>
      </c>
      <c r="O81">
        <v>51.477289252907198</v>
      </c>
      <c r="P81">
        <v>-4.8746605189534997E-2</v>
      </c>
      <c r="Q81">
        <v>0.95985051093369</v>
      </c>
      <c r="R81">
        <v>0.17198916845706899</v>
      </c>
      <c r="S81" t="s">
        <v>6366</v>
      </c>
      <c r="T81" t="s">
        <v>12568</v>
      </c>
      <c r="U81" t="s">
        <v>12568</v>
      </c>
      <c r="V81" t="s">
        <v>12568</v>
      </c>
      <c r="W81" t="s">
        <v>12649</v>
      </c>
      <c r="X81">
        <v>1</v>
      </c>
      <c r="Y81" t="s">
        <v>18877</v>
      </c>
      <c r="Z81" t="s">
        <v>24951</v>
      </c>
      <c r="AA81">
        <v>0.97521878991745414</v>
      </c>
      <c r="AB81" t="str">
        <f>HYPERLINK("Melting_Curves/meltCurve_B1AN99_PRSS3.pdf", "Melting_Curves/meltCurve_B1AN99_PRSS3.pdf")</f>
        <v>Melting_Curves/meltCurve_B1AN99_PRSS3.pdf</v>
      </c>
    </row>
    <row r="82" spans="1:28" x14ac:dyDescent="0.25">
      <c r="A82" t="s">
        <v>86</v>
      </c>
      <c r="B82">
        <v>0.99352677808782597</v>
      </c>
      <c r="C82">
        <v>0.904597002653037</v>
      </c>
      <c r="D82">
        <v>0.96977697352353298</v>
      </c>
      <c r="E82">
        <v>0.195374298795257</v>
      </c>
      <c r="F82">
        <v>0.147713933246089</v>
      </c>
      <c r="G82">
        <v>9.0141046131323302E-2</v>
      </c>
      <c r="H82">
        <v>6.8325775345398396E-2</v>
      </c>
      <c r="I82">
        <v>7.31642648475542E-2</v>
      </c>
      <c r="J82">
        <v>6.44960333435632E-2</v>
      </c>
      <c r="K82">
        <v>5.6061103861183903E-2</v>
      </c>
      <c r="L82">
        <v>2905.3240997461698</v>
      </c>
      <c r="M82">
        <v>60.011564162991803</v>
      </c>
      <c r="N82">
        <v>48.5570478002778</v>
      </c>
      <c r="O82">
        <v>48.359065984210098</v>
      </c>
      <c r="P82">
        <v>-0.28489941471943803</v>
      </c>
      <c r="Q82">
        <v>8.1679404938537606E-2</v>
      </c>
      <c r="R82">
        <v>0.99094563896695298</v>
      </c>
      <c r="S82" t="s">
        <v>6367</v>
      </c>
      <c r="T82" t="s">
        <v>12568</v>
      </c>
      <c r="U82" t="s">
        <v>12568</v>
      </c>
      <c r="V82" t="s">
        <v>12568</v>
      </c>
      <c r="W82" t="s">
        <v>12650</v>
      </c>
      <c r="X82">
        <v>8</v>
      </c>
      <c r="Y82" t="s">
        <v>18878</v>
      </c>
      <c r="Z82" t="s">
        <v>24952</v>
      </c>
      <c r="AA82">
        <v>0.34055812585151207</v>
      </c>
      <c r="AB82" t="str">
        <f>HYPERLINK("Melting_Curves/meltCurve_B1ANH0_GUK1.pdf", "Melting_Curves/meltCurve_B1ANH0_GUK1.pdf")</f>
        <v>Melting_Curves/meltCurve_B1ANH0_GUK1.pdf</v>
      </c>
    </row>
    <row r="83" spans="1:28" x14ac:dyDescent="0.25">
      <c r="A83" t="s">
        <v>87</v>
      </c>
      <c r="B83">
        <v>0.99352677808782597</v>
      </c>
      <c r="C83">
        <v>0.88160170650388103</v>
      </c>
      <c r="D83">
        <v>0.95134061181935003</v>
      </c>
      <c r="E83">
        <v>0.722493172407908</v>
      </c>
      <c r="F83">
        <v>0.70882393973533497</v>
      </c>
      <c r="G83">
        <v>0.10113442191418499</v>
      </c>
      <c r="H83">
        <v>6.0532155599496297E-2</v>
      </c>
      <c r="I83">
        <v>4.6714063696621899E-2</v>
      </c>
      <c r="J83">
        <v>3.2709695092020798E-2</v>
      </c>
      <c r="K83">
        <v>3.3313333267203898E-2</v>
      </c>
      <c r="L83">
        <v>1241.2387325571101</v>
      </c>
      <c r="M83">
        <v>23.1509895908586</v>
      </c>
      <c r="N83">
        <v>53.654428081344903</v>
      </c>
      <c r="O83">
        <v>53.219703837637802</v>
      </c>
      <c r="P83">
        <v>-0.107835270833919</v>
      </c>
      <c r="Q83">
        <v>8.4473105164701093E-3</v>
      </c>
      <c r="R83">
        <v>0.96361183063373101</v>
      </c>
      <c r="S83" t="s">
        <v>6368</v>
      </c>
      <c r="T83" t="s">
        <v>12568</v>
      </c>
      <c r="U83" t="s">
        <v>12568</v>
      </c>
      <c r="V83" t="s">
        <v>12568</v>
      </c>
      <c r="W83" t="s">
        <v>12651</v>
      </c>
      <c r="X83">
        <v>5</v>
      </c>
      <c r="Y83" t="s">
        <v>18879</v>
      </c>
      <c r="Z83" t="s">
        <v>24953</v>
      </c>
      <c r="AA83">
        <v>0.46897930780027719</v>
      </c>
      <c r="AB83" t="str">
        <f>HYPERLINK("Melting_Curves/meltCurve_B1N949_PPFIA4.pdf", "Melting_Curves/meltCurve_B1N949_PPFIA4.pdf")</f>
        <v>Melting_Curves/meltCurve_B1N949_PPFIA4.pdf</v>
      </c>
    </row>
    <row r="84" spans="1:28" x14ac:dyDescent="0.25">
      <c r="A84" t="s">
        <v>88</v>
      </c>
      <c r="B84">
        <v>0.99352677808782597</v>
      </c>
      <c r="C84">
        <v>0.86988942701099303</v>
      </c>
      <c r="D84">
        <v>0.83235098763206306</v>
      </c>
      <c r="E84">
        <v>0.84462787463488698</v>
      </c>
      <c r="F84">
        <v>0.722555575874962</v>
      </c>
      <c r="G84">
        <v>0.71104451381989098</v>
      </c>
      <c r="H84">
        <v>1.4347842038626499</v>
      </c>
      <c r="I84">
        <v>2.0686244795695599</v>
      </c>
      <c r="J84">
        <v>0.905944535775566</v>
      </c>
      <c r="K84">
        <v>0.44055987466511398</v>
      </c>
      <c r="S84" t="s">
        <v>6369</v>
      </c>
      <c r="T84" t="s">
        <v>12568</v>
      </c>
      <c r="U84" t="s">
        <v>12569</v>
      </c>
      <c r="V84" t="s">
        <v>12568</v>
      </c>
      <c r="W84" t="s">
        <v>12652</v>
      </c>
      <c r="X84">
        <v>40</v>
      </c>
      <c r="Y84" t="s">
        <v>18880</v>
      </c>
      <c r="Z84" t="s">
        <v>24954</v>
      </c>
      <c r="AB84" t="str">
        <f>HYPERLINK("Melting_Curves/meltCurve_B2R5P6_TXNRD1.pdf", "Melting_Curves/meltCurve_B2R5P6_TXNRD1.pdf")</f>
        <v>Melting_Curves/meltCurve_B2R5P6_TXNRD1.pdf</v>
      </c>
    </row>
    <row r="85" spans="1:28" x14ac:dyDescent="0.25">
      <c r="A85" t="s">
        <v>89</v>
      </c>
      <c r="B85">
        <v>0.99352677808782597</v>
      </c>
      <c r="C85">
        <v>0.85803744925916203</v>
      </c>
      <c r="D85">
        <v>0.79789144998882</v>
      </c>
      <c r="E85">
        <v>0.45570891634685901</v>
      </c>
      <c r="F85">
        <v>0.38140289211442702</v>
      </c>
      <c r="G85">
        <v>0.292824222160598</v>
      </c>
      <c r="H85">
        <v>0.29861875342267802</v>
      </c>
      <c r="I85">
        <v>0.25567297774941899</v>
      </c>
      <c r="J85">
        <v>0.25826431101411101</v>
      </c>
      <c r="K85">
        <v>0.22418623170316199</v>
      </c>
      <c r="L85">
        <v>818.09423753489102</v>
      </c>
      <c r="M85">
        <v>17.090700305009602</v>
      </c>
      <c r="N85">
        <v>49.871088078060303</v>
      </c>
      <c r="O85">
        <v>47.226857403258101</v>
      </c>
      <c r="P85">
        <v>-6.8007920798312096E-2</v>
      </c>
      <c r="Q85">
        <v>0.248338258489366</v>
      </c>
      <c r="R85">
        <v>0.98855644734909798</v>
      </c>
      <c r="S85" t="s">
        <v>6370</v>
      </c>
      <c r="T85" t="s">
        <v>12568</v>
      </c>
      <c r="U85" t="s">
        <v>12568</v>
      </c>
      <c r="V85" t="s">
        <v>12568</v>
      </c>
      <c r="W85" t="s">
        <v>12653</v>
      </c>
      <c r="X85">
        <v>6</v>
      </c>
      <c r="Y85" t="s">
        <v>18881</v>
      </c>
      <c r="Z85" t="s">
        <v>24955</v>
      </c>
      <c r="AA85">
        <v>0.46039248498419533</v>
      </c>
      <c r="AB85" t="str">
        <f>HYPERLINK("Melting_Curves/meltCurve_B2RTY4_5_MYO9A.pdf", "Melting_Curves/meltCurve_B2RTY4_5_MYO9A.pdf")</f>
        <v>Melting_Curves/meltCurve_B2RTY4_5_MYO9A.pdf</v>
      </c>
    </row>
    <row r="86" spans="1:28" x14ac:dyDescent="0.25">
      <c r="A86" t="s">
        <v>90</v>
      </c>
      <c r="B86">
        <v>0.99352677808782597</v>
      </c>
      <c r="C86">
        <v>0.88427052126569095</v>
      </c>
      <c r="D86">
        <v>0.91463412628217999</v>
      </c>
      <c r="E86">
        <v>0.90360334465106995</v>
      </c>
      <c r="F86">
        <v>0.73205101993072597</v>
      </c>
      <c r="G86">
        <v>0.70316887400960204</v>
      </c>
      <c r="H86">
        <v>0.606363394825019</v>
      </c>
      <c r="I86">
        <v>0.57560644935590399</v>
      </c>
      <c r="J86">
        <v>0.58055147037793298</v>
      </c>
      <c r="K86">
        <v>0.49338083458005699</v>
      </c>
      <c r="L86">
        <v>396.20029980534099</v>
      </c>
      <c r="M86">
        <v>6.8635297459386804</v>
      </c>
      <c r="O86">
        <v>53.421182532408501</v>
      </c>
      <c r="P86">
        <v>-2.0407360007145901E-2</v>
      </c>
      <c r="Q86">
        <v>0.365913831119348</v>
      </c>
      <c r="R86">
        <v>0.95252543803263301</v>
      </c>
      <c r="S86" t="s">
        <v>6371</v>
      </c>
      <c r="T86" t="s">
        <v>12568</v>
      </c>
      <c r="U86" t="s">
        <v>12568</v>
      </c>
      <c r="V86" t="s">
        <v>12568</v>
      </c>
      <c r="W86" t="s">
        <v>12654</v>
      </c>
      <c r="X86">
        <v>5</v>
      </c>
      <c r="Y86" t="s">
        <v>18882</v>
      </c>
      <c r="Z86" t="s">
        <v>24956</v>
      </c>
      <c r="AA86">
        <v>0.74084823628351137</v>
      </c>
      <c r="AB86" t="str">
        <f>HYPERLINK("Melting_Curves/meltCurve_B3KNQ0_CCDC92.pdf", "Melting_Curves/meltCurve_B3KNQ0_CCDC92.pdf")</f>
        <v>Melting_Curves/meltCurve_B3KNQ0_CCDC92.pdf</v>
      </c>
    </row>
    <row r="87" spans="1:28" x14ac:dyDescent="0.25">
      <c r="A87" t="s">
        <v>91</v>
      </c>
      <c r="B87">
        <v>0.99352677808782597</v>
      </c>
      <c r="C87">
        <v>0.886347152188805</v>
      </c>
      <c r="D87">
        <v>0.87933606390011498</v>
      </c>
      <c r="E87">
        <v>0.89300306884020497</v>
      </c>
      <c r="F87">
        <v>0.97748015578251002</v>
      </c>
      <c r="G87">
        <v>0.77400834045094002</v>
      </c>
      <c r="H87">
        <v>0.725135641704025</v>
      </c>
      <c r="I87">
        <v>0.80875685270710396</v>
      </c>
      <c r="J87">
        <v>0.62481215974222304</v>
      </c>
      <c r="K87">
        <v>0.56177768629074798</v>
      </c>
      <c r="L87">
        <v>319.942364397549</v>
      </c>
      <c r="M87">
        <v>4.1414735255937396</v>
      </c>
      <c r="O87">
        <v>64.109365985740197</v>
      </c>
      <c r="P87">
        <v>-1.6335600419429299E-2</v>
      </c>
      <c r="Q87">
        <v>0</v>
      </c>
      <c r="R87">
        <v>0.78951211086678597</v>
      </c>
      <c r="S87" t="s">
        <v>6372</v>
      </c>
      <c r="T87" t="s">
        <v>12568</v>
      </c>
      <c r="U87" t="s">
        <v>12568</v>
      </c>
      <c r="V87" t="s">
        <v>12568</v>
      </c>
      <c r="W87" t="s">
        <v>12655</v>
      </c>
      <c r="X87">
        <v>1</v>
      </c>
      <c r="Y87" t="s">
        <v>18883</v>
      </c>
      <c r="Z87" t="s">
        <v>24957</v>
      </c>
      <c r="AA87">
        <v>0.8247970906923453</v>
      </c>
      <c r="AB87" t="str">
        <f>HYPERLINK("Melting_Curves/meltCurve_B3KP87_MDS025.pdf", "Melting_Curves/meltCurve_B3KP87_MDS025.pdf")</f>
        <v>Melting_Curves/meltCurve_B3KP87_MDS025.pdf</v>
      </c>
    </row>
    <row r="88" spans="1:28" x14ac:dyDescent="0.25">
      <c r="A88" t="s">
        <v>92</v>
      </c>
      <c r="B88">
        <v>0.99352677808782597</v>
      </c>
      <c r="C88">
        <v>0.979607359941425</v>
      </c>
      <c r="D88">
        <v>0.89356586765956802</v>
      </c>
      <c r="E88">
        <v>0.54372681459629302</v>
      </c>
      <c r="F88">
        <v>0.45018045207486301</v>
      </c>
      <c r="G88">
        <v>0.225924171433147</v>
      </c>
      <c r="H88">
        <v>0.129182336998001</v>
      </c>
      <c r="I88">
        <v>0.11536509847868801</v>
      </c>
      <c r="J88">
        <v>0.10365291407961701</v>
      </c>
      <c r="K88">
        <v>9.0957050356238495E-2</v>
      </c>
      <c r="L88">
        <v>820.57343677670303</v>
      </c>
      <c r="M88">
        <v>16.113702167342499</v>
      </c>
      <c r="N88">
        <v>51.501244897250402</v>
      </c>
      <c r="O88">
        <v>50.159022256153797</v>
      </c>
      <c r="P88">
        <v>-7.3682850597230606E-2</v>
      </c>
      <c r="Q88">
        <v>8.2624765861923896E-2</v>
      </c>
      <c r="R88">
        <v>0.99347353842998498</v>
      </c>
      <c r="S88" t="s">
        <v>6373</v>
      </c>
      <c r="T88" t="s">
        <v>12568</v>
      </c>
      <c r="U88" t="s">
        <v>12568</v>
      </c>
      <c r="V88" t="s">
        <v>12568</v>
      </c>
      <c r="W88" t="s">
        <v>12656</v>
      </c>
      <c r="X88">
        <v>8</v>
      </c>
      <c r="Y88" t="s">
        <v>18884</v>
      </c>
      <c r="Z88" t="s">
        <v>24958</v>
      </c>
      <c r="AA88">
        <v>0.43548869818356001</v>
      </c>
      <c r="AB88" t="str">
        <f>HYPERLINK("Melting_Curves/meltCurve_B3KRS5_HDAC2.pdf", "Melting_Curves/meltCurve_B3KRS5_HDAC2.pdf")</f>
        <v>Melting_Curves/meltCurve_B3KRS5_HDAC2.pdf</v>
      </c>
    </row>
    <row r="89" spans="1:28" x14ac:dyDescent="0.25">
      <c r="A89" t="s">
        <v>93</v>
      </c>
      <c r="B89">
        <v>0.99352677808782597</v>
      </c>
      <c r="C89">
        <v>0.98532579478196103</v>
      </c>
      <c r="D89">
        <v>0.98429008964473597</v>
      </c>
      <c r="E89">
        <v>0.84280690379906198</v>
      </c>
      <c r="F89">
        <v>0.72390230505958097</v>
      </c>
      <c r="G89">
        <v>0.40025014721387803</v>
      </c>
      <c r="H89">
        <v>0.24856278705673701</v>
      </c>
      <c r="I89">
        <v>0.22066346415781901</v>
      </c>
      <c r="J89">
        <v>0.195062379587887</v>
      </c>
      <c r="K89">
        <v>0.155391684624619</v>
      </c>
      <c r="L89">
        <v>1032.6501629869499</v>
      </c>
      <c r="M89">
        <v>18.9271339225883</v>
      </c>
      <c r="N89">
        <v>55.669805077018097</v>
      </c>
      <c r="O89">
        <v>53.96115141213</v>
      </c>
      <c r="P89">
        <v>-7.3903518297850398E-2</v>
      </c>
      <c r="Q89">
        <v>0.1572401239424</v>
      </c>
      <c r="R89">
        <v>0.99746544563423101</v>
      </c>
      <c r="S89" t="s">
        <v>6374</v>
      </c>
      <c r="T89" t="s">
        <v>12568</v>
      </c>
      <c r="U89" t="s">
        <v>12568</v>
      </c>
      <c r="V89" t="s">
        <v>12568</v>
      </c>
      <c r="W89" t="s">
        <v>12657</v>
      </c>
      <c r="X89">
        <v>10</v>
      </c>
      <c r="Y89" t="s">
        <v>18885</v>
      </c>
      <c r="Z89" t="s">
        <v>24959</v>
      </c>
      <c r="AA89">
        <v>0.57856368441023831</v>
      </c>
      <c r="AB89" t="str">
        <f>HYPERLINK("Melting_Curves/meltCurve_B3KSI9_LZTFL1.pdf", "Melting_Curves/meltCurve_B3KSI9_LZTFL1.pdf")</f>
        <v>Melting_Curves/meltCurve_B3KSI9_LZTFL1.pdf</v>
      </c>
    </row>
    <row r="90" spans="1:28" x14ac:dyDescent="0.25">
      <c r="A90" t="s">
        <v>94</v>
      </c>
      <c r="B90">
        <v>0.99352677808782597</v>
      </c>
      <c r="C90">
        <v>0.92247125613939596</v>
      </c>
      <c r="D90">
        <v>0.96234716218209904</v>
      </c>
      <c r="E90">
        <v>0.69905385522598795</v>
      </c>
      <c r="F90">
        <v>0.71117646210332497</v>
      </c>
      <c r="G90">
        <v>0.43408930523633699</v>
      </c>
      <c r="H90">
        <v>0.46124808688617303</v>
      </c>
      <c r="I90">
        <v>0.46522725064574399</v>
      </c>
      <c r="J90">
        <v>0.42490353080628501</v>
      </c>
      <c r="K90">
        <v>0.37051804265543098</v>
      </c>
      <c r="L90">
        <v>759.22110669486597</v>
      </c>
      <c r="M90">
        <v>14.755520266358801</v>
      </c>
      <c r="N90">
        <v>57.431876898843001</v>
      </c>
      <c r="O90">
        <v>50.536032113229801</v>
      </c>
      <c r="P90">
        <v>-4.4357939268059497E-2</v>
      </c>
      <c r="Q90">
        <v>0.39238123888526399</v>
      </c>
      <c r="R90">
        <v>0.95589379276087105</v>
      </c>
      <c r="S90" t="s">
        <v>6375</v>
      </c>
      <c r="T90" t="s">
        <v>12568</v>
      </c>
      <c r="U90" t="s">
        <v>12568</v>
      </c>
      <c r="V90" t="s">
        <v>12568</v>
      </c>
      <c r="W90" t="s">
        <v>12658</v>
      </c>
      <c r="X90">
        <v>1</v>
      </c>
      <c r="Y90" t="s">
        <v>18886</v>
      </c>
      <c r="Z90" t="s">
        <v>24960</v>
      </c>
      <c r="AA90">
        <v>0.63855989198513052</v>
      </c>
      <c r="AB90" t="str">
        <f>HYPERLINK("Melting_Curves/meltCurve_B3KSJ7_DCLRE1C.pdf", "Melting_Curves/meltCurve_B3KSJ7_DCLRE1C.pdf")</f>
        <v>Melting_Curves/meltCurve_B3KSJ7_DCLRE1C.pdf</v>
      </c>
    </row>
    <row r="91" spans="1:28" x14ac:dyDescent="0.25">
      <c r="A91" t="s">
        <v>95</v>
      </c>
      <c r="B91">
        <v>0.99352677808782597</v>
      </c>
      <c r="C91">
        <v>1.13578235974904</v>
      </c>
      <c r="D91">
        <v>0.91998876612307501</v>
      </c>
      <c r="E91">
        <v>0.87736661514514303</v>
      </c>
      <c r="F91">
        <v>0.68774624141013296</v>
      </c>
      <c r="G91">
        <v>0.49963635081511198</v>
      </c>
      <c r="H91">
        <v>0.89883591081381697</v>
      </c>
      <c r="I91">
        <v>0.59533395161673097</v>
      </c>
      <c r="J91">
        <v>0.804233334304993</v>
      </c>
      <c r="K91">
        <v>0.51773788829364797</v>
      </c>
      <c r="L91">
        <v>2759.1244843826498</v>
      </c>
      <c r="M91">
        <v>54.658552959338699</v>
      </c>
      <c r="O91">
        <v>50.4118501230828</v>
      </c>
      <c r="P91">
        <v>-9.1240276896748407E-2</v>
      </c>
      <c r="Q91">
        <v>0.66339481775405995</v>
      </c>
      <c r="R91">
        <v>0.62210807850889904</v>
      </c>
      <c r="S91" t="s">
        <v>6376</v>
      </c>
      <c r="T91" t="s">
        <v>12568</v>
      </c>
      <c r="U91" t="s">
        <v>12568</v>
      </c>
      <c r="V91" t="s">
        <v>12568</v>
      </c>
      <c r="W91" t="s">
        <v>12659</v>
      </c>
      <c r="X91">
        <v>4</v>
      </c>
      <c r="Y91" t="s">
        <v>18887</v>
      </c>
      <c r="Z91" t="s">
        <v>24961</v>
      </c>
      <c r="AA91">
        <v>0.78160077999942235</v>
      </c>
      <c r="AB91" t="str">
        <f>HYPERLINK("Melting_Curves/meltCurve_B3KUK2_SOD2.pdf", "Melting_Curves/meltCurve_B3KUK2_SOD2.pdf")</f>
        <v>Melting_Curves/meltCurve_B3KUK2_SOD2.pdf</v>
      </c>
    </row>
    <row r="92" spans="1:28" x14ac:dyDescent="0.25">
      <c r="A92" t="s">
        <v>96</v>
      </c>
      <c r="B92">
        <v>0.99352677808782597</v>
      </c>
      <c r="C92">
        <v>1.01920666713666</v>
      </c>
      <c r="D92">
        <v>1.0343335312839701</v>
      </c>
      <c r="E92">
        <v>0.92628346755756996</v>
      </c>
      <c r="F92">
        <v>0.75859725446596404</v>
      </c>
      <c r="G92">
        <v>0.70784357202873704</v>
      </c>
      <c r="H92">
        <v>0.66173727142965999</v>
      </c>
      <c r="I92">
        <v>0.72216613984126399</v>
      </c>
      <c r="J92">
        <v>0.79278601845829599</v>
      </c>
      <c r="K92">
        <v>0.64330484246009501</v>
      </c>
      <c r="L92">
        <v>2397.2145253213998</v>
      </c>
      <c r="M92">
        <v>46.796993721155403</v>
      </c>
      <c r="O92">
        <v>51.132524190898202</v>
      </c>
      <c r="P92">
        <v>-6.7423166063595996E-2</v>
      </c>
      <c r="Q92">
        <v>0.70532174948179005</v>
      </c>
      <c r="R92">
        <v>0.92654225188560502</v>
      </c>
      <c r="S92" t="s">
        <v>6377</v>
      </c>
      <c r="T92" t="s">
        <v>12568</v>
      </c>
      <c r="U92" t="s">
        <v>12568</v>
      </c>
      <c r="V92" t="s">
        <v>12568</v>
      </c>
      <c r="W92" t="s">
        <v>12660</v>
      </c>
      <c r="X92">
        <v>10</v>
      </c>
      <c r="Y92" t="s">
        <v>18888</v>
      </c>
      <c r="Z92" t="s">
        <v>24962</v>
      </c>
      <c r="AA92">
        <v>0.81634927945392954</v>
      </c>
      <c r="AB92" t="str">
        <f>HYPERLINK("Melting_Curves/meltCurve_B3KVH8_PHF23.pdf", "Melting_Curves/meltCurve_B3KVH8_PHF23.pdf")</f>
        <v>Melting_Curves/meltCurve_B3KVH8_PHF23.pdf</v>
      </c>
    </row>
    <row r="93" spans="1:28" x14ac:dyDescent="0.25">
      <c r="A93" t="s">
        <v>97</v>
      </c>
      <c r="B93">
        <v>0.99352677808782597</v>
      </c>
      <c r="C93">
        <v>0.96806839210446705</v>
      </c>
      <c r="D93">
        <v>0.88430210950137</v>
      </c>
      <c r="E93">
        <v>0.46789395243780801</v>
      </c>
      <c r="F93">
        <v>0.40472144351258599</v>
      </c>
      <c r="G93">
        <v>0.27596039461692001</v>
      </c>
      <c r="H93">
        <v>0.23679086859335499</v>
      </c>
      <c r="I93">
        <v>0.240186323122204</v>
      </c>
      <c r="J93">
        <v>0.22844154785153101</v>
      </c>
      <c r="K93">
        <v>0.18624465072443799</v>
      </c>
      <c r="L93">
        <v>1077.6917692706099</v>
      </c>
      <c r="M93">
        <v>22.0156568057632</v>
      </c>
      <c r="N93">
        <v>50.335766863288697</v>
      </c>
      <c r="O93">
        <v>48.552653810706197</v>
      </c>
      <c r="P93">
        <v>-8.7614732301112899E-2</v>
      </c>
      <c r="Q93">
        <v>0.22712601890901399</v>
      </c>
      <c r="R93">
        <v>0.98988297499972799</v>
      </c>
      <c r="S93" t="s">
        <v>6378</v>
      </c>
      <c r="T93" t="s">
        <v>12568</v>
      </c>
      <c r="U93" t="s">
        <v>12568</v>
      </c>
      <c r="V93" t="s">
        <v>12568</v>
      </c>
      <c r="W93" t="s">
        <v>12661</v>
      </c>
      <c r="X93">
        <v>3</v>
      </c>
      <c r="Y93" t="s">
        <v>18889</v>
      </c>
      <c r="Z93" t="s">
        <v>24963</v>
      </c>
      <c r="AA93">
        <v>0.46662753241081478</v>
      </c>
      <c r="AB93" t="str">
        <f>HYPERLINK("Melting_Curves/meltCurve_B3KVZ3_CENPH.pdf", "Melting_Curves/meltCurve_B3KVZ3_CENPH.pdf")</f>
        <v>Melting_Curves/meltCurve_B3KVZ3_CENPH.pdf</v>
      </c>
    </row>
    <row r="94" spans="1:28" x14ac:dyDescent="0.25">
      <c r="A94" t="s">
        <v>98</v>
      </c>
      <c r="B94">
        <v>0.99352677808782597</v>
      </c>
      <c r="C94">
        <v>0.98048094067550695</v>
      </c>
      <c r="D94">
        <v>0.95905034270054001</v>
      </c>
      <c r="E94">
        <v>0.316958732179484</v>
      </c>
      <c r="F94">
        <v>0.23890482663655199</v>
      </c>
      <c r="G94">
        <v>0.153067163330872</v>
      </c>
      <c r="H94">
        <v>0.117682118853473</v>
      </c>
      <c r="I94">
        <v>0.119485229827338</v>
      </c>
      <c r="J94">
        <v>8.4195023427031598E-2</v>
      </c>
      <c r="K94">
        <v>6.7713321080665204E-2</v>
      </c>
      <c r="L94">
        <v>2049.0882812273098</v>
      </c>
      <c r="M94">
        <v>42.0758098276387</v>
      </c>
      <c r="N94">
        <v>49.025431149220601</v>
      </c>
      <c r="O94">
        <v>48.590302381491398</v>
      </c>
      <c r="P94">
        <v>-0.190099597252433</v>
      </c>
      <c r="Q94">
        <v>0.12187269092971199</v>
      </c>
      <c r="R94">
        <v>0.98983966622588404</v>
      </c>
      <c r="S94" t="s">
        <v>6379</v>
      </c>
      <c r="T94" t="s">
        <v>12568</v>
      </c>
      <c r="U94" t="s">
        <v>12568</v>
      </c>
      <c r="V94" t="s">
        <v>12568</v>
      </c>
      <c r="W94" t="s">
        <v>12662</v>
      </c>
      <c r="X94">
        <v>4</v>
      </c>
      <c r="Y94" t="s">
        <v>18890</v>
      </c>
      <c r="Z94" t="s">
        <v>24964</v>
      </c>
      <c r="AA94">
        <v>0.37919922072025553</v>
      </c>
      <c r="AB94" t="str">
        <f>HYPERLINK("Melting_Curves/meltCurve_B3KWN8_PYROXD1.pdf", "Melting_Curves/meltCurve_B3KWN8_PYROXD1.pdf")</f>
        <v>Melting_Curves/meltCurve_B3KWN8_PYROXD1.pdf</v>
      </c>
    </row>
    <row r="95" spans="1:28" x14ac:dyDescent="0.25">
      <c r="A95" t="s">
        <v>99</v>
      </c>
      <c r="B95">
        <v>0.99352677808782597</v>
      </c>
      <c r="C95">
        <v>0.91033925810988003</v>
      </c>
      <c r="D95">
        <v>0.96497813018683898</v>
      </c>
      <c r="E95">
        <v>0.378933071673413</v>
      </c>
      <c r="F95">
        <v>0.32303192453908502</v>
      </c>
      <c r="G95">
        <v>0.303078197071878</v>
      </c>
      <c r="H95">
        <v>0.174092799072357</v>
      </c>
      <c r="I95">
        <v>0.15156791895684599</v>
      </c>
      <c r="J95">
        <v>0.113833209282274</v>
      </c>
      <c r="K95">
        <v>0.10604749477396699</v>
      </c>
      <c r="L95">
        <v>1558.5898774959301</v>
      </c>
      <c r="M95">
        <v>31.9240891400263</v>
      </c>
      <c r="N95">
        <v>49.495939901241599</v>
      </c>
      <c r="O95">
        <v>48.6313735599579</v>
      </c>
      <c r="P95">
        <v>-0.135177511598464</v>
      </c>
      <c r="Q95">
        <v>0.176316687411159</v>
      </c>
      <c r="R95">
        <v>0.96251736323321402</v>
      </c>
      <c r="S95" t="s">
        <v>6380</v>
      </c>
      <c r="T95" t="s">
        <v>12568</v>
      </c>
      <c r="U95" t="s">
        <v>12568</v>
      </c>
      <c r="V95" t="s">
        <v>12568</v>
      </c>
      <c r="W95" t="s">
        <v>12663</v>
      </c>
      <c r="X95">
        <v>6</v>
      </c>
      <c r="Y95" t="s">
        <v>18891</v>
      </c>
      <c r="Z95" t="s">
        <v>24965</v>
      </c>
      <c r="AA95">
        <v>0.42293265067606728</v>
      </c>
      <c r="AB95" t="str">
        <f>HYPERLINK("Melting_Curves/meltCurve_B3KY83_RXRA.pdf", "Melting_Curves/meltCurve_B3KY83_RXRA.pdf")</f>
        <v>Melting_Curves/meltCurve_B3KY83_RXRA.pdf</v>
      </c>
    </row>
    <row r="96" spans="1:28" x14ac:dyDescent="0.25">
      <c r="A96" t="s">
        <v>100</v>
      </c>
      <c r="B96">
        <v>0.99352677808782597</v>
      </c>
      <c r="C96">
        <v>1.01755793918593</v>
      </c>
      <c r="D96">
        <v>0.95582697811131101</v>
      </c>
      <c r="E96">
        <v>1.00966534126847</v>
      </c>
      <c r="F96">
        <v>0.93766177720180799</v>
      </c>
      <c r="G96">
        <v>0.92026259092838603</v>
      </c>
      <c r="H96">
        <v>0.83311881805411503</v>
      </c>
      <c r="I96">
        <v>0.84298465695067704</v>
      </c>
      <c r="J96">
        <v>0.86704394522900397</v>
      </c>
      <c r="K96">
        <v>0.65538006588852005</v>
      </c>
      <c r="L96">
        <v>493.06565555703401</v>
      </c>
      <c r="M96">
        <v>6.1197206846834398</v>
      </c>
      <c r="Q96">
        <v>0</v>
      </c>
      <c r="R96">
        <v>0.83865504478011199</v>
      </c>
      <c r="S96" t="s">
        <v>6381</v>
      </c>
      <c r="T96" t="s">
        <v>12568</v>
      </c>
      <c r="U96" t="s">
        <v>12568</v>
      </c>
      <c r="V96" t="s">
        <v>12568</v>
      </c>
      <c r="W96" t="s">
        <v>12664</v>
      </c>
      <c r="X96">
        <v>11</v>
      </c>
      <c r="Y96" t="s">
        <v>18892</v>
      </c>
      <c r="Z96" t="s">
        <v>24966</v>
      </c>
      <c r="AA96">
        <v>0.91373364981228811</v>
      </c>
      <c r="AB96" t="str">
        <f>HYPERLINK("Melting_Curves/meltCurve_B3V0L1_ARL6IP4.pdf", "Melting_Curves/meltCurve_B3V0L1_ARL6IP4.pdf")</f>
        <v>Melting_Curves/meltCurve_B3V0L1_ARL6IP4.pdf</v>
      </c>
    </row>
    <row r="97" spans="1:28" x14ac:dyDescent="0.25">
      <c r="A97" t="s">
        <v>101</v>
      </c>
      <c r="B97">
        <v>0.99352677808782597</v>
      </c>
      <c r="C97">
        <v>0.83730495386437498</v>
      </c>
      <c r="D97">
        <v>1.0331410893141</v>
      </c>
      <c r="E97">
        <v>0.84572086584584205</v>
      </c>
      <c r="F97">
        <v>0.74546110224164597</v>
      </c>
      <c r="G97">
        <v>0.45813188523241499</v>
      </c>
      <c r="H97">
        <v>0.26177948564956299</v>
      </c>
      <c r="I97">
        <v>0.235506792484768</v>
      </c>
      <c r="J97">
        <v>0.21148136022039099</v>
      </c>
      <c r="K97">
        <v>0.171970420930047</v>
      </c>
      <c r="L97">
        <v>969.12551296960203</v>
      </c>
      <c r="M97">
        <v>17.595537700202001</v>
      </c>
      <c r="N97">
        <v>56.307055859317899</v>
      </c>
      <c r="O97">
        <v>54.3812873795776</v>
      </c>
      <c r="P97">
        <v>-6.7994080490474798E-2</v>
      </c>
      <c r="Q97">
        <v>0.159467555361261</v>
      </c>
      <c r="R97">
        <v>0.97117697964486704</v>
      </c>
      <c r="S97" t="s">
        <v>6382</v>
      </c>
      <c r="T97" t="s">
        <v>12568</v>
      </c>
      <c r="U97" t="s">
        <v>12568</v>
      </c>
      <c r="V97" t="s">
        <v>12568</v>
      </c>
      <c r="W97" t="s">
        <v>12665</v>
      </c>
      <c r="X97">
        <v>18</v>
      </c>
      <c r="Y97" t="s">
        <v>18893</v>
      </c>
      <c r="Z97" t="s">
        <v>24967</v>
      </c>
      <c r="AA97">
        <v>0.59527313443089769</v>
      </c>
      <c r="AB97" t="str">
        <f>HYPERLINK("Melting_Curves/meltCurve_B4DDF4_CNN2.pdf", "Melting_Curves/meltCurve_B4DDF4_CNN2.pdf")</f>
        <v>Melting_Curves/meltCurve_B4DDF4_CNN2.pdf</v>
      </c>
    </row>
    <row r="98" spans="1:28" x14ac:dyDescent="0.25">
      <c r="A98" t="s">
        <v>102</v>
      </c>
      <c r="B98">
        <v>0.99352677808782597</v>
      </c>
      <c r="C98">
        <v>0.68778481137499003</v>
      </c>
      <c r="D98">
        <v>0.71617819360083002</v>
      </c>
      <c r="E98">
        <v>0.452738541985369</v>
      </c>
      <c r="F98">
        <v>0.36260284655378699</v>
      </c>
      <c r="G98">
        <v>0.21436794071083201</v>
      </c>
      <c r="H98">
        <v>0.21378244493172899</v>
      </c>
      <c r="I98">
        <v>0.16519787047618201</v>
      </c>
      <c r="J98">
        <v>0.124652009289119</v>
      </c>
      <c r="K98">
        <v>9.9855354301349494E-2</v>
      </c>
      <c r="L98">
        <v>488.39885387761899</v>
      </c>
      <c r="M98">
        <v>10.0802896063537</v>
      </c>
      <c r="N98">
        <v>49.278294959229697</v>
      </c>
      <c r="O98">
        <v>46.659969177900798</v>
      </c>
      <c r="P98">
        <v>-4.9828030404968797E-2</v>
      </c>
      <c r="Q98">
        <v>7.7852577969821105E-2</v>
      </c>
      <c r="R98">
        <v>0.96653594379694396</v>
      </c>
      <c r="S98" t="s">
        <v>6383</v>
      </c>
      <c r="T98" t="s">
        <v>12568</v>
      </c>
      <c r="U98" t="s">
        <v>12568</v>
      </c>
      <c r="V98" t="s">
        <v>12568</v>
      </c>
      <c r="W98" t="s">
        <v>12666</v>
      </c>
      <c r="X98">
        <v>39</v>
      </c>
      <c r="Y98" t="s">
        <v>18894</v>
      </c>
      <c r="Z98" t="s">
        <v>24968</v>
      </c>
      <c r="AA98">
        <v>0.38417784282633077</v>
      </c>
      <c r="AB98" t="str">
        <f>HYPERLINK("Melting_Curves/meltCurve_B4DDF9_ANXA4.pdf", "Melting_Curves/meltCurve_B4DDF9_ANXA4.pdf")</f>
        <v>Melting_Curves/meltCurve_B4DDF9_ANXA4.pdf</v>
      </c>
    </row>
    <row r="99" spans="1:28" x14ac:dyDescent="0.25">
      <c r="A99" t="s">
        <v>103</v>
      </c>
      <c r="B99">
        <v>0.99352677808782597</v>
      </c>
      <c r="C99">
        <v>1.05957897187632</v>
      </c>
      <c r="D99">
        <v>0.92061988724997301</v>
      </c>
      <c r="E99">
        <v>0.87269021335750296</v>
      </c>
      <c r="F99">
        <v>0.74947682068700205</v>
      </c>
      <c r="G99">
        <v>0.56917352869822802</v>
      </c>
      <c r="H99">
        <v>0.42999828435221998</v>
      </c>
      <c r="I99">
        <v>0.168062765901621</v>
      </c>
      <c r="J99">
        <v>0.11728985695543601</v>
      </c>
      <c r="K99">
        <v>8.5177615104013005E-2</v>
      </c>
      <c r="L99">
        <v>755.05778958577298</v>
      </c>
      <c r="M99">
        <v>13.0175826311694</v>
      </c>
      <c r="N99">
        <v>58.002918924163303</v>
      </c>
      <c r="O99">
        <v>56.685310080309499</v>
      </c>
      <c r="P99">
        <v>-5.7421712595344503E-2</v>
      </c>
      <c r="Q99">
        <v>0</v>
      </c>
      <c r="R99">
        <v>0.98441989457202805</v>
      </c>
      <c r="S99" t="s">
        <v>6384</v>
      </c>
      <c r="T99" t="s">
        <v>12568</v>
      </c>
      <c r="U99" t="s">
        <v>12568</v>
      </c>
      <c r="V99" t="s">
        <v>12568</v>
      </c>
      <c r="W99" t="s">
        <v>12667</v>
      </c>
      <c r="X99">
        <v>17</v>
      </c>
      <c r="Y99" t="s">
        <v>18895</v>
      </c>
      <c r="Z99" t="s">
        <v>24969</v>
      </c>
      <c r="AA99">
        <v>0.61336852400192465</v>
      </c>
      <c r="AB99" t="str">
        <f>HYPERLINK("Melting_Curves/meltCurve_B4DDY8_HARS2.pdf", "Melting_Curves/meltCurve_B4DDY8_HARS2.pdf")</f>
        <v>Melting_Curves/meltCurve_B4DDY8_HARS2.pdf</v>
      </c>
    </row>
    <row r="100" spans="1:28" x14ac:dyDescent="0.25">
      <c r="A100" t="s">
        <v>104</v>
      </c>
      <c r="B100">
        <v>0.99352677808782597</v>
      </c>
      <c r="C100">
        <v>0.979811118593643</v>
      </c>
      <c r="D100">
        <v>0.845496052382814</v>
      </c>
      <c r="E100">
        <v>0.54127818177034404</v>
      </c>
      <c r="F100">
        <v>0.38856551202357498</v>
      </c>
      <c r="G100">
        <v>0.218168382870811</v>
      </c>
      <c r="H100">
        <v>4.7602151884362898E-2</v>
      </c>
      <c r="I100">
        <v>4.7583800097603997E-2</v>
      </c>
      <c r="J100">
        <v>4.0868257573041702E-2</v>
      </c>
      <c r="K100">
        <v>2.81078491724117E-2</v>
      </c>
      <c r="L100">
        <v>762.09059719518598</v>
      </c>
      <c r="M100">
        <v>14.925404505771199</v>
      </c>
      <c r="N100">
        <v>51.103586765894903</v>
      </c>
      <c r="O100">
        <v>50.169677365619002</v>
      </c>
      <c r="P100">
        <v>-7.3911475360995696E-2</v>
      </c>
      <c r="Q100">
        <v>6.3300351694945004E-3</v>
      </c>
      <c r="R100">
        <v>0.99563511052151898</v>
      </c>
      <c r="S100" t="s">
        <v>6385</v>
      </c>
      <c r="T100" t="s">
        <v>12568</v>
      </c>
      <c r="U100" t="s">
        <v>12568</v>
      </c>
      <c r="V100" t="s">
        <v>12568</v>
      </c>
      <c r="W100" t="s">
        <v>12668</v>
      </c>
      <c r="X100">
        <v>3</v>
      </c>
      <c r="Y100" t="s">
        <v>18896</v>
      </c>
      <c r="Z100" t="s">
        <v>24970</v>
      </c>
      <c r="AA100">
        <v>0.39576544771567418</v>
      </c>
      <c r="AB100" t="str">
        <f>HYPERLINK("Melting_Curves/meltCurve_B4DDZ0_MON1B.pdf", "Melting_Curves/meltCurve_B4DDZ0_MON1B.pdf")</f>
        <v>Melting_Curves/meltCurve_B4DDZ0_MON1B.pdf</v>
      </c>
    </row>
    <row r="101" spans="1:28" x14ac:dyDescent="0.25">
      <c r="A101" t="s">
        <v>105</v>
      </c>
      <c r="B101">
        <v>0.99352677808782597</v>
      </c>
      <c r="C101">
        <v>1.0163907827077401</v>
      </c>
      <c r="D101">
        <v>0.62311027206231795</v>
      </c>
      <c r="E101">
        <v>0.41269284271301299</v>
      </c>
      <c r="F101">
        <v>0.25010892948215002</v>
      </c>
      <c r="G101">
        <v>0.146956829178292</v>
      </c>
      <c r="H101">
        <v>8.57173439420124E-2</v>
      </c>
      <c r="I101">
        <v>7.9192908590553404E-2</v>
      </c>
      <c r="J101">
        <v>6.5360377056400507E-2</v>
      </c>
      <c r="K101">
        <v>5.3122351586899097E-2</v>
      </c>
      <c r="L101">
        <v>829.20221123787405</v>
      </c>
      <c r="M101">
        <v>17.199021073405</v>
      </c>
      <c r="N101">
        <v>48.614895268114601</v>
      </c>
      <c r="O101">
        <v>47.574554247855403</v>
      </c>
      <c r="P101">
        <v>-8.4383727817290297E-2</v>
      </c>
      <c r="Q101">
        <v>6.6393082159790104E-2</v>
      </c>
      <c r="R101">
        <v>0.98151900250997304</v>
      </c>
      <c r="S101" t="s">
        <v>6386</v>
      </c>
      <c r="T101" t="s">
        <v>12568</v>
      </c>
      <c r="U101" t="s">
        <v>12568</v>
      </c>
      <c r="V101" t="s">
        <v>12568</v>
      </c>
      <c r="W101" t="s">
        <v>12669</v>
      </c>
      <c r="X101">
        <v>21</v>
      </c>
      <c r="Y101" t="s">
        <v>18897</v>
      </c>
      <c r="Z101" t="s">
        <v>24971</v>
      </c>
      <c r="AA101">
        <v>0.34003866009213718</v>
      </c>
      <c r="AB101" t="str">
        <f>HYPERLINK("Melting_Curves/meltCurve_B4DEK4_SNX2.pdf", "Melting_Curves/meltCurve_B4DEK4_SNX2.pdf")</f>
        <v>Melting_Curves/meltCurve_B4DEK4_SNX2.pdf</v>
      </c>
    </row>
    <row r="102" spans="1:28" x14ac:dyDescent="0.25">
      <c r="A102" t="s">
        <v>106</v>
      </c>
      <c r="B102">
        <v>0.99352677808782597</v>
      </c>
      <c r="C102">
        <v>1.0190586710074301</v>
      </c>
      <c r="D102">
        <v>0.95501224343242397</v>
      </c>
      <c r="E102">
        <v>0.990180731027691</v>
      </c>
      <c r="F102">
        <v>0.91919771641697101</v>
      </c>
      <c r="G102">
        <v>0.78076857319679205</v>
      </c>
      <c r="H102">
        <v>0.43373633924873101</v>
      </c>
      <c r="I102">
        <v>0.24258334015831801</v>
      </c>
      <c r="J102">
        <v>0.14371976480664</v>
      </c>
      <c r="K102">
        <v>0.119198762445707</v>
      </c>
      <c r="L102">
        <v>1328.61922355614</v>
      </c>
      <c r="M102">
        <v>22.228781128291399</v>
      </c>
      <c r="N102">
        <v>60.206538524218097</v>
      </c>
      <c r="O102">
        <v>59.292813366718697</v>
      </c>
      <c r="P102">
        <v>-8.6753727606880895E-2</v>
      </c>
      <c r="Q102">
        <v>7.4396191257530594E-2</v>
      </c>
      <c r="R102">
        <v>0.99720436141137903</v>
      </c>
      <c r="S102" t="s">
        <v>6387</v>
      </c>
      <c r="T102" t="s">
        <v>12568</v>
      </c>
      <c r="U102" t="s">
        <v>12568</v>
      </c>
      <c r="V102" t="s">
        <v>12568</v>
      </c>
      <c r="W102" t="s">
        <v>12670</v>
      </c>
      <c r="X102">
        <v>17</v>
      </c>
      <c r="Y102" t="s">
        <v>18898</v>
      </c>
      <c r="Z102" t="s">
        <v>24972</v>
      </c>
      <c r="AA102">
        <v>0.69213184066487998</v>
      </c>
      <c r="AB102" t="str">
        <f>HYPERLINK("Melting_Curves/meltCurve_B4DGU4_CTNNB1.pdf", "Melting_Curves/meltCurve_B4DGU4_CTNNB1.pdf")</f>
        <v>Melting_Curves/meltCurve_B4DGU4_CTNNB1.pdf</v>
      </c>
    </row>
    <row r="103" spans="1:28" x14ac:dyDescent="0.25">
      <c r="A103" t="s">
        <v>107</v>
      </c>
      <c r="B103">
        <v>0.99352677808782597</v>
      </c>
      <c r="C103">
        <v>0.94456116351702002</v>
      </c>
      <c r="D103">
        <v>0.88159366038230302</v>
      </c>
      <c r="E103">
        <v>0.53903046509090202</v>
      </c>
      <c r="F103">
        <v>0.50149894625183</v>
      </c>
      <c r="G103">
        <v>0.27724221738156402</v>
      </c>
      <c r="H103">
        <v>0.160002393519176</v>
      </c>
      <c r="I103">
        <v>6.9198513353465205E-2</v>
      </c>
      <c r="J103">
        <v>9.9891743806528502E-2</v>
      </c>
      <c r="K103">
        <v>7.1087959015275107E-2</v>
      </c>
      <c r="L103">
        <v>659.87586542405995</v>
      </c>
      <c r="M103">
        <v>12.7345428239428</v>
      </c>
      <c r="N103">
        <v>52.0910626460009</v>
      </c>
      <c r="O103">
        <v>50.589842663475899</v>
      </c>
      <c r="P103">
        <v>-6.09086035062643E-2</v>
      </c>
      <c r="Q103">
        <v>3.23117313555999E-2</v>
      </c>
      <c r="R103">
        <v>0.98823083655480604</v>
      </c>
      <c r="S103" t="s">
        <v>6388</v>
      </c>
      <c r="T103" t="s">
        <v>12568</v>
      </c>
      <c r="U103" t="s">
        <v>12568</v>
      </c>
      <c r="V103" t="s">
        <v>12568</v>
      </c>
      <c r="W103" t="s">
        <v>12671</v>
      </c>
      <c r="X103">
        <v>9</v>
      </c>
      <c r="Y103" t="s">
        <v>18899</v>
      </c>
      <c r="Z103" t="s">
        <v>24973</v>
      </c>
      <c r="AA103">
        <v>0.44118333047932151</v>
      </c>
      <c r="AB103" t="str">
        <f>HYPERLINK("Melting_Curves/meltCurve_B4DGX2_PIP4K2A.pdf", "Melting_Curves/meltCurve_B4DGX2_PIP4K2A.pdf")</f>
        <v>Melting_Curves/meltCurve_B4DGX2_PIP4K2A.pdf</v>
      </c>
    </row>
    <row r="104" spans="1:28" x14ac:dyDescent="0.25">
      <c r="A104" t="s">
        <v>108</v>
      </c>
      <c r="B104">
        <v>0.99352677808782597</v>
      </c>
      <c r="C104">
        <v>1.0053850880052</v>
      </c>
      <c r="D104">
        <v>0.90644136838904998</v>
      </c>
      <c r="E104">
        <v>0.38564019190330801</v>
      </c>
      <c r="F104">
        <v>0.30973705373730898</v>
      </c>
      <c r="G104">
        <v>0.21364319934634299</v>
      </c>
      <c r="H104">
        <v>0.16682247872603501</v>
      </c>
      <c r="I104">
        <v>0.161143075291592</v>
      </c>
      <c r="J104">
        <v>0.15925504102033</v>
      </c>
      <c r="K104">
        <v>0.116359677020487</v>
      </c>
      <c r="L104">
        <v>1461.7389966317101</v>
      </c>
      <c r="M104">
        <v>30.012905781565902</v>
      </c>
      <c r="N104">
        <v>49.382297354225997</v>
      </c>
      <c r="O104">
        <v>48.4889960184152</v>
      </c>
      <c r="P104">
        <v>-0.12859298853295101</v>
      </c>
      <c r="Q104">
        <v>0.16898362275780399</v>
      </c>
      <c r="R104">
        <v>0.98978395900215999</v>
      </c>
      <c r="S104" t="s">
        <v>6389</v>
      </c>
      <c r="T104" t="s">
        <v>12568</v>
      </c>
      <c r="U104" t="s">
        <v>12568</v>
      </c>
      <c r="V104" t="s">
        <v>12568</v>
      </c>
      <c r="W104" t="s">
        <v>12672</v>
      </c>
      <c r="X104">
        <v>17</v>
      </c>
      <c r="Y104" t="s">
        <v>18900</v>
      </c>
      <c r="Z104" t="s">
        <v>24974</v>
      </c>
      <c r="AA104">
        <v>0.41511682321160098</v>
      </c>
      <c r="AB104" t="str">
        <f>HYPERLINK("Melting_Curves/meltCurve_B4DH53_MAP1S.pdf", "Melting_Curves/meltCurve_B4DH53_MAP1S.pdf")</f>
        <v>Melting_Curves/meltCurve_B4DH53_MAP1S.pdf</v>
      </c>
    </row>
    <row r="105" spans="1:28" x14ac:dyDescent="0.25">
      <c r="A105" t="s">
        <v>109</v>
      </c>
      <c r="B105">
        <v>0.99352677808782597</v>
      </c>
      <c r="C105">
        <v>0.77774653598654697</v>
      </c>
      <c r="D105">
        <v>0.71771814798792</v>
      </c>
      <c r="E105">
        <v>0.25541824745122199</v>
      </c>
      <c r="F105">
        <v>0.285113923078536</v>
      </c>
      <c r="G105">
        <v>0.14775198336991199</v>
      </c>
      <c r="H105">
        <v>8.5475772769413705E-2</v>
      </c>
      <c r="I105">
        <v>8.9951591570413797E-2</v>
      </c>
      <c r="J105">
        <v>7.8143926385930498E-2</v>
      </c>
      <c r="K105">
        <v>6.8604450787694504E-2</v>
      </c>
      <c r="L105">
        <v>747.30382384482198</v>
      </c>
      <c r="M105">
        <v>15.7902765196493</v>
      </c>
      <c r="N105">
        <v>47.804644577171999</v>
      </c>
      <c r="O105">
        <v>46.5872977289091</v>
      </c>
      <c r="P105">
        <v>-7.8555753533415901E-2</v>
      </c>
      <c r="Q105">
        <v>7.3000077416206705E-2</v>
      </c>
      <c r="R105">
        <v>0.97481991184265404</v>
      </c>
      <c r="S105" t="s">
        <v>6390</v>
      </c>
      <c r="T105" t="s">
        <v>12568</v>
      </c>
      <c r="U105" t="s">
        <v>12568</v>
      </c>
      <c r="V105" t="s">
        <v>12568</v>
      </c>
      <c r="W105" t="s">
        <v>12673</v>
      </c>
      <c r="X105">
        <v>5</v>
      </c>
      <c r="Y105" t="s">
        <v>18901</v>
      </c>
      <c r="Z105" t="s">
        <v>24975</v>
      </c>
      <c r="AA105">
        <v>0.32162666690583208</v>
      </c>
      <c r="AB105" t="str">
        <f>HYPERLINK("Melting_Curves/meltCurve_B4DIL8_TSC2.pdf", "Melting_Curves/meltCurve_B4DIL8_TSC2.pdf")</f>
        <v>Melting_Curves/meltCurve_B4DIL8_TSC2.pdf</v>
      </c>
    </row>
    <row r="106" spans="1:28" x14ac:dyDescent="0.25">
      <c r="A106" t="s">
        <v>110</v>
      </c>
      <c r="B106">
        <v>0.99352677808782597</v>
      </c>
      <c r="C106">
        <v>1.00532591545424</v>
      </c>
      <c r="D106">
        <v>0.96687294468810003</v>
      </c>
      <c r="E106">
        <v>0.81364297278927999</v>
      </c>
      <c r="F106">
        <v>0.71999465999507395</v>
      </c>
      <c r="G106">
        <v>0.40010569915792799</v>
      </c>
      <c r="H106">
        <v>0.20127152868790499</v>
      </c>
      <c r="I106">
        <v>0.118497087470523</v>
      </c>
      <c r="J106">
        <v>7.5577587701389795E-2</v>
      </c>
      <c r="K106">
        <v>7.0659976915088102E-2</v>
      </c>
      <c r="L106">
        <v>888.53867112660896</v>
      </c>
      <c r="M106">
        <v>16.025351246411599</v>
      </c>
      <c r="N106">
        <v>55.607080174555001</v>
      </c>
      <c r="O106">
        <v>54.603972098017699</v>
      </c>
      <c r="P106">
        <v>-7.1710447171123196E-2</v>
      </c>
      <c r="Q106">
        <v>2.27057736237723E-2</v>
      </c>
      <c r="R106">
        <v>0.99757215165827395</v>
      </c>
      <c r="S106" t="s">
        <v>6391</v>
      </c>
      <c r="T106" t="s">
        <v>12568</v>
      </c>
      <c r="U106" t="s">
        <v>12568</v>
      </c>
      <c r="V106" t="s">
        <v>12568</v>
      </c>
      <c r="W106" t="s">
        <v>12674</v>
      </c>
      <c r="X106">
        <v>1</v>
      </c>
      <c r="Y106" t="s">
        <v>18902</v>
      </c>
      <c r="Z106" t="s">
        <v>24976</v>
      </c>
      <c r="AA106">
        <v>0.54289064719405711</v>
      </c>
      <c r="AB106" t="str">
        <f>HYPERLINK("Melting_Curves/meltCurve_B4DIU3_PADI2.pdf", "Melting_Curves/meltCurve_B4DIU3_PADI2.pdf")</f>
        <v>Melting_Curves/meltCurve_B4DIU3_PADI2.pdf</v>
      </c>
    </row>
    <row r="107" spans="1:28" x14ac:dyDescent="0.25">
      <c r="A107" t="s">
        <v>111</v>
      </c>
      <c r="B107">
        <v>0.99352677808782597</v>
      </c>
      <c r="C107">
        <v>1.08345083921554</v>
      </c>
      <c r="D107">
        <v>1.06600944825783</v>
      </c>
      <c r="E107">
        <v>0.65104814857771098</v>
      </c>
      <c r="F107">
        <v>0.58318967232512697</v>
      </c>
      <c r="G107">
        <v>0.34731035079178102</v>
      </c>
      <c r="H107">
        <v>0.24539749366750599</v>
      </c>
      <c r="I107">
        <v>0.144024488164118</v>
      </c>
      <c r="J107">
        <v>0.119308692776301</v>
      </c>
      <c r="K107">
        <v>7.4894336004643E-2</v>
      </c>
      <c r="L107">
        <v>840.819303814107</v>
      </c>
      <c r="M107">
        <v>15.7576057688722</v>
      </c>
      <c r="N107">
        <v>54.020491799054298</v>
      </c>
      <c r="O107">
        <v>52.5223992223398</v>
      </c>
      <c r="P107">
        <v>-6.8434308964230001E-2</v>
      </c>
      <c r="Q107">
        <v>8.7670129390439597E-2</v>
      </c>
      <c r="R107">
        <v>0.96910927199475505</v>
      </c>
      <c r="S107" t="s">
        <v>6392</v>
      </c>
      <c r="T107" t="s">
        <v>12568</v>
      </c>
      <c r="U107" t="s">
        <v>12568</v>
      </c>
      <c r="V107" t="s">
        <v>12568</v>
      </c>
      <c r="W107" t="s">
        <v>12675</v>
      </c>
      <c r="X107">
        <v>8</v>
      </c>
      <c r="Y107" t="s">
        <v>18903</v>
      </c>
      <c r="Z107" t="s">
        <v>24977</v>
      </c>
      <c r="AA107">
        <v>0.51201080450997338</v>
      </c>
      <c r="AB107" t="str">
        <f>HYPERLINK("Melting_Curves/meltCurve_B4DJA5_RAB5A.pdf", "Melting_Curves/meltCurve_B4DJA5_RAB5A.pdf")</f>
        <v>Melting_Curves/meltCurve_B4DJA5_RAB5A.pdf</v>
      </c>
    </row>
    <row r="108" spans="1:28" x14ac:dyDescent="0.25">
      <c r="A108" t="s">
        <v>112</v>
      </c>
      <c r="B108">
        <v>0.99352677808782597</v>
      </c>
      <c r="C108">
        <v>0.98284611319741499</v>
      </c>
      <c r="D108">
        <v>0.95698628266463504</v>
      </c>
      <c r="E108">
        <v>1.0558307644200999</v>
      </c>
      <c r="F108">
        <v>0.83981215671666398</v>
      </c>
      <c r="G108">
        <v>0.74460265399283798</v>
      </c>
      <c r="H108">
        <v>0.65222656203670104</v>
      </c>
      <c r="I108">
        <v>0.57998041482382401</v>
      </c>
      <c r="J108">
        <v>0.60466442788752395</v>
      </c>
      <c r="K108">
        <v>0.38709366745867602</v>
      </c>
      <c r="L108">
        <v>614.97976795564102</v>
      </c>
      <c r="M108">
        <v>9.9472029164663294</v>
      </c>
      <c r="N108">
        <v>67.4277918214446</v>
      </c>
      <c r="O108">
        <v>59.481416047078604</v>
      </c>
      <c r="P108">
        <v>-3.0064846052837799E-2</v>
      </c>
      <c r="Q108">
        <v>0.28124016526287399</v>
      </c>
      <c r="R108">
        <v>0.92819927622153198</v>
      </c>
      <c r="S108" t="s">
        <v>6393</v>
      </c>
      <c r="T108" t="s">
        <v>12568</v>
      </c>
      <c r="U108" t="s">
        <v>12568</v>
      </c>
      <c r="V108" t="s">
        <v>12568</v>
      </c>
      <c r="W108" t="s">
        <v>12676</v>
      </c>
      <c r="X108">
        <v>4</v>
      </c>
      <c r="Y108" t="s">
        <v>18904</v>
      </c>
      <c r="Z108" t="s">
        <v>24978</v>
      </c>
      <c r="AA108">
        <v>0.78984312945098434</v>
      </c>
      <c r="AB108" t="str">
        <f>HYPERLINK("Melting_Curves/meltCurve_B4DJP7_SNRPD3.pdf", "Melting_Curves/meltCurve_B4DJP7_SNRPD3.pdf")</f>
        <v>Melting_Curves/meltCurve_B4DJP7_SNRPD3.pdf</v>
      </c>
    </row>
    <row r="109" spans="1:28" x14ac:dyDescent="0.25">
      <c r="A109" t="s">
        <v>113</v>
      </c>
      <c r="B109">
        <v>0.99352677808782597</v>
      </c>
      <c r="C109">
        <v>0.949450980929337</v>
      </c>
      <c r="D109">
        <v>0.810914414351669</v>
      </c>
      <c r="E109">
        <v>0.33769733032413002</v>
      </c>
      <c r="F109">
        <v>0.252571453216832</v>
      </c>
      <c r="G109">
        <v>0.10597385673253699</v>
      </c>
      <c r="H109">
        <v>8.1661912133996498E-2</v>
      </c>
      <c r="I109">
        <v>7.0937771482442999E-2</v>
      </c>
      <c r="J109">
        <v>6.2660045582383805E-2</v>
      </c>
      <c r="K109">
        <v>4.3899887284825703E-2</v>
      </c>
      <c r="L109">
        <v>1060.5779085701299</v>
      </c>
      <c r="M109">
        <v>21.850685083892198</v>
      </c>
      <c r="N109">
        <v>48.857671408484499</v>
      </c>
      <c r="O109">
        <v>48.136480114040502</v>
      </c>
      <c r="P109">
        <v>-0.105915781820707</v>
      </c>
      <c r="Q109">
        <v>6.6703085884437602E-2</v>
      </c>
      <c r="R109">
        <v>0.99467338178025899</v>
      </c>
      <c r="S109" t="s">
        <v>6394</v>
      </c>
      <c r="T109" t="s">
        <v>12568</v>
      </c>
      <c r="U109" t="s">
        <v>12568</v>
      </c>
      <c r="V109" t="s">
        <v>12568</v>
      </c>
      <c r="W109" t="s">
        <v>12677</v>
      </c>
      <c r="X109">
        <v>16</v>
      </c>
      <c r="Y109" t="s">
        <v>18905</v>
      </c>
      <c r="Z109" t="s">
        <v>24979</v>
      </c>
      <c r="AA109">
        <v>0.34323629214156282</v>
      </c>
      <c r="AB109" t="str">
        <f>HYPERLINK("Melting_Curves/meltCurve_B4DJV2_CS.pdf", "Melting_Curves/meltCurve_B4DJV2_CS.pdf")</f>
        <v>Melting_Curves/meltCurve_B4DJV2_CS.pdf</v>
      </c>
    </row>
    <row r="110" spans="1:28" x14ac:dyDescent="0.25">
      <c r="A110" t="s">
        <v>114</v>
      </c>
      <c r="B110">
        <v>0.99352677808782597</v>
      </c>
      <c r="C110">
        <v>0.98709043052646495</v>
      </c>
      <c r="D110">
        <v>1.07295574554843</v>
      </c>
      <c r="E110">
        <v>0.87286602214311104</v>
      </c>
      <c r="F110">
        <v>0.74518970430544196</v>
      </c>
      <c r="G110">
        <v>0.77416008770004197</v>
      </c>
      <c r="H110">
        <v>0.64638898018993496</v>
      </c>
      <c r="I110">
        <v>0.28073260877295902</v>
      </c>
      <c r="J110">
        <v>0.15184923014506399</v>
      </c>
      <c r="K110">
        <v>9.5981105665762706E-2</v>
      </c>
      <c r="L110">
        <v>887.22448923238096</v>
      </c>
      <c r="M110">
        <v>14.5418261584042</v>
      </c>
      <c r="N110">
        <v>61.011903196626797</v>
      </c>
      <c r="O110">
        <v>59.892952393560599</v>
      </c>
      <c r="P110">
        <v>-6.0706181575762498E-2</v>
      </c>
      <c r="Q110">
        <v>0</v>
      </c>
      <c r="R110">
        <v>0.94066767408470897</v>
      </c>
      <c r="S110" t="s">
        <v>6395</v>
      </c>
      <c r="T110" t="s">
        <v>12568</v>
      </c>
      <c r="U110" t="s">
        <v>12568</v>
      </c>
      <c r="V110" t="s">
        <v>12568</v>
      </c>
      <c r="W110" t="s">
        <v>12678</v>
      </c>
      <c r="X110">
        <v>2</v>
      </c>
      <c r="Y110" t="s">
        <v>18906</v>
      </c>
      <c r="Z110" t="s">
        <v>24980</v>
      </c>
      <c r="AA110">
        <v>0.70212844230442217</v>
      </c>
      <c r="AB110" t="str">
        <f>HYPERLINK("Melting_Curves/meltCurve_B4DJV5_PWP1.pdf", "Melting_Curves/meltCurve_B4DJV5_PWP1.pdf")</f>
        <v>Melting_Curves/meltCurve_B4DJV5_PWP1.pdf</v>
      </c>
    </row>
    <row r="111" spans="1:28" x14ac:dyDescent="0.25">
      <c r="A111" t="s">
        <v>115</v>
      </c>
      <c r="B111">
        <v>0.99352677808782597</v>
      </c>
      <c r="C111">
        <v>0.95127896556825697</v>
      </c>
      <c r="D111">
        <v>0.99613693688349603</v>
      </c>
      <c r="E111">
        <v>0.92349880354792702</v>
      </c>
      <c r="F111">
        <v>0.85795705198752403</v>
      </c>
      <c r="G111">
        <v>0.85552683697538101</v>
      </c>
      <c r="H111">
        <v>0.76761475163178405</v>
      </c>
      <c r="I111">
        <v>0.87869986924030796</v>
      </c>
      <c r="J111">
        <v>0.82949440588144796</v>
      </c>
      <c r="K111">
        <v>0.77035530122711204</v>
      </c>
      <c r="L111">
        <v>876.21070841376195</v>
      </c>
      <c r="M111">
        <v>17.211709605351</v>
      </c>
      <c r="O111">
        <v>50.235538569305703</v>
      </c>
      <c r="P111">
        <v>-1.6341713204178099E-2</v>
      </c>
      <c r="Q111">
        <v>0.80922610542658302</v>
      </c>
      <c r="R111">
        <v>0.81089242788882798</v>
      </c>
      <c r="S111" t="s">
        <v>6396</v>
      </c>
      <c r="T111" t="s">
        <v>12568</v>
      </c>
      <c r="U111" t="s">
        <v>12568</v>
      </c>
      <c r="V111" t="s">
        <v>12568</v>
      </c>
      <c r="W111" t="s">
        <v>12679</v>
      </c>
      <c r="X111">
        <v>4</v>
      </c>
      <c r="Y111" t="s">
        <v>18907</v>
      </c>
      <c r="Z111" t="s">
        <v>24981</v>
      </c>
      <c r="AA111">
        <v>0.88207780549242232</v>
      </c>
      <c r="AB111" t="str">
        <f>HYPERLINK("Melting_Curves/meltCurve_B4DKF9_ZNF286A.pdf", "Melting_Curves/meltCurve_B4DKF9_ZNF286A.pdf")</f>
        <v>Melting_Curves/meltCurve_B4DKF9_ZNF286A.pdf</v>
      </c>
    </row>
    <row r="112" spans="1:28" x14ac:dyDescent="0.25">
      <c r="A112" t="s">
        <v>116</v>
      </c>
      <c r="B112">
        <v>0.99352677808782597</v>
      </c>
      <c r="C112">
        <v>0.89697539014822603</v>
      </c>
      <c r="D112">
        <v>0.960184703563428</v>
      </c>
      <c r="E112">
        <v>0.88171604628003697</v>
      </c>
      <c r="F112">
        <v>0.823950485128077</v>
      </c>
      <c r="G112">
        <v>0.72601506444701602</v>
      </c>
      <c r="H112">
        <v>0.71580150464298298</v>
      </c>
      <c r="I112">
        <v>0.75865002230296597</v>
      </c>
      <c r="J112">
        <v>0.75563535027537598</v>
      </c>
      <c r="K112">
        <v>0.70509877981567004</v>
      </c>
      <c r="L112">
        <v>579.43263735821699</v>
      </c>
      <c r="M112">
        <v>11.494754509847001</v>
      </c>
      <c r="O112">
        <v>48.955191360975903</v>
      </c>
      <c r="P112">
        <v>-1.7143313208408499E-2</v>
      </c>
      <c r="Q112">
        <v>0.70803543038204597</v>
      </c>
      <c r="R112">
        <v>0.89110583445239799</v>
      </c>
      <c r="S112" t="s">
        <v>6397</v>
      </c>
      <c r="T112" t="s">
        <v>12568</v>
      </c>
      <c r="U112" t="s">
        <v>12568</v>
      </c>
      <c r="V112" t="s">
        <v>12568</v>
      </c>
      <c r="W112" t="s">
        <v>12680</v>
      </c>
      <c r="X112">
        <v>8</v>
      </c>
      <c r="Y112" t="s">
        <v>18908</v>
      </c>
      <c r="Z112" t="s">
        <v>24982</v>
      </c>
      <c r="AA112">
        <v>0.81984994163614322</v>
      </c>
      <c r="AB112" t="str">
        <f>HYPERLINK("Melting_Curves/meltCurve_B4DKL4_LSR.pdf", "Melting_Curves/meltCurve_B4DKL4_LSR.pdf")</f>
        <v>Melting_Curves/meltCurve_B4DKL4_LSR.pdf</v>
      </c>
    </row>
    <row r="113" spans="1:28" x14ac:dyDescent="0.25">
      <c r="A113" t="s">
        <v>117</v>
      </c>
      <c r="B113">
        <v>0.99352677808782597</v>
      </c>
      <c r="C113">
        <v>0.91104985308771702</v>
      </c>
      <c r="D113">
        <v>0.78659831977310701</v>
      </c>
      <c r="E113">
        <v>0.46301653155043898</v>
      </c>
      <c r="F113">
        <v>0.40847513721890799</v>
      </c>
      <c r="G113">
        <v>0.24024365604370801</v>
      </c>
      <c r="H113">
        <v>0.147440037796125</v>
      </c>
      <c r="I113">
        <v>0.15527118930921299</v>
      </c>
      <c r="J113">
        <v>0.13779801288382801</v>
      </c>
      <c r="K113">
        <v>8.9004767232271104E-2</v>
      </c>
      <c r="L113">
        <v>682.94338760878497</v>
      </c>
      <c r="M113">
        <v>13.7814613800792</v>
      </c>
      <c r="N113">
        <v>50.384025918034801</v>
      </c>
      <c r="O113">
        <v>48.5467757067157</v>
      </c>
      <c r="P113">
        <v>-6.3781173362262605E-2</v>
      </c>
      <c r="Q113">
        <v>0.10142048600640099</v>
      </c>
      <c r="R113">
        <v>0.99218160734014405</v>
      </c>
      <c r="S113" t="s">
        <v>6398</v>
      </c>
      <c r="T113" t="s">
        <v>12568</v>
      </c>
      <c r="U113" t="s">
        <v>12568</v>
      </c>
      <c r="V113" t="s">
        <v>12568</v>
      </c>
      <c r="W113" t="s">
        <v>12681</v>
      </c>
      <c r="X113">
        <v>1</v>
      </c>
      <c r="Y113" t="s">
        <v>18909</v>
      </c>
      <c r="Z113" t="s">
        <v>24983</v>
      </c>
      <c r="AA113">
        <v>0.41292162874320382</v>
      </c>
      <c r="AB113" t="str">
        <f>HYPERLINK("Melting_Curves/meltCurve_B4DL05_SHQ1.pdf", "Melting_Curves/meltCurve_B4DL05_SHQ1.pdf")</f>
        <v>Melting_Curves/meltCurve_B4DL05_SHQ1.pdf</v>
      </c>
    </row>
    <row r="114" spans="1:28" x14ac:dyDescent="0.25">
      <c r="A114" t="s">
        <v>118</v>
      </c>
      <c r="B114">
        <v>0.99352677808782597</v>
      </c>
      <c r="C114">
        <v>0.95304785995442598</v>
      </c>
      <c r="D114">
        <v>1.3709261767101499</v>
      </c>
      <c r="E114">
        <v>0.20056795640615399</v>
      </c>
      <c r="F114">
        <v>0.13510997356743801</v>
      </c>
      <c r="G114">
        <v>6.3608838547687396E-2</v>
      </c>
      <c r="H114">
        <v>2.13623690929787E-2</v>
      </c>
      <c r="I114">
        <v>2.9188229459507001E-2</v>
      </c>
      <c r="J114">
        <v>2.3608642331023E-2</v>
      </c>
      <c r="K114">
        <v>2.1101812272133799E-2</v>
      </c>
      <c r="L114">
        <v>8591.1425796503008</v>
      </c>
      <c r="M114">
        <v>173.48557926055801</v>
      </c>
      <c r="N114">
        <v>49.550250056924398</v>
      </c>
      <c r="O114">
        <v>49.514206763453203</v>
      </c>
      <c r="P114">
        <v>-0.83302343703425896</v>
      </c>
      <c r="Q114">
        <v>4.8993106577396098E-2</v>
      </c>
      <c r="R114">
        <v>0.937129863932471</v>
      </c>
      <c r="S114" t="s">
        <v>6399</v>
      </c>
      <c r="T114" t="s">
        <v>12568</v>
      </c>
      <c r="U114" t="s">
        <v>12568</v>
      </c>
      <c r="V114" t="s">
        <v>12568</v>
      </c>
      <c r="W114" t="s">
        <v>12682</v>
      </c>
      <c r="X114">
        <v>1</v>
      </c>
      <c r="Y114" t="s">
        <v>18910</v>
      </c>
      <c r="Z114" t="s">
        <v>24984</v>
      </c>
      <c r="AA114">
        <v>0.35097594438084051</v>
      </c>
      <c r="AB114" t="str">
        <f>HYPERLINK("Melting_Curves/meltCurve_B4DL14_ATP5C1.pdf", "Melting_Curves/meltCurve_B4DL14_ATP5C1.pdf")</f>
        <v>Melting_Curves/meltCurve_B4DL14_ATP5C1.pdf</v>
      </c>
    </row>
    <row r="115" spans="1:28" x14ac:dyDescent="0.25">
      <c r="A115" t="s">
        <v>119</v>
      </c>
      <c r="B115">
        <v>0.99352677808782597</v>
      </c>
      <c r="C115">
        <v>0.97207142937088697</v>
      </c>
      <c r="D115">
        <v>1.00712512927229</v>
      </c>
      <c r="E115">
        <v>0.66878222251174402</v>
      </c>
      <c r="F115">
        <v>0.58913408093636599</v>
      </c>
      <c r="G115">
        <v>0.40960934502115098</v>
      </c>
      <c r="H115">
        <v>0.27717142858011001</v>
      </c>
      <c r="I115">
        <v>0.243145477493215</v>
      </c>
      <c r="J115">
        <v>0.220488540636012</v>
      </c>
      <c r="K115">
        <v>0.15351556268932401</v>
      </c>
      <c r="L115">
        <v>752.10936984756904</v>
      </c>
      <c r="M115">
        <v>14.206491300180099</v>
      </c>
      <c r="N115">
        <v>54.472230817655202</v>
      </c>
      <c r="O115">
        <v>51.925385390886703</v>
      </c>
      <c r="P115">
        <v>-5.7147374599930301E-2</v>
      </c>
      <c r="Q115">
        <v>0.16459917362802401</v>
      </c>
      <c r="R115">
        <v>0.98340014982643897</v>
      </c>
      <c r="S115" t="s">
        <v>6400</v>
      </c>
      <c r="T115" t="s">
        <v>12568</v>
      </c>
      <c r="U115" t="s">
        <v>12568</v>
      </c>
      <c r="V115" t="s">
        <v>12568</v>
      </c>
      <c r="W115" t="s">
        <v>12683</v>
      </c>
      <c r="X115">
        <v>7</v>
      </c>
      <c r="Y115" t="s">
        <v>18911</v>
      </c>
      <c r="Z115" t="s">
        <v>24985</v>
      </c>
      <c r="AA115">
        <v>0.54438157555195821</v>
      </c>
      <c r="AB115" t="str">
        <f>HYPERLINK("Melting_Curves/meltCurve_B4DL54_CHURC1_FNTB.pdf", "Melting_Curves/meltCurve_B4DL54_CHURC1_FNTB.pdf")</f>
        <v>Melting_Curves/meltCurve_B4DL54_CHURC1_FNTB.pdf</v>
      </c>
    </row>
    <row r="116" spans="1:28" x14ac:dyDescent="0.25">
      <c r="A116" t="s">
        <v>120</v>
      </c>
      <c r="B116">
        <v>0.99352677808782597</v>
      </c>
      <c r="C116">
        <v>1.0254422569104999</v>
      </c>
      <c r="D116">
        <v>1.01421145532354</v>
      </c>
      <c r="E116">
        <v>0.89574607642550297</v>
      </c>
      <c r="F116">
        <v>0.78537429987145402</v>
      </c>
      <c r="G116">
        <v>0.71275608562318205</v>
      </c>
      <c r="H116">
        <v>0.63799465205027495</v>
      </c>
      <c r="I116">
        <v>0.67798741379645699</v>
      </c>
      <c r="J116">
        <v>0.67807928823169195</v>
      </c>
      <c r="K116">
        <v>0.64382312475750902</v>
      </c>
      <c r="L116">
        <v>1309.2846244618499</v>
      </c>
      <c r="M116">
        <v>25.2283516956991</v>
      </c>
      <c r="O116">
        <v>51.574561294143798</v>
      </c>
      <c r="P116">
        <v>-4.1518505643930302E-2</v>
      </c>
      <c r="Q116">
        <v>0.66049763483647606</v>
      </c>
      <c r="R116">
        <v>0.983953199474351</v>
      </c>
      <c r="S116" t="s">
        <v>6401</v>
      </c>
      <c r="T116" t="s">
        <v>12568</v>
      </c>
      <c r="U116" t="s">
        <v>12568</v>
      </c>
      <c r="V116" t="s">
        <v>12568</v>
      </c>
      <c r="W116" t="s">
        <v>12684</v>
      </c>
      <c r="X116">
        <v>20</v>
      </c>
      <c r="Y116" t="s">
        <v>18912</v>
      </c>
      <c r="Z116" t="s">
        <v>24986</v>
      </c>
      <c r="AA116">
        <v>0.79817922561191113</v>
      </c>
      <c r="AB116" t="str">
        <f>HYPERLINK("Melting_Curves/meltCurve_B4DLE8_CRYBG3.pdf", "Melting_Curves/meltCurve_B4DLE8_CRYBG3.pdf")</f>
        <v>Melting_Curves/meltCurve_B4DLE8_CRYBG3.pdf</v>
      </c>
    </row>
    <row r="117" spans="1:28" x14ac:dyDescent="0.25">
      <c r="A117" t="s">
        <v>121</v>
      </c>
      <c r="B117">
        <v>0.99352677808782597</v>
      </c>
      <c r="C117">
        <v>0.97511323951168705</v>
      </c>
      <c r="D117">
        <v>0.98294575821311403</v>
      </c>
      <c r="E117">
        <v>0.45912263923886998</v>
      </c>
      <c r="F117">
        <v>0.36375031789787099</v>
      </c>
      <c r="G117">
        <v>0.17689656892894801</v>
      </c>
      <c r="H117">
        <v>0.103291968198675</v>
      </c>
      <c r="I117">
        <v>0.104072123619152</v>
      </c>
      <c r="J117">
        <v>6.22069425688953E-2</v>
      </c>
      <c r="K117">
        <v>5.3604377557292297E-2</v>
      </c>
      <c r="L117">
        <v>1096.5775696779201</v>
      </c>
      <c r="M117">
        <v>21.875774897543401</v>
      </c>
      <c r="N117">
        <v>50.5530087904799</v>
      </c>
      <c r="O117">
        <v>49.714234124238601</v>
      </c>
      <c r="P117">
        <v>-0.100759507644684</v>
      </c>
      <c r="Q117">
        <v>8.4088688273744702E-2</v>
      </c>
      <c r="R117">
        <v>0.982799179920257</v>
      </c>
      <c r="S117" t="s">
        <v>6402</v>
      </c>
      <c r="T117" t="s">
        <v>12568</v>
      </c>
      <c r="U117" t="s">
        <v>12568</v>
      </c>
      <c r="V117" t="s">
        <v>12568</v>
      </c>
      <c r="W117" t="s">
        <v>12685</v>
      </c>
      <c r="X117">
        <v>28</v>
      </c>
      <c r="Y117" t="s">
        <v>18913</v>
      </c>
      <c r="Z117" t="s">
        <v>24987</v>
      </c>
      <c r="AA117">
        <v>0.40397746357411513</v>
      </c>
      <c r="AB117" t="str">
        <f>HYPERLINK("Melting_Curves/meltCurve_B4DLW8_DDX5.pdf", "Melting_Curves/meltCurve_B4DLW8_DDX5.pdf")</f>
        <v>Melting_Curves/meltCurve_B4DLW8_DDX5.pdf</v>
      </c>
    </row>
    <row r="118" spans="1:28" x14ac:dyDescent="0.25">
      <c r="A118" t="s">
        <v>122</v>
      </c>
      <c r="B118">
        <v>0.99352677808782597</v>
      </c>
      <c r="C118">
        <v>0.93307902628874295</v>
      </c>
      <c r="D118">
        <v>0.97234313373658399</v>
      </c>
      <c r="E118">
        <v>0.77141463358979401</v>
      </c>
      <c r="F118">
        <v>0.71679963073479103</v>
      </c>
      <c r="G118">
        <v>0.56391580966480204</v>
      </c>
      <c r="H118">
        <v>0.47782512273684002</v>
      </c>
      <c r="I118">
        <v>0.49856450334087599</v>
      </c>
      <c r="J118">
        <v>0.47578219247347697</v>
      </c>
      <c r="K118">
        <v>0.446109279249363</v>
      </c>
      <c r="L118">
        <v>752.476244698139</v>
      </c>
      <c r="M118">
        <v>14.426198286867599</v>
      </c>
      <c r="N118">
        <v>61.347744847449</v>
      </c>
      <c r="O118">
        <v>51.188820030528703</v>
      </c>
      <c r="P118">
        <v>-3.9293339974870403E-2</v>
      </c>
      <c r="Q118">
        <v>0.44236343550637902</v>
      </c>
      <c r="R118">
        <v>0.98426686278906905</v>
      </c>
      <c r="S118" t="s">
        <v>6403</v>
      </c>
      <c r="T118" t="s">
        <v>12568</v>
      </c>
      <c r="U118" t="s">
        <v>12568</v>
      </c>
      <c r="V118" t="s">
        <v>12568</v>
      </c>
      <c r="W118" t="s">
        <v>12686</v>
      </c>
      <c r="X118">
        <v>7</v>
      </c>
      <c r="Y118" t="s">
        <v>18914</v>
      </c>
      <c r="Z118" t="s">
        <v>24988</v>
      </c>
      <c r="AA118">
        <v>0.68153563873548051</v>
      </c>
      <c r="AB118" t="str">
        <f>HYPERLINK("Melting_Curves/meltCurve_B4DLZ9_RNF220.pdf", "Melting_Curves/meltCurve_B4DLZ9_RNF220.pdf")</f>
        <v>Melting_Curves/meltCurve_B4DLZ9_RNF220.pdf</v>
      </c>
    </row>
    <row r="119" spans="1:28" x14ac:dyDescent="0.25">
      <c r="A119" t="s">
        <v>123</v>
      </c>
      <c r="B119">
        <v>0.99352677808782597</v>
      </c>
      <c r="C119">
        <v>1.0157677608804201</v>
      </c>
      <c r="D119">
        <v>0.79458965950508098</v>
      </c>
      <c r="E119">
        <v>0.86047804884405599</v>
      </c>
      <c r="F119">
        <v>0.78504644572802296</v>
      </c>
      <c r="G119">
        <v>0.80268423698626201</v>
      </c>
      <c r="H119">
        <v>0.76512728801548902</v>
      </c>
      <c r="I119">
        <v>0.71764023685834599</v>
      </c>
      <c r="J119">
        <v>0.86145331907463796</v>
      </c>
      <c r="K119">
        <v>0.62022988686230796</v>
      </c>
      <c r="L119">
        <v>584.23089046259702</v>
      </c>
      <c r="M119">
        <v>12.3334678397894</v>
      </c>
      <c r="O119">
        <v>46.175902725003901</v>
      </c>
      <c r="P119">
        <v>-1.75199309443296E-2</v>
      </c>
      <c r="Q119">
        <v>0.73768179070904005</v>
      </c>
      <c r="R119">
        <v>0.62845599757627801</v>
      </c>
      <c r="S119" t="s">
        <v>6404</v>
      </c>
      <c r="T119" t="s">
        <v>12568</v>
      </c>
      <c r="U119" t="s">
        <v>12568</v>
      </c>
      <c r="V119" t="s">
        <v>12568</v>
      </c>
      <c r="W119" t="s">
        <v>12687</v>
      </c>
      <c r="X119">
        <v>1</v>
      </c>
      <c r="Y119" t="s">
        <v>18915</v>
      </c>
      <c r="Z119" t="s">
        <v>24989</v>
      </c>
      <c r="AA119">
        <v>0.81231667894692194</v>
      </c>
      <c r="AB119" t="str">
        <f>HYPERLINK("Melting_Curves/meltCurve_B4DMD6_RNF185.pdf", "Melting_Curves/meltCurve_B4DMD6_RNF185.pdf")</f>
        <v>Melting_Curves/meltCurve_B4DMD6_RNF185.pdf</v>
      </c>
    </row>
    <row r="120" spans="1:28" x14ac:dyDescent="0.25">
      <c r="A120" t="s">
        <v>124</v>
      </c>
      <c r="B120">
        <v>0.99352677808782597</v>
      </c>
      <c r="C120">
        <v>0.789810061609029</v>
      </c>
      <c r="D120">
        <v>1.00906767202365</v>
      </c>
      <c r="E120">
        <v>0.793540872013068</v>
      </c>
      <c r="F120">
        <v>0.74196405590271597</v>
      </c>
      <c r="G120">
        <v>0.48793766884595602</v>
      </c>
      <c r="H120">
        <v>0.244255356335216</v>
      </c>
      <c r="I120">
        <v>0.21982762685077001</v>
      </c>
      <c r="J120">
        <v>0.21794097142574101</v>
      </c>
      <c r="K120">
        <v>0.18105031167091001</v>
      </c>
      <c r="L120">
        <v>781.10777601220605</v>
      </c>
      <c r="M120">
        <v>14.1299465036047</v>
      </c>
      <c r="N120">
        <v>56.399371898878499</v>
      </c>
      <c r="O120">
        <v>54.208407252075503</v>
      </c>
      <c r="P120">
        <v>-5.7206122748992297E-2</v>
      </c>
      <c r="Q120">
        <v>0.122245226082657</v>
      </c>
      <c r="R120">
        <v>0.94889723138779303</v>
      </c>
      <c r="S120" t="s">
        <v>6405</v>
      </c>
      <c r="T120" t="s">
        <v>12568</v>
      </c>
      <c r="U120" t="s">
        <v>12568</v>
      </c>
      <c r="V120" t="s">
        <v>12568</v>
      </c>
      <c r="W120" t="s">
        <v>12688</v>
      </c>
      <c r="X120">
        <v>11</v>
      </c>
      <c r="Y120" t="s">
        <v>18916</v>
      </c>
      <c r="Z120" t="s">
        <v>24990</v>
      </c>
      <c r="AA120">
        <v>0.58687434959620477</v>
      </c>
      <c r="AB120" t="str">
        <f>HYPERLINK("Melting_Curves/meltCurve_B4DP21_PTGES3.pdf", "Melting_Curves/meltCurve_B4DP21_PTGES3.pdf")</f>
        <v>Melting_Curves/meltCurve_B4DP21_PTGES3.pdf</v>
      </c>
    </row>
    <row r="121" spans="1:28" x14ac:dyDescent="0.25">
      <c r="A121" t="s">
        <v>125</v>
      </c>
      <c r="B121">
        <v>0.99352677808782597</v>
      </c>
      <c r="C121">
        <v>0.93215059226289998</v>
      </c>
      <c r="D121">
        <v>0.84719155989086803</v>
      </c>
      <c r="E121">
        <v>0.57577904867572904</v>
      </c>
      <c r="F121">
        <v>0.49135151016596501</v>
      </c>
      <c r="G121">
        <v>0.28951420051948001</v>
      </c>
      <c r="H121">
        <v>0.16995396986505901</v>
      </c>
      <c r="I121">
        <v>0.131361731313962</v>
      </c>
      <c r="J121">
        <v>0.124399821359061</v>
      </c>
      <c r="K121">
        <v>8.9145354802698501E-2</v>
      </c>
      <c r="L121">
        <v>636.67136347246606</v>
      </c>
      <c r="M121">
        <v>12.3270791870859</v>
      </c>
      <c r="N121">
        <v>52.1753566831526</v>
      </c>
      <c r="O121">
        <v>50.3454528043248</v>
      </c>
      <c r="P121">
        <v>-5.7640875753439201E-2</v>
      </c>
      <c r="Q121">
        <v>5.85524847562802E-2</v>
      </c>
      <c r="R121">
        <v>0.995950758633523</v>
      </c>
      <c r="S121" t="s">
        <v>6406</v>
      </c>
      <c r="T121" t="s">
        <v>12568</v>
      </c>
      <c r="U121" t="s">
        <v>12568</v>
      </c>
      <c r="V121" t="s">
        <v>12568</v>
      </c>
      <c r="W121" t="s">
        <v>12689</v>
      </c>
      <c r="X121">
        <v>3</v>
      </c>
      <c r="Y121" t="s">
        <v>18917</v>
      </c>
      <c r="Z121" t="s">
        <v>24991</v>
      </c>
      <c r="AA121">
        <v>0.45252390575077772</v>
      </c>
      <c r="AB121" t="str">
        <f>HYPERLINK("Melting_Curves/meltCurve_B4DPR4_MKRN2.pdf", "Melting_Curves/meltCurve_B4DPR4_MKRN2.pdf")</f>
        <v>Melting_Curves/meltCurve_B4DPR4_MKRN2.pdf</v>
      </c>
    </row>
    <row r="122" spans="1:28" x14ac:dyDescent="0.25">
      <c r="A122" t="s">
        <v>126</v>
      </c>
      <c r="B122">
        <v>0.99352677808782597</v>
      </c>
      <c r="C122">
        <v>1.03398031461351</v>
      </c>
      <c r="D122">
        <v>0.99759029632753304</v>
      </c>
      <c r="E122">
        <v>0.78827203874209195</v>
      </c>
      <c r="F122">
        <v>0.63443755026227899</v>
      </c>
      <c r="G122">
        <v>0.48358461053696999</v>
      </c>
      <c r="H122">
        <v>0.31722955618425103</v>
      </c>
      <c r="I122">
        <v>0.31612885286896197</v>
      </c>
      <c r="J122">
        <v>0.291444346268528</v>
      </c>
      <c r="K122">
        <v>0.17734794786951599</v>
      </c>
      <c r="L122">
        <v>798.54606946957495</v>
      </c>
      <c r="M122">
        <v>14.795435430281501</v>
      </c>
      <c r="N122">
        <v>56.060081272809597</v>
      </c>
      <c r="O122">
        <v>53.015254352282597</v>
      </c>
      <c r="P122">
        <v>-5.4998193090629199E-2</v>
      </c>
      <c r="Q122">
        <v>0.211802209254287</v>
      </c>
      <c r="R122">
        <v>0.98596843399515199</v>
      </c>
      <c r="S122" t="s">
        <v>6407</v>
      </c>
      <c r="T122" t="s">
        <v>12568</v>
      </c>
      <c r="U122" t="s">
        <v>12568</v>
      </c>
      <c r="V122" t="s">
        <v>12568</v>
      </c>
      <c r="W122" t="s">
        <v>12690</v>
      </c>
      <c r="X122">
        <v>2</v>
      </c>
      <c r="Y122" t="s">
        <v>18918</v>
      </c>
      <c r="Z122" t="s">
        <v>24992</v>
      </c>
      <c r="AA122">
        <v>0.59537702426543693</v>
      </c>
      <c r="AB122" t="str">
        <f>HYPERLINK("Melting_Curves/meltCurve_B4DPY5_SNX11.pdf", "Melting_Curves/meltCurve_B4DPY5_SNX11.pdf")</f>
        <v>Melting_Curves/meltCurve_B4DPY5_SNX11.pdf</v>
      </c>
    </row>
    <row r="123" spans="1:28" x14ac:dyDescent="0.25">
      <c r="A123" t="s">
        <v>127</v>
      </c>
      <c r="B123">
        <v>0.99352677808782597</v>
      </c>
      <c r="C123">
        <v>1.00603381056387</v>
      </c>
      <c r="D123">
        <v>0.99100837783045903</v>
      </c>
      <c r="E123">
        <v>0.89987127605699402</v>
      </c>
      <c r="F123">
        <v>0.77055062501941296</v>
      </c>
      <c r="G123">
        <v>0.56758487728130402</v>
      </c>
      <c r="H123">
        <v>0.45781571784353903</v>
      </c>
      <c r="I123">
        <v>0.50715760410821598</v>
      </c>
      <c r="J123">
        <v>0.60199904768944401</v>
      </c>
      <c r="K123">
        <v>0.51259308501172596</v>
      </c>
      <c r="L123">
        <v>1522.90973395321</v>
      </c>
      <c r="M123">
        <v>28.795407993605199</v>
      </c>
      <c r="O123">
        <v>52.634143516591301</v>
      </c>
      <c r="P123">
        <v>-6.6023274406748503E-2</v>
      </c>
      <c r="Q123">
        <v>0.51727694137245195</v>
      </c>
      <c r="R123">
        <v>0.97146720055204905</v>
      </c>
      <c r="S123" t="s">
        <v>6408</v>
      </c>
      <c r="T123" t="s">
        <v>12568</v>
      </c>
      <c r="U123" t="s">
        <v>12568</v>
      </c>
      <c r="V123" t="s">
        <v>12568</v>
      </c>
      <c r="W123" t="s">
        <v>12691</v>
      </c>
      <c r="X123">
        <v>9</v>
      </c>
      <c r="Y123" t="s">
        <v>18919</v>
      </c>
      <c r="Z123" t="s">
        <v>24993</v>
      </c>
      <c r="AA123">
        <v>0.72802883422577458</v>
      </c>
      <c r="AB123" t="str">
        <f>HYPERLINK("Melting_Curves/meltCurve_B4DPY8_TOX4.pdf", "Melting_Curves/meltCurve_B4DPY8_TOX4.pdf")</f>
        <v>Melting_Curves/meltCurve_B4DPY8_TOX4.pdf</v>
      </c>
    </row>
    <row r="124" spans="1:28" x14ac:dyDescent="0.25">
      <c r="A124" t="s">
        <v>128</v>
      </c>
      <c r="B124">
        <v>0.99352677808782597</v>
      </c>
      <c r="C124">
        <v>1.00609267164723</v>
      </c>
      <c r="D124">
        <v>1.03985467646093</v>
      </c>
      <c r="E124">
        <v>0.80676653012253396</v>
      </c>
      <c r="F124">
        <v>0.60581507623269704</v>
      </c>
      <c r="G124">
        <v>0.26486452770619101</v>
      </c>
      <c r="H124">
        <v>0.14214965679168001</v>
      </c>
      <c r="I124">
        <v>0.14748822612826201</v>
      </c>
      <c r="J124">
        <v>0.12717851379325501</v>
      </c>
      <c r="K124">
        <v>0.106956302184698</v>
      </c>
      <c r="L124">
        <v>1248.1910910884401</v>
      </c>
      <c r="M124">
        <v>23.422522392064099</v>
      </c>
      <c r="N124">
        <v>53.879311232948197</v>
      </c>
      <c r="O124">
        <v>52.906301561165002</v>
      </c>
      <c r="P124">
        <v>-9.8177925747761699E-2</v>
      </c>
      <c r="Q124">
        <v>0.11296618400012901</v>
      </c>
      <c r="R124">
        <v>0.99576141336516499</v>
      </c>
      <c r="S124" t="s">
        <v>6409</v>
      </c>
      <c r="T124" t="s">
        <v>12568</v>
      </c>
      <c r="U124" t="s">
        <v>12568</v>
      </c>
      <c r="V124" t="s">
        <v>12568</v>
      </c>
      <c r="W124" t="s">
        <v>12692</v>
      </c>
      <c r="X124">
        <v>18</v>
      </c>
      <c r="Y124" t="s">
        <v>18920</v>
      </c>
      <c r="Z124" t="s">
        <v>24994</v>
      </c>
      <c r="AA124">
        <v>0.51515369943389655</v>
      </c>
      <c r="AB124" t="str">
        <f>HYPERLINK("Melting_Curves/meltCurve_B4DQ14_EIF2A.pdf", "Melting_Curves/meltCurve_B4DQ14_EIF2A.pdf")</f>
        <v>Melting_Curves/meltCurve_B4DQ14_EIF2A.pdf</v>
      </c>
    </row>
    <row r="125" spans="1:28" x14ac:dyDescent="0.25">
      <c r="A125" t="s">
        <v>129</v>
      </c>
      <c r="B125">
        <v>0.99352677808782597</v>
      </c>
      <c r="C125">
        <v>0.72766727477192095</v>
      </c>
      <c r="D125">
        <v>0.32965219930779399</v>
      </c>
      <c r="E125">
        <v>0.190781489924012</v>
      </c>
      <c r="F125">
        <v>0.134459167678917</v>
      </c>
      <c r="G125">
        <v>0.112198286064185</v>
      </c>
      <c r="H125">
        <v>8.0351604163992202E-2</v>
      </c>
      <c r="I125">
        <v>8.94949492012901E-2</v>
      </c>
      <c r="J125">
        <v>6.3240079602487703E-2</v>
      </c>
      <c r="K125">
        <v>8.6475996652523798E-2</v>
      </c>
      <c r="L125">
        <v>1172.33605035038</v>
      </c>
      <c r="M125">
        <v>26.452023603763799</v>
      </c>
      <c r="N125">
        <v>44.687014430007203</v>
      </c>
      <c r="O125">
        <v>44.068370221586598</v>
      </c>
      <c r="P125">
        <v>-0.13538882098767099</v>
      </c>
      <c r="Q125">
        <v>9.7793101985916397E-2</v>
      </c>
      <c r="R125">
        <v>0.99227858768242305</v>
      </c>
      <c r="S125" t="s">
        <v>6410</v>
      </c>
      <c r="T125" t="s">
        <v>12568</v>
      </c>
      <c r="U125" t="s">
        <v>12568</v>
      </c>
      <c r="V125" t="s">
        <v>12568</v>
      </c>
      <c r="W125" t="s">
        <v>12693</v>
      </c>
      <c r="X125">
        <v>1</v>
      </c>
      <c r="Y125" t="s">
        <v>18921</v>
      </c>
      <c r="Z125" t="s">
        <v>24995</v>
      </c>
      <c r="AA125">
        <v>0.23622802044827301</v>
      </c>
      <c r="AB125" t="str">
        <f>HYPERLINK("Melting_Curves/meltCurve_B4DQE7_HDAC8.pdf", "Melting_Curves/meltCurve_B4DQE7_HDAC8.pdf")</f>
        <v>Melting_Curves/meltCurve_B4DQE7_HDAC8.pdf</v>
      </c>
    </row>
    <row r="126" spans="1:28" x14ac:dyDescent="0.25">
      <c r="A126" t="s">
        <v>130</v>
      </c>
      <c r="B126">
        <v>0.99352677808782597</v>
      </c>
      <c r="C126">
        <v>0.91405269056053495</v>
      </c>
      <c r="D126">
        <v>0.696449151002973</v>
      </c>
      <c r="E126">
        <v>1.0365770852424101</v>
      </c>
      <c r="F126">
        <v>0.80960688486734</v>
      </c>
      <c r="G126">
        <v>0.54015498962860597</v>
      </c>
      <c r="H126">
        <v>0.27949890151497903</v>
      </c>
      <c r="I126">
        <v>0.31905165614839498</v>
      </c>
      <c r="J126">
        <v>0.26396730716032801</v>
      </c>
      <c r="K126">
        <v>0.24468173787644601</v>
      </c>
      <c r="L126">
        <v>1381.54391530096</v>
      </c>
      <c r="M126">
        <v>24.8097577835286</v>
      </c>
      <c r="N126">
        <v>57.282566166895599</v>
      </c>
      <c r="O126">
        <v>55.327527136034703</v>
      </c>
      <c r="P126">
        <v>-8.4119577500794296E-2</v>
      </c>
      <c r="Q126">
        <v>0.24964012326026799</v>
      </c>
      <c r="R126">
        <v>0.88241291486903495</v>
      </c>
      <c r="S126" t="s">
        <v>6411</v>
      </c>
      <c r="T126" t="s">
        <v>12568</v>
      </c>
      <c r="U126" t="s">
        <v>12568</v>
      </c>
      <c r="V126" t="s">
        <v>12568</v>
      </c>
      <c r="W126" t="s">
        <v>12694</v>
      </c>
      <c r="X126">
        <v>4</v>
      </c>
      <c r="Y126" t="s">
        <v>18922</v>
      </c>
      <c r="Z126" t="s">
        <v>24996</v>
      </c>
      <c r="AA126">
        <v>0.6489675590874262</v>
      </c>
      <c r="AB126" t="str">
        <f>HYPERLINK("Melting_Curves/meltCurve_B4DQH9_RANBP10.pdf", "Melting_Curves/meltCurve_B4DQH9_RANBP10.pdf")</f>
        <v>Melting_Curves/meltCurve_B4DQH9_RANBP10.pdf</v>
      </c>
    </row>
    <row r="127" spans="1:28" x14ac:dyDescent="0.25">
      <c r="A127" t="s">
        <v>131</v>
      </c>
      <c r="B127">
        <v>0.99352677808782597</v>
      </c>
      <c r="C127">
        <v>0.91793956128577503</v>
      </c>
      <c r="D127">
        <v>0.96519121742331504</v>
      </c>
      <c r="E127">
        <v>0.76969557352082496</v>
      </c>
      <c r="F127">
        <v>0.70201947580193402</v>
      </c>
      <c r="G127">
        <v>0.19910132353277901</v>
      </c>
      <c r="H127">
        <v>0.108477122867464</v>
      </c>
      <c r="I127">
        <v>9.6101202755794105E-2</v>
      </c>
      <c r="J127">
        <v>7.1286092056311604E-2</v>
      </c>
      <c r="K127">
        <v>5.2185668392636997E-2</v>
      </c>
      <c r="L127">
        <v>1177.1781572207999</v>
      </c>
      <c r="M127">
        <v>21.8543781076276</v>
      </c>
      <c r="N127">
        <v>54.104532976836197</v>
      </c>
      <c r="O127">
        <v>53.419721040738899</v>
      </c>
      <c r="P127">
        <v>-9.7556150933534605E-2</v>
      </c>
      <c r="Q127">
        <v>4.6176864762638499E-2</v>
      </c>
      <c r="R127">
        <v>0.98232286437830296</v>
      </c>
      <c r="S127" t="s">
        <v>6412</v>
      </c>
      <c r="T127" t="s">
        <v>12568</v>
      </c>
      <c r="U127" t="s">
        <v>12568</v>
      </c>
      <c r="V127" t="s">
        <v>12568</v>
      </c>
      <c r="W127" t="s">
        <v>12695</v>
      </c>
      <c r="X127">
        <v>40</v>
      </c>
      <c r="Y127" t="s">
        <v>18923</v>
      </c>
      <c r="Z127" t="s">
        <v>24997</v>
      </c>
      <c r="AA127">
        <v>0.49819206612700673</v>
      </c>
      <c r="AB127" t="str">
        <f>HYPERLINK("Melting_Curves/meltCurve_B4DQJ8_PGD.pdf", "Melting_Curves/meltCurve_B4DQJ8_PGD.pdf")</f>
        <v>Melting_Curves/meltCurve_B4DQJ8_PGD.pdf</v>
      </c>
    </row>
    <row r="128" spans="1:28" x14ac:dyDescent="0.25">
      <c r="A128" t="s">
        <v>132</v>
      </c>
      <c r="B128">
        <v>0.99352677808782597</v>
      </c>
      <c r="C128">
        <v>1.0171078294610501</v>
      </c>
      <c r="D128">
        <v>0.96535393709577</v>
      </c>
      <c r="E128">
        <v>0.73263571703762698</v>
      </c>
      <c r="F128">
        <v>0.64689310241749598</v>
      </c>
      <c r="G128">
        <v>0.34159004106549001</v>
      </c>
      <c r="H128">
        <v>0.21689699997055301</v>
      </c>
      <c r="I128">
        <v>0.19258511630112801</v>
      </c>
      <c r="J128">
        <v>0.17155689606920499</v>
      </c>
      <c r="K128">
        <v>0.130040294459598</v>
      </c>
      <c r="L128">
        <v>868.88321663270199</v>
      </c>
      <c r="M128">
        <v>16.233661652061102</v>
      </c>
      <c r="N128">
        <v>54.477836220258602</v>
      </c>
      <c r="O128">
        <v>52.731117164171501</v>
      </c>
      <c r="P128">
        <v>-6.74447126910631E-2</v>
      </c>
      <c r="Q128">
        <v>0.12375366602691</v>
      </c>
      <c r="R128">
        <v>0.99329880689092898</v>
      </c>
      <c r="S128" t="s">
        <v>6413</v>
      </c>
      <c r="T128" t="s">
        <v>12568</v>
      </c>
      <c r="U128" t="s">
        <v>12568</v>
      </c>
      <c r="V128" t="s">
        <v>12568</v>
      </c>
      <c r="W128" t="s">
        <v>12696</v>
      </c>
      <c r="X128">
        <v>12</v>
      </c>
      <c r="Y128" t="s">
        <v>18924</v>
      </c>
      <c r="Z128" t="s">
        <v>24998</v>
      </c>
      <c r="AA128">
        <v>0.53528610456157488</v>
      </c>
      <c r="AB128" t="str">
        <f>HYPERLINK("Melting_Curves/meltCurve_B4DRL9_CHM.pdf", "Melting_Curves/meltCurve_B4DRL9_CHM.pdf")</f>
        <v>Melting_Curves/meltCurve_B4DRL9_CHM.pdf</v>
      </c>
    </row>
    <row r="129" spans="1:28" x14ac:dyDescent="0.25">
      <c r="A129" t="s">
        <v>133</v>
      </c>
      <c r="B129">
        <v>0.99352677808782597</v>
      </c>
      <c r="C129">
        <v>0.85874026157659999</v>
      </c>
      <c r="D129">
        <v>0.68556180323985105</v>
      </c>
      <c r="E129">
        <v>0.54785411910271797</v>
      </c>
      <c r="F129">
        <v>0.37789928965135799</v>
      </c>
      <c r="G129">
        <v>0.28921646903218701</v>
      </c>
      <c r="H129">
        <v>0.276723055775908</v>
      </c>
      <c r="I129">
        <v>0.26397072115126702</v>
      </c>
      <c r="J129">
        <v>0.213508239838891</v>
      </c>
      <c r="K129">
        <v>0.14005341834059601</v>
      </c>
      <c r="L129">
        <v>582.54682853280303</v>
      </c>
      <c r="M129">
        <v>11.997998370804901</v>
      </c>
      <c r="N129">
        <v>50.422957245470201</v>
      </c>
      <c r="O129">
        <v>47.263813422237703</v>
      </c>
      <c r="P129">
        <v>-5.20825202219782E-2</v>
      </c>
      <c r="Q129">
        <v>0.17952118320060301</v>
      </c>
      <c r="R129">
        <v>0.98488090051746702</v>
      </c>
      <c r="S129" t="s">
        <v>6414</v>
      </c>
      <c r="T129" t="s">
        <v>12568</v>
      </c>
      <c r="U129" t="s">
        <v>12568</v>
      </c>
      <c r="V129" t="s">
        <v>12568</v>
      </c>
      <c r="W129" t="s">
        <v>12697</v>
      </c>
      <c r="X129">
        <v>2</v>
      </c>
      <c r="Y129" t="s">
        <v>18925</v>
      </c>
      <c r="Z129" t="s">
        <v>24999</v>
      </c>
      <c r="AA129">
        <v>0.44445047096929707</v>
      </c>
      <c r="AB129" t="str">
        <f>HYPERLINK("Melting_Curves/meltCurve_B4DS76_MAP3K11.pdf", "Melting_Curves/meltCurve_B4DS76_MAP3K11.pdf")</f>
        <v>Melting_Curves/meltCurve_B4DS76_MAP3K11.pdf</v>
      </c>
    </row>
    <row r="130" spans="1:28" x14ac:dyDescent="0.25">
      <c r="A130" t="s">
        <v>134</v>
      </c>
      <c r="B130">
        <v>0.99352677808782597</v>
      </c>
      <c r="C130">
        <v>0.940225371599828</v>
      </c>
      <c r="D130">
        <v>1.0700984620127401</v>
      </c>
      <c r="E130">
        <v>0.37084347139170798</v>
      </c>
      <c r="F130">
        <v>0.28543878388633098</v>
      </c>
      <c r="G130">
        <v>0.123194032517411</v>
      </c>
      <c r="H130">
        <v>9.6960297927680406E-2</v>
      </c>
      <c r="I130">
        <v>8.5847076725758101E-2</v>
      </c>
      <c r="J130">
        <v>6.9121339653327701E-2</v>
      </c>
      <c r="K130">
        <v>5.2085916351237903E-2</v>
      </c>
      <c r="L130">
        <v>2294.9164504670398</v>
      </c>
      <c r="M130">
        <v>46.5762850688509</v>
      </c>
      <c r="N130">
        <v>49.532599801086299</v>
      </c>
      <c r="O130">
        <v>49.181634677795202</v>
      </c>
      <c r="P130">
        <v>-0.211047606915653</v>
      </c>
      <c r="Q130">
        <v>0.108588864393319</v>
      </c>
      <c r="R130">
        <v>0.97403043557022795</v>
      </c>
      <c r="S130" t="s">
        <v>6415</v>
      </c>
      <c r="T130" t="s">
        <v>12568</v>
      </c>
      <c r="U130" t="s">
        <v>12568</v>
      </c>
      <c r="V130" t="s">
        <v>12568</v>
      </c>
      <c r="W130" t="s">
        <v>12666</v>
      </c>
      <c r="X130">
        <v>25</v>
      </c>
      <c r="Y130" t="s">
        <v>18926</v>
      </c>
      <c r="Z130" t="s">
        <v>25000</v>
      </c>
      <c r="AA130">
        <v>0.38633551259532029</v>
      </c>
      <c r="AB130" t="str">
        <f>HYPERLINK("Melting_Curves/meltCurve_B4DT77_ANXA7.pdf", "Melting_Curves/meltCurve_B4DT77_ANXA7.pdf")</f>
        <v>Melting_Curves/meltCurve_B4DT77_ANXA7.pdf</v>
      </c>
    </row>
    <row r="131" spans="1:28" x14ac:dyDescent="0.25">
      <c r="A131" t="s">
        <v>135</v>
      </c>
      <c r="B131">
        <v>0.99352677808782597</v>
      </c>
      <c r="C131">
        <v>0.93988475839768604</v>
      </c>
      <c r="D131">
        <v>0.788920588111511</v>
      </c>
      <c r="E131">
        <v>0.76187949462832805</v>
      </c>
      <c r="F131">
        <v>0.55243311224733105</v>
      </c>
      <c r="G131">
        <v>0.269094292952265</v>
      </c>
      <c r="H131">
        <v>0.14013587299588101</v>
      </c>
      <c r="I131">
        <v>0.11243614802928199</v>
      </c>
      <c r="J131">
        <v>0.102432878220155</v>
      </c>
      <c r="K131">
        <v>5.7069861595849598E-2</v>
      </c>
      <c r="L131">
        <v>667.26306707883396</v>
      </c>
      <c r="M131">
        <v>12.511264640139199</v>
      </c>
      <c r="N131">
        <v>53.349745234942901</v>
      </c>
      <c r="O131">
        <v>52.025454508246</v>
      </c>
      <c r="P131">
        <v>-6.0015273916512603E-2</v>
      </c>
      <c r="Q131">
        <v>1.9612263163118798E-3</v>
      </c>
      <c r="R131">
        <v>0.98627141217772496</v>
      </c>
      <c r="S131" t="s">
        <v>6416</v>
      </c>
      <c r="T131" t="s">
        <v>12568</v>
      </c>
      <c r="U131" t="s">
        <v>12568</v>
      </c>
      <c r="V131" t="s">
        <v>12568</v>
      </c>
      <c r="W131" t="s">
        <v>12698</v>
      </c>
      <c r="X131">
        <v>34</v>
      </c>
      <c r="Y131" t="s">
        <v>18927</v>
      </c>
      <c r="Z131" t="s">
        <v>25001</v>
      </c>
      <c r="AA131">
        <v>0.47196287778980178</v>
      </c>
      <c r="AB131" t="str">
        <f>HYPERLINK("Melting_Curves/meltCurve_B4DTU4_LIG1.pdf", "Melting_Curves/meltCurve_B4DTU4_LIG1.pdf")</f>
        <v>Melting_Curves/meltCurve_B4DTU4_LIG1.pdf</v>
      </c>
    </row>
    <row r="132" spans="1:28" x14ac:dyDescent="0.25">
      <c r="A132" t="s">
        <v>136</v>
      </c>
      <c r="B132">
        <v>0.99352677808782597</v>
      </c>
      <c r="C132">
        <v>0.96526104633062604</v>
      </c>
      <c r="D132">
        <v>0.99992973890211401</v>
      </c>
      <c r="E132">
        <v>0.87122190396407695</v>
      </c>
      <c r="F132">
        <v>0.67966063577204805</v>
      </c>
      <c r="G132">
        <v>0.61116326975320201</v>
      </c>
      <c r="H132">
        <v>0.70158222230418599</v>
      </c>
      <c r="I132">
        <v>0.71776937669708496</v>
      </c>
      <c r="J132">
        <v>0.74900753967783396</v>
      </c>
      <c r="K132">
        <v>0.67304957099079998</v>
      </c>
      <c r="L132">
        <v>12517.437473288401</v>
      </c>
      <c r="M132">
        <v>250</v>
      </c>
      <c r="O132">
        <v>50.066545781373101</v>
      </c>
      <c r="P132">
        <v>-0.388601070092498</v>
      </c>
      <c r="Q132">
        <v>0.68870538822627303</v>
      </c>
      <c r="R132">
        <v>0.93724553635879104</v>
      </c>
      <c r="S132" t="s">
        <v>6417</v>
      </c>
      <c r="T132" t="s">
        <v>12568</v>
      </c>
      <c r="U132" t="s">
        <v>12568</v>
      </c>
      <c r="V132" t="s">
        <v>12568</v>
      </c>
      <c r="W132" t="s">
        <v>12699</v>
      </c>
      <c r="X132">
        <v>5</v>
      </c>
      <c r="Y132" t="s">
        <v>18928</v>
      </c>
      <c r="Z132" t="s">
        <v>25002</v>
      </c>
      <c r="AA132">
        <v>0.79322137164670758</v>
      </c>
      <c r="AB132" t="str">
        <f>HYPERLINK("Melting_Curves/meltCurve_B4DV96_RBKS.pdf", "Melting_Curves/meltCurve_B4DV96_RBKS.pdf")</f>
        <v>Melting_Curves/meltCurve_B4DV96_RBKS.pdf</v>
      </c>
    </row>
    <row r="133" spans="1:28" x14ac:dyDescent="0.25">
      <c r="A133" t="s">
        <v>137</v>
      </c>
      <c r="B133">
        <v>0.99352677808782597</v>
      </c>
      <c r="C133">
        <v>0.93764287387572098</v>
      </c>
      <c r="D133">
        <v>0.87019668193270705</v>
      </c>
      <c r="E133">
        <v>0.22662426881245001</v>
      </c>
      <c r="F133">
        <v>0.16968620625980399</v>
      </c>
      <c r="G133">
        <v>0.104416171298242</v>
      </c>
      <c r="H133">
        <v>7.8506167625346304E-2</v>
      </c>
      <c r="I133">
        <v>7.4340486751973106E-2</v>
      </c>
      <c r="J133">
        <v>6.20593462961909E-2</v>
      </c>
      <c r="K133">
        <v>4.8228422332237599E-2</v>
      </c>
      <c r="L133">
        <v>1817.01675707457</v>
      </c>
      <c r="M133">
        <v>37.8388684457328</v>
      </c>
      <c r="N133">
        <v>48.247551007575503</v>
      </c>
      <c r="O133">
        <v>47.886325504936799</v>
      </c>
      <c r="P133">
        <v>-0.18139261134447601</v>
      </c>
      <c r="Q133">
        <v>8.1769422493126895E-2</v>
      </c>
      <c r="R133">
        <v>0.99351494793503403</v>
      </c>
      <c r="S133" t="s">
        <v>6418</v>
      </c>
      <c r="T133" t="s">
        <v>12568</v>
      </c>
      <c r="U133" t="s">
        <v>12568</v>
      </c>
      <c r="V133" t="s">
        <v>12568</v>
      </c>
      <c r="W133" t="s">
        <v>12666</v>
      </c>
      <c r="X133">
        <v>25</v>
      </c>
      <c r="Y133" t="s">
        <v>18929</v>
      </c>
      <c r="Z133" t="s">
        <v>25003</v>
      </c>
      <c r="AA133">
        <v>0.33066143608322002</v>
      </c>
      <c r="AB133" t="str">
        <f>HYPERLINK("Melting_Curves/meltCurve_B4DVE7_ANXA11.pdf", "Melting_Curves/meltCurve_B4DVE7_ANXA11.pdf")</f>
        <v>Melting_Curves/meltCurve_B4DVE7_ANXA11.pdf</v>
      </c>
    </row>
    <row r="134" spans="1:28" x14ac:dyDescent="0.25">
      <c r="A134" t="s">
        <v>138</v>
      </c>
      <c r="B134">
        <v>0.99352677808782597</v>
      </c>
      <c r="C134">
        <v>1.0051424821311801</v>
      </c>
      <c r="D134">
        <v>0.86369547307971795</v>
      </c>
      <c r="E134">
        <v>0.32482521483432902</v>
      </c>
      <c r="F134">
        <v>0.244580577191221</v>
      </c>
      <c r="G134">
        <v>0.140574977852683</v>
      </c>
      <c r="H134">
        <v>9.9747625377054394E-2</v>
      </c>
      <c r="I134">
        <v>8.5151340971493406E-2</v>
      </c>
      <c r="J134">
        <v>7.6592463152033496E-2</v>
      </c>
      <c r="K134">
        <v>6.6711740359985297E-2</v>
      </c>
      <c r="L134">
        <v>1381.3712732036399</v>
      </c>
      <c r="M134">
        <v>28.47097884654</v>
      </c>
      <c r="N134">
        <v>48.8936422285907</v>
      </c>
      <c r="O134">
        <v>48.2810881173098</v>
      </c>
      <c r="P134">
        <v>-0.132961887685696</v>
      </c>
      <c r="Q134">
        <v>9.8099851364434901E-2</v>
      </c>
      <c r="R134">
        <v>0.99244556562637898</v>
      </c>
      <c r="S134" t="s">
        <v>6419</v>
      </c>
      <c r="T134" t="s">
        <v>12568</v>
      </c>
      <c r="U134" t="s">
        <v>12568</v>
      </c>
      <c r="V134" t="s">
        <v>12568</v>
      </c>
      <c r="W134" t="s">
        <v>12700</v>
      </c>
      <c r="X134">
        <v>13</v>
      </c>
      <c r="Y134" t="s">
        <v>18930</v>
      </c>
      <c r="Z134" t="s">
        <v>25004</v>
      </c>
      <c r="AA134">
        <v>0.36027908301727402</v>
      </c>
      <c r="AB134" t="str">
        <f>HYPERLINK("Melting_Curves/meltCurve_B4DVY1_EIF3D.pdf", "Melting_Curves/meltCurve_B4DVY1_EIF3D.pdf")</f>
        <v>Melting_Curves/meltCurve_B4DVY1_EIF3D.pdf</v>
      </c>
    </row>
    <row r="135" spans="1:28" x14ac:dyDescent="0.25">
      <c r="A135" t="s">
        <v>139</v>
      </c>
      <c r="B135">
        <v>0.99352677808782597</v>
      </c>
      <c r="C135">
        <v>1.09664513942366</v>
      </c>
      <c r="D135">
        <v>1.0447469377971701</v>
      </c>
      <c r="E135">
        <v>0.53684843854071496</v>
      </c>
      <c r="F135">
        <v>0.37499393809804898</v>
      </c>
      <c r="G135">
        <v>0.26449846562239399</v>
      </c>
      <c r="H135">
        <v>0.13397546747071801</v>
      </c>
      <c r="I135">
        <v>8.9967639060815993E-2</v>
      </c>
      <c r="J135">
        <v>7.8012966548567E-2</v>
      </c>
      <c r="K135">
        <v>4.8941953893899201E-2</v>
      </c>
      <c r="L135">
        <v>1158.3404160290299</v>
      </c>
      <c r="M135">
        <v>22.803850495839399</v>
      </c>
      <c r="N135">
        <v>51.294003564203997</v>
      </c>
      <c r="O135">
        <v>50.410037071342003</v>
      </c>
      <c r="P135">
        <v>-0.101860150329181</v>
      </c>
      <c r="Q135">
        <v>9.9332021795928399E-2</v>
      </c>
      <c r="R135">
        <v>0.97001623326559305</v>
      </c>
      <c r="S135" t="s">
        <v>6420</v>
      </c>
      <c r="T135" t="s">
        <v>12568</v>
      </c>
      <c r="U135" t="s">
        <v>12568</v>
      </c>
      <c r="V135" t="s">
        <v>12568</v>
      </c>
      <c r="W135" t="s">
        <v>12701</v>
      </c>
      <c r="X135">
        <v>3</v>
      </c>
      <c r="Y135" t="s">
        <v>18931</v>
      </c>
      <c r="Z135" t="s">
        <v>25005</v>
      </c>
      <c r="AA135">
        <v>0.43317121094946159</v>
      </c>
      <c r="AB135" t="str">
        <f>HYPERLINK("Melting_Curves/meltCurve_B4DWW1_ARL1.pdf", "Melting_Curves/meltCurve_B4DWW1_ARL1.pdf")</f>
        <v>Melting_Curves/meltCurve_B4DWW1_ARL1.pdf</v>
      </c>
    </row>
    <row r="136" spans="1:28" x14ac:dyDescent="0.25">
      <c r="A136" t="s">
        <v>140</v>
      </c>
      <c r="B136">
        <v>0.99352677808782597</v>
      </c>
      <c r="C136">
        <v>0.887476165073115</v>
      </c>
      <c r="D136">
        <v>0.79536855652152005</v>
      </c>
      <c r="E136">
        <v>0.25108433911507</v>
      </c>
      <c r="F136">
        <v>0.22054904705190101</v>
      </c>
      <c r="G136">
        <v>0.122342863209934</v>
      </c>
      <c r="H136">
        <v>9.6652992606829399E-2</v>
      </c>
      <c r="I136">
        <v>0.111140482131762</v>
      </c>
      <c r="J136">
        <v>8.3545438258346205E-2</v>
      </c>
      <c r="K136">
        <v>6.8298324441549096E-2</v>
      </c>
      <c r="L136">
        <v>1247.44325817974</v>
      </c>
      <c r="M136">
        <v>26.1539627250941</v>
      </c>
      <c r="N136">
        <v>48.096030238820603</v>
      </c>
      <c r="O136">
        <v>47.419923915434602</v>
      </c>
      <c r="P136">
        <v>-0.124412600566599</v>
      </c>
      <c r="Q136">
        <v>9.7716907296937994E-2</v>
      </c>
      <c r="R136">
        <v>0.98834029105195698</v>
      </c>
      <c r="S136" t="s">
        <v>6421</v>
      </c>
      <c r="T136" t="s">
        <v>12568</v>
      </c>
      <c r="U136" t="s">
        <v>12568</v>
      </c>
      <c r="V136" t="s">
        <v>12568</v>
      </c>
      <c r="W136" t="s">
        <v>12702</v>
      </c>
      <c r="X136">
        <v>4</v>
      </c>
      <c r="Y136" t="s">
        <v>18932</v>
      </c>
      <c r="Z136" t="s">
        <v>25006</v>
      </c>
      <c r="AA136">
        <v>0.33643658624082268</v>
      </c>
      <c r="AB136" t="str">
        <f>HYPERLINK("Melting_Curves/meltCurve_B4DX32_KIN.pdf", "Melting_Curves/meltCurve_B4DX32_KIN.pdf")</f>
        <v>Melting_Curves/meltCurve_B4DX32_KIN.pdf</v>
      </c>
    </row>
    <row r="137" spans="1:28" x14ac:dyDescent="0.25">
      <c r="A137" t="s">
        <v>141</v>
      </c>
      <c r="B137">
        <v>0.99352677808782597</v>
      </c>
      <c r="C137">
        <v>0.87544862909647503</v>
      </c>
      <c r="D137">
        <v>0.84708144941923702</v>
      </c>
      <c r="E137">
        <v>0.55926344491277702</v>
      </c>
      <c r="F137">
        <v>0.48841972181249899</v>
      </c>
      <c r="G137">
        <v>0.45847005872773</v>
      </c>
      <c r="H137">
        <v>0.38263302108007302</v>
      </c>
      <c r="I137">
        <v>0.43384367512268901</v>
      </c>
      <c r="J137">
        <v>0.40775720321800402</v>
      </c>
      <c r="K137">
        <v>0.36037201088260101</v>
      </c>
      <c r="L137">
        <v>816.81427057817803</v>
      </c>
      <c r="M137">
        <v>17.0569483071699</v>
      </c>
      <c r="N137">
        <v>52.619762656729698</v>
      </c>
      <c r="O137">
        <v>47.243791554524599</v>
      </c>
      <c r="P137">
        <v>-5.4866822514243803E-2</v>
      </c>
      <c r="Q137">
        <v>0.39216352634420998</v>
      </c>
      <c r="R137">
        <v>0.97949849721959903</v>
      </c>
      <c r="S137" t="s">
        <v>6422</v>
      </c>
      <c r="T137" t="s">
        <v>12568</v>
      </c>
      <c r="U137" t="s">
        <v>12568</v>
      </c>
      <c r="V137" t="s">
        <v>12568</v>
      </c>
      <c r="W137" t="s">
        <v>12703</v>
      </c>
      <c r="X137">
        <v>10</v>
      </c>
      <c r="Y137" t="s">
        <v>18933</v>
      </c>
      <c r="Z137" t="s">
        <v>25007</v>
      </c>
      <c r="AA137">
        <v>0.56408213731106494</v>
      </c>
      <c r="AB137" t="str">
        <f>HYPERLINK("Melting_Curves/meltCurve_B4DXZ6_FXR1.pdf", "Melting_Curves/meltCurve_B4DXZ6_FXR1.pdf")</f>
        <v>Melting_Curves/meltCurve_B4DXZ6_FXR1.pdf</v>
      </c>
    </row>
    <row r="138" spans="1:28" x14ac:dyDescent="0.25">
      <c r="A138" t="s">
        <v>142</v>
      </c>
      <c r="B138">
        <v>0.99352677808782597</v>
      </c>
      <c r="C138">
        <v>0.93568928317731803</v>
      </c>
      <c r="D138">
        <v>0.93077423760505096</v>
      </c>
      <c r="E138">
        <v>0.49901088965771001</v>
      </c>
      <c r="F138">
        <v>0.453771823249559</v>
      </c>
      <c r="G138">
        <v>0.314652693865899</v>
      </c>
      <c r="H138">
        <v>0.26282133362743898</v>
      </c>
      <c r="I138">
        <v>0.271623358330842</v>
      </c>
      <c r="J138">
        <v>0.26165179782582698</v>
      </c>
      <c r="K138">
        <v>0.225927449215205</v>
      </c>
      <c r="L138">
        <v>1056.7583435615099</v>
      </c>
      <c r="M138">
        <v>21.449729413041101</v>
      </c>
      <c r="N138">
        <v>51.0011768267779</v>
      </c>
      <c r="O138">
        <v>48.844527436</v>
      </c>
      <c r="P138">
        <v>-8.13624687092106E-2</v>
      </c>
      <c r="Q138">
        <v>0.25891591761518701</v>
      </c>
      <c r="R138">
        <v>0.98230265616299195</v>
      </c>
      <c r="S138" t="s">
        <v>6423</v>
      </c>
      <c r="T138" t="s">
        <v>12568</v>
      </c>
      <c r="U138" t="s">
        <v>12568</v>
      </c>
      <c r="V138" t="s">
        <v>12568</v>
      </c>
      <c r="W138" t="s">
        <v>12704</v>
      </c>
      <c r="X138">
        <v>4</v>
      </c>
      <c r="Y138" t="s">
        <v>18934</v>
      </c>
      <c r="Z138" t="s">
        <v>25008</v>
      </c>
      <c r="AA138">
        <v>0.49682283727303378</v>
      </c>
      <c r="AB138" t="str">
        <f>HYPERLINK("Melting_Curves/meltCurve_B4DYB4_NUP35.pdf", "Melting_Curves/meltCurve_B4DYB4_NUP35.pdf")</f>
        <v>Melting_Curves/meltCurve_B4DYB4_NUP35.pdf</v>
      </c>
    </row>
    <row r="139" spans="1:28" x14ac:dyDescent="0.25">
      <c r="A139" t="s">
        <v>143</v>
      </c>
      <c r="B139">
        <v>0.99352677808782597</v>
      </c>
      <c r="C139">
        <v>0.90569900846503903</v>
      </c>
      <c r="D139">
        <v>0.70926529797777504</v>
      </c>
      <c r="E139">
        <v>0.39609433826878399</v>
      </c>
      <c r="F139">
        <v>0.344678273780197</v>
      </c>
      <c r="G139">
        <v>0.242708193498302</v>
      </c>
      <c r="H139">
        <v>0.21324941516949</v>
      </c>
      <c r="I139">
        <v>0.22962724157777401</v>
      </c>
      <c r="J139">
        <v>0.182284607570631</v>
      </c>
      <c r="K139">
        <v>0.13252494226776901</v>
      </c>
      <c r="L139">
        <v>821.782450080996</v>
      </c>
      <c r="M139">
        <v>17.266857987490301</v>
      </c>
      <c r="N139">
        <v>48.908460165281298</v>
      </c>
      <c r="O139">
        <v>46.968462876830003</v>
      </c>
      <c r="P139">
        <v>-7.4840031906724003E-2</v>
      </c>
      <c r="Q139">
        <v>0.18574281878731999</v>
      </c>
      <c r="R139">
        <v>0.99080423329352796</v>
      </c>
      <c r="S139" t="s">
        <v>6424</v>
      </c>
      <c r="T139" t="s">
        <v>12568</v>
      </c>
      <c r="U139" t="s">
        <v>12568</v>
      </c>
      <c r="V139" t="s">
        <v>12568</v>
      </c>
      <c r="W139" t="s">
        <v>12705</v>
      </c>
      <c r="X139">
        <v>11</v>
      </c>
      <c r="Y139" t="s">
        <v>18935</v>
      </c>
      <c r="Z139" t="s">
        <v>25009</v>
      </c>
      <c r="AA139">
        <v>0.407825719634485</v>
      </c>
      <c r="AB139" t="str">
        <f>HYPERLINK("Melting_Curves/meltCurve_B4DZH6_HDAC6.pdf", "Melting_Curves/meltCurve_B4DZH6_HDAC6.pdf")</f>
        <v>Melting_Curves/meltCurve_B4DZH6_HDAC6.pdf</v>
      </c>
    </row>
    <row r="140" spans="1:28" x14ac:dyDescent="0.25">
      <c r="A140" t="s">
        <v>144</v>
      </c>
      <c r="B140">
        <v>0.99352677808782597</v>
      </c>
      <c r="C140">
        <v>0.979305189614182</v>
      </c>
      <c r="D140">
        <v>1.1610162847177601</v>
      </c>
      <c r="E140">
        <v>0.83074390653038999</v>
      </c>
      <c r="F140">
        <v>0.64963500545391295</v>
      </c>
      <c r="G140">
        <v>0.65475120206160997</v>
      </c>
      <c r="H140">
        <v>0.62038484411839201</v>
      </c>
      <c r="I140">
        <v>0.61274017967899097</v>
      </c>
      <c r="J140">
        <v>0.62005120787109602</v>
      </c>
      <c r="K140">
        <v>0.61706300826050497</v>
      </c>
      <c r="L140">
        <v>3870.6811287630699</v>
      </c>
      <c r="M140">
        <v>77.215869221066995</v>
      </c>
      <c r="O140">
        <v>50.094459819033702</v>
      </c>
      <c r="P140">
        <v>-0.143337747148369</v>
      </c>
      <c r="Q140">
        <v>0.62803366694812601</v>
      </c>
      <c r="R140">
        <v>0.92462490652373197</v>
      </c>
      <c r="S140" t="s">
        <v>6425</v>
      </c>
      <c r="T140" t="s">
        <v>12568</v>
      </c>
      <c r="U140" t="s">
        <v>12568</v>
      </c>
      <c r="V140" t="s">
        <v>12568</v>
      </c>
      <c r="W140" t="s">
        <v>12706</v>
      </c>
      <c r="X140">
        <v>1</v>
      </c>
      <c r="Y140" t="s">
        <v>18936</v>
      </c>
      <c r="Z140" t="s">
        <v>25010</v>
      </c>
      <c r="AA140">
        <v>0.75395389635608157</v>
      </c>
      <c r="AB140" t="str">
        <f>HYPERLINK("Melting_Curves/meltCurve_B4DZN9_ARHGAP11A.pdf", "Melting_Curves/meltCurve_B4DZN9_ARHGAP11A.pdf")</f>
        <v>Melting_Curves/meltCurve_B4DZN9_ARHGAP11A.pdf</v>
      </c>
    </row>
    <row r="141" spans="1:28" x14ac:dyDescent="0.25">
      <c r="A141" t="s">
        <v>145</v>
      </c>
      <c r="B141">
        <v>0.99352677808782597</v>
      </c>
      <c r="C141">
        <v>0.91845978893747604</v>
      </c>
      <c r="D141">
        <v>0.94345539975359605</v>
      </c>
      <c r="E141">
        <v>0.42456213285010902</v>
      </c>
      <c r="F141">
        <v>0.36621431600622101</v>
      </c>
      <c r="G141">
        <v>0.17596160172568101</v>
      </c>
      <c r="H141">
        <v>0.10438103417330299</v>
      </c>
      <c r="I141">
        <v>9.9246589251289999E-2</v>
      </c>
      <c r="J141">
        <v>8.8820911374758393E-2</v>
      </c>
      <c r="K141">
        <v>7.3043182376270693E-2</v>
      </c>
      <c r="L141">
        <v>1000.18428426564</v>
      </c>
      <c r="M141">
        <v>20.1072447330539</v>
      </c>
      <c r="N141">
        <v>50.2412623083708</v>
      </c>
      <c r="O141">
        <v>49.258313352724997</v>
      </c>
      <c r="P141">
        <v>-9.2819683061271197E-2</v>
      </c>
      <c r="Q141">
        <v>9.0477989973939202E-2</v>
      </c>
      <c r="R141">
        <v>0.98073395382049</v>
      </c>
      <c r="S141" t="s">
        <v>6426</v>
      </c>
      <c r="T141" t="s">
        <v>12568</v>
      </c>
      <c r="U141" t="s">
        <v>12568</v>
      </c>
      <c r="V141" t="s">
        <v>12568</v>
      </c>
      <c r="W141" t="s">
        <v>12707</v>
      </c>
      <c r="X141">
        <v>8</v>
      </c>
      <c r="Y141" t="s">
        <v>18937</v>
      </c>
      <c r="Z141" t="s">
        <v>25011</v>
      </c>
      <c r="AA141">
        <v>0.3983875247621409</v>
      </c>
      <c r="AB141" t="str">
        <f>HYPERLINK("Melting_Curves/meltCurve_B4E0G4_PHF6.pdf", "Melting_Curves/meltCurve_B4E0G4_PHF6.pdf")</f>
        <v>Melting_Curves/meltCurve_B4E0G4_PHF6.pdf</v>
      </c>
    </row>
    <row r="142" spans="1:28" x14ac:dyDescent="0.25">
      <c r="A142" t="s">
        <v>146</v>
      </c>
      <c r="B142">
        <v>0.99352677808782597</v>
      </c>
      <c r="C142">
        <v>0.97565438203014798</v>
      </c>
      <c r="D142">
        <v>0.998483037520977</v>
      </c>
      <c r="E142">
        <v>0.55773885506258503</v>
      </c>
      <c r="F142">
        <v>0.46467966795728899</v>
      </c>
      <c r="G142">
        <v>0.30744906562004198</v>
      </c>
      <c r="H142">
        <v>0.23314421388968401</v>
      </c>
      <c r="I142">
        <v>0.183445264363713</v>
      </c>
      <c r="J142">
        <v>0.19442990418769299</v>
      </c>
      <c r="K142">
        <v>0.138795968894081</v>
      </c>
      <c r="L142">
        <v>976.76242873455203</v>
      </c>
      <c r="M142">
        <v>19.2581042483224</v>
      </c>
      <c r="N142">
        <v>51.932587535722099</v>
      </c>
      <c r="O142">
        <v>50.182159863629799</v>
      </c>
      <c r="P142">
        <v>-7.8566049475386507E-2</v>
      </c>
      <c r="Q142">
        <v>0.18113122650826299</v>
      </c>
      <c r="R142">
        <v>0.98000271286969498</v>
      </c>
      <c r="S142" t="s">
        <v>6427</v>
      </c>
      <c r="T142" t="s">
        <v>12568</v>
      </c>
      <c r="U142" t="s">
        <v>12568</v>
      </c>
      <c r="V142" t="s">
        <v>12568</v>
      </c>
      <c r="W142" t="s">
        <v>12708</v>
      </c>
      <c r="X142">
        <v>4</v>
      </c>
      <c r="Y142" t="s">
        <v>18938</v>
      </c>
      <c r="Z142" t="s">
        <v>25012</v>
      </c>
      <c r="AA142">
        <v>0.48594252655242071</v>
      </c>
      <c r="AB142" t="str">
        <f>HYPERLINK("Melting_Curves/meltCurve_B4E0T7_LRCH3.pdf", "Melting_Curves/meltCurve_B4E0T7_LRCH3.pdf")</f>
        <v>Melting_Curves/meltCurve_B4E0T7_LRCH3.pdf</v>
      </c>
    </row>
    <row r="143" spans="1:28" x14ac:dyDescent="0.25">
      <c r="A143" t="s">
        <v>147</v>
      </c>
      <c r="B143">
        <v>0.99352677808782597</v>
      </c>
      <c r="C143">
        <v>0.79961779683242096</v>
      </c>
      <c r="D143">
        <v>0.99522178788165305</v>
      </c>
      <c r="E143">
        <v>0.67134798145321894</v>
      </c>
      <c r="F143">
        <v>0.57086593918958495</v>
      </c>
      <c r="G143">
        <v>0.43850903282787002</v>
      </c>
      <c r="H143">
        <v>0.62642036877390095</v>
      </c>
      <c r="I143">
        <v>0.46006783993098899</v>
      </c>
      <c r="J143">
        <v>0.33361103794386998</v>
      </c>
      <c r="K143">
        <v>0.35495906891991902</v>
      </c>
      <c r="L143">
        <v>536.93645429327705</v>
      </c>
      <c r="M143">
        <v>10.5316765579331</v>
      </c>
      <c r="N143">
        <v>57.837686976186497</v>
      </c>
      <c r="O143">
        <v>49.247781166683303</v>
      </c>
      <c r="P143">
        <v>-3.4417751952081702E-2</v>
      </c>
      <c r="Q143">
        <v>0.35648543747967698</v>
      </c>
      <c r="R143">
        <v>0.83785192316190304</v>
      </c>
      <c r="S143" t="s">
        <v>6428</v>
      </c>
      <c r="T143" t="s">
        <v>12568</v>
      </c>
      <c r="U143" t="s">
        <v>12568</v>
      </c>
      <c r="V143" t="s">
        <v>12568</v>
      </c>
      <c r="W143" t="s">
        <v>12709</v>
      </c>
      <c r="X143">
        <v>1</v>
      </c>
      <c r="Y143" t="s">
        <v>18939</v>
      </c>
      <c r="Z143" t="s">
        <v>25013</v>
      </c>
      <c r="AA143">
        <v>0.6171787625404751</v>
      </c>
      <c r="AB143" t="str">
        <f>HYPERLINK("Melting_Curves/meltCurve_B4E1J0_PBXIP1.pdf", "Melting_Curves/meltCurve_B4E1J0_PBXIP1.pdf")</f>
        <v>Melting_Curves/meltCurve_B4E1J0_PBXIP1.pdf</v>
      </c>
    </row>
    <row r="144" spans="1:28" x14ac:dyDescent="0.25">
      <c r="A144" t="s">
        <v>148</v>
      </c>
      <c r="B144">
        <v>0.99352677808782597</v>
      </c>
      <c r="C144">
        <v>1.0801645368711601</v>
      </c>
      <c r="D144">
        <v>0.99224073579343297</v>
      </c>
      <c r="E144">
        <v>0.81715448773631305</v>
      </c>
      <c r="F144">
        <v>0.70074993289355303</v>
      </c>
      <c r="G144">
        <v>0.668050299450344</v>
      </c>
      <c r="H144">
        <v>0.71211862690376704</v>
      </c>
      <c r="I144">
        <v>0.60508386739630904</v>
      </c>
      <c r="J144">
        <v>0.73074593855592695</v>
      </c>
      <c r="K144">
        <v>0.50960242841396497</v>
      </c>
      <c r="L144">
        <v>1613.49463506487</v>
      </c>
      <c r="M144">
        <v>32.223587852079099</v>
      </c>
      <c r="O144">
        <v>49.880188554727198</v>
      </c>
      <c r="P144">
        <v>-5.7555694551310203E-2</v>
      </c>
      <c r="Q144">
        <v>0.64363062948433802</v>
      </c>
      <c r="R144">
        <v>0.87526266579734202</v>
      </c>
      <c r="S144" t="s">
        <v>6429</v>
      </c>
      <c r="T144" t="s">
        <v>12568</v>
      </c>
      <c r="U144" t="s">
        <v>12568</v>
      </c>
      <c r="V144" t="s">
        <v>12568</v>
      </c>
      <c r="W144" t="s">
        <v>12710</v>
      </c>
      <c r="X144">
        <v>3</v>
      </c>
      <c r="Y144" t="s">
        <v>18940</v>
      </c>
      <c r="Z144" t="s">
        <v>25014</v>
      </c>
      <c r="AA144">
        <v>0.765183569016194</v>
      </c>
      <c r="AB144" t="str">
        <f>HYPERLINK("Melting_Curves/meltCurve_B4E1M0_MSANTD2.pdf", "Melting_Curves/meltCurve_B4E1M0_MSANTD2.pdf")</f>
        <v>Melting_Curves/meltCurve_B4E1M0_MSANTD2.pdf</v>
      </c>
    </row>
    <row r="145" spans="1:28" x14ac:dyDescent="0.25">
      <c r="A145" t="s">
        <v>149</v>
      </c>
      <c r="B145">
        <v>0.99352677808782597</v>
      </c>
      <c r="C145">
        <v>0.86500036337428698</v>
      </c>
      <c r="D145">
        <v>0.97700142083951302</v>
      </c>
      <c r="E145">
        <v>0.65703248903201095</v>
      </c>
      <c r="F145">
        <v>0.62671130630446503</v>
      </c>
      <c r="G145">
        <v>0.39802336803625799</v>
      </c>
      <c r="H145">
        <v>0.336871061736922</v>
      </c>
      <c r="I145">
        <v>0.27876238242523999</v>
      </c>
      <c r="J145">
        <v>0.25241700545269402</v>
      </c>
      <c r="K145">
        <v>0.200828778138847</v>
      </c>
      <c r="L145">
        <v>612.91216675682699</v>
      </c>
      <c r="M145">
        <v>11.5672379172939</v>
      </c>
      <c r="N145">
        <v>55.001954953740501</v>
      </c>
      <c r="O145">
        <v>51.477513087089697</v>
      </c>
      <c r="P145">
        <v>-4.6486639588583401E-2</v>
      </c>
      <c r="Q145">
        <v>0.17271458634242101</v>
      </c>
      <c r="R145">
        <v>0.970867779179998</v>
      </c>
      <c r="S145" t="s">
        <v>6430</v>
      </c>
      <c r="T145" t="s">
        <v>12568</v>
      </c>
      <c r="U145" t="s">
        <v>12568</v>
      </c>
      <c r="V145" t="s">
        <v>12568</v>
      </c>
      <c r="W145" t="s">
        <v>12711</v>
      </c>
      <c r="X145">
        <v>3</v>
      </c>
      <c r="Y145" t="s">
        <v>18941</v>
      </c>
      <c r="Z145" t="s">
        <v>25015</v>
      </c>
      <c r="AA145">
        <v>0.55539068509007161</v>
      </c>
      <c r="AB145" t="str">
        <f>HYPERLINK("Melting_Curves/meltCurve_B4E1N6_RAF1.pdf", "Melting_Curves/meltCurve_B4E1N6_RAF1.pdf")</f>
        <v>Melting_Curves/meltCurve_B4E1N6_RAF1.pdf</v>
      </c>
    </row>
    <row r="146" spans="1:28" x14ac:dyDescent="0.25">
      <c r="A146" t="s">
        <v>150</v>
      </c>
      <c r="B146">
        <v>0.99352677808782597</v>
      </c>
      <c r="C146">
        <v>0.85830827060431503</v>
      </c>
      <c r="D146">
        <v>0.57761634442072596</v>
      </c>
      <c r="E146">
        <v>0.47228008183184</v>
      </c>
      <c r="F146">
        <v>0.43262021995830102</v>
      </c>
      <c r="G146">
        <v>0.379730788886677</v>
      </c>
      <c r="H146">
        <v>0.40318306142910199</v>
      </c>
      <c r="I146">
        <v>0.35187098269380102</v>
      </c>
      <c r="J146">
        <v>0.26074280608899902</v>
      </c>
      <c r="K146">
        <v>0.308889513369002</v>
      </c>
      <c r="L146">
        <v>834.18161103929106</v>
      </c>
      <c r="M146">
        <v>18.353655546871899</v>
      </c>
      <c r="N146">
        <v>48.514791131299901</v>
      </c>
      <c r="O146">
        <v>44.921177174017899</v>
      </c>
      <c r="P146">
        <v>-6.7096771326676297E-2</v>
      </c>
      <c r="Q146">
        <v>0.34314377911966698</v>
      </c>
      <c r="R146">
        <v>0.961455665618421</v>
      </c>
      <c r="S146" t="s">
        <v>6431</v>
      </c>
      <c r="T146" t="s">
        <v>12568</v>
      </c>
      <c r="U146" t="s">
        <v>12568</v>
      </c>
      <c r="V146" t="s">
        <v>12568</v>
      </c>
      <c r="W146" t="s">
        <v>12712</v>
      </c>
      <c r="X146">
        <v>2</v>
      </c>
      <c r="Y146" t="s">
        <v>18942</v>
      </c>
      <c r="Z146" t="s">
        <v>25016</v>
      </c>
      <c r="AA146">
        <v>0.47541721610961091</v>
      </c>
      <c r="AB146" t="str">
        <f>HYPERLINK("Melting_Curves/meltCurve_B4E1Q4_RIOK3.pdf", "Melting_Curves/meltCurve_B4E1Q4_RIOK3.pdf")</f>
        <v>Melting_Curves/meltCurve_B4E1Q4_RIOK3.pdf</v>
      </c>
    </row>
    <row r="147" spans="1:28" x14ac:dyDescent="0.25">
      <c r="A147" t="s">
        <v>151</v>
      </c>
      <c r="B147">
        <v>0.99352677808782597</v>
      </c>
      <c r="C147">
        <v>0.91807687380080105</v>
      </c>
      <c r="D147">
        <v>1.1107202285473701</v>
      </c>
      <c r="E147">
        <v>0.90454419677419595</v>
      </c>
      <c r="F147">
        <v>0.81630993874129998</v>
      </c>
      <c r="G147">
        <v>0.87847343461549898</v>
      </c>
      <c r="H147">
        <v>0.92005065345209602</v>
      </c>
      <c r="I147">
        <v>1.0966283754300199</v>
      </c>
      <c r="J147">
        <v>1.1256440206337699</v>
      </c>
      <c r="K147">
        <v>0.90606060937064603</v>
      </c>
      <c r="L147">
        <v>15000</v>
      </c>
      <c r="M147">
        <v>212.01913545545901</v>
      </c>
      <c r="Q147">
        <v>0</v>
      </c>
      <c r="R147">
        <v>-1.9463696541933698E-2</v>
      </c>
      <c r="S147" t="s">
        <v>6432</v>
      </c>
      <c r="T147" t="s">
        <v>12568</v>
      </c>
      <c r="U147" t="s">
        <v>12568</v>
      </c>
      <c r="V147" t="s">
        <v>12568</v>
      </c>
      <c r="W147" t="s">
        <v>12713</v>
      </c>
      <c r="X147">
        <v>6</v>
      </c>
      <c r="Y147" t="s">
        <v>18943</v>
      </c>
      <c r="Z147" t="s">
        <v>25017</v>
      </c>
      <c r="AA147">
        <v>0.99893607781374294</v>
      </c>
      <c r="AB147" t="str">
        <f>HYPERLINK("Melting_Curves/meltCurve_B4E241_SFRS3.pdf", "Melting_Curves/meltCurve_B4E241_SFRS3.pdf")</f>
        <v>Melting_Curves/meltCurve_B4E241_SFRS3.pdf</v>
      </c>
    </row>
    <row r="148" spans="1:28" x14ac:dyDescent="0.25">
      <c r="A148" t="s">
        <v>152</v>
      </c>
      <c r="B148">
        <v>0.99352677808782597</v>
      </c>
      <c r="C148">
        <v>0.92164224794324401</v>
      </c>
      <c r="D148">
        <v>0.96090300223146496</v>
      </c>
      <c r="E148">
        <v>0.93799285657820397</v>
      </c>
      <c r="F148">
        <v>0.92399132854806798</v>
      </c>
      <c r="G148">
        <v>0.67203449326657105</v>
      </c>
      <c r="H148">
        <v>0.53339745420955997</v>
      </c>
      <c r="I148">
        <v>0.67778093833456898</v>
      </c>
      <c r="J148">
        <v>0.88255832017533897</v>
      </c>
      <c r="K148">
        <v>1.1061109995177101</v>
      </c>
      <c r="L148">
        <v>10488.776269046701</v>
      </c>
      <c r="M148">
        <v>197.22425850279299</v>
      </c>
      <c r="O148">
        <v>53.176510693539797</v>
      </c>
      <c r="P148">
        <v>-0.20920154367524199</v>
      </c>
      <c r="Q148">
        <v>0.77437647640168195</v>
      </c>
      <c r="R148">
        <v>0.24106834000146099</v>
      </c>
      <c r="S148" t="s">
        <v>6433</v>
      </c>
      <c r="T148" t="s">
        <v>12568</v>
      </c>
      <c r="U148" t="s">
        <v>12568</v>
      </c>
      <c r="V148" t="s">
        <v>12568</v>
      </c>
      <c r="W148" t="s">
        <v>12714</v>
      </c>
      <c r="X148">
        <v>2</v>
      </c>
      <c r="Y148" t="s">
        <v>18944</v>
      </c>
      <c r="Z148" t="s">
        <v>25018</v>
      </c>
      <c r="AA148">
        <v>0.87354913146938629</v>
      </c>
      <c r="AB148" t="str">
        <f>HYPERLINK("Melting_Curves/meltCurve_B4E2S7_LAMP2.pdf", "Melting_Curves/meltCurve_B4E2S7_LAMP2.pdf")</f>
        <v>Melting_Curves/meltCurve_B4E2S7_LAMP2.pdf</v>
      </c>
    </row>
    <row r="149" spans="1:28" x14ac:dyDescent="0.25">
      <c r="A149" t="s">
        <v>153</v>
      </c>
      <c r="B149">
        <v>0.99352677808782597</v>
      </c>
      <c r="C149">
        <v>0.98121843237898698</v>
      </c>
      <c r="D149">
        <v>0.83667420400816195</v>
      </c>
      <c r="E149">
        <v>0.48732170149142801</v>
      </c>
      <c r="F149">
        <v>0.390586855490964</v>
      </c>
      <c r="G149">
        <v>0.21443423476724799</v>
      </c>
      <c r="H149">
        <v>0.16130245857506401</v>
      </c>
      <c r="I149">
        <v>0.17931666766867499</v>
      </c>
      <c r="J149">
        <v>0.149676319937913</v>
      </c>
      <c r="K149">
        <v>0.12974133829812601</v>
      </c>
      <c r="L149">
        <v>896.07138509837796</v>
      </c>
      <c r="M149">
        <v>18.105617760327</v>
      </c>
      <c r="N149">
        <v>50.445785567563597</v>
      </c>
      <c r="O149">
        <v>48.899447667093902</v>
      </c>
      <c r="P149">
        <v>-7.9145124239194495E-2</v>
      </c>
      <c r="Q149">
        <v>0.14502416395666201</v>
      </c>
      <c r="R149">
        <v>0.99439656714978097</v>
      </c>
      <c r="S149" t="s">
        <v>6434</v>
      </c>
      <c r="T149" t="s">
        <v>12568</v>
      </c>
      <c r="U149" t="s">
        <v>12568</v>
      </c>
      <c r="V149" t="s">
        <v>12568</v>
      </c>
      <c r="W149" t="s">
        <v>12715</v>
      </c>
      <c r="X149">
        <v>12</v>
      </c>
      <c r="Y149" t="s">
        <v>18945</v>
      </c>
      <c r="Z149" t="s">
        <v>25019</v>
      </c>
      <c r="AA149">
        <v>0.43003895604003062</v>
      </c>
      <c r="AB149" t="str">
        <f>HYPERLINK("Melting_Curves/meltCurve_B4E2W0_HADHB.pdf", "Melting_Curves/meltCurve_B4E2W0_HADHB.pdf")</f>
        <v>Melting_Curves/meltCurve_B4E2W0_HADHB.pdf</v>
      </c>
    </row>
    <row r="150" spans="1:28" x14ac:dyDescent="0.25">
      <c r="A150" t="s">
        <v>154</v>
      </c>
      <c r="B150">
        <v>0.99352677808782597</v>
      </c>
      <c r="C150">
        <v>0.85714043961860298</v>
      </c>
      <c r="D150">
        <v>0.64226327495515301</v>
      </c>
      <c r="E150">
        <v>0.24191106952651301</v>
      </c>
      <c r="F150">
        <v>0.19205653480030199</v>
      </c>
      <c r="G150">
        <v>9.8926084978792406E-2</v>
      </c>
      <c r="H150">
        <v>7.1457972160378094E-2</v>
      </c>
      <c r="I150">
        <v>6.6871637483322005E-2</v>
      </c>
      <c r="J150">
        <v>4.2310478754707601E-2</v>
      </c>
      <c r="K150">
        <v>3.25194844746447E-2</v>
      </c>
      <c r="L150">
        <v>904.86672944318502</v>
      </c>
      <c r="M150">
        <v>19.246332548471202</v>
      </c>
      <c r="N150">
        <v>47.296556211423002</v>
      </c>
      <c r="O150">
        <v>46.5162804875606</v>
      </c>
      <c r="P150">
        <v>-9.7843729970012394E-2</v>
      </c>
      <c r="Q150">
        <v>5.4125464721262E-2</v>
      </c>
      <c r="R150">
        <v>0.99551352760605705</v>
      </c>
      <c r="S150" t="s">
        <v>6435</v>
      </c>
      <c r="T150" t="s">
        <v>12568</v>
      </c>
      <c r="U150" t="s">
        <v>12568</v>
      </c>
      <c r="V150" t="s">
        <v>12568</v>
      </c>
      <c r="W150" t="s">
        <v>12716</v>
      </c>
      <c r="X150">
        <v>10</v>
      </c>
      <c r="Y150" t="s">
        <v>18946</v>
      </c>
      <c r="Z150" t="s">
        <v>25020</v>
      </c>
      <c r="AA150">
        <v>0.29036485771435783</v>
      </c>
      <c r="AB150" t="str">
        <f>HYPERLINK("Melting_Curves/meltCurve_B4E2X3_METTL13.pdf", "Melting_Curves/meltCurve_B4E2X3_METTL13.pdf")</f>
        <v>Melting_Curves/meltCurve_B4E2X3_METTL13.pdf</v>
      </c>
    </row>
    <row r="151" spans="1:28" x14ac:dyDescent="0.25">
      <c r="A151" t="s">
        <v>155</v>
      </c>
      <c r="B151">
        <v>0.99352677808782597</v>
      </c>
      <c r="C151">
        <v>0.96840114679995204</v>
      </c>
      <c r="D151">
        <v>1.01231380226867</v>
      </c>
      <c r="E151">
        <v>0.65622264994220203</v>
      </c>
      <c r="F151">
        <v>0.62104176623165297</v>
      </c>
      <c r="G151">
        <v>0.41999352662415801</v>
      </c>
      <c r="H151">
        <v>0.42853308047412603</v>
      </c>
      <c r="I151">
        <v>0.43552390703259303</v>
      </c>
      <c r="J151">
        <v>0.26693909862659099</v>
      </c>
      <c r="K151">
        <v>0.19999719636435301</v>
      </c>
      <c r="L151">
        <v>682.09161905643498</v>
      </c>
      <c r="M151">
        <v>12.976268128253601</v>
      </c>
      <c r="N151">
        <v>55.7051625207936</v>
      </c>
      <c r="O151">
        <v>51.3631458936093</v>
      </c>
      <c r="P151">
        <v>-4.6782362427773401E-2</v>
      </c>
      <c r="Q151">
        <v>0.25942903610822698</v>
      </c>
      <c r="R151">
        <v>0.94197799589736197</v>
      </c>
      <c r="S151" t="s">
        <v>6436</v>
      </c>
      <c r="T151" t="s">
        <v>12568</v>
      </c>
      <c r="U151" t="s">
        <v>12568</v>
      </c>
      <c r="V151" t="s">
        <v>12568</v>
      </c>
      <c r="W151" t="s">
        <v>12717</v>
      </c>
      <c r="X151">
        <v>3</v>
      </c>
      <c r="Y151" t="s">
        <v>18947</v>
      </c>
      <c r="Z151" t="s">
        <v>25021</v>
      </c>
      <c r="AA151">
        <v>0.58937087846863057</v>
      </c>
      <c r="AB151" t="str">
        <f>HYPERLINK("Melting_Curves/meltCurve_B4E3E5_DVL3.pdf", "Melting_Curves/meltCurve_B4E3E5_DVL3.pdf")</f>
        <v>Melting_Curves/meltCurve_B4E3E5_DVL3.pdf</v>
      </c>
    </row>
    <row r="152" spans="1:28" x14ac:dyDescent="0.25">
      <c r="A152" t="s">
        <v>156</v>
      </c>
      <c r="B152">
        <v>0.99352677808782597</v>
      </c>
      <c r="C152">
        <v>0.95757494992451597</v>
      </c>
      <c r="D152">
        <v>0.75043956719265204</v>
      </c>
      <c r="E152">
        <v>0.30364662742821302</v>
      </c>
      <c r="F152">
        <v>0.243155401577034</v>
      </c>
      <c r="G152">
        <v>0.16139852180176001</v>
      </c>
      <c r="H152">
        <v>0.13385145120303299</v>
      </c>
      <c r="I152">
        <v>0.12403708574423999</v>
      </c>
      <c r="J152">
        <v>0.101817265745901</v>
      </c>
      <c r="K152">
        <v>8.3729223159388994E-2</v>
      </c>
      <c r="L152">
        <v>1145.7037153163101</v>
      </c>
      <c r="M152">
        <v>24.0204403096525</v>
      </c>
      <c r="N152">
        <v>48.249988449721499</v>
      </c>
      <c r="O152">
        <v>47.370114757526402</v>
      </c>
      <c r="P152">
        <v>-0.111518624380814</v>
      </c>
      <c r="Q152">
        <v>0.12032099614726301</v>
      </c>
      <c r="R152">
        <v>0.99472732098628602</v>
      </c>
      <c r="S152" t="s">
        <v>6437</v>
      </c>
      <c r="T152" t="s">
        <v>12568</v>
      </c>
      <c r="U152" t="s">
        <v>12568</v>
      </c>
      <c r="V152" t="s">
        <v>12568</v>
      </c>
      <c r="W152" t="s">
        <v>12718</v>
      </c>
      <c r="X152">
        <v>8</v>
      </c>
      <c r="Y152" t="s">
        <v>18948</v>
      </c>
      <c r="Z152" t="s">
        <v>25022</v>
      </c>
      <c r="AA152">
        <v>0.35450201450871432</v>
      </c>
      <c r="AB152" t="str">
        <f>HYPERLINK("Melting_Curves/meltCurve_B5MCF9_PES1.pdf", "Melting_Curves/meltCurve_B5MCF9_PES1.pdf")</f>
        <v>Melting_Curves/meltCurve_B5MCF9_PES1.pdf</v>
      </c>
    </row>
    <row r="153" spans="1:28" x14ac:dyDescent="0.25">
      <c r="A153" t="s">
        <v>157</v>
      </c>
      <c r="B153">
        <v>0.99352677808782597</v>
      </c>
      <c r="C153">
        <v>0.70737215673634701</v>
      </c>
      <c r="D153">
        <v>0.78729905189022598</v>
      </c>
      <c r="E153">
        <v>0.34021273246929601</v>
      </c>
      <c r="F153">
        <v>0.26521320896733203</v>
      </c>
      <c r="G153">
        <v>0.15511716516785801</v>
      </c>
      <c r="H153">
        <v>0.100967370043719</v>
      </c>
      <c r="I153">
        <v>9.2310499635274906E-2</v>
      </c>
      <c r="J153">
        <v>8.3747258370385602E-2</v>
      </c>
      <c r="K153">
        <v>6.2336174068173301E-2</v>
      </c>
      <c r="L153">
        <v>654.13319924700204</v>
      </c>
      <c r="M153">
        <v>13.631620462657899</v>
      </c>
      <c r="N153">
        <v>48.401828124804197</v>
      </c>
      <c r="O153">
        <v>46.989070019334399</v>
      </c>
      <c r="P153">
        <v>-6.8532028385797E-2</v>
      </c>
      <c r="Q153">
        <v>5.5201130220354E-2</v>
      </c>
      <c r="R153">
        <v>0.96165963943724297</v>
      </c>
      <c r="S153" t="s">
        <v>6438</v>
      </c>
      <c r="T153" t="s">
        <v>12568</v>
      </c>
      <c r="U153" t="s">
        <v>12568</v>
      </c>
      <c r="V153" t="s">
        <v>12568</v>
      </c>
      <c r="W153" t="s">
        <v>12719</v>
      </c>
      <c r="X153">
        <v>11</v>
      </c>
      <c r="Y153" t="s">
        <v>18949</v>
      </c>
      <c r="Z153" t="s">
        <v>25023</v>
      </c>
      <c r="AA153">
        <v>0.33601142169386211</v>
      </c>
      <c r="AB153" t="str">
        <f>HYPERLINK("Melting_Curves/meltCurve_B5MCT7_PPM1F.pdf", "Melting_Curves/meltCurve_B5MCT7_PPM1F.pdf")</f>
        <v>Melting_Curves/meltCurve_B5MCT7_PPM1F.pdf</v>
      </c>
    </row>
    <row r="154" spans="1:28" x14ac:dyDescent="0.25">
      <c r="A154" t="s">
        <v>158</v>
      </c>
      <c r="B154">
        <v>0.99352677808782597</v>
      </c>
      <c r="C154">
        <v>1.0148123441324901</v>
      </c>
      <c r="D154">
        <v>0.98251700414080501</v>
      </c>
      <c r="E154">
        <v>0.75555544857221701</v>
      </c>
      <c r="F154">
        <v>0.61437560704722505</v>
      </c>
      <c r="G154">
        <v>0.50225477780460703</v>
      </c>
      <c r="H154">
        <v>0.40921527102687499</v>
      </c>
      <c r="I154">
        <v>0.41120942439529301</v>
      </c>
      <c r="J154">
        <v>0.36961944527024698</v>
      </c>
      <c r="K154">
        <v>0.31239197036163202</v>
      </c>
      <c r="L154">
        <v>872.43994440422296</v>
      </c>
      <c r="M154">
        <v>16.748882811988501</v>
      </c>
      <c r="N154">
        <v>56.163925040166497</v>
      </c>
      <c r="O154">
        <v>51.3638943321398</v>
      </c>
      <c r="P154">
        <v>-5.28570103222364E-2</v>
      </c>
      <c r="Q154">
        <v>0.35165507600902501</v>
      </c>
      <c r="R154">
        <v>0.98808317586279204</v>
      </c>
      <c r="S154" t="s">
        <v>6439</v>
      </c>
      <c r="T154" t="s">
        <v>12568</v>
      </c>
      <c r="U154" t="s">
        <v>12568</v>
      </c>
      <c r="V154" t="s">
        <v>12568</v>
      </c>
      <c r="W154" t="s">
        <v>12720</v>
      </c>
      <c r="X154">
        <v>11</v>
      </c>
      <c r="Y154" t="s">
        <v>18950</v>
      </c>
      <c r="Z154" t="s">
        <v>25024</v>
      </c>
      <c r="AA154">
        <v>0.6250733498688289</v>
      </c>
      <c r="AB154" t="str">
        <f>HYPERLINK("Melting_Curves/meltCurve_B5MCU0_R3HDM2.pdf", "Melting_Curves/meltCurve_B5MCU0_R3HDM2.pdf")</f>
        <v>Melting_Curves/meltCurve_B5MCU0_R3HDM2.pdf</v>
      </c>
    </row>
    <row r="155" spans="1:28" x14ac:dyDescent="0.25">
      <c r="A155" t="s">
        <v>159</v>
      </c>
      <c r="B155">
        <v>0.99352677808782597</v>
      </c>
      <c r="C155">
        <v>0.96191016699238396</v>
      </c>
      <c r="D155">
        <v>0.8863543197896</v>
      </c>
      <c r="E155">
        <v>0.81237823538251797</v>
      </c>
      <c r="F155">
        <v>0.74332500542937996</v>
      </c>
      <c r="G155">
        <v>0.73283442778228503</v>
      </c>
      <c r="H155">
        <v>0.60557997472847003</v>
      </c>
      <c r="I155">
        <v>0.64812426048671601</v>
      </c>
      <c r="J155">
        <v>0.71133748962038001</v>
      </c>
      <c r="K155">
        <v>0.63929325034249895</v>
      </c>
      <c r="L155">
        <v>649.799056264868</v>
      </c>
      <c r="M155">
        <v>13.177495056341</v>
      </c>
      <c r="O155">
        <v>48.217134743370302</v>
      </c>
      <c r="P155">
        <v>-2.42944025177271E-2</v>
      </c>
      <c r="Q155">
        <v>0.64448164768516203</v>
      </c>
      <c r="R155">
        <v>0.94313592904851895</v>
      </c>
      <c r="S155" t="s">
        <v>6440</v>
      </c>
      <c r="T155" t="s">
        <v>12568</v>
      </c>
      <c r="U155" t="s">
        <v>12568</v>
      </c>
      <c r="V155" t="s">
        <v>12568</v>
      </c>
      <c r="W155" t="s">
        <v>12721</v>
      </c>
      <c r="X155">
        <v>4</v>
      </c>
      <c r="Y155" t="s">
        <v>18951</v>
      </c>
      <c r="Z155" t="s">
        <v>25025</v>
      </c>
      <c r="AA155">
        <v>0.76577047891656436</v>
      </c>
      <c r="AB155" t="str">
        <f>HYPERLINK("Melting_Curves/meltCurve_B5MEB3_CABIN1.pdf", "Melting_Curves/meltCurve_B5MEB3_CABIN1.pdf")</f>
        <v>Melting_Curves/meltCurve_B5MEB3_CABIN1.pdf</v>
      </c>
    </row>
    <row r="156" spans="1:28" x14ac:dyDescent="0.25">
      <c r="A156" t="s">
        <v>160</v>
      </c>
      <c r="B156">
        <v>0.99352677808782597</v>
      </c>
      <c r="C156">
        <v>0.91132372554914898</v>
      </c>
      <c r="D156">
        <v>0.82609514757786395</v>
      </c>
      <c r="E156">
        <v>0.64452808092982905</v>
      </c>
      <c r="F156">
        <v>0.64552485529667603</v>
      </c>
      <c r="G156">
        <v>0.53413108380082497</v>
      </c>
      <c r="H156">
        <v>0.67011818921483302</v>
      </c>
      <c r="I156">
        <v>0.453509805469826</v>
      </c>
      <c r="J156">
        <v>0.44645380773126497</v>
      </c>
      <c r="K156">
        <v>0.38324291620394502</v>
      </c>
      <c r="L156">
        <v>420.58257286725001</v>
      </c>
      <c r="M156">
        <v>8.2281574490704497</v>
      </c>
      <c r="N156">
        <v>61.796826167939898</v>
      </c>
      <c r="O156">
        <v>48.362338705596599</v>
      </c>
      <c r="P156">
        <v>-2.64227195237366E-2</v>
      </c>
      <c r="Q156">
        <v>0.37941638305162001</v>
      </c>
      <c r="R156">
        <v>0.89726886657197302</v>
      </c>
      <c r="S156" t="s">
        <v>6441</v>
      </c>
      <c r="T156" t="s">
        <v>12568</v>
      </c>
      <c r="U156" t="s">
        <v>12568</v>
      </c>
      <c r="V156" t="s">
        <v>12568</v>
      </c>
      <c r="W156" t="s">
        <v>12722</v>
      </c>
      <c r="X156">
        <v>9</v>
      </c>
      <c r="Y156" t="s">
        <v>18952</v>
      </c>
      <c r="Z156" t="s">
        <v>25026</v>
      </c>
      <c r="AA156">
        <v>0.6411165658268938</v>
      </c>
      <c r="AB156" t="str">
        <f>HYPERLINK("Melting_Curves/meltCurve_B7WP27_CWC22.pdf", "Melting_Curves/meltCurve_B7WP27_CWC22.pdf")</f>
        <v>Melting_Curves/meltCurve_B7WP27_CWC22.pdf</v>
      </c>
    </row>
    <row r="157" spans="1:28" x14ac:dyDescent="0.25">
      <c r="A157" t="s">
        <v>161</v>
      </c>
      <c r="B157">
        <v>0.99352677808782597</v>
      </c>
      <c r="C157">
        <v>0.97540955053514899</v>
      </c>
      <c r="D157">
        <v>0.997315649084214</v>
      </c>
      <c r="E157">
        <v>0.95842467804331699</v>
      </c>
      <c r="F157">
        <v>0.873058285591788</v>
      </c>
      <c r="G157">
        <v>0.48302930227399798</v>
      </c>
      <c r="H157">
        <v>0.120397160094817</v>
      </c>
      <c r="I157">
        <v>9.0470766270366806E-2</v>
      </c>
      <c r="J157">
        <v>7.1813151140996498E-2</v>
      </c>
      <c r="K157">
        <v>5.5750087337232301E-2</v>
      </c>
      <c r="L157">
        <v>1659.4338495429499</v>
      </c>
      <c r="M157">
        <v>29.3603054778598</v>
      </c>
      <c r="N157">
        <v>56.731174882387997</v>
      </c>
      <c r="O157">
        <v>56.259385196476003</v>
      </c>
      <c r="P157">
        <v>-0.12370468449583</v>
      </c>
      <c r="Q157">
        <v>5.1849091235858402E-2</v>
      </c>
      <c r="R157">
        <v>0.99854893016462698</v>
      </c>
      <c r="S157" t="s">
        <v>6442</v>
      </c>
      <c r="T157" t="s">
        <v>12568</v>
      </c>
      <c r="U157" t="s">
        <v>12568</v>
      </c>
      <c r="V157" t="s">
        <v>12568</v>
      </c>
      <c r="W157" t="s">
        <v>12723</v>
      </c>
      <c r="X157">
        <v>18</v>
      </c>
      <c r="Y157" t="s">
        <v>18953</v>
      </c>
      <c r="Z157" t="s">
        <v>25027</v>
      </c>
      <c r="AA157">
        <v>0.58052559880984922</v>
      </c>
      <c r="AB157" t="str">
        <f>HYPERLINK("Melting_Curves/meltCurve_B7Z254_PDIA6.pdf", "Melting_Curves/meltCurve_B7Z254_PDIA6.pdf")</f>
        <v>Melting_Curves/meltCurve_B7Z254_PDIA6.pdf</v>
      </c>
    </row>
    <row r="158" spans="1:28" x14ac:dyDescent="0.25">
      <c r="A158" t="s">
        <v>162</v>
      </c>
      <c r="B158">
        <v>0.99352677808782597</v>
      </c>
      <c r="C158">
        <v>0.97057526166903396</v>
      </c>
      <c r="D158">
        <v>0.786436263612044</v>
      </c>
      <c r="E158">
        <v>0.54331446356966995</v>
      </c>
      <c r="F158">
        <v>0.57639119363874902</v>
      </c>
      <c r="G158">
        <v>0.39406804124140199</v>
      </c>
      <c r="H158">
        <v>0.37261895882958401</v>
      </c>
      <c r="I158">
        <v>0.31393251880870399</v>
      </c>
      <c r="J158">
        <v>0.18541190906350899</v>
      </c>
      <c r="K158">
        <v>0.195002383989406</v>
      </c>
      <c r="L158">
        <v>503.498019364242</v>
      </c>
      <c r="M158">
        <v>9.7546610873849104</v>
      </c>
      <c r="N158">
        <v>53.744404124277999</v>
      </c>
      <c r="O158">
        <v>49.5870637531604</v>
      </c>
      <c r="P158">
        <v>-4.1322512360260001E-2</v>
      </c>
      <c r="Q158">
        <v>0.16020995892128401</v>
      </c>
      <c r="R158">
        <v>0.963336792918153</v>
      </c>
      <c r="S158" t="s">
        <v>6443</v>
      </c>
      <c r="T158" t="s">
        <v>12568</v>
      </c>
      <c r="U158" t="s">
        <v>12568</v>
      </c>
      <c r="V158" t="s">
        <v>12568</v>
      </c>
      <c r="W158" t="s">
        <v>12724</v>
      </c>
      <c r="X158">
        <v>3</v>
      </c>
      <c r="Y158" t="s">
        <v>18954</v>
      </c>
      <c r="Z158" t="s">
        <v>25028</v>
      </c>
      <c r="AA158">
        <v>0.51938326395607581</v>
      </c>
      <c r="AB158" t="str">
        <f>HYPERLINK("Melting_Curves/meltCurve_B7Z2G1_KLHL22.pdf", "Melting_Curves/meltCurve_B7Z2G1_KLHL22.pdf")</f>
        <v>Melting_Curves/meltCurve_B7Z2G1_KLHL22.pdf</v>
      </c>
    </row>
    <row r="159" spans="1:28" x14ac:dyDescent="0.25">
      <c r="A159" t="s">
        <v>163</v>
      </c>
      <c r="B159">
        <v>0.99352677808782597</v>
      </c>
      <c r="C159">
        <v>0.99024454705304599</v>
      </c>
      <c r="D159">
        <v>0.91531590510318195</v>
      </c>
      <c r="E159">
        <v>0.80263593613015605</v>
      </c>
      <c r="F159">
        <v>0.68169461818194299</v>
      </c>
      <c r="G159">
        <v>0.57357524944515403</v>
      </c>
      <c r="H159">
        <v>0.72850711619685904</v>
      </c>
      <c r="I159">
        <v>0.97016310637647996</v>
      </c>
      <c r="J159">
        <v>0.84332746306752504</v>
      </c>
      <c r="K159">
        <v>0.45521357423058501</v>
      </c>
      <c r="L159">
        <v>1415.6059041875901</v>
      </c>
      <c r="M159">
        <v>29.662399363027198</v>
      </c>
      <c r="O159">
        <v>47.508585129494499</v>
      </c>
      <c r="P159">
        <v>-4.5239834777810899E-2</v>
      </c>
      <c r="Q159">
        <v>0.71016964859373</v>
      </c>
      <c r="R159">
        <v>0.43626130253151202</v>
      </c>
      <c r="S159" t="s">
        <v>6444</v>
      </c>
      <c r="T159" t="s">
        <v>12568</v>
      </c>
      <c r="U159" t="s">
        <v>12568</v>
      </c>
      <c r="V159" t="s">
        <v>12568</v>
      </c>
      <c r="W159" t="s">
        <v>12652</v>
      </c>
      <c r="X159">
        <v>40</v>
      </c>
      <c r="Y159" t="s">
        <v>18880</v>
      </c>
      <c r="Z159" t="s">
        <v>25029</v>
      </c>
      <c r="AA159">
        <v>0.78657321383991519</v>
      </c>
      <c r="AB159" t="str">
        <f>HYPERLINK("Melting_Curves/meltCurve_B7Z2S5_TXNRD1.pdf", "Melting_Curves/meltCurve_B7Z2S5_TXNRD1.pdf")</f>
        <v>Melting_Curves/meltCurve_B7Z2S5_TXNRD1.pdf</v>
      </c>
    </row>
    <row r="160" spans="1:28" x14ac:dyDescent="0.25">
      <c r="A160" t="s">
        <v>164</v>
      </c>
      <c r="B160">
        <v>0.99352677808782597</v>
      </c>
      <c r="C160">
        <v>1.0425934492817699</v>
      </c>
      <c r="D160">
        <v>1.0112098721430001</v>
      </c>
      <c r="E160">
        <v>0.94473938007678604</v>
      </c>
      <c r="F160">
        <v>0.83884178693820899</v>
      </c>
      <c r="G160">
        <v>0.65215282280187503</v>
      </c>
      <c r="H160">
        <v>0.28026732946525301</v>
      </c>
      <c r="I160">
        <v>0.14043567488724701</v>
      </c>
      <c r="J160">
        <v>8.8542529302290895E-2</v>
      </c>
      <c r="K160">
        <v>8.5172974147904507E-2</v>
      </c>
      <c r="L160">
        <v>1177.9659309890301</v>
      </c>
      <c r="M160">
        <v>20.278711226367701</v>
      </c>
      <c r="N160">
        <v>58.277703020605998</v>
      </c>
      <c r="O160">
        <v>57.532761110349703</v>
      </c>
      <c r="P160">
        <v>-8.5317835861814503E-2</v>
      </c>
      <c r="Q160">
        <v>3.1808453080414897E-2</v>
      </c>
      <c r="R160">
        <v>0.99517549272955397</v>
      </c>
      <c r="S160" t="s">
        <v>6445</v>
      </c>
      <c r="T160" t="s">
        <v>12568</v>
      </c>
      <c r="U160" t="s">
        <v>12568</v>
      </c>
      <c r="V160" t="s">
        <v>12568</v>
      </c>
      <c r="W160" t="s">
        <v>12725</v>
      </c>
      <c r="X160">
        <v>14</v>
      </c>
      <c r="Y160" t="s">
        <v>18955</v>
      </c>
      <c r="Z160" t="s">
        <v>25030</v>
      </c>
      <c r="AA160">
        <v>0.62632346944554629</v>
      </c>
      <c r="AB160" t="str">
        <f>HYPERLINK("Melting_Curves/meltCurve_B7Z2X9_ENO2.pdf", "Melting_Curves/meltCurve_B7Z2X9_ENO2.pdf")</f>
        <v>Melting_Curves/meltCurve_B7Z2X9_ENO2.pdf</v>
      </c>
    </row>
    <row r="161" spans="1:28" x14ac:dyDescent="0.25">
      <c r="A161" t="s">
        <v>165</v>
      </c>
      <c r="B161">
        <v>0.99352677808782597</v>
      </c>
      <c r="C161">
        <v>0.95294258013798205</v>
      </c>
      <c r="D161">
        <v>0.61294920180725898</v>
      </c>
      <c r="E161">
        <v>0.335940529093328</v>
      </c>
      <c r="F161">
        <v>0.29112532300595501</v>
      </c>
      <c r="G161">
        <v>0.204392388752166</v>
      </c>
      <c r="H161">
        <v>0.16022154609334599</v>
      </c>
      <c r="I161">
        <v>0.15775170226169599</v>
      </c>
      <c r="J161">
        <v>0.16282760270201599</v>
      </c>
      <c r="K161">
        <v>0.14394408991855301</v>
      </c>
      <c r="L161">
        <v>988.60872838759201</v>
      </c>
      <c r="M161">
        <v>21.1286788374798</v>
      </c>
      <c r="N161">
        <v>47.715514907096399</v>
      </c>
      <c r="O161">
        <v>46.376808261542102</v>
      </c>
      <c r="P161">
        <v>-9.4750051846748604E-2</v>
      </c>
      <c r="Q161">
        <v>0.168127844466256</v>
      </c>
      <c r="R161">
        <v>0.98926557679192095</v>
      </c>
      <c r="S161" t="s">
        <v>6446</v>
      </c>
      <c r="T161" t="s">
        <v>12568</v>
      </c>
      <c r="U161" t="s">
        <v>12568</v>
      </c>
      <c r="V161" t="s">
        <v>12568</v>
      </c>
      <c r="W161" t="s">
        <v>12726</v>
      </c>
      <c r="X161">
        <v>6</v>
      </c>
      <c r="Y161" t="s">
        <v>18956</v>
      </c>
      <c r="Z161" t="s">
        <v>25031</v>
      </c>
      <c r="AA161">
        <v>0.36727571138173648</v>
      </c>
      <c r="AB161" t="str">
        <f>HYPERLINK("Melting_Curves/meltCurve_B7Z2Y2_COG2.pdf", "Melting_Curves/meltCurve_B7Z2Y2_COG2.pdf")</f>
        <v>Melting_Curves/meltCurve_B7Z2Y2_COG2.pdf</v>
      </c>
    </row>
    <row r="162" spans="1:28" x14ac:dyDescent="0.25">
      <c r="A162" t="s">
        <v>166</v>
      </c>
      <c r="B162">
        <v>0.99352677808782597</v>
      </c>
      <c r="C162">
        <v>0.92263375486829602</v>
      </c>
      <c r="D162">
        <v>0.93128489646049295</v>
      </c>
      <c r="E162">
        <v>0.61821074397567399</v>
      </c>
      <c r="F162">
        <v>0.55679150419801604</v>
      </c>
      <c r="G162">
        <v>0.369370364683834</v>
      </c>
      <c r="H162">
        <v>0.29530436751988098</v>
      </c>
      <c r="I162">
        <v>0.27276851770860799</v>
      </c>
      <c r="J162">
        <v>0.25809339321860703</v>
      </c>
      <c r="K162">
        <v>0.223724976219803</v>
      </c>
      <c r="L162">
        <v>729.616722807256</v>
      </c>
      <c r="M162">
        <v>14.241509104310399</v>
      </c>
      <c r="N162">
        <v>53.456766299604197</v>
      </c>
      <c r="O162">
        <v>50.253307310792799</v>
      </c>
      <c r="P162">
        <v>-5.5013178315638699E-2</v>
      </c>
      <c r="Q162">
        <v>0.22360683394929201</v>
      </c>
      <c r="R162">
        <v>0.988295002444601</v>
      </c>
      <c r="S162" t="s">
        <v>6447</v>
      </c>
      <c r="T162" t="s">
        <v>12568</v>
      </c>
      <c r="U162" t="s">
        <v>12568</v>
      </c>
      <c r="V162" t="s">
        <v>12568</v>
      </c>
      <c r="W162" t="s">
        <v>12727</v>
      </c>
      <c r="X162">
        <v>2</v>
      </c>
      <c r="Y162" t="s">
        <v>18957</v>
      </c>
      <c r="Z162" t="s">
        <v>25032</v>
      </c>
      <c r="AA162">
        <v>0.53362938769397816</v>
      </c>
      <c r="AB162" t="str">
        <f>HYPERLINK("Melting_Curves/meltCurve_B7Z367_ZNF346.pdf", "Melting_Curves/meltCurve_B7Z367_ZNF346.pdf")</f>
        <v>Melting_Curves/meltCurve_B7Z367_ZNF346.pdf</v>
      </c>
    </row>
    <row r="163" spans="1:28" x14ac:dyDescent="0.25">
      <c r="A163" t="s">
        <v>167</v>
      </c>
      <c r="B163">
        <v>0.99352677808782597</v>
      </c>
      <c r="C163">
        <v>1.0516164061668101</v>
      </c>
      <c r="D163">
        <v>0.93510616028448901</v>
      </c>
      <c r="E163">
        <v>0.86353813912413702</v>
      </c>
      <c r="F163">
        <v>0.70790609056286202</v>
      </c>
      <c r="G163">
        <v>0.59536640395399498</v>
      </c>
      <c r="H163">
        <v>0.90934075110256196</v>
      </c>
      <c r="I163">
        <v>0.85175554917644603</v>
      </c>
      <c r="J163">
        <v>1.0792168203813499</v>
      </c>
      <c r="K163">
        <v>0.73651620139895602</v>
      </c>
      <c r="L163">
        <v>2137.3207356221701</v>
      </c>
      <c r="M163">
        <v>45.644334087574897</v>
      </c>
      <c r="O163">
        <v>46.735945545275499</v>
      </c>
      <c r="P163">
        <v>-4.4298376229532199E-2</v>
      </c>
      <c r="Q163">
        <v>0.81856909743020001</v>
      </c>
      <c r="R163">
        <v>0.30783626737033398</v>
      </c>
      <c r="S163" t="s">
        <v>6448</v>
      </c>
      <c r="T163" t="s">
        <v>12568</v>
      </c>
      <c r="U163" t="s">
        <v>12568</v>
      </c>
      <c r="V163" t="s">
        <v>12568</v>
      </c>
      <c r="W163" t="s">
        <v>12728</v>
      </c>
      <c r="X163">
        <v>11</v>
      </c>
      <c r="Y163" t="s">
        <v>18958</v>
      </c>
      <c r="Z163" t="s">
        <v>25033</v>
      </c>
      <c r="AA163">
        <v>0.86029990419920543</v>
      </c>
      <c r="AB163" t="str">
        <f>HYPERLINK("Melting_Curves/meltCurve_B7Z3I9_ALAD.pdf", "Melting_Curves/meltCurve_B7Z3I9_ALAD.pdf")</f>
        <v>Melting_Curves/meltCurve_B7Z3I9_ALAD.pdf</v>
      </c>
    </row>
    <row r="164" spans="1:28" x14ac:dyDescent="0.25">
      <c r="A164" t="s">
        <v>168</v>
      </c>
      <c r="B164">
        <v>0.99352677808782597</v>
      </c>
      <c r="C164">
        <v>0.88580465212053805</v>
      </c>
      <c r="D164">
        <v>0.74872622087434704</v>
      </c>
      <c r="E164">
        <v>0.20259227695485199</v>
      </c>
      <c r="F164">
        <v>0.15520867575220201</v>
      </c>
      <c r="G164">
        <v>9.5801904791985096E-2</v>
      </c>
      <c r="H164">
        <v>7.7690618436607101E-2</v>
      </c>
      <c r="I164">
        <v>7.3425424633110095E-2</v>
      </c>
      <c r="J164">
        <v>5.6546391901213501E-2</v>
      </c>
      <c r="K164">
        <v>4.3739916533229201E-2</v>
      </c>
      <c r="L164">
        <v>1301.6014378610801</v>
      </c>
      <c r="M164">
        <v>27.4895245499673</v>
      </c>
      <c r="N164">
        <v>47.606558517550397</v>
      </c>
      <c r="O164">
        <v>47.100548471691901</v>
      </c>
      <c r="P164">
        <v>-0.13582819873824001</v>
      </c>
      <c r="Q164">
        <v>6.9096374200507404E-2</v>
      </c>
      <c r="R164">
        <v>0.99251989453827505</v>
      </c>
      <c r="S164" t="s">
        <v>6449</v>
      </c>
      <c r="T164" t="s">
        <v>12568</v>
      </c>
      <c r="U164" t="s">
        <v>12568</v>
      </c>
      <c r="V164" t="s">
        <v>12568</v>
      </c>
      <c r="W164" t="s">
        <v>12729</v>
      </c>
      <c r="X164">
        <v>26</v>
      </c>
      <c r="Y164" t="s">
        <v>18959</v>
      </c>
      <c r="Z164" t="s">
        <v>25034</v>
      </c>
      <c r="AA164">
        <v>0.30386703188174558</v>
      </c>
      <c r="AB164" t="str">
        <f>HYPERLINK("Melting_Curves/meltCurve_B7Z3P1_TBCE.pdf", "Melting_Curves/meltCurve_B7Z3P1_TBCE.pdf")</f>
        <v>Melting_Curves/meltCurve_B7Z3P1_TBCE.pdf</v>
      </c>
    </row>
    <row r="165" spans="1:28" x14ac:dyDescent="0.25">
      <c r="A165" t="s">
        <v>169</v>
      </c>
      <c r="B165">
        <v>0.99352677808782597</v>
      </c>
      <c r="C165">
        <v>0.934560487962383</v>
      </c>
      <c r="D165">
        <v>0.71863590573329095</v>
      </c>
      <c r="E165">
        <v>0.45104265764345502</v>
      </c>
      <c r="F165">
        <v>0.387843737277971</v>
      </c>
      <c r="G165">
        <v>0.20396404561571599</v>
      </c>
      <c r="H165">
        <v>0.12139678621548899</v>
      </c>
      <c r="I165">
        <v>0.12749054865495599</v>
      </c>
      <c r="J165">
        <v>0.110495268058761</v>
      </c>
      <c r="K165">
        <v>8.9795463766005404E-2</v>
      </c>
      <c r="L165">
        <v>684.12989559186497</v>
      </c>
      <c r="M165">
        <v>13.909356348057599</v>
      </c>
      <c r="N165">
        <v>49.850595686952701</v>
      </c>
      <c r="O165">
        <v>48.201679039472197</v>
      </c>
      <c r="P165">
        <v>-6.6035714890003594E-2</v>
      </c>
      <c r="Q165">
        <v>8.4759850107311699E-2</v>
      </c>
      <c r="R165">
        <v>0.99212276542532596</v>
      </c>
      <c r="S165" t="s">
        <v>6450</v>
      </c>
      <c r="T165" t="s">
        <v>12568</v>
      </c>
      <c r="U165" t="s">
        <v>12568</v>
      </c>
      <c r="V165" t="s">
        <v>12568</v>
      </c>
      <c r="W165" t="s">
        <v>12730</v>
      </c>
      <c r="X165">
        <v>3</v>
      </c>
      <c r="Y165" t="s">
        <v>18960</v>
      </c>
      <c r="Z165" t="s">
        <v>25035</v>
      </c>
      <c r="AA165">
        <v>0.39073287521947192</v>
      </c>
      <c r="AB165" t="str">
        <f>HYPERLINK("Melting_Curves/meltCurve_B7Z3Y2_PCYOX1.pdf", "Melting_Curves/meltCurve_B7Z3Y2_PCYOX1.pdf")</f>
        <v>Melting_Curves/meltCurve_B7Z3Y2_PCYOX1.pdf</v>
      </c>
    </row>
    <row r="166" spans="1:28" x14ac:dyDescent="0.25">
      <c r="A166" t="s">
        <v>170</v>
      </c>
      <c r="B166">
        <v>0.99352677808782597</v>
      </c>
      <c r="C166">
        <v>0.96033351508215004</v>
      </c>
      <c r="D166">
        <v>0.98768937296172998</v>
      </c>
      <c r="E166">
        <v>0.93178338424042895</v>
      </c>
      <c r="F166">
        <v>0.87764793297262</v>
      </c>
      <c r="G166">
        <v>0.74950155140012598</v>
      </c>
      <c r="H166">
        <v>0.75663829820362605</v>
      </c>
      <c r="I166">
        <v>0.88243344130159895</v>
      </c>
      <c r="J166">
        <v>0.88037680275108099</v>
      </c>
      <c r="K166">
        <v>0.64928819513548797</v>
      </c>
      <c r="L166">
        <v>1506.5426681699</v>
      </c>
      <c r="M166">
        <v>29.123482402332101</v>
      </c>
      <c r="O166">
        <v>51.487424411473498</v>
      </c>
      <c r="P166">
        <v>-3.06679608547222E-2</v>
      </c>
      <c r="Q166">
        <v>0.78312994480360099</v>
      </c>
      <c r="R166">
        <v>0.63917566537705395</v>
      </c>
      <c r="S166" t="s">
        <v>6451</v>
      </c>
      <c r="T166" t="s">
        <v>12568</v>
      </c>
      <c r="U166" t="s">
        <v>12568</v>
      </c>
      <c r="V166" t="s">
        <v>12568</v>
      </c>
      <c r="W166" t="s">
        <v>12731</v>
      </c>
      <c r="X166">
        <v>6</v>
      </c>
      <c r="Y166" t="s">
        <v>18961</v>
      </c>
      <c r="Z166" t="s">
        <v>25036</v>
      </c>
      <c r="AA166">
        <v>0.86938582548585019</v>
      </c>
      <c r="AB166" t="str">
        <f>HYPERLINK("Melting_Curves/meltCurve_B7Z4K6_DNASE2.pdf", "Melting_Curves/meltCurve_B7Z4K6_DNASE2.pdf")</f>
        <v>Melting_Curves/meltCurve_B7Z4K6_DNASE2.pdf</v>
      </c>
    </row>
    <row r="167" spans="1:28" x14ac:dyDescent="0.25">
      <c r="A167" t="s">
        <v>171</v>
      </c>
      <c r="B167">
        <v>0.99352677808782597</v>
      </c>
      <c r="C167">
        <v>0.90838780458108404</v>
      </c>
      <c r="D167">
        <v>0.95771643384164895</v>
      </c>
      <c r="E167">
        <v>0.821839877514008</v>
      </c>
      <c r="F167">
        <v>0.72260301366101798</v>
      </c>
      <c r="G167">
        <v>0.62794487504543095</v>
      </c>
      <c r="H167">
        <v>0.55694763482550902</v>
      </c>
      <c r="I167">
        <v>0.56465705530159205</v>
      </c>
      <c r="J167">
        <v>0.56099144084488906</v>
      </c>
      <c r="K167">
        <v>0.54289474269308702</v>
      </c>
      <c r="L167">
        <v>717.11507278542899</v>
      </c>
      <c r="M167">
        <v>13.8887436937336</v>
      </c>
      <c r="O167">
        <v>50.597732713916201</v>
      </c>
      <c r="P167">
        <v>-3.2296817028284602E-2</v>
      </c>
      <c r="Q167">
        <v>0.52942533836146799</v>
      </c>
      <c r="R167">
        <v>0.97981099775007097</v>
      </c>
      <c r="S167" t="s">
        <v>6452</v>
      </c>
      <c r="T167" t="s">
        <v>12568</v>
      </c>
      <c r="U167" t="s">
        <v>12568</v>
      </c>
      <c r="V167" t="s">
        <v>12568</v>
      </c>
      <c r="W167" t="s">
        <v>12732</v>
      </c>
      <c r="X167">
        <v>8</v>
      </c>
      <c r="Y167" t="s">
        <v>18962</v>
      </c>
      <c r="Z167" t="s">
        <v>25037</v>
      </c>
      <c r="AA167">
        <v>0.72388554479417333</v>
      </c>
      <c r="AB167" t="str">
        <f>HYPERLINK("Melting_Curves/meltCurve_B7Z4R0_ERF.pdf", "Melting_Curves/meltCurve_B7Z4R0_ERF.pdf")</f>
        <v>Melting_Curves/meltCurve_B7Z4R0_ERF.pdf</v>
      </c>
    </row>
    <row r="168" spans="1:28" x14ac:dyDescent="0.25">
      <c r="A168" t="s">
        <v>172</v>
      </c>
      <c r="B168">
        <v>0.99352677808782597</v>
      </c>
      <c r="C168">
        <v>0.85234849147195502</v>
      </c>
      <c r="D168">
        <v>0.78191663241419995</v>
      </c>
      <c r="E168">
        <v>0.63553367855654996</v>
      </c>
      <c r="F168">
        <v>0.64429937432872797</v>
      </c>
      <c r="G168">
        <v>0.47144009578083101</v>
      </c>
      <c r="H168">
        <v>0.31425893953353501</v>
      </c>
      <c r="I168">
        <v>0.36117305501334002</v>
      </c>
      <c r="J168">
        <v>0.32991716959858303</v>
      </c>
      <c r="K168">
        <v>0.37749148478224298</v>
      </c>
      <c r="L168">
        <v>477.28573673407402</v>
      </c>
      <c r="M168">
        <v>9.4216903333120907</v>
      </c>
      <c r="N168">
        <v>55.376589921014499</v>
      </c>
      <c r="O168">
        <v>48.5333255687095</v>
      </c>
      <c r="P168">
        <v>-3.5160620275612203E-2</v>
      </c>
      <c r="Q168">
        <v>0.27595972910689398</v>
      </c>
      <c r="R168">
        <v>0.96037982945240397</v>
      </c>
      <c r="S168" t="s">
        <v>6453</v>
      </c>
      <c r="T168" t="s">
        <v>12568</v>
      </c>
      <c r="U168" t="s">
        <v>12568</v>
      </c>
      <c r="V168" t="s">
        <v>12568</v>
      </c>
      <c r="W168" t="s">
        <v>12733</v>
      </c>
      <c r="X168">
        <v>1</v>
      </c>
      <c r="Y168" t="s">
        <v>18963</v>
      </c>
      <c r="Z168" t="s">
        <v>25038</v>
      </c>
      <c r="AA168">
        <v>0.5665936036471757</v>
      </c>
      <c r="AB168" t="str">
        <f>HYPERLINK("Melting_Curves/meltCurve_B7Z5D1_MLH3.pdf", "Melting_Curves/meltCurve_B7Z5D1_MLH3.pdf")</f>
        <v>Melting_Curves/meltCurve_B7Z5D1_MLH3.pdf</v>
      </c>
    </row>
    <row r="169" spans="1:28" x14ac:dyDescent="0.25">
      <c r="A169" t="s">
        <v>173</v>
      </c>
      <c r="B169">
        <v>0.99352677808782597</v>
      </c>
      <c r="C169">
        <v>0.97033602456484203</v>
      </c>
      <c r="D169">
        <v>0.99457646692968704</v>
      </c>
      <c r="E169">
        <v>0.49578793387051101</v>
      </c>
      <c r="F169">
        <v>0.38736592201960302</v>
      </c>
      <c r="G169">
        <v>0.35345589122600002</v>
      </c>
      <c r="H169">
        <v>0.205551271614377</v>
      </c>
      <c r="I169">
        <v>0.18111338823186099</v>
      </c>
      <c r="J169">
        <v>5.6454504928334502E-2</v>
      </c>
      <c r="K169">
        <v>5.2058100732777599E-2</v>
      </c>
      <c r="L169">
        <v>813.18758074572804</v>
      </c>
      <c r="M169">
        <v>15.989471505908099</v>
      </c>
      <c r="N169">
        <v>51.622483312803602</v>
      </c>
      <c r="O169">
        <v>50.082136186121403</v>
      </c>
      <c r="P169">
        <v>-7.1404494605305999E-2</v>
      </c>
      <c r="Q169">
        <v>0.10545925542116</v>
      </c>
      <c r="R169">
        <v>0.956235183604768</v>
      </c>
      <c r="S169" t="s">
        <v>6454</v>
      </c>
      <c r="T169" t="s">
        <v>12568</v>
      </c>
      <c r="U169" t="s">
        <v>12568</v>
      </c>
      <c r="V169" t="s">
        <v>12568</v>
      </c>
      <c r="W169" t="s">
        <v>12734</v>
      </c>
      <c r="X169">
        <v>2</v>
      </c>
      <c r="Y169" t="s">
        <v>18964</v>
      </c>
      <c r="Z169" t="s">
        <v>25039</v>
      </c>
      <c r="AA169">
        <v>0.447839963483183</v>
      </c>
      <c r="AB169" t="str">
        <f>HYPERLINK("Melting_Curves/meltCurve_B7Z652_RPL7L1.pdf", "Melting_Curves/meltCurve_B7Z652_RPL7L1.pdf")</f>
        <v>Melting_Curves/meltCurve_B7Z652_RPL7L1.pdf</v>
      </c>
    </row>
    <row r="170" spans="1:28" x14ac:dyDescent="0.25">
      <c r="A170" t="s">
        <v>174</v>
      </c>
      <c r="B170">
        <v>0.99352677808782597</v>
      </c>
      <c r="C170">
        <v>1.0187676018413201</v>
      </c>
      <c r="D170">
        <v>0.99211824838996598</v>
      </c>
      <c r="E170">
        <v>0.50444351468133597</v>
      </c>
      <c r="F170">
        <v>0.393429426008154</v>
      </c>
      <c r="G170">
        <v>0.218119296250921</v>
      </c>
      <c r="H170">
        <v>0.148038397719641</v>
      </c>
      <c r="I170">
        <v>0.13459486298346299</v>
      </c>
      <c r="J170">
        <v>0.106842971246942</v>
      </c>
      <c r="K170">
        <v>7.35239650014579E-2</v>
      </c>
      <c r="L170">
        <v>1110.4077311522999</v>
      </c>
      <c r="M170">
        <v>22.050477675460701</v>
      </c>
      <c r="N170">
        <v>50.984869460721001</v>
      </c>
      <c r="O170">
        <v>49.948853675122599</v>
      </c>
      <c r="P170">
        <v>-9.7254913229252102E-2</v>
      </c>
      <c r="Q170">
        <v>0.118810208642181</v>
      </c>
      <c r="R170">
        <v>0.98287572816958302</v>
      </c>
      <c r="S170" t="s">
        <v>6455</v>
      </c>
      <c r="T170" t="s">
        <v>12568</v>
      </c>
      <c r="U170" t="s">
        <v>12568</v>
      </c>
      <c r="V170" t="s">
        <v>12568</v>
      </c>
      <c r="W170" t="s">
        <v>12735</v>
      </c>
      <c r="X170">
        <v>9</v>
      </c>
      <c r="Y170" t="s">
        <v>18965</v>
      </c>
      <c r="Z170" t="s">
        <v>25040</v>
      </c>
      <c r="AA170">
        <v>0.43317800060979939</v>
      </c>
      <c r="AB170" t="str">
        <f>HYPERLINK("Melting_Curves/meltCurve_B7Z6B8_DECR1.pdf", "Melting_Curves/meltCurve_B7Z6B8_DECR1.pdf")</f>
        <v>Melting_Curves/meltCurve_B7Z6B8_DECR1.pdf</v>
      </c>
    </row>
    <row r="171" spans="1:28" x14ac:dyDescent="0.25">
      <c r="A171" t="s">
        <v>175</v>
      </c>
      <c r="B171">
        <v>0.99352677808782597</v>
      </c>
      <c r="C171">
        <v>1.1634025082713599</v>
      </c>
      <c r="D171">
        <v>0.96898035928658199</v>
      </c>
      <c r="E171">
        <v>0.60781015769810198</v>
      </c>
      <c r="F171">
        <v>0.44401869866153598</v>
      </c>
      <c r="G171">
        <v>0.34829744342268598</v>
      </c>
      <c r="H171">
        <v>0.21891941146590399</v>
      </c>
      <c r="I171">
        <v>0.29141851982976102</v>
      </c>
      <c r="J171">
        <v>0.160961882018613</v>
      </c>
      <c r="K171">
        <v>0.108563838702067</v>
      </c>
      <c r="L171">
        <v>1071.43041063902</v>
      </c>
      <c r="M171">
        <v>21.0609134935087</v>
      </c>
      <c r="N171">
        <v>52.118858314745303</v>
      </c>
      <c r="O171">
        <v>50.420942881210102</v>
      </c>
      <c r="P171">
        <v>-8.3773805192313797E-2</v>
      </c>
      <c r="Q171">
        <v>0.197785578721556</v>
      </c>
      <c r="R171">
        <v>0.95380118102126998</v>
      </c>
      <c r="S171" t="s">
        <v>6456</v>
      </c>
      <c r="T171" t="s">
        <v>12568</v>
      </c>
      <c r="U171" t="s">
        <v>12568</v>
      </c>
      <c r="V171" t="s">
        <v>12568</v>
      </c>
      <c r="W171" t="s">
        <v>12736</v>
      </c>
      <c r="X171">
        <v>4</v>
      </c>
      <c r="Y171" t="s">
        <v>18966</v>
      </c>
      <c r="Z171" t="s">
        <v>25041</v>
      </c>
      <c r="AA171">
        <v>0.49863282253979052</v>
      </c>
      <c r="AB171" t="str">
        <f>HYPERLINK("Melting_Curves/meltCurve_B7Z6J6_TRIML2.pdf", "Melting_Curves/meltCurve_B7Z6J6_TRIML2.pdf")</f>
        <v>Melting_Curves/meltCurve_B7Z6J6_TRIML2.pdf</v>
      </c>
    </row>
    <row r="172" spans="1:28" x14ac:dyDescent="0.25">
      <c r="A172" t="s">
        <v>176</v>
      </c>
      <c r="B172">
        <v>0.99352677808782597</v>
      </c>
      <c r="C172">
        <v>0.95892795852096602</v>
      </c>
      <c r="D172">
        <v>0.91395287705768602</v>
      </c>
      <c r="E172">
        <v>0.70520353645201095</v>
      </c>
      <c r="F172">
        <v>0.63175452288386502</v>
      </c>
      <c r="G172">
        <v>0.452934286671893</v>
      </c>
      <c r="H172">
        <v>0.37342890367749199</v>
      </c>
      <c r="I172">
        <v>0.35856378333740002</v>
      </c>
      <c r="J172">
        <v>0.384609709242349</v>
      </c>
      <c r="K172">
        <v>0.31371290804509699</v>
      </c>
      <c r="L172">
        <v>729.20363512646895</v>
      </c>
      <c r="M172">
        <v>14.1224050577943</v>
      </c>
      <c r="N172">
        <v>55.660042654188899</v>
      </c>
      <c r="O172">
        <v>50.6322794853277</v>
      </c>
      <c r="P172">
        <v>-4.7426103138517903E-2</v>
      </c>
      <c r="Q172">
        <v>0.31995022178213101</v>
      </c>
      <c r="R172">
        <v>0.99263904474581899</v>
      </c>
      <c r="S172" t="s">
        <v>6457</v>
      </c>
      <c r="T172" t="s">
        <v>12568</v>
      </c>
      <c r="U172" t="s">
        <v>12568</v>
      </c>
      <c r="V172" t="s">
        <v>12568</v>
      </c>
      <c r="W172" t="s">
        <v>12737</v>
      </c>
      <c r="X172">
        <v>8</v>
      </c>
      <c r="Y172" t="s">
        <v>18967</v>
      </c>
      <c r="Z172" t="s">
        <v>25042</v>
      </c>
      <c r="AA172">
        <v>0.60058147526050831</v>
      </c>
      <c r="AB172" t="str">
        <f>HYPERLINK("Melting_Curves/meltCurve_B7Z755_MLLT3.pdf", "Melting_Curves/meltCurve_B7Z755_MLLT3.pdf")</f>
        <v>Melting_Curves/meltCurve_B7Z755_MLLT3.pdf</v>
      </c>
    </row>
    <row r="173" spans="1:28" x14ac:dyDescent="0.25">
      <c r="A173" t="s">
        <v>177</v>
      </c>
      <c r="B173">
        <v>0.99352677808782597</v>
      </c>
      <c r="C173">
        <v>0.91740920129330805</v>
      </c>
      <c r="D173">
        <v>0.82431111505215604</v>
      </c>
      <c r="E173">
        <v>0.18386578643926099</v>
      </c>
      <c r="F173">
        <v>0.12659224724579099</v>
      </c>
      <c r="G173">
        <v>9.5311844268313795E-2</v>
      </c>
      <c r="H173">
        <v>6.9905997922561497E-2</v>
      </c>
      <c r="I173">
        <v>5.5291502766927E-2</v>
      </c>
      <c r="J173">
        <v>4.1865627422661103E-2</v>
      </c>
      <c r="K173">
        <v>2.2082647718046699E-2</v>
      </c>
      <c r="L173">
        <v>1759.55894676517</v>
      </c>
      <c r="M173">
        <v>36.898907830130803</v>
      </c>
      <c r="N173">
        <v>47.856043259298403</v>
      </c>
      <c r="O173">
        <v>47.546522332732003</v>
      </c>
      <c r="P173">
        <v>-0.18209074615156701</v>
      </c>
      <c r="Q173">
        <v>6.1461971858546703E-2</v>
      </c>
      <c r="R173">
        <v>0.99305327144010003</v>
      </c>
      <c r="S173" t="s">
        <v>6458</v>
      </c>
      <c r="T173" t="s">
        <v>12568</v>
      </c>
      <c r="U173" t="s">
        <v>12568</v>
      </c>
      <c r="V173" t="s">
        <v>12568</v>
      </c>
      <c r="W173" t="s">
        <v>12738</v>
      </c>
      <c r="X173">
        <v>1</v>
      </c>
      <c r="Y173" t="s">
        <v>18968</v>
      </c>
      <c r="Z173" t="s">
        <v>25043</v>
      </c>
      <c r="AA173">
        <v>0.3055775354700983</v>
      </c>
      <c r="AB173" t="str">
        <f>HYPERLINK("Melting_Curves/meltCurve_B7Z7J3_AMN1.pdf", "Melting_Curves/meltCurve_B7Z7J3_AMN1.pdf")</f>
        <v>Melting_Curves/meltCurve_B7Z7J3_AMN1.pdf</v>
      </c>
    </row>
    <row r="174" spans="1:28" x14ac:dyDescent="0.25">
      <c r="A174" t="s">
        <v>178</v>
      </c>
      <c r="B174">
        <v>0.99352677808782597</v>
      </c>
      <c r="C174">
        <v>0.983541587240088</v>
      </c>
      <c r="D174">
        <v>0.93239637173166701</v>
      </c>
      <c r="E174">
        <v>0.83888744461392795</v>
      </c>
      <c r="F174">
        <v>0.81841102860652204</v>
      </c>
      <c r="G174">
        <v>0.63943967187498996</v>
      </c>
      <c r="H174">
        <v>0.86284018160097797</v>
      </c>
      <c r="I174">
        <v>0.84388023171198501</v>
      </c>
      <c r="J174">
        <v>1.06013154491658</v>
      </c>
      <c r="K174">
        <v>0.68956980266744705</v>
      </c>
      <c r="L174">
        <v>1655.8137674775501</v>
      </c>
      <c r="M174">
        <v>35.515694261203897</v>
      </c>
      <c r="O174">
        <v>46.474974383790297</v>
      </c>
      <c r="P174">
        <v>-3.4514163715583301E-2</v>
      </c>
      <c r="Q174">
        <v>0.819343071687892</v>
      </c>
      <c r="R174">
        <v>0.304893604015534</v>
      </c>
      <c r="S174" t="s">
        <v>6459</v>
      </c>
      <c r="T174" t="s">
        <v>12568</v>
      </c>
      <c r="U174" t="s">
        <v>12568</v>
      </c>
      <c r="V174" t="s">
        <v>12568</v>
      </c>
      <c r="W174" t="s">
        <v>12739</v>
      </c>
      <c r="X174">
        <v>2</v>
      </c>
      <c r="Y174" t="s">
        <v>18969</v>
      </c>
      <c r="Z174" t="s">
        <v>25044</v>
      </c>
      <c r="AA174">
        <v>0.85997611781520478</v>
      </c>
      <c r="AB174" t="str">
        <f>HYPERLINK("Melting_Curves/meltCurve_B7Z7U4_NTRK3.pdf", "Melting_Curves/meltCurve_B7Z7U4_NTRK3.pdf")</f>
        <v>Melting_Curves/meltCurve_B7Z7U4_NTRK3.pdf</v>
      </c>
    </row>
    <row r="175" spans="1:28" x14ac:dyDescent="0.25">
      <c r="A175" t="s">
        <v>179</v>
      </c>
      <c r="B175">
        <v>0.99352677808782597</v>
      </c>
      <c r="C175">
        <v>0.96081068957687099</v>
      </c>
      <c r="D175">
        <v>0.70453919676899801</v>
      </c>
      <c r="E175">
        <v>0.36335994072757499</v>
      </c>
      <c r="F175">
        <v>0.29573324451310601</v>
      </c>
      <c r="G175">
        <v>0.19296725224536401</v>
      </c>
      <c r="H175">
        <v>0.14347546669050601</v>
      </c>
      <c r="I175">
        <v>0.12998577600636299</v>
      </c>
      <c r="J175">
        <v>0.113898221574197</v>
      </c>
      <c r="K175">
        <v>9.4125417158046995E-2</v>
      </c>
      <c r="L175">
        <v>897.68829341819799</v>
      </c>
      <c r="M175">
        <v>18.736625931525602</v>
      </c>
      <c r="N175">
        <v>48.647318984774202</v>
      </c>
      <c r="O175">
        <v>47.375129685320701</v>
      </c>
      <c r="P175">
        <v>-8.6668327169755893E-2</v>
      </c>
      <c r="Q175">
        <v>0.12348138678133699</v>
      </c>
      <c r="R175">
        <v>0.99246731113881703</v>
      </c>
      <c r="S175" t="s">
        <v>6460</v>
      </c>
      <c r="T175" t="s">
        <v>12568</v>
      </c>
      <c r="U175" t="s">
        <v>12568</v>
      </c>
      <c r="V175" t="s">
        <v>12568</v>
      </c>
      <c r="W175" t="s">
        <v>12740</v>
      </c>
      <c r="X175">
        <v>36</v>
      </c>
      <c r="Y175" t="s">
        <v>18970</v>
      </c>
      <c r="Z175" t="s">
        <v>25045</v>
      </c>
      <c r="AA175">
        <v>0.36894842040979953</v>
      </c>
      <c r="AB175" t="str">
        <f>HYPERLINK("Melting_Curves/meltCurve_B7Z815_USP7.pdf", "Melting_Curves/meltCurve_B7Z815_USP7.pdf")</f>
        <v>Melting_Curves/meltCurve_B7Z815_USP7.pdf</v>
      </c>
    </row>
    <row r="176" spans="1:28" x14ac:dyDescent="0.25">
      <c r="A176" t="s">
        <v>180</v>
      </c>
      <c r="B176">
        <v>0.99352677808782597</v>
      </c>
      <c r="C176">
        <v>0.95406852430994904</v>
      </c>
      <c r="D176">
        <v>0.99068768865804402</v>
      </c>
      <c r="E176">
        <v>0.87006347176741605</v>
      </c>
      <c r="F176">
        <v>0.79138214267385198</v>
      </c>
      <c r="G176">
        <v>0.69078082999036905</v>
      </c>
      <c r="H176">
        <v>0.61417110381664297</v>
      </c>
      <c r="I176">
        <v>0.69799344445087996</v>
      </c>
      <c r="J176">
        <v>0.67320448251688003</v>
      </c>
      <c r="K176">
        <v>0.61385881977131795</v>
      </c>
      <c r="L176">
        <v>1025.79935002773</v>
      </c>
      <c r="M176">
        <v>19.832694676664399</v>
      </c>
      <c r="O176">
        <v>51.2053958677498</v>
      </c>
      <c r="P176">
        <v>-3.4542054632996498E-2</v>
      </c>
      <c r="Q176">
        <v>0.643279927759424</v>
      </c>
      <c r="R176">
        <v>0.96083821191381003</v>
      </c>
      <c r="S176" t="s">
        <v>6461</v>
      </c>
      <c r="T176" t="s">
        <v>12568</v>
      </c>
      <c r="U176" t="s">
        <v>12568</v>
      </c>
      <c r="V176" t="s">
        <v>12568</v>
      </c>
      <c r="W176" t="s">
        <v>12741</v>
      </c>
      <c r="X176">
        <v>8</v>
      </c>
      <c r="Y176" t="s">
        <v>18971</v>
      </c>
      <c r="Z176" t="s">
        <v>25046</v>
      </c>
      <c r="AA176">
        <v>0.78768750091947259</v>
      </c>
      <c r="AB176" t="str">
        <f>HYPERLINK("Melting_Curves/meltCurve_B7Z848_RFX5.pdf", "Melting_Curves/meltCurve_B7Z848_RFX5.pdf")</f>
        <v>Melting_Curves/meltCurve_B7Z848_RFX5.pdf</v>
      </c>
    </row>
    <row r="177" spans="1:28" x14ac:dyDescent="0.25">
      <c r="A177" t="s">
        <v>181</v>
      </c>
      <c r="B177">
        <v>0.99352677808782597</v>
      </c>
      <c r="C177">
        <v>0.97934923275043195</v>
      </c>
      <c r="D177">
        <v>1.0465005362238</v>
      </c>
      <c r="E177">
        <v>0.74311590515249504</v>
      </c>
      <c r="F177">
        <v>0.67009491363317697</v>
      </c>
      <c r="G177">
        <v>0.32428472108560702</v>
      </c>
      <c r="H177">
        <v>0.13789437147751599</v>
      </c>
      <c r="I177">
        <v>0.10089097074813499</v>
      </c>
      <c r="J177">
        <v>0.104129820669705</v>
      </c>
      <c r="K177">
        <v>7.32766175237341E-2</v>
      </c>
      <c r="L177">
        <v>981.40689177727597</v>
      </c>
      <c r="M177">
        <v>18.126924190384901</v>
      </c>
      <c r="N177">
        <v>54.489588574151703</v>
      </c>
      <c r="O177">
        <v>53.494828622514497</v>
      </c>
      <c r="P177">
        <v>-8.0077589902329493E-2</v>
      </c>
      <c r="Q177">
        <v>5.47692866356706E-2</v>
      </c>
      <c r="R177">
        <v>0.98804662384089104</v>
      </c>
      <c r="S177" t="s">
        <v>6462</v>
      </c>
      <c r="T177" t="s">
        <v>12568</v>
      </c>
      <c r="U177" t="s">
        <v>12568</v>
      </c>
      <c r="V177" t="s">
        <v>12568</v>
      </c>
      <c r="W177" t="s">
        <v>12742</v>
      </c>
      <c r="X177">
        <v>3</v>
      </c>
      <c r="Y177" t="s">
        <v>18972</v>
      </c>
      <c r="Z177" t="s">
        <v>25047</v>
      </c>
      <c r="AA177">
        <v>0.51522265282045943</v>
      </c>
      <c r="AB177" t="str">
        <f>HYPERLINK("Melting_Curves/meltCurve_B7Z9X4_NDRG4.pdf", "Melting_Curves/meltCurve_B7Z9X4_NDRG4.pdf")</f>
        <v>Melting_Curves/meltCurve_B7Z9X4_NDRG4.pdf</v>
      </c>
    </row>
    <row r="178" spans="1:28" x14ac:dyDescent="0.25">
      <c r="A178" t="s">
        <v>182</v>
      </c>
      <c r="B178">
        <v>0.99352677808782597</v>
      </c>
      <c r="C178">
        <v>0.88851260788307596</v>
      </c>
      <c r="D178">
        <v>0.95107708710029204</v>
      </c>
      <c r="E178">
        <v>0.74825500816247204</v>
      </c>
      <c r="F178">
        <v>0.68415621684639005</v>
      </c>
      <c r="G178">
        <v>0.27684950976198902</v>
      </c>
      <c r="H178">
        <v>6.5434704085981399E-2</v>
      </c>
      <c r="I178">
        <v>5.4102311699648797E-2</v>
      </c>
      <c r="J178">
        <v>4.4612191282144997E-2</v>
      </c>
      <c r="K178">
        <v>3.5418612521373197E-2</v>
      </c>
      <c r="L178">
        <v>969.40563497697303</v>
      </c>
      <c r="M178">
        <v>17.887673288053801</v>
      </c>
      <c r="N178">
        <v>54.194059886093903</v>
      </c>
      <c r="O178">
        <v>53.5303525953899</v>
      </c>
      <c r="P178">
        <v>-8.3544086478193502E-2</v>
      </c>
      <c r="Q178">
        <v>0</v>
      </c>
      <c r="R178">
        <v>0.98296621370514503</v>
      </c>
      <c r="S178" t="s">
        <v>6463</v>
      </c>
      <c r="T178" t="s">
        <v>12568</v>
      </c>
      <c r="U178" t="s">
        <v>12568</v>
      </c>
      <c r="V178" t="s">
        <v>12568</v>
      </c>
      <c r="W178" t="s">
        <v>12743</v>
      </c>
      <c r="X178">
        <v>8</v>
      </c>
      <c r="Y178" t="s">
        <v>18973</v>
      </c>
      <c r="Z178" t="s">
        <v>25048</v>
      </c>
      <c r="AA178">
        <v>0.48919179763350468</v>
      </c>
      <c r="AB178" t="str">
        <f>HYPERLINK("Melting_Curves/meltCurve_B7ZAX5_GALK2.pdf", "Melting_Curves/meltCurve_B7ZAX5_GALK2.pdf")</f>
        <v>Melting_Curves/meltCurve_B7ZAX5_GALK2.pdf</v>
      </c>
    </row>
    <row r="179" spans="1:28" x14ac:dyDescent="0.25">
      <c r="A179" t="s">
        <v>183</v>
      </c>
      <c r="B179">
        <v>0.99352677808782597</v>
      </c>
      <c r="C179">
        <v>0.99797622042871104</v>
      </c>
      <c r="D179">
        <v>0.90778906284082295</v>
      </c>
      <c r="E179">
        <v>0.66278310593531198</v>
      </c>
      <c r="F179">
        <v>0.612840508529088</v>
      </c>
      <c r="G179">
        <v>0.45730840126674399</v>
      </c>
      <c r="H179">
        <v>0.35420835431576198</v>
      </c>
      <c r="I179">
        <v>0.39723454672660702</v>
      </c>
      <c r="J179">
        <v>0.31996836141833701</v>
      </c>
      <c r="K179">
        <v>0.30481387418606898</v>
      </c>
      <c r="L179">
        <v>726.65997459294397</v>
      </c>
      <c r="M179">
        <v>14.150799385871601</v>
      </c>
      <c r="N179">
        <v>55.126220824182703</v>
      </c>
      <c r="O179">
        <v>50.3582921811335</v>
      </c>
      <c r="P179">
        <v>-4.8459446619969003E-2</v>
      </c>
      <c r="Q179">
        <v>0.31027923076288499</v>
      </c>
      <c r="R179">
        <v>0.98609961909646804</v>
      </c>
      <c r="S179" t="s">
        <v>6464</v>
      </c>
      <c r="T179" t="s">
        <v>12568</v>
      </c>
      <c r="U179" t="s">
        <v>12568</v>
      </c>
      <c r="V179" t="s">
        <v>12568</v>
      </c>
      <c r="W179" t="s">
        <v>12744</v>
      </c>
      <c r="X179">
        <v>2</v>
      </c>
      <c r="Y179" t="s">
        <v>18974</v>
      </c>
      <c r="Z179" t="s">
        <v>25049</v>
      </c>
      <c r="AA179">
        <v>0.58853066761308759</v>
      </c>
      <c r="AB179" t="str">
        <f>HYPERLINK("Melting_Curves/meltCurve_B7ZBB8_PPP1R3G.pdf", "Melting_Curves/meltCurve_B7ZBB8_PPP1R3G.pdf")</f>
        <v>Melting_Curves/meltCurve_B7ZBB8_PPP1R3G.pdf</v>
      </c>
    </row>
    <row r="180" spans="1:28" x14ac:dyDescent="0.25">
      <c r="A180" t="s">
        <v>184</v>
      </c>
      <c r="B180">
        <v>0.99352677808782597</v>
      </c>
      <c r="C180">
        <v>0.98374339793701704</v>
      </c>
      <c r="D180">
        <v>0.82254648363514304</v>
      </c>
      <c r="E180">
        <v>0.27076646929836101</v>
      </c>
      <c r="F180">
        <v>0.19613804685838299</v>
      </c>
      <c r="G180">
        <v>0.115739980141935</v>
      </c>
      <c r="H180">
        <v>6.6410169038344902E-2</v>
      </c>
      <c r="I180">
        <v>6.4395292344426605E-2</v>
      </c>
      <c r="J180">
        <v>5.1787577659431198E-2</v>
      </c>
      <c r="K180">
        <v>4.0983330158492898E-2</v>
      </c>
      <c r="L180">
        <v>1392.5020100434699</v>
      </c>
      <c r="M180">
        <v>28.930367199964198</v>
      </c>
      <c r="N180">
        <v>48.393539474472902</v>
      </c>
      <c r="O180">
        <v>47.904664495587902</v>
      </c>
      <c r="P180">
        <v>-0.140087554427896</v>
      </c>
      <c r="Q180">
        <v>7.2144952881275898E-2</v>
      </c>
      <c r="R180">
        <v>0.99434051712517801</v>
      </c>
      <c r="S180" t="s">
        <v>6465</v>
      </c>
      <c r="T180" t="s">
        <v>12568</v>
      </c>
      <c r="U180" t="s">
        <v>12568</v>
      </c>
      <c r="V180" t="s">
        <v>12568</v>
      </c>
      <c r="W180" t="s">
        <v>12745</v>
      </c>
      <c r="X180">
        <v>13</v>
      </c>
      <c r="Y180" t="s">
        <v>18975</v>
      </c>
      <c r="Z180" t="s">
        <v>25050</v>
      </c>
      <c r="AA180">
        <v>0.32971413677939021</v>
      </c>
      <c r="AB180" t="str">
        <f>HYPERLINK("Melting_Curves/meltCurve_B7ZKK9_PPP2R5E.pdf", "Melting_Curves/meltCurve_B7ZKK9_PPP2R5E.pdf")</f>
        <v>Melting_Curves/meltCurve_B7ZKK9_PPP2R5E.pdf</v>
      </c>
    </row>
    <row r="181" spans="1:28" x14ac:dyDescent="0.25">
      <c r="A181" t="s">
        <v>185</v>
      </c>
      <c r="B181">
        <v>0.99352677808782597</v>
      </c>
      <c r="C181">
        <v>0.92718271356895099</v>
      </c>
      <c r="D181">
        <v>0.818873341873392</v>
      </c>
      <c r="E181">
        <v>0.52510292662029301</v>
      </c>
      <c r="F181">
        <v>0.52376977523116297</v>
      </c>
      <c r="G181">
        <v>0.28676945204529503</v>
      </c>
      <c r="H181">
        <v>0.36497339980134602</v>
      </c>
      <c r="I181">
        <v>0.30714523231282298</v>
      </c>
      <c r="J181">
        <v>0.22917929452861099</v>
      </c>
      <c r="K181">
        <v>0.213047702962194</v>
      </c>
      <c r="L181">
        <v>681.15988227709101</v>
      </c>
      <c r="M181">
        <v>13.7741701083146</v>
      </c>
      <c r="N181">
        <v>51.919344819135098</v>
      </c>
      <c r="O181">
        <v>48.444619481103999</v>
      </c>
      <c r="P181">
        <v>-5.4017577447389803E-2</v>
      </c>
      <c r="Q181">
        <v>0.24017466375539301</v>
      </c>
      <c r="R181">
        <v>0.97132169082370001</v>
      </c>
      <c r="S181" t="s">
        <v>6466</v>
      </c>
      <c r="T181" t="s">
        <v>12568</v>
      </c>
      <c r="U181" t="s">
        <v>12568</v>
      </c>
      <c r="V181" t="s">
        <v>12568</v>
      </c>
      <c r="W181" t="s">
        <v>12746</v>
      </c>
      <c r="X181">
        <v>1</v>
      </c>
      <c r="Y181" t="s">
        <v>18976</v>
      </c>
      <c r="Z181" t="s">
        <v>25051</v>
      </c>
      <c r="AA181">
        <v>0.50107688731063493</v>
      </c>
      <c r="AB181" t="str">
        <f>HYPERLINK("Melting_Curves/meltCurve_B7ZKP8_UBXN2A.pdf", "Melting_Curves/meltCurve_B7ZKP8_UBXN2A.pdf")</f>
        <v>Melting_Curves/meltCurve_B7ZKP8_UBXN2A.pdf</v>
      </c>
    </row>
    <row r="182" spans="1:28" x14ac:dyDescent="0.25">
      <c r="A182" t="s">
        <v>186</v>
      </c>
      <c r="B182">
        <v>0.99352677808782597</v>
      </c>
      <c r="C182">
        <v>0.975037120330005</v>
      </c>
      <c r="D182">
        <v>1.0586675285423699</v>
      </c>
      <c r="E182">
        <v>0.80762062532865697</v>
      </c>
      <c r="F182">
        <v>0.75213818684550604</v>
      </c>
      <c r="G182">
        <v>0.53433774285159497</v>
      </c>
      <c r="H182">
        <v>0.35462178302241598</v>
      </c>
      <c r="I182">
        <v>0.40402350023376998</v>
      </c>
      <c r="J182">
        <v>0.33686283212982399</v>
      </c>
      <c r="K182">
        <v>0.34975176774092498</v>
      </c>
      <c r="L182">
        <v>978.77611415225101</v>
      </c>
      <c r="M182">
        <v>18.1158551091162</v>
      </c>
      <c r="N182">
        <v>57.455256394833299</v>
      </c>
      <c r="O182">
        <v>53.383255562347301</v>
      </c>
      <c r="P182">
        <v>-5.6821642253669098E-2</v>
      </c>
      <c r="Q182">
        <v>0.33027101214433602</v>
      </c>
      <c r="R182">
        <v>0.97760455774277499</v>
      </c>
      <c r="S182" t="s">
        <v>6467</v>
      </c>
      <c r="T182" t="s">
        <v>12568</v>
      </c>
      <c r="U182" t="s">
        <v>12568</v>
      </c>
      <c r="V182" t="s">
        <v>12568</v>
      </c>
      <c r="W182" t="s">
        <v>12747</v>
      </c>
      <c r="X182">
        <v>4</v>
      </c>
      <c r="Y182" t="s">
        <v>18977</v>
      </c>
      <c r="Z182" t="s">
        <v>25052</v>
      </c>
      <c r="AA182">
        <v>0.65405745013083416</v>
      </c>
      <c r="AB182" t="str">
        <f>HYPERLINK("Melting_Curves/meltCurve_B7ZLQ8_CPEB4.pdf", "Melting_Curves/meltCurve_B7ZLQ8_CPEB4.pdf")</f>
        <v>Melting_Curves/meltCurve_B7ZLQ8_CPEB4.pdf</v>
      </c>
    </row>
    <row r="183" spans="1:28" x14ac:dyDescent="0.25">
      <c r="A183" t="s">
        <v>187</v>
      </c>
      <c r="B183">
        <v>0.99352677808782597</v>
      </c>
      <c r="C183">
        <v>0.92155748117002501</v>
      </c>
      <c r="D183">
        <v>0.94602497788487305</v>
      </c>
      <c r="E183">
        <v>0.81497999981659996</v>
      </c>
      <c r="F183">
        <v>0.71471614078040802</v>
      </c>
      <c r="G183">
        <v>0.63012295544168695</v>
      </c>
      <c r="H183">
        <v>0.57548549837234098</v>
      </c>
      <c r="I183">
        <v>0.56665123833917697</v>
      </c>
      <c r="J183">
        <v>0.55829548720870104</v>
      </c>
      <c r="K183">
        <v>0.470357669219444</v>
      </c>
      <c r="L183">
        <v>571.566450887663</v>
      </c>
      <c r="M183">
        <v>10.850589489851</v>
      </c>
      <c r="O183">
        <v>50.981586308495402</v>
      </c>
      <c r="P183">
        <v>-2.7743123946977401E-2</v>
      </c>
      <c r="Q183">
        <v>0.47878015208944302</v>
      </c>
      <c r="R183">
        <v>0.97985719737673205</v>
      </c>
      <c r="S183" t="s">
        <v>6468</v>
      </c>
      <c r="T183" t="s">
        <v>12568</v>
      </c>
      <c r="U183" t="s">
        <v>12568</v>
      </c>
      <c r="V183" t="s">
        <v>12568</v>
      </c>
      <c r="W183" t="s">
        <v>12748</v>
      </c>
      <c r="X183">
        <v>8</v>
      </c>
      <c r="Y183" t="s">
        <v>18978</v>
      </c>
      <c r="Z183" t="s">
        <v>25053</v>
      </c>
      <c r="AA183">
        <v>0.71602949974489738</v>
      </c>
      <c r="AB183" t="str">
        <f>HYPERLINK("Melting_Curves/meltCurve_B7ZM82_WIZ.pdf", "Melting_Curves/meltCurve_B7ZM82_WIZ.pdf")</f>
        <v>Melting_Curves/meltCurve_B7ZM82_WIZ.pdf</v>
      </c>
    </row>
    <row r="184" spans="1:28" x14ac:dyDescent="0.25">
      <c r="A184" t="s">
        <v>188</v>
      </c>
      <c r="B184">
        <v>0.99352677808782597</v>
      </c>
      <c r="C184">
        <v>0.92527385229940096</v>
      </c>
      <c r="D184">
        <v>0.80182298284351095</v>
      </c>
      <c r="E184">
        <v>0.40770974433611001</v>
      </c>
      <c r="F184">
        <v>0.43009037481815898</v>
      </c>
      <c r="G184">
        <v>0.25338747350173502</v>
      </c>
      <c r="H184">
        <v>0.20309821160021099</v>
      </c>
      <c r="I184">
        <v>0.229204261306138</v>
      </c>
      <c r="J184">
        <v>0.19765886926984</v>
      </c>
      <c r="K184">
        <v>0.19414093200129601</v>
      </c>
      <c r="L184">
        <v>857.13783549652896</v>
      </c>
      <c r="M184">
        <v>17.723616961226</v>
      </c>
      <c r="N184">
        <v>49.829562936447097</v>
      </c>
      <c r="O184">
        <v>47.7582766432784</v>
      </c>
      <c r="P184">
        <v>-7.3910569798326498E-2</v>
      </c>
      <c r="Q184">
        <v>0.203400448656296</v>
      </c>
      <c r="R184">
        <v>0.98235297983152303</v>
      </c>
      <c r="S184" t="s">
        <v>6469</v>
      </c>
      <c r="T184" t="s">
        <v>12568</v>
      </c>
      <c r="U184" t="s">
        <v>12568</v>
      </c>
      <c r="V184" t="s">
        <v>12568</v>
      </c>
      <c r="W184" t="s">
        <v>12749</v>
      </c>
      <c r="X184">
        <v>1</v>
      </c>
      <c r="Y184" t="s">
        <v>18979</v>
      </c>
      <c r="Z184" t="s">
        <v>25054</v>
      </c>
      <c r="AA184">
        <v>0.43986535838089191</v>
      </c>
      <c r="AB184" t="str">
        <f>HYPERLINK("Melting_Curves/meltCurve_B8ZZJ1_FAM126A.pdf", "Melting_Curves/meltCurve_B8ZZJ1_FAM126A.pdf")</f>
        <v>Melting_Curves/meltCurve_B8ZZJ1_FAM126A.pdf</v>
      </c>
    </row>
    <row r="185" spans="1:28" x14ac:dyDescent="0.25">
      <c r="A185" t="s">
        <v>189</v>
      </c>
      <c r="B185">
        <v>0.99352677808782597</v>
      </c>
      <c r="C185">
        <v>0.29410242556464</v>
      </c>
      <c r="D185">
        <v>1.08787260582679</v>
      </c>
      <c r="E185">
        <v>0.44998070535872298</v>
      </c>
      <c r="F185">
        <v>0.39433549581753602</v>
      </c>
      <c r="G185">
        <v>0.161621752594197</v>
      </c>
      <c r="H185">
        <v>8.6109354691678797E-2</v>
      </c>
      <c r="I185">
        <v>8.50552063672846E-2</v>
      </c>
      <c r="J185">
        <v>6.5072520474330806E-2</v>
      </c>
      <c r="K185">
        <v>4.8288984320840903E-2</v>
      </c>
      <c r="L185">
        <v>463.03422778134501</v>
      </c>
      <c r="M185">
        <v>9.3497900786711803</v>
      </c>
      <c r="N185">
        <v>49.523482675634</v>
      </c>
      <c r="O185">
        <v>47.416378349295101</v>
      </c>
      <c r="P185">
        <v>-4.9327185333542301E-2</v>
      </c>
      <c r="Q185">
        <v>0</v>
      </c>
      <c r="R185">
        <v>0.65261129924764605</v>
      </c>
      <c r="S185" t="s">
        <v>6470</v>
      </c>
      <c r="T185" t="s">
        <v>12568</v>
      </c>
      <c r="U185" t="s">
        <v>12568</v>
      </c>
      <c r="V185" t="s">
        <v>12568</v>
      </c>
      <c r="W185" t="s">
        <v>12750</v>
      </c>
      <c r="X185">
        <v>5</v>
      </c>
      <c r="Y185" t="s">
        <v>18980</v>
      </c>
      <c r="Z185" t="s">
        <v>25055</v>
      </c>
      <c r="AA185">
        <v>0.36897847895751779</v>
      </c>
      <c r="AB185" t="str">
        <f>HYPERLINK("Melting_Curves/meltCurve_B8ZZJ9_EIF4E2.pdf", "Melting_Curves/meltCurve_B8ZZJ9_EIF4E2.pdf")</f>
        <v>Melting_Curves/meltCurve_B8ZZJ9_EIF4E2.pdf</v>
      </c>
    </row>
    <row r="186" spans="1:28" x14ac:dyDescent="0.25">
      <c r="A186" t="s">
        <v>190</v>
      </c>
      <c r="B186">
        <v>0.99352677808782597</v>
      </c>
      <c r="C186">
        <v>0.93805566845828103</v>
      </c>
      <c r="D186">
        <v>1.3770407009587</v>
      </c>
      <c r="E186">
        <v>0.647372515374115</v>
      </c>
      <c r="F186">
        <v>0.593697464698275</v>
      </c>
      <c r="G186">
        <v>0.29964758655052198</v>
      </c>
      <c r="H186">
        <v>0.14945363345649301</v>
      </c>
      <c r="I186">
        <v>0.13115056745294801</v>
      </c>
      <c r="J186">
        <v>0.12513490307144101</v>
      </c>
      <c r="K186">
        <v>0.10924577434548299</v>
      </c>
      <c r="L186">
        <v>1190.4170115519901</v>
      </c>
      <c r="M186">
        <v>22.5006395205458</v>
      </c>
      <c r="N186">
        <v>53.549426503237399</v>
      </c>
      <c r="O186">
        <v>52.493358341343402</v>
      </c>
      <c r="P186">
        <v>-9.4467411465619502E-2</v>
      </c>
      <c r="Q186">
        <v>0.11845902136898701</v>
      </c>
      <c r="R186">
        <v>0.89036639510343496</v>
      </c>
      <c r="S186" t="s">
        <v>6471</v>
      </c>
      <c r="T186" t="s">
        <v>12568</v>
      </c>
      <c r="U186" t="s">
        <v>12568</v>
      </c>
      <c r="V186" t="s">
        <v>12568</v>
      </c>
      <c r="W186" t="s">
        <v>12751</v>
      </c>
      <c r="X186">
        <v>5</v>
      </c>
      <c r="Y186" t="s">
        <v>18981</v>
      </c>
      <c r="Z186" t="s">
        <v>25056</v>
      </c>
      <c r="AA186">
        <v>0.5075506715412017</v>
      </c>
      <c r="AB186" t="str">
        <f>HYPERLINK("Melting_Curves/meltCurve_B8ZZK4_RPL31.pdf", "Melting_Curves/meltCurve_B8ZZK4_RPL31.pdf")</f>
        <v>Melting_Curves/meltCurve_B8ZZK4_RPL31.pdf</v>
      </c>
    </row>
    <row r="187" spans="1:28" x14ac:dyDescent="0.25">
      <c r="A187" t="s">
        <v>191</v>
      </c>
      <c r="B187">
        <v>0.99352677808782597</v>
      </c>
      <c r="C187">
        <v>0.93297618836922602</v>
      </c>
      <c r="D187">
        <v>0.93501476332788602</v>
      </c>
      <c r="E187">
        <v>1.0538462789404199</v>
      </c>
      <c r="F187">
        <v>1.13984427723325</v>
      </c>
      <c r="G187">
        <v>1.13628885179703</v>
      </c>
      <c r="H187">
        <v>1.0644486349212301</v>
      </c>
      <c r="I187">
        <v>1.1372856955974</v>
      </c>
      <c r="J187">
        <v>1.08254217830195</v>
      </c>
      <c r="K187">
        <v>0.95420980566080404</v>
      </c>
      <c r="L187">
        <v>12473.860407668701</v>
      </c>
      <c r="M187">
        <v>250</v>
      </c>
      <c r="O187">
        <v>49.892248708564303</v>
      </c>
      <c r="P187">
        <v>0.107443919157486</v>
      </c>
      <c r="Q187">
        <v>1.0857698995938101</v>
      </c>
      <c r="R187">
        <v>0.45166408937835101</v>
      </c>
      <c r="S187" t="s">
        <v>6472</v>
      </c>
      <c r="T187" t="s">
        <v>12568</v>
      </c>
      <c r="U187" t="s">
        <v>12568</v>
      </c>
      <c r="V187" t="s">
        <v>12568</v>
      </c>
      <c r="W187" t="s">
        <v>12752</v>
      </c>
      <c r="X187">
        <v>9</v>
      </c>
      <c r="Y187" t="s">
        <v>18982</v>
      </c>
      <c r="Z187" t="s">
        <v>25057</v>
      </c>
      <c r="AA187">
        <v>1.057471354587183</v>
      </c>
      <c r="AB187" t="str">
        <f>HYPERLINK("Melting_Curves/meltCurve_B8ZZQ6_PTMA.pdf", "Melting_Curves/meltCurve_B8ZZQ6_PTMA.pdf")</f>
        <v>Melting_Curves/meltCurve_B8ZZQ6_PTMA.pdf</v>
      </c>
    </row>
    <row r="188" spans="1:28" x14ac:dyDescent="0.25">
      <c r="A188" t="s">
        <v>192</v>
      </c>
      <c r="B188">
        <v>0.99352677808782597</v>
      </c>
      <c r="C188">
        <v>0.98874724831037697</v>
      </c>
      <c r="D188">
        <v>1.04950704682953</v>
      </c>
      <c r="E188">
        <v>1.10854935419941</v>
      </c>
      <c r="F188">
        <v>0.997589453400057</v>
      </c>
      <c r="G188">
        <v>0.98615009319218405</v>
      </c>
      <c r="H188">
        <v>0.85608067147109501</v>
      </c>
      <c r="I188">
        <v>0.93802338049389999</v>
      </c>
      <c r="J188">
        <v>0.90509722536785397</v>
      </c>
      <c r="K188">
        <v>0.87901378020718401</v>
      </c>
      <c r="L188">
        <v>14357.6787629553</v>
      </c>
      <c r="M188">
        <v>250</v>
      </c>
      <c r="O188">
        <v>57.427039836500001</v>
      </c>
      <c r="P188">
        <v>-0.114761093777037</v>
      </c>
      <c r="Q188">
        <v>0.89455376160338895</v>
      </c>
      <c r="R188">
        <v>0.66384006251852501</v>
      </c>
      <c r="S188" t="s">
        <v>6473</v>
      </c>
      <c r="T188" t="s">
        <v>12568</v>
      </c>
      <c r="U188" t="s">
        <v>12568</v>
      </c>
      <c r="V188" t="s">
        <v>12568</v>
      </c>
      <c r="W188" t="s">
        <v>12753</v>
      </c>
      <c r="X188">
        <v>2</v>
      </c>
      <c r="Y188" t="s">
        <v>18983</v>
      </c>
      <c r="Z188" t="s">
        <v>25058</v>
      </c>
      <c r="AA188">
        <v>0.95583116735685181</v>
      </c>
      <c r="AB188" t="str">
        <f>HYPERLINK("Melting_Curves/meltCurve_B8ZZT4_VAMP8.pdf", "Melting_Curves/meltCurve_B8ZZT4_VAMP8.pdf")</f>
        <v>Melting_Curves/meltCurve_B8ZZT4_VAMP8.pdf</v>
      </c>
    </row>
    <row r="189" spans="1:28" x14ac:dyDescent="0.25">
      <c r="A189" t="s">
        <v>193</v>
      </c>
      <c r="B189">
        <v>0.99352677808782597</v>
      </c>
      <c r="C189">
        <v>0.84330979496940595</v>
      </c>
      <c r="D189">
        <v>1.06748636443514</v>
      </c>
      <c r="E189">
        <v>0.43756103520525003</v>
      </c>
      <c r="F189">
        <v>0.37141683342916498</v>
      </c>
      <c r="G189">
        <v>0.184151611356452</v>
      </c>
      <c r="H189">
        <v>0.14392121765166799</v>
      </c>
      <c r="I189">
        <v>0.12706023677363301</v>
      </c>
      <c r="J189">
        <v>9.5264157621141002E-2</v>
      </c>
      <c r="K189">
        <v>7.5165908999067402E-2</v>
      </c>
      <c r="L189">
        <v>1294.9353538394</v>
      </c>
      <c r="M189">
        <v>25.9721708311836</v>
      </c>
      <c r="N189">
        <v>50.406343309164299</v>
      </c>
      <c r="O189">
        <v>49.565811042165201</v>
      </c>
      <c r="P189">
        <v>-0.114892612105143</v>
      </c>
      <c r="Q189">
        <v>0.122956747923945</v>
      </c>
      <c r="R189">
        <v>0.94904411136797195</v>
      </c>
      <c r="S189" t="s">
        <v>6474</v>
      </c>
      <c r="T189" t="s">
        <v>12568</v>
      </c>
      <c r="U189" t="s">
        <v>12568</v>
      </c>
      <c r="V189" t="s">
        <v>12568</v>
      </c>
      <c r="W189" t="s">
        <v>12754</v>
      </c>
      <c r="X189">
        <v>15</v>
      </c>
      <c r="Y189" t="s">
        <v>18984</v>
      </c>
      <c r="Z189" t="s">
        <v>25059</v>
      </c>
      <c r="AA189">
        <v>0.41841722466907771</v>
      </c>
      <c r="AB189" t="str">
        <f>HYPERLINK("Melting_Curves/meltCurve_B9A018_USP39.pdf", "Melting_Curves/meltCurve_B9A018_USP39.pdf")</f>
        <v>Melting_Curves/meltCurve_B9A018_USP39.pdf</v>
      </c>
    </row>
    <row r="190" spans="1:28" x14ac:dyDescent="0.25">
      <c r="A190" t="s">
        <v>194</v>
      </c>
      <c r="B190">
        <v>0.99352677808782597</v>
      </c>
      <c r="C190">
        <v>0.91174782220915096</v>
      </c>
      <c r="D190">
        <v>0.65567434988071904</v>
      </c>
      <c r="E190">
        <v>0.45491832911913199</v>
      </c>
      <c r="F190">
        <v>0.43696386800303599</v>
      </c>
      <c r="G190">
        <v>0.34714108334634602</v>
      </c>
      <c r="H190">
        <v>0.26692495324098597</v>
      </c>
      <c r="I190">
        <v>0.348157432571498</v>
      </c>
      <c r="J190">
        <v>0.33017656892894198</v>
      </c>
      <c r="K190">
        <v>0.299407489975764</v>
      </c>
      <c r="L190">
        <v>878.22418537175099</v>
      </c>
      <c r="M190">
        <v>18.9070270776744</v>
      </c>
      <c r="N190">
        <v>49.0916708901131</v>
      </c>
      <c r="O190">
        <v>45.939358607295297</v>
      </c>
      <c r="P190">
        <v>-7.0045082816334495E-2</v>
      </c>
      <c r="Q190">
        <v>0.31925940314386397</v>
      </c>
      <c r="R190">
        <v>0.98229284988760501</v>
      </c>
      <c r="S190" t="s">
        <v>6475</v>
      </c>
      <c r="T190" t="s">
        <v>12568</v>
      </c>
      <c r="U190" t="s">
        <v>12568</v>
      </c>
      <c r="V190" t="s">
        <v>12568</v>
      </c>
      <c r="W190" t="s">
        <v>12755</v>
      </c>
      <c r="X190">
        <v>1</v>
      </c>
      <c r="Y190" t="s">
        <v>18985</v>
      </c>
      <c r="Z190" t="s">
        <v>25060</v>
      </c>
      <c r="AA190">
        <v>0.4772180629632235</v>
      </c>
      <c r="AB190" t="str">
        <f>HYPERLINK("Melting_Curves/meltCurve_B9A047_ASB1.pdf", "Melting_Curves/meltCurve_B9A047_ASB1.pdf")</f>
        <v>Melting_Curves/meltCurve_B9A047_ASB1.pdf</v>
      </c>
    </row>
    <row r="191" spans="1:28" x14ac:dyDescent="0.25">
      <c r="A191" t="s">
        <v>195</v>
      </c>
      <c r="B191">
        <v>0.99352677808782597</v>
      </c>
      <c r="C191">
        <v>0.92880129492890695</v>
      </c>
      <c r="D191">
        <v>0.998411073960776</v>
      </c>
      <c r="E191">
        <v>0.900674946216387</v>
      </c>
      <c r="F191">
        <v>0.89108056752921205</v>
      </c>
      <c r="G191">
        <v>0.81805315346278296</v>
      </c>
      <c r="H191">
        <v>0.69236974840500498</v>
      </c>
      <c r="I191">
        <v>0.69454617603052604</v>
      </c>
      <c r="J191">
        <v>0.62945196419043903</v>
      </c>
      <c r="K191">
        <v>0.53352705218729202</v>
      </c>
      <c r="L191">
        <v>386.67136955641399</v>
      </c>
      <c r="M191">
        <v>5.3267478371575203</v>
      </c>
      <c r="O191">
        <v>64.255747710202897</v>
      </c>
      <c r="P191">
        <v>-2.0826861647100198E-2</v>
      </c>
      <c r="Q191">
        <v>0</v>
      </c>
      <c r="R191">
        <v>0.96841848904198202</v>
      </c>
      <c r="S191" t="s">
        <v>6476</v>
      </c>
      <c r="T191" t="s">
        <v>12568</v>
      </c>
      <c r="U191" t="s">
        <v>12568</v>
      </c>
      <c r="V191" t="s">
        <v>12568</v>
      </c>
      <c r="W191" t="s">
        <v>12756</v>
      </c>
      <c r="X191">
        <v>1</v>
      </c>
      <c r="Y191" t="s">
        <v>18986</v>
      </c>
      <c r="Z191" t="s">
        <v>25061</v>
      </c>
      <c r="AA191">
        <v>0.81764251053933812</v>
      </c>
      <c r="AB191" t="str">
        <f>HYPERLINK("Melting_Curves/meltCurve_B9ZVT1_RBM12B.pdf", "Melting_Curves/meltCurve_B9ZVT1_RBM12B.pdf")</f>
        <v>Melting_Curves/meltCurve_B9ZVT1_RBM12B.pdf</v>
      </c>
    </row>
    <row r="192" spans="1:28" x14ac:dyDescent="0.25">
      <c r="A192" t="s">
        <v>196</v>
      </c>
      <c r="B192">
        <v>0.99352677808782597</v>
      </c>
      <c r="C192">
        <v>0.98657993973642399</v>
      </c>
      <c r="D192">
        <v>0.87444820492361397</v>
      </c>
      <c r="E192">
        <v>1.12473675142609</v>
      </c>
      <c r="F192">
        <v>0.99975314512554203</v>
      </c>
      <c r="G192">
        <v>0.77786388924684802</v>
      </c>
      <c r="H192">
        <v>0.79021631901352096</v>
      </c>
      <c r="I192">
        <v>0.66353969140647795</v>
      </c>
      <c r="J192">
        <v>0.65658307562388796</v>
      </c>
      <c r="K192">
        <v>0.39887214282646599</v>
      </c>
      <c r="L192">
        <v>687.72474512153497</v>
      </c>
      <c r="M192">
        <v>9.99959027880554</v>
      </c>
      <c r="N192">
        <v>68.775292400267901</v>
      </c>
      <c r="O192">
        <v>66.194454432770399</v>
      </c>
      <c r="P192">
        <v>-3.7784333233881202E-2</v>
      </c>
      <c r="Q192">
        <v>0</v>
      </c>
      <c r="R192">
        <v>0.85080772663126203</v>
      </c>
      <c r="S192" t="s">
        <v>6477</v>
      </c>
      <c r="T192" t="s">
        <v>12568</v>
      </c>
      <c r="U192" t="s">
        <v>12568</v>
      </c>
      <c r="V192" t="s">
        <v>12568</v>
      </c>
      <c r="W192" t="s">
        <v>12757</v>
      </c>
      <c r="X192">
        <v>14</v>
      </c>
      <c r="Y192" t="s">
        <v>18987</v>
      </c>
      <c r="Z192" t="s">
        <v>25062</v>
      </c>
      <c r="AA192">
        <v>0.84865620807609377</v>
      </c>
      <c r="AB192" t="str">
        <f>HYPERLINK("Melting_Curves/meltCurve_C4AMC7_WASH3P.pdf", "Melting_Curves/meltCurve_C4AMC7_WASH3P.pdf")</f>
        <v>Melting_Curves/meltCurve_C4AMC7_WASH3P.pdf</v>
      </c>
    </row>
    <row r="193" spans="1:28" x14ac:dyDescent="0.25">
      <c r="A193" t="s">
        <v>197</v>
      </c>
      <c r="B193">
        <v>0.99352677808782597</v>
      </c>
      <c r="C193">
        <v>1.03138369422537</v>
      </c>
      <c r="D193">
        <v>0.94801336537720804</v>
      </c>
      <c r="E193">
        <v>1.1485190911915899</v>
      </c>
      <c r="F193">
        <v>1.08422986309586</v>
      </c>
      <c r="G193">
        <v>1.01556079081466</v>
      </c>
      <c r="H193">
        <v>0.41486960140564599</v>
      </c>
      <c r="I193">
        <v>0.38013458514054899</v>
      </c>
      <c r="J193">
        <v>0.37383890126763702</v>
      </c>
      <c r="K193">
        <v>0.290070699689148</v>
      </c>
      <c r="L193">
        <v>10511.763108863001</v>
      </c>
      <c r="M193">
        <v>174.49277440225401</v>
      </c>
      <c r="N193">
        <v>60.655740844772502</v>
      </c>
      <c r="O193">
        <v>60.233912210968199</v>
      </c>
      <c r="P193">
        <v>-0.47219699753758798</v>
      </c>
      <c r="Q193">
        <v>0.34800114391570403</v>
      </c>
      <c r="R193">
        <v>0.96583895596814395</v>
      </c>
      <c r="S193" t="s">
        <v>6478</v>
      </c>
      <c r="T193" t="s">
        <v>12568</v>
      </c>
      <c r="U193" t="s">
        <v>12568</v>
      </c>
      <c r="V193" t="s">
        <v>12568</v>
      </c>
      <c r="W193" t="s">
        <v>12758</v>
      </c>
      <c r="X193">
        <v>1</v>
      </c>
      <c r="Y193" t="s">
        <v>18988</v>
      </c>
      <c r="Z193" t="s">
        <v>25063</v>
      </c>
      <c r="AA193">
        <v>0.78806422201624615</v>
      </c>
      <c r="AB193" t="str">
        <f>HYPERLINK("Melting_Curves/meltCurve_C6GKU9_MED30S.pdf", "Melting_Curves/meltCurve_C6GKU9_MED30S.pdf")</f>
        <v>Melting_Curves/meltCurve_C6GKU9_MED30S.pdf</v>
      </c>
    </row>
    <row r="194" spans="1:28" x14ac:dyDescent="0.25">
      <c r="A194" t="s">
        <v>198</v>
      </c>
      <c r="B194">
        <v>0.99352677808782597</v>
      </c>
      <c r="C194">
        <v>0.88848814346666405</v>
      </c>
      <c r="D194">
        <v>1.1494603379934001</v>
      </c>
      <c r="E194">
        <v>0.78261744325771099</v>
      </c>
      <c r="F194">
        <v>0.67393053269790704</v>
      </c>
      <c r="G194">
        <v>0.52529257546361496</v>
      </c>
      <c r="H194">
        <v>0.54266430518499098</v>
      </c>
      <c r="I194">
        <v>0.58950352198925804</v>
      </c>
      <c r="J194">
        <v>0.47582862313242802</v>
      </c>
      <c r="K194">
        <v>0.46598327654282201</v>
      </c>
      <c r="L194">
        <v>1585.53161728652</v>
      </c>
      <c r="M194">
        <v>31.061430250155301</v>
      </c>
      <c r="O194">
        <v>50.8348533433292</v>
      </c>
      <c r="P194">
        <v>-7.3512103120272704E-2</v>
      </c>
      <c r="Q194">
        <v>0.518765781313684</v>
      </c>
      <c r="R194">
        <v>0.89314127185765202</v>
      </c>
      <c r="S194" t="s">
        <v>6479</v>
      </c>
      <c r="T194" t="s">
        <v>12568</v>
      </c>
      <c r="U194" t="s">
        <v>12568</v>
      </c>
      <c r="V194" t="s">
        <v>12568</v>
      </c>
      <c r="W194" t="s">
        <v>12759</v>
      </c>
      <c r="X194">
        <v>1</v>
      </c>
      <c r="Y194" t="s">
        <v>18989</v>
      </c>
      <c r="Z194" t="s">
        <v>25064</v>
      </c>
      <c r="AA194">
        <v>0.6987648203477701</v>
      </c>
      <c r="AB194" t="str">
        <f>HYPERLINK("Melting_Curves/meltCurve_C9J082_NPHP1.pdf", "Melting_Curves/meltCurve_C9J082_NPHP1.pdf")</f>
        <v>Melting_Curves/meltCurve_C9J082_NPHP1.pdf</v>
      </c>
    </row>
    <row r="195" spans="1:28" x14ac:dyDescent="0.25">
      <c r="A195" t="s">
        <v>199</v>
      </c>
      <c r="B195">
        <v>0.99352677808782597</v>
      </c>
      <c r="C195">
        <v>0.95007788760404599</v>
      </c>
      <c r="D195">
        <v>0.87396301718917702</v>
      </c>
      <c r="E195">
        <v>0.399033783742193</v>
      </c>
      <c r="F195">
        <v>0.30613002252076998</v>
      </c>
      <c r="G195">
        <v>0.21236363064663</v>
      </c>
      <c r="H195">
        <v>0.14194470588633101</v>
      </c>
      <c r="I195">
        <v>0.119723102043251</v>
      </c>
      <c r="J195">
        <v>0.122533872145418</v>
      </c>
      <c r="K195">
        <v>9.9204763553530306E-2</v>
      </c>
      <c r="L195">
        <v>1098.1678625950501</v>
      </c>
      <c r="M195">
        <v>22.463968818698898</v>
      </c>
      <c r="N195">
        <v>49.553542749570603</v>
      </c>
      <c r="O195">
        <v>48.503306127231397</v>
      </c>
      <c r="P195">
        <v>-0.10066616825932299</v>
      </c>
      <c r="Q195">
        <v>0.13060063958315801</v>
      </c>
      <c r="R195">
        <v>0.99064071068686499</v>
      </c>
      <c r="S195" t="s">
        <v>6480</v>
      </c>
      <c r="T195" t="s">
        <v>12568</v>
      </c>
      <c r="U195" t="s">
        <v>12568</v>
      </c>
      <c r="V195" t="s">
        <v>12568</v>
      </c>
      <c r="W195" t="s">
        <v>12760</v>
      </c>
      <c r="X195">
        <v>11</v>
      </c>
      <c r="Y195" t="s">
        <v>18990</v>
      </c>
      <c r="Z195" t="s">
        <v>25065</v>
      </c>
      <c r="AA195">
        <v>0.39771227780493251</v>
      </c>
      <c r="AB195" t="str">
        <f>HYPERLINK("Melting_Curves/meltCurve_C9J0I9_ZC3HC1.pdf", "Melting_Curves/meltCurve_C9J0I9_ZC3HC1.pdf")</f>
        <v>Melting_Curves/meltCurve_C9J0I9_ZC3HC1.pdf</v>
      </c>
    </row>
    <row r="196" spans="1:28" x14ac:dyDescent="0.25">
      <c r="A196" t="s">
        <v>200</v>
      </c>
      <c r="B196">
        <v>0.99352677808782597</v>
      </c>
      <c r="C196">
        <v>0.98081855485343405</v>
      </c>
      <c r="D196">
        <v>1.00020728607193</v>
      </c>
      <c r="E196">
        <v>0.41135248273437802</v>
      </c>
      <c r="F196">
        <v>0.32362690217286</v>
      </c>
      <c r="G196">
        <v>0.14337727746266499</v>
      </c>
      <c r="H196">
        <v>7.7435136213086106E-2</v>
      </c>
      <c r="I196">
        <v>6.8033711584408699E-2</v>
      </c>
      <c r="J196">
        <v>5.2178958512155101E-2</v>
      </c>
      <c r="K196">
        <v>3.97381325301389E-2</v>
      </c>
      <c r="L196">
        <v>1272.60583860984</v>
      </c>
      <c r="M196">
        <v>25.576775048155</v>
      </c>
      <c r="N196">
        <v>50.066463584286801</v>
      </c>
      <c r="O196">
        <v>49.455150508428098</v>
      </c>
      <c r="P196">
        <v>-0.11982167850203899</v>
      </c>
      <c r="Q196">
        <v>7.3264880652888206E-2</v>
      </c>
      <c r="R196">
        <v>0.98048462084743804</v>
      </c>
      <c r="S196" t="s">
        <v>6481</v>
      </c>
      <c r="T196" t="s">
        <v>12568</v>
      </c>
      <c r="U196" t="s">
        <v>12568</v>
      </c>
      <c r="V196" t="s">
        <v>12568</v>
      </c>
      <c r="W196" t="s">
        <v>12761</v>
      </c>
      <c r="X196">
        <v>8</v>
      </c>
      <c r="Y196" t="s">
        <v>18991</v>
      </c>
      <c r="Z196" t="s">
        <v>25066</v>
      </c>
      <c r="AA196">
        <v>0.3825389878342339</v>
      </c>
      <c r="AB196" t="str">
        <f>HYPERLINK("Melting_Curves/meltCurve_C9J0J7_PFN2.pdf", "Melting_Curves/meltCurve_C9J0J7_PFN2.pdf")</f>
        <v>Melting_Curves/meltCurve_C9J0J7_PFN2.pdf</v>
      </c>
    </row>
    <row r="197" spans="1:28" x14ac:dyDescent="0.25">
      <c r="A197" t="s">
        <v>201</v>
      </c>
      <c r="B197">
        <v>0.99352677808782597</v>
      </c>
      <c r="C197">
        <v>0.97931544157518902</v>
      </c>
      <c r="D197">
        <v>1.0131539916086501</v>
      </c>
      <c r="E197">
        <v>0.90861280082682605</v>
      </c>
      <c r="F197">
        <v>0.79440185059550406</v>
      </c>
      <c r="G197">
        <v>0.53951071946672102</v>
      </c>
      <c r="H197">
        <v>0.2414174421236</v>
      </c>
      <c r="I197">
        <v>0.18893021496305801</v>
      </c>
      <c r="J197">
        <v>0.14792337231815</v>
      </c>
      <c r="K197">
        <v>0.10541061133308301</v>
      </c>
      <c r="L197">
        <v>1054.0072184241601</v>
      </c>
      <c r="M197">
        <v>18.6154359810856</v>
      </c>
      <c r="N197">
        <v>57.193364317488999</v>
      </c>
      <c r="O197">
        <v>55.978809516800702</v>
      </c>
      <c r="P197">
        <v>-7.6063527910865E-2</v>
      </c>
      <c r="Q197">
        <v>8.5111570096706904E-2</v>
      </c>
      <c r="R197">
        <v>0.99738853921326398</v>
      </c>
      <c r="S197" t="s">
        <v>6482</v>
      </c>
      <c r="T197" t="s">
        <v>12568</v>
      </c>
      <c r="U197" t="s">
        <v>12568</v>
      </c>
      <c r="V197" t="s">
        <v>12568</v>
      </c>
      <c r="W197" t="s">
        <v>12762</v>
      </c>
      <c r="X197">
        <v>12</v>
      </c>
      <c r="Y197" t="s">
        <v>18992</v>
      </c>
      <c r="Z197" t="s">
        <v>25067</v>
      </c>
      <c r="AA197">
        <v>0.60443193860965017</v>
      </c>
      <c r="AB197" t="str">
        <f>HYPERLINK("Melting_Curves/meltCurve_C9J0K6_SRI.pdf", "Melting_Curves/meltCurve_C9J0K6_SRI.pdf")</f>
        <v>Melting_Curves/meltCurve_C9J0K6_SRI.pdf</v>
      </c>
    </row>
    <row r="198" spans="1:28" x14ac:dyDescent="0.25">
      <c r="A198" t="s">
        <v>202</v>
      </c>
      <c r="B198">
        <v>0.99352677808782597</v>
      </c>
      <c r="C198">
        <v>0.91123120367174804</v>
      </c>
      <c r="D198">
        <v>0.75313382956875097</v>
      </c>
      <c r="E198">
        <v>0.68735153906127899</v>
      </c>
      <c r="F198">
        <v>0.582734574195509</v>
      </c>
      <c r="G198">
        <v>0.41450184227179598</v>
      </c>
      <c r="H198">
        <v>0.39438167316630401</v>
      </c>
      <c r="I198">
        <v>0.397837686655797</v>
      </c>
      <c r="J198">
        <v>0.369839664406172</v>
      </c>
      <c r="K198">
        <v>0.21187209716046901</v>
      </c>
      <c r="L198">
        <v>459.39375308449701</v>
      </c>
      <c r="M198">
        <v>8.8871586656560204</v>
      </c>
      <c r="N198">
        <v>55.435421365063902</v>
      </c>
      <c r="O198">
        <v>49.275443308316603</v>
      </c>
      <c r="P198">
        <v>-3.4942078426695701E-2</v>
      </c>
      <c r="Q198">
        <v>0.22563514877339499</v>
      </c>
      <c r="R198">
        <v>0.96507673698933505</v>
      </c>
      <c r="S198" t="s">
        <v>6483</v>
      </c>
      <c r="T198" t="s">
        <v>12568</v>
      </c>
      <c r="U198" t="s">
        <v>12568</v>
      </c>
      <c r="V198" t="s">
        <v>12568</v>
      </c>
      <c r="W198" t="s">
        <v>12763</v>
      </c>
      <c r="X198">
        <v>1</v>
      </c>
      <c r="Y198" t="s">
        <v>18993</v>
      </c>
      <c r="Z198" t="s">
        <v>25068</v>
      </c>
      <c r="AA198">
        <v>0.56177442007314782</v>
      </c>
      <c r="AB198" t="str">
        <f>HYPERLINK("Melting_Curves/meltCurve_C9J0V9_ZNF655.pdf", "Melting_Curves/meltCurve_C9J0V9_ZNF655.pdf")</f>
        <v>Melting_Curves/meltCurve_C9J0V9_ZNF655.pdf</v>
      </c>
    </row>
    <row r="199" spans="1:28" x14ac:dyDescent="0.25">
      <c r="A199" t="s">
        <v>203</v>
      </c>
      <c r="B199">
        <v>0.99352677808782597</v>
      </c>
      <c r="C199">
        <v>0.98152203226115997</v>
      </c>
      <c r="D199">
        <v>1.0326193767035601</v>
      </c>
      <c r="E199">
        <v>0.88933023825271496</v>
      </c>
      <c r="F199">
        <v>0.83987948565185699</v>
      </c>
      <c r="G199">
        <v>0.53711809718748904</v>
      </c>
      <c r="H199">
        <v>0.236699999595263</v>
      </c>
      <c r="I199">
        <v>0.227970042255939</v>
      </c>
      <c r="J199">
        <v>0.208617863875867</v>
      </c>
      <c r="K199">
        <v>0.178000703656403</v>
      </c>
      <c r="L199">
        <v>1269.69539207766</v>
      </c>
      <c r="M199">
        <v>22.623339187968799</v>
      </c>
      <c r="N199">
        <v>57.164558788594</v>
      </c>
      <c r="O199">
        <v>55.6902610530232</v>
      </c>
      <c r="P199">
        <v>-8.4410208591470498E-2</v>
      </c>
      <c r="Q199">
        <v>0.16887024148882901</v>
      </c>
      <c r="R199">
        <v>0.992461646497245</v>
      </c>
      <c r="S199" t="s">
        <v>6484</v>
      </c>
      <c r="T199" t="s">
        <v>12568</v>
      </c>
      <c r="U199" t="s">
        <v>12568</v>
      </c>
      <c r="V199" t="s">
        <v>12568</v>
      </c>
      <c r="W199" t="s">
        <v>12764</v>
      </c>
      <c r="X199">
        <v>7</v>
      </c>
      <c r="Y199" t="s">
        <v>18994</v>
      </c>
      <c r="Z199" t="s">
        <v>25069</v>
      </c>
      <c r="AA199">
        <v>0.62447997097040309</v>
      </c>
      <c r="AB199" t="str">
        <f>HYPERLINK("Melting_Curves/meltCurve_C9J212_UBE2F.pdf", "Melting_Curves/meltCurve_C9J212_UBE2F.pdf")</f>
        <v>Melting_Curves/meltCurve_C9J212_UBE2F.pdf</v>
      </c>
    </row>
    <row r="200" spans="1:28" x14ac:dyDescent="0.25">
      <c r="A200" t="s">
        <v>204</v>
      </c>
      <c r="B200">
        <v>0.99352677808782597</v>
      </c>
      <c r="C200">
        <v>1.04297898773548</v>
      </c>
      <c r="D200">
        <v>1.05859554936603</v>
      </c>
      <c r="E200">
        <v>1.02745902881702</v>
      </c>
      <c r="F200">
        <v>0.85882863551338795</v>
      </c>
      <c r="G200">
        <v>1.1048176670002801</v>
      </c>
      <c r="H200">
        <v>1.02453761995091</v>
      </c>
      <c r="I200">
        <v>0.94223745552989002</v>
      </c>
      <c r="J200">
        <v>1.0005885204339899</v>
      </c>
      <c r="K200">
        <v>0.92104508611385205</v>
      </c>
      <c r="L200">
        <v>2335.6718469144898</v>
      </c>
      <c r="M200">
        <v>30.878026660142002</v>
      </c>
      <c r="Q200">
        <v>0</v>
      </c>
      <c r="R200">
        <v>0.13110691651265999</v>
      </c>
      <c r="S200" t="s">
        <v>6485</v>
      </c>
      <c r="T200" t="s">
        <v>12568</v>
      </c>
      <c r="U200" t="s">
        <v>12568</v>
      </c>
      <c r="V200" t="s">
        <v>12568</v>
      </c>
      <c r="W200" t="s">
        <v>12765</v>
      </c>
      <c r="X200">
        <v>1</v>
      </c>
      <c r="Y200" t="s">
        <v>18995</v>
      </c>
      <c r="Z200" t="s">
        <v>25070</v>
      </c>
      <c r="AA200">
        <v>0.99473635527349547</v>
      </c>
      <c r="AB200" t="str">
        <f>HYPERLINK("Melting_Curves/meltCurve_C9J2N8_ZNF823.pdf", "Melting_Curves/meltCurve_C9J2N8_ZNF823.pdf")</f>
        <v>Melting_Curves/meltCurve_C9J2N8_ZNF823.pdf</v>
      </c>
    </row>
    <row r="201" spans="1:28" x14ac:dyDescent="0.25">
      <c r="A201" t="s">
        <v>205</v>
      </c>
      <c r="B201">
        <v>0.99352677808782597</v>
      </c>
      <c r="C201">
        <v>1.0271210586911099</v>
      </c>
      <c r="D201">
        <v>0.92434297070110705</v>
      </c>
      <c r="E201">
        <v>0.79160317710027295</v>
      </c>
      <c r="F201">
        <v>0.83569654353524503</v>
      </c>
      <c r="G201">
        <v>0.59644542635939302</v>
      </c>
      <c r="H201">
        <v>0.59709679683352901</v>
      </c>
      <c r="I201">
        <v>0.33308835441515899</v>
      </c>
      <c r="J201">
        <v>0.20882694496453699</v>
      </c>
      <c r="K201">
        <v>0.14831154808569399</v>
      </c>
      <c r="L201">
        <v>611.98818109105105</v>
      </c>
      <c r="M201">
        <v>10.1809739270689</v>
      </c>
      <c r="N201">
        <v>60.110990505736801</v>
      </c>
      <c r="O201">
        <v>57.9302030076243</v>
      </c>
      <c r="P201">
        <v>-4.39563344141417E-2</v>
      </c>
      <c r="Q201">
        <v>0</v>
      </c>
      <c r="R201">
        <v>0.95976679556926403</v>
      </c>
      <c r="S201" t="s">
        <v>6486</v>
      </c>
      <c r="T201" t="s">
        <v>12568</v>
      </c>
      <c r="U201" t="s">
        <v>12568</v>
      </c>
      <c r="V201" t="s">
        <v>12568</v>
      </c>
      <c r="W201" t="s">
        <v>12766</v>
      </c>
      <c r="X201">
        <v>2</v>
      </c>
      <c r="Y201" t="s">
        <v>18996</v>
      </c>
      <c r="Z201" t="s">
        <v>25071</v>
      </c>
      <c r="AA201">
        <v>0.66626785946166478</v>
      </c>
      <c r="AB201" t="str">
        <f>HYPERLINK("Melting_Curves/meltCurve_C9J2U0_CCNE1.pdf", "Melting_Curves/meltCurve_C9J2U0_CCNE1.pdf")</f>
        <v>Melting_Curves/meltCurve_C9J2U0_CCNE1.pdf</v>
      </c>
    </row>
    <row r="202" spans="1:28" x14ac:dyDescent="0.25">
      <c r="A202" t="s">
        <v>206</v>
      </c>
      <c r="B202">
        <v>0.99352677808782597</v>
      </c>
      <c r="C202">
        <v>0.92239466513829504</v>
      </c>
      <c r="D202">
        <v>0.84079837488786002</v>
      </c>
      <c r="E202">
        <v>0.81399226613303</v>
      </c>
      <c r="F202">
        <v>0.75352637559661595</v>
      </c>
      <c r="G202">
        <v>0.49492410766426997</v>
      </c>
      <c r="H202">
        <v>0.46721449077539301</v>
      </c>
      <c r="I202">
        <v>0.64599491299246403</v>
      </c>
      <c r="J202">
        <v>0.57214398394230503</v>
      </c>
      <c r="K202">
        <v>0.39876589218326502</v>
      </c>
      <c r="L202">
        <v>545.21053823034595</v>
      </c>
      <c r="M202">
        <v>10.5707226428475</v>
      </c>
      <c r="N202">
        <v>66.817132379891305</v>
      </c>
      <c r="O202">
        <v>49.834182804567803</v>
      </c>
      <c r="P202">
        <v>-2.8905194144418899E-2</v>
      </c>
      <c r="Q202">
        <v>0.455136381332513</v>
      </c>
      <c r="R202">
        <v>0.85358809926383405</v>
      </c>
      <c r="S202" t="s">
        <v>6487</v>
      </c>
      <c r="T202" t="s">
        <v>12568</v>
      </c>
      <c r="U202" t="s">
        <v>12568</v>
      </c>
      <c r="V202" t="s">
        <v>12568</v>
      </c>
      <c r="W202" t="s">
        <v>12767</v>
      </c>
      <c r="X202">
        <v>13</v>
      </c>
      <c r="Y202" t="s">
        <v>18997</v>
      </c>
      <c r="Z202" t="s">
        <v>25072</v>
      </c>
      <c r="AA202">
        <v>0.68556810170992244</v>
      </c>
      <c r="AB202" t="str">
        <f>HYPERLINK("Melting_Curves/meltCurve_C9J2V2_IKBKG.pdf", "Melting_Curves/meltCurve_C9J2V2_IKBKG.pdf")</f>
        <v>Melting_Curves/meltCurve_C9J2V2_IKBKG.pdf</v>
      </c>
    </row>
    <row r="203" spans="1:28" x14ac:dyDescent="0.25">
      <c r="A203" t="s">
        <v>207</v>
      </c>
      <c r="B203">
        <v>0.99352677808782597</v>
      </c>
      <c r="C203">
        <v>0.85324543189008295</v>
      </c>
      <c r="D203">
        <v>0.79348941938843098</v>
      </c>
      <c r="E203">
        <v>0.49320836561549097</v>
      </c>
      <c r="F203">
        <v>0.40038525345958098</v>
      </c>
      <c r="G203">
        <v>0.23579091519262199</v>
      </c>
      <c r="H203">
        <v>0.13492093539620301</v>
      </c>
      <c r="I203">
        <v>0.12787874279056</v>
      </c>
      <c r="J203">
        <v>0.11400902589402399</v>
      </c>
      <c r="K203">
        <v>8.7487541583488496E-2</v>
      </c>
      <c r="L203">
        <v>621.06321887345098</v>
      </c>
      <c r="M203">
        <v>12.4353473890652</v>
      </c>
      <c r="N203">
        <v>50.5221543125583</v>
      </c>
      <c r="O203">
        <v>48.7045693251183</v>
      </c>
      <c r="P203">
        <v>-5.9605416824319003E-2</v>
      </c>
      <c r="Q203">
        <v>6.63883064220573E-2</v>
      </c>
      <c r="R203">
        <v>0.99393333700629205</v>
      </c>
      <c r="S203" t="s">
        <v>6488</v>
      </c>
      <c r="T203" t="s">
        <v>12568</v>
      </c>
      <c r="U203" t="s">
        <v>12568</v>
      </c>
      <c r="V203" t="s">
        <v>12568</v>
      </c>
      <c r="W203" t="s">
        <v>12768</v>
      </c>
      <c r="X203">
        <v>9</v>
      </c>
      <c r="Y203" t="s">
        <v>18998</v>
      </c>
      <c r="Z203" t="s">
        <v>25073</v>
      </c>
      <c r="AA203">
        <v>0.40647381840497693</v>
      </c>
      <c r="AB203" t="str">
        <f>HYPERLINK("Melting_Curves/meltCurve_C9J2Y9_POLR2B.pdf", "Melting_Curves/meltCurve_C9J2Y9_POLR2B.pdf")</f>
        <v>Melting_Curves/meltCurve_C9J2Y9_POLR2B.pdf</v>
      </c>
    </row>
    <row r="204" spans="1:28" x14ac:dyDescent="0.25">
      <c r="A204" t="s">
        <v>208</v>
      </c>
      <c r="B204">
        <v>0.99352677808782597</v>
      </c>
      <c r="C204">
        <v>0.91552853350360697</v>
      </c>
      <c r="D204">
        <v>0.86569247992407405</v>
      </c>
      <c r="E204">
        <v>0.822936671407695</v>
      </c>
      <c r="F204">
        <v>0.78150458216576302</v>
      </c>
      <c r="G204">
        <v>0.57208003578854305</v>
      </c>
      <c r="H204">
        <v>0.56168540097655095</v>
      </c>
      <c r="I204">
        <v>0.59673949194542297</v>
      </c>
      <c r="J204">
        <v>0.56859385624692105</v>
      </c>
      <c r="K204">
        <v>0.50579781589759198</v>
      </c>
      <c r="L204">
        <v>502.972623698544</v>
      </c>
      <c r="M204">
        <v>9.6194804557868103</v>
      </c>
      <c r="O204">
        <v>50.177096108589403</v>
      </c>
      <c r="P204">
        <v>-2.47395532935339E-2</v>
      </c>
      <c r="Q204">
        <v>0.48410560948998599</v>
      </c>
      <c r="R204">
        <v>0.94945817119322495</v>
      </c>
      <c r="S204" t="s">
        <v>6489</v>
      </c>
      <c r="T204" t="s">
        <v>12568</v>
      </c>
      <c r="U204" t="s">
        <v>12568</v>
      </c>
      <c r="V204" t="s">
        <v>12568</v>
      </c>
      <c r="W204" t="s">
        <v>12769</v>
      </c>
      <c r="X204">
        <v>5</v>
      </c>
      <c r="Y204" t="s">
        <v>18999</v>
      </c>
      <c r="Z204" t="s">
        <v>25074</v>
      </c>
      <c r="AA204">
        <v>0.71520000064639844</v>
      </c>
      <c r="AB204" t="str">
        <f>HYPERLINK("Melting_Curves/meltCurve_C9J366_IQCJ_SCHIP1.pdf", "Melting_Curves/meltCurve_C9J366_IQCJ_SCHIP1.pdf")</f>
        <v>Melting_Curves/meltCurve_C9J366_IQCJ_SCHIP1.pdf</v>
      </c>
    </row>
    <row r="205" spans="1:28" x14ac:dyDescent="0.25">
      <c r="A205" t="s">
        <v>209</v>
      </c>
      <c r="B205">
        <v>0.99352677808782597</v>
      </c>
      <c r="C205">
        <v>0.95598832737331796</v>
      </c>
      <c r="D205">
        <v>1.2475207538369899</v>
      </c>
      <c r="E205">
        <v>0.79252985095033102</v>
      </c>
      <c r="F205">
        <v>0.691878659115711</v>
      </c>
      <c r="G205">
        <v>0.45528854481507702</v>
      </c>
      <c r="H205">
        <v>0.31362877728470701</v>
      </c>
      <c r="I205">
        <v>0.294328533042997</v>
      </c>
      <c r="J205">
        <v>0.29507022930120402</v>
      </c>
      <c r="K205">
        <v>0.24512577923888901</v>
      </c>
      <c r="L205">
        <v>1165.13173051124</v>
      </c>
      <c r="M205">
        <v>21.698003476739</v>
      </c>
      <c r="N205">
        <v>55.678289638036397</v>
      </c>
      <c r="O205">
        <v>53.2477701151535</v>
      </c>
      <c r="P205">
        <v>-7.4478493015178296E-2</v>
      </c>
      <c r="Q205">
        <v>0.26892424702103601</v>
      </c>
      <c r="R205">
        <v>0.92919438127224896</v>
      </c>
      <c r="S205" t="s">
        <v>6490</v>
      </c>
      <c r="T205" t="s">
        <v>12568</v>
      </c>
      <c r="U205" t="s">
        <v>12568</v>
      </c>
      <c r="V205" t="s">
        <v>12568</v>
      </c>
      <c r="W205" t="s">
        <v>12770</v>
      </c>
      <c r="X205">
        <v>3</v>
      </c>
      <c r="Y205" t="s">
        <v>19000</v>
      </c>
      <c r="Z205" t="s">
        <v>25075</v>
      </c>
      <c r="AA205">
        <v>0.61142583295967412</v>
      </c>
      <c r="AB205" t="str">
        <f>HYPERLINK("Melting_Curves/meltCurve_C9J384_CMSS1.pdf", "Melting_Curves/meltCurve_C9J384_CMSS1.pdf")</f>
        <v>Melting_Curves/meltCurve_C9J384_CMSS1.pdf</v>
      </c>
    </row>
    <row r="206" spans="1:28" x14ac:dyDescent="0.25">
      <c r="A206" t="s">
        <v>210</v>
      </c>
      <c r="B206">
        <v>0.99352677808782597</v>
      </c>
      <c r="C206">
        <v>0.84885701105432998</v>
      </c>
      <c r="D206">
        <v>0.87006143631536004</v>
      </c>
      <c r="E206">
        <v>0.81462425315401399</v>
      </c>
      <c r="F206">
        <v>0.84590818331148099</v>
      </c>
      <c r="G206">
        <v>0.84034636811639996</v>
      </c>
      <c r="H206">
        <v>0.72722684547768701</v>
      </c>
      <c r="I206">
        <v>0.91533268313619298</v>
      </c>
      <c r="J206">
        <v>0.73557574466590803</v>
      </c>
      <c r="K206">
        <v>0.78790823167495405</v>
      </c>
      <c r="L206">
        <v>2501.5057660805301</v>
      </c>
      <c r="M206">
        <v>59.748055313058103</v>
      </c>
      <c r="O206">
        <v>41.820753207753199</v>
      </c>
      <c r="P206">
        <v>-6.5465475874516593E-2</v>
      </c>
      <c r="Q206">
        <v>0.81670943660320705</v>
      </c>
      <c r="R206">
        <v>0.48698981544806103</v>
      </c>
      <c r="S206" t="s">
        <v>6491</v>
      </c>
      <c r="T206" t="s">
        <v>12568</v>
      </c>
      <c r="U206" t="s">
        <v>12568</v>
      </c>
      <c r="V206" t="s">
        <v>12568</v>
      </c>
      <c r="W206" t="s">
        <v>12771</v>
      </c>
      <c r="X206">
        <v>3</v>
      </c>
      <c r="Y206" t="s">
        <v>19001</v>
      </c>
      <c r="Z206" t="s">
        <v>25076</v>
      </c>
      <c r="AA206">
        <v>0.82858216104284921</v>
      </c>
      <c r="AB206" t="str">
        <f>HYPERLINK("Melting_Curves/meltCurve_C9J406_IMMT.pdf", "Melting_Curves/meltCurve_C9J406_IMMT.pdf")</f>
        <v>Melting_Curves/meltCurve_C9J406_IMMT.pdf</v>
      </c>
    </row>
    <row r="207" spans="1:28" x14ac:dyDescent="0.25">
      <c r="A207" t="s">
        <v>211</v>
      </c>
      <c r="B207">
        <v>0.99352677808782597</v>
      </c>
      <c r="C207">
        <v>1.0767087897738501</v>
      </c>
      <c r="D207">
        <v>0.46710485859102102</v>
      </c>
      <c r="E207">
        <v>0.53974811125201105</v>
      </c>
      <c r="F207">
        <v>0.416259940645065</v>
      </c>
      <c r="G207">
        <v>0.33228210267235198</v>
      </c>
      <c r="H207">
        <v>0.16609522732340001</v>
      </c>
      <c r="I207">
        <v>0.10527191740380699</v>
      </c>
      <c r="J207">
        <v>7.2193404046360696E-2</v>
      </c>
      <c r="K207">
        <v>5.0809380619352001E-2</v>
      </c>
      <c r="L207">
        <v>497.024583262725</v>
      </c>
      <c r="M207">
        <v>9.84109956802501</v>
      </c>
      <c r="N207">
        <v>50.605723182013001</v>
      </c>
      <c r="O207">
        <v>48.552112451929297</v>
      </c>
      <c r="P207">
        <v>-5.02073662243624E-2</v>
      </c>
      <c r="Q207">
        <v>9.6985271278525204E-3</v>
      </c>
      <c r="R207">
        <v>0.89268644907313699</v>
      </c>
      <c r="S207" t="s">
        <v>6492</v>
      </c>
      <c r="T207" t="s">
        <v>12568</v>
      </c>
      <c r="U207" t="s">
        <v>12568</v>
      </c>
      <c r="V207" t="s">
        <v>12568</v>
      </c>
      <c r="W207" t="s">
        <v>12772</v>
      </c>
      <c r="X207">
        <v>6</v>
      </c>
      <c r="Y207" t="s">
        <v>19002</v>
      </c>
      <c r="Z207" t="s">
        <v>25077</v>
      </c>
      <c r="AA207">
        <v>0.4003211246757386</v>
      </c>
      <c r="AB207" t="str">
        <f>HYPERLINK("Melting_Curves/meltCurve_C9J5C3_PDCD10.pdf", "Melting_Curves/meltCurve_C9J5C3_PDCD10.pdf")</f>
        <v>Melting_Curves/meltCurve_C9J5C3_PDCD10.pdf</v>
      </c>
    </row>
    <row r="208" spans="1:28" x14ac:dyDescent="0.25">
      <c r="A208" t="s">
        <v>212</v>
      </c>
      <c r="B208">
        <v>0.99352677808782597</v>
      </c>
      <c r="C208">
        <v>0.96149785373366903</v>
      </c>
      <c r="D208">
        <v>1.06047123340411</v>
      </c>
      <c r="E208">
        <v>1.0179730895903401</v>
      </c>
      <c r="F208">
        <v>0.953168219243824</v>
      </c>
      <c r="G208">
        <v>0.99682241813997796</v>
      </c>
      <c r="H208">
        <v>0.86526038105471503</v>
      </c>
      <c r="I208">
        <v>0.86906200667683997</v>
      </c>
      <c r="J208">
        <v>0.93375844624134496</v>
      </c>
      <c r="K208">
        <v>0.86292410978245604</v>
      </c>
      <c r="L208">
        <v>14454.075428427501</v>
      </c>
      <c r="M208">
        <v>250</v>
      </c>
      <c r="O208">
        <v>57.8126018699257</v>
      </c>
      <c r="P208">
        <v>-0.12675524575319699</v>
      </c>
      <c r="Q208">
        <v>0.88275119124749302</v>
      </c>
      <c r="R208">
        <v>0.737492150653839</v>
      </c>
      <c r="S208" t="s">
        <v>6493</v>
      </c>
      <c r="T208" t="s">
        <v>12568</v>
      </c>
      <c r="U208" t="s">
        <v>12568</v>
      </c>
      <c r="V208" t="s">
        <v>12568</v>
      </c>
      <c r="W208" t="s">
        <v>12773</v>
      </c>
      <c r="X208">
        <v>4</v>
      </c>
      <c r="Y208" t="s">
        <v>19003</v>
      </c>
      <c r="Z208" t="s">
        <v>25078</v>
      </c>
      <c r="AA208">
        <v>0.95239442650858952</v>
      </c>
      <c r="AB208" t="str">
        <f>HYPERLINK("Melting_Curves/meltCurve_C9J5X1_IGF1R.pdf", "Melting_Curves/meltCurve_C9J5X1_IGF1R.pdf")</f>
        <v>Melting_Curves/meltCurve_C9J5X1_IGF1R.pdf</v>
      </c>
    </row>
    <row r="209" spans="1:28" x14ac:dyDescent="0.25">
      <c r="A209" t="s">
        <v>213</v>
      </c>
      <c r="B209">
        <v>0.99352677808782597</v>
      </c>
      <c r="C209">
        <v>0.967502964165735</v>
      </c>
      <c r="D209">
        <v>0.90500597532662097</v>
      </c>
      <c r="E209">
        <v>0.87003957760858197</v>
      </c>
      <c r="F209">
        <v>0.759042139123418</v>
      </c>
      <c r="G209">
        <v>0.505142377624342</v>
      </c>
      <c r="H209">
        <v>0.33196981930497199</v>
      </c>
      <c r="I209">
        <v>0.28485966915815297</v>
      </c>
      <c r="J209">
        <v>0.213543774444761</v>
      </c>
      <c r="K209">
        <v>0.120596823051335</v>
      </c>
      <c r="L209">
        <v>667.31367852682001</v>
      </c>
      <c r="M209">
        <v>11.6620927314273</v>
      </c>
      <c r="N209">
        <v>57.657773438857198</v>
      </c>
      <c r="O209">
        <v>55.615929467333899</v>
      </c>
      <c r="P209">
        <v>-5.0218481957649601E-2</v>
      </c>
      <c r="Q209">
        <v>4.2300104077993998E-2</v>
      </c>
      <c r="R209">
        <v>0.99386687197173995</v>
      </c>
      <c r="S209" t="s">
        <v>6494</v>
      </c>
      <c r="T209" t="s">
        <v>12568</v>
      </c>
      <c r="U209" t="s">
        <v>12568</v>
      </c>
      <c r="V209" t="s">
        <v>12568</v>
      </c>
      <c r="W209" t="s">
        <v>12774</v>
      </c>
      <c r="X209">
        <v>2</v>
      </c>
      <c r="Y209" t="s">
        <v>19004</v>
      </c>
      <c r="Z209" t="s">
        <v>25079</v>
      </c>
      <c r="AA209">
        <v>0.6072484225341237</v>
      </c>
      <c r="AB209" t="str">
        <f>HYPERLINK("Melting_Curves/meltCurve_C9J5X9_FANCB.pdf", "Melting_Curves/meltCurve_C9J5X9_FANCB.pdf")</f>
        <v>Melting_Curves/meltCurve_C9J5X9_FANCB.pdf</v>
      </c>
    </row>
    <row r="210" spans="1:28" x14ac:dyDescent="0.25">
      <c r="A210" t="s">
        <v>214</v>
      </c>
      <c r="B210">
        <v>0.99352677808782597</v>
      </c>
      <c r="C210">
        <v>0.97037642677951697</v>
      </c>
      <c r="D210">
        <v>1.0590258352719499</v>
      </c>
      <c r="E210">
        <v>1.06115993251725</v>
      </c>
      <c r="F210">
        <v>1.0164764280997101</v>
      </c>
      <c r="G210">
        <v>0.98709637178104603</v>
      </c>
      <c r="H210">
        <v>1.0026727891982301</v>
      </c>
      <c r="I210">
        <v>1.2333396502267999</v>
      </c>
      <c r="J210">
        <v>1.1889296998800101</v>
      </c>
      <c r="K210">
        <v>0.93937983047471796</v>
      </c>
      <c r="L210">
        <v>15000</v>
      </c>
      <c r="M210">
        <v>242.47533605480001</v>
      </c>
      <c r="O210">
        <v>61.857753877129802</v>
      </c>
      <c r="P210">
        <v>0.118124516247356</v>
      </c>
      <c r="Q210">
        <v>1.12053872919002</v>
      </c>
      <c r="R210">
        <v>0.282584769400823</v>
      </c>
      <c r="S210" t="s">
        <v>6495</v>
      </c>
      <c r="T210" t="s">
        <v>12568</v>
      </c>
      <c r="U210" t="s">
        <v>12568</v>
      </c>
      <c r="V210" t="s">
        <v>12568</v>
      </c>
      <c r="W210" t="s">
        <v>12775</v>
      </c>
      <c r="X210">
        <v>6</v>
      </c>
      <c r="Y210" t="s">
        <v>19005</v>
      </c>
      <c r="Z210" t="s">
        <v>25080</v>
      </c>
      <c r="AA210">
        <v>1.032684380850265</v>
      </c>
      <c r="AB210" t="str">
        <f>HYPERLINK("Melting_Curves/meltCurve_C9J6A7_RPE.pdf", "Melting_Curves/meltCurve_C9J6A7_RPE.pdf")</f>
        <v>Melting_Curves/meltCurve_C9J6A7_RPE.pdf</v>
      </c>
    </row>
    <row r="211" spans="1:28" x14ac:dyDescent="0.25">
      <c r="A211" t="s">
        <v>215</v>
      </c>
      <c r="B211">
        <v>0.99352677808782597</v>
      </c>
      <c r="C211">
        <v>0.50845602866509199</v>
      </c>
      <c r="D211">
        <v>0.68255572531895603</v>
      </c>
      <c r="E211">
        <v>0.19306915778641801</v>
      </c>
      <c r="F211">
        <v>0.156826852426174</v>
      </c>
      <c r="G211">
        <v>8.0987801404871093E-2</v>
      </c>
      <c r="H211">
        <v>4.9907233008039002E-2</v>
      </c>
      <c r="I211">
        <v>5.05783420230866E-2</v>
      </c>
      <c r="J211">
        <v>5.0142301865632101E-2</v>
      </c>
      <c r="K211">
        <v>4.5238865529133997E-2</v>
      </c>
      <c r="L211">
        <v>610.42365169190703</v>
      </c>
      <c r="M211">
        <v>13.314993219921</v>
      </c>
      <c r="N211">
        <v>46.010416589539297</v>
      </c>
      <c r="O211">
        <v>44.847774800919701</v>
      </c>
      <c r="P211">
        <v>-7.2498559885898997E-2</v>
      </c>
      <c r="Q211">
        <v>2.3394089775634199E-2</v>
      </c>
      <c r="R211">
        <v>0.90267931074805596</v>
      </c>
      <c r="S211" t="s">
        <v>6496</v>
      </c>
      <c r="T211" t="s">
        <v>12568</v>
      </c>
      <c r="U211" t="s">
        <v>12568</v>
      </c>
      <c r="V211" t="s">
        <v>12568</v>
      </c>
      <c r="W211" t="s">
        <v>12776</v>
      </c>
      <c r="X211">
        <v>1</v>
      </c>
      <c r="Y211" t="s">
        <v>19006</v>
      </c>
      <c r="Z211" t="s">
        <v>25081</v>
      </c>
      <c r="AA211">
        <v>0.25054482092263453</v>
      </c>
      <c r="AB211" t="str">
        <f>HYPERLINK("Melting_Curves/meltCurve_C9J710_CEP70.pdf", "Melting_Curves/meltCurve_C9J710_CEP70.pdf")</f>
        <v>Melting_Curves/meltCurve_C9J710_CEP70.pdf</v>
      </c>
    </row>
    <row r="212" spans="1:28" x14ac:dyDescent="0.25">
      <c r="A212" t="s">
        <v>216</v>
      </c>
      <c r="B212">
        <v>0.99352677808782597</v>
      </c>
      <c r="C212">
        <v>1.21674613289911</v>
      </c>
      <c r="D212">
        <v>1.0642816428802</v>
      </c>
      <c r="E212">
        <v>1.25964009795698</v>
      </c>
      <c r="F212">
        <v>1.04200742443441</v>
      </c>
      <c r="G212">
        <v>0.34141639060321699</v>
      </c>
      <c r="H212">
        <v>0.140798277514187</v>
      </c>
      <c r="I212">
        <v>5.1152521942883701E-2</v>
      </c>
      <c r="J212">
        <v>3.3602376554232503E-2</v>
      </c>
      <c r="K212">
        <v>2.99139197821508E-2</v>
      </c>
      <c r="L212">
        <v>7317.6789730791297</v>
      </c>
      <c r="M212">
        <v>129.24397629414599</v>
      </c>
      <c r="N212">
        <v>56.679008565279801</v>
      </c>
      <c r="O212">
        <v>56.605556913412201</v>
      </c>
      <c r="P212">
        <v>-0.53437285910191501</v>
      </c>
      <c r="Q212">
        <v>6.3833410637021901E-2</v>
      </c>
      <c r="R212">
        <v>0.95064375375389798</v>
      </c>
      <c r="S212" t="s">
        <v>6497</v>
      </c>
      <c r="T212" t="s">
        <v>12568</v>
      </c>
      <c r="U212" t="s">
        <v>12568</v>
      </c>
      <c r="V212" t="s">
        <v>12568</v>
      </c>
      <c r="W212" t="s">
        <v>12761</v>
      </c>
      <c r="X212">
        <v>9</v>
      </c>
      <c r="Y212" t="s">
        <v>18991</v>
      </c>
      <c r="Z212" t="s">
        <v>25082</v>
      </c>
      <c r="AA212">
        <v>0.58279021047010171</v>
      </c>
      <c r="AB212" t="str">
        <f>HYPERLINK("Melting_Curves/meltCurve_C9J712_PFN2.pdf", "Melting_Curves/meltCurve_C9J712_PFN2.pdf")</f>
        <v>Melting_Curves/meltCurve_C9J712_PFN2.pdf</v>
      </c>
    </row>
    <row r="213" spans="1:28" x14ac:dyDescent="0.25">
      <c r="A213" t="s">
        <v>217</v>
      </c>
      <c r="B213">
        <v>0.99352677808782597</v>
      </c>
      <c r="C213">
        <v>0.87977629734544405</v>
      </c>
      <c r="D213">
        <v>0.88687344011468205</v>
      </c>
      <c r="E213">
        <v>0.40935229218583302</v>
      </c>
      <c r="F213">
        <v>0.30163468584080799</v>
      </c>
      <c r="G213">
        <v>0.14216128698161601</v>
      </c>
      <c r="H213">
        <v>0.123636583154716</v>
      </c>
      <c r="I213">
        <v>0.14009516690884899</v>
      </c>
      <c r="J213">
        <v>3.5253758651739998E-2</v>
      </c>
      <c r="K213">
        <v>3.9219164715959598E-2</v>
      </c>
      <c r="L213">
        <v>941.71010276003096</v>
      </c>
      <c r="M213">
        <v>19.114085641023301</v>
      </c>
      <c r="N213">
        <v>49.690895288998199</v>
      </c>
      <c r="O213">
        <v>48.738077011469002</v>
      </c>
      <c r="P213">
        <v>-9.0686505441711002E-2</v>
      </c>
      <c r="Q213">
        <v>7.5087258843045707E-2</v>
      </c>
      <c r="R213">
        <v>0.98227080873098505</v>
      </c>
      <c r="S213" t="s">
        <v>6498</v>
      </c>
      <c r="T213" t="s">
        <v>12568</v>
      </c>
      <c r="U213" t="s">
        <v>12568</v>
      </c>
      <c r="V213" t="s">
        <v>12568</v>
      </c>
      <c r="W213" t="s">
        <v>12777</v>
      </c>
      <c r="X213">
        <v>2</v>
      </c>
      <c r="Y213" t="s">
        <v>19007</v>
      </c>
      <c r="Z213" t="s">
        <v>25083</v>
      </c>
      <c r="AA213">
        <v>0.37497420419994421</v>
      </c>
      <c r="AB213" t="str">
        <f>HYPERLINK("Melting_Curves/meltCurve_C9J718_KRIT1.pdf", "Melting_Curves/meltCurve_C9J718_KRIT1.pdf")</f>
        <v>Melting_Curves/meltCurve_C9J718_KRIT1.pdf</v>
      </c>
    </row>
    <row r="214" spans="1:28" x14ac:dyDescent="0.25">
      <c r="A214" t="s">
        <v>218</v>
      </c>
      <c r="B214">
        <v>0.99352677808782597</v>
      </c>
      <c r="C214">
        <v>0.897743024070349</v>
      </c>
      <c r="D214">
        <v>0.72852710596829895</v>
      </c>
      <c r="E214">
        <v>0.40660117762278503</v>
      </c>
      <c r="F214">
        <v>0.25858602013015097</v>
      </c>
      <c r="G214">
        <v>0.28117233813700199</v>
      </c>
      <c r="H214">
        <v>0.21477050581699</v>
      </c>
      <c r="I214">
        <v>0.18276502877157999</v>
      </c>
      <c r="J214">
        <v>0.16747949216451</v>
      </c>
      <c r="K214">
        <v>0.15590843452927899</v>
      </c>
      <c r="L214">
        <v>901.93267888144703</v>
      </c>
      <c r="M214">
        <v>18.9677140845663</v>
      </c>
      <c r="N214">
        <v>48.723511800159599</v>
      </c>
      <c r="O214">
        <v>47.031880243417604</v>
      </c>
      <c r="P214">
        <v>-8.2351693770918E-2</v>
      </c>
      <c r="Q214">
        <v>0.18324416024692999</v>
      </c>
      <c r="R214">
        <v>0.99250984952208399</v>
      </c>
      <c r="S214" t="s">
        <v>6499</v>
      </c>
      <c r="T214" t="s">
        <v>12568</v>
      </c>
      <c r="U214" t="s">
        <v>12568</v>
      </c>
      <c r="V214" t="s">
        <v>12568</v>
      </c>
      <c r="W214" t="s">
        <v>12778</v>
      </c>
      <c r="X214">
        <v>1</v>
      </c>
      <c r="Y214" t="s">
        <v>19008</v>
      </c>
      <c r="Z214" t="s">
        <v>25084</v>
      </c>
      <c r="AA214">
        <v>0.40197454929811888</v>
      </c>
      <c r="AB214" t="str">
        <f>HYPERLINK("Melting_Curves/meltCurve_C9J858_RNF8.pdf", "Melting_Curves/meltCurve_C9J858_RNF8.pdf")</f>
        <v>Melting_Curves/meltCurve_C9J858_RNF8.pdf</v>
      </c>
    </row>
    <row r="215" spans="1:28" x14ac:dyDescent="0.25">
      <c r="A215" t="s">
        <v>219</v>
      </c>
      <c r="B215">
        <v>0.99352677808782597</v>
      </c>
      <c r="C215">
        <v>0.85094272006851002</v>
      </c>
      <c r="D215">
        <v>0.66820977743670196</v>
      </c>
      <c r="E215">
        <v>0.22324965895648999</v>
      </c>
      <c r="F215">
        <v>0.15739237827752101</v>
      </c>
      <c r="G215">
        <v>0.10522730568532</v>
      </c>
      <c r="H215">
        <v>6.8974079297907095E-2</v>
      </c>
      <c r="I215">
        <v>7.0239562848123896E-2</v>
      </c>
      <c r="J215">
        <v>4.7195090110214E-2</v>
      </c>
      <c r="K215">
        <v>4.0493838599861699E-2</v>
      </c>
      <c r="L215">
        <v>995.07864311560104</v>
      </c>
      <c r="M215">
        <v>21.182108800524102</v>
      </c>
      <c r="N215">
        <v>47.255896503451901</v>
      </c>
      <c r="O215">
        <v>46.564632110886897</v>
      </c>
      <c r="P215">
        <v>-0.107052003003468</v>
      </c>
      <c r="Q215">
        <v>5.8694691758115702E-2</v>
      </c>
      <c r="R215">
        <v>0.99491694514248097</v>
      </c>
      <c r="S215" t="s">
        <v>6500</v>
      </c>
      <c r="T215" t="s">
        <v>12568</v>
      </c>
      <c r="U215" t="s">
        <v>12568</v>
      </c>
      <c r="V215" t="s">
        <v>12568</v>
      </c>
      <c r="W215" t="s">
        <v>12779</v>
      </c>
      <c r="X215">
        <v>11</v>
      </c>
      <c r="Y215" t="s">
        <v>19009</v>
      </c>
      <c r="Z215" t="s">
        <v>25085</v>
      </c>
      <c r="AA215">
        <v>0.28976478657118609</v>
      </c>
      <c r="AB215" t="str">
        <f>HYPERLINK("Melting_Curves/meltCurve_C9J9K3_RPSA.pdf", "Melting_Curves/meltCurve_C9J9K3_RPSA.pdf")</f>
        <v>Melting_Curves/meltCurve_C9J9K3_RPSA.pdf</v>
      </c>
    </row>
    <row r="216" spans="1:28" x14ac:dyDescent="0.25">
      <c r="A216" t="s">
        <v>220</v>
      </c>
      <c r="B216">
        <v>0.99352677808782597</v>
      </c>
      <c r="C216">
        <v>1.0524176828421301</v>
      </c>
      <c r="D216">
        <v>1.0162581291305399</v>
      </c>
      <c r="E216">
        <v>0.82928152576481096</v>
      </c>
      <c r="F216">
        <v>0.81110338563736795</v>
      </c>
      <c r="G216">
        <v>0.65824699262429698</v>
      </c>
      <c r="H216">
        <v>0.59730663110606497</v>
      </c>
      <c r="I216">
        <v>0.60476719388470801</v>
      </c>
      <c r="J216">
        <v>0.55334628701160604</v>
      </c>
      <c r="K216">
        <v>0.51873993721245903</v>
      </c>
      <c r="L216">
        <v>840.94853359658805</v>
      </c>
      <c r="M216">
        <v>15.7010383881958</v>
      </c>
      <c r="O216">
        <v>52.713801987796202</v>
      </c>
      <c r="P216">
        <v>-3.4531408359094601E-2</v>
      </c>
      <c r="Q216">
        <v>0.53630376285303705</v>
      </c>
      <c r="R216">
        <v>0.96772631367429296</v>
      </c>
      <c r="S216" t="s">
        <v>6501</v>
      </c>
      <c r="T216" t="s">
        <v>12568</v>
      </c>
      <c r="U216" t="s">
        <v>12568</v>
      </c>
      <c r="V216" t="s">
        <v>12568</v>
      </c>
      <c r="W216" t="s">
        <v>12780</v>
      </c>
      <c r="X216">
        <v>4</v>
      </c>
      <c r="Y216" t="s">
        <v>19010</v>
      </c>
      <c r="Z216" t="s">
        <v>25086</v>
      </c>
      <c r="AA216">
        <v>0.75504778214464396</v>
      </c>
      <c r="AB216" t="str">
        <f>HYPERLINK("Melting_Curves/meltCurve_C9JA69_BBX.pdf", "Melting_Curves/meltCurve_C9JA69_BBX.pdf")</f>
        <v>Melting_Curves/meltCurve_C9JA69_BBX.pdf</v>
      </c>
    </row>
    <row r="217" spans="1:28" x14ac:dyDescent="0.25">
      <c r="A217" t="s">
        <v>221</v>
      </c>
      <c r="B217">
        <v>0.99352677808782597</v>
      </c>
      <c r="C217">
        <v>0.98485547780445304</v>
      </c>
      <c r="D217">
        <v>1.1114755325275001</v>
      </c>
      <c r="E217">
        <v>0.87710931505948897</v>
      </c>
      <c r="F217">
        <v>0.76001924852122604</v>
      </c>
      <c r="G217">
        <v>0.66763166936000296</v>
      </c>
      <c r="H217">
        <v>0.55948523298823305</v>
      </c>
      <c r="I217">
        <v>0.57247542045248001</v>
      </c>
      <c r="J217">
        <v>0.60392710619095802</v>
      </c>
      <c r="K217">
        <v>0.51063397123043497</v>
      </c>
      <c r="L217">
        <v>1204.61277290776</v>
      </c>
      <c r="M217">
        <v>22.781144370773099</v>
      </c>
      <c r="O217">
        <v>52.475240645710898</v>
      </c>
      <c r="P217">
        <v>-4.7874387188326602E-2</v>
      </c>
      <c r="Q217">
        <v>0.55890350101754804</v>
      </c>
      <c r="R217">
        <v>0.94409976232532</v>
      </c>
      <c r="S217" t="s">
        <v>6502</v>
      </c>
      <c r="T217" t="s">
        <v>12568</v>
      </c>
      <c r="U217" t="s">
        <v>12568</v>
      </c>
      <c r="V217" t="s">
        <v>12568</v>
      </c>
      <c r="W217" t="s">
        <v>12781</v>
      </c>
      <c r="X217">
        <v>7</v>
      </c>
      <c r="Y217" t="s">
        <v>19011</v>
      </c>
      <c r="Z217" t="s">
        <v>25087</v>
      </c>
      <c r="AA217">
        <v>0.75306710246541053</v>
      </c>
      <c r="AB217" t="str">
        <f>HYPERLINK("Melting_Curves/meltCurve_C9JAX1_FXN.pdf", "Melting_Curves/meltCurve_C9JAX1_FXN.pdf")</f>
        <v>Melting_Curves/meltCurve_C9JAX1_FXN.pdf</v>
      </c>
    </row>
    <row r="218" spans="1:28" x14ac:dyDescent="0.25">
      <c r="A218" t="s">
        <v>222</v>
      </c>
      <c r="B218">
        <v>0.99352677808782597</v>
      </c>
      <c r="C218">
        <v>0.84403371158599105</v>
      </c>
      <c r="D218">
        <v>1.01435553503083</v>
      </c>
      <c r="E218">
        <v>0.81121953253037904</v>
      </c>
      <c r="F218">
        <v>0.90672265716848899</v>
      </c>
      <c r="G218">
        <v>0.85502604696854201</v>
      </c>
      <c r="H218">
        <v>0.812764401856513</v>
      </c>
      <c r="I218">
        <v>0.81722891111733398</v>
      </c>
      <c r="J218">
        <v>0.80285620426054105</v>
      </c>
      <c r="K218">
        <v>0.76324764764155995</v>
      </c>
      <c r="L218">
        <v>182.93960411601299</v>
      </c>
      <c r="M218">
        <v>2.2427174299394199</v>
      </c>
      <c r="O218">
        <v>51.847806674298397</v>
      </c>
      <c r="P218">
        <v>-6.3413032377289897E-3</v>
      </c>
      <c r="Q218">
        <v>0.45082453045078802</v>
      </c>
      <c r="R218">
        <v>0.55868802526553196</v>
      </c>
      <c r="S218" t="s">
        <v>6503</v>
      </c>
      <c r="T218" t="s">
        <v>12568</v>
      </c>
      <c r="U218" t="s">
        <v>12568</v>
      </c>
      <c r="V218" t="s">
        <v>12568</v>
      </c>
      <c r="W218" t="s">
        <v>12782</v>
      </c>
      <c r="X218">
        <v>2</v>
      </c>
      <c r="Y218" t="s">
        <v>19012</v>
      </c>
      <c r="Z218" t="s">
        <v>25088</v>
      </c>
      <c r="AA218">
        <v>0.86221599493862544</v>
      </c>
      <c r="AB218" t="str">
        <f>HYPERLINK("Melting_Curves/meltCurve_C9JAX3_ZNF467.pdf", "Melting_Curves/meltCurve_C9JAX3_ZNF467.pdf")</f>
        <v>Melting_Curves/meltCurve_C9JAX3_ZNF467.pdf</v>
      </c>
    </row>
    <row r="219" spans="1:28" x14ac:dyDescent="0.25">
      <c r="A219" t="s">
        <v>223</v>
      </c>
      <c r="B219">
        <v>0.99352677808782597</v>
      </c>
      <c r="C219">
        <v>1.04137624566779</v>
      </c>
      <c r="D219">
        <v>1.0169386945438601</v>
      </c>
      <c r="E219">
        <v>1.0317921758600199</v>
      </c>
      <c r="F219">
        <v>0.9986037487403</v>
      </c>
      <c r="G219">
        <v>0.81397709235248505</v>
      </c>
      <c r="H219">
        <v>0.74956738517822397</v>
      </c>
      <c r="I219">
        <v>0.71965706363586002</v>
      </c>
      <c r="J219">
        <v>0.84811211345173798</v>
      </c>
      <c r="K219">
        <v>0.71976622387773004</v>
      </c>
      <c r="L219">
        <v>14180.2331050501</v>
      </c>
      <c r="M219">
        <v>250</v>
      </c>
      <c r="O219">
        <v>56.717302687147203</v>
      </c>
      <c r="P219">
        <v>-0.26526771108896502</v>
      </c>
      <c r="Q219">
        <v>0.75927569540383499</v>
      </c>
      <c r="R219">
        <v>0.91503923835630196</v>
      </c>
      <c r="S219" t="s">
        <v>6504</v>
      </c>
      <c r="T219" t="s">
        <v>12568</v>
      </c>
      <c r="U219" t="s">
        <v>12568</v>
      </c>
      <c r="V219" t="s">
        <v>12568</v>
      </c>
      <c r="W219" t="s">
        <v>12783</v>
      </c>
      <c r="X219">
        <v>7</v>
      </c>
      <c r="Y219" t="s">
        <v>19013</v>
      </c>
      <c r="Z219" t="s">
        <v>25089</v>
      </c>
      <c r="AA219">
        <v>0.89347081911754489</v>
      </c>
      <c r="AB219" t="str">
        <f>HYPERLINK("Melting_Curves/meltCurve_C9JB13_BSDC1.pdf", "Melting_Curves/meltCurve_C9JB13_BSDC1.pdf")</f>
        <v>Melting_Curves/meltCurve_C9JB13_BSDC1.pdf</v>
      </c>
    </row>
    <row r="220" spans="1:28" x14ac:dyDescent="0.25">
      <c r="A220" t="s">
        <v>224</v>
      </c>
      <c r="B220">
        <v>0.99352677808782597</v>
      </c>
      <c r="C220">
        <v>1.0481347398114</v>
      </c>
      <c r="D220">
        <v>1.0528443315411899</v>
      </c>
      <c r="E220">
        <v>0.89381925907888604</v>
      </c>
      <c r="F220">
        <v>0.72020449146926302</v>
      </c>
      <c r="G220">
        <v>0.62504275919455998</v>
      </c>
      <c r="H220">
        <v>0.70710062706926202</v>
      </c>
      <c r="I220">
        <v>0.61553728946189601</v>
      </c>
      <c r="J220">
        <v>0.94220474623141903</v>
      </c>
      <c r="K220">
        <v>0.55716126427344903</v>
      </c>
      <c r="L220">
        <v>2887.9356383375798</v>
      </c>
      <c r="M220">
        <v>57.072052702557201</v>
      </c>
      <c r="O220">
        <v>50.539536561481299</v>
      </c>
      <c r="P220">
        <v>-8.7336268090963301E-2</v>
      </c>
      <c r="Q220">
        <v>0.69064128206623998</v>
      </c>
      <c r="R220">
        <v>0.705291820215454</v>
      </c>
      <c r="S220" t="s">
        <v>6505</v>
      </c>
      <c r="T220" t="s">
        <v>12568</v>
      </c>
      <c r="U220" t="s">
        <v>12568</v>
      </c>
      <c r="V220" t="s">
        <v>12568</v>
      </c>
      <c r="W220" t="s">
        <v>12784</v>
      </c>
      <c r="X220">
        <v>1</v>
      </c>
      <c r="Y220" t="s">
        <v>19014</v>
      </c>
      <c r="Z220" t="s">
        <v>25090</v>
      </c>
      <c r="AA220">
        <v>0.80049353738611018</v>
      </c>
      <c r="AB220" t="str">
        <f>HYPERLINK("Melting_Curves/meltCurve_C9JBM0_NFE2L2.pdf", "Melting_Curves/meltCurve_C9JBM0_NFE2L2.pdf")</f>
        <v>Melting_Curves/meltCurve_C9JBM0_NFE2L2.pdf</v>
      </c>
    </row>
    <row r="221" spans="1:28" x14ac:dyDescent="0.25">
      <c r="A221" t="s">
        <v>225</v>
      </c>
      <c r="B221">
        <v>0.99352677808782597</v>
      </c>
      <c r="C221">
        <v>0.99704203024209503</v>
      </c>
      <c r="D221">
        <v>1.0445177233534999</v>
      </c>
      <c r="E221">
        <v>1.02941023312151</v>
      </c>
      <c r="F221">
        <v>0.86377256545940295</v>
      </c>
      <c r="G221">
        <v>0.78971029651989799</v>
      </c>
      <c r="H221">
        <v>0.78667933182795802</v>
      </c>
      <c r="I221">
        <v>0.79984985422114396</v>
      </c>
      <c r="J221">
        <v>0.85114052011552899</v>
      </c>
      <c r="K221">
        <v>0.781189754420055</v>
      </c>
      <c r="L221">
        <v>13208.329071640501</v>
      </c>
      <c r="M221">
        <v>250</v>
      </c>
      <c r="O221">
        <v>52.829940124095799</v>
      </c>
      <c r="P221">
        <v>-0.234580614504418</v>
      </c>
      <c r="Q221">
        <v>0.80171394119845196</v>
      </c>
      <c r="R221">
        <v>0.943322444754504</v>
      </c>
      <c r="S221" t="s">
        <v>6506</v>
      </c>
      <c r="T221" t="s">
        <v>12568</v>
      </c>
      <c r="U221" t="s">
        <v>12568</v>
      </c>
      <c r="V221" t="s">
        <v>12568</v>
      </c>
      <c r="W221" t="s">
        <v>12785</v>
      </c>
      <c r="X221">
        <v>2</v>
      </c>
      <c r="Y221" t="s">
        <v>19015</v>
      </c>
      <c r="Z221" t="s">
        <v>25091</v>
      </c>
      <c r="AA221">
        <v>0.88655458353576477</v>
      </c>
      <c r="AB221" t="str">
        <f>HYPERLINK("Melting_Curves/meltCurve_C9JCN8_FOSL2.pdf", "Melting_Curves/meltCurve_C9JCN8_FOSL2.pdf")</f>
        <v>Melting_Curves/meltCurve_C9JCN8_FOSL2.pdf</v>
      </c>
    </row>
    <row r="222" spans="1:28" x14ac:dyDescent="0.25">
      <c r="A222" t="s">
        <v>226</v>
      </c>
      <c r="B222">
        <v>0.99352677808782597</v>
      </c>
      <c r="C222">
        <v>0.79782626476890695</v>
      </c>
      <c r="D222">
        <v>0.82994805730298504</v>
      </c>
      <c r="E222">
        <v>0.54534503112797394</v>
      </c>
      <c r="F222">
        <v>0.62100331579920798</v>
      </c>
      <c r="G222">
        <v>0.39380554734892897</v>
      </c>
      <c r="H222">
        <v>0.60616264918197205</v>
      </c>
      <c r="I222">
        <v>0.45800356757163302</v>
      </c>
      <c r="J222">
        <v>0.36841275836878501</v>
      </c>
      <c r="K222">
        <v>0.29130742772169099</v>
      </c>
      <c r="L222">
        <v>425.36041420230703</v>
      </c>
      <c r="M222">
        <v>8.6130155340871699</v>
      </c>
      <c r="N222">
        <v>56.4531860111287</v>
      </c>
      <c r="O222">
        <v>46.939873539051298</v>
      </c>
      <c r="P222">
        <v>-3.0765200866401499E-2</v>
      </c>
      <c r="Q222">
        <v>0.32990816355291203</v>
      </c>
      <c r="R222">
        <v>0.84071413463558198</v>
      </c>
      <c r="S222" t="s">
        <v>6507</v>
      </c>
      <c r="T222" t="s">
        <v>12568</v>
      </c>
      <c r="U222" t="s">
        <v>12568</v>
      </c>
      <c r="V222" t="s">
        <v>12568</v>
      </c>
      <c r="W222" t="s">
        <v>12786</v>
      </c>
      <c r="X222">
        <v>5</v>
      </c>
      <c r="Y222" t="s">
        <v>19016</v>
      </c>
      <c r="Z222" t="s">
        <v>25092</v>
      </c>
      <c r="AA222">
        <v>0.57845641571065487</v>
      </c>
      <c r="AB222" t="str">
        <f>HYPERLINK("Melting_Curves/meltCurve_C9JDG0_DIAPH3.pdf", "Melting_Curves/meltCurve_C9JDG0_DIAPH3.pdf")</f>
        <v>Melting_Curves/meltCurve_C9JDG0_DIAPH3.pdf</v>
      </c>
    </row>
    <row r="223" spans="1:28" x14ac:dyDescent="0.25">
      <c r="A223" t="s">
        <v>227</v>
      </c>
      <c r="B223">
        <v>0.99352677808782597</v>
      </c>
      <c r="C223">
        <v>0.94446676741733204</v>
      </c>
      <c r="D223">
        <v>1.0182616142546701</v>
      </c>
      <c r="E223">
        <v>0.89330721329347296</v>
      </c>
      <c r="F223">
        <v>0.83900535440378898</v>
      </c>
      <c r="G223">
        <v>0.70527989706127703</v>
      </c>
      <c r="H223">
        <v>0.66475940498993802</v>
      </c>
      <c r="I223">
        <v>0.68157554287646904</v>
      </c>
      <c r="J223">
        <v>0.71930912403369796</v>
      </c>
      <c r="K223">
        <v>0.62681514853430098</v>
      </c>
      <c r="L223">
        <v>1121.35711056947</v>
      </c>
      <c r="M223">
        <v>21.334110440947399</v>
      </c>
      <c r="O223">
        <v>52.106441998853697</v>
      </c>
      <c r="P223">
        <v>-3.4294884067876202E-2</v>
      </c>
      <c r="Q223">
        <v>0.664961224322422</v>
      </c>
      <c r="R223">
        <v>0.95011253539463902</v>
      </c>
      <c r="S223" t="s">
        <v>6508</v>
      </c>
      <c r="T223" t="s">
        <v>12568</v>
      </c>
      <c r="U223" t="s">
        <v>12568</v>
      </c>
      <c r="V223" t="s">
        <v>12568</v>
      </c>
      <c r="W223" t="s">
        <v>12787</v>
      </c>
      <c r="X223">
        <v>46</v>
      </c>
      <c r="Y223" t="s">
        <v>19017</v>
      </c>
      <c r="Z223" t="s">
        <v>25093</v>
      </c>
      <c r="AA223">
        <v>0.80937303582759412</v>
      </c>
      <c r="AB223" t="str">
        <f>HYPERLINK("Melting_Curves/meltCurve_C9JE98_NCOR2.pdf", "Melting_Curves/meltCurve_C9JE98_NCOR2.pdf")</f>
        <v>Melting_Curves/meltCurve_C9JE98_NCOR2.pdf</v>
      </c>
    </row>
    <row r="224" spans="1:28" x14ac:dyDescent="0.25">
      <c r="A224" t="s">
        <v>228</v>
      </c>
      <c r="B224">
        <v>0.99352677808782597</v>
      </c>
      <c r="C224">
        <v>0.98637983308715504</v>
      </c>
      <c r="D224">
        <v>1.0063401041869899</v>
      </c>
      <c r="E224">
        <v>0.85911217033411502</v>
      </c>
      <c r="F224">
        <v>0.80248999727907999</v>
      </c>
      <c r="G224">
        <v>0.60374304636061804</v>
      </c>
      <c r="H224">
        <v>0.51836035750499398</v>
      </c>
      <c r="I224">
        <v>0.55861524606097601</v>
      </c>
      <c r="J224">
        <v>0.58855813594686401</v>
      </c>
      <c r="K224">
        <v>0.581156827305641</v>
      </c>
      <c r="L224">
        <v>1234.5813109210801</v>
      </c>
      <c r="M224">
        <v>23.443635348260798</v>
      </c>
      <c r="O224">
        <v>52.283007547505598</v>
      </c>
      <c r="P224">
        <v>-4.9869043200986701E-2</v>
      </c>
      <c r="Q224">
        <v>0.55514444001862395</v>
      </c>
      <c r="R224">
        <v>0.97573594667963304</v>
      </c>
      <c r="S224" t="s">
        <v>6509</v>
      </c>
      <c r="T224" t="s">
        <v>12568</v>
      </c>
      <c r="U224" t="s">
        <v>12568</v>
      </c>
      <c r="V224" t="s">
        <v>12568</v>
      </c>
      <c r="W224" t="s">
        <v>12788</v>
      </c>
      <c r="X224">
        <v>3</v>
      </c>
      <c r="Y224" t="s">
        <v>19018</v>
      </c>
      <c r="Z224" t="s">
        <v>25094</v>
      </c>
      <c r="AA224">
        <v>0.74750734496769955</v>
      </c>
      <c r="AB224" t="str">
        <f>HYPERLINK("Melting_Curves/meltCurve_C9JEZ4_CDC42EP3.pdf", "Melting_Curves/meltCurve_C9JEZ4_CDC42EP3.pdf")</f>
        <v>Melting_Curves/meltCurve_C9JEZ4_CDC42EP3.pdf</v>
      </c>
    </row>
    <row r="225" spans="1:28" x14ac:dyDescent="0.25">
      <c r="A225" t="s">
        <v>229</v>
      </c>
      <c r="B225">
        <v>0.99352677808782597</v>
      </c>
      <c r="C225">
        <v>1.0170697830692901</v>
      </c>
      <c r="D225">
        <v>0.89350139316182597</v>
      </c>
      <c r="E225">
        <v>0.77997435708241603</v>
      </c>
      <c r="F225">
        <v>0.63151640515658003</v>
      </c>
      <c r="G225">
        <v>0.40158166725636502</v>
      </c>
      <c r="H225">
        <v>0.16023227697571399</v>
      </c>
      <c r="I225">
        <v>0.111491858479302</v>
      </c>
      <c r="J225">
        <v>8.16740392420304E-2</v>
      </c>
      <c r="K225">
        <v>6.4872449678617994E-2</v>
      </c>
      <c r="L225">
        <v>754.33687516444604</v>
      </c>
      <c r="M225">
        <v>13.753459963204399</v>
      </c>
      <c r="N225">
        <v>54.847065714823202</v>
      </c>
      <c r="O225">
        <v>53.726515298352901</v>
      </c>
      <c r="P225">
        <v>-6.4006601555035195E-2</v>
      </c>
      <c r="Q225">
        <v>0</v>
      </c>
      <c r="R225">
        <v>0.99555610014183205</v>
      </c>
      <c r="S225" t="s">
        <v>6510</v>
      </c>
      <c r="T225" t="s">
        <v>12568</v>
      </c>
      <c r="U225" t="s">
        <v>12568</v>
      </c>
      <c r="V225" t="s">
        <v>12568</v>
      </c>
      <c r="W225" t="s">
        <v>12789</v>
      </c>
      <c r="X225">
        <v>18</v>
      </c>
      <c r="Y225" t="s">
        <v>19019</v>
      </c>
      <c r="Z225" t="s">
        <v>25095</v>
      </c>
      <c r="AA225">
        <v>0.51619873288040952</v>
      </c>
      <c r="AB225" t="str">
        <f>HYPERLINK("Melting_Curves/meltCurve_C9JFE4_GPS1.pdf", "Melting_Curves/meltCurve_C9JFE4_GPS1.pdf")</f>
        <v>Melting_Curves/meltCurve_C9JFE4_GPS1.pdf</v>
      </c>
    </row>
    <row r="226" spans="1:28" x14ac:dyDescent="0.25">
      <c r="A226" t="s">
        <v>230</v>
      </c>
      <c r="B226">
        <v>0.99352677808782597</v>
      </c>
      <c r="C226">
        <v>1.2194575841845701</v>
      </c>
      <c r="D226">
        <v>1.1359468820979099</v>
      </c>
      <c r="E226">
        <v>1.0875030301927699</v>
      </c>
      <c r="F226">
        <v>1.1114622161195999</v>
      </c>
      <c r="G226">
        <v>1.0623265682647101</v>
      </c>
      <c r="H226">
        <v>0.99978995746274402</v>
      </c>
      <c r="I226">
        <v>1.4800918273230299</v>
      </c>
      <c r="J226">
        <v>1.30677023396999</v>
      </c>
      <c r="K226">
        <v>1.2964835480018999</v>
      </c>
      <c r="L226">
        <v>269.40902722629102</v>
      </c>
      <c r="M226">
        <v>4.1584393029853004</v>
      </c>
      <c r="O226">
        <v>53.829919371223497</v>
      </c>
      <c r="P226">
        <v>9.7659237992735303E-3</v>
      </c>
      <c r="Q226">
        <v>1.5</v>
      </c>
      <c r="R226">
        <v>0.29073076611826798</v>
      </c>
      <c r="S226" t="s">
        <v>6511</v>
      </c>
      <c r="T226" t="s">
        <v>12568</v>
      </c>
      <c r="U226" t="s">
        <v>12568</v>
      </c>
      <c r="V226" t="s">
        <v>12568</v>
      </c>
      <c r="W226" t="s">
        <v>12790</v>
      </c>
      <c r="X226">
        <v>15</v>
      </c>
      <c r="Y226" t="s">
        <v>19020</v>
      </c>
      <c r="Z226" t="s">
        <v>25096</v>
      </c>
      <c r="AA226">
        <v>1.1609728357002229</v>
      </c>
      <c r="AB226" t="str">
        <f>HYPERLINK("Melting_Curves/meltCurve_C9JFK9_BAG3.pdf", "Melting_Curves/meltCurve_C9JFK9_BAG3.pdf")</f>
        <v>Melting_Curves/meltCurve_C9JFK9_BAG3.pdf</v>
      </c>
    </row>
    <row r="227" spans="1:28" x14ac:dyDescent="0.25">
      <c r="A227" t="s">
        <v>231</v>
      </c>
      <c r="B227">
        <v>0.99352677808782597</v>
      </c>
      <c r="C227">
        <v>1.01417266579124</v>
      </c>
      <c r="D227">
        <v>0.89094028944370196</v>
      </c>
      <c r="E227">
        <v>0.75725882899119401</v>
      </c>
      <c r="F227">
        <v>0.67792080391629295</v>
      </c>
      <c r="G227">
        <v>0.56921524006660096</v>
      </c>
      <c r="H227">
        <v>0.20191619102496899</v>
      </c>
      <c r="I227">
        <v>0.12486006885776101</v>
      </c>
      <c r="J227">
        <v>0.11327712134770999</v>
      </c>
      <c r="K227">
        <v>6.6614562225302598E-2</v>
      </c>
      <c r="L227">
        <v>705.52057785794796</v>
      </c>
      <c r="M227">
        <v>12.588223112331001</v>
      </c>
      <c r="N227">
        <v>56.0460815539561</v>
      </c>
      <c r="O227">
        <v>54.688118598243797</v>
      </c>
      <c r="P227">
        <v>-5.7557033743081201E-2</v>
      </c>
      <c r="Q227">
        <v>0</v>
      </c>
      <c r="R227">
        <v>0.97807432951592299</v>
      </c>
      <c r="S227" t="s">
        <v>6512</v>
      </c>
      <c r="T227" t="s">
        <v>12568</v>
      </c>
      <c r="U227" t="s">
        <v>12568</v>
      </c>
      <c r="V227" t="s">
        <v>12568</v>
      </c>
      <c r="W227" t="s">
        <v>12791</v>
      </c>
      <c r="X227">
        <v>6</v>
      </c>
      <c r="Y227" t="s">
        <v>19021</v>
      </c>
      <c r="Z227" t="s">
        <v>25097</v>
      </c>
      <c r="AA227">
        <v>0.55469447309080322</v>
      </c>
      <c r="AB227" t="str">
        <f>HYPERLINK("Melting_Curves/meltCurve_C9JG97_AAMP.pdf", "Melting_Curves/meltCurve_C9JG97_AAMP.pdf")</f>
        <v>Melting_Curves/meltCurve_C9JG97_AAMP.pdf</v>
      </c>
    </row>
    <row r="228" spans="1:28" x14ac:dyDescent="0.25">
      <c r="A228" t="s">
        <v>232</v>
      </c>
      <c r="B228">
        <v>0.99352677808782597</v>
      </c>
      <c r="C228">
        <v>0.95843862609434605</v>
      </c>
      <c r="D228">
        <v>0.96662601574968599</v>
      </c>
      <c r="E228">
        <v>0.394641581510009</v>
      </c>
      <c r="F228">
        <v>0.31225553599821798</v>
      </c>
      <c r="G228">
        <v>0.17769087072099499</v>
      </c>
      <c r="H228">
        <v>0.130654613186001</v>
      </c>
      <c r="I228">
        <v>0.124785015449721</v>
      </c>
      <c r="J228">
        <v>0.10904585375423401</v>
      </c>
      <c r="K228">
        <v>8.8815483501876902E-2</v>
      </c>
      <c r="L228">
        <v>1455.89379297767</v>
      </c>
      <c r="M228">
        <v>29.6161532403869</v>
      </c>
      <c r="N228">
        <v>49.6718236852996</v>
      </c>
      <c r="O228">
        <v>48.9362799393245</v>
      </c>
      <c r="P228">
        <v>-0.13136343903165301</v>
      </c>
      <c r="Q228">
        <v>0.13177192324370099</v>
      </c>
      <c r="R228">
        <v>0.98448726394222996</v>
      </c>
      <c r="S228" t="s">
        <v>6513</v>
      </c>
      <c r="T228" t="s">
        <v>12568</v>
      </c>
      <c r="U228" t="s">
        <v>12568</v>
      </c>
      <c r="V228" t="s">
        <v>12568</v>
      </c>
      <c r="W228" t="s">
        <v>12792</v>
      </c>
      <c r="X228">
        <v>2</v>
      </c>
      <c r="Y228" t="s">
        <v>19022</v>
      </c>
      <c r="Z228" t="s">
        <v>25098</v>
      </c>
      <c r="AA228">
        <v>0.4022771068171912</v>
      </c>
      <c r="AB228" t="str">
        <f>HYPERLINK("Melting_Curves/meltCurve_C9JIS1_GNB2.pdf", "Melting_Curves/meltCurve_C9JIS1_GNB2.pdf")</f>
        <v>Melting_Curves/meltCurve_C9JIS1_GNB2.pdf</v>
      </c>
    </row>
    <row r="229" spans="1:28" x14ac:dyDescent="0.25">
      <c r="A229" t="s">
        <v>233</v>
      </c>
      <c r="B229">
        <v>0.99352677808782597</v>
      </c>
      <c r="C229">
        <v>0.86177057377909005</v>
      </c>
      <c r="D229">
        <v>0.88009473352340695</v>
      </c>
      <c r="E229">
        <v>0.58656112972450503</v>
      </c>
      <c r="F229">
        <v>0.70942818582985501</v>
      </c>
      <c r="G229">
        <v>0.510256127784256</v>
      </c>
      <c r="H229">
        <v>0.53640680637520399</v>
      </c>
      <c r="I229">
        <v>0.83734082710237301</v>
      </c>
      <c r="J229">
        <v>0.441085391315931</v>
      </c>
      <c r="K229">
        <v>0.344944755604848</v>
      </c>
      <c r="L229">
        <v>481.62281817039297</v>
      </c>
      <c r="M229">
        <v>9.8803225574556492</v>
      </c>
      <c r="O229">
        <v>46.874810912762399</v>
      </c>
      <c r="P229">
        <v>-2.7376719828685999E-2</v>
      </c>
      <c r="Q229">
        <v>0.48073543805480901</v>
      </c>
      <c r="R229">
        <v>0.62242459425142604</v>
      </c>
      <c r="S229" t="s">
        <v>6514</v>
      </c>
      <c r="T229" t="s">
        <v>12568</v>
      </c>
      <c r="U229" t="s">
        <v>12568</v>
      </c>
      <c r="V229" t="s">
        <v>12568</v>
      </c>
      <c r="W229" t="s">
        <v>12793</v>
      </c>
      <c r="X229">
        <v>1</v>
      </c>
      <c r="Y229" t="s">
        <v>19023</v>
      </c>
      <c r="Z229" t="s">
        <v>25099</v>
      </c>
      <c r="AA229">
        <v>0.658510853811341</v>
      </c>
      <c r="AB229" t="str">
        <f>HYPERLINK("Melting_Curves/meltCurve_C9JK89_SH2B2.pdf", "Melting_Curves/meltCurve_C9JK89_SH2B2.pdf")</f>
        <v>Melting_Curves/meltCurve_C9JK89_SH2B2.pdf</v>
      </c>
    </row>
    <row r="230" spans="1:28" x14ac:dyDescent="0.25">
      <c r="A230" t="s">
        <v>234</v>
      </c>
      <c r="B230">
        <v>0.99352677808782597</v>
      </c>
      <c r="C230">
        <v>0.93136122280677003</v>
      </c>
      <c r="D230">
        <v>0.95302950040923995</v>
      </c>
      <c r="E230">
        <v>0.90045044533017105</v>
      </c>
      <c r="F230">
        <v>0.81117100045752</v>
      </c>
      <c r="G230">
        <v>0.53855436866942197</v>
      </c>
      <c r="H230">
        <v>0.28671316121363499</v>
      </c>
      <c r="I230">
        <v>0.23502129469466301</v>
      </c>
      <c r="J230">
        <v>0.207117577859255</v>
      </c>
      <c r="K230">
        <v>0.14916527510253899</v>
      </c>
      <c r="L230">
        <v>987.52437847965405</v>
      </c>
      <c r="M230">
        <v>17.4881412866015</v>
      </c>
      <c r="N230">
        <v>57.467775078950702</v>
      </c>
      <c r="O230">
        <v>55.745402443721602</v>
      </c>
      <c r="P230">
        <v>-6.8147674626223106E-2</v>
      </c>
      <c r="Q230">
        <v>0.13113494517101401</v>
      </c>
      <c r="R230">
        <v>0.993094215361083</v>
      </c>
      <c r="S230" t="s">
        <v>6515</v>
      </c>
      <c r="T230" t="s">
        <v>12568</v>
      </c>
      <c r="U230" t="s">
        <v>12568</v>
      </c>
      <c r="V230" t="s">
        <v>12568</v>
      </c>
      <c r="W230" t="s">
        <v>12794</v>
      </c>
      <c r="X230">
        <v>6</v>
      </c>
      <c r="Y230" t="s">
        <v>19024</v>
      </c>
      <c r="Z230" t="s">
        <v>25100</v>
      </c>
      <c r="AA230">
        <v>0.6209010178435771</v>
      </c>
      <c r="AB230" t="str">
        <f>HYPERLINK("Melting_Curves/meltCurve_C9JLU1_POLR2H.pdf", "Melting_Curves/meltCurve_C9JLU1_POLR2H.pdf")</f>
        <v>Melting_Curves/meltCurve_C9JLU1_POLR2H.pdf</v>
      </c>
    </row>
    <row r="231" spans="1:28" x14ac:dyDescent="0.25">
      <c r="A231" t="s">
        <v>235</v>
      </c>
      <c r="B231">
        <v>0.99352677808782597</v>
      </c>
      <c r="C231">
        <v>1.1144402309635399</v>
      </c>
      <c r="D231">
        <v>1.02899272759025</v>
      </c>
      <c r="E231">
        <v>0.821283795553159</v>
      </c>
      <c r="F231">
        <v>0.77471877781767096</v>
      </c>
      <c r="G231">
        <v>0.65231620065240103</v>
      </c>
      <c r="H231">
        <v>0.691930005784402</v>
      </c>
      <c r="I231">
        <v>0.62391495157056098</v>
      </c>
      <c r="J231">
        <v>0.79584760329196402</v>
      </c>
      <c r="K231">
        <v>0.51995920172579602</v>
      </c>
      <c r="L231">
        <v>1403.7474096987401</v>
      </c>
      <c r="M231">
        <v>27.6839023505906</v>
      </c>
      <c r="O231">
        <v>50.443902618658399</v>
      </c>
      <c r="P231">
        <v>-4.7161842144854797E-2</v>
      </c>
      <c r="Q231">
        <v>0.65626146780596695</v>
      </c>
      <c r="R231">
        <v>0.82086001555031496</v>
      </c>
      <c r="S231" t="s">
        <v>6516</v>
      </c>
      <c r="T231" t="s">
        <v>12568</v>
      </c>
      <c r="U231" t="s">
        <v>12568</v>
      </c>
      <c r="V231" t="s">
        <v>12568</v>
      </c>
      <c r="W231" t="s">
        <v>12795</v>
      </c>
      <c r="X231">
        <v>1</v>
      </c>
      <c r="Y231" t="s">
        <v>19025</v>
      </c>
      <c r="Z231" t="s">
        <v>25101</v>
      </c>
      <c r="AA231">
        <v>0.7814600756403467</v>
      </c>
      <c r="AB231" t="str">
        <f>HYPERLINK("Melting_Curves/meltCurve_C9JMH6_SERPINF2.pdf", "Melting_Curves/meltCurve_C9JMH6_SERPINF2.pdf")</f>
        <v>Melting_Curves/meltCurve_C9JMH6_SERPINF2.pdf</v>
      </c>
    </row>
    <row r="232" spans="1:28" x14ac:dyDescent="0.25">
      <c r="A232" t="s">
        <v>236</v>
      </c>
      <c r="B232">
        <v>0.99352677808782597</v>
      </c>
      <c r="C232">
        <v>0.83684387464827603</v>
      </c>
      <c r="D232">
        <v>0.64929335633069896</v>
      </c>
      <c r="E232">
        <v>0.17367987823453801</v>
      </c>
      <c r="F232">
        <v>0.110326710740984</v>
      </c>
      <c r="G232">
        <v>4.5016909490814702E-2</v>
      </c>
      <c r="H232">
        <v>2.6779899291491299E-2</v>
      </c>
      <c r="I232">
        <v>2.3847316492257201E-2</v>
      </c>
      <c r="J232">
        <v>1.99927561549498E-2</v>
      </c>
      <c r="K232">
        <v>2.2813596056523E-2</v>
      </c>
      <c r="L232">
        <v>1040.18584139479</v>
      </c>
      <c r="M232">
        <v>22.208284784329098</v>
      </c>
      <c r="N232">
        <v>46.930238067333804</v>
      </c>
      <c r="O232">
        <v>46.462935951006799</v>
      </c>
      <c r="P232">
        <v>-0.116938277214163</v>
      </c>
      <c r="Q232">
        <v>2.1414123603950098E-2</v>
      </c>
      <c r="R232">
        <v>0.99502541127970301</v>
      </c>
      <c r="S232" t="s">
        <v>6517</v>
      </c>
      <c r="T232" t="s">
        <v>12568</v>
      </c>
      <c r="U232" t="s">
        <v>12568</v>
      </c>
      <c r="V232" t="s">
        <v>12568</v>
      </c>
      <c r="W232" t="s">
        <v>12796</v>
      </c>
      <c r="X232">
        <v>1</v>
      </c>
      <c r="Y232" t="s">
        <v>19026</v>
      </c>
      <c r="Z232" t="s">
        <v>25102</v>
      </c>
      <c r="AA232">
        <v>0.2558758413952697</v>
      </c>
      <c r="AB232" t="str">
        <f>HYPERLINK("Melting_Curves/meltCurve_C9JND4_GXYLT2.pdf", "Melting_Curves/meltCurve_C9JND4_GXYLT2.pdf")</f>
        <v>Melting_Curves/meltCurve_C9JND4_GXYLT2.pdf</v>
      </c>
    </row>
    <row r="233" spans="1:28" x14ac:dyDescent="0.25">
      <c r="A233" t="s">
        <v>237</v>
      </c>
      <c r="B233">
        <v>0.99352677808782597</v>
      </c>
      <c r="C233">
        <v>0.84895487330728603</v>
      </c>
      <c r="D233">
        <v>0.81761712183928104</v>
      </c>
      <c r="E233">
        <v>0.252900628507018</v>
      </c>
      <c r="F233">
        <v>0.21415909563205601</v>
      </c>
      <c r="G233">
        <v>0.139534128149058</v>
      </c>
      <c r="H233">
        <v>9.2683228204177806E-2</v>
      </c>
      <c r="I233">
        <v>6.5549813801899295E-2</v>
      </c>
      <c r="J233">
        <v>3.8147264778100202E-2</v>
      </c>
      <c r="K233">
        <v>3.4589212841558102E-2</v>
      </c>
      <c r="L233">
        <v>1091.42884480578</v>
      </c>
      <c r="M233">
        <v>22.765354401191502</v>
      </c>
      <c r="N233">
        <v>48.250458254386402</v>
      </c>
      <c r="O233">
        <v>47.577201217645701</v>
      </c>
      <c r="P233">
        <v>-0.11153701473493199</v>
      </c>
      <c r="Q233">
        <v>6.7615557868082599E-2</v>
      </c>
      <c r="R233">
        <v>0.97897660486785698</v>
      </c>
      <c r="S233" t="s">
        <v>6518</v>
      </c>
      <c r="T233" t="s">
        <v>12568</v>
      </c>
      <c r="U233" t="s">
        <v>12568</v>
      </c>
      <c r="V233" t="s">
        <v>12568</v>
      </c>
      <c r="W233" t="s">
        <v>12797</v>
      </c>
      <c r="X233">
        <v>8</v>
      </c>
      <c r="Y233" t="s">
        <v>19027</v>
      </c>
      <c r="Z233" t="s">
        <v>25103</v>
      </c>
      <c r="AA233">
        <v>0.32452962115652478</v>
      </c>
      <c r="AB233" t="str">
        <f>HYPERLINK("Melting_Curves/meltCurve_C9JNE2_OARD1.pdf", "Melting_Curves/meltCurve_C9JNE2_OARD1.pdf")</f>
        <v>Melting_Curves/meltCurve_C9JNE2_OARD1.pdf</v>
      </c>
    </row>
    <row r="234" spans="1:28" x14ac:dyDescent="0.25">
      <c r="A234" t="s">
        <v>238</v>
      </c>
      <c r="B234">
        <v>0.99352677808782597</v>
      </c>
      <c r="C234">
        <v>0.99045930096620105</v>
      </c>
      <c r="D234">
        <v>0.76925073816747902</v>
      </c>
      <c r="E234">
        <v>0.55163423109436005</v>
      </c>
      <c r="F234">
        <v>0.51376507581534403</v>
      </c>
      <c r="G234">
        <v>0.259600022480031</v>
      </c>
      <c r="H234">
        <v>0.13561557893902701</v>
      </c>
      <c r="I234">
        <v>0.113974977342738</v>
      </c>
      <c r="J234">
        <v>8.7881603616408302E-2</v>
      </c>
      <c r="K234">
        <v>8.6276143080962403E-2</v>
      </c>
      <c r="L234">
        <v>618.788637451981</v>
      </c>
      <c r="M234">
        <v>12.0026541399441</v>
      </c>
      <c r="N234">
        <v>51.844352351439497</v>
      </c>
      <c r="O234">
        <v>50.185796258731799</v>
      </c>
      <c r="P234">
        <v>-5.7863553901923701E-2</v>
      </c>
      <c r="Q234">
        <v>3.2471123072628998E-2</v>
      </c>
      <c r="R234">
        <v>0.98583425140800096</v>
      </c>
      <c r="S234" t="s">
        <v>6519</v>
      </c>
      <c r="T234" t="s">
        <v>12568</v>
      </c>
      <c r="U234" t="s">
        <v>12568</v>
      </c>
      <c r="V234" t="s">
        <v>12568</v>
      </c>
      <c r="W234" t="s">
        <v>12798</v>
      </c>
      <c r="X234">
        <v>7</v>
      </c>
      <c r="Y234" t="s">
        <v>19028</v>
      </c>
      <c r="Z234" t="s">
        <v>25104</v>
      </c>
      <c r="AA234">
        <v>0.4355851699337851</v>
      </c>
      <c r="AB234" t="str">
        <f>HYPERLINK("Melting_Curves/meltCurve_C9JNI7_HSPBP1.pdf", "Melting_Curves/meltCurve_C9JNI7_HSPBP1.pdf")</f>
        <v>Melting_Curves/meltCurve_C9JNI7_HSPBP1.pdf</v>
      </c>
    </row>
    <row r="235" spans="1:28" x14ac:dyDescent="0.25">
      <c r="A235" t="s">
        <v>239</v>
      </c>
      <c r="B235">
        <v>0.99352677808782597</v>
      </c>
      <c r="C235">
        <v>0.99529789374361599</v>
      </c>
      <c r="D235">
        <v>1.0278893807415399</v>
      </c>
      <c r="E235">
        <v>1.0428934416356199</v>
      </c>
      <c r="F235">
        <v>1.0181380664000199</v>
      </c>
      <c r="G235">
        <v>0.87481745323529503</v>
      </c>
      <c r="H235">
        <v>0.73101078339833303</v>
      </c>
      <c r="I235">
        <v>0.73686226518928</v>
      </c>
      <c r="J235">
        <v>0.81544175983089395</v>
      </c>
      <c r="K235">
        <v>0.75011638420098803</v>
      </c>
      <c r="L235">
        <v>14245.882990980301</v>
      </c>
      <c r="M235">
        <v>250</v>
      </c>
      <c r="O235">
        <v>56.979866167422401</v>
      </c>
      <c r="P235">
        <v>-0.26505209124989898</v>
      </c>
      <c r="Q235">
        <v>0.75835779531917502</v>
      </c>
      <c r="R235">
        <v>0.95098047807855202</v>
      </c>
      <c r="S235" t="s">
        <v>6520</v>
      </c>
      <c r="T235" t="s">
        <v>12568</v>
      </c>
      <c r="U235" t="s">
        <v>12568</v>
      </c>
      <c r="V235" t="s">
        <v>12568</v>
      </c>
      <c r="W235" t="s">
        <v>12799</v>
      </c>
      <c r="X235">
        <v>5</v>
      </c>
      <c r="Y235" t="s">
        <v>19029</v>
      </c>
      <c r="Z235" t="s">
        <v>25105</v>
      </c>
      <c r="AA235">
        <v>0.89517989769999129</v>
      </c>
      <c r="AB235" t="str">
        <f>HYPERLINK("Melting_Curves/meltCurve_C9JNU9_USP4.pdf", "Melting_Curves/meltCurve_C9JNU9_USP4.pdf")</f>
        <v>Melting_Curves/meltCurve_C9JNU9_USP4.pdf</v>
      </c>
    </row>
    <row r="236" spans="1:28" x14ac:dyDescent="0.25">
      <c r="A236" t="s">
        <v>240</v>
      </c>
      <c r="B236">
        <v>0.99352677808782597</v>
      </c>
      <c r="C236">
        <v>0.98105516491702005</v>
      </c>
      <c r="D236">
        <v>1.0335116406451701</v>
      </c>
      <c r="E236">
        <v>0.82735768271101295</v>
      </c>
      <c r="F236">
        <v>0.72080880292068406</v>
      </c>
      <c r="G236">
        <v>0.538992936908812</v>
      </c>
      <c r="H236">
        <v>0.35808857311380599</v>
      </c>
      <c r="I236">
        <v>0.29993968304354202</v>
      </c>
      <c r="J236">
        <v>0.27381663677409601</v>
      </c>
      <c r="K236">
        <v>0.20469373383068301</v>
      </c>
      <c r="L236">
        <v>781.51789875362795</v>
      </c>
      <c r="M236">
        <v>14.0444417311862</v>
      </c>
      <c r="N236">
        <v>57.510504613341602</v>
      </c>
      <c r="O236">
        <v>54.554320058913</v>
      </c>
      <c r="P236">
        <v>-5.2597112461555198E-2</v>
      </c>
      <c r="Q236">
        <v>0.182872548888599</v>
      </c>
      <c r="R236">
        <v>0.99163870539434895</v>
      </c>
      <c r="S236" t="s">
        <v>6521</v>
      </c>
      <c r="T236" t="s">
        <v>12568</v>
      </c>
      <c r="U236" t="s">
        <v>12568</v>
      </c>
      <c r="V236" t="s">
        <v>12568</v>
      </c>
      <c r="W236" t="s">
        <v>12800</v>
      </c>
      <c r="X236">
        <v>11</v>
      </c>
      <c r="Y236" t="s">
        <v>19030</v>
      </c>
      <c r="Z236" t="s">
        <v>25106</v>
      </c>
      <c r="AA236">
        <v>0.62489045024170686</v>
      </c>
      <c r="AB236" t="str">
        <f>HYPERLINK("Melting_Curves/meltCurve_C9JP00_MBNL1.pdf", "Melting_Curves/meltCurve_C9JP00_MBNL1.pdf")</f>
        <v>Melting_Curves/meltCurve_C9JP00_MBNL1.pdf</v>
      </c>
    </row>
    <row r="237" spans="1:28" x14ac:dyDescent="0.25">
      <c r="A237" t="s">
        <v>241</v>
      </c>
      <c r="B237">
        <v>0.99352677808782597</v>
      </c>
      <c r="C237">
        <v>1.04341004992764</v>
      </c>
      <c r="D237">
        <v>1.0266715061046201</v>
      </c>
      <c r="E237">
        <v>1.02454078414203</v>
      </c>
      <c r="F237">
        <v>1.05251087191612</v>
      </c>
      <c r="G237">
        <v>0.83065199698987602</v>
      </c>
      <c r="H237">
        <v>0.70270215090918597</v>
      </c>
      <c r="I237">
        <v>0.48540279151942101</v>
      </c>
      <c r="J237">
        <v>0.67602410993872297</v>
      </c>
      <c r="K237">
        <v>0.55036626059055205</v>
      </c>
      <c r="L237">
        <v>2024.72578746204</v>
      </c>
      <c r="M237">
        <v>34.816533764448003</v>
      </c>
      <c r="O237">
        <v>57.963297384904401</v>
      </c>
      <c r="P237">
        <v>-6.3466098115310801E-2</v>
      </c>
      <c r="Q237">
        <v>0.57736274628959805</v>
      </c>
      <c r="R237">
        <v>0.92344511972685195</v>
      </c>
      <c r="S237" t="s">
        <v>6522</v>
      </c>
      <c r="T237" t="s">
        <v>12568</v>
      </c>
      <c r="U237" t="s">
        <v>12568</v>
      </c>
      <c r="V237" t="s">
        <v>12568</v>
      </c>
      <c r="W237" t="s">
        <v>12801</v>
      </c>
      <c r="X237">
        <v>1</v>
      </c>
      <c r="Y237" t="s">
        <v>19031</v>
      </c>
      <c r="Z237" t="s">
        <v>25107</v>
      </c>
      <c r="AA237">
        <v>0.83526488727212311</v>
      </c>
      <c r="AB237" t="str">
        <f>HYPERLINK("Melting_Curves/meltCurve_C9JPC9_USP42.pdf", "Melting_Curves/meltCurve_C9JPC9_USP42.pdf")</f>
        <v>Melting_Curves/meltCurve_C9JPC9_USP42.pdf</v>
      </c>
    </row>
    <row r="238" spans="1:28" x14ac:dyDescent="0.25">
      <c r="A238" t="s">
        <v>242</v>
      </c>
      <c r="B238">
        <v>0.99352677808782597</v>
      </c>
      <c r="C238">
        <v>0.94289681286721305</v>
      </c>
      <c r="D238">
        <v>1.02871516173323</v>
      </c>
      <c r="E238">
        <v>0.98333533842510401</v>
      </c>
      <c r="F238">
        <v>0.94558091438435499</v>
      </c>
      <c r="G238">
        <v>0.88274440644086205</v>
      </c>
      <c r="H238">
        <v>0.77512500238771598</v>
      </c>
      <c r="I238">
        <v>0.88951150831134695</v>
      </c>
      <c r="J238">
        <v>0.90430585196816304</v>
      </c>
      <c r="K238">
        <v>0.75727863585853805</v>
      </c>
      <c r="L238">
        <v>1602.8144059056799</v>
      </c>
      <c r="M238">
        <v>29.429152676085</v>
      </c>
      <c r="O238">
        <v>54.213870221552199</v>
      </c>
      <c r="P238">
        <v>-2.2774723389007399E-2</v>
      </c>
      <c r="Q238">
        <v>0.83218039578532799</v>
      </c>
      <c r="R238">
        <v>0.68792954378214399</v>
      </c>
      <c r="S238" t="s">
        <v>6523</v>
      </c>
      <c r="T238" t="s">
        <v>12568</v>
      </c>
      <c r="U238" t="s">
        <v>12568</v>
      </c>
      <c r="V238" t="s">
        <v>12568</v>
      </c>
      <c r="W238" t="s">
        <v>12802</v>
      </c>
      <c r="X238">
        <v>9</v>
      </c>
      <c r="Y238" t="s">
        <v>19032</v>
      </c>
      <c r="Z238" t="s">
        <v>25108</v>
      </c>
      <c r="AA238">
        <v>0.91423817978325705</v>
      </c>
      <c r="AB238" t="str">
        <f>HYPERLINK("Melting_Curves/meltCurve_C9JQ41_CCDC58.pdf", "Melting_Curves/meltCurve_C9JQ41_CCDC58.pdf")</f>
        <v>Melting_Curves/meltCurve_C9JQ41_CCDC58.pdf</v>
      </c>
    </row>
    <row r="239" spans="1:28" x14ac:dyDescent="0.25">
      <c r="A239" t="s">
        <v>243</v>
      </c>
      <c r="B239">
        <v>0.99352677808782597</v>
      </c>
      <c r="C239">
        <v>0.91671964267545303</v>
      </c>
      <c r="D239">
        <v>0.92063421499158105</v>
      </c>
      <c r="E239">
        <v>0.871215980849816</v>
      </c>
      <c r="F239">
        <v>0.77759812899754199</v>
      </c>
      <c r="G239">
        <v>0.64166852901529503</v>
      </c>
      <c r="H239">
        <v>0.52820955229224897</v>
      </c>
      <c r="I239">
        <v>0.48733434826531202</v>
      </c>
      <c r="J239">
        <v>0.31931093240242198</v>
      </c>
      <c r="K239">
        <v>0.123443367719378</v>
      </c>
      <c r="L239">
        <v>541.92242917826604</v>
      </c>
      <c r="M239">
        <v>8.8809822469949893</v>
      </c>
      <c r="N239">
        <v>61.020545120238701</v>
      </c>
      <c r="O239">
        <v>58.164368063709198</v>
      </c>
      <c r="P239">
        <v>-3.8201062677637898E-2</v>
      </c>
      <c r="Q239">
        <v>0</v>
      </c>
      <c r="R239">
        <v>0.963310076752108</v>
      </c>
      <c r="S239" t="s">
        <v>6524</v>
      </c>
      <c r="T239" t="s">
        <v>12568</v>
      </c>
      <c r="U239" t="s">
        <v>12568</v>
      </c>
      <c r="V239" t="s">
        <v>12568</v>
      </c>
      <c r="W239" t="s">
        <v>12803</v>
      </c>
      <c r="X239">
        <v>3</v>
      </c>
      <c r="Y239" t="s">
        <v>19033</v>
      </c>
      <c r="Z239" t="s">
        <v>25109</v>
      </c>
      <c r="AA239">
        <v>0.6816575435385176</v>
      </c>
      <c r="AB239" t="str">
        <f>HYPERLINK("Melting_Curves/meltCurve_C9JQB1_NME6.pdf", "Melting_Curves/meltCurve_C9JQB1_NME6.pdf")</f>
        <v>Melting_Curves/meltCurve_C9JQB1_NME6.pdf</v>
      </c>
    </row>
    <row r="240" spans="1:28" x14ac:dyDescent="0.25">
      <c r="A240" t="s">
        <v>244</v>
      </c>
      <c r="B240">
        <v>0.99352677808782597</v>
      </c>
      <c r="C240">
        <v>0.93641484329345104</v>
      </c>
      <c r="D240">
        <v>0.79055117423665699</v>
      </c>
      <c r="E240">
        <v>0.71049541435078301</v>
      </c>
      <c r="F240">
        <v>0.73622596582268596</v>
      </c>
      <c r="G240">
        <v>0.40907567337936201</v>
      </c>
      <c r="H240">
        <v>0.266609155946539</v>
      </c>
      <c r="I240">
        <v>0.32157224894921499</v>
      </c>
      <c r="J240">
        <v>0.22986270482927701</v>
      </c>
      <c r="K240">
        <v>0.23048803164896201</v>
      </c>
      <c r="L240">
        <v>513.09902703251703</v>
      </c>
      <c r="M240">
        <v>9.4423380024368004</v>
      </c>
      <c r="N240">
        <v>55.809755016718903</v>
      </c>
      <c r="O240">
        <v>52.070225854715197</v>
      </c>
      <c r="P240">
        <v>-4.0369394558601703E-2</v>
      </c>
      <c r="Q240">
        <v>0.110062872600207</v>
      </c>
      <c r="R240">
        <v>0.95937651647801603</v>
      </c>
      <c r="S240" t="s">
        <v>6525</v>
      </c>
      <c r="T240" t="s">
        <v>12568</v>
      </c>
      <c r="U240" t="s">
        <v>12568</v>
      </c>
      <c r="V240" t="s">
        <v>12568</v>
      </c>
      <c r="W240" t="s">
        <v>12804</v>
      </c>
      <c r="X240">
        <v>2</v>
      </c>
      <c r="Y240" t="s">
        <v>19034</v>
      </c>
      <c r="Z240" t="s">
        <v>25110</v>
      </c>
      <c r="AA240">
        <v>0.56189165901935878</v>
      </c>
      <c r="AB240" t="str">
        <f>HYPERLINK("Melting_Curves/meltCurve_C9JQQ5_ATL2.pdf", "Melting_Curves/meltCurve_C9JQQ5_ATL2.pdf")</f>
        <v>Melting_Curves/meltCurve_C9JQQ5_ATL2.pdf</v>
      </c>
    </row>
    <row r="241" spans="1:28" x14ac:dyDescent="0.25">
      <c r="A241" t="s">
        <v>245</v>
      </c>
      <c r="B241">
        <v>0.99352677808782597</v>
      </c>
      <c r="C241">
        <v>0.98012321547765102</v>
      </c>
      <c r="D241">
        <v>0.84776030793916701</v>
      </c>
      <c r="E241">
        <v>0.50803955187300898</v>
      </c>
      <c r="F241">
        <v>0.44801257481144302</v>
      </c>
      <c r="G241">
        <v>0.29882295620495097</v>
      </c>
      <c r="H241">
        <v>0.20041389366628401</v>
      </c>
      <c r="I241">
        <v>0.214068477724215</v>
      </c>
      <c r="J241">
        <v>0.16945511584730599</v>
      </c>
      <c r="K241">
        <v>0.118759963376439</v>
      </c>
      <c r="L241">
        <v>758.16245679820395</v>
      </c>
      <c r="M241">
        <v>15.138249354825399</v>
      </c>
      <c r="N241">
        <v>51.3244723716005</v>
      </c>
      <c r="O241">
        <v>49.233011520869702</v>
      </c>
      <c r="P241">
        <v>-6.5088507438369497E-2</v>
      </c>
      <c r="Q241">
        <v>0.15335233276843299</v>
      </c>
      <c r="R241">
        <v>0.98745572532613102</v>
      </c>
      <c r="S241" t="s">
        <v>6526</v>
      </c>
      <c r="T241" t="s">
        <v>12568</v>
      </c>
      <c r="U241" t="s">
        <v>12568</v>
      </c>
      <c r="V241" t="s">
        <v>12568</v>
      </c>
      <c r="W241" t="s">
        <v>12805</v>
      </c>
      <c r="X241">
        <v>4</v>
      </c>
      <c r="Y241" t="s">
        <v>19035</v>
      </c>
      <c r="Z241" t="s">
        <v>25111</v>
      </c>
      <c r="AA241">
        <v>0.45771084782077992</v>
      </c>
      <c r="AB241" t="str">
        <f>HYPERLINK("Melting_Curves/meltCurve_C9JQV3_STK11IP.pdf", "Melting_Curves/meltCurve_C9JQV3_STK11IP.pdf")</f>
        <v>Melting_Curves/meltCurve_C9JQV3_STK11IP.pdf</v>
      </c>
    </row>
    <row r="242" spans="1:28" x14ac:dyDescent="0.25">
      <c r="A242" t="s">
        <v>246</v>
      </c>
      <c r="B242">
        <v>0.99352677808782597</v>
      </c>
      <c r="C242">
        <v>0.97745525992190596</v>
      </c>
      <c r="D242">
        <v>1.0169472250529801</v>
      </c>
      <c r="E242">
        <v>0.82687502646436895</v>
      </c>
      <c r="F242">
        <v>0.83873602111000001</v>
      </c>
      <c r="G242">
        <v>0.58719776677072899</v>
      </c>
      <c r="H242">
        <v>0.412560099882051</v>
      </c>
      <c r="I242">
        <v>0.38165450266475698</v>
      </c>
      <c r="J242">
        <v>0.36291369527711898</v>
      </c>
      <c r="K242">
        <v>0.33362224682987601</v>
      </c>
      <c r="L242">
        <v>898.42001997509101</v>
      </c>
      <c r="M242">
        <v>16.152593587186299</v>
      </c>
      <c r="N242">
        <v>59.102753381786698</v>
      </c>
      <c r="O242">
        <v>54.789225310325897</v>
      </c>
      <c r="P242">
        <v>-5.1084657493189398E-2</v>
      </c>
      <c r="Q242">
        <v>0.30694044414208299</v>
      </c>
      <c r="R242">
        <v>0.98421770001680597</v>
      </c>
      <c r="S242" t="s">
        <v>6527</v>
      </c>
      <c r="T242" t="s">
        <v>12568</v>
      </c>
      <c r="U242" t="s">
        <v>12568</v>
      </c>
      <c r="V242" t="s">
        <v>12568</v>
      </c>
      <c r="W242" t="s">
        <v>12806</v>
      </c>
      <c r="X242">
        <v>2</v>
      </c>
      <c r="Y242" t="s">
        <v>19036</v>
      </c>
      <c r="Z242" t="s">
        <v>25112</v>
      </c>
      <c r="AA242">
        <v>0.67963111520324759</v>
      </c>
      <c r="AB242" t="str">
        <f>HYPERLINK("Melting_Curves/meltCurve_C9JRV0_RNF13.pdf", "Melting_Curves/meltCurve_C9JRV0_RNF13.pdf")</f>
        <v>Melting_Curves/meltCurve_C9JRV0_RNF13.pdf</v>
      </c>
    </row>
    <row r="243" spans="1:28" x14ac:dyDescent="0.25">
      <c r="A243" t="s">
        <v>247</v>
      </c>
      <c r="B243">
        <v>0.99352677808782597</v>
      </c>
      <c r="C243">
        <v>0.92150007053627403</v>
      </c>
      <c r="D243">
        <v>0.99607752639899905</v>
      </c>
      <c r="E243">
        <v>0.67242380006686897</v>
      </c>
      <c r="F243">
        <v>0.68264956459329296</v>
      </c>
      <c r="G243">
        <v>0.22231591147093599</v>
      </c>
      <c r="H243">
        <v>0.128476579936567</v>
      </c>
      <c r="I243">
        <v>0.11194249876086899</v>
      </c>
      <c r="J243">
        <v>8.9330966680244206E-2</v>
      </c>
      <c r="K243">
        <v>8.4286955954784207E-2</v>
      </c>
      <c r="L243">
        <v>930.67166259850501</v>
      </c>
      <c r="M243">
        <v>17.4238788765383</v>
      </c>
      <c r="N243">
        <v>53.755925344106899</v>
      </c>
      <c r="O243">
        <v>52.724892380301</v>
      </c>
      <c r="P243">
        <v>-7.8282388345958201E-2</v>
      </c>
      <c r="Q243">
        <v>5.2518887442990901E-2</v>
      </c>
      <c r="R243">
        <v>0.97282354168681195</v>
      </c>
      <c r="S243" t="s">
        <v>6528</v>
      </c>
      <c r="T243" t="s">
        <v>12568</v>
      </c>
      <c r="U243" t="s">
        <v>12568</v>
      </c>
      <c r="V243" t="s">
        <v>12568</v>
      </c>
      <c r="W243" t="s">
        <v>12807</v>
      </c>
      <c r="X243">
        <v>11</v>
      </c>
      <c r="Y243" t="s">
        <v>19037</v>
      </c>
      <c r="Z243" t="s">
        <v>25113</v>
      </c>
      <c r="AA243">
        <v>0.49232615104846139</v>
      </c>
      <c r="AB243" t="str">
        <f>HYPERLINK("Melting_Curves/meltCurve_C9JRZ8_2_AKR1B15.pdf", "Melting_Curves/meltCurve_C9JRZ8_2_AKR1B15.pdf")</f>
        <v>Melting_Curves/meltCurve_C9JRZ8_2_AKR1B15.pdf</v>
      </c>
    </row>
    <row r="244" spans="1:28" x14ac:dyDescent="0.25">
      <c r="A244" t="s">
        <v>248</v>
      </c>
      <c r="B244">
        <v>0.99352677808782597</v>
      </c>
      <c r="C244">
        <v>0.59358394681481397</v>
      </c>
      <c r="D244">
        <v>0.34476499887133499</v>
      </c>
      <c r="E244">
        <v>0.182377585213892</v>
      </c>
      <c r="F244">
        <v>0.15207650113701399</v>
      </c>
      <c r="G244">
        <v>9.2445524452681602E-2</v>
      </c>
      <c r="H244">
        <v>7.3728724667311105E-2</v>
      </c>
      <c r="I244">
        <v>7.2516590886349694E-2</v>
      </c>
      <c r="J244">
        <v>5.8937337737841003E-2</v>
      </c>
      <c r="K244">
        <v>3.9794812822193097E-2</v>
      </c>
      <c r="L244">
        <v>931.25325520740796</v>
      </c>
      <c r="M244">
        <v>21.1932289012647</v>
      </c>
      <c r="N244">
        <v>44.305413094242297</v>
      </c>
      <c r="O244">
        <v>43.555448993203299</v>
      </c>
      <c r="P244">
        <v>-0.11192016777764199</v>
      </c>
      <c r="Q244">
        <v>7.9968715767603601E-2</v>
      </c>
      <c r="R244">
        <v>0.97803114397368596</v>
      </c>
      <c r="S244" t="s">
        <v>6529</v>
      </c>
      <c r="T244" t="s">
        <v>12568</v>
      </c>
      <c r="U244" t="s">
        <v>12568</v>
      </c>
      <c r="V244" t="s">
        <v>12568</v>
      </c>
      <c r="W244" t="s">
        <v>12808</v>
      </c>
      <c r="X244">
        <v>9</v>
      </c>
      <c r="Y244" t="s">
        <v>19038</v>
      </c>
      <c r="Z244" t="s">
        <v>25114</v>
      </c>
      <c r="AA244">
        <v>0.21663055683534849</v>
      </c>
      <c r="AB244" t="str">
        <f>HYPERLINK("Melting_Curves/meltCurve_C9JW69_RCC1.pdf", "Melting_Curves/meltCurve_C9JW69_RCC1.pdf")</f>
        <v>Melting_Curves/meltCurve_C9JW69_RCC1.pdf</v>
      </c>
    </row>
    <row r="245" spans="1:28" x14ac:dyDescent="0.25">
      <c r="A245" t="s">
        <v>249</v>
      </c>
      <c r="B245">
        <v>0.99352677808782597</v>
      </c>
      <c r="C245">
        <v>0.89768474130069098</v>
      </c>
      <c r="D245">
        <v>0.80205262855637405</v>
      </c>
      <c r="E245">
        <v>0.49348575850515197</v>
      </c>
      <c r="F245">
        <v>0.53631717862880501</v>
      </c>
      <c r="G245">
        <v>0.30937664412744698</v>
      </c>
      <c r="H245">
        <v>0.22874610245986399</v>
      </c>
      <c r="I245">
        <v>0.20341442757126399</v>
      </c>
      <c r="J245">
        <v>0.164932720348831</v>
      </c>
      <c r="K245">
        <v>0.13638027933375399</v>
      </c>
      <c r="L245">
        <v>550.851246036357</v>
      </c>
      <c r="M245">
        <v>10.8463287751017</v>
      </c>
      <c r="N245">
        <v>51.936374204669697</v>
      </c>
      <c r="O245">
        <v>49.151952423836399</v>
      </c>
      <c r="P245">
        <v>-4.9298042849931702E-2</v>
      </c>
      <c r="Q245">
        <v>0.106708858860701</v>
      </c>
      <c r="R245">
        <v>0.97992082166115002</v>
      </c>
      <c r="S245" t="s">
        <v>6530</v>
      </c>
      <c r="T245" t="s">
        <v>12568</v>
      </c>
      <c r="U245" t="s">
        <v>12568</v>
      </c>
      <c r="V245" t="s">
        <v>12568</v>
      </c>
      <c r="W245" t="s">
        <v>12809</v>
      </c>
      <c r="X245">
        <v>4</v>
      </c>
      <c r="Y245" t="s">
        <v>19039</v>
      </c>
      <c r="Z245" t="s">
        <v>25115</v>
      </c>
      <c r="AA245">
        <v>0.46192432661063138</v>
      </c>
      <c r="AB245" t="str">
        <f>HYPERLINK("Melting_Curves/meltCurve_C9JWL4_AP4M1.pdf", "Melting_Curves/meltCurve_C9JWL4_AP4M1.pdf")</f>
        <v>Melting_Curves/meltCurve_C9JWL4_AP4M1.pdf</v>
      </c>
    </row>
    <row r="246" spans="1:28" x14ac:dyDescent="0.25">
      <c r="A246" t="s">
        <v>250</v>
      </c>
      <c r="B246">
        <v>0.99352677808782597</v>
      </c>
      <c r="C246">
        <v>0.91179872298914</v>
      </c>
      <c r="D246">
        <v>1.2332159220047301</v>
      </c>
      <c r="E246">
        <v>0.61435603221921598</v>
      </c>
      <c r="F246">
        <v>0.494379097561022</v>
      </c>
      <c r="G246">
        <v>0.27407647993664402</v>
      </c>
      <c r="H246">
        <v>0.202569825600588</v>
      </c>
      <c r="I246">
        <v>0.20875909461422201</v>
      </c>
      <c r="J246">
        <v>0.24900381102035701</v>
      </c>
      <c r="K246">
        <v>0.20996060730070401</v>
      </c>
      <c r="L246">
        <v>1492.25397666718</v>
      </c>
      <c r="M246">
        <v>29.2724186239586</v>
      </c>
      <c r="N246">
        <v>52.049368363844003</v>
      </c>
      <c r="O246">
        <v>50.742021706843801</v>
      </c>
      <c r="P246">
        <v>-0.111590314794326</v>
      </c>
      <c r="Q246">
        <v>0.22626450286754099</v>
      </c>
      <c r="R246">
        <v>0.92666222013263899</v>
      </c>
      <c r="S246" t="s">
        <v>6531</v>
      </c>
      <c r="T246" t="s">
        <v>12568</v>
      </c>
      <c r="U246" t="s">
        <v>12568</v>
      </c>
      <c r="V246" t="s">
        <v>12568</v>
      </c>
      <c r="W246" t="s">
        <v>12810</v>
      </c>
      <c r="X246">
        <v>5</v>
      </c>
      <c r="Y246" t="s">
        <v>19040</v>
      </c>
      <c r="Z246" t="s">
        <v>25116</v>
      </c>
      <c r="AA246">
        <v>0.51451225202133943</v>
      </c>
      <c r="AB246" t="str">
        <f>HYPERLINK("Melting_Curves/meltCurve_C9JXB8_RPL24.pdf", "Melting_Curves/meltCurve_C9JXB8_RPL24.pdf")</f>
        <v>Melting_Curves/meltCurve_C9JXB8_RPL24.pdf</v>
      </c>
    </row>
    <row r="247" spans="1:28" x14ac:dyDescent="0.25">
      <c r="A247" t="s">
        <v>251</v>
      </c>
      <c r="B247">
        <v>0.99352677808782597</v>
      </c>
      <c r="C247">
        <v>0.95952357174334102</v>
      </c>
      <c r="D247">
        <v>0.98996831985994305</v>
      </c>
      <c r="E247">
        <v>1.01713176121075</v>
      </c>
      <c r="F247">
        <v>0.91232184694344298</v>
      </c>
      <c r="G247">
        <v>0.95077049524522295</v>
      </c>
      <c r="H247">
        <v>0.80260445921351298</v>
      </c>
      <c r="I247">
        <v>0.97415186445580404</v>
      </c>
      <c r="J247">
        <v>0.89182274886338397</v>
      </c>
      <c r="K247">
        <v>0.75656171165532604</v>
      </c>
      <c r="L247">
        <v>363.77327936404799</v>
      </c>
      <c r="M247">
        <v>3.7355646183134699</v>
      </c>
      <c r="Q247">
        <v>0</v>
      </c>
      <c r="R247">
        <v>0.53931993170631198</v>
      </c>
      <c r="S247" t="s">
        <v>6532</v>
      </c>
      <c r="T247" t="s">
        <v>12568</v>
      </c>
      <c r="U247" t="s">
        <v>12568</v>
      </c>
      <c r="V247" t="s">
        <v>12568</v>
      </c>
      <c r="W247" t="s">
        <v>12811</v>
      </c>
      <c r="X247">
        <v>3</v>
      </c>
      <c r="Y247" t="s">
        <v>19041</v>
      </c>
      <c r="Z247" t="s">
        <v>25117</v>
      </c>
      <c r="AA247">
        <v>0.93169048874499538</v>
      </c>
      <c r="AB247" t="str">
        <f>HYPERLINK("Melting_Curves/meltCurve_C9JXK0_LBR.pdf", "Melting_Curves/meltCurve_C9JXK0_LBR.pdf")</f>
        <v>Melting_Curves/meltCurve_C9JXK0_LBR.pdf</v>
      </c>
    </row>
    <row r="248" spans="1:28" x14ac:dyDescent="0.25">
      <c r="A248" t="s">
        <v>252</v>
      </c>
      <c r="B248">
        <v>0.99352677808782597</v>
      </c>
      <c r="C248">
        <v>0.98081750596433703</v>
      </c>
      <c r="D248">
        <v>0.84141785510557898</v>
      </c>
      <c r="E248">
        <v>0.83718218149677004</v>
      </c>
      <c r="F248">
        <v>0.63487438421660602</v>
      </c>
      <c r="G248">
        <v>0.53223701542347501</v>
      </c>
      <c r="H248">
        <v>0.347563664355382</v>
      </c>
      <c r="I248">
        <v>0.23930771433519801</v>
      </c>
      <c r="J248">
        <v>0.18261380623989701</v>
      </c>
      <c r="K248">
        <v>0.17756706921509599</v>
      </c>
      <c r="L248">
        <v>540.80742329622797</v>
      </c>
      <c r="M248">
        <v>9.5133027573935696</v>
      </c>
      <c r="N248">
        <v>56.965180631543397</v>
      </c>
      <c r="O248">
        <v>54.505653775616601</v>
      </c>
      <c r="P248">
        <v>-4.3235320877962398E-2</v>
      </c>
      <c r="Q248">
        <v>9.7303436036905704E-3</v>
      </c>
      <c r="R248">
        <v>0.98856372991424901</v>
      </c>
      <c r="S248" t="s">
        <v>6533</v>
      </c>
      <c r="T248" t="s">
        <v>12568</v>
      </c>
      <c r="U248" t="s">
        <v>12568</v>
      </c>
      <c r="V248" t="s">
        <v>12568</v>
      </c>
      <c r="W248" t="s">
        <v>12812</v>
      </c>
      <c r="X248">
        <v>2</v>
      </c>
      <c r="Y248" t="s">
        <v>19042</v>
      </c>
      <c r="Z248" t="s">
        <v>25118</v>
      </c>
      <c r="AA248">
        <v>0.58181434646431451</v>
      </c>
      <c r="AB248" t="str">
        <f>HYPERLINK("Melting_Curves/meltCurve_C9JYM0_POP7.pdf", "Melting_Curves/meltCurve_C9JYM0_POP7.pdf")</f>
        <v>Melting_Curves/meltCurve_C9JYM0_POP7.pdf</v>
      </c>
    </row>
    <row r="249" spans="1:28" x14ac:dyDescent="0.25">
      <c r="A249" t="s">
        <v>253</v>
      </c>
      <c r="B249">
        <v>0.99352677808782597</v>
      </c>
      <c r="C249">
        <v>1.0265245981154001</v>
      </c>
      <c r="D249">
        <v>0.86649427201821305</v>
      </c>
      <c r="E249">
        <v>0.59701785756312498</v>
      </c>
      <c r="F249">
        <v>0.44203553382354099</v>
      </c>
      <c r="G249">
        <v>0.31286033611029901</v>
      </c>
      <c r="H249">
        <v>0.208098093202922</v>
      </c>
      <c r="I249">
        <v>0.179404159179748</v>
      </c>
      <c r="J249">
        <v>0.12909758403750601</v>
      </c>
      <c r="K249">
        <v>0.104669116872021</v>
      </c>
      <c r="L249">
        <v>765.48354175201405</v>
      </c>
      <c r="M249">
        <v>14.963604067759899</v>
      </c>
      <c r="N249">
        <v>52.114798530420202</v>
      </c>
      <c r="O249">
        <v>50.268795167316</v>
      </c>
      <c r="P249">
        <v>-6.5473094666291504E-2</v>
      </c>
      <c r="Q249">
        <v>0.120287355157677</v>
      </c>
      <c r="R249">
        <v>0.99149048070034995</v>
      </c>
      <c r="S249" t="s">
        <v>6534</v>
      </c>
      <c r="T249" t="s">
        <v>12568</v>
      </c>
      <c r="U249" t="s">
        <v>12568</v>
      </c>
      <c r="V249" t="s">
        <v>12568</v>
      </c>
      <c r="W249" t="s">
        <v>12813</v>
      </c>
      <c r="X249">
        <v>4</v>
      </c>
      <c r="Y249" t="s">
        <v>19043</v>
      </c>
      <c r="Z249" t="s">
        <v>25119</v>
      </c>
      <c r="AA249">
        <v>0.46773925318465298</v>
      </c>
      <c r="AB249" t="str">
        <f>HYPERLINK("Melting_Curves/meltCurve_C9JYQ9_RPL22L1.pdf", "Melting_Curves/meltCurve_C9JYQ9_RPL22L1.pdf")</f>
        <v>Melting_Curves/meltCurve_C9JYQ9_RPL22L1.pdf</v>
      </c>
    </row>
    <row r="250" spans="1:28" x14ac:dyDescent="0.25">
      <c r="A250" t="s">
        <v>254</v>
      </c>
      <c r="B250">
        <v>0.99352677808782597</v>
      </c>
      <c r="C250">
        <v>0.98416430522311804</v>
      </c>
      <c r="D250">
        <v>1.00610118334808</v>
      </c>
      <c r="E250">
        <v>0.85214521613606298</v>
      </c>
      <c r="F250">
        <v>0.74721752215273496</v>
      </c>
      <c r="G250">
        <v>0.55479275689499497</v>
      </c>
      <c r="H250">
        <v>0.53435004178175405</v>
      </c>
      <c r="I250">
        <v>0.50572813470583</v>
      </c>
      <c r="J250">
        <v>0.57749806705630002</v>
      </c>
      <c r="K250">
        <v>0.39644491696982997</v>
      </c>
      <c r="L250">
        <v>1055.6649161875901</v>
      </c>
      <c r="M250">
        <v>20.012187776966499</v>
      </c>
      <c r="N250">
        <v>63.931110434402697</v>
      </c>
      <c r="O250">
        <v>52.232837014203</v>
      </c>
      <c r="P250">
        <v>-4.9340092168139497E-2</v>
      </c>
      <c r="Q250">
        <v>0.48489603875586301</v>
      </c>
      <c r="R250">
        <v>0.96110756137212805</v>
      </c>
      <c r="S250" t="s">
        <v>6535</v>
      </c>
      <c r="T250" t="s">
        <v>12568</v>
      </c>
      <c r="U250" t="s">
        <v>12568</v>
      </c>
      <c r="V250" t="s">
        <v>12568</v>
      </c>
      <c r="W250" t="s">
        <v>12814</v>
      </c>
      <c r="X250">
        <v>13</v>
      </c>
      <c r="Y250" t="s">
        <v>19044</v>
      </c>
      <c r="Z250" t="s">
        <v>25120</v>
      </c>
      <c r="AA250">
        <v>0.71092520318036789</v>
      </c>
      <c r="AB250" t="str">
        <f>HYPERLINK("Melting_Curves/meltCurve_C9JYY6_NRCAM.pdf", "Melting_Curves/meltCurve_C9JYY6_NRCAM.pdf")</f>
        <v>Melting_Curves/meltCurve_C9JYY6_NRCAM.pdf</v>
      </c>
    </row>
    <row r="251" spans="1:28" x14ac:dyDescent="0.25">
      <c r="A251" t="s">
        <v>255</v>
      </c>
      <c r="B251">
        <v>0.99352677808782597</v>
      </c>
      <c r="C251">
        <v>1.01550001274506</v>
      </c>
      <c r="D251">
        <v>0.96128496320596402</v>
      </c>
      <c r="E251">
        <v>0.88083714556690695</v>
      </c>
      <c r="F251">
        <v>0.74280442546191205</v>
      </c>
      <c r="G251">
        <v>0.74077151145657305</v>
      </c>
      <c r="H251">
        <v>0.680115882434421</v>
      </c>
      <c r="I251">
        <v>0.88989876097527199</v>
      </c>
      <c r="J251">
        <v>0.92960502231975095</v>
      </c>
      <c r="K251">
        <v>0.71672179968007299</v>
      </c>
      <c r="L251">
        <v>12489.9769979512</v>
      </c>
      <c r="M251">
        <v>250</v>
      </c>
      <c r="O251">
        <v>49.956722358623999</v>
      </c>
      <c r="P251">
        <v>-0.27108525332834699</v>
      </c>
      <c r="Q251">
        <v>0.78331955804676101</v>
      </c>
      <c r="R251">
        <v>0.61825349539655505</v>
      </c>
      <c r="S251" t="s">
        <v>6536</v>
      </c>
      <c r="T251" t="s">
        <v>12568</v>
      </c>
      <c r="U251" t="s">
        <v>12568</v>
      </c>
      <c r="V251" t="s">
        <v>12568</v>
      </c>
      <c r="W251" t="s">
        <v>12815</v>
      </c>
      <c r="X251">
        <v>6</v>
      </c>
      <c r="Y251" t="s">
        <v>19045</v>
      </c>
      <c r="Z251" t="s">
        <v>25121</v>
      </c>
      <c r="AA251">
        <v>0.85527579852370306</v>
      </c>
      <c r="AB251" t="str">
        <f>HYPERLINK("Melting_Curves/meltCurve_C9JYY9_NUDT5.pdf", "Melting_Curves/meltCurve_C9JYY9_NUDT5.pdf")</f>
        <v>Melting_Curves/meltCurve_C9JYY9_NUDT5.pdf</v>
      </c>
    </row>
    <row r="252" spans="1:28" x14ac:dyDescent="0.25">
      <c r="A252" t="s">
        <v>256</v>
      </c>
      <c r="B252">
        <v>0.99352677808782597</v>
      </c>
      <c r="C252">
        <v>0.97048040860471996</v>
      </c>
      <c r="D252">
        <v>1.0451712243796001</v>
      </c>
      <c r="E252">
        <v>0.97438014047686605</v>
      </c>
      <c r="F252">
        <v>0.89549516776984095</v>
      </c>
      <c r="G252">
        <v>0.69124216597021804</v>
      </c>
      <c r="H252">
        <v>0.417285564956763</v>
      </c>
      <c r="I252">
        <v>0.26834710400871598</v>
      </c>
      <c r="J252">
        <v>0.18873149278933499</v>
      </c>
      <c r="K252">
        <v>0.118676032545263</v>
      </c>
      <c r="L252">
        <v>1061.54223899726</v>
      </c>
      <c r="M252">
        <v>17.920988513896301</v>
      </c>
      <c r="N252">
        <v>59.766909969200803</v>
      </c>
      <c r="O252">
        <v>58.5117836798591</v>
      </c>
      <c r="P252">
        <v>-7.0925414477338494E-2</v>
      </c>
      <c r="Q252">
        <v>7.3764440511906601E-2</v>
      </c>
      <c r="R252">
        <v>0.99699080712129196</v>
      </c>
      <c r="S252" t="s">
        <v>6537</v>
      </c>
      <c r="T252" t="s">
        <v>12568</v>
      </c>
      <c r="U252" t="s">
        <v>12568</v>
      </c>
      <c r="V252" t="s">
        <v>12568</v>
      </c>
      <c r="W252" t="s">
        <v>12816</v>
      </c>
      <c r="X252">
        <v>6</v>
      </c>
      <c r="Y252" t="s">
        <v>19046</v>
      </c>
      <c r="Z252" t="s">
        <v>25122</v>
      </c>
      <c r="AA252">
        <v>0.6769804809668416</v>
      </c>
      <c r="AB252" t="str">
        <f>HYPERLINK("Melting_Curves/meltCurve_C9JZY6_UBE2H.pdf", "Melting_Curves/meltCurve_C9JZY6_UBE2H.pdf")</f>
        <v>Melting_Curves/meltCurve_C9JZY6_UBE2H.pdf</v>
      </c>
    </row>
    <row r="253" spans="1:28" x14ac:dyDescent="0.25">
      <c r="A253" t="s">
        <v>257</v>
      </c>
      <c r="B253">
        <v>0.99352677808782597</v>
      </c>
      <c r="C253">
        <v>1.0908765975942301</v>
      </c>
      <c r="D253">
        <v>1.0609573533030301</v>
      </c>
      <c r="E253">
        <v>0.800870791854287</v>
      </c>
      <c r="F253">
        <v>0.79846603514438497</v>
      </c>
      <c r="G253">
        <v>0.54341247849287599</v>
      </c>
      <c r="H253">
        <v>0.48476374200519401</v>
      </c>
      <c r="I253">
        <v>0.44611526481659902</v>
      </c>
      <c r="J253">
        <v>0.51559127087148604</v>
      </c>
      <c r="K253">
        <v>0.37734319389153098</v>
      </c>
      <c r="L253">
        <v>1038.7657213822699</v>
      </c>
      <c r="M253">
        <v>19.391179565684102</v>
      </c>
      <c r="N253">
        <v>59.696349369855</v>
      </c>
      <c r="O253">
        <v>53.009025052310598</v>
      </c>
      <c r="P253">
        <v>-5.1976395551914502E-2</v>
      </c>
      <c r="Q253">
        <v>0.43167628936518498</v>
      </c>
      <c r="R253">
        <v>0.94600166267322505</v>
      </c>
      <c r="S253" t="s">
        <v>6538</v>
      </c>
      <c r="T253" t="s">
        <v>12568</v>
      </c>
      <c r="U253" t="s">
        <v>12568</v>
      </c>
      <c r="V253" t="s">
        <v>12568</v>
      </c>
      <c r="W253" t="s">
        <v>12817</v>
      </c>
      <c r="X253">
        <v>12</v>
      </c>
      <c r="Y253" t="s">
        <v>19047</v>
      </c>
      <c r="Z253" t="s">
        <v>25123</v>
      </c>
      <c r="AA253">
        <v>0.69690295282842163</v>
      </c>
      <c r="AB253" t="str">
        <f>HYPERLINK("Melting_Curves/meltCurve_D0UFD3_PrLZ.pdf", "Melting_Curves/meltCurve_D0UFD3_PrLZ.pdf")</f>
        <v>Melting_Curves/meltCurve_D0UFD3_PrLZ.pdf</v>
      </c>
    </row>
    <row r="254" spans="1:28" x14ac:dyDescent="0.25">
      <c r="A254" t="s">
        <v>258</v>
      </c>
      <c r="B254">
        <v>0.99352677808782597</v>
      </c>
      <c r="C254">
        <v>0.91048963200702104</v>
      </c>
      <c r="D254">
        <v>0.62657495776243499</v>
      </c>
      <c r="E254">
        <v>0.35077289861366401</v>
      </c>
      <c r="F254">
        <v>0.28772838425063801</v>
      </c>
      <c r="G254">
        <v>0.175616802666997</v>
      </c>
      <c r="H254">
        <v>0.124243507679741</v>
      </c>
      <c r="I254">
        <v>0.11650679437952501</v>
      </c>
      <c r="J254">
        <v>0.11026744245602001</v>
      </c>
      <c r="K254">
        <v>8.5765646728471701E-2</v>
      </c>
      <c r="L254">
        <v>794.46962513589096</v>
      </c>
      <c r="M254">
        <v>16.760286282763499</v>
      </c>
      <c r="N254">
        <v>48.100373433388803</v>
      </c>
      <c r="O254">
        <v>46.742501690704302</v>
      </c>
      <c r="P254">
        <v>-7.9964484809529002E-2</v>
      </c>
      <c r="Q254">
        <v>0.10801105593565501</v>
      </c>
      <c r="R254">
        <v>0.99227958459221499</v>
      </c>
      <c r="S254" t="s">
        <v>6539</v>
      </c>
      <c r="T254" t="s">
        <v>12568</v>
      </c>
      <c r="U254" t="s">
        <v>12568</v>
      </c>
      <c r="V254" t="s">
        <v>12568</v>
      </c>
      <c r="W254" t="s">
        <v>12818</v>
      </c>
      <c r="X254">
        <v>5</v>
      </c>
      <c r="Y254" t="s">
        <v>19048</v>
      </c>
      <c r="Z254" t="s">
        <v>25124</v>
      </c>
      <c r="AA254">
        <v>0.34690241835091812</v>
      </c>
      <c r="AB254" t="str">
        <f>HYPERLINK("Melting_Curves/meltCurve_D3DUE4_ANKS3.pdf", "Melting_Curves/meltCurve_D3DUE4_ANKS3.pdf")</f>
        <v>Melting_Curves/meltCurve_D3DUE4_ANKS3.pdf</v>
      </c>
    </row>
    <row r="255" spans="1:28" x14ac:dyDescent="0.25">
      <c r="A255" t="s">
        <v>259</v>
      </c>
      <c r="B255">
        <v>0.99352677808782597</v>
      </c>
      <c r="C255">
        <v>0.990380045181675</v>
      </c>
      <c r="D255">
        <v>1.02546882408756</v>
      </c>
      <c r="E255">
        <v>0.99354459526313299</v>
      </c>
      <c r="F255">
        <v>0.93015715973717195</v>
      </c>
      <c r="G255">
        <v>0.94865933839871497</v>
      </c>
      <c r="H255">
        <v>0.80486992512808098</v>
      </c>
      <c r="I255">
        <v>0.82236448698166198</v>
      </c>
      <c r="J255">
        <v>0.87923083194123397</v>
      </c>
      <c r="K255">
        <v>0.73379571293677004</v>
      </c>
      <c r="L255">
        <v>790.27249999345895</v>
      </c>
      <c r="M255">
        <v>13.3117829112054</v>
      </c>
      <c r="O255">
        <v>58.074645660960101</v>
      </c>
      <c r="P255">
        <v>-1.39935519469913E-2</v>
      </c>
      <c r="Q255">
        <v>0.75584347246430195</v>
      </c>
      <c r="R255">
        <v>0.82662444013797498</v>
      </c>
      <c r="S255" t="s">
        <v>6540</v>
      </c>
      <c r="T255" t="s">
        <v>12568</v>
      </c>
      <c r="U255" t="s">
        <v>12568</v>
      </c>
      <c r="V255" t="s">
        <v>12568</v>
      </c>
      <c r="W255" t="s">
        <v>12819</v>
      </c>
      <c r="X255">
        <v>4</v>
      </c>
      <c r="Y255" t="s">
        <v>19049</v>
      </c>
      <c r="Z255" t="s">
        <v>25125</v>
      </c>
      <c r="AA255">
        <v>0.91538569258161906</v>
      </c>
      <c r="AB255" t="str">
        <f>HYPERLINK("Melting_Curves/meltCurve_D3K174_SLC4A7.pdf", "Melting_Curves/meltCurve_D3K174_SLC4A7.pdf")</f>
        <v>Melting_Curves/meltCurve_D3K174_SLC4A7.pdf</v>
      </c>
    </row>
    <row r="256" spans="1:28" x14ac:dyDescent="0.25">
      <c r="A256" t="s">
        <v>260</v>
      </c>
      <c r="B256">
        <v>0.99352677808782597</v>
      </c>
      <c r="C256">
        <v>0.81093422394410097</v>
      </c>
      <c r="D256">
        <v>1.15660017374757</v>
      </c>
      <c r="E256">
        <v>0.58121265131160604</v>
      </c>
      <c r="F256">
        <v>0.51168349833620397</v>
      </c>
      <c r="G256">
        <v>0.31915103410274098</v>
      </c>
      <c r="H256">
        <v>0.108691205515516</v>
      </c>
      <c r="I256">
        <v>9.40784816549083E-2</v>
      </c>
      <c r="J256">
        <v>7.5631734294497696E-2</v>
      </c>
      <c r="K256">
        <v>5.3441633581831197E-2</v>
      </c>
      <c r="L256">
        <v>851.78460197967104</v>
      </c>
      <c r="M256">
        <v>16.1902575497217</v>
      </c>
      <c r="N256">
        <v>52.919269482418301</v>
      </c>
      <c r="O256">
        <v>51.827936018352702</v>
      </c>
      <c r="P256">
        <v>-7.4586605226809502E-2</v>
      </c>
      <c r="Q256">
        <v>4.5010782326328103E-2</v>
      </c>
      <c r="R256">
        <v>0.927983368684692</v>
      </c>
      <c r="S256" t="s">
        <v>6541</v>
      </c>
      <c r="T256" t="s">
        <v>12568</v>
      </c>
      <c r="U256" t="s">
        <v>12568</v>
      </c>
      <c r="V256" t="s">
        <v>12568</v>
      </c>
      <c r="W256" t="s">
        <v>12820</v>
      </c>
      <c r="X256">
        <v>3</v>
      </c>
      <c r="Y256" t="s">
        <v>19050</v>
      </c>
      <c r="Z256" t="s">
        <v>25126</v>
      </c>
      <c r="AA256">
        <v>0.46508624105959961</v>
      </c>
      <c r="AB256" t="str">
        <f>HYPERLINK("Melting_Curves/meltCurve_D3YTB1_RPL32.pdf", "Melting_Curves/meltCurve_D3YTB1_RPL32.pdf")</f>
        <v>Melting_Curves/meltCurve_D3YTB1_RPL32.pdf</v>
      </c>
    </row>
    <row r="257" spans="1:28" x14ac:dyDescent="0.25">
      <c r="A257" t="s">
        <v>261</v>
      </c>
      <c r="B257">
        <v>0.99352677808782597</v>
      </c>
      <c r="C257">
        <v>0.99697523114097597</v>
      </c>
      <c r="D257">
        <v>0.897022015851629</v>
      </c>
      <c r="E257">
        <v>0.70428912858926696</v>
      </c>
      <c r="F257">
        <v>0.63700300248964703</v>
      </c>
      <c r="G257">
        <v>0.312207625849315</v>
      </c>
      <c r="H257">
        <v>0.151141592200426</v>
      </c>
      <c r="I257">
        <v>0.14369204997103699</v>
      </c>
      <c r="J257">
        <v>0.13626057103139999</v>
      </c>
      <c r="K257">
        <v>0.111347013546617</v>
      </c>
      <c r="L257">
        <v>791.577860205555</v>
      </c>
      <c r="M257">
        <v>14.824476524344</v>
      </c>
      <c r="N257">
        <v>53.954385792236202</v>
      </c>
      <c r="O257">
        <v>52.453307676467197</v>
      </c>
      <c r="P257">
        <v>-6.5643489984963097E-2</v>
      </c>
      <c r="Q257">
        <v>7.1035677317963605E-2</v>
      </c>
      <c r="R257">
        <v>0.990419949790451</v>
      </c>
      <c r="S257" t="s">
        <v>6542</v>
      </c>
      <c r="T257" t="s">
        <v>12568</v>
      </c>
      <c r="U257" t="s">
        <v>12568</v>
      </c>
      <c r="V257" t="s">
        <v>12568</v>
      </c>
      <c r="W257" t="s">
        <v>12821</v>
      </c>
      <c r="X257">
        <v>7</v>
      </c>
      <c r="Y257" t="s">
        <v>19051</v>
      </c>
      <c r="Z257" t="s">
        <v>25127</v>
      </c>
      <c r="AA257">
        <v>0.50582237580708633</v>
      </c>
      <c r="AB257" t="str">
        <f>HYPERLINK("Melting_Curves/meltCurve_D3YTG6_NDOR1.pdf", "Melting_Curves/meltCurve_D3YTG6_NDOR1.pdf")</f>
        <v>Melting_Curves/meltCurve_D3YTG6_NDOR1.pdf</v>
      </c>
    </row>
    <row r="258" spans="1:28" x14ac:dyDescent="0.25">
      <c r="A258" t="s">
        <v>262</v>
      </c>
      <c r="B258">
        <v>0.99352677808782597</v>
      </c>
      <c r="C258">
        <v>0.85538956940637001</v>
      </c>
      <c r="D258">
        <v>1.00549702720348</v>
      </c>
      <c r="E258">
        <v>0.91147541133546195</v>
      </c>
      <c r="F258">
        <v>0.90653342986827601</v>
      </c>
      <c r="G258">
        <v>0.94279264751070802</v>
      </c>
      <c r="H258">
        <v>0.76365609321418904</v>
      </c>
      <c r="I258">
        <v>0.84383616334693901</v>
      </c>
      <c r="J258">
        <v>0.74442600690749505</v>
      </c>
      <c r="K258">
        <v>0.78393249186554104</v>
      </c>
      <c r="L258">
        <v>227.22981916578999</v>
      </c>
      <c r="M258">
        <v>2.08940469057214</v>
      </c>
      <c r="O258">
        <v>66.328509130560406</v>
      </c>
      <c r="P258">
        <v>-8.5115068824050608E-3</v>
      </c>
      <c r="Q258">
        <v>0</v>
      </c>
      <c r="R258">
        <v>0.618776740625537</v>
      </c>
      <c r="S258" t="s">
        <v>6543</v>
      </c>
      <c r="T258" t="s">
        <v>12568</v>
      </c>
      <c r="U258" t="s">
        <v>12568</v>
      </c>
      <c r="V258" t="s">
        <v>12568</v>
      </c>
      <c r="W258" t="s">
        <v>12822</v>
      </c>
      <c r="X258">
        <v>1</v>
      </c>
      <c r="Y258" t="s">
        <v>19052</v>
      </c>
      <c r="Z258" t="s">
        <v>25128</v>
      </c>
      <c r="AA258">
        <v>0.87903346873162436</v>
      </c>
      <c r="AB258" t="str">
        <f>HYPERLINK("Melting_Curves/meltCurve_D6R966_CXXC5.pdf", "Melting_Curves/meltCurve_D6R966_CXXC5.pdf")</f>
        <v>Melting_Curves/meltCurve_D6R966_CXXC5.pdf</v>
      </c>
    </row>
    <row r="259" spans="1:28" x14ac:dyDescent="0.25">
      <c r="A259" t="s">
        <v>263</v>
      </c>
      <c r="B259">
        <v>0.99352677808782597</v>
      </c>
      <c r="C259">
        <v>0.97288638874022704</v>
      </c>
      <c r="D259">
        <v>0.66396029011074598</v>
      </c>
      <c r="E259">
        <v>0.19185902561371301</v>
      </c>
      <c r="F259">
        <v>0.164114498024135</v>
      </c>
      <c r="G259">
        <v>9.8890035321628794E-2</v>
      </c>
      <c r="H259">
        <v>6.8395819091240498E-2</v>
      </c>
      <c r="I259">
        <v>5.6796915560942601E-2</v>
      </c>
      <c r="J259">
        <v>5.3831844130600701E-2</v>
      </c>
      <c r="K259">
        <v>2.93835098780123E-2</v>
      </c>
      <c r="L259">
        <v>1337.3078308046399</v>
      </c>
      <c r="M259">
        <v>28.462012711954699</v>
      </c>
      <c r="N259">
        <v>47.228784404601797</v>
      </c>
      <c r="O259">
        <v>46.7555962569296</v>
      </c>
      <c r="P259">
        <v>-0.14181759510474201</v>
      </c>
      <c r="Q259">
        <v>6.8131542926558805E-2</v>
      </c>
      <c r="R259">
        <v>0.99455934237843102</v>
      </c>
      <c r="S259" t="s">
        <v>6544</v>
      </c>
      <c r="T259" t="s">
        <v>12568</v>
      </c>
      <c r="U259" t="s">
        <v>12568</v>
      </c>
      <c r="V259" t="s">
        <v>12568</v>
      </c>
      <c r="W259" t="s">
        <v>12823</v>
      </c>
      <c r="X259">
        <v>3</v>
      </c>
      <c r="Y259" t="s">
        <v>19053</v>
      </c>
      <c r="Z259" t="s">
        <v>25129</v>
      </c>
      <c r="AA259">
        <v>0.29138779625245148</v>
      </c>
      <c r="AB259" t="str">
        <f>HYPERLINK("Melting_Curves/meltCurve_D6R992_RELB.pdf", "Melting_Curves/meltCurve_D6R992_RELB.pdf")</f>
        <v>Melting_Curves/meltCurve_D6R992_RELB.pdf</v>
      </c>
    </row>
    <row r="260" spans="1:28" x14ac:dyDescent="0.25">
      <c r="A260" t="s">
        <v>264</v>
      </c>
      <c r="B260">
        <v>0.99352677808782597</v>
      </c>
      <c r="C260">
        <v>0.77709921303863905</v>
      </c>
      <c r="D260">
        <v>0.81554128449600305</v>
      </c>
      <c r="E260">
        <v>0.26523493788483998</v>
      </c>
      <c r="F260">
        <v>0.23030874959175199</v>
      </c>
      <c r="G260">
        <v>0.119301547632224</v>
      </c>
      <c r="H260">
        <v>8.2360152596088199E-2</v>
      </c>
      <c r="I260">
        <v>7.2451143150895306E-2</v>
      </c>
      <c r="J260">
        <v>5.7092408093221997E-2</v>
      </c>
      <c r="K260">
        <v>5.2914252876796103E-2</v>
      </c>
      <c r="L260">
        <v>892.81064930218304</v>
      </c>
      <c r="M260">
        <v>18.648037605322202</v>
      </c>
      <c r="N260">
        <v>48.208661996518202</v>
      </c>
      <c r="O260">
        <v>47.336558816372097</v>
      </c>
      <c r="P260">
        <v>-9.2559949289019006E-2</v>
      </c>
      <c r="Q260">
        <v>6.02163381737034E-2</v>
      </c>
      <c r="R260">
        <v>0.96790338538877496</v>
      </c>
      <c r="S260" t="s">
        <v>6545</v>
      </c>
      <c r="T260" t="s">
        <v>12568</v>
      </c>
      <c r="U260" t="s">
        <v>12568</v>
      </c>
      <c r="V260" t="s">
        <v>12568</v>
      </c>
      <c r="W260" t="s">
        <v>12824</v>
      </c>
      <c r="X260">
        <v>4</v>
      </c>
      <c r="Y260" t="s">
        <v>19054</v>
      </c>
      <c r="Z260" t="s">
        <v>25130</v>
      </c>
      <c r="AA260">
        <v>0.32250638070440463</v>
      </c>
      <c r="AB260" t="str">
        <f>HYPERLINK("Melting_Curves/meltCurve_D6R9D6_RBM47.pdf", "Melting_Curves/meltCurve_D6R9D6_RBM47.pdf")</f>
        <v>Melting_Curves/meltCurve_D6R9D6_RBM47.pdf</v>
      </c>
    </row>
    <row r="261" spans="1:28" x14ac:dyDescent="0.25">
      <c r="A261" t="s">
        <v>265</v>
      </c>
      <c r="B261">
        <v>0.99352677808782597</v>
      </c>
      <c r="C261">
        <v>1.0101364339359999</v>
      </c>
      <c r="D261">
        <v>1.06154607513684</v>
      </c>
      <c r="E261">
        <v>1.1988769346194299</v>
      </c>
      <c r="F261">
        <v>1.1256479311671399</v>
      </c>
      <c r="G261">
        <v>1.00068871535377</v>
      </c>
      <c r="H261">
        <v>0.93900546346185898</v>
      </c>
      <c r="I261">
        <v>0.91398916982453804</v>
      </c>
      <c r="J261">
        <v>1.0710752795584499</v>
      </c>
      <c r="K261">
        <v>0.99747982537061197</v>
      </c>
      <c r="L261">
        <v>1790.5392739573499</v>
      </c>
      <c r="M261">
        <v>25.787330239643499</v>
      </c>
      <c r="O261">
        <v>69.021326593911098</v>
      </c>
      <c r="P261">
        <v>1.98143708150438E-3</v>
      </c>
      <c r="Q261">
        <v>1.0212134843907601</v>
      </c>
      <c r="R261">
        <v>-0.14542473472801201</v>
      </c>
      <c r="S261" t="s">
        <v>6546</v>
      </c>
      <c r="T261" t="s">
        <v>12568</v>
      </c>
      <c r="U261" t="s">
        <v>12568</v>
      </c>
      <c r="V261" t="s">
        <v>12568</v>
      </c>
      <c r="W261" t="s">
        <v>12825</v>
      </c>
      <c r="X261">
        <v>2</v>
      </c>
      <c r="Y261" t="s">
        <v>19055</v>
      </c>
      <c r="Z261" t="s">
        <v>25131</v>
      </c>
      <c r="AA261">
        <v>1.0014218823966361</v>
      </c>
      <c r="AB261" t="str">
        <f>HYPERLINK("Melting_Curves/meltCurve_D6R9U7_POLR3G.pdf", "Melting_Curves/meltCurve_D6R9U7_POLR3G.pdf")</f>
        <v>Melting_Curves/meltCurve_D6R9U7_POLR3G.pdf</v>
      </c>
    </row>
    <row r="262" spans="1:28" x14ac:dyDescent="0.25">
      <c r="A262" t="s">
        <v>266</v>
      </c>
      <c r="B262">
        <v>0.99352677808782597</v>
      </c>
      <c r="C262">
        <v>0.88052855959579102</v>
      </c>
      <c r="D262">
        <v>0.85610168245811702</v>
      </c>
      <c r="E262">
        <v>0.68014735124958503</v>
      </c>
      <c r="F262">
        <v>0.63924820726135501</v>
      </c>
      <c r="G262">
        <v>0.52792987418964299</v>
      </c>
      <c r="H262">
        <v>0.28877982962866</v>
      </c>
      <c r="I262">
        <v>0.36036142594369602</v>
      </c>
      <c r="J262">
        <v>0.33931487940125798</v>
      </c>
      <c r="K262">
        <v>0.29211465798462299</v>
      </c>
      <c r="L262">
        <v>492.21272926740198</v>
      </c>
      <c r="M262">
        <v>9.3069770967595797</v>
      </c>
      <c r="N262">
        <v>56.279656923142298</v>
      </c>
      <c r="O262">
        <v>50.6169304693152</v>
      </c>
      <c r="P262">
        <v>-3.6120584639703503E-2</v>
      </c>
      <c r="Q262">
        <v>0.21472047872588301</v>
      </c>
      <c r="R262">
        <v>0.97035622203752003</v>
      </c>
      <c r="S262" t="s">
        <v>6547</v>
      </c>
      <c r="T262" t="s">
        <v>12568</v>
      </c>
      <c r="U262" t="s">
        <v>12568</v>
      </c>
      <c r="V262" t="s">
        <v>12568</v>
      </c>
      <c r="W262" t="s">
        <v>12826</v>
      </c>
      <c r="X262">
        <v>2</v>
      </c>
      <c r="Y262" t="s">
        <v>19056</v>
      </c>
      <c r="Z262" t="s">
        <v>25132</v>
      </c>
      <c r="AA262">
        <v>0.58102411141889299</v>
      </c>
      <c r="AB262" t="str">
        <f>HYPERLINK("Melting_Curves/meltCurve_D6R9V3_CC2D2A.pdf", "Melting_Curves/meltCurve_D6R9V3_CC2D2A.pdf")</f>
        <v>Melting_Curves/meltCurve_D6R9V3_CC2D2A.pdf</v>
      </c>
    </row>
    <row r="263" spans="1:28" x14ac:dyDescent="0.25">
      <c r="A263" t="s">
        <v>267</v>
      </c>
      <c r="B263">
        <v>0.99352677808782597</v>
      </c>
      <c r="C263">
        <v>1.04233953481696</v>
      </c>
      <c r="D263">
        <v>1.0467320944420799</v>
      </c>
      <c r="E263">
        <v>0.62490019671074204</v>
      </c>
      <c r="F263">
        <v>0.53211820646897801</v>
      </c>
      <c r="G263">
        <v>0.28005961251580802</v>
      </c>
      <c r="H263">
        <v>0.21246056485450801</v>
      </c>
      <c r="I263">
        <v>0.17269967506275</v>
      </c>
      <c r="J263">
        <v>0.127314953077102</v>
      </c>
      <c r="K263">
        <v>8.3038828575602797E-2</v>
      </c>
      <c r="L263">
        <v>951.62029826672403</v>
      </c>
      <c r="M263">
        <v>18.251128903369199</v>
      </c>
      <c r="N263">
        <v>52.950604569729997</v>
      </c>
      <c r="O263">
        <v>51.526494315949599</v>
      </c>
      <c r="P263">
        <v>-7.77671864413578E-2</v>
      </c>
      <c r="Q263">
        <v>0.121833464068433</v>
      </c>
      <c r="R263">
        <v>0.97695770958359296</v>
      </c>
      <c r="S263" t="s">
        <v>6548</v>
      </c>
      <c r="T263" t="s">
        <v>12568</v>
      </c>
      <c r="U263" t="s">
        <v>12568</v>
      </c>
      <c r="V263" t="s">
        <v>12568</v>
      </c>
      <c r="W263" t="s">
        <v>12827</v>
      </c>
      <c r="X263">
        <v>1</v>
      </c>
      <c r="Y263" t="s">
        <v>19057</v>
      </c>
      <c r="Z263" t="s">
        <v>25133</v>
      </c>
      <c r="AA263">
        <v>0.49145409138996549</v>
      </c>
      <c r="AB263" t="str">
        <f>HYPERLINK("Melting_Curves/meltCurve_D6RB01_FAM169A.pdf", "Melting_Curves/meltCurve_D6RB01_FAM169A.pdf")</f>
        <v>Melting_Curves/meltCurve_D6RB01_FAM169A.pdf</v>
      </c>
    </row>
    <row r="264" spans="1:28" x14ac:dyDescent="0.25">
      <c r="A264" t="s">
        <v>268</v>
      </c>
      <c r="B264">
        <v>0.99352677808782597</v>
      </c>
      <c r="C264">
        <v>0.980535411993392</v>
      </c>
      <c r="D264">
        <v>0.97226888119696397</v>
      </c>
      <c r="E264">
        <v>0.92919353637388102</v>
      </c>
      <c r="F264">
        <v>1.0934378582362301</v>
      </c>
      <c r="G264">
        <v>0.69758777537356997</v>
      </c>
      <c r="H264">
        <v>0.72243667724868899</v>
      </c>
      <c r="I264">
        <v>0.64902412343465998</v>
      </c>
      <c r="J264">
        <v>0.55727159840082396</v>
      </c>
      <c r="K264">
        <v>0.42796720786485298</v>
      </c>
      <c r="L264">
        <v>678.66691264098802</v>
      </c>
      <c r="M264">
        <v>10.6082581739893</v>
      </c>
      <c r="N264">
        <v>68.130222783340997</v>
      </c>
      <c r="O264">
        <v>61.827504152955399</v>
      </c>
      <c r="P264">
        <v>-3.2690752524830897E-2</v>
      </c>
      <c r="Q264">
        <v>0.23817682903103399</v>
      </c>
      <c r="R264">
        <v>0.88087869393222895</v>
      </c>
      <c r="S264" t="s">
        <v>6549</v>
      </c>
      <c r="T264" t="s">
        <v>12568</v>
      </c>
      <c r="U264" t="s">
        <v>12568</v>
      </c>
      <c r="V264" t="s">
        <v>12568</v>
      </c>
      <c r="W264" t="s">
        <v>12828</v>
      </c>
      <c r="X264">
        <v>2</v>
      </c>
      <c r="Y264" t="s">
        <v>19058</v>
      </c>
      <c r="Z264" t="s">
        <v>25134</v>
      </c>
      <c r="AA264">
        <v>0.81845473787439282</v>
      </c>
      <c r="AB264" t="str">
        <f>HYPERLINK("Melting_Curves/meltCurve_D6RBC4_ZBTB38.pdf", "Melting_Curves/meltCurve_D6RBC4_ZBTB38.pdf")</f>
        <v>Melting_Curves/meltCurve_D6RBC4_ZBTB38.pdf</v>
      </c>
    </row>
    <row r="265" spans="1:28" x14ac:dyDescent="0.25">
      <c r="A265" t="s">
        <v>269</v>
      </c>
      <c r="B265">
        <v>0.99352677808782597</v>
      </c>
      <c r="C265">
        <v>0.91251168869176902</v>
      </c>
      <c r="D265">
        <v>0.88320794732498997</v>
      </c>
      <c r="E265">
        <v>0.79995083859934601</v>
      </c>
      <c r="F265">
        <v>0.75496787251521602</v>
      </c>
      <c r="G265">
        <v>0.68675207894910795</v>
      </c>
      <c r="H265">
        <v>0.59002181609982896</v>
      </c>
      <c r="I265">
        <v>0.59848203740588102</v>
      </c>
      <c r="J265">
        <v>0.69147842928552905</v>
      </c>
      <c r="K265">
        <v>0.62026596541899703</v>
      </c>
      <c r="L265">
        <v>554.073966362958</v>
      </c>
      <c r="M265">
        <v>11.1714695915276</v>
      </c>
      <c r="O265">
        <v>48.087611948821397</v>
      </c>
      <c r="P265">
        <v>-2.29846867700042E-2</v>
      </c>
      <c r="Q265">
        <v>0.60437525565449801</v>
      </c>
      <c r="R265">
        <v>0.93982293830753905</v>
      </c>
      <c r="S265" t="s">
        <v>6550</v>
      </c>
      <c r="T265" t="s">
        <v>12568</v>
      </c>
      <c r="U265" t="s">
        <v>12568</v>
      </c>
      <c r="V265" t="s">
        <v>12568</v>
      </c>
      <c r="W265" t="s">
        <v>12829</v>
      </c>
      <c r="X265">
        <v>5</v>
      </c>
      <c r="Y265" t="s">
        <v>19059</v>
      </c>
      <c r="Z265" t="s">
        <v>25135</v>
      </c>
      <c r="AA265">
        <v>0.74663125279601206</v>
      </c>
      <c r="AB265" t="str">
        <f>HYPERLINK("Melting_Curves/meltCurve_D6RBN5_OCIAD1.pdf", "Melting_Curves/meltCurve_D6RBN5_OCIAD1.pdf")</f>
        <v>Melting_Curves/meltCurve_D6RBN5_OCIAD1.pdf</v>
      </c>
    </row>
    <row r="266" spans="1:28" x14ac:dyDescent="0.25">
      <c r="A266" t="s">
        <v>270</v>
      </c>
      <c r="B266">
        <v>0.99352677808782597</v>
      </c>
      <c r="C266">
        <v>0.93951919504917103</v>
      </c>
      <c r="D266">
        <v>0.97234753449323796</v>
      </c>
      <c r="E266">
        <v>0.71295445549022496</v>
      </c>
      <c r="F266">
        <v>0.65872784320914102</v>
      </c>
      <c r="G266">
        <v>0.39026898533779403</v>
      </c>
      <c r="H266">
        <v>0.306003365082124</v>
      </c>
      <c r="I266">
        <v>0.27544098206886902</v>
      </c>
      <c r="J266">
        <v>0.22642706946086599</v>
      </c>
      <c r="K266">
        <v>0.233070055408615</v>
      </c>
      <c r="L266">
        <v>772.324169735444</v>
      </c>
      <c r="M266">
        <v>14.547255479858</v>
      </c>
      <c r="N266">
        <v>55.047361020317403</v>
      </c>
      <c r="O266">
        <v>52.117723831832201</v>
      </c>
      <c r="P266">
        <v>-5.5700412946643497E-2</v>
      </c>
      <c r="Q266">
        <v>0.20187059190521001</v>
      </c>
      <c r="R266">
        <v>0.98842429621223604</v>
      </c>
      <c r="S266" t="s">
        <v>6551</v>
      </c>
      <c r="T266" t="s">
        <v>12568</v>
      </c>
      <c r="U266" t="s">
        <v>12568</v>
      </c>
      <c r="V266" t="s">
        <v>12568</v>
      </c>
      <c r="W266" t="s">
        <v>12830</v>
      </c>
      <c r="X266">
        <v>3</v>
      </c>
      <c r="Y266" t="s">
        <v>19060</v>
      </c>
      <c r="Z266" t="s">
        <v>25136</v>
      </c>
      <c r="AA266">
        <v>0.56797663526518938</v>
      </c>
      <c r="AB266" t="str">
        <f>HYPERLINK("Melting_Curves/meltCurve_D6RBV2_LMAN2.pdf", "Melting_Curves/meltCurve_D6RBV2_LMAN2.pdf")</f>
        <v>Melting_Curves/meltCurve_D6RBV2_LMAN2.pdf</v>
      </c>
    </row>
    <row r="267" spans="1:28" x14ac:dyDescent="0.25">
      <c r="A267" t="s">
        <v>271</v>
      </c>
      <c r="B267">
        <v>0.99352677808782597</v>
      </c>
      <c r="C267">
        <v>1.0020410008363601</v>
      </c>
      <c r="D267">
        <v>1.0211306023155</v>
      </c>
      <c r="E267">
        <v>0.57427933863806202</v>
      </c>
      <c r="F267">
        <v>0.43992232808627202</v>
      </c>
      <c r="G267">
        <v>0.298725220968655</v>
      </c>
      <c r="H267">
        <v>0.20328470962844999</v>
      </c>
      <c r="I267">
        <v>0.221549108714967</v>
      </c>
      <c r="J267">
        <v>0.199637846444049</v>
      </c>
      <c r="K267">
        <v>0.13990764444998299</v>
      </c>
      <c r="L267">
        <v>1162.27630639219</v>
      </c>
      <c r="M267">
        <v>22.9928819802794</v>
      </c>
      <c r="N267">
        <v>51.671900445302697</v>
      </c>
      <c r="O267">
        <v>50.171687648358798</v>
      </c>
      <c r="P267">
        <v>-9.2050366707841794E-2</v>
      </c>
      <c r="Q267">
        <v>0.196579933593198</v>
      </c>
      <c r="R267">
        <v>0.98137420590128799</v>
      </c>
      <c r="S267" t="s">
        <v>6552</v>
      </c>
      <c r="T267" t="s">
        <v>12568</v>
      </c>
      <c r="U267" t="s">
        <v>12568</v>
      </c>
      <c r="V267" t="s">
        <v>12568</v>
      </c>
      <c r="W267" t="s">
        <v>12831</v>
      </c>
      <c r="X267">
        <v>2</v>
      </c>
      <c r="Y267" t="s">
        <v>19061</v>
      </c>
      <c r="Z267" t="s">
        <v>25137</v>
      </c>
      <c r="AA267">
        <v>0.487621204923749</v>
      </c>
      <c r="AB267" t="str">
        <f>HYPERLINK("Melting_Curves/meltCurve_D6RC23_PACRGL.pdf", "Melting_Curves/meltCurve_D6RC23_PACRGL.pdf")</f>
        <v>Melting_Curves/meltCurve_D6RC23_PACRGL.pdf</v>
      </c>
    </row>
    <row r="268" spans="1:28" x14ac:dyDescent="0.25">
      <c r="A268" t="s">
        <v>272</v>
      </c>
      <c r="B268">
        <v>0.99352677808782597</v>
      </c>
      <c r="C268">
        <v>1.0726882246037499</v>
      </c>
      <c r="D268">
        <v>0.91396318200832605</v>
      </c>
      <c r="E268">
        <v>0.39741550605535902</v>
      </c>
      <c r="F268">
        <v>0.32397532510827498</v>
      </c>
      <c r="G268">
        <v>0.23035207381005399</v>
      </c>
      <c r="H268">
        <v>0.125830398627228</v>
      </c>
      <c r="I268">
        <v>0.115596611439739</v>
      </c>
      <c r="J268">
        <v>0.104233966288934</v>
      </c>
      <c r="K268">
        <v>0.13020874065014401</v>
      </c>
      <c r="L268">
        <v>1352.95408737444</v>
      </c>
      <c r="M268">
        <v>27.585058841340501</v>
      </c>
      <c r="N268">
        <v>49.658427587207001</v>
      </c>
      <c r="O268">
        <v>48.791040430367602</v>
      </c>
      <c r="P268">
        <v>-0.12098158534360599</v>
      </c>
      <c r="Q268">
        <v>0.144063639648114</v>
      </c>
      <c r="R268">
        <v>0.98010730381439404</v>
      </c>
      <c r="S268" t="s">
        <v>6553</v>
      </c>
      <c r="T268" t="s">
        <v>12568</v>
      </c>
      <c r="U268" t="s">
        <v>12568</v>
      </c>
      <c r="V268" t="s">
        <v>12568</v>
      </c>
      <c r="W268" t="s">
        <v>12832</v>
      </c>
      <c r="X268">
        <v>1</v>
      </c>
      <c r="Y268" t="s">
        <v>19062</v>
      </c>
      <c r="Z268" t="s">
        <v>25138</v>
      </c>
      <c r="AA268">
        <v>0.40837177811835651</v>
      </c>
      <c r="AB268" t="str">
        <f>HYPERLINK("Melting_Curves/meltCurve_D6RCD0_HSD17B11.pdf", "Melting_Curves/meltCurve_D6RCD0_HSD17B11.pdf")</f>
        <v>Melting_Curves/meltCurve_D6RCD0_HSD17B11.pdf</v>
      </c>
    </row>
    <row r="269" spans="1:28" x14ac:dyDescent="0.25">
      <c r="A269" t="s">
        <v>273</v>
      </c>
      <c r="B269">
        <v>0.99352677808782597</v>
      </c>
      <c r="C269">
        <v>0.944690636852351</v>
      </c>
      <c r="D269">
        <v>0.74392206097047597</v>
      </c>
      <c r="E269">
        <v>0.32033743203792903</v>
      </c>
      <c r="F269">
        <v>0.244368193317239</v>
      </c>
      <c r="G269">
        <v>0.14701120226901501</v>
      </c>
      <c r="H269">
        <v>9.2530573742968802E-2</v>
      </c>
      <c r="I269">
        <v>0.110312349076852</v>
      </c>
      <c r="J269">
        <v>8.0161572367881198E-2</v>
      </c>
      <c r="K269">
        <v>4.5195858791568198E-2</v>
      </c>
      <c r="L269">
        <v>999.02425016007396</v>
      </c>
      <c r="M269">
        <v>20.822485806206299</v>
      </c>
      <c r="N269">
        <v>48.424986100904498</v>
      </c>
      <c r="O269">
        <v>47.542222163731601</v>
      </c>
      <c r="P269">
        <v>-9.9927134600980405E-2</v>
      </c>
      <c r="Q269">
        <v>8.7404923070759602E-2</v>
      </c>
      <c r="R269">
        <v>0.99421571461108504</v>
      </c>
      <c r="S269" t="s">
        <v>6554</v>
      </c>
      <c r="T269" t="s">
        <v>12568</v>
      </c>
      <c r="U269" t="s">
        <v>12568</v>
      </c>
      <c r="V269" t="s">
        <v>12568</v>
      </c>
      <c r="W269" t="s">
        <v>12833</v>
      </c>
      <c r="X269">
        <v>2</v>
      </c>
      <c r="Y269" t="s">
        <v>19063</v>
      </c>
      <c r="Z269" t="s">
        <v>25139</v>
      </c>
      <c r="AA269">
        <v>0.34200854514412221</v>
      </c>
      <c r="AB269" t="str">
        <f>HYPERLINK("Melting_Curves/meltCurve_D6RDM1_CCDC111.pdf", "Melting_Curves/meltCurve_D6RDM1_CCDC111.pdf")</f>
        <v>Melting_Curves/meltCurve_D6RDM1_CCDC111.pdf</v>
      </c>
    </row>
    <row r="270" spans="1:28" x14ac:dyDescent="0.25">
      <c r="A270" t="s">
        <v>274</v>
      </c>
      <c r="B270">
        <v>0.99352677808782597</v>
      </c>
      <c r="C270">
        <v>1.89244980126405</v>
      </c>
      <c r="D270">
        <v>2.0267353976580398</v>
      </c>
      <c r="E270">
        <v>1.5803043037792801</v>
      </c>
      <c r="F270">
        <v>1.4034835720338501</v>
      </c>
      <c r="G270">
        <v>1.0361515439467399</v>
      </c>
      <c r="H270">
        <v>0.44479792506292598</v>
      </c>
      <c r="I270">
        <v>0.24170710971009601</v>
      </c>
      <c r="J270">
        <v>0.17344867511013201</v>
      </c>
      <c r="K270">
        <v>0.16120225838475499</v>
      </c>
      <c r="L270">
        <v>4964.5645477035096</v>
      </c>
      <c r="M270">
        <v>82.139537627303199</v>
      </c>
      <c r="N270">
        <v>60.790648691627297</v>
      </c>
      <c r="O270">
        <v>60.404823390207</v>
      </c>
      <c r="P270">
        <v>-0.27589994777985499</v>
      </c>
      <c r="Q270">
        <v>0.18842079078825899</v>
      </c>
      <c r="R270">
        <v>0.49040890403856002</v>
      </c>
      <c r="S270" t="s">
        <v>6555</v>
      </c>
      <c r="T270" t="s">
        <v>12568</v>
      </c>
      <c r="U270" t="s">
        <v>12568</v>
      </c>
      <c r="V270" t="s">
        <v>12568</v>
      </c>
      <c r="W270" t="s">
        <v>12834</v>
      </c>
      <c r="X270">
        <v>3</v>
      </c>
      <c r="Y270" t="s">
        <v>19064</v>
      </c>
      <c r="Z270" t="s">
        <v>25140</v>
      </c>
      <c r="AA270">
        <v>0.74219207448166591</v>
      </c>
      <c r="AB270" t="str">
        <f>HYPERLINK("Melting_Curves/meltCurve_D6RDX3_ATG10.pdf", "Melting_Curves/meltCurve_D6RDX3_ATG10.pdf")</f>
        <v>Melting_Curves/meltCurve_D6RDX3_ATG10.pdf</v>
      </c>
    </row>
    <row r="271" spans="1:28" x14ac:dyDescent="0.25">
      <c r="A271" t="s">
        <v>275</v>
      </c>
      <c r="B271">
        <v>0.99352677808782597</v>
      </c>
      <c r="C271">
        <v>0.466370598472924</v>
      </c>
      <c r="D271">
        <v>0.49243194589801897</v>
      </c>
      <c r="E271">
        <v>0.26269489037115101</v>
      </c>
      <c r="F271">
        <v>0.21539175927281301</v>
      </c>
      <c r="G271">
        <v>0.13464714793979299</v>
      </c>
      <c r="H271">
        <v>7.4369059605721294E-2</v>
      </c>
      <c r="I271">
        <v>7.4169324384854102E-2</v>
      </c>
      <c r="J271">
        <v>6.2586961909319894E-2</v>
      </c>
      <c r="K271">
        <v>4.8975950077692697E-2</v>
      </c>
      <c r="L271">
        <v>570.55450615359803</v>
      </c>
      <c r="M271">
        <v>12.776954026955799</v>
      </c>
      <c r="N271">
        <v>45.1157248483782</v>
      </c>
      <c r="O271">
        <v>43.603505370356899</v>
      </c>
      <c r="P271">
        <v>-6.8788647664606906E-2</v>
      </c>
      <c r="Q271">
        <v>6.1166081894053703E-2</v>
      </c>
      <c r="R271">
        <v>0.91589600648249403</v>
      </c>
      <c r="S271" t="s">
        <v>6556</v>
      </c>
      <c r="T271" t="s">
        <v>12568</v>
      </c>
      <c r="U271" t="s">
        <v>12568</v>
      </c>
      <c r="V271" t="s">
        <v>12568</v>
      </c>
      <c r="W271" t="s">
        <v>12835</v>
      </c>
      <c r="X271">
        <v>1</v>
      </c>
      <c r="Y271" t="s">
        <v>19065</v>
      </c>
      <c r="Z271" t="s">
        <v>25141</v>
      </c>
      <c r="AA271">
        <v>0.2500391019494741</v>
      </c>
      <c r="AB271" t="str">
        <f>HYPERLINK("Melting_Curves/meltCurve_D6REA0_PET112.pdf", "Melting_Curves/meltCurve_D6REA0_PET112.pdf")</f>
        <v>Melting_Curves/meltCurve_D6REA0_PET112.pdf</v>
      </c>
    </row>
    <row r="272" spans="1:28" x14ac:dyDescent="0.25">
      <c r="A272" t="s">
        <v>276</v>
      </c>
      <c r="B272">
        <v>0.99352677808782597</v>
      </c>
      <c r="C272">
        <v>0.96277773113697096</v>
      </c>
      <c r="D272">
        <v>0.96481811444537402</v>
      </c>
      <c r="E272">
        <v>0.37986584503412801</v>
      </c>
      <c r="F272">
        <v>0.423192606036706</v>
      </c>
      <c r="G272">
        <v>0.30333028750591601</v>
      </c>
      <c r="H272">
        <v>0.17913252210251801</v>
      </c>
      <c r="I272">
        <v>0.130858532344338</v>
      </c>
      <c r="J272">
        <v>0.116413931604702</v>
      </c>
      <c r="K272">
        <v>7.4673998969647007E-2</v>
      </c>
      <c r="L272">
        <v>919.88470541300501</v>
      </c>
      <c r="M272">
        <v>18.502939717230301</v>
      </c>
      <c r="N272">
        <v>50.564406747613198</v>
      </c>
      <c r="O272">
        <v>49.145800615412099</v>
      </c>
      <c r="P272">
        <v>-8.1561217105837497E-2</v>
      </c>
      <c r="Q272">
        <v>0.13349683575651899</v>
      </c>
      <c r="R272">
        <v>0.95067736932442604</v>
      </c>
      <c r="S272" t="s">
        <v>6557</v>
      </c>
      <c r="T272" t="s">
        <v>12568</v>
      </c>
      <c r="U272" t="s">
        <v>12568</v>
      </c>
      <c r="V272" t="s">
        <v>12568</v>
      </c>
      <c r="W272" t="s">
        <v>12836</v>
      </c>
      <c r="X272">
        <v>1</v>
      </c>
      <c r="Y272" t="s">
        <v>19066</v>
      </c>
      <c r="Z272" t="s">
        <v>25142</v>
      </c>
      <c r="AA272">
        <v>0.42818145759051968</v>
      </c>
      <c r="AB272" t="str">
        <f>HYPERLINK("Melting_Curves/meltCurve_D6REW1_PRELID1.pdf", "Melting_Curves/meltCurve_D6REW1_PRELID1.pdf")</f>
        <v>Melting_Curves/meltCurve_D6REW1_PRELID1.pdf</v>
      </c>
    </row>
    <row r="273" spans="1:28" x14ac:dyDescent="0.25">
      <c r="A273" t="s">
        <v>277</v>
      </c>
      <c r="B273">
        <v>0.99352677808782597</v>
      </c>
      <c r="C273">
        <v>0.98775336122122903</v>
      </c>
      <c r="D273">
        <v>0.90069200844060304</v>
      </c>
      <c r="E273">
        <v>0.84363809600250494</v>
      </c>
      <c r="F273">
        <v>0.69333232466010197</v>
      </c>
      <c r="G273">
        <v>0.28215954563759799</v>
      </c>
      <c r="H273">
        <v>0.14515429209491801</v>
      </c>
      <c r="I273">
        <v>0.122521361874337</v>
      </c>
      <c r="J273">
        <v>9.3515789474777303E-2</v>
      </c>
      <c r="K273">
        <v>7.7073398076660596E-2</v>
      </c>
      <c r="L273">
        <v>1138.0998011962099</v>
      </c>
      <c r="M273">
        <v>20.987550975899101</v>
      </c>
      <c r="N273">
        <v>54.623550703152802</v>
      </c>
      <c r="O273">
        <v>53.742261956665203</v>
      </c>
      <c r="P273">
        <v>-9.0740411383701494E-2</v>
      </c>
      <c r="Q273">
        <v>7.0598852495418696E-2</v>
      </c>
      <c r="R273">
        <v>0.99282307468657205</v>
      </c>
      <c r="S273" t="s">
        <v>6558</v>
      </c>
      <c r="T273" t="s">
        <v>12568</v>
      </c>
      <c r="U273" t="s">
        <v>12568</v>
      </c>
      <c r="V273" t="s">
        <v>12568</v>
      </c>
      <c r="W273" t="s">
        <v>12837</v>
      </c>
      <c r="X273">
        <v>24</v>
      </c>
      <c r="Y273" t="s">
        <v>19067</v>
      </c>
      <c r="Z273" t="s">
        <v>25143</v>
      </c>
      <c r="AA273">
        <v>0.52300574182018655</v>
      </c>
      <c r="AB273" t="str">
        <f>HYPERLINK("Melting_Curves/meltCurve_D6REX3_SEC31A.pdf", "Melting_Curves/meltCurve_D6REX3_SEC31A.pdf")</f>
        <v>Melting_Curves/meltCurve_D6REX3_SEC31A.pdf</v>
      </c>
    </row>
    <row r="274" spans="1:28" x14ac:dyDescent="0.25">
      <c r="A274" t="s">
        <v>278</v>
      </c>
      <c r="B274">
        <v>0.99352677808782597</v>
      </c>
      <c r="C274">
        <v>0.99737717970746997</v>
      </c>
      <c r="D274">
        <v>0.88132406254547302</v>
      </c>
      <c r="E274">
        <v>1.3234942935568399</v>
      </c>
      <c r="F274">
        <v>1.15201081259216</v>
      </c>
      <c r="G274">
        <v>0.91519546644796601</v>
      </c>
      <c r="H274">
        <v>0.65285408798459199</v>
      </c>
      <c r="I274">
        <v>0.464659128196243</v>
      </c>
      <c r="J274">
        <v>0.20421128149403101</v>
      </c>
      <c r="K274">
        <v>0.11870935053857</v>
      </c>
      <c r="L274">
        <v>1560.89437740259</v>
      </c>
      <c r="M274">
        <v>24.8415254617694</v>
      </c>
      <c r="N274">
        <v>63.113509179879202</v>
      </c>
      <c r="O274">
        <v>62.431139278449997</v>
      </c>
      <c r="P274">
        <v>-9.4296733354936102E-2</v>
      </c>
      <c r="Q274">
        <v>5.2075707678135803E-2</v>
      </c>
      <c r="R274">
        <v>0.89570966794484697</v>
      </c>
      <c r="S274" t="s">
        <v>6559</v>
      </c>
      <c r="T274" t="s">
        <v>12568</v>
      </c>
      <c r="U274" t="s">
        <v>12568</v>
      </c>
      <c r="V274" t="s">
        <v>12568</v>
      </c>
      <c r="W274" t="s">
        <v>12838</v>
      </c>
      <c r="X274">
        <v>15</v>
      </c>
      <c r="Y274" t="s">
        <v>19068</v>
      </c>
      <c r="Z274" t="s">
        <v>25144</v>
      </c>
      <c r="AA274">
        <v>0.77610047311042385</v>
      </c>
      <c r="AB274" t="str">
        <f>HYPERLINK("Melting_Curves/meltCurve_D6RGI3_SEPT11.pdf", "Melting_Curves/meltCurve_D6RGI3_SEPT11.pdf")</f>
        <v>Melting_Curves/meltCurve_D6RGI3_SEPT11.pdf</v>
      </c>
    </row>
    <row r="275" spans="1:28" x14ac:dyDescent="0.25">
      <c r="A275" t="s">
        <v>279</v>
      </c>
      <c r="B275">
        <v>0.99352677808782597</v>
      </c>
      <c r="C275">
        <v>1.0553832019167799</v>
      </c>
      <c r="D275">
        <v>1.0213669421973199</v>
      </c>
      <c r="E275">
        <v>0.72961693889758905</v>
      </c>
      <c r="F275">
        <v>0.78845217087370301</v>
      </c>
      <c r="G275">
        <v>0.57412695348480103</v>
      </c>
      <c r="H275">
        <v>0.50206148296654796</v>
      </c>
      <c r="I275">
        <v>0.62248822202030396</v>
      </c>
      <c r="J275">
        <v>0.57731561966753397</v>
      </c>
      <c r="K275">
        <v>0.50126693053301397</v>
      </c>
      <c r="L275">
        <v>1020.9934597469399</v>
      </c>
      <c r="M275">
        <v>19.923721893713999</v>
      </c>
      <c r="O275">
        <v>50.737240613825001</v>
      </c>
      <c r="P275">
        <v>-4.4704547606344597E-2</v>
      </c>
      <c r="Q275">
        <v>0.54464120073876199</v>
      </c>
      <c r="R275">
        <v>0.91156524398256</v>
      </c>
      <c r="S275" t="s">
        <v>6560</v>
      </c>
      <c r="T275" t="s">
        <v>12568</v>
      </c>
      <c r="U275" t="s">
        <v>12568</v>
      </c>
      <c r="V275" t="s">
        <v>12568</v>
      </c>
      <c r="W275" t="s">
        <v>12839</v>
      </c>
      <c r="X275">
        <v>13</v>
      </c>
      <c r="Y275" t="s">
        <v>19069</v>
      </c>
      <c r="Z275" t="s">
        <v>25145</v>
      </c>
      <c r="AA275">
        <v>0.72168865623664735</v>
      </c>
      <c r="AB275" t="str">
        <f>HYPERLINK("Melting_Curves/meltCurve_D6RGY3_CPLX2.pdf", "Melting_Curves/meltCurve_D6RGY3_CPLX2.pdf")</f>
        <v>Melting_Curves/meltCurve_D6RGY3_CPLX2.pdf</v>
      </c>
    </row>
    <row r="276" spans="1:28" x14ac:dyDescent="0.25">
      <c r="A276" t="s">
        <v>280</v>
      </c>
      <c r="B276">
        <v>0.99352677808782597</v>
      </c>
      <c r="C276">
        <v>1.0715766822683299</v>
      </c>
      <c r="D276">
        <v>0.83934487232278199</v>
      </c>
      <c r="E276">
        <v>0.634425841009017</v>
      </c>
      <c r="F276">
        <v>0.66605291014319201</v>
      </c>
      <c r="G276">
        <v>0.54801884454646599</v>
      </c>
      <c r="H276">
        <v>0.48307789209956897</v>
      </c>
      <c r="I276">
        <v>0.46645241684048999</v>
      </c>
      <c r="J276">
        <v>0.32638276740300698</v>
      </c>
      <c r="K276">
        <v>0.27868443912667301</v>
      </c>
      <c r="L276">
        <v>474.21902857096501</v>
      </c>
      <c r="M276">
        <v>8.7714274871191495</v>
      </c>
      <c r="N276">
        <v>58.396608044431801</v>
      </c>
      <c r="O276">
        <v>51.4748556132906</v>
      </c>
      <c r="P276">
        <v>-3.2437412665350301E-2</v>
      </c>
      <c r="Q276">
        <v>0.239177075650326</v>
      </c>
      <c r="R276">
        <v>0.92920985727125005</v>
      </c>
      <c r="S276" t="s">
        <v>6561</v>
      </c>
      <c r="T276" t="s">
        <v>12568</v>
      </c>
      <c r="U276" t="s">
        <v>12568</v>
      </c>
      <c r="V276" t="s">
        <v>12568</v>
      </c>
      <c r="W276" t="s">
        <v>12840</v>
      </c>
      <c r="X276">
        <v>11</v>
      </c>
      <c r="Y276" t="s">
        <v>19070</v>
      </c>
      <c r="Z276" t="s">
        <v>25146</v>
      </c>
      <c r="AA276">
        <v>0.62043203512853717</v>
      </c>
      <c r="AB276" t="str">
        <f>HYPERLINK("Melting_Curves/meltCurve_D6RHC4_ANKHD1.pdf", "Melting_Curves/meltCurve_D6RHC4_ANKHD1.pdf")</f>
        <v>Melting_Curves/meltCurve_D6RHC4_ANKHD1.pdf</v>
      </c>
    </row>
    <row r="277" spans="1:28" x14ac:dyDescent="0.25">
      <c r="A277" t="s">
        <v>281</v>
      </c>
      <c r="B277">
        <v>0.99352677808782597</v>
      </c>
      <c r="C277">
        <v>0.93289516461489197</v>
      </c>
      <c r="D277">
        <v>0.93003388243910601</v>
      </c>
      <c r="E277">
        <v>0.72095852944933103</v>
      </c>
      <c r="F277">
        <v>0.65324829128602202</v>
      </c>
      <c r="G277">
        <v>0.50379674847887301</v>
      </c>
      <c r="H277">
        <v>0.33653488185622399</v>
      </c>
      <c r="I277">
        <v>0.28474960128573601</v>
      </c>
      <c r="J277">
        <v>0.20451194364799999</v>
      </c>
      <c r="K277">
        <v>0.146318353958168</v>
      </c>
      <c r="L277">
        <v>501.71946543463702</v>
      </c>
      <c r="M277">
        <v>8.8486380507263007</v>
      </c>
      <c r="N277">
        <v>56.700215426509899</v>
      </c>
      <c r="O277">
        <v>54.028298530543097</v>
      </c>
      <c r="P277">
        <v>-4.0976165511210798E-2</v>
      </c>
      <c r="Q277">
        <v>0</v>
      </c>
      <c r="R277">
        <v>0.99437992555064103</v>
      </c>
      <c r="S277" t="s">
        <v>6562</v>
      </c>
      <c r="T277" t="s">
        <v>12568</v>
      </c>
      <c r="U277" t="s">
        <v>12568</v>
      </c>
      <c r="V277" t="s">
        <v>12568</v>
      </c>
      <c r="W277" t="s">
        <v>12841</v>
      </c>
      <c r="X277">
        <v>4</v>
      </c>
      <c r="Y277" t="s">
        <v>19071</v>
      </c>
      <c r="Z277" t="s">
        <v>25147</v>
      </c>
      <c r="AA277">
        <v>0.57277757527788009</v>
      </c>
      <c r="AB277" t="str">
        <f>HYPERLINK("Melting_Curves/meltCurve_D6RHD3_CENPK.pdf", "Melting_Curves/meltCurve_D6RHD3_CENPK.pdf")</f>
        <v>Melting_Curves/meltCurve_D6RHD3_CENPK.pdf</v>
      </c>
    </row>
    <row r="278" spans="1:28" x14ac:dyDescent="0.25">
      <c r="A278" t="s">
        <v>282</v>
      </c>
      <c r="B278">
        <v>0.99352677808782597</v>
      </c>
      <c r="C278">
        <v>0.97738864502028799</v>
      </c>
      <c r="D278">
        <v>0.95872386467630999</v>
      </c>
      <c r="E278">
        <v>0.83959092198345997</v>
      </c>
      <c r="F278">
        <v>0.717250695176054</v>
      </c>
      <c r="G278">
        <v>0.41028822083039401</v>
      </c>
      <c r="H278">
        <v>0.13308629652607201</v>
      </c>
      <c r="I278">
        <v>0.111008251236413</v>
      </c>
      <c r="J278">
        <v>8.8280073994542005E-2</v>
      </c>
      <c r="K278">
        <v>6.51551758988545E-2</v>
      </c>
      <c r="L278">
        <v>992.62757114589897</v>
      </c>
      <c r="M278">
        <v>17.957667600450801</v>
      </c>
      <c r="N278">
        <v>55.485092944774401</v>
      </c>
      <c r="O278">
        <v>54.604178924771297</v>
      </c>
      <c r="P278">
        <v>-7.9531114104032102E-2</v>
      </c>
      <c r="Q278">
        <v>3.2721840929781698E-2</v>
      </c>
      <c r="R278">
        <v>0.99615761630516098</v>
      </c>
      <c r="S278" t="s">
        <v>6563</v>
      </c>
      <c r="T278" t="s">
        <v>12568</v>
      </c>
      <c r="U278" t="s">
        <v>12568</v>
      </c>
      <c r="V278" t="s">
        <v>12568</v>
      </c>
      <c r="W278" t="s">
        <v>12842</v>
      </c>
      <c r="X278">
        <v>7</v>
      </c>
      <c r="Y278" t="s">
        <v>19072</v>
      </c>
      <c r="Z278" t="s">
        <v>25148</v>
      </c>
      <c r="AA278">
        <v>0.5400937579220314</v>
      </c>
      <c r="AB278" t="str">
        <f>HYPERLINK("Melting_Curves/meltCurve_D6RHI7_CCNH.pdf", "Melting_Curves/meltCurve_D6RHI7_CCNH.pdf")</f>
        <v>Melting_Curves/meltCurve_D6RHI7_CCNH.pdf</v>
      </c>
    </row>
    <row r="279" spans="1:28" x14ac:dyDescent="0.25">
      <c r="A279" t="s">
        <v>283</v>
      </c>
      <c r="B279">
        <v>0.99352677808782597</v>
      </c>
      <c r="C279">
        <v>0.99128362376021495</v>
      </c>
      <c r="D279">
        <v>0.94846583976465004</v>
      </c>
      <c r="E279">
        <v>0.88064431826311296</v>
      </c>
      <c r="F279">
        <v>0.81480037911661995</v>
      </c>
      <c r="G279">
        <v>0.63090599278651704</v>
      </c>
      <c r="H279">
        <v>0.46800732744581902</v>
      </c>
      <c r="I279">
        <v>0.40935919812034999</v>
      </c>
      <c r="J279">
        <v>0.44630607147560802</v>
      </c>
      <c r="K279">
        <v>0.41187508575479598</v>
      </c>
      <c r="L279">
        <v>885.60889266411903</v>
      </c>
      <c r="M279">
        <v>16.032598154411101</v>
      </c>
      <c r="N279">
        <v>60.681859029031301</v>
      </c>
      <c r="O279">
        <v>54.400075559099498</v>
      </c>
      <c r="P279">
        <v>-4.5586250918640901E-2</v>
      </c>
      <c r="Q279">
        <v>0.38133482052228501</v>
      </c>
      <c r="R279">
        <v>0.99148496239120898</v>
      </c>
      <c r="S279" t="s">
        <v>6564</v>
      </c>
      <c r="T279" t="s">
        <v>12568</v>
      </c>
      <c r="U279" t="s">
        <v>12568</v>
      </c>
      <c r="V279" t="s">
        <v>12568</v>
      </c>
      <c r="W279" t="s">
        <v>12843</v>
      </c>
      <c r="X279">
        <v>2</v>
      </c>
      <c r="Y279" t="s">
        <v>19073</v>
      </c>
      <c r="Z279" t="s">
        <v>25149</v>
      </c>
      <c r="AA279">
        <v>0.70648978121943495</v>
      </c>
      <c r="AB279" t="str">
        <f>HYPERLINK("Melting_Curves/meltCurve_D6RHI9_RNASET2.pdf", "Melting_Curves/meltCurve_D6RHI9_RNASET2.pdf")</f>
        <v>Melting_Curves/meltCurve_D6RHI9_RNASET2.pdf</v>
      </c>
    </row>
    <row r="280" spans="1:28" x14ac:dyDescent="0.25">
      <c r="A280" t="s">
        <v>284</v>
      </c>
      <c r="B280">
        <v>0.99352677808782597</v>
      </c>
      <c r="C280">
        <v>0.93040474238646897</v>
      </c>
      <c r="D280">
        <v>0.92391797544258703</v>
      </c>
      <c r="E280">
        <v>0.691438394986852</v>
      </c>
      <c r="F280">
        <v>0.63516874767709097</v>
      </c>
      <c r="G280">
        <v>0.57958130398059404</v>
      </c>
      <c r="H280">
        <v>0.47545829138401702</v>
      </c>
      <c r="I280">
        <v>0.45124778020516998</v>
      </c>
      <c r="J280">
        <v>0.48097643955885</v>
      </c>
      <c r="K280">
        <v>0.42344434694537603</v>
      </c>
      <c r="L280">
        <v>657.11644183549299</v>
      </c>
      <c r="M280">
        <v>12.9859557388033</v>
      </c>
      <c r="N280">
        <v>59.718284689633002</v>
      </c>
      <c r="O280">
        <v>49.4471865260697</v>
      </c>
      <c r="P280">
        <v>-3.7356334318556297E-2</v>
      </c>
      <c r="Q280">
        <v>0.43112742798375803</v>
      </c>
      <c r="R280">
        <v>0.98119035145448397</v>
      </c>
      <c r="S280" t="s">
        <v>6565</v>
      </c>
      <c r="T280" t="s">
        <v>12568</v>
      </c>
      <c r="U280" t="s">
        <v>12568</v>
      </c>
      <c r="V280" t="s">
        <v>12568</v>
      </c>
      <c r="W280" t="s">
        <v>12844</v>
      </c>
      <c r="X280">
        <v>1</v>
      </c>
      <c r="Y280" t="s">
        <v>19074</v>
      </c>
      <c r="Z280" t="s">
        <v>25150</v>
      </c>
      <c r="AA280">
        <v>0.64901559585019819</v>
      </c>
      <c r="AB280" t="str">
        <f>HYPERLINK("Melting_Curves/meltCurve_D6RHJ6_IGJ.pdf", "Melting_Curves/meltCurve_D6RHJ6_IGJ.pdf")</f>
        <v>Melting_Curves/meltCurve_D6RHJ6_IGJ.pdf</v>
      </c>
    </row>
    <row r="281" spans="1:28" x14ac:dyDescent="0.25">
      <c r="A281" t="s">
        <v>285</v>
      </c>
      <c r="B281">
        <v>0.99352677808782597</v>
      </c>
      <c r="C281">
        <v>0.99553540058898504</v>
      </c>
      <c r="D281">
        <v>0.927716235172239</v>
      </c>
      <c r="E281">
        <v>1.16998779832024</v>
      </c>
      <c r="F281">
        <v>0.96922168568463696</v>
      </c>
      <c r="G281">
        <v>0.65445830582141595</v>
      </c>
      <c r="H281">
        <v>0.30408141728910498</v>
      </c>
      <c r="I281">
        <v>0.24259730247901401</v>
      </c>
      <c r="J281">
        <v>0.188473631467137</v>
      </c>
      <c r="K281">
        <v>0.14136738442830701</v>
      </c>
      <c r="L281">
        <v>1903.9714275264901</v>
      </c>
      <c r="M281">
        <v>33.000804664228802</v>
      </c>
      <c r="N281">
        <v>58.4716715123906</v>
      </c>
      <c r="O281">
        <v>57.484081390468397</v>
      </c>
      <c r="P281">
        <v>-0.11804643605618299</v>
      </c>
      <c r="Q281">
        <v>0.17750366491731101</v>
      </c>
      <c r="R281">
        <v>0.97294663267334103</v>
      </c>
      <c r="S281" t="s">
        <v>6566</v>
      </c>
      <c r="T281" t="s">
        <v>12568</v>
      </c>
      <c r="U281" t="s">
        <v>12568</v>
      </c>
      <c r="V281" t="s">
        <v>12568</v>
      </c>
      <c r="W281" t="s">
        <v>12845</v>
      </c>
      <c r="X281">
        <v>4</v>
      </c>
      <c r="Y281" t="s">
        <v>19075</v>
      </c>
      <c r="Z281" t="s">
        <v>25151</v>
      </c>
      <c r="AA281">
        <v>0.66724117763140778</v>
      </c>
      <c r="AB281" t="str">
        <f>HYPERLINK("Melting_Curves/meltCurve_D6RJ90_COMMD10.pdf", "Melting_Curves/meltCurve_D6RJ90_COMMD10.pdf")</f>
        <v>Melting_Curves/meltCurve_D6RJ90_COMMD10.pdf</v>
      </c>
    </row>
    <row r="282" spans="1:28" x14ac:dyDescent="0.25">
      <c r="A282" t="s">
        <v>286</v>
      </c>
      <c r="B282">
        <v>0.99352677808782597</v>
      </c>
      <c r="C282">
        <v>0.88529580848161105</v>
      </c>
      <c r="D282">
        <v>0.87889866650020199</v>
      </c>
      <c r="E282">
        <v>0.47643312402559101</v>
      </c>
      <c r="F282">
        <v>0.35875723157082101</v>
      </c>
      <c r="G282">
        <v>0.16356040210676301</v>
      </c>
      <c r="H282">
        <v>8.4418274373216098E-2</v>
      </c>
      <c r="I282">
        <v>8.9552590603182797E-2</v>
      </c>
      <c r="J282">
        <v>6.2915612538408702E-2</v>
      </c>
      <c r="K282">
        <v>4.9067256362563802E-2</v>
      </c>
      <c r="L282">
        <v>810.838969512728</v>
      </c>
      <c r="M282">
        <v>16.1923461553252</v>
      </c>
      <c r="N282">
        <v>50.386740436519403</v>
      </c>
      <c r="O282">
        <v>49.330369292099697</v>
      </c>
      <c r="P282">
        <v>-7.8160633102197702E-2</v>
      </c>
      <c r="Q282">
        <v>4.7598332373997597E-2</v>
      </c>
      <c r="R282">
        <v>0.99127057147758602</v>
      </c>
      <c r="S282" t="s">
        <v>6567</v>
      </c>
      <c r="T282" t="s">
        <v>12568</v>
      </c>
      <c r="U282" t="s">
        <v>12568</v>
      </c>
      <c r="V282" t="s">
        <v>12568</v>
      </c>
      <c r="W282" t="s">
        <v>12846</v>
      </c>
      <c r="X282">
        <v>4</v>
      </c>
      <c r="Y282" t="s">
        <v>19076</v>
      </c>
      <c r="Z282" t="s">
        <v>25152</v>
      </c>
      <c r="AA282">
        <v>0.387213303138364</v>
      </c>
      <c r="AB282" t="str">
        <f>HYPERLINK("Melting_Curves/meltCurve_E2QRD4_MMS22L.pdf", "Melting_Curves/meltCurve_E2QRD4_MMS22L.pdf")</f>
        <v>Melting_Curves/meltCurve_E2QRD4_MMS22L.pdf</v>
      </c>
    </row>
    <row r="283" spans="1:28" x14ac:dyDescent="0.25">
      <c r="A283" t="s">
        <v>287</v>
      </c>
      <c r="B283">
        <v>0.99352677808782597</v>
      </c>
      <c r="C283">
        <v>0.97960333923296905</v>
      </c>
      <c r="D283">
        <v>1.00161074102019</v>
      </c>
      <c r="E283">
        <v>0.91534436007730702</v>
      </c>
      <c r="F283">
        <v>0.81657398985288498</v>
      </c>
      <c r="G283">
        <v>0.71843948343060604</v>
      </c>
      <c r="H283">
        <v>0.47221587517549002</v>
      </c>
      <c r="I283">
        <v>0.425361569965922</v>
      </c>
      <c r="J283">
        <v>0.37059966404016897</v>
      </c>
      <c r="K283">
        <v>0.30316160518165503</v>
      </c>
      <c r="L283">
        <v>761.51635057179305</v>
      </c>
      <c r="M283">
        <v>13.041661309475</v>
      </c>
      <c r="N283">
        <v>61.330645217563003</v>
      </c>
      <c r="O283">
        <v>57.0693391811851</v>
      </c>
      <c r="P283">
        <v>-4.3861615055722003E-2</v>
      </c>
      <c r="Q283">
        <v>0.23239328081265201</v>
      </c>
      <c r="R283">
        <v>0.99286682847420704</v>
      </c>
      <c r="S283" t="s">
        <v>6568</v>
      </c>
      <c r="T283" t="s">
        <v>12568</v>
      </c>
      <c r="U283" t="s">
        <v>12568</v>
      </c>
      <c r="V283" t="s">
        <v>12568</v>
      </c>
      <c r="W283" t="s">
        <v>12847</v>
      </c>
      <c r="X283">
        <v>12</v>
      </c>
      <c r="Y283" t="s">
        <v>19077</v>
      </c>
      <c r="Z283" t="s">
        <v>25153</v>
      </c>
      <c r="AA283">
        <v>0.71201035494501175</v>
      </c>
      <c r="AB283" t="str">
        <f>HYPERLINK("Melting_Curves/meltCurve_E2QRD5_C15orf38_AP3S2.pdf", "Melting_Curves/meltCurve_E2QRD5_C15orf38_AP3S2.pdf")</f>
        <v>Melting_Curves/meltCurve_E2QRD5_C15orf38_AP3S2.pdf</v>
      </c>
    </row>
    <row r="284" spans="1:28" x14ac:dyDescent="0.25">
      <c r="A284" t="s">
        <v>288</v>
      </c>
      <c r="B284">
        <v>0.99352677808782597</v>
      </c>
      <c r="C284">
        <v>0.94536265060916502</v>
      </c>
      <c r="D284">
        <v>0.98345270163412402</v>
      </c>
      <c r="E284">
        <v>1.0828689900667501</v>
      </c>
      <c r="F284">
        <v>0.97053766632699301</v>
      </c>
      <c r="G284">
        <v>0.96386269407214797</v>
      </c>
      <c r="H284">
        <v>0.93389548618956297</v>
      </c>
      <c r="I284">
        <v>1.0749912008146401</v>
      </c>
      <c r="J284">
        <v>1.08951414630826</v>
      </c>
      <c r="K284">
        <v>0.96672251666572595</v>
      </c>
      <c r="L284">
        <v>2313.5463716131599</v>
      </c>
      <c r="M284">
        <v>36.803301616184598</v>
      </c>
      <c r="O284">
        <v>62.6777422178438</v>
      </c>
      <c r="P284">
        <v>5.2534007287935404E-3</v>
      </c>
      <c r="Q284">
        <v>1.03578703954518</v>
      </c>
      <c r="R284">
        <v>9.1661666433820496E-2</v>
      </c>
      <c r="S284" t="s">
        <v>6569</v>
      </c>
      <c r="T284" t="s">
        <v>12568</v>
      </c>
      <c r="U284" t="s">
        <v>12568</v>
      </c>
      <c r="V284" t="s">
        <v>12568</v>
      </c>
      <c r="W284" t="s">
        <v>12848</v>
      </c>
      <c r="X284">
        <v>7</v>
      </c>
      <c r="Y284" t="s">
        <v>19078</v>
      </c>
      <c r="Z284" t="s">
        <v>25154</v>
      </c>
      <c r="AA284">
        <v>1.008392843957076</v>
      </c>
      <c r="AB284" t="str">
        <f>HYPERLINK("Melting_Curves/meltCurve_E2QRF9_GMNN.pdf", "Melting_Curves/meltCurve_E2QRF9_GMNN.pdf")</f>
        <v>Melting_Curves/meltCurve_E2QRF9_GMNN.pdf</v>
      </c>
    </row>
    <row r="285" spans="1:28" x14ac:dyDescent="0.25">
      <c r="A285" t="s">
        <v>289</v>
      </c>
      <c r="B285">
        <v>0.99352677808782597</v>
      </c>
      <c r="C285">
        <v>0.88981334552050995</v>
      </c>
      <c r="D285">
        <v>0.74115570207164305</v>
      </c>
      <c r="E285">
        <v>0.41877474073923199</v>
      </c>
      <c r="F285">
        <v>0.40205241983143603</v>
      </c>
      <c r="G285">
        <v>0.27180194689298198</v>
      </c>
      <c r="H285">
        <v>0.27006098558195402</v>
      </c>
      <c r="I285">
        <v>0.32908746159644803</v>
      </c>
      <c r="J285">
        <v>0.20045658688849799</v>
      </c>
      <c r="K285">
        <v>0.22463611601880301</v>
      </c>
      <c r="L285">
        <v>840.32669462942397</v>
      </c>
      <c r="M285">
        <v>17.723948295702101</v>
      </c>
      <c r="N285">
        <v>49.341170244009298</v>
      </c>
      <c r="O285">
        <v>46.820719286695102</v>
      </c>
      <c r="P285">
        <v>-7.0985060244739107E-2</v>
      </c>
      <c r="Q285">
        <v>0.249964324579796</v>
      </c>
      <c r="R285">
        <v>0.98092170294550096</v>
      </c>
      <c r="S285" t="s">
        <v>6570</v>
      </c>
      <c r="T285" t="s">
        <v>12568</v>
      </c>
      <c r="U285" t="s">
        <v>12568</v>
      </c>
      <c r="V285" t="s">
        <v>12568</v>
      </c>
      <c r="W285" t="s">
        <v>12849</v>
      </c>
      <c r="X285">
        <v>1</v>
      </c>
      <c r="Y285" t="s">
        <v>19079</v>
      </c>
      <c r="Z285" t="s">
        <v>25155</v>
      </c>
      <c r="AA285">
        <v>0.44931349311793789</v>
      </c>
      <c r="AB285" t="str">
        <f>HYPERLINK("Melting_Curves/meltCurve_E5RFH7_FAM92A1.pdf", "Melting_Curves/meltCurve_E5RFH7_FAM92A1.pdf")</f>
        <v>Melting_Curves/meltCurve_E5RFH7_FAM92A1.pdf</v>
      </c>
    </row>
    <row r="286" spans="1:28" x14ac:dyDescent="0.25">
      <c r="A286" t="s">
        <v>290</v>
      </c>
      <c r="B286">
        <v>0.99352677808782597</v>
      </c>
      <c r="C286">
        <v>0.95346583326569501</v>
      </c>
      <c r="D286">
        <v>0.91550107235173805</v>
      </c>
      <c r="E286">
        <v>0.73626668048086896</v>
      </c>
      <c r="F286">
        <v>0.57694886998274697</v>
      </c>
      <c r="G286">
        <v>0.46987320343073202</v>
      </c>
      <c r="H286">
        <v>0.43285946557767202</v>
      </c>
      <c r="I286">
        <v>0.36203581995821998</v>
      </c>
      <c r="J286">
        <v>0.41465101639534602</v>
      </c>
      <c r="K286">
        <v>0.32737054265897497</v>
      </c>
      <c r="L286">
        <v>780.86192521383202</v>
      </c>
      <c r="M286">
        <v>15.271212175697899</v>
      </c>
      <c r="N286">
        <v>55.673442579659302</v>
      </c>
      <c r="O286">
        <v>50.280181841637102</v>
      </c>
      <c r="P286">
        <v>-4.8896606026073E-2</v>
      </c>
      <c r="Q286">
        <v>0.356095980510377</v>
      </c>
      <c r="R286">
        <v>0.99142961680497299</v>
      </c>
      <c r="S286" t="s">
        <v>6571</v>
      </c>
      <c r="T286" t="s">
        <v>12568</v>
      </c>
      <c r="U286" t="s">
        <v>12568</v>
      </c>
      <c r="V286" t="s">
        <v>12568</v>
      </c>
      <c r="W286" t="s">
        <v>12850</v>
      </c>
      <c r="X286">
        <v>8</v>
      </c>
      <c r="Y286" t="s">
        <v>19080</v>
      </c>
      <c r="Z286" t="s">
        <v>25156</v>
      </c>
      <c r="AA286">
        <v>0.60943162276866591</v>
      </c>
      <c r="AB286" t="str">
        <f>HYPERLINK("Melting_Curves/meltCurve_E5RFJ1_NSMCE2.pdf", "Melting_Curves/meltCurve_E5RFJ1_NSMCE2.pdf")</f>
        <v>Melting_Curves/meltCurve_E5RFJ1_NSMCE2.pdf</v>
      </c>
    </row>
    <row r="287" spans="1:28" x14ac:dyDescent="0.25">
      <c r="A287" t="s">
        <v>291</v>
      </c>
      <c r="B287">
        <v>0.99352677808782597</v>
      </c>
      <c r="C287">
        <v>0.87061867020550998</v>
      </c>
      <c r="D287">
        <v>0.90568170630033096</v>
      </c>
      <c r="E287">
        <v>0.83024622499261003</v>
      </c>
      <c r="F287">
        <v>0.635560751246668</v>
      </c>
      <c r="G287">
        <v>0.55585760072185497</v>
      </c>
      <c r="H287">
        <v>0.47562857603158498</v>
      </c>
      <c r="I287">
        <v>0.36160567330125698</v>
      </c>
      <c r="J287">
        <v>0.283377129915165</v>
      </c>
      <c r="K287">
        <v>0.14382863739790899</v>
      </c>
      <c r="L287">
        <v>454.215607288846</v>
      </c>
      <c r="M287">
        <v>7.7580285599880501</v>
      </c>
      <c r="N287">
        <v>58.547814002265802</v>
      </c>
      <c r="O287">
        <v>55.039331713118003</v>
      </c>
      <c r="P287">
        <v>-3.5283257206618297E-2</v>
      </c>
      <c r="Q287">
        <v>0</v>
      </c>
      <c r="R287">
        <v>0.97370981005125901</v>
      </c>
      <c r="S287" t="s">
        <v>6572</v>
      </c>
      <c r="T287" t="s">
        <v>12568</v>
      </c>
      <c r="U287" t="s">
        <v>12568</v>
      </c>
      <c r="V287" t="s">
        <v>12568</v>
      </c>
      <c r="W287" t="s">
        <v>12851</v>
      </c>
      <c r="X287">
        <v>10</v>
      </c>
      <c r="Y287" t="s">
        <v>19081</v>
      </c>
      <c r="Z287" t="s">
        <v>25157</v>
      </c>
      <c r="AA287">
        <v>0.61569333235796653</v>
      </c>
      <c r="AB287" t="str">
        <f>HYPERLINK("Melting_Curves/meltCurve_E5RG13_IMPA1.pdf", "Melting_Curves/meltCurve_E5RG13_IMPA1.pdf")</f>
        <v>Melting_Curves/meltCurve_E5RG13_IMPA1.pdf</v>
      </c>
    </row>
    <row r="288" spans="1:28" x14ac:dyDescent="0.25">
      <c r="A288" t="s">
        <v>292</v>
      </c>
      <c r="B288">
        <v>0.99352677808782597</v>
      </c>
      <c r="C288">
        <v>0.97948477454949201</v>
      </c>
      <c r="D288">
        <v>1.1557501840987601</v>
      </c>
      <c r="E288">
        <v>1.0490662846665499</v>
      </c>
      <c r="F288">
        <v>0.80193312533987304</v>
      </c>
      <c r="G288">
        <v>0.61087694738676401</v>
      </c>
      <c r="H288">
        <v>0.559709984097435</v>
      </c>
      <c r="I288">
        <v>0.46124532847912803</v>
      </c>
      <c r="J288">
        <v>0.49729297458121402</v>
      </c>
      <c r="K288">
        <v>0.380696863623251</v>
      </c>
      <c r="L288">
        <v>1419.0313840265201</v>
      </c>
      <c r="M288">
        <v>25.782153911142</v>
      </c>
      <c r="N288">
        <v>60.747063060077799</v>
      </c>
      <c r="O288">
        <v>54.711368488286503</v>
      </c>
      <c r="P288">
        <v>-6.4130622050868599E-2</v>
      </c>
      <c r="Q288">
        <v>0.45564946231257603</v>
      </c>
      <c r="R288">
        <v>0.93322070521436895</v>
      </c>
      <c r="S288" t="s">
        <v>6573</v>
      </c>
      <c r="T288" t="s">
        <v>12568</v>
      </c>
      <c r="U288" t="s">
        <v>12568</v>
      </c>
      <c r="V288" t="s">
        <v>12568</v>
      </c>
      <c r="W288" t="s">
        <v>12852</v>
      </c>
      <c r="X288">
        <v>2</v>
      </c>
      <c r="Y288" t="s">
        <v>19082</v>
      </c>
      <c r="Z288" t="s">
        <v>25158</v>
      </c>
      <c r="AA288">
        <v>0.73330701915882412</v>
      </c>
      <c r="AB288" t="str">
        <f>HYPERLINK("Melting_Curves/meltCurve_E5RGQ3_RWDD1.pdf", "Melting_Curves/meltCurve_E5RGQ3_RWDD1.pdf")</f>
        <v>Melting_Curves/meltCurve_E5RGQ3_RWDD1.pdf</v>
      </c>
    </row>
    <row r="289" spans="1:28" x14ac:dyDescent="0.25">
      <c r="A289" t="s">
        <v>293</v>
      </c>
      <c r="B289">
        <v>0.99352677808782597</v>
      </c>
      <c r="C289">
        <v>0.89444475663113698</v>
      </c>
      <c r="D289">
        <v>1.09579641148726</v>
      </c>
      <c r="E289">
        <v>1.22323756295902</v>
      </c>
      <c r="F289">
        <v>1.15964334922117</v>
      </c>
      <c r="G289">
        <v>1.3066661191150899</v>
      </c>
      <c r="H289">
        <v>1.2389397945346601</v>
      </c>
      <c r="I289">
        <v>1.6231361259088799</v>
      </c>
      <c r="J289">
        <v>1.29633891172243</v>
      </c>
      <c r="K289">
        <v>1.3873723843703301</v>
      </c>
      <c r="L289">
        <v>669.98996961018997</v>
      </c>
      <c r="M289">
        <v>12.725317708553</v>
      </c>
      <c r="O289">
        <v>51.400749461400601</v>
      </c>
      <c r="P289">
        <v>2.6129201484301999E-2</v>
      </c>
      <c r="Q289">
        <v>1.42208852906233</v>
      </c>
      <c r="R289">
        <v>0.70850678208266504</v>
      </c>
      <c r="S289" t="s">
        <v>6574</v>
      </c>
      <c r="T289" t="s">
        <v>12568</v>
      </c>
      <c r="U289" t="s">
        <v>12568</v>
      </c>
      <c r="V289" t="s">
        <v>12568</v>
      </c>
      <c r="W289" t="s">
        <v>12853</v>
      </c>
      <c r="X289">
        <v>5</v>
      </c>
      <c r="Y289" t="s">
        <v>19083</v>
      </c>
      <c r="Z289" t="s">
        <v>25159</v>
      </c>
      <c r="AA289">
        <v>1.2326125866133271</v>
      </c>
      <c r="AB289" t="str">
        <f>HYPERLINK("Melting_Curves/meltCurve_E5RGX5_STMN2.pdf", "Melting_Curves/meltCurve_E5RGX5_STMN2.pdf")</f>
        <v>Melting_Curves/meltCurve_E5RGX5_STMN2.pdf</v>
      </c>
    </row>
    <row r="290" spans="1:28" x14ac:dyDescent="0.25">
      <c r="A290" t="s">
        <v>294</v>
      </c>
      <c r="B290">
        <v>0.99352677808782597</v>
      </c>
      <c r="C290">
        <v>0.54269476513811299</v>
      </c>
      <c r="D290">
        <v>1.31515028149282</v>
      </c>
      <c r="E290">
        <v>0.84339058812341094</v>
      </c>
      <c r="F290">
        <v>0.75279814117996002</v>
      </c>
      <c r="G290">
        <v>0.35872497998249703</v>
      </c>
      <c r="H290">
        <v>0.13736685389157099</v>
      </c>
      <c r="I290">
        <v>0.104364914145874</v>
      </c>
      <c r="J290">
        <v>9.4734200125935003E-2</v>
      </c>
      <c r="K290">
        <v>7.3109949896279003E-2</v>
      </c>
      <c r="L290">
        <v>1317.58189176885</v>
      </c>
      <c r="M290">
        <v>23.9420433030139</v>
      </c>
      <c r="N290">
        <v>55.386451135260302</v>
      </c>
      <c r="O290">
        <v>54.652525718927798</v>
      </c>
      <c r="P290">
        <v>-0.101744784669728</v>
      </c>
      <c r="Q290">
        <v>7.1003118587381606E-2</v>
      </c>
      <c r="R290">
        <v>0.81626592513820895</v>
      </c>
      <c r="S290" t="s">
        <v>6575</v>
      </c>
      <c r="T290" t="s">
        <v>12568</v>
      </c>
      <c r="U290" t="s">
        <v>12568</v>
      </c>
      <c r="V290" t="s">
        <v>12568</v>
      </c>
      <c r="W290" t="s">
        <v>12854</v>
      </c>
      <c r="X290">
        <v>7</v>
      </c>
      <c r="Y290" t="s">
        <v>19084</v>
      </c>
      <c r="Z290" t="s">
        <v>25160</v>
      </c>
      <c r="AA290">
        <v>0.54575722262921011</v>
      </c>
      <c r="AB290" t="str">
        <f>HYPERLINK("Melting_Curves/meltCurve_E5RHG8_TCEB1.pdf", "Melting_Curves/meltCurve_E5RHG8_TCEB1.pdf")</f>
        <v>Melting_Curves/meltCurve_E5RHG8_TCEB1.pdf</v>
      </c>
    </row>
    <row r="291" spans="1:28" x14ac:dyDescent="0.25">
      <c r="A291" t="s">
        <v>295</v>
      </c>
      <c r="B291">
        <v>0.99352677808782597</v>
      </c>
      <c r="C291">
        <v>0.87547490468835598</v>
      </c>
      <c r="D291">
        <v>0.82180450259861104</v>
      </c>
      <c r="E291">
        <v>0.81716945337542402</v>
      </c>
      <c r="F291">
        <v>0.92993789357178802</v>
      </c>
      <c r="G291">
        <v>0.45440726767488299</v>
      </c>
      <c r="H291">
        <v>0.71444473733571101</v>
      </c>
      <c r="I291">
        <v>0.33388987328142999</v>
      </c>
      <c r="J291">
        <v>0.87102610154191396</v>
      </c>
      <c r="K291">
        <v>0.30482437753626201</v>
      </c>
      <c r="L291">
        <v>290.21729070789098</v>
      </c>
      <c r="M291">
        <v>4.52325242627193</v>
      </c>
      <c r="N291">
        <v>67.782340331337707</v>
      </c>
      <c r="O291">
        <v>54.605914767388498</v>
      </c>
      <c r="P291">
        <v>-1.8644837629060801E-2</v>
      </c>
      <c r="Q291">
        <v>0.107333008021586</v>
      </c>
      <c r="R291">
        <v>0.46935765204148699</v>
      </c>
      <c r="S291" t="s">
        <v>6576</v>
      </c>
      <c r="T291" t="s">
        <v>12568</v>
      </c>
      <c r="U291" t="s">
        <v>12568</v>
      </c>
      <c r="V291" t="s">
        <v>12568</v>
      </c>
      <c r="W291" t="s">
        <v>12855</v>
      </c>
      <c r="X291">
        <v>14</v>
      </c>
      <c r="Y291" t="s">
        <v>19085</v>
      </c>
      <c r="Z291" t="s">
        <v>25161</v>
      </c>
      <c r="AA291">
        <v>0.71330946776575732</v>
      </c>
      <c r="AB291" t="str">
        <f>HYPERLINK("Melting_Curves/meltCurve_E5RHK8_DNM3.pdf", "Melting_Curves/meltCurve_E5RHK8_DNM3.pdf")</f>
        <v>Melting_Curves/meltCurve_E5RHK8_DNM3.pdf</v>
      </c>
    </row>
    <row r="292" spans="1:28" x14ac:dyDescent="0.25">
      <c r="A292" t="s">
        <v>296</v>
      </c>
      <c r="B292">
        <v>0.99352677808782597</v>
      </c>
      <c r="C292">
        <v>0.85902768145502395</v>
      </c>
      <c r="D292">
        <v>0.726806075318289</v>
      </c>
      <c r="E292">
        <v>0.44325591539242698</v>
      </c>
      <c r="F292">
        <v>0.39023093853649299</v>
      </c>
      <c r="G292">
        <v>0.241905645634962</v>
      </c>
      <c r="H292">
        <v>0.13930988201246</v>
      </c>
      <c r="I292">
        <v>0.131295740945651</v>
      </c>
      <c r="J292">
        <v>0.10031028425084999</v>
      </c>
      <c r="K292">
        <v>9.3441669014019499E-2</v>
      </c>
      <c r="L292">
        <v>596.054013506248</v>
      </c>
      <c r="M292">
        <v>12.1063370238797</v>
      </c>
      <c r="N292">
        <v>49.882482203139602</v>
      </c>
      <c r="O292">
        <v>47.949251034074102</v>
      </c>
      <c r="P292">
        <v>-5.8543992620399297E-2</v>
      </c>
      <c r="Q292">
        <v>7.2721444811309793E-2</v>
      </c>
      <c r="R292">
        <v>0.99284351877112498</v>
      </c>
      <c r="S292" t="s">
        <v>6577</v>
      </c>
      <c r="T292" t="s">
        <v>12568</v>
      </c>
      <c r="U292" t="s">
        <v>12568</v>
      </c>
      <c r="V292" t="s">
        <v>12568</v>
      </c>
      <c r="W292" t="s">
        <v>12856</v>
      </c>
      <c r="X292">
        <v>5</v>
      </c>
      <c r="Y292" t="s">
        <v>19086</v>
      </c>
      <c r="Z292" t="s">
        <v>25162</v>
      </c>
      <c r="AA292">
        <v>0.3912655424143679</v>
      </c>
      <c r="AB292" t="str">
        <f>HYPERLINK("Melting_Curves/meltCurve_E5RIH5_TTI2.pdf", "Melting_Curves/meltCurve_E5RIH5_TTI2.pdf")</f>
        <v>Melting_Curves/meltCurve_E5RIH5_TTI2.pdf</v>
      </c>
    </row>
    <row r="293" spans="1:28" x14ac:dyDescent="0.25">
      <c r="A293" t="s">
        <v>297</v>
      </c>
      <c r="B293">
        <v>0.99352677808782597</v>
      </c>
      <c r="C293">
        <v>0.96493645290556296</v>
      </c>
      <c r="D293">
        <v>0.93926864279601197</v>
      </c>
      <c r="E293">
        <v>0.85620856924632704</v>
      </c>
      <c r="F293">
        <v>0.69425567362293605</v>
      </c>
      <c r="G293">
        <v>0.63402941205140795</v>
      </c>
      <c r="H293">
        <v>0.57994221637320997</v>
      </c>
      <c r="I293">
        <v>0.52881036600138398</v>
      </c>
      <c r="J293">
        <v>0.50803338706728296</v>
      </c>
      <c r="K293">
        <v>0.291800295584351</v>
      </c>
      <c r="L293">
        <v>376.20331526377902</v>
      </c>
      <c r="M293">
        <v>5.9028705697332304</v>
      </c>
      <c r="N293">
        <v>63.732265652408799</v>
      </c>
      <c r="O293">
        <v>57.565691350859403</v>
      </c>
      <c r="P293">
        <v>-2.57233519335286E-2</v>
      </c>
      <c r="Q293">
        <v>0</v>
      </c>
      <c r="R293">
        <v>0.953242727187123</v>
      </c>
      <c r="S293" t="s">
        <v>6578</v>
      </c>
      <c r="T293" t="s">
        <v>12568</v>
      </c>
      <c r="U293" t="s">
        <v>12568</v>
      </c>
      <c r="V293" t="s">
        <v>12568</v>
      </c>
      <c r="W293" t="s">
        <v>12857</v>
      </c>
      <c r="X293">
        <v>2</v>
      </c>
      <c r="Y293" t="s">
        <v>19087</v>
      </c>
      <c r="Z293" t="s">
        <v>25163</v>
      </c>
      <c r="AA293">
        <v>0.70201847556768682</v>
      </c>
      <c r="AB293" t="str">
        <f>HYPERLINK("Melting_Curves/meltCurve_E5RJ08_CHCHD7.pdf", "Melting_Curves/meltCurve_E5RJ08_CHCHD7.pdf")</f>
        <v>Melting_Curves/meltCurve_E5RJ08_CHCHD7.pdf</v>
      </c>
    </row>
    <row r="294" spans="1:28" x14ac:dyDescent="0.25">
      <c r="A294" t="s">
        <v>298</v>
      </c>
      <c r="B294">
        <v>0.99352677808782597</v>
      </c>
      <c r="C294">
        <v>0.85817316743865002</v>
      </c>
      <c r="D294">
        <v>0.96342440961029097</v>
      </c>
      <c r="E294">
        <v>0.56382295617095901</v>
      </c>
      <c r="F294">
        <v>0.40922319972041399</v>
      </c>
      <c r="G294">
        <v>0.32322070081223597</v>
      </c>
      <c r="H294">
        <v>0.22865673119240301</v>
      </c>
      <c r="I294">
        <v>0.26075677143871101</v>
      </c>
      <c r="J294">
        <v>0.256182224272271</v>
      </c>
      <c r="K294">
        <v>0.19356521326366299</v>
      </c>
      <c r="L294">
        <v>1026.2557894635399</v>
      </c>
      <c r="M294">
        <v>20.605079445574098</v>
      </c>
      <c r="N294">
        <v>51.376280147642703</v>
      </c>
      <c r="O294">
        <v>49.343938689569597</v>
      </c>
      <c r="P294">
        <v>-8.0005574518675598E-2</v>
      </c>
      <c r="Q294">
        <v>0.23364959564128801</v>
      </c>
      <c r="R294">
        <v>0.97200006530612904</v>
      </c>
      <c r="S294" t="s">
        <v>6579</v>
      </c>
      <c r="T294" t="s">
        <v>12568</v>
      </c>
      <c r="U294" t="s">
        <v>12568</v>
      </c>
      <c r="V294" t="s">
        <v>12568</v>
      </c>
      <c r="W294" t="s">
        <v>12858</v>
      </c>
      <c r="X294">
        <v>2</v>
      </c>
      <c r="Y294" t="s">
        <v>19088</v>
      </c>
      <c r="Z294" t="s">
        <v>25164</v>
      </c>
      <c r="AA294">
        <v>0.49421084101307128</v>
      </c>
      <c r="AB294" t="str">
        <f>HYPERLINK("Melting_Curves/meltCurve_E5RJ29_PSD3.pdf", "Melting_Curves/meltCurve_E5RJ29_PSD3.pdf")</f>
        <v>Melting_Curves/meltCurve_E5RJ29_PSD3.pdf</v>
      </c>
    </row>
    <row r="295" spans="1:28" x14ac:dyDescent="0.25">
      <c r="A295" t="s">
        <v>299</v>
      </c>
      <c r="B295">
        <v>0.99352677808782597</v>
      </c>
      <c r="C295">
        <v>1.0369231329758399</v>
      </c>
      <c r="D295">
        <v>0.89688496458746803</v>
      </c>
      <c r="E295">
        <v>0.62532534761652303</v>
      </c>
      <c r="F295">
        <v>0.49560713843043402</v>
      </c>
      <c r="G295">
        <v>0.40999064833566001</v>
      </c>
      <c r="H295">
        <v>0.28578065284353699</v>
      </c>
      <c r="I295">
        <v>0.24260271016990301</v>
      </c>
      <c r="J295">
        <v>0.121017203073132</v>
      </c>
      <c r="K295">
        <v>9.6560686960486697E-2</v>
      </c>
      <c r="L295">
        <v>612.46937467069495</v>
      </c>
      <c r="M295">
        <v>11.574066109415799</v>
      </c>
      <c r="N295">
        <v>53.790422751026099</v>
      </c>
      <c r="O295">
        <v>51.411671230977198</v>
      </c>
      <c r="P295">
        <v>-5.14761858979308E-2</v>
      </c>
      <c r="Q295">
        <v>8.5630518998728006E-2</v>
      </c>
      <c r="R295">
        <v>0.97736733799685604</v>
      </c>
      <c r="S295" t="s">
        <v>6580</v>
      </c>
      <c r="T295" t="s">
        <v>12568</v>
      </c>
      <c r="U295" t="s">
        <v>12568</v>
      </c>
      <c r="V295" t="s">
        <v>12568</v>
      </c>
      <c r="W295" t="s">
        <v>12859</v>
      </c>
      <c r="X295">
        <v>4</v>
      </c>
      <c r="Y295" t="s">
        <v>19089</v>
      </c>
      <c r="Z295" t="s">
        <v>25165</v>
      </c>
      <c r="AA295">
        <v>0.50661184899844014</v>
      </c>
      <c r="AB295" t="str">
        <f>HYPERLINK("Melting_Curves/meltCurve_E5RJ52_AP3M2.pdf", "Melting_Curves/meltCurve_E5RJ52_AP3M2.pdf")</f>
        <v>Melting_Curves/meltCurve_E5RJ52_AP3M2.pdf</v>
      </c>
    </row>
    <row r="296" spans="1:28" x14ac:dyDescent="0.25">
      <c r="A296" t="s">
        <v>300</v>
      </c>
      <c r="B296">
        <v>0.99352677808782597</v>
      </c>
      <c r="C296">
        <v>0.95271095460337196</v>
      </c>
      <c r="D296">
        <v>1.02534371624983</v>
      </c>
      <c r="E296">
        <v>0.60886476728886596</v>
      </c>
      <c r="F296">
        <v>0.57729262809999904</v>
      </c>
      <c r="G296">
        <v>0.34833805113005301</v>
      </c>
      <c r="H296">
        <v>0.236788241637581</v>
      </c>
      <c r="I296">
        <v>0.20383922919442901</v>
      </c>
      <c r="J296">
        <v>0.17884894369384399</v>
      </c>
      <c r="K296">
        <v>0.13471353717482401</v>
      </c>
      <c r="L296">
        <v>791.64178267257898</v>
      </c>
      <c r="M296">
        <v>15.113197419129699</v>
      </c>
      <c r="N296">
        <v>53.571266714917499</v>
      </c>
      <c r="O296">
        <v>51.489414881409502</v>
      </c>
      <c r="P296">
        <v>-6.2920082565566707E-2</v>
      </c>
      <c r="Q296">
        <v>0.14263001393716301</v>
      </c>
      <c r="R296">
        <v>0.97432332806608601</v>
      </c>
      <c r="S296" t="s">
        <v>6581</v>
      </c>
      <c r="T296" t="s">
        <v>12568</v>
      </c>
      <c r="U296" t="s">
        <v>12568</v>
      </c>
      <c r="V296" t="s">
        <v>12568</v>
      </c>
      <c r="W296" t="s">
        <v>12860</v>
      </c>
      <c r="X296">
        <v>4</v>
      </c>
      <c r="Y296" t="s">
        <v>19090</v>
      </c>
      <c r="Z296" t="s">
        <v>25166</v>
      </c>
      <c r="AA296">
        <v>0.515159093610698</v>
      </c>
      <c r="AB296" t="str">
        <f>HYPERLINK("Melting_Curves/meltCurve_E5RJ99_ZFAND1.pdf", "Melting_Curves/meltCurve_E5RJ99_ZFAND1.pdf")</f>
        <v>Melting_Curves/meltCurve_E5RJ99_ZFAND1.pdf</v>
      </c>
    </row>
    <row r="297" spans="1:28" x14ac:dyDescent="0.25">
      <c r="A297" t="s">
        <v>301</v>
      </c>
      <c r="B297">
        <v>0.99352677808782597</v>
      </c>
      <c r="C297">
        <v>1.0142874812407601</v>
      </c>
      <c r="D297">
        <v>1.15474775820264</v>
      </c>
      <c r="E297">
        <v>0.981213411110884</v>
      </c>
      <c r="F297">
        <v>1.0644360109543001</v>
      </c>
      <c r="G297">
        <v>1.02420464139658</v>
      </c>
      <c r="H297">
        <v>0.77066353957507305</v>
      </c>
      <c r="I297">
        <v>1.0208187612902699</v>
      </c>
      <c r="J297">
        <v>0.739746338483529</v>
      </c>
      <c r="K297">
        <v>0.85252753720086805</v>
      </c>
      <c r="L297">
        <v>14701.4972551504</v>
      </c>
      <c r="M297">
        <v>250</v>
      </c>
      <c r="O297">
        <v>58.802224778818101</v>
      </c>
      <c r="P297">
        <v>-0.16374933376655099</v>
      </c>
      <c r="Q297">
        <v>0.84593879532828198</v>
      </c>
      <c r="R297">
        <v>0.51063996990400995</v>
      </c>
      <c r="S297" t="s">
        <v>6582</v>
      </c>
      <c r="T297" t="s">
        <v>12568</v>
      </c>
      <c r="U297" t="s">
        <v>12568</v>
      </c>
      <c r="V297" t="s">
        <v>12568</v>
      </c>
      <c r="W297" t="s">
        <v>12861</v>
      </c>
      <c r="X297">
        <v>1</v>
      </c>
      <c r="Y297" t="s">
        <v>19091</v>
      </c>
      <c r="Z297" t="s">
        <v>25167</v>
      </c>
      <c r="AA297">
        <v>0.94253047245043198</v>
      </c>
      <c r="AB297" t="str">
        <f>HYPERLINK("Melting_Curves/meltCurve_E5RJH0_BHMT.pdf", "Melting_Curves/meltCurve_E5RJH0_BHMT.pdf")</f>
        <v>Melting_Curves/meltCurve_E5RJH0_BHMT.pdf</v>
      </c>
    </row>
    <row r="298" spans="1:28" x14ac:dyDescent="0.25">
      <c r="A298" t="s">
        <v>302</v>
      </c>
      <c r="B298">
        <v>0.99352677808782597</v>
      </c>
      <c r="C298">
        <v>1.0032061393709399</v>
      </c>
      <c r="D298">
        <v>1.0042417145640301</v>
      </c>
      <c r="E298">
        <v>1.0988401917331001</v>
      </c>
      <c r="F298">
        <v>1.0129088221376401</v>
      </c>
      <c r="G298">
        <v>0.99809028443796199</v>
      </c>
      <c r="H298">
        <v>0.88810942800088499</v>
      </c>
      <c r="I298">
        <v>0.96450248685667395</v>
      </c>
      <c r="J298">
        <v>0.97575045829253904</v>
      </c>
      <c r="K298">
        <v>0.76795881751496398</v>
      </c>
      <c r="L298">
        <v>3353.10246916304</v>
      </c>
      <c r="M298">
        <v>46.698845431952201</v>
      </c>
      <c r="Q298">
        <v>0</v>
      </c>
      <c r="R298">
        <v>0.66111974501294302</v>
      </c>
      <c r="S298" t="s">
        <v>6583</v>
      </c>
      <c r="T298" t="s">
        <v>12568</v>
      </c>
      <c r="U298" t="s">
        <v>12568</v>
      </c>
      <c r="V298" t="s">
        <v>12568</v>
      </c>
      <c r="W298" t="s">
        <v>12862</v>
      </c>
      <c r="X298">
        <v>19</v>
      </c>
      <c r="Y298" t="s">
        <v>19092</v>
      </c>
      <c r="Z298" t="s">
        <v>25168</v>
      </c>
      <c r="AA298">
        <v>0.98774095644132276</v>
      </c>
      <c r="AB298" t="str">
        <f>HYPERLINK("Melting_Curves/meltCurve_E5RJR5_SKP1.pdf", "Melting_Curves/meltCurve_E5RJR5_SKP1.pdf")</f>
        <v>Melting_Curves/meltCurve_E5RJR5_SKP1.pdf</v>
      </c>
    </row>
    <row r="299" spans="1:28" x14ac:dyDescent="0.25">
      <c r="A299" t="s">
        <v>303</v>
      </c>
      <c r="B299">
        <v>0.99352677808782597</v>
      </c>
      <c r="C299">
        <v>0.97129854081710898</v>
      </c>
      <c r="D299">
        <v>0.98460724614203798</v>
      </c>
      <c r="E299">
        <v>1.0274834859342901</v>
      </c>
      <c r="F299">
        <v>0.95032295006982803</v>
      </c>
      <c r="G299">
        <v>0.88020085493032196</v>
      </c>
      <c r="H299">
        <v>0.81295511021847899</v>
      </c>
      <c r="I299">
        <v>0.89069294772008201</v>
      </c>
      <c r="J299">
        <v>0.860160349567475</v>
      </c>
      <c r="K299">
        <v>0.74819703472736399</v>
      </c>
      <c r="L299">
        <v>1605.5003611263701</v>
      </c>
      <c r="M299">
        <v>29.011443189078499</v>
      </c>
      <c r="O299">
        <v>55.079325948398697</v>
      </c>
      <c r="P299">
        <v>-2.3135460102592501E-2</v>
      </c>
      <c r="Q299">
        <v>0.824307178699344</v>
      </c>
      <c r="R299">
        <v>0.80303626749071899</v>
      </c>
      <c r="S299" t="s">
        <v>6584</v>
      </c>
      <c r="T299" t="s">
        <v>12568</v>
      </c>
      <c r="U299" t="s">
        <v>12568</v>
      </c>
      <c r="V299" t="s">
        <v>12568</v>
      </c>
      <c r="W299" t="s">
        <v>12863</v>
      </c>
      <c r="X299">
        <v>14</v>
      </c>
      <c r="Y299" t="s">
        <v>19093</v>
      </c>
      <c r="Z299" t="s">
        <v>25169</v>
      </c>
      <c r="AA299">
        <v>0.91538955123731236</v>
      </c>
      <c r="AB299" t="str">
        <f>HYPERLINK("Melting_Curves/meltCurve_E5RJU9_MTDH.pdf", "Melting_Curves/meltCurve_E5RJU9_MTDH.pdf")</f>
        <v>Melting_Curves/meltCurve_E5RJU9_MTDH.pdf</v>
      </c>
    </row>
    <row r="300" spans="1:28" x14ac:dyDescent="0.25">
      <c r="A300" t="s">
        <v>304</v>
      </c>
      <c r="B300">
        <v>0.99352677808782597</v>
      </c>
      <c r="C300">
        <v>1.0520852488994601</v>
      </c>
      <c r="D300">
        <v>0.87282690088342196</v>
      </c>
      <c r="E300">
        <v>1.02064446759183</v>
      </c>
      <c r="F300">
        <v>0.81008817013527201</v>
      </c>
      <c r="G300">
        <v>0.50602135152376904</v>
      </c>
      <c r="H300">
        <v>0.18689516263002601</v>
      </c>
      <c r="I300">
        <v>0.128838030239253</v>
      </c>
      <c r="J300">
        <v>9.9941529905897206E-2</v>
      </c>
      <c r="K300">
        <v>7.4329431341484606E-2</v>
      </c>
      <c r="L300">
        <v>1348.15335440484</v>
      </c>
      <c r="M300">
        <v>23.8529272935417</v>
      </c>
      <c r="N300">
        <v>56.874132999257597</v>
      </c>
      <c r="O300">
        <v>56.126651447355698</v>
      </c>
      <c r="P300">
        <v>-9.8904225232973195E-2</v>
      </c>
      <c r="Q300">
        <v>6.9116670299245203E-2</v>
      </c>
      <c r="R300">
        <v>0.98510846533182395</v>
      </c>
      <c r="S300" t="s">
        <v>6585</v>
      </c>
      <c r="T300" t="s">
        <v>12568</v>
      </c>
      <c r="U300" t="s">
        <v>12568</v>
      </c>
      <c r="V300" t="s">
        <v>12568</v>
      </c>
      <c r="W300" t="s">
        <v>12864</v>
      </c>
      <c r="X300">
        <v>10</v>
      </c>
      <c r="Y300" t="s">
        <v>19094</v>
      </c>
      <c r="Z300" t="s">
        <v>25170</v>
      </c>
      <c r="AA300">
        <v>0.59083152187744281</v>
      </c>
      <c r="AB300" t="str">
        <f>HYPERLINK("Melting_Curves/meltCurve_E7EM64_COPS6.pdf", "Melting_Curves/meltCurve_E7EM64_COPS6.pdf")</f>
        <v>Melting_Curves/meltCurve_E7EM64_COPS6.pdf</v>
      </c>
    </row>
    <row r="301" spans="1:28" x14ac:dyDescent="0.25">
      <c r="A301" t="s">
        <v>305</v>
      </c>
      <c r="B301">
        <v>0.99352677808782597</v>
      </c>
      <c r="C301">
        <v>0.98724110541021204</v>
      </c>
      <c r="D301">
        <v>0.86596400229412995</v>
      </c>
      <c r="E301">
        <v>0.92955671627383196</v>
      </c>
      <c r="F301">
        <v>1.0362561655665901</v>
      </c>
      <c r="G301">
        <v>1.0490172608803101</v>
      </c>
      <c r="H301">
        <v>0.98078142499193299</v>
      </c>
      <c r="I301">
        <v>1.06871256594565</v>
      </c>
      <c r="J301">
        <v>0.92363342953189198</v>
      </c>
      <c r="K301">
        <v>0.94026947684852802</v>
      </c>
      <c r="L301">
        <v>1.0000000000000001E-5</v>
      </c>
      <c r="M301">
        <v>1.0000000000000001E-5</v>
      </c>
      <c r="Q301">
        <v>0.95499200605376999</v>
      </c>
      <c r="R301">
        <v>-1.54229096160918E-9</v>
      </c>
      <c r="S301" t="s">
        <v>6586</v>
      </c>
      <c r="T301" t="s">
        <v>12568</v>
      </c>
      <c r="U301" t="s">
        <v>12568</v>
      </c>
      <c r="V301" t="s">
        <v>12568</v>
      </c>
      <c r="W301" t="s">
        <v>12865</v>
      </c>
      <c r="X301">
        <v>2</v>
      </c>
      <c r="Y301" t="s">
        <v>19095</v>
      </c>
      <c r="Z301" t="s">
        <v>25171</v>
      </c>
      <c r="AA301">
        <v>0.97749589260583214</v>
      </c>
      <c r="AB301" t="str">
        <f>HYPERLINK("Melting_Curves/meltCurve_E7EMB8_PTPN18.pdf", "Melting_Curves/meltCurve_E7EMB8_PTPN18.pdf")</f>
        <v>Melting_Curves/meltCurve_E7EMB8_PTPN18.pdf</v>
      </c>
    </row>
    <row r="302" spans="1:28" x14ac:dyDescent="0.25">
      <c r="A302" t="s">
        <v>306</v>
      </c>
      <c r="B302">
        <v>0.99352677808782597</v>
      </c>
      <c r="C302">
        <v>0.96500431769131301</v>
      </c>
      <c r="D302">
        <v>1.0198968969479401</v>
      </c>
      <c r="E302">
        <v>0.961592485535265</v>
      </c>
      <c r="F302">
        <v>0.77868079202443996</v>
      </c>
      <c r="G302">
        <v>0.66142444123848698</v>
      </c>
      <c r="H302">
        <v>0.48784381365742002</v>
      </c>
      <c r="I302">
        <v>0.38260671335836099</v>
      </c>
      <c r="J302">
        <v>0.31022846180661801</v>
      </c>
      <c r="K302">
        <v>0.23585635088885801</v>
      </c>
      <c r="L302">
        <v>736.51236190623297</v>
      </c>
      <c r="M302">
        <v>12.512620465105501</v>
      </c>
      <c r="N302">
        <v>60.554517911619698</v>
      </c>
      <c r="O302">
        <v>57.4188046023596</v>
      </c>
      <c r="P302">
        <v>-4.6448301678694598E-2</v>
      </c>
      <c r="Q302">
        <v>0.147593802584703</v>
      </c>
      <c r="R302">
        <v>0.99082863381072095</v>
      </c>
      <c r="S302" t="s">
        <v>6587</v>
      </c>
      <c r="T302" t="s">
        <v>12568</v>
      </c>
      <c r="U302" t="s">
        <v>12568</v>
      </c>
      <c r="V302" t="s">
        <v>12568</v>
      </c>
      <c r="W302" t="s">
        <v>12866</v>
      </c>
      <c r="X302">
        <v>7</v>
      </c>
      <c r="Y302" t="s">
        <v>19096</v>
      </c>
      <c r="Z302" t="s">
        <v>25172</v>
      </c>
      <c r="AA302">
        <v>0.69143574266716912</v>
      </c>
      <c r="AB302" t="str">
        <f>HYPERLINK("Melting_Curves/meltCurve_E7EMC3_EPN2.pdf", "Melting_Curves/meltCurve_E7EMC3_EPN2.pdf")</f>
        <v>Melting_Curves/meltCurve_E7EMC3_EPN2.pdf</v>
      </c>
    </row>
    <row r="303" spans="1:28" x14ac:dyDescent="0.25">
      <c r="A303" t="s">
        <v>307</v>
      </c>
      <c r="B303">
        <v>0.99352677808782597</v>
      </c>
      <c r="C303">
        <v>1.05108715786177</v>
      </c>
      <c r="D303">
        <v>0.97094223332620699</v>
      </c>
      <c r="E303">
        <v>0.89913928936702403</v>
      </c>
      <c r="F303">
        <v>0.82414676628707295</v>
      </c>
      <c r="G303">
        <v>0.62581843170620199</v>
      </c>
      <c r="H303">
        <v>0.64739857322338201</v>
      </c>
      <c r="I303">
        <v>0.53766028261965804</v>
      </c>
      <c r="J303">
        <v>0.61593531960163905</v>
      </c>
      <c r="K303">
        <v>0.46169810742946799</v>
      </c>
      <c r="L303">
        <v>869.94894792691605</v>
      </c>
      <c r="M303">
        <v>16.0172653498527</v>
      </c>
      <c r="O303">
        <v>53.487752049216397</v>
      </c>
      <c r="P303">
        <v>-3.5863798665626501E-2</v>
      </c>
      <c r="Q303">
        <v>0.52098585499831296</v>
      </c>
      <c r="R303">
        <v>0.94923570239898603</v>
      </c>
      <c r="S303" t="s">
        <v>6588</v>
      </c>
      <c r="T303" t="s">
        <v>12568</v>
      </c>
      <c r="U303" t="s">
        <v>12568</v>
      </c>
      <c r="V303" t="s">
        <v>12568</v>
      </c>
      <c r="W303" t="s">
        <v>12867</v>
      </c>
      <c r="X303">
        <v>8</v>
      </c>
      <c r="Y303" t="s">
        <v>19097</v>
      </c>
      <c r="Z303" t="s">
        <v>25173</v>
      </c>
      <c r="AA303">
        <v>0.75843143539335711</v>
      </c>
      <c r="AB303" t="str">
        <f>HYPERLINK("Melting_Curves/meltCurve_E7EMM4_ASAH1.pdf", "Melting_Curves/meltCurve_E7EMM4_ASAH1.pdf")</f>
        <v>Melting_Curves/meltCurve_E7EMM4_ASAH1.pdf</v>
      </c>
    </row>
    <row r="304" spans="1:28" x14ac:dyDescent="0.25">
      <c r="A304" t="s">
        <v>308</v>
      </c>
      <c r="B304">
        <v>0.99352677808782597</v>
      </c>
      <c r="C304">
        <v>0.95418995389064298</v>
      </c>
      <c r="D304">
        <v>0.86711248195468105</v>
      </c>
      <c r="E304">
        <v>1.6627822074357399</v>
      </c>
      <c r="F304">
        <v>1.2938967502897101</v>
      </c>
      <c r="G304">
        <v>0.94968842871193204</v>
      </c>
      <c r="H304">
        <v>0.37972428670180303</v>
      </c>
      <c r="I304">
        <v>0.30971986351398301</v>
      </c>
      <c r="J304">
        <v>0.27296394546723401</v>
      </c>
      <c r="K304">
        <v>0.199538626394589</v>
      </c>
      <c r="L304">
        <v>3640.1866617956898</v>
      </c>
      <c r="M304">
        <v>61.236537701147398</v>
      </c>
      <c r="N304">
        <v>60.148500298847303</v>
      </c>
      <c r="O304">
        <v>59.381387999774198</v>
      </c>
      <c r="P304">
        <v>-0.19186712229979599</v>
      </c>
      <c r="Q304">
        <v>0.25578211167753401</v>
      </c>
      <c r="R304">
        <v>0.74128593586500502</v>
      </c>
      <c r="S304" t="s">
        <v>6589</v>
      </c>
      <c r="T304" t="s">
        <v>12568</v>
      </c>
      <c r="U304" t="s">
        <v>12568</v>
      </c>
      <c r="V304" t="s">
        <v>12568</v>
      </c>
      <c r="W304" t="s">
        <v>12868</v>
      </c>
      <c r="X304">
        <v>16</v>
      </c>
      <c r="Y304" t="s">
        <v>19098</v>
      </c>
      <c r="Z304" t="s">
        <v>25174</v>
      </c>
      <c r="AA304">
        <v>0.73944667118468277</v>
      </c>
      <c r="AB304" t="str">
        <f>HYPERLINK("Melting_Curves/meltCurve_E7EMW7_UBR5.pdf", "Melting_Curves/meltCurve_E7EMW7_UBR5.pdf")</f>
        <v>Melting_Curves/meltCurve_E7EMW7_UBR5.pdf</v>
      </c>
    </row>
    <row r="305" spans="1:28" x14ac:dyDescent="0.25">
      <c r="A305" t="s">
        <v>309</v>
      </c>
      <c r="B305">
        <v>0.99352677808782597</v>
      </c>
      <c r="C305">
        <v>0.97865068844796799</v>
      </c>
      <c r="D305">
        <v>0.96802909956766503</v>
      </c>
      <c r="E305">
        <v>0.94309037111565197</v>
      </c>
      <c r="F305">
        <v>0.87110246823822302</v>
      </c>
      <c r="G305">
        <v>0.73610397519710102</v>
      </c>
      <c r="H305">
        <v>0.74101270213515802</v>
      </c>
      <c r="I305">
        <v>0.79863239680751597</v>
      </c>
      <c r="J305">
        <v>0.91018375856770495</v>
      </c>
      <c r="K305">
        <v>0.73684803096860096</v>
      </c>
      <c r="L305">
        <v>1858.88596337531</v>
      </c>
      <c r="M305">
        <v>35.892435768507902</v>
      </c>
      <c r="O305">
        <v>51.630486328419401</v>
      </c>
      <c r="P305">
        <v>-3.7287143016784798E-2</v>
      </c>
      <c r="Q305">
        <v>0.78545371529227104</v>
      </c>
      <c r="R305">
        <v>0.74963931264337302</v>
      </c>
      <c r="S305" t="s">
        <v>6590</v>
      </c>
      <c r="T305" t="s">
        <v>12568</v>
      </c>
      <c r="U305" t="s">
        <v>12568</v>
      </c>
      <c r="V305" t="s">
        <v>12568</v>
      </c>
      <c r="W305" t="s">
        <v>12869</v>
      </c>
      <c r="X305">
        <v>40</v>
      </c>
      <c r="Y305" t="s">
        <v>19099</v>
      </c>
      <c r="Z305" t="s">
        <v>25175</v>
      </c>
      <c r="AA305">
        <v>0.87072833513054704</v>
      </c>
      <c r="AB305" t="str">
        <f>HYPERLINK("Melting_Curves/meltCurve_E7EMZ9_TACC2.pdf", "Melting_Curves/meltCurve_E7EMZ9_TACC2.pdf")</f>
        <v>Melting_Curves/meltCurve_E7EMZ9_TACC2.pdf</v>
      </c>
    </row>
    <row r="306" spans="1:28" x14ac:dyDescent="0.25">
      <c r="A306" t="s">
        <v>310</v>
      </c>
      <c r="B306">
        <v>0.99352677808782597</v>
      </c>
      <c r="C306">
        <v>0.88547499206770397</v>
      </c>
      <c r="D306">
        <v>0.77379626720788297</v>
      </c>
      <c r="E306">
        <v>0.54762776257119306</v>
      </c>
      <c r="F306">
        <v>0.46866942545302498</v>
      </c>
      <c r="G306">
        <v>0.32745498025292202</v>
      </c>
      <c r="H306">
        <v>0.18090065115529599</v>
      </c>
      <c r="I306">
        <v>0.105752254786878</v>
      </c>
      <c r="J306">
        <v>0.11879988858572101</v>
      </c>
      <c r="K306">
        <v>8.6753185090017101E-2</v>
      </c>
      <c r="L306">
        <v>516.410456574004</v>
      </c>
      <c r="M306">
        <v>9.9936307835569895</v>
      </c>
      <c r="N306">
        <v>51.8296356332933</v>
      </c>
      <c r="O306">
        <v>49.732694737726902</v>
      </c>
      <c r="P306">
        <v>-4.9517996988184501E-2</v>
      </c>
      <c r="Q306">
        <v>1.47871866518025E-2</v>
      </c>
      <c r="R306">
        <v>0.99344588817430401</v>
      </c>
      <c r="S306" t="s">
        <v>6591</v>
      </c>
      <c r="T306" t="s">
        <v>12568</v>
      </c>
      <c r="U306" t="s">
        <v>12568</v>
      </c>
      <c r="V306" t="s">
        <v>12568</v>
      </c>
      <c r="W306" t="s">
        <v>12870</v>
      </c>
      <c r="X306">
        <v>3</v>
      </c>
      <c r="Y306" t="s">
        <v>19100</v>
      </c>
      <c r="Z306" t="s">
        <v>25176</v>
      </c>
      <c r="AA306">
        <v>0.43677115077388889</v>
      </c>
      <c r="AB306" t="str">
        <f>HYPERLINK("Melting_Curves/meltCurve_E7EN68_SETMAR.pdf", "Melting_Curves/meltCurve_E7EN68_SETMAR.pdf")</f>
        <v>Melting_Curves/meltCurve_E7EN68_SETMAR.pdf</v>
      </c>
    </row>
    <row r="307" spans="1:28" x14ac:dyDescent="0.25">
      <c r="A307" t="s">
        <v>311</v>
      </c>
      <c r="B307">
        <v>0.99352677808782597</v>
      </c>
      <c r="C307">
        <v>0.97002624406861304</v>
      </c>
      <c r="D307">
        <v>1.00606923504274</v>
      </c>
      <c r="E307">
        <v>0.96549987953112804</v>
      </c>
      <c r="F307">
        <v>0.785344326792215</v>
      </c>
      <c r="G307">
        <v>0.66888217376139802</v>
      </c>
      <c r="H307">
        <v>0.80542982970772403</v>
      </c>
      <c r="I307">
        <v>0.844846113283098</v>
      </c>
      <c r="J307">
        <v>0.75498468365134497</v>
      </c>
      <c r="K307">
        <v>0.430511129792984</v>
      </c>
      <c r="L307">
        <v>351.31382836579598</v>
      </c>
      <c r="M307">
        <v>4.64278622657047</v>
      </c>
      <c r="O307">
        <v>64.845699706396204</v>
      </c>
      <c r="P307">
        <v>-1.80403913919846E-2</v>
      </c>
      <c r="Q307">
        <v>0</v>
      </c>
      <c r="R307">
        <v>0.65637341294176499</v>
      </c>
      <c r="S307" t="s">
        <v>6592</v>
      </c>
      <c r="T307" t="s">
        <v>12568</v>
      </c>
      <c r="U307" t="s">
        <v>12568</v>
      </c>
      <c r="V307" t="s">
        <v>12568</v>
      </c>
      <c r="W307" t="s">
        <v>12871</v>
      </c>
      <c r="X307">
        <v>2</v>
      </c>
      <c r="Y307" t="s">
        <v>19101</v>
      </c>
      <c r="Z307" t="s">
        <v>25177</v>
      </c>
      <c r="AA307">
        <v>0.8288784310639965</v>
      </c>
      <c r="AB307" t="str">
        <f>HYPERLINK("Melting_Curves/meltCurve_E7ENA9_NCSTN.pdf", "Melting_Curves/meltCurve_E7ENA9_NCSTN.pdf")</f>
        <v>Melting_Curves/meltCurve_E7ENA9_NCSTN.pdf</v>
      </c>
    </row>
    <row r="308" spans="1:28" x14ac:dyDescent="0.25">
      <c r="A308" t="s">
        <v>312</v>
      </c>
      <c r="B308">
        <v>0.99352677808782597</v>
      </c>
      <c r="C308">
        <v>0.90603409017099301</v>
      </c>
      <c r="D308">
        <v>0.95438756611967901</v>
      </c>
      <c r="E308">
        <v>0.70892941880858296</v>
      </c>
      <c r="F308">
        <v>0.67706245749441696</v>
      </c>
      <c r="G308">
        <v>0.51239477812800505</v>
      </c>
      <c r="H308">
        <v>0.28229631315423098</v>
      </c>
      <c r="I308">
        <v>0.22962200542219199</v>
      </c>
      <c r="J308">
        <v>0.16367753756513001</v>
      </c>
      <c r="K308">
        <v>0.158068505127437</v>
      </c>
      <c r="L308">
        <v>551.06657931556504</v>
      </c>
      <c r="M308">
        <v>9.8003821996738107</v>
      </c>
      <c r="N308">
        <v>56.3028432704319</v>
      </c>
      <c r="O308">
        <v>54.037943578564601</v>
      </c>
      <c r="P308">
        <v>-4.50747261566216E-2</v>
      </c>
      <c r="Q308">
        <v>6.3790934774295401E-3</v>
      </c>
      <c r="R308">
        <v>0.98521316974480599</v>
      </c>
      <c r="S308" t="s">
        <v>6593</v>
      </c>
      <c r="T308" t="s">
        <v>12568</v>
      </c>
      <c r="U308" t="s">
        <v>12568</v>
      </c>
      <c r="V308" t="s">
        <v>12568</v>
      </c>
      <c r="W308" t="s">
        <v>12872</v>
      </c>
      <c r="X308">
        <v>4</v>
      </c>
      <c r="Y308" t="s">
        <v>19102</v>
      </c>
      <c r="Z308" t="s">
        <v>25178</v>
      </c>
      <c r="AA308">
        <v>0.5636413192776828</v>
      </c>
      <c r="AB308" t="str">
        <f>HYPERLINK("Melting_Curves/meltCurve_E7ENK0_CALCOCO2.pdf", "Melting_Curves/meltCurve_E7ENK0_CALCOCO2.pdf")</f>
        <v>Melting_Curves/meltCurve_E7ENK0_CALCOCO2.pdf</v>
      </c>
    </row>
    <row r="309" spans="1:28" x14ac:dyDescent="0.25">
      <c r="A309" t="s">
        <v>313</v>
      </c>
      <c r="B309">
        <v>0.99352677808782597</v>
      </c>
      <c r="C309">
        <v>1.0595329743034301</v>
      </c>
      <c r="D309">
        <v>1.0164700366080901</v>
      </c>
      <c r="E309">
        <v>0.95099702601529401</v>
      </c>
      <c r="F309">
        <v>0.79214356430413402</v>
      </c>
      <c r="G309">
        <v>0.70379616290375102</v>
      </c>
      <c r="H309">
        <v>0.76261563260342802</v>
      </c>
      <c r="I309">
        <v>0.76933264640051002</v>
      </c>
      <c r="J309">
        <v>0.88173988626960298</v>
      </c>
      <c r="K309">
        <v>0.52198516495704494</v>
      </c>
      <c r="L309">
        <v>2499.5852099692402</v>
      </c>
      <c r="M309">
        <v>48.405053401802199</v>
      </c>
      <c r="O309">
        <v>51.551025489573803</v>
      </c>
      <c r="P309">
        <v>-6.3901008957408897E-2</v>
      </c>
      <c r="Q309">
        <v>0.72778385415287705</v>
      </c>
      <c r="R309">
        <v>0.705180445300851</v>
      </c>
      <c r="S309" t="s">
        <v>6594</v>
      </c>
      <c r="T309" t="s">
        <v>12568</v>
      </c>
      <c r="U309" t="s">
        <v>12568</v>
      </c>
      <c r="V309" t="s">
        <v>12568</v>
      </c>
      <c r="W309" t="s">
        <v>12873</v>
      </c>
      <c r="X309">
        <v>2</v>
      </c>
      <c r="Y309" t="s">
        <v>19103</v>
      </c>
      <c r="Z309" t="s">
        <v>25179</v>
      </c>
      <c r="AA309">
        <v>0.83405580831447546</v>
      </c>
      <c r="AB309" t="str">
        <f>HYPERLINK("Melting_Curves/meltCurve_E7ENY8_COL3A1.pdf", "Melting_Curves/meltCurve_E7ENY8_COL3A1.pdf")</f>
        <v>Melting_Curves/meltCurve_E7ENY8_COL3A1.pdf</v>
      </c>
    </row>
    <row r="310" spans="1:28" x14ac:dyDescent="0.25">
      <c r="A310" t="s">
        <v>314</v>
      </c>
      <c r="B310">
        <v>0.99352677808782597</v>
      </c>
      <c r="C310">
        <v>0.90500653751485405</v>
      </c>
      <c r="D310">
        <v>1.9456877383128699</v>
      </c>
      <c r="E310">
        <v>0.71289951980718202</v>
      </c>
      <c r="F310">
        <v>0.62615985956257103</v>
      </c>
      <c r="G310">
        <v>0.27965031046944999</v>
      </c>
      <c r="H310">
        <v>0.121589908498497</v>
      </c>
      <c r="I310">
        <v>0.114064885143662</v>
      </c>
      <c r="J310">
        <v>9.1201246744466197E-2</v>
      </c>
      <c r="K310">
        <v>6.9224230674590007E-2</v>
      </c>
      <c r="L310">
        <v>1478.4823999334101</v>
      </c>
      <c r="M310">
        <v>27.6114473667411</v>
      </c>
      <c r="N310">
        <v>53.959079391121698</v>
      </c>
      <c r="O310">
        <v>53.267510983555901</v>
      </c>
      <c r="P310">
        <v>-0.117244200700256</v>
      </c>
      <c r="Q310">
        <v>9.5266893117879101E-2</v>
      </c>
      <c r="R310">
        <v>0.69950761151138097</v>
      </c>
      <c r="S310" t="s">
        <v>6595</v>
      </c>
      <c r="T310" t="s">
        <v>12568</v>
      </c>
      <c r="U310" t="s">
        <v>12568</v>
      </c>
      <c r="V310" t="s">
        <v>12568</v>
      </c>
      <c r="W310" t="s">
        <v>12874</v>
      </c>
      <c r="X310">
        <v>3</v>
      </c>
      <c r="Y310" t="s">
        <v>19104</v>
      </c>
      <c r="Z310" t="s">
        <v>25180</v>
      </c>
      <c r="AA310">
        <v>0.51071821989389288</v>
      </c>
      <c r="AB310" t="str">
        <f>HYPERLINK("Melting_Curves/meltCurve_E7EPB3_RPL14.pdf", "Melting_Curves/meltCurve_E7EPB3_RPL14.pdf")</f>
        <v>Melting_Curves/meltCurve_E7EPB3_RPL14.pdf</v>
      </c>
    </row>
    <row r="311" spans="1:28" x14ac:dyDescent="0.25">
      <c r="A311" t="s">
        <v>315</v>
      </c>
      <c r="B311">
        <v>0.99352677808782597</v>
      </c>
      <c r="C311">
        <v>0.95546945677307804</v>
      </c>
      <c r="D311">
        <v>0.95352082648736103</v>
      </c>
      <c r="E311">
        <v>0.77255488664005501</v>
      </c>
      <c r="F311">
        <v>0.70101981499971999</v>
      </c>
      <c r="G311">
        <v>0.455341247621803</v>
      </c>
      <c r="H311">
        <v>0.34710362867855099</v>
      </c>
      <c r="I311">
        <v>0.29978060618392099</v>
      </c>
      <c r="J311">
        <v>0.33219785877257302</v>
      </c>
      <c r="K311">
        <v>0.27620405759171901</v>
      </c>
      <c r="L311">
        <v>797.921057393159</v>
      </c>
      <c r="M311">
        <v>14.917094167293</v>
      </c>
      <c r="N311">
        <v>56.265912102740401</v>
      </c>
      <c r="O311">
        <v>52.5566711706239</v>
      </c>
      <c r="P311">
        <v>-5.2481843899640598E-2</v>
      </c>
      <c r="Q311">
        <v>0.26044918878017298</v>
      </c>
      <c r="R311">
        <v>0.99199573053661905</v>
      </c>
      <c r="S311" t="s">
        <v>6596</v>
      </c>
      <c r="T311" t="s">
        <v>12568</v>
      </c>
      <c r="U311" t="s">
        <v>12568</v>
      </c>
      <c r="V311" t="s">
        <v>12568</v>
      </c>
      <c r="W311" t="s">
        <v>12875</v>
      </c>
      <c r="X311">
        <v>7</v>
      </c>
      <c r="Y311" t="s">
        <v>19105</v>
      </c>
      <c r="Z311" t="s">
        <v>25181</v>
      </c>
      <c r="AA311">
        <v>0.60869335710769523</v>
      </c>
      <c r="AB311" t="str">
        <f>HYPERLINK("Melting_Curves/meltCurve_E7EPD0_TOM1.pdf", "Melting_Curves/meltCurve_E7EPD0_TOM1.pdf")</f>
        <v>Melting_Curves/meltCurve_E7EPD0_TOM1.pdf</v>
      </c>
    </row>
    <row r="312" spans="1:28" x14ac:dyDescent="0.25">
      <c r="A312" t="s">
        <v>316</v>
      </c>
      <c r="B312">
        <v>0.99352677808782597</v>
      </c>
      <c r="C312">
        <v>0.97973766160953601</v>
      </c>
      <c r="D312">
        <v>0.91600346176821001</v>
      </c>
      <c r="E312">
        <v>0.62669917682454301</v>
      </c>
      <c r="F312">
        <v>0.50878865290572794</v>
      </c>
      <c r="G312">
        <v>0.269409546324961</v>
      </c>
      <c r="H312">
        <v>0.19173431348909201</v>
      </c>
      <c r="I312">
        <v>0.182502435839379</v>
      </c>
      <c r="J312">
        <v>0.13846063979778001</v>
      </c>
      <c r="K312">
        <v>0.126402702794013</v>
      </c>
      <c r="L312">
        <v>819.73057908491</v>
      </c>
      <c r="M312">
        <v>15.8798706719469</v>
      </c>
      <c r="N312">
        <v>52.554494994899699</v>
      </c>
      <c r="O312">
        <v>50.822921790207602</v>
      </c>
      <c r="P312">
        <v>-6.8517822431616804E-2</v>
      </c>
      <c r="Q312">
        <v>0.122916166395314</v>
      </c>
      <c r="R312">
        <v>0.99575716029095496</v>
      </c>
      <c r="S312" t="s">
        <v>6597</v>
      </c>
      <c r="T312" t="s">
        <v>12568</v>
      </c>
      <c r="U312" t="s">
        <v>12568</v>
      </c>
      <c r="V312" t="s">
        <v>12568</v>
      </c>
      <c r="W312" t="s">
        <v>12876</v>
      </c>
      <c r="X312">
        <v>5</v>
      </c>
      <c r="Y312" t="s">
        <v>19106</v>
      </c>
      <c r="Z312" t="s">
        <v>25182</v>
      </c>
      <c r="AA312">
        <v>0.4807881676689289</v>
      </c>
      <c r="AB312" t="str">
        <f>HYPERLINK("Melting_Curves/meltCurve_E7EPI0_IBTK.pdf", "Melting_Curves/meltCurve_E7EPI0_IBTK.pdf")</f>
        <v>Melting_Curves/meltCurve_E7EPI0_IBTK.pdf</v>
      </c>
    </row>
    <row r="313" spans="1:28" x14ac:dyDescent="0.25">
      <c r="A313" t="s">
        <v>317</v>
      </c>
      <c r="B313">
        <v>0.99352677808782597</v>
      </c>
      <c r="C313">
        <v>0.92573223043658104</v>
      </c>
      <c r="D313">
        <v>0.56500658231150702</v>
      </c>
      <c r="E313">
        <v>0.30089044918361402</v>
      </c>
      <c r="F313">
        <v>0.23368967535222199</v>
      </c>
      <c r="G313">
        <v>0.138765866253764</v>
      </c>
      <c r="H313">
        <v>0.110134080879743</v>
      </c>
      <c r="I313">
        <v>0.13571289079839699</v>
      </c>
      <c r="J313">
        <v>9.3078029608959306E-2</v>
      </c>
      <c r="K313">
        <v>7.0904651028792995E-2</v>
      </c>
      <c r="L313">
        <v>942.35985789930101</v>
      </c>
      <c r="M313">
        <v>20.2020886410501</v>
      </c>
      <c r="N313">
        <v>47.229345518338903</v>
      </c>
      <c r="O313">
        <v>46.196804310327202</v>
      </c>
      <c r="P313">
        <v>-9.7270112432619904E-2</v>
      </c>
      <c r="Q313">
        <v>0.11030431110848</v>
      </c>
      <c r="R313">
        <v>0.98936197497797895</v>
      </c>
      <c r="S313" t="s">
        <v>6598</v>
      </c>
      <c r="T313" t="s">
        <v>12568</v>
      </c>
      <c r="U313" t="s">
        <v>12568</v>
      </c>
      <c r="V313" t="s">
        <v>12568</v>
      </c>
      <c r="W313" t="s">
        <v>12877</v>
      </c>
      <c r="X313">
        <v>17</v>
      </c>
      <c r="Y313" t="s">
        <v>19107</v>
      </c>
      <c r="Z313" t="s">
        <v>25183</v>
      </c>
      <c r="AA313">
        <v>0.32035868825420172</v>
      </c>
      <c r="AB313" t="str">
        <f>HYPERLINK("Melting_Curves/meltCurve_E7EPL4_PDXDC1.pdf", "Melting_Curves/meltCurve_E7EPL4_PDXDC1.pdf")</f>
        <v>Melting_Curves/meltCurve_E7EPL4_PDXDC1.pdf</v>
      </c>
    </row>
    <row r="314" spans="1:28" x14ac:dyDescent="0.25">
      <c r="A314" t="s">
        <v>318</v>
      </c>
      <c r="B314">
        <v>0.99352677808782597</v>
      </c>
      <c r="C314">
        <v>0.95013448817785895</v>
      </c>
      <c r="D314">
        <v>0.95571290638779605</v>
      </c>
      <c r="E314">
        <v>0.72499989453349301</v>
      </c>
      <c r="F314">
        <v>0.69351330860440796</v>
      </c>
      <c r="G314">
        <v>0.59050310015263296</v>
      </c>
      <c r="H314">
        <v>0.69585745591528902</v>
      </c>
      <c r="I314">
        <v>0.75720452267254501</v>
      </c>
      <c r="J314">
        <v>0.81361575700347499</v>
      </c>
      <c r="K314">
        <v>0.669046086612892</v>
      </c>
      <c r="L314">
        <v>2405.7190680209301</v>
      </c>
      <c r="M314">
        <v>50.6191499572206</v>
      </c>
      <c r="O314">
        <v>47.451879384799597</v>
      </c>
      <c r="P314">
        <v>-7.9208288967171303E-2</v>
      </c>
      <c r="Q314">
        <v>0.70299159339859396</v>
      </c>
      <c r="R314">
        <v>0.81710742652369195</v>
      </c>
      <c r="S314" t="s">
        <v>6599</v>
      </c>
      <c r="T314" t="s">
        <v>12568</v>
      </c>
      <c r="U314" t="s">
        <v>12568</v>
      </c>
      <c r="V314" t="s">
        <v>12568</v>
      </c>
      <c r="W314" t="s">
        <v>12878</v>
      </c>
      <c r="X314">
        <v>13</v>
      </c>
      <c r="Y314" t="s">
        <v>19108</v>
      </c>
      <c r="Z314" t="s">
        <v>25184</v>
      </c>
      <c r="AA314">
        <v>0.77810768801428953</v>
      </c>
      <c r="AB314" t="str">
        <f>HYPERLINK("Melting_Curves/meltCurve_E7EPS8_PTPRM.pdf", "Melting_Curves/meltCurve_E7EPS8_PTPRM.pdf")</f>
        <v>Melting_Curves/meltCurve_E7EPS8_PTPRM.pdf</v>
      </c>
    </row>
    <row r="315" spans="1:28" x14ac:dyDescent="0.25">
      <c r="A315" t="s">
        <v>319</v>
      </c>
      <c r="B315">
        <v>0.99352677808782597</v>
      </c>
      <c r="C315">
        <v>0.711899183082079</v>
      </c>
      <c r="D315">
        <v>0.89325228137747603</v>
      </c>
      <c r="E315">
        <v>0.38866335836417398</v>
      </c>
      <c r="F315">
        <v>0.32050469529918102</v>
      </c>
      <c r="G315">
        <v>0.109699270919733</v>
      </c>
      <c r="H315">
        <v>6.3511157761420106E-2</v>
      </c>
      <c r="I315">
        <v>5.37997605847024E-2</v>
      </c>
      <c r="J315">
        <v>4.7650420177895302E-2</v>
      </c>
      <c r="K315">
        <v>3.7517357773726598E-2</v>
      </c>
      <c r="L315">
        <v>691.19324870548803</v>
      </c>
      <c r="M315">
        <v>14.0087496521767</v>
      </c>
      <c r="N315">
        <v>49.418638435223102</v>
      </c>
      <c r="O315">
        <v>48.367301019515203</v>
      </c>
      <c r="P315">
        <v>-7.16205873799583E-2</v>
      </c>
      <c r="Q315">
        <v>1.1007317721316299E-2</v>
      </c>
      <c r="R315">
        <v>0.94779426281922596</v>
      </c>
      <c r="S315" t="s">
        <v>6600</v>
      </c>
      <c r="T315" t="s">
        <v>12568</v>
      </c>
      <c r="U315" t="s">
        <v>12568</v>
      </c>
      <c r="V315" t="s">
        <v>12568</v>
      </c>
      <c r="W315" t="s">
        <v>12879</v>
      </c>
      <c r="X315">
        <v>11</v>
      </c>
      <c r="Y315" t="s">
        <v>19109</v>
      </c>
      <c r="Z315" t="s">
        <v>25185</v>
      </c>
      <c r="AA315">
        <v>0.3462167779228153</v>
      </c>
      <c r="AB315" t="str">
        <f>HYPERLINK("Melting_Curves/meltCurve_E7EQ69_NAA50.pdf", "Melting_Curves/meltCurve_E7EQ69_NAA50.pdf")</f>
        <v>Melting_Curves/meltCurve_E7EQ69_NAA50.pdf</v>
      </c>
    </row>
    <row r="316" spans="1:28" x14ac:dyDescent="0.25">
      <c r="A316" t="s">
        <v>320</v>
      </c>
      <c r="B316">
        <v>0.99352677808782597</v>
      </c>
      <c r="C316">
        <v>0.98496875492232105</v>
      </c>
      <c r="D316">
        <v>1.01567301721718</v>
      </c>
      <c r="E316">
        <v>1.02556987409565</v>
      </c>
      <c r="F316">
        <v>0.93456133083352599</v>
      </c>
      <c r="G316">
        <v>0.85399496818903098</v>
      </c>
      <c r="H316">
        <v>0.86628659820919895</v>
      </c>
      <c r="I316">
        <v>0.94443238368726901</v>
      </c>
      <c r="J316">
        <v>1.10206088638935</v>
      </c>
      <c r="K316">
        <v>0.907241464505113</v>
      </c>
      <c r="L316">
        <v>12968.641879630401</v>
      </c>
      <c r="M316">
        <v>250</v>
      </c>
      <c r="O316">
        <v>51.871251041263903</v>
      </c>
      <c r="P316">
        <v>-7.8668216975140898E-2</v>
      </c>
      <c r="Q316">
        <v>0.93471010273193</v>
      </c>
      <c r="R316">
        <v>0.22138111753074899</v>
      </c>
      <c r="S316" t="s">
        <v>6601</v>
      </c>
      <c r="T316" t="s">
        <v>12568</v>
      </c>
      <c r="U316" t="s">
        <v>12568</v>
      </c>
      <c r="V316" t="s">
        <v>12568</v>
      </c>
      <c r="W316" t="s">
        <v>12880</v>
      </c>
      <c r="X316">
        <v>28</v>
      </c>
      <c r="Y316" t="s">
        <v>19110</v>
      </c>
      <c r="Z316" t="s">
        <v>25186</v>
      </c>
      <c r="AA316">
        <v>0.96055902310895114</v>
      </c>
      <c r="AB316" t="str">
        <f>HYPERLINK("Melting_Curves/meltCurve_E7EQT4_ACIN1.pdf", "Melting_Curves/meltCurve_E7EQT4_ACIN1.pdf")</f>
        <v>Melting_Curves/meltCurve_E7EQT4_ACIN1.pdf</v>
      </c>
    </row>
    <row r="317" spans="1:28" x14ac:dyDescent="0.25">
      <c r="A317" t="s">
        <v>321</v>
      </c>
      <c r="B317">
        <v>0.99352677808782597</v>
      </c>
      <c r="C317">
        <v>0.77522220115824803</v>
      </c>
      <c r="D317">
        <v>0.56707176875135101</v>
      </c>
      <c r="E317">
        <v>0.25984491159451401</v>
      </c>
      <c r="F317">
        <v>0.28513384076494203</v>
      </c>
      <c r="G317">
        <v>0.141955392741583</v>
      </c>
      <c r="H317">
        <v>0.118448996204673</v>
      </c>
      <c r="I317">
        <v>0.109686544027916</v>
      </c>
      <c r="J317">
        <v>7.0325725656741195E-2</v>
      </c>
      <c r="K317">
        <v>7.2034547061831294E-2</v>
      </c>
      <c r="L317">
        <v>721.89228873986599</v>
      </c>
      <c r="M317">
        <v>15.5834198820507</v>
      </c>
      <c r="N317">
        <v>46.927257086799401</v>
      </c>
      <c r="O317">
        <v>45.581653786977498</v>
      </c>
      <c r="P317">
        <v>-7.77230242464899E-2</v>
      </c>
      <c r="Q317">
        <v>9.0716712507458899E-2</v>
      </c>
      <c r="R317">
        <v>0.98399298196270801</v>
      </c>
      <c r="S317" t="s">
        <v>6602</v>
      </c>
      <c r="T317" t="s">
        <v>12568</v>
      </c>
      <c r="U317" t="s">
        <v>12568</v>
      </c>
      <c r="V317" t="s">
        <v>12568</v>
      </c>
      <c r="W317" t="s">
        <v>12881</v>
      </c>
      <c r="X317">
        <v>5</v>
      </c>
      <c r="Y317" t="s">
        <v>19111</v>
      </c>
      <c r="Z317" t="s">
        <v>25187</v>
      </c>
      <c r="AA317">
        <v>0.30628448367636768</v>
      </c>
      <c r="AB317" t="str">
        <f>HYPERLINK("Melting_Curves/meltCurve_E7EQY4_MTA3.pdf", "Melting_Curves/meltCurve_E7EQY4_MTA3.pdf")</f>
        <v>Melting_Curves/meltCurve_E7EQY4_MTA3.pdf</v>
      </c>
    </row>
    <row r="318" spans="1:28" x14ac:dyDescent="0.25">
      <c r="A318" t="s">
        <v>322</v>
      </c>
      <c r="B318">
        <v>0.99352677808782597</v>
      </c>
      <c r="C318">
        <v>0.97699656551135805</v>
      </c>
      <c r="D318">
        <v>0.90673639516702198</v>
      </c>
      <c r="E318">
        <v>0.680612825773243</v>
      </c>
      <c r="F318">
        <v>0.58980783821314298</v>
      </c>
      <c r="G318">
        <v>0.46094674932924601</v>
      </c>
      <c r="H318">
        <v>0.39986852084319102</v>
      </c>
      <c r="I318">
        <v>0.41662343390617601</v>
      </c>
      <c r="J318">
        <v>0.43250762497149298</v>
      </c>
      <c r="K318">
        <v>0.37616724449657002</v>
      </c>
      <c r="L318">
        <v>873.82950631364702</v>
      </c>
      <c r="M318">
        <v>17.4248041354648</v>
      </c>
      <c r="N318">
        <v>55.092574339885097</v>
      </c>
      <c r="O318">
        <v>49.502078953471603</v>
      </c>
      <c r="P318">
        <v>-5.32151188054409E-2</v>
      </c>
      <c r="Q318">
        <v>0.395319148221215</v>
      </c>
      <c r="R318">
        <v>0.99408090186063702</v>
      </c>
      <c r="S318" t="s">
        <v>6603</v>
      </c>
      <c r="T318" t="s">
        <v>12568</v>
      </c>
      <c r="U318" t="s">
        <v>12568</v>
      </c>
      <c r="V318" t="s">
        <v>12568</v>
      </c>
      <c r="W318" t="s">
        <v>12882</v>
      </c>
      <c r="X318">
        <v>12</v>
      </c>
      <c r="Y318" t="s">
        <v>18863</v>
      </c>
      <c r="Z318" t="s">
        <v>25188</v>
      </c>
      <c r="AA318">
        <v>0.61081308031238768</v>
      </c>
      <c r="AB318" t="str">
        <f>HYPERLINK("Melting_Curves/meltCurve_E7ER32_MKL1.pdf", "Melting_Curves/meltCurve_E7ER32_MKL1.pdf")</f>
        <v>Melting_Curves/meltCurve_E7ER32_MKL1.pdf</v>
      </c>
    </row>
    <row r="319" spans="1:28" x14ac:dyDescent="0.25">
      <c r="A319" t="s">
        <v>323</v>
      </c>
      <c r="B319">
        <v>0.99352677808782597</v>
      </c>
      <c r="C319">
        <v>0.98866541897211102</v>
      </c>
      <c r="D319">
        <v>0.95430207872098705</v>
      </c>
      <c r="E319">
        <v>1.03369086074274</v>
      </c>
      <c r="F319">
        <v>0.80232391479404497</v>
      </c>
      <c r="G319">
        <v>0.44351529560261799</v>
      </c>
      <c r="H319">
        <v>0.22092953874499499</v>
      </c>
      <c r="I319">
        <v>0.20178051040676701</v>
      </c>
      <c r="J319">
        <v>0.166032596288993</v>
      </c>
      <c r="K319">
        <v>0.126984065087419</v>
      </c>
      <c r="L319">
        <v>1538.6886604302899</v>
      </c>
      <c r="M319">
        <v>27.667101510549799</v>
      </c>
      <c r="N319">
        <v>56.3632494901291</v>
      </c>
      <c r="O319">
        <v>55.326285218375901</v>
      </c>
      <c r="P319">
        <v>-0.105791023726199</v>
      </c>
      <c r="Q319">
        <v>0.15380077494369501</v>
      </c>
      <c r="R319">
        <v>0.99345363462261105</v>
      </c>
      <c r="S319" t="s">
        <v>6604</v>
      </c>
      <c r="T319" t="s">
        <v>12568</v>
      </c>
      <c r="U319" t="s">
        <v>12568</v>
      </c>
      <c r="V319" t="s">
        <v>12568</v>
      </c>
      <c r="W319" t="s">
        <v>12883</v>
      </c>
      <c r="X319">
        <v>10</v>
      </c>
      <c r="Y319" t="s">
        <v>19112</v>
      </c>
      <c r="Z319" t="s">
        <v>25189</v>
      </c>
      <c r="AA319">
        <v>0.60076288337171624</v>
      </c>
      <c r="AB319" t="str">
        <f>HYPERLINK("Melting_Curves/meltCurve_E7ER68_FAM91A1.pdf", "Melting_Curves/meltCurve_E7ER68_FAM91A1.pdf")</f>
        <v>Melting_Curves/meltCurve_E7ER68_FAM91A1.pdf</v>
      </c>
    </row>
    <row r="320" spans="1:28" x14ac:dyDescent="0.25">
      <c r="A320" t="s">
        <v>324</v>
      </c>
      <c r="B320">
        <v>0.99352677808782597</v>
      </c>
      <c r="C320">
        <v>0.95196404750524799</v>
      </c>
      <c r="D320">
        <v>0.96554206139403598</v>
      </c>
      <c r="E320">
        <v>1.0991259851383299</v>
      </c>
      <c r="F320">
        <v>1.0548533426323401</v>
      </c>
      <c r="G320">
        <v>1.0053865049220301</v>
      </c>
      <c r="H320">
        <v>0.719252481088544</v>
      </c>
      <c r="I320">
        <v>0.84459821771309695</v>
      </c>
      <c r="J320">
        <v>0.70192987579612098</v>
      </c>
      <c r="K320">
        <v>0.73766415250481998</v>
      </c>
      <c r="L320">
        <v>14683.171857813</v>
      </c>
      <c r="M320">
        <v>250</v>
      </c>
      <c r="O320">
        <v>58.728928505202198</v>
      </c>
      <c r="P320">
        <v>-0.26514098676861497</v>
      </c>
      <c r="Q320">
        <v>0.75085686160299003</v>
      </c>
      <c r="R320">
        <v>0.84964057688168004</v>
      </c>
      <c r="S320" t="s">
        <v>6605</v>
      </c>
      <c r="T320" t="s">
        <v>12568</v>
      </c>
      <c r="U320" t="s">
        <v>12568</v>
      </c>
      <c r="V320" t="s">
        <v>12568</v>
      </c>
      <c r="W320" t="s">
        <v>12884</v>
      </c>
      <c r="X320">
        <v>2</v>
      </c>
      <c r="Y320" t="s">
        <v>19113</v>
      </c>
      <c r="Z320" t="s">
        <v>25190</v>
      </c>
      <c r="AA320">
        <v>0.90645322659452232</v>
      </c>
      <c r="AB320" t="str">
        <f>HYPERLINK("Melting_Curves/meltCurve_E7ER77_ERMP1.pdf", "Melting_Curves/meltCurve_E7ER77_ERMP1.pdf")</f>
        <v>Melting_Curves/meltCurve_E7ER77_ERMP1.pdf</v>
      </c>
    </row>
    <row r="321" spans="1:28" x14ac:dyDescent="0.25">
      <c r="A321" t="s">
        <v>325</v>
      </c>
      <c r="B321">
        <v>0.99352677808782597</v>
      </c>
      <c r="C321">
        <v>0.78375752727385495</v>
      </c>
      <c r="D321">
        <v>0.912344066253713</v>
      </c>
      <c r="E321">
        <v>0.80119723015117195</v>
      </c>
      <c r="F321">
        <v>0.70247522806252105</v>
      </c>
      <c r="G321">
        <v>0.63065090114126399</v>
      </c>
      <c r="H321">
        <v>0.49165836857485501</v>
      </c>
      <c r="I321">
        <v>0.45339646458483901</v>
      </c>
      <c r="J321">
        <v>0.55376369071371301</v>
      </c>
      <c r="K321">
        <v>0.57121324115292704</v>
      </c>
      <c r="L321">
        <v>456.811221984263</v>
      </c>
      <c r="M321">
        <v>8.9091233974235298</v>
      </c>
      <c r="O321">
        <v>48.888543367535</v>
      </c>
      <c r="P321">
        <v>-2.47280188740392E-2</v>
      </c>
      <c r="Q321">
        <v>0.457632297738923</v>
      </c>
      <c r="R321">
        <v>0.85505991280587201</v>
      </c>
      <c r="S321" t="s">
        <v>6606</v>
      </c>
      <c r="T321" t="s">
        <v>12568</v>
      </c>
      <c r="U321" t="s">
        <v>12568</v>
      </c>
      <c r="V321" t="s">
        <v>12568</v>
      </c>
      <c r="W321" t="s">
        <v>12885</v>
      </c>
      <c r="X321">
        <v>1</v>
      </c>
      <c r="Y321" t="s">
        <v>19114</v>
      </c>
      <c r="Z321" t="s">
        <v>25191</v>
      </c>
      <c r="AA321">
        <v>0.68657118902286229</v>
      </c>
      <c r="AB321" t="str">
        <f>HYPERLINK("Melting_Curves/meltCurve_E7ER81_FAM193B.pdf", "Melting_Curves/meltCurve_E7ER81_FAM193B.pdf")</f>
        <v>Melting_Curves/meltCurve_E7ER81_FAM193B.pdf</v>
      </c>
    </row>
    <row r="322" spans="1:28" x14ac:dyDescent="0.25">
      <c r="A322" t="s">
        <v>326</v>
      </c>
      <c r="B322">
        <v>0.99352677808782597</v>
      </c>
      <c r="C322">
        <v>0.89301056073894503</v>
      </c>
      <c r="D322">
        <v>0.83812026723232802</v>
      </c>
      <c r="E322">
        <v>0.51774624404087499</v>
      </c>
      <c r="F322">
        <v>0.50287844405262905</v>
      </c>
      <c r="G322">
        <v>0.37272995783058699</v>
      </c>
      <c r="H322">
        <v>0.35924329914988801</v>
      </c>
      <c r="I322">
        <v>0.27341927957128698</v>
      </c>
      <c r="J322">
        <v>0.26476002691279299</v>
      </c>
      <c r="K322">
        <v>0.212183961357442</v>
      </c>
      <c r="L322">
        <v>619.67893049481097</v>
      </c>
      <c r="M322">
        <v>12.496146686900101</v>
      </c>
      <c r="N322">
        <v>52.274978579350098</v>
      </c>
      <c r="O322">
        <v>48.371022015565501</v>
      </c>
      <c r="P322">
        <v>-4.9297409610249802E-2</v>
      </c>
      <c r="Q322">
        <v>0.236860771905539</v>
      </c>
      <c r="R322">
        <v>0.97833477434438698</v>
      </c>
      <c r="S322" t="s">
        <v>6607</v>
      </c>
      <c r="T322" t="s">
        <v>12568</v>
      </c>
      <c r="U322" t="s">
        <v>12568</v>
      </c>
      <c r="V322" t="s">
        <v>12568</v>
      </c>
      <c r="W322" t="s">
        <v>12886</v>
      </c>
      <c r="X322">
        <v>3</v>
      </c>
      <c r="Y322" t="s">
        <v>19115</v>
      </c>
      <c r="Z322" t="s">
        <v>25192</v>
      </c>
      <c r="AA322">
        <v>0.50613495808711229</v>
      </c>
      <c r="AB322" t="str">
        <f>HYPERLINK("Melting_Curves/meltCurve_E7ERB7_GMIP.pdf", "Melting_Curves/meltCurve_E7ERB7_GMIP.pdf")</f>
        <v>Melting_Curves/meltCurve_E7ERB7_GMIP.pdf</v>
      </c>
    </row>
    <row r="323" spans="1:28" x14ac:dyDescent="0.25">
      <c r="A323" t="s">
        <v>327</v>
      </c>
      <c r="B323">
        <v>0.99352677808782597</v>
      </c>
      <c r="C323">
        <v>0.922975505465218</v>
      </c>
      <c r="D323">
        <v>1.00791871570923</v>
      </c>
      <c r="E323">
        <v>0.89394684603170205</v>
      </c>
      <c r="F323">
        <v>0.77971424174997594</v>
      </c>
      <c r="G323">
        <v>0.69086989838212198</v>
      </c>
      <c r="H323">
        <v>0.61129397971624799</v>
      </c>
      <c r="I323">
        <v>0.66888119085362396</v>
      </c>
      <c r="J323">
        <v>0.62890468034800395</v>
      </c>
      <c r="K323">
        <v>0.54910092703968805</v>
      </c>
      <c r="L323">
        <v>881.65495047723095</v>
      </c>
      <c r="M323">
        <v>16.668194473514699</v>
      </c>
      <c r="O323">
        <v>52.1506962094494</v>
      </c>
      <c r="P323">
        <v>-3.2438422007666501E-2</v>
      </c>
      <c r="Q323">
        <v>0.5940596561032</v>
      </c>
      <c r="R323">
        <v>0.94879061645020601</v>
      </c>
      <c r="S323" t="s">
        <v>6608</v>
      </c>
      <c r="T323" t="s">
        <v>12568</v>
      </c>
      <c r="U323" t="s">
        <v>12568</v>
      </c>
      <c r="V323" t="s">
        <v>12568</v>
      </c>
      <c r="W323" t="s">
        <v>12887</v>
      </c>
      <c r="X323">
        <v>10</v>
      </c>
      <c r="Y323" t="s">
        <v>19116</v>
      </c>
      <c r="Z323" t="s">
        <v>25193</v>
      </c>
      <c r="AA323">
        <v>0.77605391561997572</v>
      </c>
      <c r="AB323" t="str">
        <f>HYPERLINK("Melting_Curves/meltCurve_E7ERL6_MAST2.pdf", "Melting_Curves/meltCurve_E7ERL6_MAST2.pdf")</f>
        <v>Melting_Curves/meltCurve_E7ERL6_MAST2.pdf</v>
      </c>
    </row>
    <row r="324" spans="1:28" x14ac:dyDescent="0.25">
      <c r="A324" t="s">
        <v>328</v>
      </c>
      <c r="B324">
        <v>0.99352677808782597</v>
      </c>
      <c r="C324">
        <v>0.95878982994387696</v>
      </c>
      <c r="D324">
        <v>0.99783977572497495</v>
      </c>
      <c r="E324">
        <v>0.96879449381319904</v>
      </c>
      <c r="F324">
        <v>0.92169430309229805</v>
      </c>
      <c r="G324">
        <v>0.88194798824530896</v>
      </c>
      <c r="H324">
        <v>0.69616045710099095</v>
      </c>
      <c r="I324">
        <v>0.65275102297064203</v>
      </c>
      <c r="J324">
        <v>0.72361671871050304</v>
      </c>
      <c r="K324">
        <v>0.58357506754528399</v>
      </c>
      <c r="L324">
        <v>975.40492627667004</v>
      </c>
      <c r="M324">
        <v>16.694289902482399</v>
      </c>
      <c r="O324">
        <v>57.6084281904295</v>
      </c>
      <c r="P324">
        <v>-2.8858113128883901E-2</v>
      </c>
      <c r="Q324">
        <v>0.60169384779958301</v>
      </c>
      <c r="R324">
        <v>0.938195865153299</v>
      </c>
      <c r="S324" t="s">
        <v>6609</v>
      </c>
      <c r="T324" t="s">
        <v>12568</v>
      </c>
      <c r="U324" t="s">
        <v>12568</v>
      </c>
      <c r="V324" t="s">
        <v>12568</v>
      </c>
      <c r="W324" t="s">
        <v>12888</v>
      </c>
      <c r="X324">
        <v>15</v>
      </c>
      <c r="Y324" t="s">
        <v>19117</v>
      </c>
      <c r="Z324" t="s">
        <v>25194</v>
      </c>
      <c r="AA324">
        <v>0.85115681016874456</v>
      </c>
      <c r="AB324" t="str">
        <f>HYPERLINK("Melting_Curves/meltCurve_E7ES08_HMGB3.pdf", "Melting_Curves/meltCurve_E7ES08_HMGB3.pdf")</f>
        <v>Melting_Curves/meltCurve_E7ES08_HMGB3.pdf</v>
      </c>
    </row>
    <row r="325" spans="1:28" x14ac:dyDescent="0.25">
      <c r="A325" t="s">
        <v>329</v>
      </c>
      <c r="B325">
        <v>0.99352677808782597</v>
      </c>
      <c r="C325">
        <v>0.940749094222737</v>
      </c>
      <c r="D325">
        <v>0.96793917218898096</v>
      </c>
      <c r="E325">
        <v>0.60437230206072601</v>
      </c>
      <c r="F325">
        <v>0.54746509343292704</v>
      </c>
      <c r="G325">
        <v>0.25731615407458103</v>
      </c>
      <c r="H325">
        <v>0.20056833352329401</v>
      </c>
      <c r="I325">
        <v>0.187158061434331</v>
      </c>
      <c r="J325">
        <v>0.15317209427837999</v>
      </c>
      <c r="K325">
        <v>8.8773309329830005E-2</v>
      </c>
      <c r="L325">
        <v>803.70023259552897</v>
      </c>
      <c r="M325">
        <v>15.478923908011399</v>
      </c>
      <c r="N325">
        <v>52.785649535769203</v>
      </c>
      <c r="O325">
        <v>51.078775993728897</v>
      </c>
      <c r="P325">
        <v>-6.7293115717167201E-2</v>
      </c>
      <c r="Q325">
        <v>0.111839312733926</v>
      </c>
      <c r="R325">
        <v>0.98328844868154797</v>
      </c>
      <c r="S325" t="s">
        <v>6610</v>
      </c>
      <c r="T325" t="s">
        <v>12568</v>
      </c>
      <c r="U325" t="s">
        <v>12568</v>
      </c>
      <c r="V325" t="s">
        <v>12568</v>
      </c>
      <c r="W325" t="s">
        <v>12889</v>
      </c>
      <c r="X325">
        <v>14</v>
      </c>
      <c r="Y325" t="s">
        <v>19118</v>
      </c>
      <c r="Z325" t="s">
        <v>25195</v>
      </c>
      <c r="AA325">
        <v>0.48376175404771032</v>
      </c>
      <c r="AB325" t="str">
        <f>HYPERLINK("Melting_Curves/meltCurve_E7ES35_TTC38.pdf", "Melting_Curves/meltCurve_E7ES35_TTC38.pdf")</f>
        <v>Melting_Curves/meltCurve_E7ES35_TTC38.pdf</v>
      </c>
    </row>
    <row r="326" spans="1:28" x14ac:dyDescent="0.25">
      <c r="A326" t="s">
        <v>330</v>
      </c>
      <c r="B326">
        <v>0.99352677808782597</v>
      </c>
      <c r="C326">
        <v>0.95161702225011102</v>
      </c>
      <c r="D326">
        <v>0.80488441545818101</v>
      </c>
      <c r="E326">
        <v>0.27325685837786401</v>
      </c>
      <c r="F326">
        <v>0.22408855281777601</v>
      </c>
      <c r="G326">
        <v>0.16160302502802501</v>
      </c>
      <c r="H326">
        <v>0.14313717689430799</v>
      </c>
      <c r="I326">
        <v>0.137983648257609</v>
      </c>
      <c r="J326">
        <v>0.120545391153216</v>
      </c>
      <c r="K326">
        <v>0.12211681342601401</v>
      </c>
      <c r="L326">
        <v>1511.01976755643</v>
      </c>
      <c r="M326">
        <v>31.715644915425099</v>
      </c>
      <c r="N326">
        <v>48.148476958167798</v>
      </c>
      <c r="O326">
        <v>47.454539698728603</v>
      </c>
      <c r="P326">
        <v>-0.14341520246954201</v>
      </c>
      <c r="Q326">
        <v>0.14166482872050101</v>
      </c>
      <c r="R326">
        <v>0.995961900678215</v>
      </c>
      <c r="S326" t="s">
        <v>6611</v>
      </c>
      <c r="T326" t="s">
        <v>12568</v>
      </c>
      <c r="U326" t="s">
        <v>12568</v>
      </c>
      <c r="V326" t="s">
        <v>12568</v>
      </c>
      <c r="W326" t="s">
        <v>12890</v>
      </c>
      <c r="X326">
        <v>3</v>
      </c>
      <c r="Y326" t="s">
        <v>19119</v>
      </c>
      <c r="Z326" t="s">
        <v>25196</v>
      </c>
      <c r="AA326">
        <v>0.36491674597745483</v>
      </c>
      <c r="AB326" t="str">
        <f>HYPERLINK("Melting_Curves/meltCurve_E7ESD5_EYA4.pdf", "Melting_Curves/meltCurve_E7ESD5_EYA4.pdf")</f>
        <v>Melting_Curves/meltCurve_E7ESD5_EYA4.pdf</v>
      </c>
    </row>
    <row r="327" spans="1:28" x14ac:dyDescent="0.25">
      <c r="A327" t="s">
        <v>331</v>
      </c>
      <c r="B327">
        <v>0.99352677808782597</v>
      </c>
      <c r="C327">
        <v>1.0099537179055</v>
      </c>
      <c r="D327">
        <v>1.11145170563244</v>
      </c>
      <c r="E327">
        <v>0.86845923502226696</v>
      </c>
      <c r="F327">
        <v>0.62467562291295298</v>
      </c>
      <c r="G327">
        <v>0.66693528878276298</v>
      </c>
      <c r="H327">
        <v>0.47364489223106099</v>
      </c>
      <c r="I327">
        <v>0.55020893125138903</v>
      </c>
      <c r="J327">
        <v>0.53870323196051795</v>
      </c>
      <c r="K327">
        <v>0.477144846298652</v>
      </c>
      <c r="L327">
        <v>1952.73127716718</v>
      </c>
      <c r="M327">
        <v>38.073828488325603</v>
      </c>
      <c r="O327">
        <v>51.147145534160003</v>
      </c>
      <c r="P327">
        <v>-8.6341447407369806E-2</v>
      </c>
      <c r="Q327">
        <v>0.53604797422828498</v>
      </c>
      <c r="R327">
        <v>0.93064020091857103</v>
      </c>
      <c r="S327" t="s">
        <v>6612</v>
      </c>
      <c r="T327" t="s">
        <v>12568</v>
      </c>
      <c r="U327" t="s">
        <v>12568</v>
      </c>
      <c r="V327" t="s">
        <v>12568</v>
      </c>
      <c r="W327" t="s">
        <v>12891</v>
      </c>
      <c r="X327">
        <v>1</v>
      </c>
      <c r="Y327" t="s">
        <v>19120</v>
      </c>
      <c r="Z327" t="s">
        <v>25197</v>
      </c>
      <c r="AA327">
        <v>0.71243426294878953</v>
      </c>
      <c r="AB327" t="str">
        <f>HYPERLINK("Melting_Curves/meltCurve_E7ESU4_NAT10.pdf", "Melting_Curves/meltCurve_E7ESU4_NAT10.pdf")</f>
        <v>Melting_Curves/meltCurve_E7ESU4_NAT10.pdf</v>
      </c>
    </row>
    <row r="328" spans="1:28" x14ac:dyDescent="0.25">
      <c r="A328" t="s">
        <v>332</v>
      </c>
      <c r="B328">
        <v>0.99352677808782597</v>
      </c>
      <c r="C328">
        <v>0.92022588333607303</v>
      </c>
      <c r="D328">
        <v>0.94544538498419795</v>
      </c>
      <c r="E328">
        <v>0.68226015944353002</v>
      </c>
      <c r="F328">
        <v>0.60978169098919899</v>
      </c>
      <c r="G328">
        <v>0.37261374856062002</v>
      </c>
      <c r="H328">
        <v>0.29599666572680799</v>
      </c>
      <c r="I328">
        <v>0.296289634320478</v>
      </c>
      <c r="J328">
        <v>0.283897703190433</v>
      </c>
      <c r="K328">
        <v>0.24371645274756801</v>
      </c>
      <c r="L328">
        <v>772.76578271733797</v>
      </c>
      <c r="M328">
        <v>14.884685921579999</v>
      </c>
      <c r="N328">
        <v>54.287208667959597</v>
      </c>
      <c r="O328">
        <v>51.006774181443497</v>
      </c>
      <c r="P328">
        <v>-5.5527341475554402E-2</v>
      </c>
      <c r="Q328">
        <v>0.23895587368238</v>
      </c>
      <c r="R328">
        <v>0.98805831095193397</v>
      </c>
      <c r="S328" t="s">
        <v>6613</v>
      </c>
      <c r="T328" t="s">
        <v>12568</v>
      </c>
      <c r="U328" t="s">
        <v>12568</v>
      </c>
      <c r="V328" t="s">
        <v>12568</v>
      </c>
      <c r="W328" t="s">
        <v>12892</v>
      </c>
      <c r="X328">
        <v>17</v>
      </c>
      <c r="Y328" t="s">
        <v>19121</v>
      </c>
      <c r="Z328" t="s">
        <v>25198</v>
      </c>
      <c r="AA328">
        <v>0.55853060205574279</v>
      </c>
      <c r="AB328" t="str">
        <f>HYPERLINK("Melting_Curves/meltCurve_E7ET15_U2SURP.pdf", "Melting_Curves/meltCurve_E7ET15_U2SURP.pdf")</f>
        <v>Melting_Curves/meltCurve_E7ET15_U2SURP.pdf</v>
      </c>
    </row>
    <row r="329" spans="1:28" x14ac:dyDescent="0.25">
      <c r="A329" t="s">
        <v>333</v>
      </c>
      <c r="B329">
        <v>0.99352677808782597</v>
      </c>
      <c r="C329">
        <v>1.13764934103157</v>
      </c>
      <c r="D329">
        <v>0.99901999326225899</v>
      </c>
      <c r="E329">
        <v>0.88793822414710299</v>
      </c>
      <c r="F329">
        <v>0.69674098389793804</v>
      </c>
      <c r="G329">
        <v>0.59924051422223401</v>
      </c>
      <c r="H329">
        <v>0.53514593092448004</v>
      </c>
      <c r="I329">
        <v>0.48105639373870501</v>
      </c>
      <c r="J329">
        <v>0.549210277749273</v>
      </c>
      <c r="K329">
        <v>0.457795997009185</v>
      </c>
      <c r="L329">
        <v>1264.9790561524201</v>
      </c>
      <c r="M329">
        <v>24.1204400222137</v>
      </c>
      <c r="O329">
        <v>52.087787229103199</v>
      </c>
      <c r="P329">
        <v>-5.7480100722808097E-2</v>
      </c>
      <c r="Q329">
        <v>0.50349747388952204</v>
      </c>
      <c r="R329">
        <v>0.95224322620263802</v>
      </c>
      <c r="S329" t="s">
        <v>6614</v>
      </c>
      <c r="T329" t="s">
        <v>12568</v>
      </c>
      <c r="U329" t="s">
        <v>12568</v>
      </c>
      <c r="V329" t="s">
        <v>12568</v>
      </c>
      <c r="W329" t="s">
        <v>12893</v>
      </c>
      <c r="X329">
        <v>1</v>
      </c>
      <c r="Y329" t="s">
        <v>19122</v>
      </c>
      <c r="Z329" t="s">
        <v>25199</v>
      </c>
      <c r="AA329">
        <v>0.71432227590095088</v>
      </c>
      <c r="AB329" t="str">
        <f>HYPERLINK("Melting_Curves/meltCurve_E7ET33_ITIH3.pdf", "Melting_Curves/meltCurve_E7ET33_ITIH3.pdf")</f>
        <v>Melting_Curves/meltCurve_E7ET33_ITIH3.pdf</v>
      </c>
    </row>
    <row r="330" spans="1:28" x14ac:dyDescent="0.25">
      <c r="A330" t="s">
        <v>334</v>
      </c>
      <c r="B330">
        <v>0.99352677808782597</v>
      </c>
      <c r="C330">
        <v>0.956148022438706</v>
      </c>
      <c r="D330">
        <v>0.88432131411002701</v>
      </c>
      <c r="E330">
        <v>0.44999404049716601</v>
      </c>
      <c r="F330">
        <v>0.36039241141031197</v>
      </c>
      <c r="G330">
        <v>0.21478256320438499</v>
      </c>
      <c r="H330">
        <v>0.146367786869358</v>
      </c>
      <c r="I330">
        <v>0.11440710892212699</v>
      </c>
      <c r="J330">
        <v>0.11610050582977</v>
      </c>
      <c r="K330">
        <v>7.4963858166651604E-2</v>
      </c>
      <c r="L330">
        <v>919.36442151303299</v>
      </c>
      <c r="M330">
        <v>18.524405433419499</v>
      </c>
      <c r="N330">
        <v>50.290665127642697</v>
      </c>
      <c r="O330">
        <v>49.062379955868302</v>
      </c>
      <c r="P330">
        <v>-8.4199878989593399E-2</v>
      </c>
      <c r="Q330">
        <v>0.108016832136007</v>
      </c>
      <c r="R330">
        <v>0.99003105454692497</v>
      </c>
      <c r="S330" t="s">
        <v>6615</v>
      </c>
      <c r="T330" t="s">
        <v>12568</v>
      </c>
      <c r="U330" t="s">
        <v>12568</v>
      </c>
      <c r="V330" t="s">
        <v>12568</v>
      </c>
      <c r="W330" t="s">
        <v>12894</v>
      </c>
      <c r="X330">
        <v>4</v>
      </c>
      <c r="Y330" t="s">
        <v>19123</v>
      </c>
      <c r="Z330" t="s">
        <v>25200</v>
      </c>
      <c r="AA330">
        <v>0.40880086017244122</v>
      </c>
      <c r="AB330" t="str">
        <f>HYPERLINK("Melting_Curves/meltCurve_E7ET89_DTX2.pdf", "Melting_Curves/meltCurve_E7ET89_DTX2.pdf")</f>
        <v>Melting_Curves/meltCurve_E7ET89_DTX2.pdf</v>
      </c>
    </row>
    <row r="331" spans="1:28" x14ac:dyDescent="0.25">
      <c r="A331" t="s">
        <v>335</v>
      </c>
      <c r="B331">
        <v>0.99352677808782597</v>
      </c>
      <c r="C331">
        <v>1.0283911857604799</v>
      </c>
      <c r="D331">
        <v>0.96141425430049299</v>
      </c>
      <c r="E331">
        <v>0.70731955713160199</v>
      </c>
      <c r="F331">
        <v>0.60173082801310995</v>
      </c>
      <c r="G331">
        <v>0.44658326859110797</v>
      </c>
      <c r="H331">
        <v>0.36805102248333099</v>
      </c>
      <c r="I331">
        <v>0.36931762566796</v>
      </c>
      <c r="J331">
        <v>0.42180989770796201</v>
      </c>
      <c r="K331">
        <v>0.32296013156741199</v>
      </c>
      <c r="L331">
        <v>998.898520365644</v>
      </c>
      <c r="M331">
        <v>19.5459963504005</v>
      </c>
      <c r="N331">
        <v>54.717656718735199</v>
      </c>
      <c r="O331">
        <v>50.579105662635698</v>
      </c>
      <c r="P331">
        <v>-6.1598309824868601E-2</v>
      </c>
      <c r="Q331">
        <v>0.36243180998256502</v>
      </c>
      <c r="R331">
        <v>0.98561314922897703</v>
      </c>
      <c r="S331" t="s">
        <v>6616</v>
      </c>
      <c r="T331" t="s">
        <v>12568</v>
      </c>
      <c r="U331" t="s">
        <v>12568</v>
      </c>
      <c r="V331" t="s">
        <v>12568</v>
      </c>
      <c r="W331" t="s">
        <v>12895</v>
      </c>
      <c r="X331">
        <v>9</v>
      </c>
      <c r="Y331" t="s">
        <v>19124</v>
      </c>
      <c r="Z331" t="s">
        <v>25201</v>
      </c>
      <c r="AA331">
        <v>0.60767220565904834</v>
      </c>
      <c r="AB331" t="str">
        <f>HYPERLINK("Melting_Curves/meltCurve_E7ET96_TNIP1.pdf", "Melting_Curves/meltCurve_E7ET96_TNIP1.pdf")</f>
        <v>Melting_Curves/meltCurve_E7ET96_TNIP1.pdf</v>
      </c>
    </row>
    <row r="332" spans="1:28" x14ac:dyDescent="0.25">
      <c r="A332" t="s">
        <v>336</v>
      </c>
      <c r="B332">
        <v>0.99352677808782597</v>
      </c>
      <c r="C332">
        <v>0.93574601438302296</v>
      </c>
      <c r="D332">
        <v>1.02423508741594</v>
      </c>
      <c r="E332">
        <v>0.74503984261739897</v>
      </c>
      <c r="F332">
        <v>0.63813840502682195</v>
      </c>
      <c r="G332">
        <v>0.43007391894112501</v>
      </c>
      <c r="H332">
        <v>0.38942097597427999</v>
      </c>
      <c r="I332">
        <v>0.39036019794507998</v>
      </c>
      <c r="J332">
        <v>0.370566233554595</v>
      </c>
      <c r="K332">
        <v>0.29046640810122198</v>
      </c>
      <c r="L332">
        <v>976.93230541081698</v>
      </c>
      <c r="M332">
        <v>18.776735894246901</v>
      </c>
      <c r="N332">
        <v>55.376017263074701</v>
      </c>
      <c r="O332">
        <v>51.449504083222699</v>
      </c>
      <c r="P332">
        <v>-6.0285706515320503E-2</v>
      </c>
      <c r="Q332">
        <v>0.33928023696378001</v>
      </c>
      <c r="R332">
        <v>0.97815102992257696</v>
      </c>
      <c r="S332" t="s">
        <v>6617</v>
      </c>
      <c r="T332" t="s">
        <v>12568</v>
      </c>
      <c r="U332" t="s">
        <v>12568</v>
      </c>
      <c r="V332" t="s">
        <v>12568</v>
      </c>
      <c r="W332" t="s">
        <v>12896</v>
      </c>
      <c r="X332">
        <v>2</v>
      </c>
      <c r="Y332" t="s">
        <v>19125</v>
      </c>
      <c r="Z332" t="s">
        <v>25202</v>
      </c>
      <c r="AA332">
        <v>0.6144236370121916</v>
      </c>
      <c r="AB332" t="str">
        <f>HYPERLINK("Melting_Curves/meltCurve_E7ETU5_RBMS1.pdf", "Melting_Curves/meltCurve_E7ETU5_RBMS1.pdf")</f>
        <v>Melting_Curves/meltCurve_E7ETU5_RBMS1.pdf</v>
      </c>
    </row>
    <row r="333" spans="1:28" x14ac:dyDescent="0.25">
      <c r="A333" t="s">
        <v>337</v>
      </c>
      <c r="B333">
        <v>0.99352677808782597</v>
      </c>
      <c r="C333">
        <v>0.96856055626636495</v>
      </c>
      <c r="D333">
        <v>0.773807376482882</v>
      </c>
      <c r="E333">
        <v>0.41294383458218697</v>
      </c>
      <c r="F333">
        <v>0.32807876773792399</v>
      </c>
      <c r="G333">
        <v>0.19878462440415801</v>
      </c>
      <c r="H333">
        <v>0.127522525562827</v>
      </c>
      <c r="I333">
        <v>0.11088348130679</v>
      </c>
      <c r="J333">
        <v>9.9413481376862206E-2</v>
      </c>
      <c r="K333">
        <v>7.3227082563975907E-2</v>
      </c>
      <c r="L333">
        <v>842.38504746434705</v>
      </c>
      <c r="M333">
        <v>17.2210077716962</v>
      </c>
      <c r="N333">
        <v>49.534826214748897</v>
      </c>
      <c r="O333">
        <v>48.2708112593062</v>
      </c>
      <c r="P333">
        <v>-8.0563706945270305E-2</v>
      </c>
      <c r="Q333">
        <v>9.6766614215090294E-2</v>
      </c>
      <c r="R333">
        <v>0.99325815870349399</v>
      </c>
      <c r="S333" t="s">
        <v>6618</v>
      </c>
      <c r="T333" t="s">
        <v>12568</v>
      </c>
      <c r="U333" t="s">
        <v>12568</v>
      </c>
      <c r="V333" t="s">
        <v>12568</v>
      </c>
      <c r="W333" t="s">
        <v>12897</v>
      </c>
      <c r="X333">
        <v>21</v>
      </c>
      <c r="Y333" t="s">
        <v>19126</v>
      </c>
      <c r="Z333" t="s">
        <v>25203</v>
      </c>
      <c r="AA333">
        <v>0.38232456415307509</v>
      </c>
      <c r="AB333" t="str">
        <f>HYPERLINK("Melting_Curves/meltCurve_E7ETU9_PLOD2.pdf", "Melting_Curves/meltCurve_E7ETU9_PLOD2.pdf")</f>
        <v>Melting_Curves/meltCurve_E7ETU9_PLOD2.pdf</v>
      </c>
    </row>
    <row r="334" spans="1:28" x14ac:dyDescent="0.25">
      <c r="A334" t="s">
        <v>338</v>
      </c>
      <c r="B334">
        <v>0.99352677808782597</v>
      </c>
      <c r="C334">
        <v>0.93251388698262305</v>
      </c>
      <c r="D334">
        <v>0.98201253047731396</v>
      </c>
      <c r="E334">
        <v>0.49352222732262302</v>
      </c>
      <c r="F334">
        <v>0.38423856623413299</v>
      </c>
      <c r="G334">
        <v>0.15263202434203399</v>
      </c>
      <c r="H334">
        <v>0.104501041099807</v>
      </c>
      <c r="I334">
        <v>9.2667469477265493E-2</v>
      </c>
      <c r="J334">
        <v>8.2630760456607902E-2</v>
      </c>
      <c r="K334">
        <v>6.1084537568535602E-2</v>
      </c>
      <c r="L334">
        <v>1049.95511949611</v>
      </c>
      <c r="M334">
        <v>20.8350342390764</v>
      </c>
      <c r="N334">
        <v>50.810586677439801</v>
      </c>
      <c r="O334">
        <v>49.936385965782101</v>
      </c>
      <c r="P334">
        <v>-9.6116033739705301E-2</v>
      </c>
      <c r="Q334">
        <v>7.8560770532182203E-2</v>
      </c>
      <c r="R334">
        <v>0.98478793092734696</v>
      </c>
      <c r="S334" t="s">
        <v>6619</v>
      </c>
      <c r="T334" t="s">
        <v>12568</v>
      </c>
      <c r="U334" t="s">
        <v>12568</v>
      </c>
      <c r="V334" t="s">
        <v>12568</v>
      </c>
      <c r="W334" t="s">
        <v>12898</v>
      </c>
      <c r="X334">
        <v>23</v>
      </c>
      <c r="Y334" t="s">
        <v>19127</v>
      </c>
      <c r="Z334" t="s">
        <v>25204</v>
      </c>
      <c r="AA334">
        <v>0.40963955271768521</v>
      </c>
      <c r="AB334" t="str">
        <f>HYPERLINK("Melting_Curves/meltCurve_E7ETZ4_BZW2.pdf", "Melting_Curves/meltCurve_E7ETZ4_BZW2.pdf")</f>
        <v>Melting_Curves/meltCurve_E7ETZ4_BZW2.pdf</v>
      </c>
    </row>
    <row r="335" spans="1:28" x14ac:dyDescent="0.25">
      <c r="A335" t="s">
        <v>339</v>
      </c>
      <c r="B335">
        <v>0.99352677808782597</v>
      </c>
      <c r="C335">
        <v>1.0059939132399101</v>
      </c>
      <c r="D335">
        <v>0.87919048721863002</v>
      </c>
      <c r="E335">
        <v>0.85739456306091899</v>
      </c>
      <c r="F335">
        <v>0.73532010947450299</v>
      </c>
      <c r="G335">
        <v>0.29776433798165097</v>
      </c>
      <c r="H335">
        <v>0.160255613316381</v>
      </c>
      <c r="I335">
        <v>0.13778574560108101</v>
      </c>
      <c r="J335">
        <v>0.11779652826784801</v>
      </c>
      <c r="K335">
        <v>9.2919777098152703E-2</v>
      </c>
      <c r="L335">
        <v>1226.1936058922199</v>
      </c>
      <c r="M335">
        <v>22.523872913656898</v>
      </c>
      <c r="N335">
        <v>54.940958850522001</v>
      </c>
      <c r="O335">
        <v>54.0160586056653</v>
      </c>
      <c r="P335">
        <v>-9.4566470800446306E-2</v>
      </c>
      <c r="Q335">
        <v>9.2872850742955704E-2</v>
      </c>
      <c r="R335">
        <v>0.98774408916491196</v>
      </c>
      <c r="S335" t="s">
        <v>6620</v>
      </c>
      <c r="T335" t="s">
        <v>12568</v>
      </c>
      <c r="U335" t="s">
        <v>12568</v>
      </c>
      <c r="V335" t="s">
        <v>12568</v>
      </c>
      <c r="W335" t="s">
        <v>12899</v>
      </c>
      <c r="X335">
        <v>17</v>
      </c>
      <c r="Y335" t="s">
        <v>19128</v>
      </c>
      <c r="Z335" t="s">
        <v>25205</v>
      </c>
      <c r="AA335">
        <v>0.53957283426161584</v>
      </c>
      <c r="AB335" t="str">
        <f>HYPERLINK("Melting_Curves/meltCurve_E7EU96_CSNK2A1.pdf", "Melting_Curves/meltCurve_E7EU96_CSNK2A1.pdf")</f>
        <v>Melting_Curves/meltCurve_E7EU96_CSNK2A1.pdf</v>
      </c>
    </row>
    <row r="336" spans="1:28" x14ac:dyDescent="0.25">
      <c r="A336" t="s">
        <v>340</v>
      </c>
      <c r="B336">
        <v>0.99352677808782597</v>
      </c>
      <c r="C336">
        <v>0.80971269862645501</v>
      </c>
      <c r="D336">
        <v>0.56220326360059003</v>
      </c>
      <c r="E336">
        <v>1.18745407113075</v>
      </c>
      <c r="F336">
        <v>1.47445419632164</v>
      </c>
      <c r="G336">
        <v>1.84779867066529</v>
      </c>
      <c r="H336">
        <v>1.378049356997</v>
      </c>
      <c r="I336">
        <v>1.3499369354594499</v>
      </c>
      <c r="J336">
        <v>1.19249605712482</v>
      </c>
      <c r="K336">
        <v>1.0325304493582901</v>
      </c>
      <c r="L336">
        <v>12501.1345864784</v>
      </c>
      <c r="M336">
        <v>250</v>
      </c>
      <c r="O336">
        <v>50.001338405078101</v>
      </c>
      <c r="P336">
        <v>0.47400100940973999</v>
      </c>
      <c r="Q336">
        <v>1.3792109574329301</v>
      </c>
      <c r="R336">
        <v>0.47927889148763902</v>
      </c>
      <c r="S336" t="s">
        <v>6621</v>
      </c>
      <c r="T336" t="s">
        <v>12568</v>
      </c>
      <c r="U336" t="s">
        <v>12568</v>
      </c>
      <c r="V336" t="s">
        <v>12568</v>
      </c>
      <c r="W336" t="s">
        <v>12900</v>
      </c>
      <c r="X336">
        <v>5</v>
      </c>
      <c r="Y336" t="s">
        <v>19129</v>
      </c>
      <c r="Z336" t="s">
        <v>25206</v>
      </c>
      <c r="AA336">
        <v>1.2527166601185831</v>
      </c>
      <c r="AB336" t="str">
        <f>HYPERLINK("Melting_Curves/meltCurve_E7EUC6_NAV3.pdf", "Melting_Curves/meltCurve_E7EUC6_NAV3.pdf")</f>
        <v>Melting_Curves/meltCurve_E7EUC6_NAV3.pdf</v>
      </c>
    </row>
    <row r="337" spans="1:28" x14ac:dyDescent="0.25">
      <c r="A337" t="s">
        <v>341</v>
      </c>
      <c r="B337">
        <v>0.99352677808782597</v>
      </c>
      <c r="C337">
        <v>0.996590410641646</v>
      </c>
      <c r="D337">
        <v>0.91079448823819198</v>
      </c>
      <c r="E337">
        <v>0.33740020174572199</v>
      </c>
      <c r="F337">
        <v>0.32315615091279998</v>
      </c>
      <c r="G337">
        <v>0.198855945169569</v>
      </c>
      <c r="H337">
        <v>0.17267350239087401</v>
      </c>
      <c r="I337">
        <v>0.156546250792893</v>
      </c>
      <c r="J337">
        <v>0.126282860687568</v>
      </c>
      <c r="K337">
        <v>9.3746136647827202E-2</v>
      </c>
      <c r="L337">
        <v>1574.6339818040799</v>
      </c>
      <c r="M337">
        <v>32.467608800016698</v>
      </c>
      <c r="N337">
        <v>49.090645558732803</v>
      </c>
      <c r="O337">
        <v>48.315733960172302</v>
      </c>
      <c r="P337">
        <v>-0.14078238080015501</v>
      </c>
      <c r="Q337">
        <v>0.16199898557418899</v>
      </c>
      <c r="R337">
        <v>0.98177634632862898</v>
      </c>
      <c r="S337" t="s">
        <v>6622</v>
      </c>
      <c r="T337" t="s">
        <v>12568</v>
      </c>
      <c r="U337" t="s">
        <v>12568</v>
      </c>
      <c r="V337" t="s">
        <v>12568</v>
      </c>
      <c r="W337" t="s">
        <v>12901</v>
      </c>
      <c r="X337">
        <v>31</v>
      </c>
      <c r="Y337" t="s">
        <v>19130</v>
      </c>
      <c r="Z337" t="s">
        <v>25207</v>
      </c>
      <c r="AA337">
        <v>0.40370177632326498</v>
      </c>
      <c r="AB337" t="str">
        <f>HYPERLINK("Melting_Curves/meltCurve_E7EUI8_G6PD.pdf", "Melting_Curves/meltCurve_E7EUI8_G6PD.pdf")</f>
        <v>Melting_Curves/meltCurve_E7EUI8_G6PD.pdf</v>
      </c>
    </row>
    <row r="338" spans="1:28" x14ac:dyDescent="0.25">
      <c r="A338" t="s">
        <v>342</v>
      </c>
      <c r="B338">
        <v>0.99352677808782597</v>
      </c>
      <c r="C338">
        <v>0.98848533266858496</v>
      </c>
      <c r="D338">
        <v>0.919458458063805</v>
      </c>
      <c r="E338">
        <v>0.35188017481483103</v>
      </c>
      <c r="F338">
        <v>0.27327907113102601</v>
      </c>
      <c r="G338">
        <v>0.158935400430817</v>
      </c>
      <c r="H338">
        <v>0.10144582615139699</v>
      </c>
      <c r="I338">
        <v>9.8009363857089193E-2</v>
      </c>
      <c r="J338">
        <v>6.7874482001249195E-2</v>
      </c>
      <c r="K338">
        <v>5.4273330321092897E-2</v>
      </c>
      <c r="L338">
        <v>1399.9229444075499</v>
      </c>
      <c r="M338">
        <v>28.628630288935899</v>
      </c>
      <c r="N338">
        <v>49.285889286322202</v>
      </c>
      <c r="O338">
        <v>48.662672575442897</v>
      </c>
      <c r="P338">
        <v>-0.13229060600282799</v>
      </c>
      <c r="Q338">
        <v>0.100541753473411</v>
      </c>
      <c r="R338">
        <v>0.98749908406382703</v>
      </c>
      <c r="S338" t="s">
        <v>6623</v>
      </c>
      <c r="T338" t="s">
        <v>12568</v>
      </c>
      <c r="U338" t="s">
        <v>12568</v>
      </c>
      <c r="V338" t="s">
        <v>12568</v>
      </c>
      <c r="W338" t="s">
        <v>12902</v>
      </c>
      <c r="X338">
        <v>10</v>
      </c>
      <c r="Y338" t="s">
        <v>19131</v>
      </c>
      <c r="Z338" t="s">
        <v>25208</v>
      </c>
      <c r="AA338">
        <v>0.37338592999611109</v>
      </c>
      <c r="AB338" t="str">
        <f>HYPERLINK("Melting_Curves/meltCurve_E7EUM5_NUP54.pdf", "Melting_Curves/meltCurve_E7EUM5_NUP54.pdf")</f>
        <v>Melting_Curves/meltCurve_E7EUM5_NUP54.pdf</v>
      </c>
    </row>
    <row r="339" spans="1:28" x14ac:dyDescent="0.25">
      <c r="A339" t="s">
        <v>343</v>
      </c>
      <c r="B339">
        <v>0.99352677808782597</v>
      </c>
      <c r="C339">
        <v>0.96458858224854005</v>
      </c>
      <c r="D339">
        <v>0.99479692165260603</v>
      </c>
      <c r="E339">
        <v>0.679209237127673</v>
      </c>
      <c r="F339">
        <v>0.58106431743781095</v>
      </c>
      <c r="G339">
        <v>0.33903716048403298</v>
      </c>
      <c r="H339">
        <v>0.286745453925003</v>
      </c>
      <c r="I339">
        <v>0.31040145454095602</v>
      </c>
      <c r="J339">
        <v>0.25847141861775902</v>
      </c>
      <c r="K339">
        <v>0.251864368988789</v>
      </c>
      <c r="L339">
        <v>992.42584986971406</v>
      </c>
      <c r="M339">
        <v>19.252869503988698</v>
      </c>
      <c r="N339">
        <v>53.580324169949797</v>
      </c>
      <c r="O339">
        <v>51.000454556207998</v>
      </c>
      <c r="P339">
        <v>-6.9915808453899594E-2</v>
      </c>
      <c r="Q339">
        <v>0.25920587510838999</v>
      </c>
      <c r="R339">
        <v>0.98748540637747695</v>
      </c>
      <c r="S339" t="s">
        <v>6624</v>
      </c>
      <c r="T339" t="s">
        <v>12568</v>
      </c>
      <c r="U339" t="s">
        <v>12568</v>
      </c>
      <c r="V339" t="s">
        <v>12568</v>
      </c>
      <c r="W339" t="s">
        <v>12903</v>
      </c>
      <c r="X339">
        <v>3</v>
      </c>
      <c r="Y339" t="s">
        <v>19132</v>
      </c>
      <c r="Z339" t="s">
        <v>25209</v>
      </c>
      <c r="AA339">
        <v>0.555338334055547</v>
      </c>
      <c r="AB339" t="str">
        <f>HYPERLINK("Melting_Curves/meltCurve_E7EUR8_FAM193A.pdf", "Melting_Curves/meltCurve_E7EUR8_FAM193A.pdf")</f>
        <v>Melting_Curves/meltCurve_E7EUR8_FAM193A.pdf</v>
      </c>
    </row>
    <row r="340" spans="1:28" x14ac:dyDescent="0.25">
      <c r="A340" t="s">
        <v>344</v>
      </c>
      <c r="B340">
        <v>0.99352677808782597</v>
      </c>
      <c r="C340">
        <v>0.92111545081972901</v>
      </c>
      <c r="D340">
        <v>0.82095990321595802</v>
      </c>
      <c r="E340">
        <v>0.47701615712222101</v>
      </c>
      <c r="F340">
        <v>0.38573560064340101</v>
      </c>
      <c r="G340">
        <v>0.262905934104675</v>
      </c>
      <c r="H340">
        <v>0.213655658504464</v>
      </c>
      <c r="I340">
        <v>0.199764424843279</v>
      </c>
      <c r="J340">
        <v>0.19931371104564899</v>
      </c>
      <c r="K340">
        <v>0.15931694878621799</v>
      </c>
      <c r="L340">
        <v>829.46846036108695</v>
      </c>
      <c r="M340">
        <v>16.9454255733114</v>
      </c>
      <c r="N340">
        <v>50.297145455552098</v>
      </c>
      <c r="O340">
        <v>48.282948326649198</v>
      </c>
      <c r="P340">
        <v>-7.1734010741690404E-2</v>
      </c>
      <c r="Q340">
        <v>0.182478379404934</v>
      </c>
      <c r="R340">
        <v>0.99526508658961899</v>
      </c>
      <c r="S340" t="s">
        <v>6625</v>
      </c>
      <c r="T340" t="s">
        <v>12568</v>
      </c>
      <c r="U340" t="s">
        <v>12568</v>
      </c>
      <c r="V340" t="s">
        <v>12568</v>
      </c>
      <c r="W340" t="s">
        <v>12904</v>
      </c>
      <c r="X340">
        <v>59</v>
      </c>
      <c r="Y340" t="s">
        <v>19133</v>
      </c>
      <c r="Z340" t="s">
        <v>25210</v>
      </c>
      <c r="AA340">
        <v>0.44233336503635778</v>
      </c>
      <c r="AB340" t="str">
        <f>HYPERLINK("Melting_Curves/meltCurve_E7EUU4_EIF4G1.pdf", "Melting_Curves/meltCurve_E7EUU4_EIF4G1.pdf")</f>
        <v>Melting_Curves/meltCurve_E7EUU4_EIF4G1.pdf</v>
      </c>
    </row>
    <row r="341" spans="1:28" x14ac:dyDescent="0.25">
      <c r="A341" t="s">
        <v>345</v>
      </c>
      <c r="B341">
        <v>0.99352677808782597</v>
      </c>
      <c r="C341">
        <v>1.00376404021149</v>
      </c>
      <c r="D341">
        <v>0.73353422318211303</v>
      </c>
      <c r="E341">
        <v>1.5152530296295199</v>
      </c>
      <c r="F341">
        <v>1.22859041029753</v>
      </c>
      <c r="G341">
        <v>0.879253624700995</v>
      </c>
      <c r="H341">
        <v>0.28329189404523702</v>
      </c>
      <c r="I341">
        <v>0.189929763255621</v>
      </c>
      <c r="J341">
        <v>0.12315618687179899</v>
      </c>
      <c r="K341">
        <v>9.5407433183144305E-2</v>
      </c>
      <c r="L341">
        <v>2963.8843670695201</v>
      </c>
      <c r="M341">
        <v>50.0789276596525</v>
      </c>
      <c r="N341">
        <v>59.532680014176002</v>
      </c>
      <c r="O341">
        <v>59.090115690827602</v>
      </c>
      <c r="P341">
        <v>-0.18496223230317599</v>
      </c>
      <c r="Q341">
        <v>0.12702360559929199</v>
      </c>
      <c r="R341">
        <v>0.82817069877181904</v>
      </c>
      <c r="S341" t="s">
        <v>6626</v>
      </c>
      <c r="T341" t="s">
        <v>12568</v>
      </c>
      <c r="U341" t="s">
        <v>12568</v>
      </c>
      <c r="V341" t="s">
        <v>12568</v>
      </c>
      <c r="W341" t="s">
        <v>12905</v>
      </c>
      <c r="X341">
        <v>6</v>
      </c>
      <c r="Y341" t="s">
        <v>19134</v>
      </c>
      <c r="Z341" t="s">
        <v>25211</v>
      </c>
      <c r="AA341">
        <v>0.68752030010229048</v>
      </c>
      <c r="AB341" t="str">
        <f>HYPERLINK("Melting_Curves/meltCurve_E7EUY3_PCCB.pdf", "Melting_Curves/meltCurve_E7EUY3_PCCB.pdf")</f>
        <v>Melting_Curves/meltCurve_E7EUY3_PCCB.pdf</v>
      </c>
    </row>
    <row r="342" spans="1:28" x14ac:dyDescent="0.25">
      <c r="A342" t="s">
        <v>346</v>
      </c>
      <c r="B342">
        <v>0.99352677808782597</v>
      </c>
      <c r="C342">
        <v>0.90201341964318904</v>
      </c>
      <c r="D342">
        <v>1.8446890172828401</v>
      </c>
      <c r="E342">
        <v>2.1987061590615098</v>
      </c>
      <c r="F342">
        <v>0.81499204468724895</v>
      </c>
      <c r="G342">
        <v>0.89433727438267197</v>
      </c>
      <c r="H342">
        <v>1.7326004731587099</v>
      </c>
      <c r="I342">
        <v>0.760138432891585</v>
      </c>
      <c r="J342">
        <v>0.576891960737415</v>
      </c>
      <c r="K342">
        <v>0.61942382368571303</v>
      </c>
      <c r="L342">
        <v>15000</v>
      </c>
      <c r="M342">
        <v>234.76707540428399</v>
      </c>
      <c r="O342">
        <v>63.888501626826198</v>
      </c>
      <c r="P342">
        <v>-0.36916622200036098</v>
      </c>
      <c r="Q342">
        <v>0.59814691044149704</v>
      </c>
      <c r="R342">
        <v>6.8474722486211601E-2</v>
      </c>
      <c r="S342" t="s">
        <v>6627</v>
      </c>
      <c r="T342" t="s">
        <v>12568</v>
      </c>
      <c r="U342" t="s">
        <v>12568</v>
      </c>
      <c r="V342" t="s">
        <v>12568</v>
      </c>
      <c r="W342" t="s">
        <v>12906</v>
      </c>
      <c r="X342">
        <v>1</v>
      </c>
      <c r="Y342" t="s">
        <v>19135</v>
      </c>
      <c r="Z342" t="s">
        <v>25212</v>
      </c>
      <c r="AA342">
        <v>0.9182487600240028</v>
      </c>
      <c r="AB342" t="str">
        <f>HYPERLINK("Melting_Curves/meltCurve_E7EV07_ARHGEF4.pdf", "Melting_Curves/meltCurve_E7EV07_ARHGEF4.pdf")</f>
        <v>Melting_Curves/meltCurve_E7EV07_ARHGEF4.pdf</v>
      </c>
    </row>
    <row r="343" spans="1:28" x14ac:dyDescent="0.25">
      <c r="A343" t="s">
        <v>347</v>
      </c>
      <c r="B343">
        <v>0.99352677808782597</v>
      </c>
      <c r="C343">
        <v>1.10795114023722</v>
      </c>
      <c r="D343">
        <v>1.17694732001113</v>
      </c>
      <c r="E343">
        <v>1.09119617512619</v>
      </c>
      <c r="F343">
        <v>0.93049756664945005</v>
      </c>
      <c r="G343">
        <v>0.65074114074699696</v>
      </c>
      <c r="H343">
        <v>0.38357452495128103</v>
      </c>
      <c r="I343">
        <v>0.36017396342442698</v>
      </c>
      <c r="J343">
        <v>0.37492331023639602</v>
      </c>
      <c r="K343">
        <v>0.325713288171673</v>
      </c>
      <c r="L343">
        <v>2107.3790006787299</v>
      </c>
      <c r="M343">
        <v>37.1469052587465</v>
      </c>
      <c r="N343">
        <v>58.603056740346197</v>
      </c>
      <c r="O343">
        <v>56.567283455134302</v>
      </c>
      <c r="P343">
        <v>-0.10714116396395</v>
      </c>
      <c r="Q343">
        <v>0.34738382934248901</v>
      </c>
      <c r="R343">
        <v>0.95234217226375095</v>
      </c>
      <c r="S343" t="s">
        <v>6628</v>
      </c>
      <c r="T343" t="s">
        <v>12568</v>
      </c>
      <c r="U343" t="s">
        <v>12568</v>
      </c>
      <c r="V343" t="s">
        <v>12568</v>
      </c>
      <c r="W343" t="s">
        <v>12907</v>
      </c>
      <c r="X343">
        <v>9</v>
      </c>
      <c r="Y343" t="s">
        <v>19136</v>
      </c>
      <c r="Z343" t="s">
        <v>25213</v>
      </c>
      <c r="AA343">
        <v>0.71427162023293234</v>
      </c>
      <c r="AB343" t="str">
        <f>HYPERLINK("Melting_Curves/meltCurve_E7EV62_ARFGAP1.pdf", "Melting_Curves/meltCurve_E7EV62_ARFGAP1.pdf")</f>
        <v>Melting_Curves/meltCurve_E7EV62_ARFGAP1.pdf</v>
      </c>
    </row>
    <row r="344" spans="1:28" x14ac:dyDescent="0.25">
      <c r="A344" t="s">
        <v>348</v>
      </c>
      <c r="B344">
        <v>0.99352677808782597</v>
      </c>
      <c r="C344">
        <v>0.96878246714034699</v>
      </c>
      <c r="D344">
        <v>1.01914303955003</v>
      </c>
      <c r="E344">
        <v>0.99876338744655002</v>
      </c>
      <c r="F344">
        <v>0.91611380157489297</v>
      </c>
      <c r="G344">
        <v>0.85453996677077804</v>
      </c>
      <c r="H344">
        <v>0.85239226229183795</v>
      </c>
      <c r="I344">
        <v>0.86674734261745701</v>
      </c>
      <c r="J344">
        <v>1.0394767134238401</v>
      </c>
      <c r="K344">
        <v>0.82273691175400598</v>
      </c>
      <c r="L344">
        <v>7192.1481712905397</v>
      </c>
      <c r="M344">
        <v>136.765768982579</v>
      </c>
      <c r="O344">
        <v>52.576099630202997</v>
      </c>
      <c r="P344">
        <v>-7.3369810992800905E-2</v>
      </c>
      <c r="Q344">
        <v>0.88717941745769102</v>
      </c>
      <c r="R344">
        <v>0.453600646640061</v>
      </c>
      <c r="S344" t="s">
        <v>6629</v>
      </c>
      <c r="T344" t="s">
        <v>12568</v>
      </c>
      <c r="U344" t="s">
        <v>12568</v>
      </c>
      <c r="V344" t="s">
        <v>12568</v>
      </c>
      <c r="W344" t="s">
        <v>12908</v>
      </c>
      <c r="X344">
        <v>110</v>
      </c>
      <c r="Y344" t="s">
        <v>19137</v>
      </c>
      <c r="Z344" t="s">
        <v>25214</v>
      </c>
      <c r="AA344">
        <v>0.93455126585129533</v>
      </c>
      <c r="AB344" t="str">
        <f>HYPERLINK("Melting_Curves/meltCurve_E7EVA0_MAP4.pdf", "Melting_Curves/meltCurve_E7EVA0_MAP4.pdf")</f>
        <v>Melting_Curves/meltCurve_E7EVA0_MAP4.pdf</v>
      </c>
    </row>
    <row r="345" spans="1:28" x14ac:dyDescent="0.25">
      <c r="A345" t="s">
        <v>349</v>
      </c>
      <c r="B345">
        <v>0.99352677808782597</v>
      </c>
      <c r="C345">
        <v>0.98239036251423495</v>
      </c>
      <c r="D345">
        <v>1.0956599985250399</v>
      </c>
      <c r="E345">
        <v>0.91562212089926698</v>
      </c>
      <c r="F345">
        <v>0.82542610717607701</v>
      </c>
      <c r="G345">
        <v>0.45158113454561299</v>
      </c>
      <c r="H345">
        <v>0.17991535407355699</v>
      </c>
      <c r="I345">
        <v>0.18016164650813099</v>
      </c>
      <c r="J345">
        <v>0.153802249621109</v>
      </c>
      <c r="K345">
        <v>0.112204850911166</v>
      </c>
      <c r="L345">
        <v>1434.7300566092199</v>
      </c>
      <c r="M345">
        <v>25.7350003891728</v>
      </c>
      <c r="N345">
        <v>56.382219784953897</v>
      </c>
      <c r="O345">
        <v>55.416796503531401</v>
      </c>
      <c r="P345">
        <v>-0.101550916126252</v>
      </c>
      <c r="Q345">
        <v>0.125306720132914</v>
      </c>
      <c r="R345">
        <v>0.99055359017050204</v>
      </c>
      <c r="S345" t="s">
        <v>6630</v>
      </c>
      <c r="T345" t="s">
        <v>12568</v>
      </c>
      <c r="U345" t="s">
        <v>12568</v>
      </c>
      <c r="V345" t="s">
        <v>12568</v>
      </c>
      <c r="W345" t="s">
        <v>12909</v>
      </c>
      <c r="X345">
        <v>4</v>
      </c>
      <c r="Y345" t="s">
        <v>19138</v>
      </c>
      <c r="Z345" t="s">
        <v>25215</v>
      </c>
      <c r="AA345">
        <v>0.59218978442974313</v>
      </c>
      <c r="AB345" t="str">
        <f>HYPERLINK("Melting_Curves/meltCurve_E7EVH9_HDHD1.pdf", "Melting_Curves/meltCurve_E7EVH9_HDHD1.pdf")</f>
        <v>Melting_Curves/meltCurve_E7EVH9_HDHD1.pdf</v>
      </c>
    </row>
    <row r="346" spans="1:28" x14ac:dyDescent="0.25">
      <c r="A346" t="s">
        <v>350</v>
      </c>
      <c r="B346">
        <v>0.99352677808782597</v>
      </c>
      <c r="C346">
        <v>0.97020373490922396</v>
      </c>
      <c r="D346">
        <v>0.84675560157433605</v>
      </c>
      <c r="E346">
        <v>0.96856501405083695</v>
      </c>
      <c r="F346">
        <v>0.75789753325821896</v>
      </c>
      <c r="G346">
        <v>0.33944457302556602</v>
      </c>
      <c r="H346">
        <v>0.17983030149496501</v>
      </c>
      <c r="I346">
        <v>0.16526597963977999</v>
      </c>
      <c r="J346">
        <v>0.14485251540963501</v>
      </c>
      <c r="K346">
        <v>0.111745632336509</v>
      </c>
      <c r="L346">
        <v>1561.5742364148</v>
      </c>
      <c r="M346">
        <v>28.519737740141</v>
      </c>
      <c r="N346">
        <v>55.355401343298901</v>
      </c>
      <c r="O346">
        <v>54.487076425201401</v>
      </c>
      <c r="P346">
        <v>-0.11342760002329599</v>
      </c>
      <c r="Q346">
        <v>0.13319132598726699</v>
      </c>
      <c r="R346">
        <v>0.98189485059628401</v>
      </c>
      <c r="S346" t="s">
        <v>6631</v>
      </c>
      <c r="T346" t="s">
        <v>12568</v>
      </c>
      <c r="U346" t="s">
        <v>12568</v>
      </c>
      <c r="V346" t="s">
        <v>12568</v>
      </c>
      <c r="W346" t="s">
        <v>12910</v>
      </c>
      <c r="X346">
        <v>21</v>
      </c>
      <c r="Y346" t="s">
        <v>19139</v>
      </c>
      <c r="Z346" t="s">
        <v>25216</v>
      </c>
      <c r="AA346">
        <v>0.56580457951035723</v>
      </c>
      <c r="AB346" t="str">
        <f>HYPERLINK("Melting_Curves/meltCurve_E7EVJ5_CYFIP2.pdf", "Melting_Curves/meltCurve_E7EVJ5_CYFIP2.pdf")</f>
        <v>Melting_Curves/meltCurve_E7EVJ5_CYFIP2.pdf</v>
      </c>
    </row>
    <row r="347" spans="1:28" x14ac:dyDescent="0.25">
      <c r="A347" t="s">
        <v>351</v>
      </c>
      <c r="B347">
        <v>0.99352677808782597</v>
      </c>
      <c r="C347">
        <v>0.95605530376145598</v>
      </c>
      <c r="D347">
        <v>0.91324122035780697</v>
      </c>
      <c r="E347">
        <v>0.63517056715491005</v>
      </c>
      <c r="F347">
        <v>0.57774752914536398</v>
      </c>
      <c r="G347">
        <v>0.24854967346354601</v>
      </c>
      <c r="H347">
        <v>0.17803129059956099</v>
      </c>
      <c r="I347">
        <v>0.15344434300354401</v>
      </c>
      <c r="J347">
        <v>0.13951898583816599</v>
      </c>
      <c r="K347">
        <v>0.112931042294281</v>
      </c>
      <c r="L347">
        <v>777.26353662171698</v>
      </c>
      <c r="M347">
        <v>14.8752154518042</v>
      </c>
      <c r="N347">
        <v>52.977003703391802</v>
      </c>
      <c r="O347">
        <v>51.335181478431799</v>
      </c>
      <c r="P347">
        <v>-6.5779175191776701E-2</v>
      </c>
      <c r="Q347">
        <v>9.2064669840259794E-2</v>
      </c>
      <c r="R347">
        <v>0.98956527547963602</v>
      </c>
      <c r="S347" t="s">
        <v>6632</v>
      </c>
      <c r="T347" t="s">
        <v>12568</v>
      </c>
      <c r="U347" t="s">
        <v>12568</v>
      </c>
      <c r="V347" t="s">
        <v>12568</v>
      </c>
      <c r="W347" t="s">
        <v>12911</v>
      </c>
      <c r="X347">
        <v>8</v>
      </c>
      <c r="Y347" t="s">
        <v>19140</v>
      </c>
      <c r="Z347" t="s">
        <v>25217</v>
      </c>
      <c r="AA347">
        <v>0.48324201031694769</v>
      </c>
      <c r="AB347" t="str">
        <f>HYPERLINK("Melting_Curves/meltCurve_E7EVY7_POR.pdf", "Melting_Curves/meltCurve_E7EVY7_POR.pdf")</f>
        <v>Melting_Curves/meltCurve_E7EVY7_POR.pdf</v>
      </c>
    </row>
    <row r="348" spans="1:28" x14ac:dyDescent="0.25">
      <c r="A348" t="s">
        <v>352</v>
      </c>
      <c r="B348">
        <v>0.99352677808782597</v>
      </c>
      <c r="C348">
        <v>1.0204630280642799</v>
      </c>
      <c r="D348">
        <v>1.0152410630372</v>
      </c>
      <c r="E348">
        <v>0.93070058531458999</v>
      </c>
      <c r="F348">
        <v>0.85737034103255305</v>
      </c>
      <c r="G348">
        <v>0.74522059903600002</v>
      </c>
      <c r="H348">
        <v>0.70592800996730698</v>
      </c>
      <c r="I348">
        <v>0.74424715061305802</v>
      </c>
      <c r="J348">
        <v>0.83988166168060796</v>
      </c>
      <c r="K348">
        <v>0.67707808811152803</v>
      </c>
      <c r="L348">
        <v>1578.3262825239201</v>
      </c>
      <c r="M348">
        <v>30.2014996724516</v>
      </c>
      <c r="O348">
        <v>52.0323548227937</v>
      </c>
      <c r="P348">
        <v>-3.7864291015085802E-2</v>
      </c>
      <c r="Q348">
        <v>0.73906521075815101</v>
      </c>
      <c r="R348">
        <v>0.89239149839604104</v>
      </c>
      <c r="S348" t="s">
        <v>6633</v>
      </c>
      <c r="T348" t="s">
        <v>12568</v>
      </c>
      <c r="U348" t="s">
        <v>12568</v>
      </c>
      <c r="V348" t="s">
        <v>12568</v>
      </c>
      <c r="W348" t="s">
        <v>12912</v>
      </c>
      <c r="X348">
        <v>14</v>
      </c>
      <c r="Y348" t="s">
        <v>19141</v>
      </c>
      <c r="Z348" t="s">
        <v>25218</v>
      </c>
      <c r="AA348">
        <v>0.84735126625029789</v>
      </c>
      <c r="AB348" t="str">
        <f>HYPERLINK("Melting_Curves/meltCurve_E7EVZ3_RAI1.pdf", "Melting_Curves/meltCurve_E7EVZ3_RAI1.pdf")</f>
        <v>Melting_Curves/meltCurve_E7EVZ3_RAI1.pdf</v>
      </c>
    </row>
    <row r="349" spans="1:28" x14ac:dyDescent="0.25">
      <c r="A349" t="s">
        <v>353</v>
      </c>
      <c r="B349">
        <v>0.99352677808782597</v>
      </c>
      <c r="C349">
        <v>1.0138557489801301</v>
      </c>
      <c r="D349">
        <v>0.94647716904536305</v>
      </c>
      <c r="E349">
        <v>1.4169032709901499</v>
      </c>
      <c r="F349">
        <v>1.2061871921951499</v>
      </c>
      <c r="G349">
        <v>0.65956282461939897</v>
      </c>
      <c r="H349">
        <v>0.176880087138163</v>
      </c>
      <c r="I349">
        <v>0.156634143282189</v>
      </c>
      <c r="J349">
        <v>0.103683831954658</v>
      </c>
      <c r="K349">
        <v>7.5612542801550206E-2</v>
      </c>
      <c r="L349">
        <v>4506.4017140447704</v>
      </c>
      <c r="M349">
        <v>78.595413506004803</v>
      </c>
      <c r="N349">
        <v>57.549107002740001</v>
      </c>
      <c r="O349">
        <v>57.2996131790795</v>
      </c>
      <c r="P349">
        <v>-0.299741448827062</v>
      </c>
      <c r="Q349">
        <v>0.12589979969689899</v>
      </c>
      <c r="R349">
        <v>0.90287604307176506</v>
      </c>
      <c r="S349" t="s">
        <v>6634</v>
      </c>
      <c r="T349" t="s">
        <v>12568</v>
      </c>
      <c r="U349" t="s">
        <v>12568</v>
      </c>
      <c r="V349" t="s">
        <v>12568</v>
      </c>
      <c r="W349" t="s">
        <v>12913</v>
      </c>
      <c r="X349">
        <v>13</v>
      </c>
      <c r="Y349" t="s">
        <v>19142</v>
      </c>
      <c r="Z349" t="s">
        <v>25219</v>
      </c>
      <c r="AA349">
        <v>0.631925295245231</v>
      </c>
      <c r="AB349" t="str">
        <f>HYPERLINK("Melting_Curves/meltCurve_E7EW69_SEPT10.pdf", "Melting_Curves/meltCurve_E7EW69_SEPT10.pdf")</f>
        <v>Melting_Curves/meltCurve_E7EW69_SEPT10.pdf</v>
      </c>
    </row>
    <row r="350" spans="1:28" x14ac:dyDescent="0.25">
      <c r="A350" t="s">
        <v>354</v>
      </c>
      <c r="B350">
        <v>0.99352677808782597</v>
      </c>
      <c r="C350">
        <v>0.98423017190940398</v>
      </c>
      <c r="D350">
        <v>0.96158857593818803</v>
      </c>
      <c r="E350">
        <v>0.53670449619857397</v>
      </c>
      <c r="F350">
        <v>0.47712940987843</v>
      </c>
      <c r="G350">
        <v>0.38341787048106302</v>
      </c>
      <c r="H350">
        <v>0.32833846957331803</v>
      </c>
      <c r="I350">
        <v>0.34377666779128302</v>
      </c>
      <c r="J350">
        <v>0.317833446992491</v>
      </c>
      <c r="K350">
        <v>0.39364699073527798</v>
      </c>
      <c r="L350">
        <v>1579.91317189858</v>
      </c>
      <c r="M350">
        <v>32.2883452982717</v>
      </c>
      <c r="N350">
        <v>50.940202009562697</v>
      </c>
      <c r="O350">
        <v>48.744828441239903</v>
      </c>
      <c r="P350">
        <v>-0.10597653319033901</v>
      </c>
      <c r="Q350">
        <v>0.36004366141065802</v>
      </c>
      <c r="R350">
        <v>0.98436945614077198</v>
      </c>
      <c r="S350" t="s">
        <v>6635</v>
      </c>
      <c r="T350" t="s">
        <v>12568</v>
      </c>
      <c r="U350" t="s">
        <v>12568</v>
      </c>
      <c r="V350" t="s">
        <v>12568</v>
      </c>
      <c r="W350" t="s">
        <v>12914</v>
      </c>
      <c r="X350">
        <v>4</v>
      </c>
      <c r="Y350" t="s">
        <v>19143</v>
      </c>
      <c r="Z350" t="s">
        <v>25220</v>
      </c>
      <c r="AA350">
        <v>0.55391640283867516</v>
      </c>
      <c r="AB350" t="str">
        <f>HYPERLINK("Melting_Curves/meltCurve_E7EW80_PPIL2.pdf", "Melting_Curves/meltCurve_E7EW80_PPIL2.pdf")</f>
        <v>Melting_Curves/meltCurve_E7EW80_PPIL2.pdf</v>
      </c>
    </row>
    <row r="351" spans="1:28" x14ac:dyDescent="0.25">
      <c r="A351" t="s">
        <v>355</v>
      </c>
      <c r="B351">
        <v>0.99352677808782597</v>
      </c>
      <c r="C351">
        <v>0.92993316201857201</v>
      </c>
      <c r="D351">
        <v>0.73457272659476602</v>
      </c>
      <c r="E351">
        <v>0.39173087986243599</v>
      </c>
      <c r="F351">
        <v>0.33741622471176802</v>
      </c>
      <c r="G351">
        <v>0.245261082647903</v>
      </c>
      <c r="H351">
        <v>0.18082557008526901</v>
      </c>
      <c r="I351">
        <v>0.16622140988605999</v>
      </c>
      <c r="J351">
        <v>0.13931320208461501</v>
      </c>
      <c r="K351">
        <v>9.7342113275344602E-2</v>
      </c>
      <c r="L351">
        <v>801.01425754658305</v>
      </c>
      <c r="M351">
        <v>16.620893728435298</v>
      </c>
      <c r="N351">
        <v>49.188302789659403</v>
      </c>
      <c r="O351">
        <v>47.511778330275</v>
      </c>
      <c r="P351">
        <v>-7.4975141836132797E-2</v>
      </c>
      <c r="Q351">
        <v>0.14277474896706899</v>
      </c>
      <c r="R351">
        <v>0.98994553311505795</v>
      </c>
      <c r="S351" t="s">
        <v>6636</v>
      </c>
      <c r="T351" t="s">
        <v>12568</v>
      </c>
      <c r="U351" t="s">
        <v>12568</v>
      </c>
      <c r="V351" t="s">
        <v>12568</v>
      </c>
      <c r="W351" t="s">
        <v>12915</v>
      </c>
      <c r="X351">
        <v>5</v>
      </c>
      <c r="Y351" t="s">
        <v>19144</v>
      </c>
      <c r="Z351" t="s">
        <v>25221</v>
      </c>
      <c r="AA351">
        <v>0.39470081171700971</v>
      </c>
      <c r="AB351" t="str">
        <f>HYPERLINK("Melting_Curves/meltCurve_E7EW84_EXOC6.pdf", "Melting_Curves/meltCurve_E7EW84_EXOC6.pdf")</f>
        <v>Melting_Curves/meltCurve_E7EW84_EXOC6.pdf</v>
      </c>
    </row>
    <row r="352" spans="1:28" x14ac:dyDescent="0.25">
      <c r="A352" t="s">
        <v>356</v>
      </c>
      <c r="B352">
        <v>0.99352677808782597</v>
      </c>
      <c r="C352">
        <v>0.87915021437263996</v>
      </c>
      <c r="D352">
        <v>0.84376815055834697</v>
      </c>
      <c r="E352">
        <v>0.43836487717919298</v>
      </c>
      <c r="F352">
        <v>0.33634907383455398</v>
      </c>
      <c r="G352">
        <v>0.147114784760805</v>
      </c>
      <c r="H352">
        <v>8.77325215139583E-2</v>
      </c>
      <c r="I352">
        <v>7.9952062797592899E-2</v>
      </c>
      <c r="J352">
        <v>6.7992882376910702E-2</v>
      </c>
      <c r="K352">
        <v>5.2582431588261001E-2</v>
      </c>
      <c r="L352">
        <v>800.69291298829205</v>
      </c>
      <c r="M352">
        <v>16.156521617221401</v>
      </c>
      <c r="N352">
        <v>49.887812314190398</v>
      </c>
      <c r="O352">
        <v>48.817917621357303</v>
      </c>
      <c r="P352">
        <v>-7.8559652516088097E-2</v>
      </c>
      <c r="Q352">
        <v>5.0580507086353199E-2</v>
      </c>
      <c r="R352">
        <v>0.99202291206698601</v>
      </c>
      <c r="S352" t="s">
        <v>6637</v>
      </c>
      <c r="T352" t="s">
        <v>12568</v>
      </c>
      <c r="U352" t="s">
        <v>12568</v>
      </c>
      <c r="V352" t="s">
        <v>12568</v>
      </c>
      <c r="W352" t="s">
        <v>12916</v>
      </c>
      <c r="X352">
        <v>9</v>
      </c>
      <c r="Y352" t="s">
        <v>19145</v>
      </c>
      <c r="Z352" t="s">
        <v>25222</v>
      </c>
      <c r="AA352">
        <v>0.37310607545916408</v>
      </c>
      <c r="AB352" t="str">
        <f>HYPERLINK("Melting_Curves/meltCurve_E7EWC2_IQGAP2.pdf", "Melting_Curves/meltCurve_E7EWC2_IQGAP2.pdf")</f>
        <v>Melting_Curves/meltCurve_E7EWC2_IQGAP2.pdf</v>
      </c>
    </row>
    <row r="353" spans="1:28" x14ac:dyDescent="0.25">
      <c r="A353" t="s">
        <v>357</v>
      </c>
      <c r="B353">
        <v>0.99352677808782597</v>
      </c>
      <c r="C353">
        <v>1.08662648502781</v>
      </c>
      <c r="D353">
        <v>0.99751707295152403</v>
      </c>
      <c r="E353">
        <v>0.72001257090125304</v>
      </c>
      <c r="F353">
        <v>0.80581710283237096</v>
      </c>
      <c r="G353">
        <v>0.60542247438692698</v>
      </c>
      <c r="H353">
        <v>0.57169631751576</v>
      </c>
      <c r="I353">
        <v>0.55760343115766697</v>
      </c>
      <c r="J353">
        <v>0.48668498049303999</v>
      </c>
      <c r="K353">
        <v>0.476444653032776</v>
      </c>
      <c r="L353">
        <v>741.36886180153897</v>
      </c>
      <c r="M353">
        <v>14.0127942436071</v>
      </c>
      <c r="N353">
        <v>69.584376419496294</v>
      </c>
      <c r="O353">
        <v>51.864031378183597</v>
      </c>
      <c r="P353">
        <v>-3.4952330403365699E-2</v>
      </c>
      <c r="Q353">
        <v>0.48260718778995798</v>
      </c>
      <c r="R353">
        <v>0.92303122409761595</v>
      </c>
      <c r="S353" t="s">
        <v>6638</v>
      </c>
      <c r="T353" t="s">
        <v>12568</v>
      </c>
      <c r="U353" t="s">
        <v>12568</v>
      </c>
      <c r="V353" t="s">
        <v>12568</v>
      </c>
      <c r="W353" t="s">
        <v>12917</v>
      </c>
      <c r="X353">
        <v>6</v>
      </c>
      <c r="Y353" t="s">
        <v>19146</v>
      </c>
      <c r="Z353" t="s">
        <v>25223</v>
      </c>
      <c r="AA353">
        <v>0.71746432673254956</v>
      </c>
      <c r="AB353" t="str">
        <f>HYPERLINK("Melting_Curves/meltCurve_E7EWD6_ASXL2.pdf", "Melting_Curves/meltCurve_E7EWD6_ASXL2.pdf")</f>
        <v>Melting_Curves/meltCurve_E7EWD6_ASXL2.pdf</v>
      </c>
    </row>
    <row r="354" spans="1:28" x14ac:dyDescent="0.25">
      <c r="A354" t="s">
        <v>358</v>
      </c>
      <c r="B354">
        <v>0.99352677808782597</v>
      </c>
      <c r="C354">
        <v>0.751436792482431</v>
      </c>
      <c r="D354">
        <v>0.51024048282100798</v>
      </c>
      <c r="E354">
        <v>0.352664994573336</v>
      </c>
      <c r="F354">
        <v>0.27992488132293603</v>
      </c>
      <c r="G354">
        <v>0.17730619358086899</v>
      </c>
      <c r="H354">
        <v>0.120043631481437</v>
      </c>
      <c r="I354">
        <v>0.13922803634358899</v>
      </c>
      <c r="J354">
        <v>0.101955824239448</v>
      </c>
      <c r="K354">
        <v>6.53212667612562E-2</v>
      </c>
      <c r="L354">
        <v>627.54432023734603</v>
      </c>
      <c r="M354">
        <v>13.5604626993044</v>
      </c>
      <c r="N354">
        <v>47.031115842288699</v>
      </c>
      <c r="O354">
        <v>45.305885868290403</v>
      </c>
      <c r="P354">
        <v>-6.7530355599994402E-2</v>
      </c>
      <c r="Q354">
        <v>9.7652087090910097E-2</v>
      </c>
      <c r="R354">
        <v>0.98130057987759001</v>
      </c>
      <c r="S354" t="s">
        <v>6639</v>
      </c>
      <c r="T354" t="s">
        <v>12568</v>
      </c>
      <c r="U354" t="s">
        <v>12568</v>
      </c>
      <c r="V354" t="s">
        <v>12568</v>
      </c>
      <c r="W354" t="s">
        <v>12918</v>
      </c>
      <c r="X354">
        <v>6</v>
      </c>
      <c r="Y354" t="s">
        <v>19147</v>
      </c>
      <c r="Z354" t="s">
        <v>25224</v>
      </c>
      <c r="AA354">
        <v>0.31815534780681481</v>
      </c>
      <c r="AB354" t="str">
        <f>HYPERLINK("Melting_Curves/meltCurve_E7EX01_MPP2.pdf", "Melting_Curves/meltCurve_E7EX01_MPP2.pdf")</f>
        <v>Melting_Curves/meltCurve_E7EX01_MPP2.pdf</v>
      </c>
    </row>
    <row r="355" spans="1:28" x14ac:dyDescent="0.25">
      <c r="A355" t="s">
        <v>359</v>
      </c>
      <c r="B355">
        <v>0.99352677808782597</v>
      </c>
      <c r="C355">
        <v>0.95341336467378801</v>
      </c>
      <c r="D355">
        <v>1.0818866022457601</v>
      </c>
      <c r="E355">
        <v>0.99153015283927903</v>
      </c>
      <c r="F355">
        <v>0.65692571285143098</v>
      </c>
      <c r="G355">
        <v>0.89154164748489495</v>
      </c>
      <c r="H355">
        <v>0.76849825662401094</v>
      </c>
      <c r="I355">
        <v>0.79145188976916003</v>
      </c>
      <c r="J355">
        <v>1.11059737865429</v>
      </c>
      <c r="K355">
        <v>1.02824993903884</v>
      </c>
      <c r="L355">
        <v>12631.1025381042</v>
      </c>
      <c r="M355">
        <v>250</v>
      </c>
      <c r="O355">
        <v>50.521190690137701</v>
      </c>
      <c r="P355">
        <v>-0.15520152733237</v>
      </c>
      <c r="Q355">
        <v>0.874544578858787</v>
      </c>
      <c r="R355">
        <v>0.209657454008116</v>
      </c>
      <c r="S355" t="s">
        <v>6640</v>
      </c>
      <c r="T355" t="s">
        <v>12568</v>
      </c>
      <c r="U355" t="s">
        <v>12568</v>
      </c>
      <c r="V355" t="s">
        <v>12568</v>
      </c>
      <c r="W355" t="s">
        <v>12919</v>
      </c>
      <c r="X355">
        <v>45</v>
      </c>
      <c r="Y355" t="s">
        <v>19148</v>
      </c>
      <c r="Z355" t="s">
        <v>25225</v>
      </c>
      <c r="AA355">
        <v>0.91856717986610514</v>
      </c>
      <c r="AB355" t="str">
        <f>HYPERLINK("Melting_Curves/meltCurve_E7EX44_CALD1.pdf", "Melting_Curves/meltCurve_E7EX44_CALD1.pdf")</f>
        <v>Melting_Curves/meltCurve_E7EX44_CALD1.pdf</v>
      </c>
    </row>
    <row r="356" spans="1:28" x14ac:dyDescent="0.25">
      <c r="A356" t="s">
        <v>360</v>
      </c>
      <c r="B356">
        <v>0.99352677808782597</v>
      </c>
      <c r="C356">
        <v>0.81307550086714897</v>
      </c>
      <c r="D356">
        <v>0.76638042542080098</v>
      </c>
      <c r="E356">
        <v>0.62538284905338204</v>
      </c>
      <c r="F356">
        <v>0.67051282591271</v>
      </c>
      <c r="G356">
        <v>0.43513861622133598</v>
      </c>
      <c r="H356">
        <v>0.32403314465906602</v>
      </c>
      <c r="I356">
        <v>0.36446576522019603</v>
      </c>
      <c r="J356">
        <v>0.31031300024196901</v>
      </c>
      <c r="K356">
        <v>0.32169712709933901</v>
      </c>
      <c r="L356">
        <v>410.10028933693502</v>
      </c>
      <c r="M356">
        <v>7.9377987514178399</v>
      </c>
      <c r="N356">
        <v>55.391559163824802</v>
      </c>
      <c r="O356">
        <v>48.6939963710306</v>
      </c>
      <c r="P356">
        <v>-3.2358696594189003E-2</v>
      </c>
      <c r="Q356">
        <v>0.20691279584509201</v>
      </c>
      <c r="R356">
        <v>0.95213267884005903</v>
      </c>
      <c r="S356" t="s">
        <v>6641</v>
      </c>
      <c r="T356" t="s">
        <v>12568</v>
      </c>
      <c r="U356" t="s">
        <v>12568</v>
      </c>
      <c r="V356" t="s">
        <v>12568</v>
      </c>
      <c r="W356" t="s">
        <v>12920</v>
      </c>
      <c r="X356">
        <v>1</v>
      </c>
      <c r="Y356" t="s">
        <v>19149</v>
      </c>
      <c r="Z356" t="s">
        <v>25226</v>
      </c>
      <c r="AA356">
        <v>0.55458895457637358</v>
      </c>
      <c r="AB356" t="str">
        <f>HYPERLINK("Melting_Curves/meltCurve_E7EX48_NEK4.pdf", "Melting_Curves/meltCurve_E7EX48_NEK4.pdf")</f>
        <v>Melting_Curves/meltCurve_E7EX48_NEK4.pdf</v>
      </c>
    </row>
    <row r="357" spans="1:28" x14ac:dyDescent="0.25">
      <c r="A357" t="s">
        <v>361</v>
      </c>
      <c r="B357">
        <v>0.99352677808782597</v>
      </c>
      <c r="C357">
        <v>0.995939254841546</v>
      </c>
      <c r="D357">
        <v>0.90761518143161102</v>
      </c>
      <c r="E357">
        <v>0.44732354569880101</v>
      </c>
      <c r="F357">
        <v>0.34674451808196499</v>
      </c>
      <c r="G357">
        <v>0.28666517313165701</v>
      </c>
      <c r="H357">
        <v>0.22683077674862001</v>
      </c>
      <c r="I357">
        <v>0.22067401524629299</v>
      </c>
      <c r="J357">
        <v>0.207203433044784</v>
      </c>
      <c r="K357">
        <v>0.19542668675705099</v>
      </c>
      <c r="L357">
        <v>1399.8992179368499</v>
      </c>
      <c r="M357">
        <v>28.706731570518699</v>
      </c>
      <c r="N357">
        <v>49.826487363022899</v>
      </c>
      <c r="O357">
        <v>48.530733598728403</v>
      </c>
      <c r="P357">
        <v>-0.11406516496307199</v>
      </c>
      <c r="Q357">
        <v>0.22866552514417801</v>
      </c>
      <c r="R357">
        <v>0.99237176242979896</v>
      </c>
      <c r="S357" t="s">
        <v>6642</v>
      </c>
      <c r="T357" t="s">
        <v>12568</v>
      </c>
      <c r="U357" t="s">
        <v>12568</v>
      </c>
      <c r="V357" t="s">
        <v>12568</v>
      </c>
      <c r="W357" t="s">
        <v>12921</v>
      </c>
      <c r="X357">
        <v>10</v>
      </c>
      <c r="Y357" t="s">
        <v>19150</v>
      </c>
      <c r="Z357" t="s">
        <v>25227</v>
      </c>
      <c r="AA357">
        <v>0.45916532233463758</v>
      </c>
      <c r="AB357" t="str">
        <f>HYPERLINK("Melting_Curves/meltCurve_E9PAU2_RAVER1.pdf", "Melting_Curves/meltCurve_E9PAU2_RAVER1.pdf")</f>
        <v>Melting_Curves/meltCurve_E9PAU2_RAVER1.pdf</v>
      </c>
    </row>
    <row r="358" spans="1:28" x14ac:dyDescent="0.25">
      <c r="A358" t="s">
        <v>362</v>
      </c>
      <c r="B358">
        <v>0.99352677808782597</v>
      </c>
      <c r="C358">
        <v>0.92065915458188297</v>
      </c>
      <c r="D358">
        <v>0.933941339169711</v>
      </c>
      <c r="E358">
        <v>0.675362721845021</v>
      </c>
      <c r="F358">
        <v>0.58979468587376505</v>
      </c>
      <c r="G358">
        <v>0.50358137966740202</v>
      </c>
      <c r="H358">
        <v>0.46199692232733902</v>
      </c>
      <c r="I358">
        <v>0.49244820802247902</v>
      </c>
      <c r="J358">
        <v>0.47582091442808</v>
      </c>
      <c r="K358">
        <v>0.44651612237384403</v>
      </c>
      <c r="L358">
        <v>948.84281923459196</v>
      </c>
      <c r="M358">
        <v>19.2224175663744</v>
      </c>
      <c r="N358">
        <v>57.175224707637298</v>
      </c>
      <c r="O358">
        <v>48.836350572867197</v>
      </c>
      <c r="P358">
        <v>-5.2759851449839502E-2</v>
      </c>
      <c r="Q358">
        <v>0.46385502645447502</v>
      </c>
      <c r="R358">
        <v>0.98581518489573206</v>
      </c>
      <c r="S358" t="s">
        <v>6643</v>
      </c>
      <c r="T358" t="s">
        <v>12568</v>
      </c>
      <c r="U358" t="s">
        <v>12568</v>
      </c>
      <c r="V358" t="s">
        <v>12568</v>
      </c>
      <c r="W358" t="s">
        <v>12922</v>
      </c>
      <c r="X358">
        <v>4</v>
      </c>
      <c r="Y358" t="s">
        <v>19151</v>
      </c>
      <c r="Z358" t="s">
        <v>25228</v>
      </c>
      <c r="AA358">
        <v>0.63926005393909469</v>
      </c>
      <c r="AB358" t="str">
        <f>HYPERLINK("Melting_Curves/meltCurve_E9PAV9_GPATCH4.pdf", "Melting_Curves/meltCurve_E9PAV9_GPATCH4.pdf")</f>
        <v>Melting_Curves/meltCurve_E9PAV9_GPATCH4.pdf</v>
      </c>
    </row>
    <row r="359" spans="1:28" x14ac:dyDescent="0.25">
      <c r="A359" t="s">
        <v>363</v>
      </c>
      <c r="B359">
        <v>0.99352677808782597</v>
      </c>
      <c r="C359">
        <v>0.99099908783756996</v>
      </c>
      <c r="D359">
        <v>0.96158832154325602</v>
      </c>
      <c r="E359">
        <v>0.82577839604581504</v>
      </c>
      <c r="F359">
        <v>0.74627076299425399</v>
      </c>
      <c r="G359">
        <v>0.65854779643250405</v>
      </c>
      <c r="H359">
        <v>0.61143104870911502</v>
      </c>
      <c r="I359">
        <v>0.692614505974813</v>
      </c>
      <c r="J359">
        <v>0.69228278396578302</v>
      </c>
      <c r="K359">
        <v>0.62243620084022999</v>
      </c>
      <c r="L359">
        <v>1143.2654465242299</v>
      </c>
      <c r="M359">
        <v>22.7913948914297</v>
      </c>
      <c r="O359">
        <v>49.7807650422615</v>
      </c>
      <c r="P359">
        <v>-3.9919587237081902E-2</v>
      </c>
      <c r="Q359">
        <v>0.65123871279649104</v>
      </c>
      <c r="R359">
        <v>0.96865602253057204</v>
      </c>
      <c r="S359" t="s">
        <v>6644</v>
      </c>
      <c r="T359" t="s">
        <v>12568</v>
      </c>
      <c r="U359" t="s">
        <v>12568</v>
      </c>
      <c r="V359" t="s">
        <v>12568</v>
      </c>
      <c r="W359" t="s">
        <v>12923</v>
      </c>
      <c r="X359">
        <v>3</v>
      </c>
      <c r="Y359" t="s">
        <v>19152</v>
      </c>
      <c r="Z359" t="s">
        <v>25229</v>
      </c>
      <c r="AA359">
        <v>0.77313242740594812</v>
      </c>
      <c r="AB359" t="str">
        <f>HYPERLINK("Melting_Curves/meltCurve_E9PAX8_PPHLN1.pdf", "Melting_Curves/meltCurve_E9PAX8_PPHLN1.pdf")</f>
        <v>Melting_Curves/meltCurve_E9PAX8_PPHLN1.pdf</v>
      </c>
    </row>
    <row r="360" spans="1:28" x14ac:dyDescent="0.25">
      <c r="A360" t="s">
        <v>364</v>
      </c>
      <c r="B360">
        <v>0.99352677808782597</v>
      </c>
      <c r="C360">
        <v>0.83703451276959295</v>
      </c>
      <c r="D360">
        <v>0.62381794390737699</v>
      </c>
      <c r="E360">
        <v>0.34717681373675502</v>
      </c>
      <c r="F360">
        <v>0.30136985954133799</v>
      </c>
      <c r="G360">
        <v>0.21084305031791101</v>
      </c>
      <c r="H360">
        <v>0.16554829213821401</v>
      </c>
      <c r="I360">
        <v>0.16860125939398399</v>
      </c>
      <c r="J360">
        <v>0.133443030044917</v>
      </c>
      <c r="K360">
        <v>0.101275438043105</v>
      </c>
      <c r="L360">
        <v>733.04385509094504</v>
      </c>
      <c r="M360">
        <v>15.622068433703401</v>
      </c>
      <c r="N360">
        <v>47.912983868000502</v>
      </c>
      <c r="O360">
        <v>46.174898482250001</v>
      </c>
      <c r="P360">
        <v>-7.2926645134398504E-2</v>
      </c>
      <c r="Q360">
        <v>0.13786317887718899</v>
      </c>
      <c r="R360">
        <v>0.99166699363049904</v>
      </c>
      <c r="S360" t="s">
        <v>6645</v>
      </c>
      <c r="T360" t="s">
        <v>12568</v>
      </c>
      <c r="U360" t="s">
        <v>12568</v>
      </c>
      <c r="V360" t="s">
        <v>12568</v>
      </c>
      <c r="W360" t="s">
        <v>12924</v>
      </c>
      <c r="X360">
        <v>9</v>
      </c>
      <c r="Y360" t="s">
        <v>19153</v>
      </c>
      <c r="Z360" t="s">
        <v>25230</v>
      </c>
      <c r="AA360">
        <v>0.35846326212146629</v>
      </c>
      <c r="AB360" t="str">
        <f>HYPERLINK("Melting_Curves/meltCurve_E9PB14_PDHX.pdf", "Melting_Curves/meltCurve_E9PB14_PDHX.pdf")</f>
        <v>Melting_Curves/meltCurve_E9PB14_PDHX.pdf</v>
      </c>
    </row>
    <row r="361" spans="1:28" x14ac:dyDescent="0.25">
      <c r="A361" t="s">
        <v>365</v>
      </c>
      <c r="B361">
        <v>0.99352677808782597</v>
      </c>
      <c r="C361">
        <v>0.99112119378977803</v>
      </c>
      <c r="D361">
        <v>0.97866441344773603</v>
      </c>
      <c r="E361">
        <v>0.83127865289433001</v>
      </c>
      <c r="F361">
        <v>0.766687080284573</v>
      </c>
      <c r="G361">
        <v>0.55093146475884003</v>
      </c>
      <c r="H361">
        <v>0.46532470880141802</v>
      </c>
      <c r="I361">
        <v>0.47511224861578</v>
      </c>
      <c r="J361">
        <v>0.45639401904240101</v>
      </c>
      <c r="K361">
        <v>0.32206005265778798</v>
      </c>
      <c r="L361">
        <v>762.49740869417099</v>
      </c>
      <c r="M361">
        <v>14.018634521524699</v>
      </c>
      <c r="N361">
        <v>59.903999101418101</v>
      </c>
      <c r="O361">
        <v>53.320765553254603</v>
      </c>
      <c r="P361">
        <v>-4.1916111714127E-2</v>
      </c>
      <c r="Q361">
        <v>0.362361595471132</v>
      </c>
      <c r="R361">
        <v>0.97963759525845195</v>
      </c>
      <c r="S361" t="s">
        <v>6646</v>
      </c>
      <c r="T361" t="s">
        <v>12568</v>
      </c>
      <c r="U361" t="s">
        <v>12568</v>
      </c>
      <c r="V361" t="s">
        <v>12568</v>
      </c>
      <c r="W361" t="s">
        <v>12925</v>
      </c>
      <c r="X361">
        <v>5</v>
      </c>
      <c r="Y361" t="s">
        <v>19154</v>
      </c>
      <c r="Z361" t="s">
        <v>25231</v>
      </c>
      <c r="AA361">
        <v>0.6820566046977844</v>
      </c>
      <c r="AB361" t="str">
        <f>HYPERLINK("Melting_Curves/meltCurve_E9PB61_ALYREF.pdf", "Melting_Curves/meltCurve_E9PB61_ALYREF.pdf")</f>
        <v>Melting_Curves/meltCurve_E9PB61_ALYREF.pdf</v>
      </c>
    </row>
    <row r="362" spans="1:28" x14ac:dyDescent="0.25">
      <c r="A362" t="s">
        <v>366</v>
      </c>
      <c r="B362">
        <v>0.99352677808782597</v>
      </c>
      <c r="C362">
        <v>1.0461609918591199</v>
      </c>
      <c r="D362">
        <v>0.88358034685061204</v>
      </c>
      <c r="E362">
        <v>0.98868986676251402</v>
      </c>
      <c r="F362">
        <v>0.81328860172840001</v>
      </c>
      <c r="G362">
        <v>0.77416964608644501</v>
      </c>
      <c r="H362">
        <v>1.0894496076264799</v>
      </c>
      <c r="I362">
        <v>0.92506037882155701</v>
      </c>
      <c r="J362">
        <v>1.0033114917901</v>
      </c>
      <c r="K362">
        <v>0.332485637611458</v>
      </c>
      <c r="L362">
        <v>15000</v>
      </c>
      <c r="M362">
        <v>214.982668969401</v>
      </c>
      <c r="N362">
        <v>69.7730779603271</v>
      </c>
      <c r="O362">
        <v>69.767028440160701</v>
      </c>
      <c r="P362">
        <v>-0.77035913069704298</v>
      </c>
      <c r="Q362">
        <v>0</v>
      </c>
      <c r="R362">
        <v>0.73088540771377597</v>
      </c>
      <c r="S362" t="s">
        <v>6647</v>
      </c>
      <c r="T362" t="s">
        <v>12568</v>
      </c>
      <c r="U362" t="s">
        <v>12568</v>
      </c>
      <c r="V362" t="s">
        <v>12568</v>
      </c>
      <c r="W362" t="s">
        <v>12926</v>
      </c>
      <c r="X362">
        <v>27</v>
      </c>
      <c r="Y362" t="s">
        <v>19155</v>
      </c>
      <c r="Z362" t="s">
        <v>25232</v>
      </c>
      <c r="AA362">
        <v>0.98815378300164058</v>
      </c>
      <c r="AB362" t="str">
        <f>HYPERLINK("Melting_Curves/meltCurve_E9PBS1_PAICS.pdf", "Melting_Curves/meltCurve_E9PBS1_PAICS.pdf")</f>
        <v>Melting_Curves/meltCurve_E9PBS1_PAICS.pdf</v>
      </c>
    </row>
    <row r="363" spans="1:28" x14ac:dyDescent="0.25">
      <c r="A363" t="s">
        <v>367</v>
      </c>
      <c r="B363">
        <v>0.99352677808782597</v>
      </c>
      <c r="C363">
        <v>0.88185857994063099</v>
      </c>
      <c r="D363">
        <v>0.952541099680146</v>
      </c>
      <c r="E363">
        <v>0.848611580035181</v>
      </c>
      <c r="F363">
        <v>0.90328497473495595</v>
      </c>
      <c r="G363">
        <v>0.71553379352538304</v>
      </c>
      <c r="H363">
        <v>0.51185111145047602</v>
      </c>
      <c r="I363">
        <v>0.52092188901285996</v>
      </c>
      <c r="J363">
        <v>0.34968674928111398</v>
      </c>
      <c r="K363">
        <v>0.35372529824440901</v>
      </c>
      <c r="L363">
        <v>499.12714352402099</v>
      </c>
      <c r="M363">
        <v>7.9263572311788497</v>
      </c>
      <c r="N363">
        <v>63.301497290740699</v>
      </c>
      <c r="O363">
        <v>59.340824713354003</v>
      </c>
      <c r="P363">
        <v>-3.2753903537031399E-2</v>
      </c>
      <c r="Q363">
        <v>2.0296043513814001E-2</v>
      </c>
      <c r="R363">
        <v>0.95312335125304104</v>
      </c>
      <c r="S363" t="s">
        <v>6648</v>
      </c>
      <c r="T363" t="s">
        <v>12568</v>
      </c>
      <c r="U363" t="s">
        <v>12568</v>
      </c>
      <c r="V363" t="s">
        <v>12568</v>
      </c>
      <c r="W363" t="s">
        <v>12927</v>
      </c>
      <c r="X363">
        <v>5</v>
      </c>
      <c r="Y363" t="s">
        <v>19156</v>
      </c>
      <c r="Z363" t="s">
        <v>25233</v>
      </c>
      <c r="AA363">
        <v>0.72219825954429495</v>
      </c>
      <c r="AB363" t="str">
        <f>HYPERLINK("Melting_Curves/meltCurve_E9PC26_BUB1.pdf", "Melting_Curves/meltCurve_E9PC26_BUB1.pdf")</f>
        <v>Melting_Curves/meltCurve_E9PC26_BUB1.pdf</v>
      </c>
    </row>
    <row r="364" spans="1:28" x14ac:dyDescent="0.25">
      <c r="A364" t="s">
        <v>368</v>
      </c>
      <c r="B364">
        <v>0.99352677808782597</v>
      </c>
      <c r="C364">
        <v>0.93320100615745205</v>
      </c>
      <c r="D364">
        <v>0.80139765611914104</v>
      </c>
      <c r="E364">
        <v>0.486060824788005</v>
      </c>
      <c r="F364">
        <v>0.38249068537259401</v>
      </c>
      <c r="G364">
        <v>0.22652384859729099</v>
      </c>
      <c r="H364">
        <v>0.123356529404374</v>
      </c>
      <c r="I364">
        <v>0.100994630674199</v>
      </c>
      <c r="J364">
        <v>9.3947911717874699E-2</v>
      </c>
      <c r="K364">
        <v>7.7387795301246107E-2</v>
      </c>
      <c r="L364">
        <v>713.98898444720101</v>
      </c>
      <c r="M364">
        <v>14.2881925483766</v>
      </c>
      <c r="N364">
        <v>50.488581297831999</v>
      </c>
      <c r="O364">
        <v>49.022292803715601</v>
      </c>
      <c r="P364">
        <v>-6.7906101595482604E-2</v>
      </c>
      <c r="Q364">
        <v>6.8179958268483595E-2</v>
      </c>
      <c r="R364">
        <v>0.99639289064389402</v>
      </c>
      <c r="S364" t="s">
        <v>6649</v>
      </c>
      <c r="T364" t="s">
        <v>12568</v>
      </c>
      <c r="U364" t="s">
        <v>12568</v>
      </c>
      <c r="V364" t="s">
        <v>12568</v>
      </c>
      <c r="W364" t="s">
        <v>12928</v>
      </c>
      <c r="X364">
        <v>7</v>
      </c>
      <c r="Y364" t="s">
        <v>19157</v>
      </c>
      <c r="Z364" t="s">
        <v>25234</v>
      </c>
      <c r="AA364">
        <v>0.40209381260781413</v>
      </c>
      <c r="AB364" t="str">
        <f>HYPERLINK("Melting_Curves/meltCurve_E9PC74_EIF2B5.pdf", "Melting_Curves/meltCurve_E9PC74_EIF2B5.pdf")</f>
        <v>Melting_Curves/meltCurve_E9PC74_EIF2B5.pdf</v>
      </c>
    </row>
    <row r="365" spans="1:28" x14ac:dyDescent="0.25">
      <c r="A365" t="s">
        <v>369</v>
      </c>
      <c r="B365">
        <v>0.99352677808782597</v>
      </c>
      <c r="C365">
        <v>0.99245758064863099</v>
      </c>
      <c r="D365">
        <v>0.82161712103934303</v>
      </c>
      <c r="E365">
        <v>0.61765983774444499</v>
      </c>
      <c r="F365">
        <v>0.52402039712179904</v>
      </c>
      <c r="G365">
        <v>0.39207377069182597</v>
      </c>
      <c r="H365">
        <v>0.36454401973296302</v>
      </c>
      <c r="I365">
        <v>0.34045709533193802</v>
      </c>
      <c r="J365">
        <v>0.37807562650172799</v>
      </c>
      <c r="K365">
        <v>0.28234257643436</v>
      </c>
      <c r="L365">
        <v>787.21074174379396</v>
      </c>
      <c r="M365">
        <v>15.910569651605</v>
      </c>
      <c r="N365">
        <v>52.976122183526101</v>
      </c>
      <c r="O365">
        <v>48.715407018150003</v>
      </c>
      <c r="P365">
        <v>-5.5104011634890197E-2</v>
      </c>
      <c r="Q365">
        <v>0.32517837922162401</v>
      </c>
      <c r="R365">
        <v>0.98810214152465603</v>
      </c>
      <c r="S365" t="s">
        <v>6650</v>
      </c>
      <c r="T365" t="s">
        <v>12568</v>
      </c>
      <c r="U365" t="s">
        <v>12568</v>
      </c>
      <c r="V365" t="s">
        <v>12568</v>
      </c>
      <c r="W365" t="s">
        <v>12929</v>
      </c>
      <c r="X365">
        <v>13</v>
      </c>
      <c r="Y365" t="s">
        <v>19158</v>
      </c>
      <c r="Z365" t="s">
        <v>25235</v>
      </c>
      <c r="AA365">
        <v>0.55303990999645269</v>
      </c>
      <c r="AB365" t="str">
        <f>HYPERLINK("Melting_Curves/meltCurve_E9PCH4_FNIP1.pdf", "Melting_Curves/meltCurve_E9PCH4_FNIP1.pdf")</f>
        <v>Melting_Curves/meltCurve_E9PCH4_FNIP1.pdf</v>
      </c>
    </row>
    <row r="366" spans="1:28" x14ac:dyDescent="0.25">
      <c r="A366" t="s">
        <v>370</v>
      </c>
      <c r="B366">
        <v>0.99352677808782597</v>
      </c>
      <c r="C366">
        <v>0.937047912119787</v>
      </c>
      <c r="D366">
        <v>0.77604971423136804</v>
      </c>
      <c r="E366">
        <v>0.64472589934612201</v>
      </c>
      <c r="F366">
        <v>0.61409389246616797</v>
      </c>
      <c r="G366">
        <v>0.48940935523157397</v>
      </c>
      <c r="H366">
        <v>0.60363701632984201</v>
      </c>
      <c r="I366">
        <v>0.67181405949980599</v>
      </c>
      <c r="J366">
        <v>0.75636002640331301</v>
      </c>
      <c r="K366">
        <v>0.74215187631409796</v>
      </c>
      <c r="L366">
        <v>1514.83197267074</v>
      </c>
      <c r="M366">
        <v>33.575552679167899</v>
      </c>
      <c r="O366">
        <v>44.957970079416803</v>
      </c>
      <c r="P366">
        <v>-6.6365014261805605E-2</v>
      </c>
      <c r="Q366">
        <v>0.64454808494802696</v>
      </c>
      <c r="R366">
        <v>0.76477058974553003</v>
      </c>
      <c r="S366" t="s">
        <v>6651</v>
      </c>
      <c r="T366" t="s">
        <v>12568</v>
      </c>
      <c r="U366" t="s">
        <v>12568</v>
      </c>
      <c r="V366" t="s">
        <v>12568</v>
      </c>
      <c r="W366" t="s">
        <v>12930</v>
      </c>
      <c r="X366">
        <v>2</v>
      </c>
      <c r="Y366" t="s">
        <v>19159</v>
      </c>
      <c r="Z366" t="s">
        <v>25236</v>
      </c>
      <c r="AA366">
        <v>0.70691821952536438</v>
      </c>
      <c r="AB366" t="str">
        <f>HYPERLINK("Melting_Curves/meltCurve_E9PCV0_GUSB.pdf", "Melting_Curves/meltCurve_E9PCV0_GUSB.pdf")</f>
        <v>Melting_Curves/meltCurve_E9PCV0_GUSB.pdf</v>
      </c>
    </row>
    <row r="367" spans="1:28" x14ac:dyDescent="0.25">
      <c r="A367" t="s">
        <v>371</v>
      </c>
      <c r="B367">
        <v>0.99352677808782597</v>
      </c>
      <c r="C367">
        <v>0.963042243735309</v>
      </c>
      <c r="D367">
        <v>0.98376058633615904</v>
      </c>
      <c r="E367">
        <v>0.78932155277245997</v>
      </c>
      <c r="F367">
        <v>0.46196046987468697</v>
      </c>
      <c r="G367">
        <v>0.57480160370701205</v>
      </c>
      <c r="H367">
        <v>0.480633050223713</v>
      </c>
      <c r="I367">
        <v>0.50535364722015297</v>
      </c>
      <c r="J367">
        <v>0.53978988348287005</v>
      </c>
      <c r="K367">
        <v>0.45518378601387</v>
      </c>
      <c r="L367">
        <v>12515.3471494318</v>
      </c>
      <c r="M367">
        <v>250</v>
      </c>
      <c r="O367">
        <v>50.058188761418997</v>
      </c>
      <c r="P367">
        <v>-0.620585727396326</v>
      </c>
      <c r="Q367">
        <v>0.50295367812415304</v>
      </c>
      <c r="R367">
        <v>0.97370883991308299</v>
      </c>
      <c r="S367" t="s">
        <v>6652</v>
      </c>
      <c r="T367" t="s">
        <v>12568</v>
      </c>
      <c r="U367" t="s">
        <v>12568</v>
      </c>
      <c r="V367" t="s">
        <v>12568</v>
      </c>
      <c r="W367" t="s">
        <v>12931</v>
      </c>
      <c r="X367">
        <v>4</v>
      </c>
      <c r="Y367" t="s">
        <v>19160</v>
      </c>
      <c r="Z367" t="s">
        <v>25237</v>
      </c>
      <c r="AA367">
        <v>0.66969655361737235</v>
      </c>
      <c r="AB367" t="str">
        <f>HYPERLINK("Melting_Curves/meltCurve_E9PCX3_ELF2.pdf", "Melting_Curves/meltCurve_E9PCX3_ELF2.pdf")</f>
        <v>Melting_Curves/meltCurve_E9PCX3_ELF2.pdf</v>
      </c>
    </row>
    <row r="368" spans="1:28" x14ac:dyDescent="0.25">
      <c r="A368" t="s">
        <v>372</v>
      </c>
      <c r="B368">
        <v>0.99352677808782597</v>
      </c>
      <c r="C368">
        <v>0.94630953182524302</v>
      </c>
      <c r="D368">
        <v>0.89973085199332603</v>
      </c>
      <c r="E368">
        <v>0.356471288123688</v>
      </c>
      <c r="F368">
        <v>0.31594481526245999</v>
      </c>
      <c r="G368">
        <v>0.21606247302407</v>
      </c>
      <c r="H368">
        <v>0.18588508904821399</v>
      </c>
      <c r="I368">
        <v>0.17979172289331999</v>
      </c>
      <c r="J368">
        <v>0.141141464062744</v>
      </c>
      <c r="K368">
        <v>0.129760754135022</v>
      </c>
      <c r="L368">
        <v>1470.13516752287</v>
      </c>
      <c r="M368">
        <v>30.355861637326701</v>
      </c>
      <c r="N368">
        <v>49.140207514973198</v>
      </c>
      <c r="O368">
        <v>48.221313667704202</v>
      </c>
      <c r="P368">
        <v>-0.12943382432820599</v>
      </c>
      <c r="Q368">
        <v>0.17756518536593099</v>
      </c>
      <c r="R368">
        <v>0.985645730503099</v>
      </c>
      <c r="S368" t="s">
        <v>6653</v>
      </c>
      <c r="T368" t="s">
        <v>12568</v>
      </c>
      <c r="U368" t="s">
        <v>12568</v>
      </c>
      <c r="V368" t="s">
        <v>12568</v>
      </c>
      <c r="W368" t="s">
        <v>12932</v>
      </c>
      <c r="X368">
        <v>26</v>
      </c>
      <c r="Y368" t="s">
        <v>19161</v>
      </c>
      <c r="Z368" t="s">
        <v>25238</v>
      </c>
      <c r="AA368">
        <v>0.41352218827552961</v>
      </c>
      <c r="AB368" t="str">
        <f>HYPERLINK("Melting_Curves/meltCurve_E9PCX8_TNS3.pdf", "Melting_Curves/meltCurve_E9PCX8_TNS3.pdf")</f>
        <v>Melting_Curves/meltCurve_E9PCX8_TNS3.pdf</v>
      </c>
    </row>
    <row r="369" spans="1:28" x14ac:dyDescent="0.25">
      <c r="A369" t="s">
        <v>373</v>
      </c>
      <c r="B369">
        <v>0.99352677808782597</v>
      </c>
      <c r="C369">
        <v>1.0332797358165999</v>
      </c>
      <c r="D369">
        <v>0.86582568500607904</v>
      </c>
      <c r="E369">
        <v>0.69557118327476697</v>
      </c>
      <c r="F369">
        <v>0.541625408093385</v>
      </c>
      <c r="G369">
        <v>0.34171390085832798</v>
      </c>
      <c r="H369">
        <v>0.21141834498522999</v>
      </c>
      <c r="I369">
        <v>0.15094925906506801</v>
      </c>
      <c r="J369">
        <v>0.10505272264226601</v>
      </c>
      <c r="K369">
        <v>7.8279168627373094E-2</v>
      </c>
      <c r="L369">
        <v>679.86110514691495</v>
      </c>
      <c r="M369">
        <v>12.751371578173501</v>
      </c>
      <c r="N369">
        <v>53.700357075538498</v>
      </c>
      <c r="O369">
        <v>52.0564395012834</v>
      </c>
      <c r="P369">
        <v>-5.858335642938E-2</v>
      </c>
      <c r="Q369">
        <v>4.3534966914343602E-2</v>
      </c>
      <c r="R369">
        <v>0.99471582742544995</v>
      </c>
      <c r="S369" t="s">
        <v>6654</v>
      </c>
      <c r="T369" t="s">
        <v>12568</v>
      </c>
      <c r="U369" t="s">
        <v>12568</v>
      </c>
      <c r="V369" t="s">
        <v>12568</v>
      </c>
      <c r="W369" t="s">
        <v>12933</v>
      </c>
      <c r="X369">
        <v>7</v>
      </c>
      <c r="Y369" t="s">
        <v>19162</v>
      </c>
      <c r="Z369" t="s">
        <v>25239</v>
      </c>
      <c r="AA369">
        <v>0.49293401604868858</v>
      </c>
      <c r="AB369" t="str">
        <f>HYPERLINK("Melting_Curves/meltCurve_E9PD68_CRMP1.pdf", "Melting_Curves/meltCurve_E9PD68_CRMP1.pdf")</f>
        <v>Melting_Curves/meltCurve_E9PD68_CRMP1.pdf</v>
      </c>
    </row>
    <row r="370" spans="1:28" x14ac:dyDescent="0.25">
      <c r="A370" t="s">
        <v>374</v>
      </c>
      <c r="B370">
        <v>0.99352677808782597</v>
      </c>
      <c r="C370">
        <v>0.89713464996510695</v>
      </c>
      <c r="D370">
        <v>0.99376198369986601</v>
      </c>
      <c r="E370">
        <v>0.98236163430697498</v>
      </c>
      <c r="F370">
        <v>0.92087188455847202</v>
      </c>
      <c r="G370">
        <v>0.87916463845606996</v>
      </c>
      <c r="H370">
        <v>0.80814531234924802</v>
      </c>
      <c r="I370">
        <v>0.86905437310565603</v>
      </c>
      <c r="J370">
        <v>0.82720565513600397</v>
      </c>
      <c r="K370">
        <v>0.74215112358209001</v>
      </c>
      <c r="L370">
        <v>274.871959080745</v>
      </c>
      <c r="M370">
        <v>2.7217456170409098</v>
      </c>
      <c r="Q370">
        <v>0</v>
      </c>
      <c r="R370">
        <v>0.77335888898560101</v>
      </c>
      <c r="S370" t="s">
        <v>6655</v>
      </c>
      <c r="T370" t="s">
        <v>12568</v>
      </c>
      <c r="U370" t="s">
        <v>12568</v>
      </c>
      <c r="V370" t="s">
        <v>12568</v>
      </c>
      <c r="W370" t="s">
        <v>12934</v>
      </c>
      <c r="X370">
        <v>5</v>
      </c>
      <c r="Y370" t="s">
        <v>19163</v>
      </c>
      <c r="Z370" t="s">
        <v>25240</v>
      </c>
      <c r="AA370">
        <v>0.89655916013138193</v>
      </c>
      <c r="AB370" t="str">
        <f>HYPERLINK("Melting_Curves/meltCurve_E9PD90_CKAP2.pdf", "Melting_Curves/meltCurve_E9PD90_CKAP2.pdf")</f>
        <v>Melting_Curves/meltCurve_E9PD90_CKAP2.pdf</v>
      </c>
    </row>
    <row r="371" spans="1:28" x14ac:dyDescent="0.25">
      <c r="A371" t="s">
        <v>375</v>
      </c>
      <c r="B371">
        <v>0.99352677808782597</v>
      </c>
      <c r="C371">
        <v>0.82845896195424895</v>
      </c>
      <c r="D371">
        <v>0.73918734473039005</v>
      </c>
      <c r="E371">
        <v>0.28626302386297903</v>
      </c>
      <c r="F371">
        <v>0.25341749591551999</v>
      </c>
      <c r="G371">
        <v>0.11950543576674701</v>
      </c>
      <c r="H371">
        <v>9.5127667790118497E-2</v>
      </c>
      <c r="I371">
        <v>4.6524761567290199E-2</v>
      </c>
      <c r="J371">
        <v>3.7296951420741402E-2</v>
      </c>
      <c r="K371">
        <v>0</v>
      </c>
      <c r="L371">
        <v>770.033153006475</v>
      </c>
      <c r="M371">
        <v>16.042961051682099</v>
      </c>
      <c r="N371">
        <v>48.200153635343703</v>
      </c>
      <c r="O371">
        <v>47.270996585174103</v>
      </c>
      <c r="P371">
        <v>-8.2093959979103404E-2</v>
      </c>
      <c r="Q371">
        <v>3.2507244377519701E-2</v>
      </c>
      <c r="R371">
        <v>0.98532776204083405</v>
      </c>
      <c r="S371" t="s">
        <v>6656</v>
      </c>
      <c r="T371" t="s">
        <v>12568</v>
      </c>
      <c r="U371" t="s">
        <v>12568</v>
      </c>
      <c r="V371" t="s">
        <v>12568</v>
      </c>
      <c r="W371" t="s">
        <v>12935</v>
      </c>
      <c r="X371">
        <v>1</v>
      </c>
      <c r="Y371" t="s">
        <v>19164</v>
      </c>
      <c r="Z371" t="s">
        <v>25241</v>
      </c>
      <c r="AA371">
        <v>0.31220796175694221</v>
      </c>
      <c r="AB371" t="str">
        <f>HYPERLINK("Melting_Curves/meltCurve_E9PDG2_IFT122.pdf", "Melting_Curves/meltCurve_E9PDG2_IFT122.pdf")</f>
        <v>Melting_Curves/meltCurve_E9PDG2_IFT122.pdf</v>
      </c>
    </row>
    <row r="372" spans="1:28" x14ac:dyDescent="0.25">
      <c r="A372" t="s">
        <v>376</v>
      </c>
      <c r="B372">
        <v>0.99352677808782597</v>
      </c>
      <c r="C372">
        <v>0.946885545185014</v>
      </c>
      <c r="D372">
        <v>1.2309742467717799</v>
      </c>
      <c r="E372">
        <v>0.40401563343396102</v>
      </c>
      <c r="F372">
        <v>0.308953563354875</v>
      </c>
      <c r="G372">
        <v>0.26461635512678799</v>
      </c>
      <c r="H372">
        <v>0.115030319001655</v>
      </c>
      <c r="I372">
        <v>0.17923402051779</v>
      </c>
      <c r="J372">
        <v>7.0846082200009E-2</v>
      </c>
      <c r="K372">
        <v>0.10020092275880101</v>
      </c>
      <c r="L372">
        <v>4672.3294926628996</v>
      </c>
      <c r="M372">
        <v>94.379568324395706</v>
      </c>
      <c r="N372">
        <v>49.728831331703198</v>
      </c>
      <c r="O372">
        <v>49.4835163508139</v>
      </c>
      <c r="P372">
        <v>-0.39452478120265899</v>
      </c>
      <c r="Q372">
        <v>0.17259752401723799</v>
      </c>
      <c r="R372">
        <v>0.938471255678893</v>
      </c>
      <c r="S372" t="s">
        <v>6657</v>
      </c>
      <c r="T372" t="s">
        <v>12568</v>
      </c>
      <c r="U372" t="s">
        <v>12568</v>
      </c>
      <c r="V372" t="s">
        <v>12568</v>
      </c>
      <c r="W372" t="s">
        <v>12936</v>
      </c>
      <c r="X372">
        <v>2</v>
      </c>
      <c r="Y372" t="s">
        <v>19165</v>
      </c>
      <c r="Z372" t="s">
        <v>25242</v>
      </c>
      <c r="AA372">
        <v>0.43527142825632897</v>
      </c>
      <c r="AB372" t="str">
        <f>HYPERLINK("Melting_Curves/meltCurve_E9PE82_ACADS.pdf", "Melting_Curves/meltCurve_E9PE82_ACADS.pdf")</f>
        <v>Melting_Curves/meltCurve_E9PE82_ACADS.pdf</v>
      </c>
    </row>
    <row r="373" spans="1:28" x14ac:dyDescent="0.25">
      <c r="A373" t="s">
        <v>377</v>
      </c>
      <c r="B373">
        <v>0.99352677808782597</v>
      </c>
      <c r="C373">
        <v>0.926154352097733</v>
      </c>
      <c r="D373">
        <v>1.0501649607210599</v>
      </c>
      <c r="E373">
        <v>0.930848359624175</v>
      </c>
      <c r="F373">
        <v>0.76494109219887396</v>
      </c>
      <c r="G373">
        <v>0.66632049972002205</v>
      </c>
      <c r="H373">
        <v>0.69332165997997897</v>
      </c>
      <c r="I373">
        <v>0.75595667024282498</v>
      </c>
      <c r="J373">
        <v>0.70539097382259697</v>
      </c>
      <c r="K373">
        <v>0.73804431175158802</v>
      </c>
      <c r="L373">
        <v>2564.9034150498701</v>
      </c>
      <c r="M373">
        <v>50.061758162442899</v>
      </c>
      <c r="O373">
        <v>51.153228351886597</v>
      </c>
      <c r="P373">
        <v>-7.0349811542818205E-2</v>
      </c>
      <c r="Q373">
        <v>0.71246579746515304</v>
      </c>
      <c r="R373">
        <v>0.92243455184347101</v>
      </c>
      <c r="S373" t="s">
        <v>6658</v>
      </c>
      <c r="T373" t="s">
        <v>12568</v>
      </c>
      <c r="U373" t="s">
        <v>12568</v>
      </c>
      <c r="V373" t="s">
        <v>12568</v>
      </c>
      <c r="W373" t="s">
        <v>12937</v>
      </c>
      <c r="X373">
        <v>3</v>
      </c>
      <c r="Y373" t="s">
        <v>19166</v>
      </c>
      <c r="Z373" t="s">
        <v>25243</v>
      </c>
      <c r="AA373">
        <v>0.82079348407008956</v>
      </c>
      <c r="AB373" t="str">
        <f>HYPERLINK("Melting_Curves/meltCurve_E9PEG3_AR.pdf", "Melting_Curves/meltCurve_E9PEG3_AR.pdf")</f>
        <v>Melting_Curves/meltCurve_E9PEG3_AR.pdf</v>
      </c>
    </row>
    <row r="374" spans="1:28" x14ac:dyDescent="0.25">
      <c r="A374" t="s">
        <v>378</v>
      </c>
      <c r="B374">
        <v>0.99352677808782597</v>
      </c>
      <c r="C374">
        <v>1.01281677002321</v>
      </c>
      <c r="D374">
        <v>0.92445676441106195</v>
      </c>
      <c r="E374">
        <v>0.84760970043065698</v>
      </c>
      <c r="F374">
        <v>0.78504277941376399</v>
      </c>
      <c r="G374">
        <v>0.59914083772122395</v>
      </c>
      <c r="H374">
        <v>0.622784736050359</v>
      </c>
      <c r="I374">
        <v>0.650753883292848</v>
      </c>
      <c r="J374">
        <v>0.75787001924958797</v>
      </c>
      <c r="K374">
        <v>0.61180770125497697</v>
      </c>
      <c r="L374">
        <v>1085.5440761995001</v>
      </c>
      <c r="M374">
        <v>21.472066118611501</v>
      </c>
      <c r="O374">
        <v>50.123728514863799</v>
      </c>
      <c r="P374">
        <v>-3.7831059764135998E-2</v>
      </c>
      <c r="Q374">
        <v>0.64676205027923706</v>
      </c>
      <c r="R374">
        <v>0.89559920250222103</v>
      </c>
      <c r="S374" t="s">
        <v>6659</v>
      </c>
      <c r="T374" t="s">
        <v>12568</v>
      </c>
      <c r="U374" t="s">
        <v>12568</v>
      </c>
      <c r="V374" t="s">
        <v>12568</v>
      </c>
      <c r="W374" t="s">
        <v>12938</v>
      </c>
      <c r="X374">
        <v>3</v>
      </c>
      <c r="Y374" t="s">
        <v>19167</v>
      </c>
      <c r="Z374" t="s">
        <v>25244</v>
      </c>
      <c r="AA374">
        <v>0.7753381316085064</v>
      </c>
      <c r="AB374" t="str">
        <f>HYPERLINK("Melting_Curves/meltCurve_E9PEK0_HMGXB3.pdf", "Melting_Curves/meltCurve_E9PEK0_HMGXB3.pdf")</f>
        <v>Melting_Curves/meltCurve_E9PEK0_HMGXB3.pdf</v>
      </c>
    </row>
    <row r="375" spans="1:28" x14ac:dyDescent="0.25">
      <c r="A375" t="s">
        <v>379</v>
      </c>
      <c r="B375">
        <v>0.99352677808782597</v>
      </c>
      <c r="C375">
        <v>0.93137613043640299</v>
      </c>
      <c r="D375">
        <v>0.82404110444874201</v>
      </c>
      <c r="E375">
        <v>0.22585505114971899</v>
      </c>
      <c r="F375">
        <v>0.16450693719455201</v>
      </c>
      <c r="G375">
        <v>0.10508114180869201</v>
      </c>
      <c r="H375">
        <v>8.2971772636458094E-2</v>
      </c>
      <c r="I375">
        <v>7.7197277605630804E-2</v>
      </c>
      <c r="J375">
        <v>6.3469652039360294E-2</v>
      </c>
      <c r="K375">
        <v>5.92421296973474E-2</v>
      </c>
      <c r="L375">
        <v>1608.0611291487401</v>
      </c>
      <c r="M375">
        <v>33.647306815587697</v>
      </c>
      <c r="N375">
        <v>48.049260548034098</v>
      </c>
      <c r="O375">
        <v>47.623789793972001</v>
      </c>
      <c r="P375">
        <v>-0.16205517379640899</v>
      </c>
      <c r="Q375">
        <v>8.2523584560331001E-2</v>
      </c>
      <c r="R375">
        <v>0.99483669871215996</v>
      </c>
      <c r="S375" t="s">
        <v>6660</v>
      </c>
      <c r="T375" t="s">
        <v>12568</v>
      </c>
      <c r="U375" t="s">
        <v>12568</v>
      </c>
      <c r="V375" t="s">
        <v>12568</v>
      </c>
      <c r="W375" t="s">
        <v>12939</v>
      </c>
      <c r="X375">
        <v>9</v>
      </c>
      <c r="Y375" t="s">
        <v>19168</v>
      </c>
      <c r="Z375" t="s">
        <v>25245</v>
      </c>
      <c r="AA375">
        <v>0.32515230887656771</v>
      </c>
      <c r="AB375" t="str">
        <f>HYPERLINK("Melting_Curves/meltCurve_E9PER6_PDPK1.pdf", "Melting_Curves/meltCurve_E9PER6_PDPK1.pdf")</f>
        <v>Melting_Curves/meltCurve_E9PER6_PDPK1.pdf</v>
      </c>
    </row>
    <row r="376" spans="1:28" x14ac:dyDescent="0.25">
      <c r="A376" t="s">
        <v>380</v>
      </c>
      <c r="B376">
        <v>0.99352677808782597</v>
      </c>
      <c r="C376">
        <v>1.0387828017625</v>
      </c>
      <c r="D376">
        <v>0.91631504920738305</v>
      </c>
      <c r="E376">
        <v>0.48980953419533901</v>
      </c>
      <c r="F376">
        <v>0.37738948141156298</v>
      </c>
      <c r="G376">
        <v>0.254481695307402</v>
      </c>
      <c r="H376">
        <v>0.158954071735639</v>
      </c>
      <c r="I376">
        <v>0.145399908870852</v>
      </c>
      <c r="J376">
        <v>0.13069438662757701</v>
      </c>
      <c r="K376">
        <v>0.10499420792833999</v>
      </c>
      <c r="L376">
        <v>1040.6600276541701</v>
      </c>
      <c r="M376">
        <v>20.854940689230499</v>
      </c>
      <c r="N376">
        <v>50.700064033454403</v>
      </c>
      <c r="O376">
        <v>49.447902736337198</v>
      </c>
      <c r="P376">
        <v>-9.0656588725258599E-2</v>
      </c>
      <c r="Q376">
        <v>0.14022184285440301</v>
      </c>
      <c r="R376">
        <v>0.98653727222954601</v>
      </c>
      <c r="S376" t="s">
        <v>6661</v>
      </c>
      <c r="T376" t="s">
        <v>12568</v>
      </c>
      <c r="U376" t="s">
        <v>12568</v>
      </c>
      <c r="V376" t="s">
        <v>12568</v>
      </c>
      <c r="W376" t="s">
        <v>12940</v>
      </c>
      <c r="X376">
        <v>41</v>
      </c>
      <c r="Y376" t="s">
        <v>19169</v>
      </c>
      <c r="Z376" t="s">
        <v>25246</v>
      </c>
      <c r="AA376">
        <v>0.43497435248798488</v>
      </c>
      <c r="AB376" t="str">
        <f>HYPERLINK("Melting_Curves/meltCurve_E9PEZ3_DIAPH1.pdf", "Melting_Curves/meltCurve_E9PEZ3_DIAPH1.pdf")</f>
        <v>Melting_Curves/meltCurve_E9PEZ3_DIAPH1.pdf</v>
      </c>
    </row>
    <row r="377" spans="1:28" x14ac:dyDescent="0.25">
      <c r="A377" t="s">
        <v>381</v>
      </c>
      <c r="B377">
        <v>0.99352677808782597</v>
      </c>
      <c r="C377">
        <v>0.87880881826903301</v>
      </c>
      <c r="D377">
        <v>0.58136715069239098</v>
      </c>
      <c r="E377">
        <v>0.20634055082191</v>
      </c>
      <c r="F377">
        <v>0.161889794553951</v>
      </c>
      <c r="G377">
        <v>9.5726199270984802E-2</v>
      </c>
      <c r="H377">
        <v>7.0626574594575497E-2</v>
      </c>
      <c r="I377">
        <v>5.9427870340254103E-2</v>
      </c>
      <c r="J377">
        <v>6.9665676116910394E-2</v>
      </c>
      <c r="K377">
        <v>6.4990761933801905E-2</v>
      </c>
      <c r="L377">
        <v>1058.2954328042299</v>
      </c>
      <c r="M377">
        <v>22.802044364322001</v>
      </c>
      <c r="N377">
        <v>46.7325341501964</v>
      </c>
      <c r="O377">
        <v>46.059772578951403</v>
      </c>
      <c r="P377">
        <v>-0.114814335111539</v>
      </c>
      <c r="Q377">
        <v>7.2325728455462299E-2</v>
      </c>
      <c r="R377">
        <v>0.99790975921463898</v>
      </c>
      <c r="S377" t="s">
        <v>6662</v>
      </c>
      <c r="T377" t="s">
        <v>12568</v>
      </c>
      <c r="U377" t="s">
        <v>12568</v>
      </c>
      <c r="V377" t="s">
        <v>12568</v>
      </c>
      <c r="W377" t="s">
        <v>12941</v>
      </c>
      <c r="X377">
        <v>12</v>
      </c>
      <c r="Y377" t="s">
        <v>19170</v>
      </c>
      <c r="Z377" t="s">
        <v>25247</v>
      </c>
      <c r="AA377">
        <v>0.28098337327519468</v>
      </c>
      <c r="AB377" t="str">
        <f>HYPERLINK("Melting_Curves/meltCurve_E9PF10_NUP155.pdf", "Melting_Curves/meltCurve_E9PF10_NUP155.pdf")</f>
        <v>Melting_Curves/meltCurve_E9PF10_NUP155.pdf</v>
      </c>
    </row>
    <row r="378" spans="1:28" x14ac:dyDescent="0.25">
      <c r="A378" t="s">
        <v>382</v>
      </c>
      <c r="B378">
        <v>0.99352677808782597</v>
      </c>
      <c r="C378">
        <v>0.88732551791404701</v>
      </c>
      <c r="D378">
        <v>0.233804010304906</v>
      </c>
      <c r="E378">
        <v>0.233653703743854</v>
      </c>
      <c r="F378">
        <v>0.21015315367678999</v>
      </c>
      <c r="G378">
        <v>0.116828030450009</v>
      </c>
      <c r="H378">
        <v>0.14637737183479699</v>
      </c>
      <c r="I378">
        <v>0.148558518957986</v>
      </c>
      <c r="J378">
        <v>7.8403562892181602E-2</v>
      </c>
      <c r="K378">
        <v>5.2709323961582802E-2</v>
      </c>
      <c r="L378">
        <v>2506.3803562329399</v>
      </c>
      <c r="M378">
        <v>56.5496137627945</v>
      </c>
      <c r="N378">
        <v>44.581469104010402</v>
      </c>
      <c r="O378">
        <v>44.266468053891501</v>
      </c>
      <c r="P378">
        <v>-0.27455739670083901</v>
      </c>
      <c r="Q378">
        <v>0.140317343086869</v>
      </c>
      <c r="R378">
        <v>0.97527437868429201</v>
      </c>
      <c r="S378" t="s">
        <v>6663</v>
      </c>
      <c r="T378" t="s">
        <v>12568</v>
      </c>
      <c r="U378" t="s">
        <v>12568</v>
      </c>
      <c r="V378" t="s">
        <v>12568</v>
      </c>
      <c r="W378" t="s">
        <v>12942</v>
      </c>
      <c r="X378">
        <v>6</v>
      </c>
      <c r="Y378" t="s">
        <v>19171</v>
      </c>
      <c r="Z378" t="s">
        <v>25248</v>
      </c>
      <c r="AA378">
        <v>0.26551474393013619</v>
      </c>
      <c r="AB378" t="str">
        <f>HYPERLINK("Melting_Curves/meltCurve_E9PF16_ACSF2.pdf", "Melting_Curves/meltCurve_E9PF16_ACSF2.pdf")</f>
        <v>Melting_Curves/meltCurve_E9PF16_ACSF2.pdf</v>
      </c>
    </row>
    <row r="379" spans="1:28" x14ac:dyDescent="0.25">
      <c r="A379" t="s">
        <v>383</v>
      </c>
      <c r="B379">
        <v>0.99352677808782597</v>
      </c>
      <c r="C379">
        <v>0.99042221221776405</v>
      </c>
      <c r="D379">
        <v>0.90725242662434402</v>
      </c>
      <c r="E379">
        <v>0.88622901465252502</v>
      </c>
      <c r="F379">
        <v>0.82510741118702802</v>
      </c>
      <c r="G379">
        <v>0.67530955992635</v>
      </c>
      <c r="H379">
        <v>0.68378279406132503</v>
      </c>
      <c r="I379">
        <v>0.74814258172136905</v>
      </c>
      <c r="J379">
        <v>0.78435772383143398</v>
      </c>
      <c r="K379">
        <v>0.66449285974473504</v>
      </c>
      <c r="L379">
        <v>827.38837009363397</v>
      </c>
      <c r="M379">
        <v>16.4409604237871</v>
      </c>
      <c r="O379">
        <v>49.597967806606903</v>
      </c>
      <c r="P379">
        <v>-2.4496970430912101E-2</v>
      </c>
      <c r="Q379">
        <v>0.70441766862914801</v>
      </c>
      <c r="R379">
        <v>0.87359557812836497</v>
      </c>
      <c r="S379" t="s">
        <v>6664</v>
      </c>
      <c r="T379" t="s">
        <v>12568</v>
      </c>
      <c r="U379" t="s">
        <v>12568</v>
      </c>
      <c r="V379" t="s">
        <v>12568</v>
      </c>
      <c r="W379" t="s">
        <v>12943</v>
      </c>
      <c r="X379">
        <v>9</v>
      </c>
      <c r="Y379" t="s">
        <v>19172</v>
      </c>
      <c r="Z379" t="s">
        <v>25249</v>
      </c>
      <c r="AA379">
        <v>0.81207534730404329</v>
      </c>
      <c r="AB379" t="str">
        <f>HYPERLINK("Melting_Curves/meltCurve_E9PF99_CEP192.pdf", "Melting_Curves/meltCurve_E9PF99_CEP192.pdf")</f>
        <v>Melting_Curves/meltCurve_E9PF99_CEP192.pdf</v>
      </c>
    </row>
    <row r="380" spans="1:28" x14ac:dyDescent="0.25">
      <c r="A380" t="s">
        <v>384</v>
      </c>
      <c r="B380">
        <v>0.99352677808782597</v>
      </c>
      <c r="C380">
        <v>1.1842198207419301</v>
      </c>
      <c r="D380">
        <v>0.58666577377502704</v>
      </c>
      <c r="E380">
        <v>0.23475398431307701</v>
      </c>
      <c r="F380">
        <v>0.19074051605545</v>
      </c>
      <c r="G380">
        <v>9.6078483400545506E-2</v>
      </c>
      <c r="H380">
        <v>6.5707248446055994E-2</v>
      </c>
      <c r="I380">
        <v>6.3151018192044994E-2</v>
      </c>
      <c r="J380">
        <v>4.7175072975477302E-2</v>
      </c>
      <c r="K380">
        <v>3.6093600503575803E-2</v>
      </c>
      <c r="L380">
        <v>11507.055456696</v>
      </c>
      <c r="M380">
        <v>250</v>
      </c>
      <c r="N380">
        <v>46.071575446531398</v>
      </c>
      <c r="O380">
        <v>46.025276089322603</v>
      </c>
      <c r="P380">
        <v>-1.2156169917411399</v>
      </c>
      <c r="Q380">
        <v>0.10481427382764399</v>
      </c>
      <c r="R380">
        <v>0.95708370465423998</v>
      </c>
      <c r="S380" t="s">
        <v>6665</v>
      </c>
      <c r="T380" t="s">
        <v>12568</v>
      </c>
      <c r="U380" t="s">
        <v>12568</v>
      </c>
      <c r="V380" t="s">
        <v>12568</v>
      </c>
      <c r="W380" t="s">
        <v>12944</v>
      </c>
      <c r="X380">
        <v>22</v>
      </c>
      <c r="Y380" t="s">
        <v>19173</v>
      </c>
      <c r="Z380" t="s">
        <v>25250</v>
      </c>
      <c r="AA380">
        <v>0.28476585698589552</v>
      </c>
      <c r="AB380" t="str">
        <f>HYPERLINK("Melting_Curves/meltCurve_E9PFR3_PPP2R5D.pdf", "Melting_Curves/meltCurve_E9PFR3_PPP2R5D.pdf")</f>
        <v>Melting_Curves/meltCurve_E9PFR3_PPP2R5D.pdf</v>
      </c>
    </row>
    <row r="381" spans="1:28" x14ac:dyDescent="0.25">
      <c r="A381" t="s">
        <v>385</v>
      </c>
      <c r="B381">
        <v>0.99352677808782597</v>
      </c>
      <c r="C381">
        <v>0.94456929970497505</v>
      </c>
      <c r="D381">
        <v>1.0751241797139099</v>
      </c>
      <c r="E381">
        <v>1.04668797713462</v>
      </c>
      <c r="F381">
        <v>1.03741838189584</v>
      </c>
      <c r="G381">
        <v>0.97000669613661805</v>
      </c>
      <c r="H381">
        <v>0.94582613697656504</v>
      </c>
      <c r="I381">
        <v>1.1183637091819201</v>
      </c>
      <c r="J381">
        <v>1.04490534346556</v>
      </c>
      <c r="K381">
        <v>0.90136502302863397</v>
      </c>
      <c r="L381">
        <v>15000</v>
      </c>
      <c r="M381">
        <v>212.07318758263199</v>
      </c>
      <c r="Q381">
        <v>0</v>
      </c>
      <c r="R381">
        <v>0.22077549876317601</v>
      </c>
      <c r="S381" t="s">
        <v>6666</v>
      </c>
      <c r="T381" t="s">
        <v>12568</v>
      </c>
      <c r="U381" t="s">
        <v>12568</v>
      </c>
      <c r="V381" t="s">
        <v>12568</v>
      </c>
      <c r="W381" t="s">
        <v>12945</v>
      </c>
      <c r="X381">
        <v>4</v>
      </c>
      <c r="Y381" t="s">
        <v>19174</v>
      </c>
      <c r="Z381" t="s">
        <v>25251</v>
      </c>
      <c r="AA381">
        <v>0.998879968720494</v>
      </c>
      <c r="AB381" t="str">
        <f>HYPERLINK("Melting_Curves/meltCurve_E9PFU9_ZFAND2B.pdf", "Melting_Curves/meltCurve_E9PFU9_ZFAND2B.pdf")</f>
        <v>Melting_Curves/meltCurve_E9PFU9_ZFAND2B.pdf</v>
      </c>
    </row>
    <row r="382" spans="1:28" x14ac:dyDescent="0.25">
      <c r="A382" t="s">
        <v>386</v>
      </c>
      <c r="B382">
        <v>0.99352677808782597</v>
      </c>
      <c r="C382">
        <v>0.96634045237190802</v>
      </c>
      <c r="D382">
        <v>0.86151674421485802</v>
      </c>
      <c r="E382">
        <v>0.58010731537946403</v>
      </c>
      <c r="F382">
        <v>0.38260403592329401</v>
      </c>
      <c r="G382">
        <v>0.22291826850659799</v>
      </c>
      <c r="H382">
        <v>0.163369785318942</v>
      </c>
      <c r="I382">
        <v>0.16212494074855499</v>
      </c>
      <c r="J382">
        <v>0.15893210340883801</v>
      </c>
      <c r="K382">
        <v>0.118316800444174</v>
      </c>
      <c r="L382">
        <v>902.22618069845396</v>
      </c>
      <c r="M382">
        <v>17.960883842976301</v>
      </c>
      <c r="N382">
        <v>51.117879190073303</v>
      </c>
      <c r="O382">
        <v>49.622525462307202</v>
      </c>
      <c r="P382">
        <v>-7.8399477281800398E-2</v>
      </c>
      <c r="Q382">
        <v>0.133630983658626</v>
      </c>
      <c r="R382">
        <v>0.99922401885423096</v>
      </c>
      <c r="S382" t="s">
        <v>6667</v>
      </c>
      <c r="T382" t="s">
        <v>12568</v>
      </c>
      <c r="U382" t="s">
        <v>12568</v>
      </c>
      <c r="V382" t="s">
        <v>12568</v>
      </c>
      <c r="W382" t="s">
        <v>12946</v>
      </c>
      <c r="X382">
        <v>10</v>
      </c>
      <c r="Y382" t="s">
        <v>19175</v>
      </c>
      <c r="Z382" t="s">
        <v>25252</v>
      </c>
      <c r="AA382">
        <v>0.44393604043637941</v>
      </c>
      <c r="AB382" t="str">
        <f>HYPERLINK("Melting_Curves/meltCurve_E9PG22_CEP97.pdf", "Melting_Curves/meltCurve_E9PG22_CEP97.pdf")</f>
        <v>Melting_Curves/meltCurve_E9PG22_CEP97.pdf</v>
      </c>
    </row>
    <row r="383" spans="1:28" x14ac:dyDescent="0.25">
      <c r="A383" t="s">
        <v>387</v>
      </c>
      <c r="B383">
        <v>0.99352677808782597</v>
      </c>
      <c r="C383">
        <v>0.94911837033475299</v>
      </c>
      <c r="D383">
        <v>0.98557093787120298</v>
      </c>
      <c r="E383">
        <v>0.47259011858922501</v>
      </c>
      <c r="F383">
        <v>0.38087999077319301</v>
      </c>
      <c r="G383">
        <v>0.26216853193060902</v>
      </c>
      <c r="H383">
        <v>0.116601687441026</v>
      </c>
      <c r="I383">
        <v>0.102218710729979</v>
      </c>
      <c r="J383">
        <v>7.5927951862306706E-2</v>
      </c>
      <c r="K383">
        <v>8.3608865942895794E-2</v>
      </c>
      <c r="L383">
        <v>968.00477294246502</v>
      </c>
      <c r="M383">
        <v>19.2316619714206</v>
      </c>
      <c r="N383">
        <v>50.9020721584005</v>
      </c>
      <c r="O383">
        <v>49.799163387334701</v>
      </c>
      <c r="P383">
        <v>-8.7223830480472594E-2</v>
      </c>
      <c r="Q383">
        <v>9.65921240017618E-2</v>
      </c>
      <c r="R383">
        <v>0.97618253706428604</v>
      </c>
      <c r="S383" t="s">
        <v>6668</v>
      </c>
      <c r="T383" t="s">
        <v>12568</v>
      </c>
      <c r="U383" t="s">
        <v>12568</v>
      </c>
      <c r="V383" t="s">
        <v>12568</v>
      </c>
      <c r="W383" t="s">
        <v>12947</v>
      </c>
      <c r="X383">
        <v>2</v>
      </c>
      <c r="Y383" t="s">
        <v>19176</v>
      </c>
      <c r="Z383" t="s">
        <v>25253</v>
      </c>
      <c r="AA383">
        <v>0.42132430083891143</v>
      </c>
      <c r="AB383" t="str">
        <f>HYPERLINK("Melting_Curves/meltCurve_E9PG35_MCCC1.pdf", "Melting_Curves/meltCurve_E9PG35_MCCC1.pdf")</f>
        <v>Melting_Curves/meltCurve_E9PG35_MCCC1.pdf</v>
      </c>
    </row>
    <row r="384" spans="1:28" x14ac:dyDescent="0.25">
      <c r="A384" t="s">
        <v>388</v>
      </c>
      <c r="B384">
        <v>0.99352677808782597</v>
      </c>
      <c r="C384">
        <v>0.98915798332982596</v>
      </c>
      <c r="D384">
        <v>0.94691187515268105</v>
      </c>
      <c r="E384">
        <v>0.79965491637245001</v>
      </c>
      <c r="F384">
        <v>0.67579695905926396</v>
      </c>
      <c r="G384">
        <v>0.59766596705818098</v>
      </c>
      <c r="H384">
        <v>0.645427327466922</v>
      </c>
      <c r="I384">
        <v>0.59762485438492896</v>
      </c>
      <c r="J384">
        <v>0.64034708204286905</v>
      </c>
      <c r="K384">
        <v>0.53030846063827497</v>
      </c>
      <c r="L384">
        <v>1149.85422178356</v>
      </c>
      <c r="M384">
        <v>23.0350157193812</v>
      </c>
      <c r="O384">
        <v>49.546023982906</v>
      </c>
      <c r="P384">
        <v>-4.6982163313685099E-2</v>
      </c>
      <c r="Q384">
        <v>0.59579170997007402</v>
      </c>
      <c r="R384">
        <v>0.96920105438871795</v>
      </c>
      <c r="S384" t="s">
        <v>6669</v>
      </c>
      <c r="T384" t="s">
        <v>12568</v>
      </c>
      <c r="U384" t="s">
        <v>12568</v>
      </c>
      <c r="V384" t="s">
        <v>12568</v>
      </c>
      <c r="W384" t="s">
        <v>12948</v>
      </c>
      <c r="X384">
        <v>6</v>
      </c>
      <c r="Y384" t="s">
        <v>19177</v>
      </c>
      <c r="Z384" t="s">
        <v>25254</v>
      </c>
      <c r="AA384">
        <v>0.73367315885751594</v>
      </c>
      <c r="AB384" t="str">
        <f>HYPERLINK("Melting_Curves/meltCurve_E9PG40_APP.pdf", "Melting_Curves/meltCurve_E9PG40_APP.pdf")</f>
        <v>Melting_Curves/meltCurve_E9PG40_APP.pdf</v>
      </c>
    </row>
    <row r="385" spans="1:28" x14ac:dyDescent="0.25">
      <c r="A385" t="s">
        <v>389</v>
      </c>
      <c r="B385">
        <v>0.99352677808782597</v>
      </c>
      <c r="C385">
        <v>0.95817917245249296</v>
      </c>
      <c r="D385">
        <v>0.90976530707584402</v>
      </c>
      <c r="E385">
        <v>0.66092030630047305</v>
      </c>
      <c r="F385">
        <v>0.58895247255811201</v>
      </c>
      <c r="G385">
        <v>0.44889593118295701</v>
      </c>
      <c r="H385">
        <v>0.39723704553302702</v>
      </c>
      <c r="I385">
        <v>0.40414184782830898</v>
      </c>
      <c r="J385">
        <v>0.430697027697935</v>
      </c>
      <c r="K385">
        <v>0.357538013661928</v>
      </c>
      <c r="L385">
        <v>844.195871676313</v>
      </c>
      <c r="M385">
        <v>16.863674715849498</v>
      </c>
      <c r="N385">
        <v>54.816993585133197</v>
      </c>
      <c r="O385">
        <v>49.371972191316097</v>
      </c>
      <c r="P385">
        <v>-5.2580440092266902E-2</v>
      </c>
      <c r="Q385">
        <v>0.38427786998485602</v>
      </c>
      <c r="R385">
        <v>0.99040205155655403</v>
      </c>
      <c r="S385" t="s">
        <v>6670</v>
      </c>
      <c r="T385" t="s">
        <v>12568</v>
      </c>
      <c r="U385" t="s">
        <v>12568</v>
      </c>
      <c r="V385" t="s">
        <v>12568</v>
      </c>
      <c r="W385" t="s">
        <v>12949</v>
      </c>
      <c r="X385">
        <v>15</v>
      </c>
      <c r="Y385" t="s">
        <v>19178</v>
      </c>
      <c r="Z385" t="s">
        <v>25255</v>
      </c>
      <c r="AA385">
        <v>0.6026057191554024</v>
      </c>
      <c r="AB385" t="str">
        <f>HYPERLINK("Melting_Curves/meltCurve_E9PGF5_TNS1.pdf", "Melting_Curves/meltCurve_E9PGF5_TNS1.pdf")</f>
        <v>Melting_Curves/meltCurve_E9PGF5_TNS1.pdf</v>
      </c>
    </row>
    <row r="386" spans="1:28" x14ac:dyDescent="0.25">
      <c r="A386" t="s">
        <v>390</v>
      </c>
      <c r="B386">
        <v>0.99352677808782597</v>
      </c>
      <c r="C386">
        <v>1.09500535634526</v>
      </c>
      <c r="D386">
        <v>0.96410898140390999</v>
      </c>
      <c r="E386">
        <v>0.81455450114332795</v>
      </c>
      <c r="F386">
        <v>0.70456926541770004</v>
      </c>
      <c r="G386">
        <v>0.64695967421429501</v>
      </c>
      <c r="H386">
        <v>0.92594422222569694</v>
      </c>
      <c r="I386">
        <v>0.71222062001153696</v>
      </c>
      <c r="J386">
        <v>0.316299695846748</v>
      </c>
      <c r="K386">
        <v>8.3799032641727306E-2</v>
      </c>
      <c r="L386">
        <v>662.11315654854195</v>
      </c>
      <c r="M386">
        <v>10.280870456110099</v>
      </c>
      <c r="N386">
        <v>64.402422960470801</v>
      </c>
      <c r="O386">
        <v>62.108556006848701</v>
      </c>
      <c r="P386">
        <v>-4.1400780892356298E-2</v>
      </c>
      <c r="Q386">
        <v>0</v>
      </c>
      <c r="R386">
        <v>0.70470719218252598</v>
      </c>
      <c r="S386" t="s">
        <v>6671</v>
      </c>
      <c r="T386" t="s">
        <v>12568</v>
      </c>
      <c r="U386" t="s">
        <v>12568</v>
      </c>
      <c r="V386" t="s">
        <v>12568</v>
      </c>
      <c r="W386" t="s">
        <v>12950</v>
      </c>
      <c r="X386">
        <v>15</v>
      </c>
      <c r="Y386" t="s">
        <v>19179</v>
      </c>
      <c r="Z386" t="s">
        <v>25256</v>
      </c>
      <c r="AA386">
        <v>0.76863601793952863</v>
      </c>
      <c r="AB386" t="str">
        <f>HYPERLINK("Melting_Curves/meltCurve_E9PGT1_TSN.pdf", "Melting_Curves/meltCurve_E9PGT1_TSN.pdf")</f>
        <v>Melting_Curves/meltCurve_E9PGT1_TSN.pdf</v>
      </c>
    </row>
    <row r="387" spans="1:28" x14ac:dyDescent="0.25">
      <c r="A387" t="s">
        <v>391</v>
      </c>
      <c r="B387">
        <v>0.99352677808782597</v>
      </c>
      <c r="C387">
        <v>1.0052318305152399</v>
      </c>
      <c r="D387">
        <v>0.86778209693833896</v>
      </c>
      <c r="E387">
        <v>0.72932363120568799</v>
      </c>
      <c r="F387">
        <v>0.72433359621201698</v>
      </c>
      <c r="G387">
        <v>0.56232312139637297</v>
      </c>
      <c r="H387">
        <v>0.399606826133175</v>
      </c>
      <c r="I387">
        <v>0.42855153016130398</v>
      </c>
      <c r="J387">
        <v>0.42616545162736802</v>
      </c>
      <c r="K387">
        <v>0.31658331481476398</v>
      </c>
      <c r="L387">
        <v>549.29856593076499</v>
      </c>
      <c r="M387">
        <v>10.1937941712567</v>
      </c>
      <c r="N387">
        <v>58.919235050311599</v>
      </c>
      <c r="O387">
        <v>51.935294837087199</v>
      </c>
      <c r="P387">
        <v>-3.4820370188075399E-2</v>
      </c>
      <c r="Q387">
        <v>0.29070992331071199</v>
      </c>
      <c r="R387">
        <v>0.97210372831749503</v>
      </c>
      <c r="S387" t="s">
        <v>6672</v>
      </c>
      <c r="T387" t="s">
        <v>12568</v>
      </c>
      <c r="U387" t="s">
        <v>12568</v>
      </c>
      <c r="V387" t="s">
        <v>12568</v>
      </c>
      <c r="W387" t="s">
        <v>12951</v>
      </c>
      <c r="X387">
        <v>5</v>
      </c>
      <c r="Y387" t="s">
        <v>19180</v>
      </c>
      <c r="Z387" t="s">
        <v>25257</v>
      </c>
      <c r="AA387">
        <v>0.64047288535802271</v>
      </c>
      <c r="AB387" t="str">
        <f>HYPERLINK("Melting_Curves/meltCurve_E9PGW7_MED22.pdf", "Melting_Curves/meltCurve_E9PGW7_MED22.pdf")</f>
        <v>Melting_Curves/meltCurve_E9PGW7_MED22.pdf</v>
      </c>
    </row>
    <row r="388" spans="1:28" x14ac:dyDescent="0.25">
      <c r="A388" t="s">
        <v>392</v>
      </c>
      <c r="B388">
        <v>0.99352677808782597</v>
      </c>
      <c r="C388">
        <v>0.73647183201753996</v>
      </c>
      <c r="D388">
        <v>0.95957288672771102</v>
      </c>
      <c r="E388">
        <v>0.65936609036911598</v>
      </c>
      <c r="F388">
        <v>0.56279865109280702</v>
      </c>
      <c r="G388">
        <v>0.34553733415744597</v>
      </c>
      <c r="H388">
        <v>0.23906331918385099</v>
      </c>
      <c r="I388">
        <v>0.202124048088761</v>
      </c>
      <c r="J388">
        <v>0.14215999581913899</v>
      </c>
      <c r="K388">
        <v>6.7876082340984703E-2</v>
      </c>
      <c r="L388">
        <v>514.79564245533095</v>
      </c>
      <c r="M388">
        <v>9.5557623014057302</v>
      </c>
      <c r="N388">
        <v>53.872796694586697</v>
      </c>
      <c r="O388">
        <v>51.671864227607003</v>
      </c>
      <c r="P388">
        <v>-4.6259651065038501E-2</v>
      </c>
      <c r="Q388">
        <v>0</v>
      </c>
      <c r="R388">
        <v>0.949007819804354</v>
      </c>
      <c r="S388" t="s">
        <v>6673</v>
      </c>
      <c r="T388" t="s">
        <v>12568</v>
      </c>
      <c r="U388" t="s">
        <v>12568</v>
      </c>
      <c r="V388" t="s">
        <v>12568</v>
      </c>
      <c r="W388" t="s">
        <v>12952</v>
      </c>
      <c r="X388">
        <v>10</v>
      </c>
      <c r="Y388" t="s">
        <v>19181</v>
      </c>
      <c r="Z388" t="s">
        <v>25258</v>
      </c>
      <c r="AA388">
        <v>0.49412840963525179</v>
      </c>
      <c r="AB388" t="str">
        <f>HYPERLINK("Melting_Curves/meltCurve_E9PH29_PRDX3.pdf", "Melting_Curves/meltCurve_E9PH29_PRDX3.pdf")</f>
        <v>Melting_Curves/meltCurve_E9PH29_PRDX3.pdf</v>
      </c>
    </row>
    <row r="389" spans="1:28" x14ac:dyDescent="0.25">
      <c r="A389" t="s">
        <v>393</v>
      </c>
      <c r="B389">
        <v>0.99352677808782597</v>
      </c>
      <c r="C389">
        <v>0.949579070475147</v>
      </c>
      <c r="D389">
        <v>0.98181983212733404</v>
      </c>
      <c r="E389">
        <v>0.91645431912707598</v>
      </c>
      <c r="F389">
        <v>0.837836085140787</v>
      </c>
      <c r="G389">
        <v>0.61621906891619505</v>
      </c>
      <c r="H389">
        <v>0.43607977634905598</v>
      </c>
      <c r="I389">
        <v>0.391393292224822</v>
      </c>
      <c r="J389">
        <v>0.33881772480767097</v>
      </c>
      <c r="K389">
        <v>0.277309473629128</v>
      </c>
      <c r="L389">
        <v>874.96820296843498</v>
      </c>
      <c r="M389">
        <v>15.3661728680843</v>
      </c>
      <c r="N389">
        <v>59.729577408718797</v>
      </c>
      <c r="O389">
        <v>56.002953332083898</v>
      </c>
      <c r="P389">
        <v>-5.1041292063140599E-2</v>
      </c>
      <c r="Q389">
        <v>0.25597598283447998</v>
      </c>
      <c r="R389">
        <v>0.99506226233594497</v>
      </c>
      <c r="S389" t="s">
        <v>6674</v>
      </c>
      <c r="T389" t="s">
        <v>12568</v>
      </c>
      <c r="U389" t="s">
        <v>12568</v>
      </c>
      <c r="V389" t="s">
        <v>12568</v>
      </c>
      <c r="W389" t="s">
        <v>12953</v>
      </c>
      <c r="X389">
        <v>1</v>
      </c>
      <c r="Y389" t="s">
        <v>19182</v>
      </c>
      <c r="Z389" t="s">
        <v>25259</v>
      </c>
      <c r="AA389">
        <v>0.68781908242427958</v>
      </c>
      <c r="AB389" t="str">
        <f>HYPERLINK("Melting_Curves/meltCurve_E9PHK0_CLEC3B.pdf", "Melting_Curves/meltCurve_E9PHK0_CLEC3B.pdf")</f>
        <v>Melting_Curves/meltCurve_E9PHK0_CLEC3B.pdf</v>
      </c>
    </row>
    <row r="390" spans="1:28" x14ac:dyDescent="0.25">
      <c r="A390" t="s">
        <v>394</v>
      </c>
      <c r="B390">
        <v>0.99352677808782597</v>
      </c>
      <c r="C390">
        <v>1.0183296804294699</v>
      </c>
      <c r="D390">
        <v>0.94050433001453204</v>
      </c>
      <c r="E390">
        <v>0.26675771752313998</v>
      </c>
      <c r="F390">
        <v>0.20192144283317701</v>
      </c>
      <c r="G390">
        <v>0.130373741041972</v>
      </c>
      <c r="H390">
        <v>9.3764205429462899E-2</v>
      </c>
      <c r="I390">
        <v>8.4803504979324901E-2</v>
      </c>
      <c r="J390">
        <v>7.6453971193271006E-2</v>
      </c>
      <c r="K390">
        <v>5.9964212421897298E-2</v>
      </c>
      <c r="L390">
        <v>2182.2847407675099</v>
      </c>
      <c r="M390">
        <v>45.0170063223838</v>
      </c>
      <c r="N390">
        <v>48.724297818312898</v>
      </c>
      <c r="O390">
        <v>48.381525258123403</v>
      </c>
      <c r="P390">
        <v>-0.20884914169732899</v>
      </c>
      <c r="Q390">
        <v>0.10216802167809701</v>
      </c>
      <c r="R390">
        <v>0.99295147264143202</v>
      </c>
      <c r="S390" t="s">
        <v>6675</v>
      </c>
      <c r="T390" t="s">
        <v>12568</v>
      </c>
      <c r="U390" t="s">
        <v>12568</v>
      </c>
      <c r="V390" t="s">
        <v>12568</v>
      </c>
      <c r="W390" t="s">
        <v>12954</v>
      </c>
      <c r="X390">
        <v>5</v>
      </c>
      <c r="Y390" t="s">
        <v>19183</v>
      </c>
      <c r="Z390" t="s">
        <v>25260</v>
      </c>
      <c r="AA390">
        <v>0.35823530232190143</v>
      </c>
      <c r="AB390" t="str">
        <f>HYPERLINK("Melting_Curves/meltCurve_E9PHM2_LARS2.pdf", "Melting_Curves/meltCurve_E9PHM2_LARS2.pdf")</f>
        <v>Melting_Curves/meltCurve_E9PHM2_LARS2.pdf</v>
      </c>
    </row>
    <row r="391" spans="1:28" x14ac:dyDescent="0.25">
      <c r="A391" t="s">
        <v>395</v>
      </c>
      <c r="B391">
        <v>0.99352677808782597</v>
      </c>
      <c r="C391">
        <v>0.95251329675004404</v>
      </c>
      <c r="D391">
        <v>0.94578248260958697</v>
      </c>
      <c r="E391">
        <v>0.94174556928696496</v>
      </c>
      <c r="F391">
        <v>0.88314929351302895</v>
      </c>
      <c r="G391">
        <v>0.53309042390081496</v>
      </c>
      <c r="H391">
        <v>0.42757330793522202</v>
      </c>
      <c r="I391">
        <v>0.43617996852420698</v>
      </c>
      <c r="J391">
        <v>0.43696337816821501</v>
      </c>
      <c r="K391">
        <v>0.39224038409530099</v>
      </c>
      <c r="L391">
        <v>1927.8439423307</v>
      </c>
      <c r="M391">
        <v>35.138117836872098</v>
      </c>
      <c r="N391">
        <v>57.8178082442031</v>
      </c>
      <c r="O391">
        <v>54.687957235254601</v>
      </c>
      <c r="P391">
        <v>-9.3662073459195902E-2</v>
      </c>
      <c r="Q391">
        <v>0.41691019348306102</v>
      </c>
      <c r="R391">
        <v>0.98704672864658505</v>
      </c>
      <c r="S391" t="s">
        <v>6676</v>
      </c>
      <c r="T391" t="s">
        <v>12568</v>
      </c>
      <c r="U391" t="s">
        <v>12568</v>
      </c>
      <c r="V391" t="s">
        <v>12568</v>
      </c>
      <c r="W391" t="s">
        <v>12955</v>
      </c>
      <c r="X391">
        <v>8</v>
      </c>
      <c r="Y391" t="s">
        <v>19184</v>
      </c>
      <c r="Z391" t="s">
        <v>25261</v>
      </c>
      <c r="AA391">
        <v>0.70867351729125005</v>
      </c>
      <c r="AB391" t="str">
        <f>HYPERLINK("Melting_Curves/meltCurve_E9PHV5_SSFA2.pdf", "Melting_Curves/meltCurve_E9PHV5_SSFA2.pdf")</f>
        <v>Melting_Curves/meltCurve_E9PHV5_SSFA2.pdf</v>
      </c>
    </row>
    <row r="392" spans="1:28" x14ac:dyDescent="0.25">
      <c r="A392" t="s">
        <v>396</v>
      </c>
      <c r="B392">
        <v>0.99352677808782597</v>
      </c>
      <c r="C392">
        <v>0.81439701872637904</v>
      </c>
      <c r="D392">
        <v>0.78404860851168801</v>
      </c>
      <c r="E392">
        <v>0.47120338209276103</v>
      </c>
      <c r="F392">
        <v>0.41785417885513598</v>
      </c>
      <c r="G392">
        <v>0.20296423333004901</v>
      </c>
      <c r="H392">
        <v>0.20493840328959101</v>
      </c>
      <c r="I392">
        <v>0.156233459639262</v>
      </c>
      <c r="J392">
        <v>0.15074762170071301</v>
      </c>
      <c r="K392">
        <v>0.114662653498307</v>
      </c>
      <c r="L392">
        <v>606.93192140492897</v>
      </c>
      <c r="M392">
        <v>12.3179428762851</v>
      </c>
      <c r="N392">
        <v>50.2419821576513</v>
      </c>
      <c r="O392">
        <v>48.027585981114797</v>
      </c>
      <c r="P392">
        <v>-5.7347328160531501E-2</v>
      </c>
      <c r="Q392">
        <v>0.10580725996002099</v>
      </c>
      <c r="R392">
        <v>0.98455860168067999</v>
      </c>
      <c r="S392" t="s">
        <v>6677</v>
      </c>
      <c r="T392" t="s">
        <v>12568</v>
      </c>
      <c r="U392" t="s">
        <v>12568</v>
      </c>
      <c r="V392" t="s">
        <v>12568</v>
      </c>
      <c r="W392" t="s">
        <v>12956</v>
      </c>
      <c r="X392">
        <v>2</v>
      </c>
      <c r="Y392" t="s">
        <v>19185</v>
      </c>
      <c r="Z392" t="s">
        <v>25262</v>
      </c>
      <c r="AA392">
        <v>0.41312248581381028</v>
      </c>
      <c r="AB392" t="str">
        <f>HYPERLINK("Melting_Curves/meltCurve_E9PHY8_MROH1.pdf", "Melting_Curves/meltCurve_E9PHY8_MROH1.pdf")</f>
        <v>Melting_Curves/meltCurve_E9PHY8_MROH1.pdf</v>
      </c>
    </row>
    <row r="393" spans="1:28" x14ac:dyDescent="0.25">
      <c r="A393" t="s">
        <v>397</v>
      </c>
      <c r="B393">
        <v>0.99352677808782597</v>
      </c>
      <c r="C393">
        <v>0.85264871515001806</v>
      </c>
      <c r="D393">
        <v>1.15130587686443</v>
      </c>
      <c r="E393">
        <v>0.82636459730966505</v>
      </c>
      <c r="F393">
        <v>0.96602259416346803</v>
      </c>
      <c r="G393">
        <v>0.68521914740518297</v>
      </c>
      <c r="H393">
        <v>0.30473317692016599</v>
      </c>
      <c r="I393">
        <v>0.32066563727957498</v>
      </c>
      <c r="J393">
        <v>0.29333699313261302</v>
      </c>
      <c r="K393">
        <v>0.28823686005330301</v>
      </c>
      <c r="L393">
        <v>2729.0134019680399</v>
      </c>
      <c r="M393">
        <v>47.690498376649302</v>
      </c>
      <c r="N393">
        <v>58.298083128865798</v>
      </c>
      <c r="O393">
        <v>57.123090158968502</v>
      </c>
      <c r="P393">
        <v>-0.147683557002216</v>
      </c>
      <c r="Q393">
        <v>0.29242676431114301</v>
      </c>
      <c r="R393">
        <v>0.92582727895825501</v>
      </c>
      <c r="S393" t="s">
        <v>6678</v>
      </c>
      <c r="T393" t="s">
        <v>12568</v>
      </c>
      <c r="U393" t="s">
        <v>12568</v>
      </c>
      <c r="V393" t="s">
        <v>12568</v>
      </c>
      <c r="W393" t="s">
        <v>12957</v>
      </c>
      <c r="X393">
        <v>1</v>
      </c>
      <c r="Y393" t="s">
        <v>19186</v>
      </c>
      <c r="Z393" t="s">
        <v>25263</v>
      </c>
      <c r="AA393">
        <v>0.7006113360008317</v>
      </c>
      <c r="AB393" t="str">
        <f>HYPERLINK("Melting_Curves/meltCurve_E9PIB1_HLA_DQB1.pdf", "Melting_Curves/meltCurve_E9PIB1_HLA_DQB1.pdf")</f>
        <v>Melting_Curves/meltCurve_E9PIB1_HLA_DQB1.pdf</v>
      </c>
    </row>
    <row r="394" spans="1:28" x14ac:dyDescent="0.25">
      <c r="A394" t="s">
        <v>398</v>
      </c>
      <c r="B394">
        <v>0.99352677808782597</v>
      </c>
      <c r="C394">
        <v>0.95279893966954898</v>
      </c>
      <c r="D394">
        <v>0.94086169411769605</v>
      </c>
      <c r="E394">
        <v>1.0111407842670399</v>
      </c>
      <c r="F394">
        <v>0.96061924994836401</v>
      </c>
      <c r="G394">
        <v>0.80826850415686702</v>
      </c>
      <c r="H394">
        <v>0.70181682397109801</v>
      </c>
      <c r="I394">
        <v>0.61239318771845597</v>
      </c>
      <c r="J394">
        <v>0.64445054798028401</v>
      </c>
      <c r="K394">
        <v>0.58256960707833505</v>
      </c>
      <c r="L394">
        <v>1325.6913066955001</v>
      </c>
      <c r="M394">
        <v>23.019791231198202</v>
      </c>
      <c r="O394">
        <v>57.159879863083802</v>
      </c>
      <c r="P394">
        <v>-4.0572023074690301E-2</v>
      </c>
      <c r="Q394">
        <v>0.59703392924958998</v>
      </c>
      <c r="R394">
        <v>0.96708978225162301</v>
      </c>
      <c r="S394" t="s">
        <v>6679</v>
      </c>
      <c r="T394" t="s">
        <v>12568</v>
      </c>
      <c r="U394" t="s">
        <v>12568</v>
      </c>
      <c r="V394" t="s">
        <v>12568</v>
      </c>
      <c r="W394" t="s">
        <v>12958</v>
      </c>
      <c r="X394">
        <v>17</v>
      </c>
      <c r="Y394" t="s">
        <v>19187</v>
      </c>
      <c r="Z394" t="s">
        <v>25264</v>
      </c>
      <c r="AA394">
        <v>0.83729463980669505</v>
      </c>
      <c r="AB394" t="str">
        <f>HYPERLINK("Melting_Curves/meltCurve_E9PJ04_SF3B2.pdf", "Melting_Curves/meltCurve_E9PJ04_SF3B2.pdf")</f>
        <v>Melting_Curves/meltCurve_E9PJ04_SF3B2.pdf</v>
      </c>
    </row>
    <row r="395" spans="1:28" x14ac:dyDescent="0.25">
      <c r="A395" t="s">
        <v>399</v>
      </c>
      <c r="B395">
        <v>0.99352677808782597</v>
      </c>
      <c r="C395">
        <v>1.4986253485029</v>
      </c>
      <c r="D395">
        <v>1.48070388016868</v>
      </c>
      <c r="E395">
        <v>1.2730983082387499</v>
      </c>
      <c r="F395">
        <v>1.1114963088907901</v>
      </c>
      <c r="G395">
        <v>0.93633378233082198</v>
      </c>
      <c r="H395">
        <v>0.86970923101922004</v>
      </c>
      <c r="I395">
        <v>0.97243519595286398</v>
      </c>
      <c r="J395">
        <v>0.85386018457902702</v>
      </c>
      <c r="K395">
        <v>0.709442840555492</v>
      </c>
      <c r="L395">
        <v>1135.1992408372</v>
      </c>
      <c r="M395">
        <v>15.273813001042701</v>
      </c>
      <c r="Q395">
        <v>0</v>
      </c>
      <c r="R395">
        <v>9.7294766513220707E-2</v>
      </c>
      <c r="S395" t="s">
        <v>6680</v>
      </c>
      <c r="T395" t="s">
        <v>12568</v>
      </c>
      <c r="U395" t="s">
        <v>12568</v>
      </c>
      <c r="V395" t="s">
        <v>12568</v>
      </c>
      <c r="W395" t="s">
        <v>12959</v>
      </c>
      <c r="X395">
        <v>9</v>
      </c>
      <c r="Y395" t="s">
        <v>19188</v>
      </c>
      <c r="Z395" t="s">
        <v>25265</v>
      </c>
      <c r="AA395">
        <v>0.95803581738605237</v>
      </c>
      <c r="AB395" t="str">
        <f>HYPERLINK("Melting_Curves/meltCurve_E9PJ24_PHRF1.pdf", "Melting_Curves/meltCurve_E9PJ24_PHRF1.pdf")</f>
        <v>Melting_Curves/meltCurve_E9PJ24_PHRF1.pdf</v>
      </c>
    </row>
    <row r="396" spans="1:28" x14ac:dyDescent="0.25">
      <c r="A396" t="s">
        <v>400</v>
      </c>
      <c r="B396">
        <v>0.99352677808782597</v>
      </c>
      <c r="C396">
        <v>0.89363858838043297</v>
      </c>
      <c r="D396">
        <v>0.74481907751465903</v>
      </c>
      <c r="E396">
        <v>0.57033304715526001</v>
      </c>
      <c r="F396">
        <v>0.502589199071937</v>
      </c>
      <c r="G396">
        <v>0.33032152098637801</v>
      </c>
      <c r="H396">
        <v>0.219912118981479</v>
      </c>
      <c r="I396">
        <v>0.22170530967259899</v>
      </c>
      <c r="J396">
        <v>0.23045551279576701</v>
      </c>
      <c r="K396">
        <v>0.174942423977964</v>
      </c>
      <c r="L396">
        <v>552.88651194542695</v>
      </c>
      <c r="M396">
        <v>10.996088236816901</v>
      </c>
      <c r="N396">
        <v>51.949485170372697</v>
      </c>
      <c r="O396">
        <v>48.703204159844397</v>
      </c>
      <c r="P396">
        <v>-4.8060419651050103E-2</v>
      </c>
      <c r="Q396">
        <v>0.14882245131008801</v>
      </c>
      <c r="R396">
        <v>0.99111891857534395</v>
      </c>
      <c r="S396" t="s">
        <v>6681</v>
      </c>
      <c r="T396" t="s">
        <v>12568</v>
      </c>
      <c r="U396" t="s">
        <v>12568</v>
      </c>
      <c r="V396" t="s">
        <v>12568</v>
      </c>
      <c r="W396" t="s">
        <v>12960</v>
      </c>
      <c r="X396">
        <v>1</v>
      </c>
      <c r="Y396" t="s">
        <v>19189</v>
      </c>
      <c r="Z396" t="s">
        <v>25266</v>
      </c>
      <c r="AA396">
        <v>0.47348432872055279</v>
      </c>
      <c r="AB396" t="str">
        <f>HYPERLINK("Melting_Curves/meltCurve_E9PJ40_EBAG9.pdf", "Melting_Curves/meltCurve_E9PJ40_EBAG9.pdf")</f>
        <v>Melting_Curves/meltCurve_E9PJ40_EBAG9.pdf</v>
      </c>
    </row>
    <row r="397" spans="1:28" x14ac:dyDescent="0.25">
      <c r="A397" t="s">
        <v>401</v>
      </c>
      <c r="B397">
        <v>0.99352677808782597</v>
      </c>
      <c r="C397">
        <v>0.98114623782924404</v>
      </c>
      <c r="D397">
        <v>0.98972650725997502</v>
      </c>
      <c r="E397">
        <v>0.89279175955895096</v>
      </c>
      <c r="F397">
        <v>0.88557655968895399</v>
      </c>
      <c r="G397">
        <v>0.73675888864048</v>
      </c>
      <c r="H397">
        <v>0.58023127244845796</v>
      </c>
      <c r="I397">
        <v>0.58603075764975299</v>
      </c>
      <c r="J397">
        <v>0.55144135452824194</v>
      </c>
      <c r="K397">
        <v>0.48475234785694499</v>
      </c>
      <c r="L397">
        <v>753.04827202363697</v>
      </c>
      <c r="M397">
        <v>13.2102457609271</v>
      </c>
      <c r="O397">
        <v>55.7460597528205</v>
      </c>
      <c r="P397">
        <v>-3.1928048781835999E-2</v>
      </c>
      <c r="Q397">
        <v>0.46115535047691703</v>
      </c>
      <c r="R397">
        <v>0.98512537893136098</v>
      </c>
      <c r="S397" t="s">
        <v>6682</v>
      </c>
      <c r="T397" t="s">
        <v>12568</v>
      </c>
      <c r="U397" t="s">
        <v>12568</v>
      </c>
      <c r="V397" t="s">
        <v>12568</v>
      </c>
      <c r="W397" t="s">
        <v>12961</v>
      </c>
      <c r="X397">
        <v>16</v>
      </c>
      <c r="Y397" t="s">
        <v>19190</v>
      </c>
      <c r="Z397" t="s">
        <v>25267</v>
      </c>
      <c r="AA397">
        <v>0.77555903829563344</v>
      </c>
      <c r="AB397" t="str">
        <f>HYPERLINK("Melting_Curves/meltCurve_E9PJ81_UBXN1.pdf", "Melting_Curves/meltCurve_E9PJ81_UBXN1.pdf")</f>
        <v>Melting_Curves/meltCurve_E9PJ81_UBXN1.pdf</v>
      </c>
    </row>
    <row r="398" spans="1:28" x14ac:dyDescent="0.25">
      <c r="A398" t="s">
        <v>402</v>
      </c>
      <c r="B398">
        <v>0.99352677808782597</v>
      </c>
      <c r="C398">
        <v>0.93779186750102905</v>
      </c>
      <c r="D398">
        <v>0.98071915249063601</v>
      </c>
      <c r="E398">
        <v>0.55213727710703897</v>
      </c>
      <c r="F398">
        <v>0.51236784946150804</v>
      </c>
      <c r="G398">
        <v>0.21903415844486801</v>
      </c>
      <c r="H398">
        <v>0.117196297500375</v>
      </c>
      <c r="I398">
        <v>9.5035425785820596E-2</v>
      </c>
      <c r="J398">
        <v>7.8184624064139702E-2</v>
      </c>
      <c r="K398">
        <v>5.1945007005315798E-2</v>
      </c>
      <c r="L398">
        <v>818.29119645671096</v>
      </c>
      <c r="M398">
        <v>15.7856206410861</v>
      </c>
      <c r="N398">
        <v>52.149872759765898</v>
      </c>
      <c r="O398">
        <v>51.027253023134499</v>
      </c>
      <c r="P398">
        <v>-7.3859210990059598E-2</v>
      </c>
      <c r="Q398">
        <v>4.5075181043552001E-2</v>
      </c>
      <c r="R398">
        <v>0.98149867613393105</v>
      </c>
      <c r="S398" t="s">
        <v>6683</v>
      </c>
      <c r="T398" t="s">
        <v>12568</v>
      </c>
      <c r="U398" t="s">
        <v>12568</v>
      </c>
      <c r="V398" t="s">
        <v>12568</v>
      </c>
      <c r="W398" t="s">
        <v>12962</v>
      </c>
      <c r="X398">
        <v>8</v>
      </c>
      <c r="Y398" t="s">
        <v>19191</v>
      </c>
      <c r="Z398" t="s">
        <v>25268</v>
      </c>
      <c r="AA398">
        <v>0.44169095575758011</v>
      </c>
      <c r="AB398" t="str">
        <f>HYPERLINK("Melting_Curves/meltCurve_E9PJD7_CYHR1.pdf", "Melting_Curves/meltCurve_E9PJD7_CYHR1.pdf")</f>
        <v>Melting_Curves/meltCurve_E9PJD7_CYHR1.pdf</v>
      </c>
    </row>
    <row r="399" spans="1:28" x14ac:dyDescent="0.25">
      <c r="A399" t="s">
        <v>403</v>
      </c>
      <c r="B399">
        <v>0.99352677808782597</v>
      </c>
      <c r="C399">
        <v>1.14204976274074</v>
      </c>
      <c r="D399">
        <v>0.817157002392639</v>
      </c>
      <c r="E399">
        <v>0.47118136108158998</v>
      </c>
      <c r="F399">
        <v>0.50376427065650098</v>
      </c>
      <c r="G399">
        <v>0.26242515764510399</v>
      </c>
      <c r="H399">
        <v>0.12603219708985</v>
      </c>
      <c r="I399">
        <v>0.109616220348977</v>
      </c>
      <c r="J399">
        <v>0.122827191615016</v>
      </c>
      <c r="K399">
        <v>8.2053950720736193E-2</v>
      </c>
      <c r="L399">
        <v>779.36556253326</v>
      </c>
      <c r="M399">
        <v>15.348102248754699</v>
      </c>
      <c r="N399">
        <v>51.423056988496903</v>
      </c>
      <c r="O399">
        <v>49.940654743693202</v>
      </c>
      <c r="P399">
        <v>-7.0122543466640597E-2</v>
      </c>
      <c r="Q399">
        <v>8.7407073292910697E-2</v>
      </c>
      <c r="R399">
        <v>0.95232340269987903</v>
      </c>
      <c r="S399" t="s">
        <v>6684</v>
      </c>
      <c r="T399" t="s">
        <v>12568</v>
      </c>
      <c r="U399" t="s">
        <v>12568</v>
      </c>
      <c r="V399" t="s">
        <v>12568</v>
      </c>
      <c r="W399" t="s">
        <v>12963</v>
      </c>
      <c r="X399">
        <v>2</v>
      </c>
      <c r="Y399" t="s">
        <v>19192</v>
      </c>
      <c r="Z399" t="s">
        <v>25269</v>
      </c>
      <c r="AA399">
        <v>0.435734853560937</v>
      </c>
      <c r="AB399" t="str">
        <f>HYPERLINK("Melting_Curves/meltCurve_E9PJF5_BRMS1.pdf", "Melting_Curves/meltCurve_E9PJF5_BRMS1.pdf")</f>
        <v>Melting_Curves/meltCurve_E9PJF5_BRMS1.pdf</v>
      </c>
    </row>
    <row r="400" spans="1:28" x14ac:dyDescent="0.25">
      <c r="A400" t="s">
        <v>404</v>
      </c>
      <c r="B400">
        <v>0.99352677808782597</v>
      </c>
      <c r="C400">
        <v>0.95275755183823896</v>
      </c>
      <c r="D400">
        <v>0.94303593401076502</v>
      </c>
      <c r="E400">
        <v>0.82190925642282198</v>
      </c>
      <c r="F400">
        <v>0.73741934874869597</v>
      </c>
      <c r="G400">
        <v>0.69385774843765502</v>
      </c>
      <c r="H400">
        <v>0.54913717927417804</v>
      </c>
      <c r="I400">
        <v>0.586556612747271</v>
      </c>
      <c r="J400">
        <v>0.59526639865685005</v>
      </c>
      <c r="K400">
        <v>0.54876149299980104</v>
      </c>
      <c r="L400">
        <v>658.257263841503</v>
      </c>
      <c r="M400">
        <v>12.6412494150663</v>
      </c>
      <c r="O400">
        <v>50.820635239279603</v>
      </c>
      <c r="P400">
        <v>-2.8569423323193701E-2</v>
      </c>
      <c r="Q400">
        <v>0.54066872481893102</v>
      </c>
      <c r="R400">
        <v>0.97834220619492196</v>
      </c>
      <c r="S400" t="s">
        <v>6685</v>
      </c>
      <c r="T400" t="s">
        <v>12568</v>
      </c>
      <c r="U400" t="s">
        <v>12568</v>
      </c>
      <c r="V400" t="s">
        <v>12568</v>
      </c>
      <c r="W400" t="s">
        <v>12964</v>
      </c>
      <c r="X400">
        <v>4</v>
      </c>
      <c r="Y400" t="s">
        <v>19193</v>
      </c>
      <c r="Z400" t="s">
        <v>25270</v>
      </c>
      <c r="AA400">
        <v>0.73857862674313979</v>
      </c>
      <c r="AB400" t="str">
        <f>HYPERLINK("Melting_Curves/meltCurve_E9PJK4_ARHGAP42.pdf", "Melting_Curves/meltCurve_E9PJK4_ARHGAP42.pdf")</f>
        <v>Melting_Curves/meltCurve_E9PJK4_ARHGAP42.pdf</v>
      </c>
    </row>
    <row r="401" spans="1:28" x14ac:dyDescent="0.25">
      <c r="A401" t="s">
        <v>405</v>
      </c>
      <c r="B401">
        <v>0.99352677808782597</v>
      </c>
      <c r="C401">
        <v>0.50650518392180399</v>
      </c>
      <c r="D401">
        <v>0.61204790463243897</v>
      </c>
      <c r="E401">
        <v>0.29265692035000301</v>
      </c>
      <c r="F401">
        <v>0.265044325782543</v>
      </c>
      <c r="G401">
        <v>0.15137076727675999</v>
      </c>
      <c r="H401">
        <v>7.3369279095253995E-2</v>
      </c>
      <c r="I401">
        <v>6.2636406856121596E-2</v>
      </c>
      <c r="J401">
        <v>5.3591632341331498E-2</v>
      </c>
      <c r="K401">
        <v>4.7506073562764498E-2</v>
      </c>
      <c r="L401">
        <v>486.12323803042199</v>
      </c>
      <c r="M401">
        <v>10.5070556631557</v>
      </c>
      <c r="N401">
        <v>46.446891421971202</v>
      </c>
      <c r="O401">
        <v>44.684716346154602</v>
      </c>
      <c r="P401">
        <v>-5.7631498743703401E-2</v>
      </c>
      <c r="Q401">
        <v>2.00071701304202E-2</v>
      </c>
      <c r="R401">
        <v>0.91778565936226997</v>
      </c>
      <c r="S401" t="s">
        <v>6686</v>
      </c>
      <c r="T401" t="s">
        <v>12568</v>
      </c>
      <c r="U401" t="s">
        <v>12568</v>
      </c>
      <c r="V401" t="s">
        <v>12568</v>
      </c>
      <c r="W401" t="s">
        <v>12965</v>
      </c>
      <c r="X401">
        <v>3</v>
      </c>
      <c r="Y401" t="s">
        <v>19194</v>
      </c>
      <c r="Z401" t="s">
        <v>25271</v>
      </c>
      <c r="AA401">
        <v>0.27989465443513623</v>
      </c>
      <c r="AB401" t="str">
        <f>HYPERLINK("Melting_Curves/meltCurve_E9PJN1_RPS6KA4.pdf", "Melting_Curves/meltCurve_E9PJN1_RPS6KA4.pdf")</f>
        <v>Melting_Curves/meltCurve_E9PJN1_RPS6KA4.pdf</v>
      </c>
    </row>
    <row r="402" spans="1:28" x14ac:dyDescent="0.25">
      <c r="A402" t="s">
        <v>406</v>
      </c>
      <c r="B402">
        <v>0.99352677808782597</v>
      </c>
      <c r="C402">
        <v>0.9574190150088</v>
      </c>
      <c r="D402">
        <v>0.99538450562222103</v>
      </c>
      <c r="E402">
        <v>0.56495052934095003</v>
      </c>
      <c r="F402">
        <v>0.56442759777296303</v>
      </c>
      <c r="G402">
        <v>0.24394959751698</v>
      </c>
      <c r="H402">
        <v>0.17500915732922201</v>
      </c>
      <c r="I402">
        <v>0.164955260137957</v>
      </c>
      <c r="J402">
        <v>0.188438259229087</v>
      </c>
      <c r="K402">
        <v>0.13511922502196499</v>
      </c>
      <c r="L402">
        <v>897.50539340197895</v>
      </c>
      <c r="M402">
        <v>17.430075445262201</v>
      </c>
      <c r="N402">
        <v>52.485109689733697</v>
      </c>
      <c r="O402">
        <v>50.828325656673698</v>
      </c>
      <c r="P402">
        <v>-7.3689460001975904E-2</v>
      </c>
      <c r="Q402">
        <v>0.14049664110332599</v>
      </c>
      <c r="R402">
        <v>0.97213660963065596</v>
      </c>
      <c r="S402" t="s">
        <v>6687</v>
      </c>
      <c r="T402" t="s">
        <v>12568</v>
      </c>
      <c r="U402" t="s">
        <v>12568</v>
      </c>
      <c r="V402" t="s">
        <v>12568</v>
      </c>
      <c r="W402" t="s">
        <v>12966</v>
      </c>
      <c r="X402">
        <v>6</v>
      </c>
      <c r="Y402" t="s">
        <v>19195</v>
      </c>
      <c r="Z402" t="s">
        <v>25272</v>
      </c>
      <c r="AA402">
        <v>0.48496506398564349</v>
      </c>
      <c r="AB402" t="str">
        <f>HYPERLINK("Melting_Curves/meltCurve_E9PJP2_SOGA3.pdf", "Melting_Curves/meltCurve_E9PJP2_SOGA3.pdf")</f>
        <v>Melting_Curves/meltCurve_E9PJP2_SOGA3.pdf</v>
      </c>
    </row>
    <row r="403" spans="1:28" x14ac:dyDescent="0.25">
      <c r="A403" t="s">
        <v>407</v>
      </c>
      <c r="B403">
        <v>0.99352677808782597</v>
      </c>
      <c r="C403">
        <v>0.84635635786817898</v>
      </c>
      <c r="D403">
        <v>0.85424842742851403</v>
      </c>
      <c r="E403">
        <v>0.58800273755362398</v>
      </c>
      <c r="F403">
        <v>0.470259439028332</v>
      </c>
      <c r="G403">
        <v>0.34853389072580898</v>
      </c>
      <c r="H403">
        <v>0.30574064862293798</v>
      </c>
      <c r="I403">
        <v>0.18899123919206201</v>
      </c>
      <c r="J403">
        <v>0.207038359041127</v>
      </c>
      <c r="K403">
        <v>0.244072779606024</v>
      </c>
      <c r="L403">
        <v>610.61738758768797</v>
      </c>
      <c r="M403">
        <v>12.132566062964701</v>
      </c>
      <c r="N403">
        <v>52.313302898552699</v>
      </c>
      <c r="O403">
        <v>49.020032629014104</v>
      </c>
      <c r="P403">
        <v>-5.0475090236634303E-2</v>
      </c>
      <c r="Q403">
        <v>0.18443663783008801</v>
      </c>
      <c r="R403">
        <v>0.98347454646126198</v>
      </c>
      <c r="S403" t="s">
        <v>6688</v>
      </c>
      <c r="T403" t="s">
        <v>12568</v>
      </c>
      <c r="U403" t="s">
        <v>12568</v>
      </c>
      <c r="V403" t="s">
        <v>12568</v>
      </c>
      <c r="W403" t="s">
        <v>12967</v>
      </c>
      <c r="X403">
        <v>1</v>
      </c>
      <c r="Y403" t="s">
        <v>19196</v>
      </c>
      <c r="Z403" t="s">
        <v>25273</v>
      </c>
      <c r="AA403">
        <v>0.49245883292013037</v>
      </c>
      <c r="AB403" t="str">
        <f>HYPERLINK("Melting_Curves/meltCurve_E9PJV3_RPUSD4.pdf", "Melting_Curves/meltCurve_E9PJV3_RPUSD4.pdf")</f>
        <v>Melting_Curves/meltCurve_E9PJV3_RPUSD4.pdf</v>
      </c>
    </row>
    <row r="404" spans="1:28" x14ac:dyDescent="0.25">
      <c r="A404" t="s">
        <v>408</v>
      </c>
      <c r="B404">
        <v>0.99352677808782597</v>
      </c>
      <c r="C404">
        <v>1.1197095571436699</v>
      </c>
      <c r="D404">
        <v>1.07043907787544</v>
      </c>
      <c r="E404">
        <v>0.93424496443965599</v>
      </c>
      <c r="F404">
        <v>0.84083897246983996</v>
      </c>
      <c r="G404">
        <v>0.62094522131433305</v>
      </c>
      <c r="H404">
        <v>0.40246352521478801</v>
      </c>
      <c r="I404">
        <v>0.45974917743894</v>
      </c>
      <c r="J404">
        <v>0.21016123776217499</v>
      </c>
      <c r="K404">
        <v>0.20078542021035001</v>
      </c>
      <c r="L404">
        <v>860.32572593249097</v>
      </c>
      <c r="M404">
        <v>14.753406055255301</v>
      </c>
      <c r="N404">
        <v>59.799815137907103</v>
      </c>
      <c r="O404">
        <v>57.2737755851212</v>
      </c>
      <c r="P404">
        <v>-5.4521035142880502E-2</v>
      </c>
      <c r="Q404">
        <v>0.15347305638071701</v>
      </c>
      <c r="R404">
        <v>0.96012414827882897</v>
      </c>
      <c r="S404" t="s">
        <v>6689</v>
      </c>
      <c r="T404" t="s">
        <v>12568</v>
      </c>
      <c r="U404" t="s">
        <v>12568</v>
      </c>
      <c r="V404" t="s">
        <v>12568</v>
      </c>
      <c r="W404" t="s">
        <v>12968</v>
      </c>
      <c r="X404">
        <v>1</v>
      </c>
      <c r="Y404" t="s">
        <v>19197</v>
      </c>
      <c r="Z404" t="s">
        <v>25274</v>
      </c>
      <c r="AA404">
        <v>0.68087991346071564</v>
      </c>
      <c r="AB404" t="str">
        <f>HYPERLINK("Melting_Curves/meltCurve_E9PKB7_TEAD1.pdf", "Melting_Curves/meltCurve_E9PKB7_TEAD1.pdf")</f>
        <v>Melting_Curves/meltCurve_E9PKB7_TEAD1.pdf</v>
      </c>
    </row>
    <row r="405" spans="1:28" x14ac:dyDescent="0.25">
      <c r="A405" t="s">
        <v>409</v>
      </c>
      <c r="B405">
        <v>0.99352677808782597</v>
      </c>
      <c r="C405">
        <v>0.97269511075003001</v>
      </c>
      <c r="D405">
        <v>0.935295435366431</v>
      </c>
      <c r="E405">
        <v>0.90086499473946902</v>
      </c>
      <c r="F405">
        <v>0.87003597875882899</v>
      </c>
      <c r="G405">
        <v>0.75685034268173301</v>
      </c>
      <c r="H405">
        <v>0.66132137247301404</v>
      </c>
      <c r="I405">
        <v>0.77207988826809504</v>
      </c>
      <c r="J405">
        <v>0.736023703023029</v>
      </c>
      <c r="K405">
        <v>0.71180892055699296</v>
      </c>
      <c r="L405">
        <v>742.90449607064602</v>
      </c>
      <c r="M405">
        <v>14.266180253367001</v>
      </c>
      <c r="O405">
        <v>51.083371362678399</v>
      </c>
      <c r="P405">
        <v>-2.0577300049726199E-2</v>
      </c>
      <c r="Q405">
        <v>0.70530902396130501</v>
      </c>
      <c r="R405">
        <v>0.91293368127782704</v>
      </c>
      <c r="S405" t="s">
        <v>6690</v>
      </c>
      <c r="T405" t="s">
        <v>12568</v>
      </c>
      <c r="U405" t="s">
        <v>12568</v>
      </c>
      <c r="V405" t="s">
        <v>12568</v>
      </c>
      <c r="W405" t="s">
        <v>12969</v>
      </c>
      <c r="X405">
        <v>4</v>
      </c>
      <c r="Y405" t="s">
        <v>19198</v>
      </c>
      <c r="Z405" t="s">
        <v>25275</v>
      </c>
      <c r="AA405">
        <v>0.83099896493704406</v>
      </c>
      <c r="AB405" t="str">
        <f>HYPERLINK("Melting_Curves/meltCurve_E9PKD1_TOR1AIP1.pdf", "Melting_Curves/meltCurve_E9PKD1_TOR1AIP1.pdf")</f>
        <v>Melting_Curves/meltCurve_E9PKD1_TOR1AIP1.pdf</v>
      </c>
    </row>
    <row r="406" spans="1:28" x14ac:dyDescent="0.25">
      <c r="A406" t="s">
        <v>410</v>
      </c>
      <c r="B406">
        <v>0.99352677808782597</v>
      </c>
      <c r="C406">
        <v>1.0489747693520299</v>
      </c>
      <c r="D406">
        <v>0.86722901624943205</v>
      </c>
      <c r="E406">
        <v>0.35429566244389199</v>
      </c>
      <c r="F406">
        <v>0.24736759527780799</v>
      </c>
      <c r="G406">
        <v>0.15891923070505301</v>
      </c>
      <c r="H406">
        <v>9.9210846629051094E-2</v>
      </c>
      <c r="I406">
        <v>9.6461755625989201E-2</v>
      </c>
      <c r="J406">
        <v>8.1564450751281298E-2</v>
      </c>
      <c r="K406">
        <v>5.8562711822619601E-2</v>
      </c>
      <c r="L406">
        <v>1367.8256791885599</v>
      </c>
      <c r="M406">
        <v>28.0804592825233</v>
      </c>
      <c r="N406">
        <v>49.107019992242599</v>
      </c>
      <c r="O406">
        <v>48.465910037588799</v>
      </c>
      <c r="P406">
        <v>-0.13016960722042001</v>
      </c>
      <c r="Q406">
        <v>0.101334499183672</v>
      </c>
      <c r="R406">
        <v>0.99018767145941999</v>
      </c>
      <c r="S406" t="s">
        <v>6691</v>
      </c>
      <c r="T406" t="s">
        <v>12568</v>
      </c>
      <c r="U406" t="s">
        <v>12568</v>
      </c>
      <c r="V406" t="s">
        <v>12568</v>
      </c>
      <c r="W406" t="s">
        <v>12970</v>
      </c>
      <c r="X406">
        <v>16</v>
      </c>
      <c r="Y406" t="s">
        <v>19199</v>
      </c>
      <c r="Z406" t="s">
        <v>25276</v>
      </c>
      <c r="AA406">
        <v>0.3685241707753884</v>
      </c>
      <c r="AB406" t="str">
        <f>HYPERLINK("Melting_Curves/meltCurve_E9PKG1_PRMT1.pdf", "Melting_Curves/meltCurve_E9PKG1_PRMT1.pdf")</f>
        <v>Melting_Curves/meltCurve_E9PKG1_PRMT1.pdf</v>
      </c>
    </row>
    <row r="407" spans="1:28" x14ac:dyDescent="0.25">
      <c r="A407" t="s">
        <v>411</v>
      </c>
      <c r="B407">
        <v>0.99352677808782597</v>
      </c>
      <c r="C407">
        <v>0.98823454224074403</v>
      </c>
      <c r="D407">
        <v>1.00329811752084</v>
      </c>
      <c r="E407">
        <v>0.29563637262165998</v>
      </c>
      <c r="F407">
        <v>0.228532261180978</v>
      </c>
      <c r="G407">
        <v>0.118194185826329</v>
      </c>
      <c r="H407">
        <v>7.6627094197191895E-2</v>
      </c>
      <c r="I407">
        <v>7.0933062523264895E-2</v>
      </c>
      <c r="J407">
        <v>6.1778371240387299E-2</v>
      </c>
      <c r="K407">
        <v>5.6634778397555201E-2</v>
      </c>
      <c r="L407">
        <v>2524.5501406114299</v>
      </c>
      <c r="M407">
        <v>51.640502267899002</v>
      </c>
      <c r="N407">
        <v>49.091738639631302</v>
      </c>
      <c r="O407">
        <v>48.813872608538396</v>
      </c>
      <c r="P407">
        <v>-0.238856815187375</v>
      </c>
      <c r="Q407">
        <v>9.6870344254030405E-2</v>
      </c>
      <c r="R407">
        <v>0.98793806645569604</v>
      </c>
      <c r="S407" t="s">
        <v>6692</v>
      </c>
      <c r="T407" t="s">
        <v>12568</v>
      </c>
      <c r="U407" t="s">
        <v>12568</v>
      </c>
      <c r="V407" t="s">
        <v>12568</v>
      </c>
      <c r="W407" t="s">
        <v>12971</v>
      </c>
      <c r="X407">
        <v>3</v>
      </c>
      <c r="Y407" t="s">
        <v>19200</v>
      </c>
      <c r="Z407" t="s">
        <v>25277</v>
      </c>
      <c r="AA407">
        <v>0.3662332817814144</v>
      </c>
      <c r="AB407" t="str">
        <f>HYPERLINK("Melting_Curves/meltCurve_E9PKV8_TTC9C.pdf", "Melting_Curves/meltCurve_E9PKV8_TTC9C.pdf")</f>
        <v>Melting_Curves/meltCurve_E9PKV8_TTC9C.pdf</v>
      </c>
    </row>
    <row r="408" spans="1:28" x14ac:dyDescent="0.25">
      <c r="A408" t="s">
        <v>412</v>
      </c>
      <c r="B408">
        <v>0.99352677808782597</v>
      </c>
      <c r="C408">
        <v>1.0061189095344301</v>
      </c>
      <c r="D408">
        <v>1.0513629843000001</v>
      </c>
      <c r="E408">
        <v>1.05788883149376</v>
      </c>
      <c r="F408">
        <v>0.90285642715854797</v>
      </c>
      <c r="G408">
        <v>0.98448687826260295</v>
      </c>
      <c r="H408">
        <v>0.76740313603428201</v>
      </c>
      <c r="I408">
        <v>0.83579103643563102</v>
      </c>
      <c r="J408">
        <v>0.78477848011741802</v>
      </c>
      <c r="K408">
        <v>0.60173086142119403</v>
      </c>
      <c r="L408">
        <v>633.76875167773903</v>
      </c>
      <c r="M408">
        <v>8.4919599221534803</v>
      </c>
      <c r="Q408">
        <v>0</v>
      </c>
      <c r="R408">
        <v>0.83868917627043504</v>
      </c>
      <c r="S408" t="s">
        <v>6693</v>
      </c>
      <c r="T408" t="s">
        <v>12568</v>
      </c>
      <c r="U408" t="s">
        <v>12568</v>
      </c>
      <c r="V408" t="s">
        <v>12568</v>
      </c>
      <c r="W408" t="s">
        <v>12972</v>
      </c>
      <c r="X408">
        <v>4</v>
      </c>
      <c r="Y408" t="s">
        <v>19201</v>
      </c>
      <c r="Z408" t="s">
        <v>25278</v>
      </c>
      <c r="AA408">
        <v>0.90542215982513707</v>
      </c>
      <c r="AB408" t="str">
        <f>HYPERLINK("Melting_Curves/meltCurve_E9PL10_BTF3L4.pdf", "Melting_Curves/meltCurve_E9PL10_BTF3L4.pdf")</f>
        <v>Melting_Curves/meltCurve_E9PL10_BTF3L4.pdf</v>
      </c>
    </row>
    <row r="409" spans="1:28" x14ac:dyDescent="0.25">
      <c r="A409" t="s">
        <v>413</v>
      </c>
      <c r="B409">
        <v>0.99352677808782597</v>
      </c>
      <c r="C409">
        <v>0.93033394227881006</v>
      </c>
      <c r="D409">
        <v>0.58082955652775303</v>
      </c>
      <c r="E409">
        <v>0.27253379502438402</v>
      </c>
      <c r="F409">
        <v>0.21069486404007901</v>
      </c>
      <c r="G409">
        <v>0.140764564450476</v>
      </c>
      <c r="H409">
        <v>9.7610548277986597E-2</v>
      </c>
      <c r="I409">
        <v>9.0347227085251197E-2</v>
      </c>
      <c r="J409">
        <v>8.2745796716744702E-2</v>
      </c>
      <c r="K409">
        <v>6.3506034621296004E-2</v>
      </c>
      <c r="L409">
        <v>992.15999210454504</v>
      </c>
      <c r="M409">
        <v>21.2442800115514</v>
      </c>
      <c r="N409">
        <v>47.1733254613886</v>
      </c>
      <c r="O409">
        <v>46.294550498221099</v>
      </c>
      <c r="P409">
        <v>-0.10376546508583701</v>
      </c>
      <c r="Q409">
        <v>9.5539706722916201E-2</v>
      </c>
      <c r="R409">
        <v>0.99244131109492095</v>
      </c>
      <c r="S409" t="s">
        <v>6694</v>
      </c>
      <c r="T409" t="s">
        <v>12568</v>
      </c>
      <c r="U409" t="s">
        <v>12568</v>
      </c>
      <c r="V409" t="s">
        <v>12568</v>
      </c>
      <c r="W409" t="s">
        <v>12973</v>
      </c>
      <c r="X409">
        <v>31</v>
      </c>
      <c r="Y409" t="s">
        <v>19202</v>
      </c>
      <c r="Z409" t="s">
        <v>25279</v>
      </c>
      <c r="AA409">
        <v>0.30932772216505938</v>
      </c>
      <c r="AB409" t="str">
        <f>HYPERLINK("Melting_Curves/meltCurve_E9PL22_HYOU1.pdf", "Melting_Curves/meltCurve_E9PL22_HYOU1.pdf")</f>
        <v>Melting_Curves/meltCurve_E9PL22_HYOU1.pdf</v>
      </c>
    </row>
    <row r="410" spans="1:28" x14ac:dyDescent="0.25">
      <c r="A410" t="s">
        <v>414</v>
      </c>
      <c r="B410">
        <v>0.99352677808782597</v>
      </c>
      <c r="C410">
        <v>1.03664149959526</v>
      </c>
      <c r="D410">
        <v>0.70904385993563301</v>
      </c>
      <c r="E410">
        <v>0.51010773591889902</v>
      </c>
      <c r="F410">
        <v>0.399189325016927</v>
      </c>
      <c r="G410">
        <v>0.28732862868443698</v>
      </c>
      <c r="H410">
        <v>0.20152526839014601</v>
      </c>
      <c r="I410">
        <v>0.126097094686665</v>
      </c>
      <c r="J410">
        <v>0.192794818986425</v>
      </c>
      <c r="K410">
        <v>0.14902012637078399</v>
      </c>
      <c r="L410">
        <v>748.16503504912896</v>
      </c>
      <c r="M410">
        <v>15.1905331325268</v>
      </c>
      <c r="N410">
        <v>50.476162091124202</v>
      </c>
      <c r="O410">
        <v>48.422166041513499</v>
      </c>
      <c r="P410">
        <v>-6.6350212354314694E-2</v>
      </c>
      <c r="Q410">
        <v>0.15407519419104199</v>
      </c>
      <c r="R410">
        <v>0.97543848377779396</v>
      </c>
      <c r="S410" t="s">
        <v>6695</v>
      </c>
      <c r="T410" t="s">
        <v>12568</v>
      </c>
      <c r="U410" t="s">
        <v>12568</v>
      </c>
      <c r="V410" t="s">
        <v>12568</v>
      </c>
      <c r="W410" t="s">
        <v>12974</v>
      </c>
      <c r="X410">
        <v>9</v>
      </c>
      <c r="Y410" t="s">
        <v>19203</v>
      </c>
      <c r="Z410" t="s">
        <v>25280</v>
      </c>
      <c r="AA410">
        <v>0.43516747966714042</v>
      </c>
      <c r="AB410" t="str">
        <f>HYPERLINK("Melting_Curves/meltCurve_E9PL24_PDE4DIP.pdf", "Melting_Curves/meltCurve_E9PL24_PDE4DIP.pdf")</f>
        <v>Melting_Curves/meltCurve_E9PL24_PDE4DIP.pdf</v>
      </c>
    </row>
    <row r="411" spans="1:28" x14ac:dyDescent="0.25">
      <c r="A411" t="s">
        <v>415</v>
      </c>
      <c r="B411">
        <v>0.99352677808782597</v>
      </c>
      <c r="C411">
        <v>0.97380427766073396</v>
      </c>
      <c r="D411">
        <v>1.00414597997597</v>
      </c>
      <c r="E411">
        <v>0.81044694008777896</v>
      </c>
      <c r="F411">
        <v>0.79718350701476703</v>
      </c>
      <c r="G411">
        <v>0.66408507440709896</v>
      </c>
      <c r="H411">
        <v>0.53493294965465199</v>
      </c>
      <c r="I411">
        <v>0.45941522722567901</v>
      </c>
      <c r="J411">
        <v>0.42228216163661197</v>
      </c>
      <c r="K411">
        <v>0.33556743750067403</v>
      </c>
      <c r="L411">
        <v>538.35200357402198</v>
      </c>
      <c r="M411">
        <v>9.1513761893026295</v>
      </c>
      <c r="N411">
        <v>62.383752919792997</v>
      </c>
      <c r="O411">
        <v>56.222673107930397</v>
      </c>
      <c r="P411">
        <v>-3.2444169662600601E-2</v>
      </c>
      <c r="Q411">
        <v>0.203243255188331</v>
      </c>
      <c r="R411">
        <v>0.98585137796043798</v>
      </c>
      <c r="S411" t="s">
        <v>6696</v>
      </c>
      <c r="T411" t="s">
        <v>12568</v>
      </c>
      <c r="U411" t="s">
        <v>12568</v>
      </c>
      <c r="V411" t="s">
        <v>12568</v>
      </c>
      <c r="W411" t="s">
        <v>12975</v>
      </c>
      <c r="X411">
        <v>10</v>
      </c>
      <c r="Y411" t="s">
        <v>19204</v>
      </c>
      <c r="Z411" t="s">
        <v>25281</v>
      </c>
      <c r="AA411">
        <v>0.70455487678953754</v>
      </c>
      <c r="AB411" t="str">
        <f>HYPERLINK("Melting_Curves/meltCurve_E9PL57_NEDD8_MDP1.pdf", "Melting_Curves/meltCurve_E9PL57_NEDD8_MDP1.pdf")</f>
        <v>Melting_Curves/meltCurve_E9PL57_NEDD8_MDP1.pdf</v>
      </c>
    </row>
    <row r="412" spans="1:28" x14ac:dyDescent="0.25">
      <c r="A412" t="s">
        <v>416</v>
      </c>
      <c r="B412">
        <v>0.99352677808782597</v>
      </c>
      <c r="C412">
        <v>0.923698724779211</v>
      </c>
      <c r="D412">
        <v>1.0345872320562799</v>
      </c>
      <c r="E412">
        <v>0.70802712451875205</v>
      </c>
      <c r="F412">
        <v>0.59096882950366902</v>
      </c>
      <c r="G412">
        <v>0.33349748845893701</v>
      </c>
      <c r="H412">
        <v>0.11766781727139999</v>
      </c>
      <c r="I412">
        <v>9.8554649018203905E-2</v>
      </c>
      <c r="J412">
        <v>8.1668479615956899E-2</v>
      </c>
      <c r="K412">
        <v>6.1099585576838901E-2</v>
      </c>
      <c r="L412">
        <v>862.22650253090001</v>
      </c>
      <c r="M412">
        <v>16.052940932822001</v>
      </c>
      <c r="N412">
        <v>53.935905773215303</v>
      </c>
      <c r="O412">
        <v>52.898666013513001</v>
      </c>
      <c r="P412">
        <v>-7.3420739934586102E-2</v>
      </c>
      <c r="Q412">
        <v>3.2312259267866801E-2</v>
      </c>
      <c r="R412">
        <v>0.98626137530271696</v>
      </c>
      <c r="S412" t="s">
        <v>6697</v>
      </c>
      <c r="T412" t="s">
        <v>12568</v>
      </c>
      <c r="U412" t="s">
        <v>12568</v>
      </c>
      <c r="V412" t="s">
        <v>12568</v>
      </c>
      <c r="W412" t="s">
        <v>12976</v>
      </c>
      <c r="X412">
        <v>49</v>
      </c>
      <c r="Y412" t="s">
        <v>19205</v>
      </c>
      <c r="Z412" t="s">
        <v>25282</v>
      </c>
      <c r="AA412">
        <v>0.49300639551256142</v>
      </c>
      <c r="AB412" t="str">
        <f>HYPERLINK("Melting_Curves/meltCurve_E9PLK3_NPEPPS.pdf", "Melting_Curves/meltCurve_E9PLK3_NPEPPS.pdf")</f>
        <v>Melting_Curves/meltCurve_E9PLK3_NPEPPS.pdf</v>
      </c>
    </row>
    <row r="413" spans="1:28" x14ac:dyDescent="0.25">
      <c r="A413" t="s">
        <v>417</v>
      </c>
      <c r="B413">
        <v>0.99352677808782597</v>
      </c>
      <c r="C413">
        <v>0.98498254147895403</v>
      </c>
      <c r="D413">
        <v>1.2671546833863501</v>
      </c>
      <c r="E413">
        <v>0.74305071848097004</v>
      </c>
      <c r="F413">
        <v>0.48045837582876499</v>
      </c>
      <c r="G413">
        <v>0.23095891013179701</v>
      </c>
      <c r="H413">
        <v>8.2442441798322996E-2</v>
      </c>
      <c r="I413">
        <v>7.0682063850808399E-2</v>
      </c>
      <c r="J413">
        <v>5.8027294384204703E-2</v>
      </c>
      <c r="K413">
        <v>4.8234999196411901E-2</v>
      </c>
      <c r="L413">
        <v>1369.1685880781699</v>
      </c>
      <c r="M413">
        <v>26.031164714710499</v>
      </c>
      <c r="N413">
        <v>52.879930113462997</v>
      </c>
      <c r="O413">
        <v>52.289804186782199</v>
      </c>
      <c r="P413">
        <v>-0.116374620313028</v>
      </c>
      <c r="Q413">
        <v>6.4945615517366898E-2</v>
      </c>
      <c r="R413">
        <v>0.95322638035294305</v>
      </c>
      <c r="S413" t="s">
        <v>6698</v>
      </c>
      <c r="T413" t="s">
        <v>12568</v>
      </c>
      <c r="U413" t="s">
        <v>12568</v>
      </c>
      <c r="V413" t="s">
        <v>12568</v>
      </c>
      <c r="W413" t="s">
        <v>12977</v>
      </c>
      <c r="X413">
        <v>3</v>
      </c>
      <c r="Y413" t="s">
        <v>19206</v>
      </c>
      <c r="Z413" t="s">
        <v>25283</v>
      </c>
      <c r="AA413">
        <v>0.46552953103960398</v>
      </c>
      <c r="AB413" t="str">
        <f>HYPERLINK("Melting_Curves/meltCurve_E9PLL6_RPL27A.pdf", "Melting_Curves/meltCurve_E9PLL6_RPL27A.pdf")</f>
        <v>Melting_Curves/meltCurve_E9PLL6_RPL27A.pdf</v>
      </c>
    </row>
    <row r="414" spans="1:28" x14ac:dyDescent="0.25">
      <c r="A414" t="s">
        <v>418</v>
      </c>
      <c r="B414">
        <v>0.99352677808782597</v>
      </c>
      <c r="C414">
        <v>0.90309335994927498</v>
      </c>
      <c r="D414">
        <v>0.95455000593733896</v>
      </c>
      <c r="E414">
        <v>0.71952213597384296</v>
      </c>
      <c r="F414">
        <v>0.645096491647419</v>
      </c>
      <c r="G414">
        <v>0.52241209546309697</v>
      </c>
      <c r="H414">
        <v>0.35912237706105898</v>
      </c>
      <c r="I414">
        <v>0.35935269461272401</v>
      </c>
      <c r="J414">
        <v>0.33552132678100399</v>
      </c>
      <c r="K414">
        <v>0.22896148296705501</v>
      </c>
      <c r="L414">
        <v>544.08132322470306</v>
      </c>
      <c r="M414">
        <v>10.0101346402695</v>
      </c>
      <c r="N414">
        <v>57.065948660876302</v>
      </c>
      <c r="O414">
        <v>52.317452536115503</v>
      </c>
      <c r="P414">
        <v>-3.8796042060190598E-2</v>
      </c>
      <c r="Q414">
        <v>0.18933071783225999</v>
      </c>
      <c r="R414">
        <v>0.98092330254219595</v>
      </c>
      <c r="S414" t="s">
        <v>6699</v>
      </c>
      <c r="T414" t="s">
        <v>12568</v>
      </c>
      <c r="U414" t="s">
        <v>12568</v>
      </c>
      <c r="V414" t="s">
        <v>12568</v>
      </c>
      <c r="W414" t="s">
        <v>12978</v>
      </c>
      <c r="X414">
        <v>1</v>
      </c>
      <c r="Y414" t="s">
        <v>19207</v>
      </c>
      <c r="Z414" t="s">
        <v>25284</v>
      </c>
      <c r="AA414">
        <v>0.60045401889580552</v>
      </c>
      <c r="AB414" t="str">
        <f>HYPERLINK("Melting_Curves/meltCurve_E9PLX2_RNF141.pdf", "Melting_Curves/meltCurve_E9PLX2_RNF141.pdf")</f>
        <v>Melting_Curves/meltCurve_E9PLX2_RNF141.pdf</v>
      </c>
    </row>
    <row r="415" spans="1:28" x14ac:dyDescent="0.25">
      <c r="A415" t="s">
        <v>419</v>
      </c>
      <c r="B415">
        <v>0.99352677808782597</v>
      </c>
      <c r="C415">
        <v>1.01510268899875</v>
      </c>
      <c r="D415">
        <v>0.84366037154397899</v>
      </c>
      <c r="E415">
        <v>0.44139260291131699</v>
      </c>
      <c r="F415">
        <v>0.38424860500965802</v>
      </c>
      <c r="G415">
        <v>0.160691965761807</v>
      </c>
      <c r="H415">
        <v>9.2889990533584793E-2</v>
      </c>
      <c r="I415">
        <v>9.1218836144343798E-2</v>
      </c>
      <c r="J415">
        <v>9.5367816603845995E-2</v>
      </c>
      <c r="K415">
        <v>9.9094510200489094E-2</v>
      </c>
      <c r="L415">
        <v>925.82082154671502</v>
      </c>
      <c r="M415">
        <v>18.642803775687</v>
      </c>
      <c r="N415">
        <v>50.181849286543802</v>
      </c>
      <c r="O415">
        <v>49.100206870687799</v>
      </c>
      <c r="P415">
        <v>-8.6576619967076204E-2</v>
      </c>
      <c r="Q415">
        <v>8.7959646862364196E-2</v>
      </c>
      <c r="R415">
        <v>0.98776520978879701</v>
      </c>
      <c r="S415" t="s">
        <v>6700</v>
      </c>
      <c r="T415" t="s">
        <v>12568</v>
      </c>
      <c r="U415" t="s">
        <v>12568</v>
      </c>
      <c r="V415" t="s">
        <v>12568</v>
      </c>
      <c r="W415" t="s">
        <v>12979</v>
      </c>
      <c r="X415">
        <v>26</v>
      </c>
      <c r="Y415" t="s">
        <v>19208</v>
      </c>
      <c r="Z415" t="s">
        <v>25285</v>
      </c>
      <c r="AA415">
        <v>0.39626575573784789</v>
      </c>
      <c r="AB415" t="str">
        <f>HYPERLINK("Melting_Curves/meltCurve_E9PLY5_MACF1.pdf", "Melting_Curves/meltCurve_E9PLY5_MACF1.pdf")</f>
        <v>Melting_Curves/meltCurve_E9PLY5_MACF1.pdf</v>
      </c>
    </row>
    <row r="416" spans="1:28" x14ac:dyDescent="0.25">
      <c r="A416" t="s">
        <v>420</v>
      </c>
      <c r="B416">
        <v>0.99352677808782597</v>
      </c>
      <c r="C416">
        <v>0.98937145553249295</v>
      </c>
      <c r="D416">
        <v>0.736755668780114</v>
      </c>
      <c r="E416">
        <v>0.40683583310494897</v>
      </c>
      <c r="F416">
        <v>0.30785271187134799</v>
      </c>
      <c r="G416">
        <v>0.204345183134164</v>
      </c>
      <c r="H416">
        <v>0.133032020861137</v>
      </c>
      <c r="I416">
        <v>0.12775123452499201</v>
      </c>
      <c r="J416">
        <v>0.108579447701503</v>
      </c>
      <c r="K416">
        <v>7.4103086419953904E-2</v>
      </c>
      <c r="L416">
        <v>869.25902786194001</v>
      </c>
      <c r="M416">
        <v>17.9016830630318</v>
      </c>
      <c r="N416">
        <v>49.239731697945203</v>
      </c>
      <c r="O416">
        <v>47.963651502271397</v>
      </c>
      <c r="P416">
        <v>-8.3063015761856998E-2</v>
      </c>
      <c r="Q416">
        <v>0.10984845035032401</v>
      </c>
      <c r="R416">
        <v>0.99118799017767401</v>
      </c>
      <c r="S416" t="s">
        <v>6701</v>
      </c>
      <c r="T416" t="s">
        <v>12568</v>
      </c>
      <c r="U416" t="s">
        <v>12568</v>
      </c>
      <c r="V416" t="s">
        <v>12568</v>
      </c>
      <c r="W416" t="s">
        <v>12740</v>
      </c>
      <c r="X416">
        <v>32</v>
      </c>
      <c r="Y416" t="s">
        <v>19209</v>
      </c>
      <c r="Z416" t="s">
        <v>25286</v>
      </c>
      <c r="AA416">
        <v>0.37949677973641582</v>
      </c>
      <c r="AB416" t="str">
        <f>HYPERLINK("Melting_Curves/meltCurve_E9PM46_USP47.pdf", "Melting_Curves/meltCurve_E9PM46_USP47.pdf")</f>
        <v>Melting_Curves/meltCurve_E9PM46_USP47.pdf</v>
      </c>
    </row>
    <row r="417" spans="1:28" x14ac:dyDescent="0.25">
      <c r="A417" t="s">
        <v>421</v>
      </c>
      <c r="B417">
        <v>0.99352677808782597</v>
      </c>
      <c r="C417">
        <v>0.95775234870463799</v>
      </c>
      <c r="D417">
        <v>0.97788049320157</v>
      </c>
      <c r="E417">
        <v>0.99006201882205402</v>
      </c>
      <c r="F417">
        <v>0.95880302514038096</v>
      </c>
      <c r="G417">
        <v>0.99988468229746297</v>
      </c>
      <c r="H417">
        <v>0.90701861400269301</v>
      </c>
      <c r="I417">
        <v>0.94216872009895303</v>
      </c>
      <c r="J417">
        <v>1.19729619325012</v>
      </c>
      <c r="K417">
        <v>0.93102806300463503</v>
      </c>
      <c r="L417">
        <v>1438.8416760682901</v>
      </c>
      <c r="M417">
        <v>21.8292586467559</v>
      </c>
      <c r="O417">
        <v>65.367770826559493</v>
      </c>
      <c r="P417">
        <v>2.4422775791502899E-3</v>
      </c>
      <c r="Q417">
        <v>1.0292529522843601</v>
      </c>
      <c r="R417">
        <v>-2.3743716771323701E-2</v>
      </c>
      <c r="S417" t="s">
        <v>6702</v>
      </c>
      <c r="T417" t="s">
        <v>12568</v>
      </c>
      <c r="U417" t="s">
        <v>12568</v>
      </c>
      <c r="V417" t="s">
        <v>12568</v>
      </c>
      <c r="W417" t="s">
        <v>12980</v>
      </c>
      <c r="X417">
        <v>5</v>
      </c>
      <c r="Y417" t="s">
        <v>19210</v>
      </c>
      <c r="Z417" t="s">
        <v>25287</v>
      </c>
      <c r="AA417">
        <v>1.0044468443559349</v>
      </c>
      <c r="AB417" t="str">
        <f>HYPERLINK("Melting_Curves/meltCurve_E9PM92_C11orf58.pdf", "Melting_Curves/meltCurve_E9PM92_C11orf58.pdf")</f>
        <v>Melting_Curves/meltCurve_E9PM92_C11orf58.pdf</v>
      </c>
    </row>
    <row r="418" spans="1:28" x14ac:dyDescent="0.25">
      <c r="A418" t="s">
        <v>422</v>
      </c>
      <c r="B418">
        <v>0.99352677808782597</v>
      </c>
      <c r="C418">
        <v>0.99087534426859503</v>
      </c>
      <c r="D418">
        <v>0.914866503299958</v>
      </c>
      <c r="E418">
        <v>0.82004179815905398</v>
      </c>
      <c r="F418">
        <v>0.80663428121590097</v>
      </c>
      <c r="G418">
        <v>0.65321091256847896</v>
      </c>
      <c r="H418">
        <v>0.99243544480644996</v>
      </c>
      <c r="I418">
        <v>0.94288028156449699</v>
      </c>
      <c r="J418">
        <v>0.77189683535106701</v>
      </c>
      <c r="K418">
        <v>0.23817936107241</v>
      </c>
      <c r="L418">
        <v>3598.5579429546901</v>
      </c>
      <c r="M418">
        <v>52.543581891738299</v>
      </c>
      <c r="N418">
        <v>68.487108182497707</v>
      </c>
      <c r="O418">
        <v>68.388118268752507</v>
      </c>
      <c r="P418">
        <v>-0.19207875164201699</v>
      </c>
      <c r="Q418">
        <v>0</v>
      </c>
      <c r="R418">
        <v>0.58744108904282299</v>
      </c>
      <c r="S418" t="s">
        <v>6703</v>
      </c>
      <c r="T418" t="s">
        <v>12568</v>
      </c>
      <c r="U418" t="s">
        <v>12568</v>
      </c>
      <c r="V418" t="s">
        <v>12568</v>
      </c>
      <c r="W418" t="s">
        <v>12981</v>
      </c>
      <c r="X418">
        <v>5</v>
      </c>
      <c r="Y418" t="s">
        <v>19211</v>
      </c>
      <c r="Z418" t="s">
        <v>25288</v>
      </c>
      <c r="AA418">
        <v>0.93909906305597013</v>
      </c>
      <c r="AB418" t="str">
        <f>HYPERLINK("Melting_Curves/meltCurve_E9PMB9_ME3.pdf", "Melting_Curves/meltCurve_E9PMB9_ME3.pdf")</f>
        <v>Melting_Curves/meltCurve_E9PMB9_ME3.pdf</v>
      </c>
    </row>
    <row r="419" spans="1:28" x14ac:dyDescent="0.25">
      <c r="A419" t="s">
        <v>423</v>
      </c>
      <c r="B419">
        <v>0.99352677808782597</v>
      </c>
      <c r="C419">
        <v>0.71612135068681304</v>
      </c>
      <c r="D419">
        <v>0.87558526655196001</v>
      </c>
      <c r="E419">
        <v>0.80980320876122103</v>
      </c>
      <c r="F419">
        <v>0.539715764160967</v>
      </c>
      <c r="G419">
        <v>0.71542494457217798</v>
      </c>
      <c r="H419">
        <v>0.57012869097770602</v>
      </c>
      <c r="I419">
        <v>0.59258696740054395</v>
      </c>
      <c r="J419">
        <v>0.60367190215983801</v>
      </c>
      <c r="K419">
        <v>0.53949159657451395</v>
      </c>
      <c r="L419">
        <v>361.36191762584599</v>
      </c>
      <c r="M419">
        <v>7.5137080286778497</v>
      </c>
      <c r="O419">
        <v>45.040728812193699</v>
      </c>
      <c r="P419">
        <v>-1.9954051710026999E-2</v>
      </c>
      <c r="Q419">
        <v>0.52222619895683198</v>
      </c>
      <c r="R419">
        <v>0.683064867133922</v>
      </c>
      <c r="S419" t="s">
        <v>6704</v>
      </c>
      <c r="T419" t="s">
        <v>12568</v>
      </c>
      <c r="U419" t="s">
        <v>12568</v>
      </c>
      <c r="V419" t="s">
        <v>12568</v>
      </c>
      <c r="W419" t="s">
        <v>12982</v>
      </c>
      <c r="X419">
        <v>1</v>
      </c>
      <c r="Y419" t="s">
        <v>19212</v>
      </c>
      <c r="Z419" t="s">
        <v>25289</v>
      </c>
      <c r="AA419">
        <v>0.68829545430157457</v>
      </c>
      <c r="AB419" t="str">
        <f>HYPERLINK("Melting_Curves/meltCurve_E9PME6_USF1.pdf", "Melting_Curves/meltCurve_E9PME6_USF1.pdf")</f>
        <v>Melting_Curves/meltCurve_E9PME6_USF1.pdf</v>
      </c>
    </row>
    <row r="420" spans="1:28" x14ac:dyDescent="0.25">
      <c r="A420" t="s">
        <v>424</v>
      </c>
      <c r="B420">
        <v>0.99352677808782597</v>
      </c>
      <c r="C420">
        <v>0.94669582781027795</v>
      </c>
      <c r="D420">
        <v>0.91029506902519797</v>
      </c>
      <c r="E420">
        <v>1.03487780371098</v>
      </c>
      <c r="F420">
        <v>0.97306788821472301</v>
      </c>
      <c r="G420">
        <v>0.62860716340068201</v>
      </c>
      <c r="H420">
        <v>0.35467051514911502</v>
      </c>
      <c r="I420">
        <v>0.17120817205335301</v>
      </c>
      <c r="J420">
        <v>0.12546797831472301</v>
      </c>
      <c r="K420">
        <v>0.109114689183262</v>
      </c>
      <c r="L420">
        <v>1460.7534250199101</v>
      </c>
      <c r="M420">
        <v>25.082025590933402</v>
      </c>
      <c r="N420">
        <v>58.748843271607001</v>
      </c>
      <c r="O420">
        <v>57.872634121269897</v>
      </c>
      <c r="P420">
        <v>-9.77556929003741E-2</v>
      </c>
      <c r="Q420">
        <v>9.7791472133820306E-2</v>
      </c>
      <c r="R420">
        <v>0.98706860049638401</v>
      </c>
      <c r="S420" t="s">
        <v>6705</v>
      </c>
      <c r="T420" t="s">
        <v>12568</v>
      </c>
      <c r="U420" t="s">
        <v>12568</v>
      </c>
      <c r="V420" t="s">
        <v>12568</v>
      </c>
      <c r="W420" t="s">
        <v>12983</v>
      </c>
      <c r="X420">
        <v>8</v>
      </c>
      <c r="Y420" t="s">
        <v>19213</v>
      </c>
      <c r="Z420" t="s">
        <v>25290</v>
      </c>
      <c r="AA420">
        <v>0.6540285782495</v>
      </c>
      <c r="AB420" t="str">
        <f>HYPERLINK("Melting_Curves/meltCurve_E9PMH5_BIRC2.pdf", "Melting_Curves/meltCurve_E9PMH5_BIRC2.pdf")</f>
        <v>Melting_Curves/meltCurve_E9PMH5_BIRC2.pdf</v>
      </c>
    </row>
    <row r="421" spans="1:28" x14ac:dyDescent="0.25">
      <c r="A421" t="s">
        <v>425</v>
      </c>
      <c r="B421">
        <v>0.99352677808782597</v>
      </c>
      <c r="C421">
        <v>0.963520691689431</v>
      </c>
      <c r="D421">
        <v>0.89558145112662901</v>
      </c>
      <c r="E421">
        <v>0.83352389194356002</v>
      </c>
      <c r="F421">
        <v>0.76358155537215799</v>
      </c>
      <c r="G421">
        <v>0.66381410627291504</v>
      </c>
      <c r="H421">
        <v>0.53981309108352304</v>
      </c>
      <c r="I421">
        <v>0.55317105761574403</v>
      </c>
      <c r="J421">
        <v>0.63760024338296994</v>
      </c>
      <c r="K421">
        <v>0.48050106540257398</v>
      </c>
      <c r="L421">
        <v>569.70506102045897</v>
      </c>
      <c r="M421">
        <v>10.750287986661601</v>
      </c>
      <c r="O421">
        <v>51.259428724060797</v>
      </c>
      <c r="P421">
        <v>-2.64955489940218E-2</v>
      </c>
      <c r="Q421">
        <v>0.494842802790393</v>
      </c>
      <c r="R421">
        <v>0.95002468335611101</v>
      </c>
      <c r="S421" t="s">
        <v>6706</v>
      </c>
      <c r="T421" t="s">
        <v>12568</v>
      </c>
      <c r="U421" t="s">
        <v>12568</v>
      </c>
      <c r="V421" t="s">
        <v>12568</v>
      </c>
      <c r="W421" t="s">
        <v>12984</v>
      </c>
      <c r="X421">
        <v>4</v>
      </c>
      <c r="Y421" t="s">
        <v>19214</v>
      </c>
      <c r="Z421" t="s">
        <v>25291</v>
      </c>
      <c r="AA421">
        <v>0.72980159574731396</v>
      </c>
      <c r="AB421" t="str">
        <f>HYPERLINK("Melting_Curves/meltCurve_E9PMI6_CLNS1A.pdf", "Melting_Curves/meltCurve_E9PMI6_CLNS1A.pdf")</f>
        <v>Melting_Curves/meltCurve_E9PMI6_CLNS1A.pdf</v>
      </c>
    </row>
    <row r="422" spans="1:28" x14ac:dyDescent="0.25">
      <c r="A422" t="s">
        <v>426</v>
      </c>
      <c r="B422">
        <v>0.99352677808782597</v>
      </c>
      <c r="C422">
        <v>0.92080469092012296</v>
      </c>
      <c r="D422">
        <v>0.93155411200550198</v>
      </c>
      <c r="E422">
        <v>0.42671164910384901</v>
      </c>
      <c r="F422">
        <v>0.40927071563788597</v>
      </c>
      <c r="G422">
        <v>0.197095735176682</v>
      </c>
      <c r="H422">
        <v>0.21259302970864899</v>
      </c>
      <c r="I422">
        <v>0.15409523853340601</v>
      </c>
      <c r="J422">
        <v>0.120686120797365</v>
      </c>
      <c r="K422">
        <v>7.2845918020322198E-2</v>
      </c>
      <c r="L422">
        <v>929.05723443904003</v>
      </c>
      <c r="M422">
        <v>18.718175169457499</v>
      </c>
      <c r="N422">
        <v>50.447882447984</v>
      </c>
      <c r="O422">
        <v>49.077868816891602</v>
      </c>
      <c r="P422">
        <v>-8.2926104029828404E-2</v>
      </c>
      <c r="Q422">
        <v>0.130328819316362</v>
      </c>
      <c r="R422">
        <v>0.97119845067325805</v>
      </c>
      <c r="S422" t="s">
        <v>6707</v>
      </c>
      <c r="T422" t="s">
        <v>12568</v>
      </c>
      <c r="U422" t="s">
        <v>12568</v>
      </c>
      <c r="V422" t="s">
        <v>12568</v>
      </c>
      <c r="W422" t="s">
        <v>12985</v>
      </c>
      <c r="X422">
        <v>7</v>
      </c>
      <c r="Y422" t="s">
        <v>19215</v>
      </c>
      <c r="Z422" t="s">
        <v>25292</v>
      </c>
      <c r="AA422">
        <v>0.42342288782709531</v>
      </c>
      <c r="AB422" t="str">
        <f>HYPERLINK("Melting_Curves/meltCurve_E9PMJ2_FAM118B.pdf", "Melting_Curves/meltCurve_E9PMJ2_FAM118B.pdf")</f>
        <v>Melting_Curves/meltCurve_E9PMJ2_FAM118B.pdf</v>
      </c>
    </row>
    <row r="423" spans="1:28" x14ac:dyDescent="0.25">
      <c r="A423" t="s">
        <v>427</v>
      </c>
      <c r="B423">
        <v>0.99352677808782597</v>
      </c>
      <c r="C423">
        <v>0.84460681715569796</v>
      </c>
      <c r="D423">
        <v>0.98542218430753503</v>
      </c>
      <c r="E423">
        <v>0.82260276078717898</v>
      </c>
      <c r="F423">
        <v>0.76014897674814297</v>
      </c>
      <c r="G423">
        <v>0.63472166196499102</v>
      </c>
      <c r="H423">
        <v>0.60324440040072003</v>
      </c>
      <c r="I423">
        <v>0.590532602691339</v>
      </c>
      <c r="J423">
        <v>0.685062232436633</v>
      </c>
      <c r="K423">
        <v>0.47574592339882998</v>
      </c>
      <c r="L423">
        <v>495.314305977201</v>
      </c>
      <c r="M423">
        <v>9.3576076949314295</v>
      </c>
      <c r="O423">
        <v>50.683101240165598</v>
      </c>
      <c r="P423">
        <v>-2.2659977723291501E-2</v>
      </c>
      <c r="Q423">
        <v>0.50937933621128195</v>
      </c>
      <c r="R423">
        <v>0.85158200055325695</v>
      </c>
      <c r="S423" t="s">
        <v>6708</v>
      </c>
      <c r="T423" t="s">
        <v>12568</v>
      </c>
      <c r="U423" t="s">
        <v>12568</v>
      </c>
      <c r="V423" t="s">
        <v>12568</v>
      </c>
      <c r="W423" t="s">
        <v>12986</v>
      </c>
      <c r="X423">
        <v>2</v>
      </c>
      <c r="Y423" t="s">
        <v>19216</v>
      </c>
      <c r="Z423" t="s">
        <v>25293</v>
      </c>
      <c r="AA423">
        <v>0.73879216233812983</v>
      </c>
      <c r="AB423" t="str">
        <f>HYPERLINK("Melting_Curves/meltCurve_E9PML3_AHI1.pdf", "Melting_Curves/meltCurve_E9PML3_AHI1.pdf")</f>
        <v>Melting_Curves/meltCurve_E9PML3_AHI1.pdf</v>
      </c>
    </row>
    <row r="424" spans="1:28" x14ac:dyDescent="0.25">
      <c r="A424" t="s">
        <v>428</v>
      </c>
      <c r="B424">
        <v>0.99352677808782597</v>
      </c>
      <c r="C424">
        <v>0.985431700807608</v>
      </c>
      <c r="D424">
        <v>0.93930228702390695</v>
      </c>
      <c r="E424">
        <v>0.35714847978742498</v>
      </c>
      <c r="F424">
        <v>0.28785379417409501</v>
      </c>
      <c r="G424">
        <v>0.17723502915185599</v>
      </c>
      <c r="H424">
        <v>0.133729407452119</v>
      </c>
      <c r="I424">
        <v>0.12452418080898101</v>
      </c>
      <c r="J424">
        <v>0.111699576131898</v>
      </c>
      <c r="K424">
        <v>8.7064067863717703E-2</v>
      </c>
      <c r="L424">
        <v>1612.1808209214601</v>
      </c>
      <c r="M424">
        <v>33.036807953823399</v>
      </c>
      <c r="N424">
        <v>49.275303875613602</v>
      </c>
      <c r="O424">
        <v>48.621759632690001</v>
      </c>
      <c r="P424">
        <v>-0.14667067686565999</v>
      </c>
      <c r="Q424">
        <v>0.136556217362377</v>
      </c>
      <c r="R424">
        <v>0.98759907840067096</v>
      </c>
      <c r="S424" t="s">
        <v>6709</v>
      </c>
      <c r="T424" t="s">
        <v>12568</v>
      </c>
      <c r="U424" t="s">
        <v>12568</v>
      </c>
      <c r="V424" t="s">
        <v>12568</v>
      </c>
      <c r="W424" t="s">
        <v>12987</v>
      </c>
      <c r="X424">
        <v>7</v>
      </c>
      <c r="Y424" t="s">
        <v>19217</v>
      </c>
      <c r="Z424" t="s">
        <v>25294</v>
      </c>
      <c r="AA424">
        <v>0.39412311870521199</v>
      </c>
      <c r="AB424" t="str">
        <f>HYPERLINK("Melting_Curves/meltCurve_E9PMQ6_HSF1.pdf", "Melting_Curves/meltCurve_E9PMQ6_HSF1.pdf")</f>
        <v>Melting_Curves/meltCurve_E9PMQ6_HSF1.pdf</v>
      </c>
    </row>
    <row r="425" spans="1:28" x14ac:dyDescent="0.25">
      <c r="A425" t="s">
        <v>429</v>
      </c>
      <c r="B425">
        <v>0.99352677808782597</v>
      </c>
      <c r="C425">
        <v>0.86852216488862399</v>
      </c>
      <c r="D425">
        <v>0.72825385409842203</v>
      </c>
      <c r="E425">
        <v>0.39916394287514201</v>
      </c>
      <c r="F425">
        <v>0.330981497557225</v>
      </c>
      <c r="G425">
        <v>0.202705460197042</v>
      </c>
      <c r="H425">
        <v>0.148595540791607</v>
      </c>
      <c r="I425">
        <v>0.113279376177207</v>
      </c>
      <c r="J425">
        <v>0.101261921640312</v>
      </c>
      <c r="K425">
        <v>9.3467520168476204E-2</v>
      </c>
      <c r="L425">
        <v>700.53515946366599</v>
      </c>
      <c r="M425">
        <v>14.4644320104145</v>
      </c>
      <c r="N425">
        <v>49.1426182130146</v>
      </c>
      <c r="O425">
        <v>47.534086801381299</v>
      </c>
      <c r="P425">
        <v>-6.8899213565400699E-2</v>
      </c>
      <c r="Q425">
        <v>9.4418707509403205E-2</v>
      </c>
      <c r="R425">
        <v>0.99470646176699895</v>
      </c>
      <c r="S425" t="s">
        <v>6710</v>
      </c>
      <c r="T425" t="s">
        <v>12568</v>
      </c>
      <c r="U425" t="s">
        <v>12568</v>
      </c>
      <c r="V425" t="s">
        <v>12568</v>
      </c>
      <c r="W425" t="s">
        <v>12988</v>
      </c>
      <c r="X425">
        <v>2</v>
      </c>
      <c r="Y425" t="s">
        <v>19218</v>
      </c>
      <c r="Z425" t="s">
        <v>25295</v>
      </c>
      <c r="AA425">
        <v>0.37345022339924161</v>
      </c>
      <c r="AB425" t="str">
        <f>HYPERLINK("Melting_Curves/meltCurve_E9PMS5_KCTD21.pdf", "Melting_Curves/meltCurve_E9PMS5_KCTD21.pdf")</f>
        <v>Melting_Curves/meltCurve_E9PMS5_KCTD21.pdf</v>
      </c>
    </row>
    <row r="426" spans="1:28" x14ac:dyDescent="0.25">
      <c r="A426" t="s">
        <v>430</v>
      </c>
      <c r="B426">
        <v>0.99352677808782597</v>
      </c>
      <c r="C426">
        <v>0.94389764662469999</v>
      </c>
      <c r="D426">
        <v>0.96549902255385001</v>
      </c>
      <c r="E426">
        <v>0.821282815773556</v>
      </c>
      <c r="F426">
        <v>0.747324790177053</v>
      </c>
      <c r="G426">
        <v>0.67057255064090704</v>
      </c>
      <c r="H426">
        <v>0.60012710527441004</v>
      </c>
      <c r="I426">
        <v>0.62695913728201402</v>
      </c>
      <c r="J426">
        <v>0.680473178089678</v>
      </c>
      <c r="K426">
        <v>0.54628279818173997</v>
      </c>
      <c r="L426">
        <v>779.79346839102504</v>
      </c>
      <c r="M426">
        <v>15.268805448777499</v>
      </c>
      <c r="O426">
        <v>50.2190366201093</v>
      </c>
      <c r="P426">
        <v>-3.0542849467991601E-2</v>
      </c>
      <c r="Q426">
        <v>0.59821665079239505</v>
      </c>
      <c r="R426">
        <v>0.95070846457222402</v>
      </c>
      <c r="S426" t="s">
        <v>6711</v>
      </c>
      <c r="T426" t="s">
        <v>12568</v>
      </c>
      <c r="U426" t="s">
        <v>12568</v>
      </c>
      <c r="V426" t="s">
        <v>12568</v>
      </c>
      <c r="W426" t="s">
        <v>12989</v>
      </c>
      <c r="X426">
        <v>44</v>
      </c>
      <c r="Y426" t="s">
        <v>19219</v>
      </c>
      <c r="Z426" t="s">
        <v>25296</v>
      </c>
      <c r="AA426">
        <v>0.75548264523784736</v>
      </c>
      <c r="AB426" t="str">
        <f>HYPERLINK("Melting_Curves/meltCurve_E9PMS6_LMO7.pdf", "Melting_Curves/meltCurve_E9PMS6_LMO7.pdf")</f>
        <v>Melting_Curves/meltCurve_E9PMS6_LMO7.pdf</v>
      </c>
    </row>
    <row r="427" spans="1:28" x14ac:dyDescent="0.25">
      <c r="A427" t="s">
        <v>431</v>
      </c>
      <c r="B427">
        <v>0.99352677808782597</v>
      </c>
      <c r="C427">
        <v>1.0546258970770599</v>
      </c>
      <c r="D427">
        <v>0.92967945306164002</v>
      </c>
      <c r="E427">
        <v>0.69466356159294596</v>
      </c>
      <c r="F427">
        <v>0.54516883004804495</v>
      </c>
      <c r="G427">
        <v>0.43913476670304402</v>
      </c>
      <c r="H427">
        <v>0.37759434589012297</v>
      </c>
      <c r="I427">
        <v>0.38447648986407801</v>
      </c>
      <c r="J427">
        <v>0.36727525638028002</v>
      </c>
      <c r="K427">
        <v>0.310299829932977</v>
      </c>
      <c r="L427">
        <v>1020.58073074838</v>
      </c>
      <c r="M427">
        <v>20.164487835812999</v>
      </c>
      <c r="N427">
        <v>53.922413763299303</v>
      </c>
      <c r="O427">
        <v>50.1228854363818</v>
      </c>
      <c r="P427">
        <v>-6.4876342134719905E-2</v>
      </c>
      <c r="Q427">
        <v>0.35496760041404701</v>
      </c>
      <c r="R427">
        <v>0.98801260646806</v>
      </c>
      <c r="S427" t="s">
        <v>6712</v>
      </c>
      <c r="T427" t="s">
        <v>12568</v>
      </c>
      <c r="U427" t="s">
        <v>12568</v>
      </c>
      <c r="V427" t="s">
        <v>12568</v>
      </c>
      <c r="W427" t="s">
        <v>12990</v>
      </c>
      <c r="X427">
        <v>3</v>
      </c>
      <c r="Y427" t="s">
        <v>19220</v>
      </c>
      <c r="Z427" t="s">
        <v>25297</v>
      </c>
      <c r="AA427">
        <v>0.59197772794040249</v>
      </c>
      <c r="AB427" t="str">
        <f>HYPERLINK("Melting_Curves/meltCurve_E9PN20_ZNF595.pdf", "Melting_Curves/meltCurve_E9PN20_ZNF595.pdf")</f>
        <v>Melting_Curves/meltCurve_E9PN20_ZNF595.pdf</v>
      </c>
    </row>
    <row r="428" spans="1:28" x14ac:dyDescent="0.25">
      <c r="A428" t="s">
        <v>432</v>
      </c>
      <c r="B428">
        <v>0.99352677808782597</v>
      </c>
      <c r="C428">
        <v>0.90632441837533395</v>
      </c>
      <c r="D428">
        <v>1.0347833058745699</v>
      </c>
      <c r="E428">
        <v>0.82504918793440696</v>
      </c>
      <c r="F428">
        <v>0.80190976720279905</v>
      </c>
      <c r="G428">
        <v>0.60594340812755898</v>
      </c>
      <c r="H428">
        <v>0.55853580267908298</v>
      </c>
      <c r="I428">
        <v>0.690673159958484</v>
      </c>
      <c r="J428">
        <v>0.48186942809642802</v>
      </c>
      <c r="K428">
        <v>0.44806667554630197</v>
      </c>
      <c r="L428">
        <v>622.99586968760002</v>
      </c>
      <c r="M428">
        <v>11.407634465384801</v>
      </c>
      <c r="N428">
        <v>69.670915043353205</v>
      </c>
      <c r="O428">
        <v>53.014764896904801</v>
      </c>
      <c r="P428">
        <v>-2.9190866960346999E-2</v>
      </c>
      <c r="Q428">
        <v>0.45752352519631601</v>
      </c>
      <c r="R428">
        <v>0.88611939404503504</v>
      </c>
      <c r="S428" t="s">
        <v>6713</v>
      </c>
      <c r="T428" t="s">
        <v>12568</v>
      </c>
      <c r="U428" t="s">
        <v>12568</v>
      </c>
      <c r="V428" t="s">
        <v>12568</v>
      </c>
      <c r="W428" t="s">
        <v>12991</v>
      </c>
      <c r="X428">
        <v>13</v>
      </c>
      <c r="Y428" t="s">
        <v>19221</v>
      </c>
      <c r="Z428" t="s">
        <v>25298</v>
      </c>
      <c r="AA428">
        <v>0.73556805735308595</v>
      </c>
      <c r="AB428" t="str">
        <f>HYPERLINK("Melting_Curves/meltCurve_E9PND2_CSRP1.pdf", "Melting_Curves/meltCurve_E9PND2_CSRP1.pdf")</f>
        <v>Melting_Curves/meltCurve_E9PND2_CSRP1.pdf</v>
      </c>
    </row>
    <row r="429" spans="1:28" x14ac:dyDescent="0.25">
      <c r="A429" t="s">
        <v>433</v>
      </c>
      <c r="B429">
        <v>0.99352677808782597</v>
      </c>
      <c r="C429">
        <v>1.0056870729537599</v>
      </c>
      <c r="D429">
        <v>0.98234180448222597</v>
      </c>
      <c r="E429">
        <v>1.0280766902588501</v>
      </c>
      <c r="F429">
        <v>0.91969619646035505</v>
      </c>
      <c r="G429">
        <v>0.81817316110078997</v>
      </c>
      <c r="H429">
        <v>0.75026529555636601</v>
      </c>
      <c r="I429">
        <v>0.75178389686473401</v>
      </c>
      <c r="J429">
        <v>0.67287658048103105</v>
      </c>
      <c r="K429">
        <v>0.67138258162893505</v>
      </c>
      <c r="L429">
        <v>1062.5197593581099</v>
      </c>
      <c r="M429">
        <v>18.6736044625403</v>
      </c>
      <c r="O429">
        <v>56.259057280701001</v>
      </c>
      <c r="P429">
        <v>-2.7010397476014299E-2</v>
      </c>
      <c r="Q429">
        <v>0.67451064749730905</v>
      </c>
      <c r="R429">
        <v>0.96918165882262297</v>
      </c>
      <c r="S429" t="s">
        <v>6714</v>
      </c>
      <c r="T429" t="s">
        <v>12568</v>
      </c>
      <c r="U429" t="s">
        <v>12568</v>
      </c>
      <c r="V429" t="s">
        <v>12568</v>
      </c>
      <c r="W429" t="s">
        <v>12992</v>
      </c>
      <c r="X429">
        <v>4</v>
      </c>
      <c r="Y429" t="s">
        <v>19222</v>
      </c>
      <c r="Z429" t="s">
        <v>25299</v>
      </c>
      <c r="AA429">
        <v>0.86220011681140185</v>
      </c>
      <c r="AB429" t="str">
        <f>HYPERLINK("Melting_Curves/meltCurve_E9PNJ4_STIM1.pdf", "Melting_Curves/meltCurve_E9PNJ4_STIM1.pdf")</f>
        <v>Melting_Curves/meltCurve_E9PNJ4_STIM1.pdf</v>
      </c>
    </row>
    <row r="430" spans="1:28" x14ac:dyDescent="0.25">
      <c r="A430" t="s">
        <v>434</v>
      </c>
      <c r="B430">
        <v>0.99352677808782597</v>
      </c>
      <c r="C430">
        <v>0.92258093530292196</v>
      </c>
      <c r="D430">
        <v>0.96601202027955602</v>
      </c>
      <c r="E430">
        <v>0.80552305892276399</v>
      </c>
      <c r="F430">
        <v>0.78296189080678802</v>
      </c>
      <c r="G430">
        <v>0.70343735068278102</v>
      </c>
      <c r="H430">
        <v>0.54677846738406799</v>
      </c>
      <c r="I430">
        <v>0.57874322734362005</v>
      </c>
      <c r="J430">
        <v>0.61675192288421499</v>
      </c>
      <c r="K430">
        <v>0.55558683605937198</v>
      </c>
      <c r="L430">
        <v>615.00861932966302</v>
      </c>
      <c r="M430">
        <v>11.6777054967816</v>
      </c>
      <c r="O430">
        <v>51.191914312271102</v>
      </c>
      <c r="P430">
        <v>-2.6471736380204901E-2</v>
      </c>
      <c r="Q430">
        <v>0.53594446430633802</v>
      </c>
      <c r="R430">
        <v>0.95129409115218</v>
      </c>
      <c r="S430" t="s">
        <v>6715</v>
      </c>
      <c r="T430" t="s">
        <v>12568</v>
      </c>
      <c r="U430" t="s">
        <v>12568</v>
      </c>
      <c r="V430" t="s">
        <v>12568</v>
      </c>
      <c r="W430" t="s">
        <v>12993</v>
      </c>
      <c r="X430">
        <v>4</v>
      </c>
      <c r="Y430" t="s">
        <v>19223</v>
      </c>
      <c r="Z430" t="s">
        <v>25300</v>
      </c>
      <c r="AA430">
        <v>0.7458433399433726</v>
      </c>
      <c r="AB430" t="str">
        <f>HYPERLINK("Melting_Curves/meltCurve_E9PNW4_CD59.pdf", "Melting_Curves/meltCurve_E9PNW4_CD59.pdf")</f>
        <v>Melting_Curves/meltCurve_E9PNW4_CD59.pdf</v>
      </c>
    </row>
    <row r="431" spans="1:28" x14ac:dyDescent="0.25">
      <c r="A431" t="s">
        <v>435</v>
      </c>
      <c r="B431">
        <v>0.99352677808782597</v>
      </c>
      <c r="C431">
        <v>1.0073826490400399</v>
      </c>
      <c r="D431">
        <v>1.0355632116806801</v>
      </c>
      <c r="E431">
        <v>0.87731516884181904</v>
      </c>
      <c r="F431">
        <v>0.78317000350617005</v>
      </c>
      <c r="G431">
        <v>0.58019845657811397</v>
      </c>
      <c r="H431">
        <v>0.310596028650512</v>
      </c>
      <c r="I431">
        <v>0.204140063400406</v>
      </c>
      <c r="J431">
        <v>0.156121010395532</v>
      </c>
      <c r="K431">
        <v>0.107059933357589</v>
      </c>
      <c r="L431">
        <v>874.82467429807298</v>
      </c>
      <c r="M431">
        <v>15.2263544378433</v>
      </c>
      <c r="N431">
        <v>57.838297882971801</v>
      </c>
      <c r="O431">
        <v>56.490956888250302</v>
      </c>
      <c r="P431">
        <v>-6.4153413878975704E-2</v>
      </c>
      <c r="Q431">
        <v>4.8034111246112197E-2</v>
      </c>
      <c r="R431">
        <v>0.995543571910393</v>
      </c>
      <c r="S431" t="s">
        <v>6716</v>
      </c>
      <c r="T431" t="s">
        <v>12568</v>
      </c>
      <c r="U431" t="s">
        <v>12568</v>
      </c>
      <c r="V431" t="s">
        <v>12568</v>
      </c>
      <c r="W431" t="s">
        <v>12994</v>
      </c>
      <c r="X431">
        <v>3</v>
      </c>
      <c r="Y431" t="s">
        <v>19224</v>
      </c>
      <c r="Z431" t="s">
        <v>25301</v>
      </c>
      <c r="AA431">
        <v>0.61590378810468283</v>
      </c>
      <c r="AB431" t="str">
        <f>HYPERLINK("Melting_Curves/meltCurve_E9PQ47_ZFPL1.pdf", "Melting_Curves/meltCurve_E9PQ47_ZFPL1.pdf")</f>
        <v>Melting_Curves/meltCurve_E9PQ47_ZFPL1.pdf</v>
      </c>
    </row>
    <row r="432" spans="1:28" x14ac:dyDescent="0.25">
      <c r="A432" t="s">
        <v>436</v>
      </c>
      <c r="B432">
        <v>0.99352677808782597</v>
      </c>
      <c r="C432">
        <v>0.99546116604741697</v>
      </c>
      <c r="D432">
        <v>0.93794519265722498</v>
      </c>
      <c r="E432">
        <v>1.16752864140795</v>
      </c>
      <c r="F432">
        <v>0.95481295517183296</v>
      </c>
      <c r="G432">
        <v>0.939357559818081</v>
      </c>
      <c r="H432">
        <v>0.87252695752019804</v>
      </c>
      <c r="I432">
        <v>0.91384215933156598</v>
      </c>
      <c r="J432">
        <v>1.04751145370065</v>
      </c>
      <c r="K432">
        <v>0.84136117457121296</v>
      </c>
      <c r="L432">
        <v>13231.534651211099</v>
      </c>
      <c r="M432">
        <v>250</v>
      </c>
      <c r="O432">
        <v>52.922766699077798</v>
      </c>
      <c r="P432">
        <v>-9.1029094433320107E-2</v>
      </c>
      <c r="Q432">
        <v>0.92291983742350503</v>
      </c>
      <c r="R432">
        <v>0.263889315961367</v>
      </c>
      <c r="S432" t="s">
        <v>6717</v>
      </c>
      <c r="T432" t="s">
        <v>12568</v>
      </c>
      <c r="U432" t="s">
        <v>12568</v>
      </c>
      <c r="V432" t="s">
        <v>12568</v>
      </c>
      <c r="W432" t="s">
        <v>12995</v>
      </c>
      <c r="X432">
        <v>2</v>
      </c>
      <c r="Y432" t="s">
        <v>19225</v>
      </c>
      <c r="Z432" t="s">
        <v>25302</v>
      </c>
      <c r="AA432">
        <v>0.95613862581794151</v>
      </c>
      <c r="AB432" t="str">
        <f>HYPERLINK("Melting_Curves/meltCurve_E9PR30_FAU.pdf", "Melting_Curves/meltCurve_E9PR30_FAU.pdf")</f>
        <v>Melting_Curves/meltCurve_E9PR30_FAU.pdf</v>
      </c>
    </row>
    <row r="433" spans="1:28" x14ac:dyDescent="0.25">
      <c r="A433" t="s">
        <v>437</v>
      </c>
      <c r="B433">
        <v>0.99352677808782597</v>
      </c>
      <c r="C433">
        <v>1.1372333573586499</v>
      </c>
      <c r="D433">
        <v>0.93825871332515798</v>
      </c>
      <c r="E433">
        <v>2.77155015333306</v>
      </c>
      <c r="F433">
        <v>2.9675304703626701</v>
      </c>
      <c r="G433">
        <v>1.98907617766214</v>
      </c>
      <c r="H433">
        <v>0.88507616356890595</v>
      </c>
      <c r="I433">
        <v>0.72342623202757395</v>
      </c>
      <c r="J433">
        <v>0.67056164852364997</v>
      </c>
      <c r="K433">
        <v>0.57499449410241499</v>
      </c>
      <c r="L433">
        <v>3711.65966336674</v>
      </c>
      <c r="M433">
        <v>59.309500592069597</v>
      </c>
      <c r="O433">
        <v>62.510170503252397</v>
      </c>
      <c r="P433">
        <v>-8.9288015699410903E-2</v>
      </c>
      <c r="Q433">
        <v>0.62357419116162405</v>
      </c>
      <c r="R433">
        <v>-0.136517050211998</v>
      </c>
      <c r="S433" t="s">
        <v>6718</v>
      </c>
      <c r="T433" t="s">
        <v>12568</v>
      </c>
      <c r="U433" t="s">
        <v>12568</v>
      </c>
      <c r="V433" t="s">
        <v>12568</v>
      </c>
      <c r="W433" t="s">
        <v>12996</v>
      </c>
      <c r="X433">
        <v>4</v>
      </c>
      <c r="Y433" t="s">
        <v>19226</v>
      </c>
      <c r="Z433" t="s">
        <v>25303</v>
      </c>
      <c r="AA433">
        <v>0.90761764580470206</v>
      </c>
      <c r="AB433" t="str">
        <f>HYPERLINK("Melting_Curves/meltCurve_E9PR54_CTSB.pdf", "Melting_Curves/meltCurve_E9PR54_CTSB.pdf")</f>
        <v>Melting_Curves/meltCurve_E9PR54_CTSB.pdf</v>
      </c>
    </row>
    <row r="434" spans="1:28" x14ac:dyDescent="0.25">
      <c r="A434" t="s">
        <v>438</v>
      </c>
      <c r="B434">
        <v>0.99352677808782597</v>
      </c>
      <c r="C434">
        <v>0.79635281838243199</v>
      </c>
      <c r="D434">
        <v>0.75222026185667501</v>
      </c>
      <c r="E434">
        <v>0.44120185391854899</v>
      </c>
      <c r="F434">
        <v>0.30330081511139501</v>
      </c>
      <c r="G434">
        <v>0.30596939833161901</v>
      </c>
      <c r="H434">
        <v>0.219943787289645</v>
      </c>
      <c r="I434">
        <v>0.20788766512019899</v>
      </c>
      <c r="J434">
        <v>0.17249798197023</v>
      </c>
      <c r="K434">
        <v>0.39204590355781999</v>
      </c>
      <c r="L434">
        <v>802.17512716160195</v>
      </c>
      <c r="M434">
        <v>17.0510854730096</v>
      </c>
      <c r="N434">
        <v>48.9423265742806</v>
      </c>
      <c r="O434">
        <v>46.412594784577003</v>
      </c>
      <c r="P434">
        <v>-6.9641241887998001E-2</v>
      </c>
      <c r="Q434">
        <v>0.24179975957733901</v>
      </c>
      <c r="R434">
        <v>0.94149277216567995</v>
      </c>
      <c r="S434" t="s">
        <v>6719</v>
      </c>
      <c r="T434" t="s">
        <v>12568</v>
      </c>
      <c r="U434" t="s">
        <v>12568</v>
      </c>
      <c r="V434" t="s">
        <v>12568</v>
      </c>
      <c r="W434" t="s">
        <v>12997</v>
      </c>
      <c r="X434">
        <v>3</v>
      </c>
      <c r="Y434" t="s">
        <v>19227</v>
      </c>
      <c r="Z434" t="s">
        <v>25304</v>
      </c>
      <c r="AA434">
        <v>0.43554971087133348</v>
      </c>
      <c r="AB434" t="str">
        <f>HYPERLINK("Melting_Curves/meltCurve_E9PR76_MAF1.pdf", "Melting_Curves/meltCurve_E9PR76_MAF1.pdf")</f>
        <v>Melting_Curves/meltCurve_E9PR76_MAF1.pdf</v>
      </c>
    </row>
    <row r="435" spans="1:28" x14ac:dyDescent="0.25">
      <c r="A435" t="s">
        <v>439</v>
      </c>
      <c r="B435">
        <v>0.99352677808782597</v>
      </c>
      <c r="C435">
        <v>0.96611942056169997</v>
      </c>
      <c r="D435">
        <v>0.87358928488385901</v>
      </c>
      <c r="E435">
        <v>0.26597755636798998</v>
      </c>
      <c r="F435">
        <v>0.20038436059429199</v>
      </c>
      <c r="G435">
        <v>0.135518949167758</v>
      </c>
      <c r="H435">
        <v>0.108333449465087</v>
      </c>
      <c r="I435">
        <v>0.10114217028248899</v>
      </c>
      <c r="J435">
        <v>8.7958065711211605E-2</v>
      </c>
      <c r="K435">
        <v>6.5583386862054102E-2</v>
      </c>
      <c r="L435">
        <v>1742.37499590842</v>
      </c>
      <c r="M435">
        <v>36.207772134354897</v>
      </c>
      <c r="N435">
        <v>48.445655799017104</v>
      </c>
      <c r="O435">
        <v>47.975471430250998</v>
      </c>
      <c r="P435">
        <v>-0.168385487939229</v>
      </c>
      <c r="Q435">
        <v>0.10755604022884099</v>
      </c>
      <c r="R435">
        <v>0.99428904638631699</v>
      </c>
      <c r="S435" t="s">
        <v>6720</v>
      </c>
      <c r="T435" t="s">
        <v>12568</v>
      </c>
      <c r="U435" t="s">
        <v>12568</v>
      </c>
      <c r="V435" t="s">
        <v>12568</v>
      </c>
      <c r="W435" t="s">
        <v>12965</v>
      </c>
      <c r="X435">
        <v>22</v>
      </c>
      <c r="Y435" t="s">
        <v>19228</v>
      </c>
      <c r="Z435" t="s">
        <v>25305</v>
      </c>
      <c r="AA435">
        <v>0.3528044785381429</v>
      </c>
      <c r="AB435" t="str">
        <f>HYPERLINK("Melting_Curves/meltCurve_E9PRI4_RPS6KA1.pdf", "Melting_Curves/meltCurve_E9PRI4_RPS6KA1.pdf")</f>
        <v>Melting_Curves/meltCurve_E9PRI4_RPS6KA1.pdf</v>
      </c>
    </row>
    <row r="436" spans="1:28" x14ac:dyDescent="0.25">
      <c r="A436" t="s">
        <v>440</v>
      </c>
      <c r="B436">
        <v>0.99352677808782597</v>
      </c>
      <c r="C436">
        <v>0.94170090818883601</v>
      </c>
      <c r="D436">
        <v>0.91374687354652695</v>
      </c>
      <c r="E436">
        <v>0.80951930017338403</v>
      </c>
      <c r="F436">
        <v>0.74775389145161497</v>
      </c>
      <c r="G436">
        <v>0.53093516201767199</v>
      </c>
      <c r="H436">
        <v>0.61888200446171604</v>
      </c>
      <c r="I436">
        <v>0.63995882987288899</v>
      </c>
      <c r="J436">
        <v>0.49753215516799998</v>
      </c>
      <c r="K436">
        <v>0.29367505765436802</v>
      </c>
      <c r="L436">
        <v>333.29273917508198</v>
      </c>
      <c r="M436">
        <v>5.1623020245017202</v>
      </c>
      <c r="N436">
        <v>64.562835281841402</v>
      </c>
      <c r="O436">
        <v>56.761027224461998</v>
      </c>
      <c r="P436">
        <v>-2.2861849872726599E-2</v>
      </c>
      <c r="Q436">
        <v>0</v>
      </c>
      <c r="R436">
        <v>0.88451734708700602</v>
      </c>
      <c r="S436" t="s">
        <v>6721</v>
      </c>
      <c r="T436" t="s">
        <v>12568</v>
      </c>
      <c r="U436" t="s">
        <v>12568</v>
      </c>
      <c r="V436" t="s">
        <v>12568</v>
      </c>
      <c r="W436" t="s">
        <v>12866</v>
      </c>
      <c r="X436">
        <v>1</v>
      </c>
      <c r="Z436" t="s">
        <v>25306</v>
      </c>
      <c r="AA436">
        <v>0.70079512111627507</v>
      </c>
      <c r="AB436" t="str">
        <f>HYPERLINK("Melting_Curves/meltCurve_E9PS84_.pdf", "Melting_Curves/meltCurve_E9PS84_.pdf")</f>
        <v>Melting_Curves/meltCurve_E9PS84_.pdf</v>
      </c>
    </row>
    <row r="437" spans="1:28" x14ac:dyDescent="0.25">
      <c r="A437" t="s">
        <v>441</v>
      </c>
      <c r="B437">
        <v>0.99352677808782597</v>
      </c>
      <c r="C437">
        <v>0.97461180850410001</v>
      </c>
      <c r="D437">
        <v>0.97397869785092706</v>
      </c>
      <c r="E437">
        <v>0.76471339559443596</v>
      </c>
      <c r="F437">
        <v>0.73263039893700199</v>
      </c>
      <c r="G437">
        <v>0.380014218438606</v>
      </c>
      <c r="H437">
        <v>0.169285131907354</v>
      </c>
      <c r="I437">
        <v>0.15985730209705501</v>
      </c>
      <c r="J437">
        <v>0.13197617954633301</v>
      </c>
      <c r="K437">
        <v>9.6988829034282506E-2</v>
      </c>
      <c r="L437">
        <v>901.49929083596703</v>
      </c>
      <c r="M437">
        <v>16.457739842753099</v>
      </c>
      <c r="N437">
        <v>55.274914802230001</v>
      </c>
      <c r="O437">
        <v>53.987041128958602</v>
      </c>
      <c r="P437">
        <v>-7.0962355036073704E-2</v>
      </c>
      <c r="Q437">
        <v>6.8941743123601906E-2</v>
      </c>
      <c r="R437">
        <v>0.98946899103408903</v>
      </c>
      <c r="S437" t="s">
        <v>6722</v>
      </c>
      <c r="T437" t="s">
        <v>12568</v>
      </c>
      <c r="U437" t="s">
        <v>12568</v>
      </c>
      <c r="V437" t="s">
        <v>12568</v>
      </c>
      <c r="W437" t="s">
        <v>12998</v>
      </c>
      <c r="X437">
        <v>1</v>
      </c>
      <c r="Y437" t="s">
        <v>19229</v>
      </c>
      <c r="Z437" t="s">
        <v>25307</v>
      </c>
      <c r="AA437">
        <v>0.54388411022047201</v>
      </c>
      <c r="AB437" t="str">
        <f>HYPERLINK("Melting_Curves/meltCurve_E9PSF2_STIL.pdf", "Melting_Curves/meltCurve_E9PSF2_STIL.pdf")</f>
        <v>Melting_Curves/meltCurve_E9PSF2_STIL.pdf</v>
      </c>
    </row>
    <row r="438" spans="1:28" x14ac:dyDescent="0.25">
      <c r="A438" t="s">
        <v>442</v>
      </c>
      <c r="B438">
        <v>0.99352677808782597</v>
      </c>
      <c r="C438">
        <v>7.6688309969733304E-2</v>
      </c>
      <c r="D438">
        <v>0.880764252441676</v>
      </c>
      <c r="E438">
        <v>0.82298146905356495</v>
      </c>
      <c r="F438">
        <v>0.65959782531767097</v>
      </c>
      <c r="G438">
        <v>0.47838077994949602</v>
      </c>
      <c r="H438">
        <v>0.217833279374713</v>
      </c>
      <c r="I438">
        <v>6.9471405380281306E-2</v>
      </c>
      <c r="J438">
        <v>3.94511604024936E-2</v>
      </c>
      <c r="K438">
        <v>4.1033985008871898E-2</v>
      </c>
      <c r="L438">
        <v>330.86109916820601</v>
      </c>
      <c r="M438">
        <v>6.3884484613326702</v>
      </c>
      <c r="N438">
        <v>51.790524264017698</v>
      </c>
      <c r="O438">
        <v>47.413658558404599</v>
      </c>
      <c r="P438">
        <v>-3.3771734366282197E-2</v>
      </c>
      <c r="Q438">
        <v>0</v>
      </c>
      <c r="R438">
        <v>0.43822412302059699</v>
      </c>
      <c r="S438" t="s">
        <v>6723</v>
      </c>
      <c r="T438" t="s">
        <v>12568</v>
      </c>
      <c r="U438" t="s">
        <v>12568</v>
      </c>
      <c r="V438" t="s">
        <v>12568</v>
      </c>
      <c r="W438" t="s">
        <v>12999</v>
      </c>
      <c r="X438">
        <v>2</v>
      </c>
      <c r="Y438" t="s">
        <v>19230</v>
      </c>
      <c r="Z438" t="s">
        <v>25308</v>
      </c>
      <c r="AA438">
        <v>0.45086632896188539</v>
      </c>
      <c r="AB438" t="str">
        <f>HYPERLINK("Melting_Curves/meltCurve_F2Z2V1_FGGY.pdf", "Melting_Curves/meltCurve_F2Z2V1_FGGY.pdf")</f>
        <v>Melting_Curves/meltCurve_F2Z2V1_FGGY.pdf</v>
      </c>
    </row>
    <row r="439" spans="1:28" x14ac:dyDescent="0.25">
      <c r="A439" t="s">
        <v>443</v>
      </c>
      <c r="B439">
        <v>0.99352677808782597</v>
      </c>
      <c r="C439">
        <v>0.97110944083244299</v>
      </c>
      <c r="D439">
        <v>0.86860100207254598</v>
      </c>
      <c r="E439">
        <v>0.74245837318492103</v>
      </c>
      <c r="F439">
        <v>0.62837594750001802</v>
      </c>
      <c r="G439">
        <v>0.29981474811816899</v>
      </c>
      <c r="H439">
        <v>0.21377781765357501</v>
      </c>
      <c r="I439">
        <v>0.210969064690541</v>
      </c>
      <c r="J439">
        <v>0.19608030455454101</v>
      </c>
      <c r="K439">
        <v>0.15482265743524201</v>
      </c>
      <c r="L439">
        <v>796.936554456154</v>
      </c>
      <c r="M439">
        <v>15.060672788793299</v>
      </c>
      <c r="N439">
        <v>54.0537716044322</v>
      </c>
      <c r="O439">
        <v>52.008452191586301</v>
      </c>
      <c r="P439">
        <v>-6.2560664698025001E-2</v>
      </c>
      <c r="Q439">
        <v>0.13593241116563801</v>
      </c>
      <c r="R439">
        <v>0.989467782277345</v>
      </c>
      <c r="S439" t="s">
        <v>6724</v>
      </c>
      <c r="T439" t="s">
        <v>12568</v>
      </c>
      <c r="U439" t="s">
        <v>12568</v>
      </c>
      <c r="V439" t="s">
        <v>12568</v>
      </c>
      <c r="W439" t="s">
        <v>13000</v>
      </c>
      <c r="X439">
        <v>12</v>
      </c>
      <c r="Y439" t="s">
        <v>19231</v>
      </c>
      <c r="Z439" t="s">
        <v>25309</v>
      </c>
      <c r="AA439">
        <v>0.52646963056268159</v>
      </c>
      <c r="AB439" t="str">
        <f>HYPERLINK("Melting_Curves/meltCurve_F2Z2X4_XPO4.pdf", "Melting_Curves/meltCurve_F2Z2X4_XPO4.pdf")</f>
        <v>Melting_Curves/meltCurve_F2Z2X4_XPO4.pdf</v>
      </c>
    </row>
    <row r="440" spans="1:28" x14ac:dyDescent="0.25">
      <c r="A440" t="s">
        <v>444</v>
      </c>
      <c r="B440">
        <v>0.99352677808782597</v>
      </c>
      <c r="C440">
        <v>0.893056264153263</v>
      </c>
      <c r="D440">
        <v>0.94434891854764402</v>
      </c>
      <c r="E440">
        <v>0.81576184231711901</v>
      </c>
      <c r="F440">
        <v>0.73228351198712105</v>
      </c>
      <c r="G440">
        <v>0.75131172351795095</v>
      </c>
      <c r="H440">
        <v>0.58691590305293295</v>
      </c>
      <c r="I440">
        <v>0.68569372929859995</v>
      </c>
      <c r="J440">
        <v>0.71181224157321199</v>
      </c>
      <c r="K440">
        <v>0.65328685443766299</v>
      </c>
      <c r="L440">
        <v>622.92563741327604</v>
      </c>
      <c r="M440">
        <v>12.619933381034301</v>
      </c>
      <c r="O440">
        <v>48.170226446864902</v>
      </c>
      <c r="P440">
        <v>-2.2838110388530598E-2</v>
      </c>
      <c r="Q440">
        <v>0.65137715532152396</v>
      </c>
      <c r="R440">
        <v>0.87396345786566099</v>
      </c>
      <c r="S440" t="s">
        <v>6725</v>
      </c>
      <c r="T440" t="s">
        <v>12568</v>
      </c>
      <c r="U440" t="s">
        <v>12568</v>
      </c>
      <c r="V440" t="s">
        <v>12568</v>
      </c>
      <c r="W440" t="s">
        <v>13001</v>
      </c>
      <c r="X440">
        <v>2</v>
      </c>
      <c r="Y440" t="s">
        <v>19232</v>
      </c>
      <c r="Z440" t="s">
        <v>25310</v>
      </c>
      <c r="AA440">
        <v>0.77167966645427577</v>
      </c>
      <c r="AB440" t="str">
        <f>HYPERLINK("Melting_Curves/meltCurve_F5GWF3_C1RL.pdf", "Melting_Curves/meltCurve_F5GWF3_C1RL.pdf")</f>
        <v>Melting_Curves/meltCurve_F5GWF3_C1RL.pdf</v>
      </c>
    </row>
    <row r="441" spans="1:28" x14ac:dyDescent="0.25">
      <c r="A441" t="s">
        <v>445</v>
      </c>
      <c r="B441">
        <v>0.99352677808782597</v>
      </c>
      <c r="C441">
        <v>0.969039857507626</v>
      </c>
      <c r="D441">
        <v>0.88668306373071004</v>
      </c>
      <c r="E441">
        <v>1.1700824816714399</v>
      </c>
      <c r="F441">
        <v>1.16085740852345</v>
      </c>
      <c r="G441">
        <v>0.99256894030867204</v>
      </c>
      <c r="H441">
        <v>0.98717218810377205</v>
      </c>
      <c r="I441">
        <v>0.886570273023912</v>
      </c>
      <c r="J441">
        <v>0.86366464166341606</v>
      </c>
      <c r="K441">
        <v>0.52994036928982202</v>
      </c>
      <c r="L441">
        <v>2108.1023725745099</v>
      </c>
      <c r="M441">
        <v>29.942435952052399</v>
      </c>
      <c r="Q441">
        <v>0</v>
      </c>
      <c r="R441">
        <v>0.74108615125522603</v>
      </c>
      <c r="S441" t="s">
        <v>6726</v>
      </c>
      <c r="T441" t="s">
        <v>12568</v>
      </c>
      <c r="U441" t="s">
        <v>12568</v>
      </c>
      <c r="V441" t="s">
        <v>12568</v>
      </c>
      <c r="W441" t="s">
        <v>13002</v>
      </c>
      <c r="X441">
        <v>4</v>
      </c>
      <c r="Y441" t="s">
        <v>19233</v>
      </c>
      <c r="Z441" t="s">
        <v>25311</v>
      </c>
      <c r="AA441">
        <v>0.9560232873868465</v>
      </c>
      <c r="AB441" t="str">
        <f>HYPERLINK("Melting_Curves/meltCurve_F5GWI9_CCDC53.pdf", "Melting_Curves/meltCurve_F5GWI9_CCDC53.pdf")</f>
        <v>Melting_Curves/meltCurve_F5GWI9_CCDC53.pdf</v>
      </c>
    </row>
    <row r="442" spans="1:28" x14ac:dyDescent="0.25">
      <c r="A442" t="s">
        <v>446</v>
      </c>
      <c r="B442">
        <v>0.99352677808782597</v>
      </c>
      <c r="C442">
        <v>0.86717737737815404</v>
      </c>
      <c r="D442">
        <v>0.91381071287682403</v>
      </c>
      <c r="E442">
        <v>0.69780399597173104</v>
      </c>
      <c r="F442">
        <v>0.64163932433408899</v>
      </c>
      <c r="G442">
        <v>0.50609295172466695</v>
      </c>
      <c r="H442">
        <v>0.46988643378696598</v>
      </c>
      <c r="I442">
        <v>0.46962643308473601</v>
      </c>
      <c r="J442">
        <v>0.43866433265129001</v>
      </c>
      <c r="K442">
        <v>0.36824824080122998</v>
      </c>
      <c r="L442">
        <v>545.42612423445905</v>
      </c>
      <c r="M442">
        <v>10.6536169214857</v>
      </c>
      <c r="N442">
        <v>58.6597538623218</v>
      </c>
      <c r="O442">
        <v>49.491344619160401</v>
      </c>
      <c r="P442">
        <v>-3.3858117857831001E-2</v>
      </c>
      <c r="Q442">
        <v>0.37108890082323998</v>
      </c>
      <c r="R442">
        <v>0.97271239322261105</v>
      </c>
      <c r="S442" t="s">
        <v>6727</v>
      </c>
      <c r="T442" t="s">
        <v>12568</v>
      </c>
      <c r="U442" t="s">
        <v>12568</v>
      </c>
      <c r="V442" t="s">
        <v>12568</v>
      </c>
      <c r="W442" t="s">
        <v>13003</v>
      </c>
      <c r="X442">
        <v>5</v>
      </c>
      <c r="Y442" t="s">
        <v>19234</v>
      </c>
      <c r="Z442" t="s">
        <v>25312</v>
      </c>
      <c r="AA442">
        <v>0.62957432332409446</v>
      </c>
      <c r="AB442" t="str">
        <f>HYPERLINK("Melting_Curves/meltCurve_F5GWN5_PIK3C2B.pdf", "Melting_Curves/meltCurve_F5GWN5_PIK3C2B.pdf")</f>
        <v>Melting_Curves/meltCurve_F5GWN5_PIK3C2B.pdf</v>
      </c>
    </row>
    <row r="443" spans="1:28" x14ac:dyDescent="0.25">
      <c r="A443" t="s">
        <v>447</v>
      </c>
      <c r="B443">
        <v>0.99352677808782597</v>
      </c>
      <c r="C443">
        <v>0.56949810265388601</v>
      </c>
      <c r="D443">
        <v>0.66216555324649895</v>
      </c>
      <c r="E443">
        <v>0.67529747250823702</v>
      </c>
      <c r="F443">
        <v>0.44437989986079302</v>
      </c>
      <c r="G443">
        <v>0.45792431582798598</v>
      </c>
      <c r="H443">
        <v>0.46689194864571298</v>
      </c>
      <c r="I443">
        <v>0.189279576218603</v>
      </c>
      <c r="J443">
        <v>0.35161040367775098</v>
      </c>
      <c r="K443">
        <v>0.30896186617301802</v>
      </c>
      <c r="L443">
        <v>297.64834433727998</v>
      </c>
      <c r="M443">
        <v>6.0463801711492797</v>
      </c>
      <c r="N443">
        <v>53.111161183314202</v>
      </c>
      <c r="O443">
        <v>44.654854107240403</v>
      </c>
      <c r="P443">
        <v>-2.7890259057518602E-2</v>
      </c>
      <c r="Q443">
        <v>0.17866627234358601</v>
      </c>
      <c r="R443">
        <v>0.76330565901130698</v>
      </c>
      <c r="S443" t="s">
        <v>6728</v>
      </c>
      <c r="T443" t="s">
        <v>12568</v>
      </c>
      <c r="U443" t="s">
        <v>12568</v>
      </c>
      <c r="V443" t="s">
        <v>12568</v>
      </c>
      <c r="W443" t="s">
        <v>13004</v>
      </c>
      <c r="X443">
        <v>19</v>
      </c>
      <c r="Y443" t="s">
        <v>19235</v>
      </c>
      <c r="Z443" t="s">
        <v>25313</v>
      </c>
      <c r="AA443">
        <v>0.50225934683577234</v>
      </c>
      <c r="AB443" t="str">
        <f>HYPERLINK("Melting_Curves/meltCurve_F5GWP8_JUP.pdf", "Melting_Curves/meltCurve_F5GWP8_JUP.pdf")</f>
        <v>Melting_Curves/meltCurve_F5GWP8_JUP.pdf</v>
      </c>
    </row>
    <row r="444" spans="1:28" x14ac:dyDescent="0.25">
      <c r="A444" t="s">
        <v>448</v>
      </c>
      <c r="B444">
        <v>0.99352677808782597</v>
      </c>
      <c r="C444">
        <v>0.99065728735875902</v>
      </c>
      <c r="D444">
        <v>0.94893051049569299</v>
      </c>
      <c r="E444">
        <v>0.65580032234311603</v>
      </c>
      <c r="F444">
        <v>0.55526904295643797</v>
      </c>
      <c r="G444">
        <v>0.37887195126684098</v>
      </c>
      <c r="H444">
        <v>0.326379145062627</v>
      </c>
      <c r="I444">
        <v>0.30996901898176399</v>
      </c>
      <c r="J444">
        <v>0.33150617803197502</v>
      </c>
      <c r="K444">
        <v>0.24226594586860001</v>
      </c>
      <c r="L444">
        <v>912.77744974374104</v>
      </c>
      <c r="M444">
        <v>17.9085818945677</v>
      </c>
      <c r="N444">
        <v>53.508828746791899</v>
      </c>
      <c r="O444">
        <v>50.345944157577698</v>
      </c>
      <c r="P444">
        <v>-6.3468962100632798E-2</v>
      </c>
      <c r="Q444">
        <v>0.28632124238082801</v>
      </c>
      <c r="R444">
        <v>0.989512215312502</v>
      </c>
      <c r="S444" t="s">
        <v>6729</v>
      </c>
      <c r="T444" t="s">
        <v>12568</v>
      </c>
      <c r="U444" t="s">
        <v>12568</v>
      </c>
      <c r="V444" t="s">
        <v>12568</v>
      </c>
      <c r="W444" t="s">
        <v>13005</v>
      </c>
      <c r="X444">
        <v>39</v>
      </c>
      <c r="Y444" t="s">
        <v>19236</v>
      </c>
      <c r="Z444" t="s">
        <v>25314</v>
      </c>
      <c r="AA444">
        <v>0.55939973675763044</v>
      </c>
      <c r="AB444" t="str">
        <f>HYPERLINK("Melting_Curves/meltCurve_F5GWT4_WNK1.pdf", "Melting_Curves/meltCurve_F5GWT4_WNK1.pdf")</f>
        <v>Melting_Curves/meltCurve_F5GWT4_WNK1.pdf</v>
      </c>
    </row>
    <row r="445" spans="1:28" x14ac:dyDescent="0.25">
      <c r="A445" t="s">
        <v>449</v>
      </c>
      <c r="B445">
        <v>0.99352677808782597</v>
      </c>
      <c r="C445">
        <v>0.88102144984740405</v>
      </c>
      <c r="D445">
        <v>0.82020393317613705</v>
      </c>
      <c r="E445">
        <v>0.30470833905589301</v>
      </c>
      <c r="F445">
        <v>0.27135420945195998</v>
      </c>
      <c r="G445">
        <v>0.20212254592315301</v>
      </c>
      <c r="H445">
        <v>0.173692233907285</v>
      </c>
      <c r="I445">
        <v>0.15173023774833799</v>
      </c>
      <c r="J445">
        <v>0.160674523971953</v>
      </c>
      <c r="K445">
        <v>0.13831434413681501</v>
      </c>
      <c r="L445">
        <v>1260.6871278128201</v>
      </c>
      <c r="M445">
        <v>26.424092593051501</v>
      </c>
      <c r="N445">
        <v>48.445814609944499</v>
      </c>
      <c r="O445">
        <v>47.439026435128497</v>
      </c>
      <c r="P445">
        <v>-0.11623117369646301</v>
      </c>
      <c r="Q445">
        <v>0.16533232402280601</v>
      </c>
      <c r="R445">
        <v>0.98561758265660604</v>
      </c>
      <c r="S445" t="s">
        <v>6730</v>
      </c>
      <c r="T445" t="s">
        <v>12568</v>
      </c>
      <c r="U445" t="s">
        <v>12568</v>
      </c>
      <c r="V445" t="s">
        <v>12568</v>
      </c>
      <c r="W445" t="s">
        <v>13006</v>
      </c>
      <c r="X445">
        <v>6</v>
      </c>
      <c r="Y445" t="s">
        <v>19237</v>
      </c>
      <c r="Z445" t="s">
        <v>25315</v>
      </c>
      <c r="AA445">
        <v>0.38639568736263269</v>
      </c>
      <c r="AB445" t="str">
        <f>HYPERLINK("Melting_Curves/meltCurve_F5GWU7_SMAD5.pdf", "Melting_Curves/meltCurve_F5GWU7_SMAD5.pdf")</f>
        <v>Melting_Curves/meltCurve_F5GWU7_SMAD5.pdf</v>
      </c>
    </row>
    <row r="446" spans="1:28" x14ac:dyDescent="0.25">
      <c r="A446" t="s">
        <v>450</v>
      </c>
      <c r="B446">
        <v>0.99352677808782597</v>
      </c>
      <c r="C446">
        <v>0.94406763825348805</v>
      </c>
      <c r="D446">
        <v>0.94568333037764596</v>
      </c>
      <c r="E446">
        <v>0.85364251513407896</v>
      </c>
      <c r="F446">
        <v>0.80260627708070098</v>
      </c>
      <c r="G446">
        <v>0.59927308896924403</v>
      </c>
      <c r="H446">
        <v>0.44196557842661399</v>
      </c>
      <c r="I446">
        <v>0.37783125221153102</v>
      </c>
      <c r="J446">
        <v>0.31040454816612001</v>
      </c>
      <c r="K446">
        <v>0.24689431596590899</v>
      </c>
      <c r="L446">
        <v>599.92853318172195</v>
      </c>
      <c r="M446">
        <v>10.2887204374418</v>
      </c>
      <c r="N446">
        <v>59.861497651517901</v>
      </c>
      <c r="O446">
        <v>56.235447472326001</v>
      </c>
      <c r="P446">
        <v>-4.0401999885439903E-2</v>
      </c>
      <c r="Q446">
        <v>0.117078144843393</v>
      </c>
      <c r="R446">
        <v>0.99581615816809799</v>
      </c>
      <c r="S446" t="s">
        <v>6731</v>
      </c>
      <c r="T446" t="s">
        <v>12568</v>
      </c>
      <c r="U446" t="s">
        <v>12568</v>
      </c>
      <c r="V446" t="s">
        <v>12568</v>
      </c>
      <c r="W446" t="s">
        <v>13007</v>
      </c>
      <c r="X446">
        <v>5</v>
      </c>
      <c r="Y446" t="s">
        <v>19238</v>
      </c>
      <c r="Z446" t="s">
        <v>25316</v>
      </c>
      <c r="AA446">
        <v>0.66354950541376789</v>
      </c>
      <c r="AB446" t="str">
        <f>HYPERLINK("Melting_Curves/meltCurve_F5GX09_FAM76B.pdf", "Melting_Curves/meltCurve_F5GX09_FAM76B.pdf")</f>
        <v>Melting_Curves/meltCurve_F5GX09_FAM76B.pdf</v>
      </c>
    </row>
    <row r="447" spans="1:28" x14ac:dyDescent="0.25">
      <c r="A447" t="s">
        <v>451</v>
      </c>
      <c r="B447">
        <v>0.99352677808782597</v>
      </c>
      <c r="C447">
        <v>0.95265567707391496</v>
      </c>
      <c r="D447">
        <v>0.83538005996852105</v>
      </c>
      <c r="E447">
        <v>0.82288605029714601</v>
      </c>
      <c r="F447">
        <v>0.66042096498200098</v>
      </c>
      <c r="G447">
        <v>0.32039884362295401</v>
      </c>
      <c r="H447">
        <v>0.14881031271282399</v>
      </c>
      <c r="I447">
        <v>0.12864515917525099</v>
      </c>
      <c r="J447">
        <v>0.102851411874401</v>
      </c>
      <c r="K447">
        <v>8.8595826519189902E-2</v>
      </c>
      <c r="L447">
        <v>847.20316698084798</v>
      </c>
      <c r="M447">
        <v>15.6159056050935</v>
      </c>
      <c r="N447">
        <v>54.567998713192097</v>
      </c>
      <c r="O447">
        <v>53.386257075082199</v>
      </c>
      <c r="P447">
        <v>-6.9977236048999497E-2</v>
      </c>
      <c r="Q447">
        <v>4.3154965040190098E-2</v>
      </c>
      <c r="R447">
        <v>0.98537741755357999</v>
      </c>
      <c r="S447" t="s">
        <v>6732</v>
      </c>
      <c r="T447" t="s">
        <v>12568</v>
      </c>
      <c r="U447" t="s">
        <v>12568</v>
      </c>
      <c r="V447" t="s">
        <v>12568</v>
      </c>
      <c r="W447" t="s">
        <v>13008</v>
      </c>
      <c r="X447">
        <v>15</v>
      </c>
      <c r="Y447" t="s">
        <v>19239</v>
      </c>
      <c r="Z447" t="s">
        <v>25317</v>
      </c>
      <c r="AA447">
        <v>0.51616360956259488</v>
      </c>
      <c r="AB447" t="str">
        <f>HYPERLINK("Melting_Curves/meltCurve_F5GX82_FRYL.pdf", "Melting_Curves/meltCurve_F5GX82_FRYL.pdf")</f>
        <v>Melting_Curves/meltCurve_F5GX82_FRYL.pdf</v>
      </c>
    </row>
    <row r="448" spans="1:28" x14ac:dyDescent="0.25">
      <c r="A448" t="s">
        <v>452</v>
      </c>
      <c r="B448">
        <v>0.99352677808782597</v>
      </c>
      <c r="C448">
        <v>0.94325510771062604</v>
      </c>
      <c r="D448">
        <v>0.83405660343255605</v>
      </c>
      <c r="E448">
        <v>0.25136363143819102</v>
      </c>
      <c r="F448">
        <v>0.17684534659477899</v>
      </c>
      <c r="G448">
        <v>0.106807590191528</v>
      </c>
      <c r="H448">
        <v>6.61157285671891E-2</v>
      </c>
      <c r="I448">
        <v>5.8856948144675902E-2</v>
      </c>
      <c r="J448">
        <v>4.7210046955470202E-2</v>
      </c>
      <c r="K448">
        <v>3.5989239722548701E-2</v>
      </c>
      <c r="L448">
        <v>1462.41993283952</v>
      </c>
      <c r="M448">
        <v>30.427839341738199</v>
      </c>
      <c r="N448">
        <v>48.2912718489223</v>
      </c>
      <c r="O448">
        <v>47.855743502456399</v>
      </c>
      <c r="P448">
        <v>-0.148262030606649</v>
      </c>
      <c r="Q448">
        <v>6.7282289837961598E-2</v>
      </c>
      <c r="R448">
        <v>0.99396572350693801</v>
      </c>
      <c r="S448" t="s">
        <v>6733</v>
      </c>
      <c r="T448" t="s">
        <v>12568</v>
      </c>
      <c r="U448" t="s">
        <v>12568</v>
      </c>
      <c r="V448" t="s">
        <v>12568</v>
      </c>
      <c r="W448" t="s">
        <v>13009</v>
      </c>
      <c r="X448">
        <v>10</v>
      </c>
      <c r="Y448" t="s">
        <v>19240</v>
      </c>
      <c r="Z448" t="s">
        <v>25318</v>
      </c>
      <c r="AA448">
        <v>0.32338508670506921</v>
      </c>
      <c r="AB448" t="str">
        <f>HYPERLINK("Melting_Curves/meltCurve_F5GXC8_SUCLA2.pdf", "Melting_Curves/meltCurve_F5GXC8_SUCLA2.pdf")</f>
        <v>Melting_Curves/meltCurve_F5GXC8_SUCLA2.pdf</v>
      </c>
    </row>
    <row r="449" spans="1:28" x14ac:dyDescent="0.25">
      <c r="A449" t="s">
        <v>453</v>
      </c>
      <c r="B449">
        <v>0.99352677808782597</v>
      </c>
      <c r="C449">
        <v>1.0645652186168999</v>
      </c>
      <c r="D449">
        <v>0.97200667724776002</v>
      </c>
      <c r="E449">
        <v>0.56618910785559795</v>
      </c>
      <c r="F449">
        <v>0.47890260796716699</v>
      </c>
      <c r="G449">
        <v>0.17542588828526601</v>
      </c>
      <c r="H449">
        <v>9.63705963626139E-2</v>
      </c>
      <c r="I449">
        <v>9.0294513148058003E-2</v>
      </c>
      <c r="J449">
        <v>7.4052174473207805E-2</v>
      </c>
      <c r="K449">
        <v>6.14221774899784E-2</v>
      </c>
      <c r="L449">
        <v>986.52681876255895</v>
      </c>
      <c r="M449">
        <v>19.1621531084762</v>
      </c>
      <c r="N449">
        <v>51.840019489995903</v>
      </c>
      <c r="O449">
        <v>50.932225447542102</v>
      </c>
      <c r="P449">
        <v>-8.8247694406177898E-2</v>
      </c>
      <c r="Q449">
        <v>6.1800985099646398E-2</v>
      </c>
      <c r="R449">
        <v>0.98400197512098497</v>
      </c>
      <c r="S449" t="s">
        <v>6734</v>
      </c>
      <c r="T449" t="s">
        <v>12568</v>
      </c>
      <c r="U449" t="s">
        <v>12568</v>
      </c>
      <c r="V449" t="s">
        <v>12568</v>
      </c>
      <c r="W449" t="s">
        <v>13010</v>
      </c>
      <c r="X449">
        <v>12</v>
      </c>
      <c r="Y449" t="s">
        <v>19241</v>
      </c>
      <c r="Z449" t="s">
        <v>25319</v>
      </c>
      <c r="AA449">
        <v>0.4349751536271777</v>
      </c>
      <c r="AB449" t="str">
        <f>HYPERLINK("Melting_Curves/meltCurve_F5GXE4_ATE1.pdf", "Melting_Curves/meltCurve_F5GXE4_ATE1.pdf")</f>
        <v>Melting_Curves/meltCurve_F5GXE4_ATE1.pdf</v>
      </c>
    </row>
    <row r="450" spans="1:28" x14ac:dyDescent="0.25">
      <c r="A450" t="s">
        <v>454</v>
      </c>
      <c r="B450">
        <v>0.99352677808782597</v>
      </c>
      <c r="C450">
        <v>0.98971834911759304</v>
      </c>
      <c r="D450">
        <v>1.0032948868690501</v>
      </c>
      <c r="E450">
        <v>0.98573919425983203</v>
      </c>
      <c r="F450">
        <v>0.97688313426459095</v>
      </c>
      <c r="G450">
        <v>0.85526641080289301</v>
      </c>
      <c r="H450">
        <v>0.79279978826466302</v>
      </c>
      <c r="I450">
        <v>0.80845135552924896</v>
      </c>
      <c r="J450">
        <v>0.73357777064039398</v>
      </c>
      <c r="K450">
        <v>0.69916504405529301</v>
      </c>
      <c r="L450">
        <v>864.10153276220603</v>
      </c>
      <c r="M450">
        <v>14.6375798048939</v>
      </c>
      <c r="O450">
        <v>57.964101694266603</v>
      </c>
      <c r="P450">
        <v>-1.9654311382212599E-2</v>
      </c>
      <c r="Q450">
        <v>0.68871413234652301</v>
      </c>
      <c r="R450">
        <v>0.96668944959865599</v>
      </c>
      <c r="S450" t="s">
        <v>6735</v>
      </c>
      <c r="T450" t="s">
        <v>12568</v>
      </c>
      <c r="U450" t="s">
        <v>12568</v>
      </c>
      <c r="V450" t="s">
        <v>12568</v>
      </c>
      <c r="W450" t="s">
        <v>13011</v>
      </c>
      <c r="X450">
        <v>4</v>
      </c>
      <c r="Y450" t="s">
        <v>19242</v>
      </c>
      <c r="Z450" t="s">
        <v>25320</v>
      </c>
      <c r="AA450">
        <v>0.88939053153345571</v>
      </c>
      <c r="AB450" t="str">
        <f>HYPERLINK("Melting_Curves/meltCurve_F5GXE7_LTBR.pdf", "Melting_Curves/meltCurve_F5GXE7_LTBR.pdf")</f>
        <v>Melting_Curves/meltCurve_F5GXE7_LTBR.pdf</v>
      </c>
    </row>
    <row r="451" spans="1:28" x14ac:dyDescent="0.25">
      <c r="A451" t="s">
        <v>455</v>
      </c>
      <c r="B451">
        <v>0.99352677808782597</v>
      </c>
      <c r="C451">
        <v>0.94833329578570102</v>
      </c>
      <c r="D451">
        <v>0.95540015575736004</v>
      </c>
      <c r="E451">
        <v>0.92654811857285202</v>
      </c>
      <c r="F451">
        <v>0.93322721940888498</v>
      </c>
      <c r="G451">
        <v>0.74899035791791801</v>
      </c>
      <c r="H451">
        <v>0.739670189971671</v>
      </c>
      <c r="I451">
        <v>0.77784218027844498</v>
      </c>
      <c r="J451">
        <v>0.76183002401627797</v>
      </c>
      <c r="K451">
        <v>0.60321283825313798</v>
      </c>
      <c r="L451">
        <v>331.90363829935097</v>
      </c>
      <c r="M451">
        <v>4.6265796249012103</v>
      </c>
      <c r="O451">
        <v>61.421587628375498</v>
      </c>
      <c r="P451">
        <v>-1.3881045712920899E-2</v>
      </c>
      <c r="Q451">
        <v>0.26870151082437799</v>
      </c>
      <c r="R451">
        <v>0.86133849024299403</v>
      </c>
      <c r="S451" t="s">
        <v>6736</v>
      </c>
      <c r="T451" t="s">
        <v>12568</v>
      </c>
      <c r="U451" t="s">
        <v>12568</v>
      </c>
      <c r="V451" t="s">
        <v>12568</v>
      </c>
      <c r="W451" t="s">
        <v>13012</v>
      </c>
      <c r="X451">
        <v>3</v>
      </c>
      <c r="Y451" t="s">
        <v>19243</v>
      </c>
      <c r="Z451" t="s">
        <v>25321</v>
      </c>
      <c r="AA451">
        <v>0.8429990247104987</v>
      </c>
      <c r="AB451" t="str">
        <f>HYPERLINK("Melting_Curves/meltCurve_F5GXQ1_ITIH4.pdf", "Melting_Curves/meltCurve_F5GXQ1_ITIH4.pdf")</f>
        <v>Melting_Curves/meltCurve_F5GXQ1_ITIH4.pdf</v>
      </c>
    </row>
    <row r="452" spans="1:28" x14ac:dyDescent="0.25">
      <c r="A452" t="s">
        <v>456</v>
      </c>
      <c r="B452">
        <v>0.99352677808782597</v>
      </c>
      <c r="C452">
        <v>0.80692440276541499</v>
      </c>
      <c r="D452">
        <v>0.75498253594151099</v>
      </c>
      <c r="E452">
        <v>0.38207349089560799</v>
      </c>
      <c r="F452">
        <v>0.33642087187571801</v>
      </c>
      <c r="G452">
        <v>0.25969039275126499</v>
      </c>
      <c r="H452">
        <v>0.18757519589525001</v>
      </c>
      <c r="I452">
        <v>0.147041075060346</v>
      </c>
      <c r="J452">
        <v>9.7445157226410603E-2</v>
      </c>
      <c r="K452">
        <v>0.100872293510544</v>
      </c>
      <c r="L452">
        <v>631.46990772796801</v>
      </c>
      <c r="M452">
        <v>13.068064019411599</v>
      </c>
      <c r="N452">
        <v>49.223527287077502</v>
      </c>
      <c r="O452">
        <v>47.232077642901899</v>
      </c>
      <c r="P452">
        <v>-6.1815839737236797E-2</v>
      </c>
      <c r="Q452">
        <v>0.10646748093198</v>
      </c>
      <c r="R452">
        <v>0.98076631363690003</v>
      </c>
      <c r="S452" t="s">
        <v>6737</v>
      </c>
      <c r="T452" t="s">
        <v>12568</v>
      </c>
      <c r="U452" t="s">
        <v>12568</v>
      </c>
      <c r="V452" t="s">
        <v>12568</v>
      </c>
      <c r="W452" t="s">
        <v>13013</v>
      </c>
      <c r="X452">
        <v>4</v>
      </c>
      <c r="Y452" t="s">
        <v>19244</v>
      </c>
      <c r="Z452" t="s">
        <v>25322</v>
      </c>
      <c r="AA452">
        <v>0.38373267916088899</v>
      </c>
      <c r="AB452" t="str">
        <f>HYPERLINK("Melting_Curves/meltCurve_F5GXS0_C4B.pdf", "Melting_Curves/meltCurve_F5GXS0_C4B.pdf")</f>
        <v>Melting_Curves/meltCurve_F5GXS0_C4B.pdf</v>
      </c>
    </row>
    <row r="453" spans="1:28" x14ac:dyDescent="0.25">
      <c r="A453" t="s">
        <v>457</v>
      </c>
      <c r="B453">
        <v>0.99352677808782597</v>
      </c>
      <c r="C453">
        <v>1.0408513430717901</v>
      </c>
      <c r="D453">
        <v>1.0491935604679801</v>
      </c>
      <c r="E453">
        <v>0.638030844624487</v>
      </c>
      <c r="F453">
        <v>0.56983124584032596</v>
      </c>
      <c r="G453">
        <v>0.32133543535480802</v>
      </c>
      <c r="H453">
        <v>0.23905055565019501</v>
      </c>
      <c r="I453">
        <v>0.25062094286421499</v>
      </c>
      <c r="J453">
        <v>0.20745032901566399</v>
      </c>
      <c r="K453">
        <v>0.17591146956454301</v>
      </c>
      <c r="L453">
        <v>1018.11972989424</v>
      </c>
      <c r="M453">
        <v>19.645616559897501</v>
      </c>
      <c r="N453">
        <v>53.237600205327801</v>
      </c>
      <c r="O453">
        <v>51.296258240484804</v>
      </c>
      <c r="P453">
        <v>-7.62931156069796E-2</v>
      </c>
      <c r="Q453">
        <v>0.20319840560373401</v>
      </c>
      <c r="R453">
        <v>0.97479449584979605</v>
      </c>
      <c r="S453" t="s">
        <v>6738</v>
      </c>
      <c r="T453" t="s">
        <v>12568</v>
      </c>
      <c r="U453" t="s">
        <v>12568</v>
      </c>
      <c r="V453" t="s">
        <v>12568</v>
      </c>
      <c r="W453" t="s">
        <v>13014</v>
      </c>
      <c r="X453">
        <v>5</v>
      </c>
      <c r="Y453" t="s">
        <v>19245</v>
      </c>
      <c r="Z453" t="s">
        <v>25323</v>
      </c>
      <c r="AA453">
        <v>0.52864681445338368</v>
      </c>
      <c r="AB453" t="str">
        <f>HYPERLINK("Melting_Curves/meltCurve_F5GXY5_SASS6.pdf", "Melting_Curves/meltCurve_F5GXY5_SASS6.pdf")</f>
        <v>Melting_Curves/meltCurve_F5GXY5_SASS6.pdf</v>
      </c>
    </row>
    <row r="454" spans="1:28" x14ac:dyDescent="0.25">
      <c r="A454" t="s">
        <v>458</v>
      </c>
      <c r="B454">
        <v>0.99352677808782597</v>
      </c>
      <c r="C454">
        <v>0.93818140829323704</v>
      </c>
      <c r="D454">
        <v>0.97060957831959704</v>
      </c>
      <c r="E454">
        <v>0.78615316163864002</v>
      </c>
      <c r="F454">
        <v>0.69119740843889899</v>
      </c>
      <c r="G454">
        <v>0.67533280693453701</v>
      </c>
      <c r="H454">
        <v>0.50441570853249096</v>
      </c>
      <c r="I454">
        <v>0.57482516466907096</v>
      </c>
      <c r="J454">
        <v>0.50366056750962096</v>
      </c>
      <c r="K454">
        <v>0.42350783002118197</v>
      </c>
      <c r="L454">
        <v>540.39466383347803</v>
      </c>
      <c r="M454">
        <v>10.039307302199401</v>
      </c>
      <c r="N454">
        <v>65.381503500863801</v>
      </c>
      <c r="O454">
        <v>51.822942973837698</v>
      </c>
      <c r="P454">
        <v>-2.83369660470786E-2</v>
      </c>
      <c r="Q454">
        <v>0.41517810071106398</v>
      </c>
      <c r="R454">
        <v>0.956626085168919</v>
      </c>
      <c r="S454" t="s">
        <v>6739</v>
      </c>
      <c r="T454" t="s">
        <v>12568</v>
      </c>
      <c r="U454" t="s">
        <v>12568</v>
      </c>
      <c r="V454" t="s">
        <v>12568</v>
      </c>
      <c r="W454" t="s">
        <v>13015</v>
      </c>
      <c r="X454">
        <v>1</v>
      </c>
      <c r="Y454" t="s">
        <v>19246</v>
      </c>
      <c r="Z454" t="s">
        <v>25324</v>
      </c>
      <c r="AA454">
        <v>0.70277175191522445</v>
      </c>
      <c r="AB454" t="str">
        <f>HYPERLINK("Melting_Curves/meltCurve_F5GY03_SPARC.pdf", "Melting_Curves/meltCurve_F5GY03_SPARC.pdf")</f>
        <v>Melting_Curves/meltCurve_F5GY03_SPARC.pdf</v>
      </c>
    </row>
    <row r="455" spans="1:28" x14ac:dyDescent="0.25">
      <c r="A455" t="s">
        <v>459</v>
      </c>
      <c r="B455">
        <v>0.99352677808782597</v>
      </c>
      <c r="C455">
        <v>0.93752843670137198</v>
      </c>
      <c r="D455">
        <v>0.88322534754836501</v>
      </c>
      <c r="E455">
        <v>0.53826689297681296</v>
      </c>
      <c r="F455">
        <v>0.43293619191554</v>
      </c>
      <c r="G455">
        <v>0.365324536016984</v>
      </c>
      <c r="H455">
        <v>0.28725516350432301</v>
      </c>
      <c r="I455">
        <v>0.28674844533430599</v>
      </c>
      <c r="J455">
        <v>0.278693812325016</v>
      </c>
      <c r="K455">
        <v>0.213549512578423</v>
      </c>
      <c r="L455">
        <v>895.73899928390904</v>
      </c>
      <c r="M455">
        <v>18.181151480437801</v>
      </c>
      <c r="N455">
        <v>51.385363355277399</v>
      </c>
      <c r="O455">
        <v>48.683023319254097</v>
      </c>
      <c r="P455">
        <v>-6.8751048944019399E-2</v>
      </c>
      <c r="Q455">
        <v>0.26366596753257399</v>
      </c>
      <c r="R455">
        <v>0.98886816953385903</v>
      </c>
      <c r="S455" t="s">
        <v>6740</v>
      </c>
      <c r="T455" t="s">
        <v>12568</v>
      </c>
      <c r="U455" t="s">
        <v>12568</v>
      </c>
      <c r="V455" t="s">
        <v>12568</v>
      </c>
      <c r="W455" t="s">
        <v>13016</v>
      </c>
      <c r="X455">
        <v>7</v>
      </c>
      <c r="Y455" t="s">
        <v>19247</v>
      </c>
      <c r="Z455" t="s">
        <v>25325</v>
      </c>
      <c r="AA455">
        <v>0.50357589924563961</v>
      </c>
      <c r="AB455" t="str">
        <f>HYPERLINK("Melting_Curves/meltCurve_F5GYE8_CEP112.pdf", "Melting_Curves/meltCurve_F5GYE8_CEP112.pdf")</f>
        <v>Melting_Curves/meltCurve_F5GYE8_CEP112.pdf</v>
      </c>
    </row>
    <row r="456" spans="1:28" x14ac:dyDescent="0.25">
      <c r="A456" t="s">
        <v>460</v>
      </c>
      <c r="B456">
        <v>0.99352677808782597</v>
      </c>
      <c r="C456">
        <v>0.96870302569545996</v>
      </c>
      <c r="D456">
        <v>0.98075939423588199</v>
      </c>
      <c r="E456">
        <v>0.83922707644907302</v>
      </c>
      <c r="F456">
        <v>0.70719792139414095</v>
      </c>
      <c r="G456">
        <v>0.66486629523127505</v>
      </c>
      <c r="H456">
        <v>0.563632144692788</v>
      </c>
      <c r="I456">
        <v>0.48281927612404002</v>
      </c>
      <c r="J456">
        <v>0.53818875355353502</v>
      </c>
      <c r="K456">
        <v>0.44817768611582798</v>
      </c>
      <c r="L456">
        <v>668.44319311872096</v>
      </c>
      <c r="M456">
        <v>12.4398191142658</v>
      </c>
      <c r="N456">
        <v>65.922133183083801</v>
      </c>
      <c r="O456">
        <v>52.402236943385198</v>
      </c>
      <c r="P456">
        <v>-3.2656002925293401E-2</v>
      </c>
      <c r="Q456">
        <v>0.44986695631644402</v>
      </c>
      <c r="R456">
        <v>0.97835744976540295</v>
      </c>
      <c r="S456" t="s">
        <v>6741</v>
      </c>
      <c r="T456" t="s">
        <v>12568</v>
      </c>
      <c r="U456" t="s">
        <v>12568</v>
      </c>
      <c r="V456" t="s">
        <v>12568</v>
      </c>
      <c r="W456" t="s">
        <v>12866</v>
      </c>
      <c r="X456">
        <v>3</v>
      </c>
      <c r="Z456" t="s">
        <v>25326</v>
      </c>
      <c r="AA456">
        <v>0.7159259333069129</v>
      </c>
      <c r="AB456" t="str">
        <f>HYPERLINK("Melting_Curves/meltCurve_F5GYJ5_.pdf", "Melting_Curves/meltCurve_F5GYJ5_.pdf")</f>
        <v>Melting_Curves/meltCurve_F5GYJ5_.pdf</v>
      </c>
    </row>
    <row r="457" spans="1:28" x14ac:dyDescent="0.25">
      <c r="A457" t="s">
        <v>461</v>
      </c>
      <c r="B457">
        <v>0.99352677808782597</v>
      </c>
      <c r="C457">
        <v>0.95281529739388504</v>
      </c>
      <c r="D457">
        <v>0.95257080319256304</v>
      </c>
      <c r="E457">
        <v>0.69259741307380496</v>
      </c>
      <c r="F457">
        <v>0.59334647374195904</v>
      </c>
      <c r="G457">
        <v>0.44543691817897701</v>
      </c>
      <c r="H457">
        <v>0.29081715283605702</v>
      </c>
      <c r="I457">
        <v>0.22637487978253701</v>
      </c>
      <c r="J457">
        <v>0.130395320262954</v>
      </c>
      <c r="K457">
        <v>9.0373044630110894E-2</v>
      </c>
      <c r="L457">
        <v>561.63892081468305</v>
      </c>
      <c r="M457">
        <v>10.149928757091899</v>
      </c>
      <c r="N457">
        <v>55.334272210135701</v>
      </c>
      <c r="O457">
        <v>53.315236843402502</v>
      </c>
      <c r="P457">
        <v>-4.7615807939016902E-2</v>
      </c>
      <c r="Q457">
        <v>0</v>
      </c>
      <c r="R457">
        <v>0.99162269769762801</v>
      </c>
      <c r="S457" t="s">
        <v>6742</v>
      </c>
      <c r="T457" t="s">
        <v>12568</v>
      </c>
      <c r="U457" t="s">
        <v>12568</v>
      </c>
      <c r="V457" t="s">
        <v>12568</v>
      </c>
      <c r="W457" t="s">
        <v>13017</v>
      </c>
      <c r="X457">
        <v>3</v>
      </c>
      <c r="Y457" t="s">
        <v>19248</v>
      </c>
      <c r="Z457" t="s">
        <v>25327</v>
      </c>
      <c r="AA457">
        <v>0.53536816306291857</v>
      </c>
      <c r="AB457" t="str">
        <f>HYPERLINK("Melting_Curves/meltCurve_F5GYK4_TK2.pdf", "Melting_Curves/meltCurve_F5GYK4_TK2.pdf")</f>
        <v>Melting_Curves/meltCurve_F5GYK4_TK2.pdf</v>
      </c>
    </row>
    <row r="458" spans="1:28" x14ac:dyDescent="0.25">
      <c r="A458" t="s">
        <v>462</v>
      </c>
      <c r="B458">
        <v>0.99352677808782597</v>
      </c>
      <c r="C458">
        <v>0.92537447603683498</v>
      </c>
      <c r="D458">
        <v>1.0281106129411499</v>
      </c>
      <c r="E458">
        <v>0.99127711913905503</v>
      </c>
      <c r="F458">
        <v>0.86800194424205201</v>
      </c>
      <c r="G458">
        <v>0.77965524527368701</v>
      </c>
      <c r="H458">
        <v>0.69697308321989104</v>
      </c>
      <c r="I458">
        <v>0.63147816940496904</v>
      </c>
      <c r="J458">
        <v>0.68237584829973896</v>
      </c>
      <c r="K458">
        <v>0.48791066572388497</v>
      </c>
      <c r="L458">
        <v>617.54029178549297</v>
      </c>
      <c r="M458">
        <v>10.207324210246099</v>
      </c>
      <c r="O458">
        <v>58.315523448767998</v>
      </c>
      <c r="P458">
        <v>-2.46547947628908E-2</v>
      </c>
      <c r="Q458">
        <v>0.43683160645383601</v>
      </c>
      <c r="R458">
        <v>0.92154804109656596</v>
      </c>
      <c r="S458" t="s">
        <v>6743</v>
      </c>
      <c r="T458" t="s">
        <v>12568</v>
      </c>
      <c r="U458" t="s">
        <v>12568</v>
      </c>
      <c r="V458" t="s">
        <v>12568</v>
      </c>
      <c r="W458" t="s">
        <v>13018</v>
      </c>
      <c r="X458">
        <v>20</v>
      </c>
      <c r="Y458" t="s">
        <v>19249</v>
      </c>
      <c r="Z458" t="s">
        <v>25328</v>
      </c>
      <c r="AA458">
        <v>0.81770630248652632</v>
      </c>
      <c r="AB458" t="str">
        <f>HYPERLINK("Melting_Curves/meltCurve_F5GZ78_PXN.pdf", "Melting_Curves/meltCurve_F5GZ78_PXN.pdf")</f>
        <v>Melting_Curves/meltCurve_F5GZ78_PXN.pdf</v>
      </c>
    </row>
    <row r="459" spans="1:28" x14ac:dyDescent="0.25">
      <c r="A459" t="s">
        <v>463</v>
      </c>
      <c r="B459">
        <v>0.99352677808782597</v>
      </c>
      <c r="C459">
        <v>0.91556200661692799</v>
      </c>
      <c r="D459">
        <v>0.91133802229486505</v>
      </c>
      <c r="E459">
        <v>0.65227318375861598</v>
      </c>
      <c r="F459">
        <v>0.61257143308936801</v>
      </c>
      <c r="G459">
        <v>0.47870657200962002</v>
      </c>
      <c r="H459">
        <v>0.37403906826175498</v>
      </c>
      <c r="I459">
        <v>0.39383388598730101</v>
      </c>
      <c r="J459">
        <v>0.38196579118429402</v>
      </c>
      <c r="K459">
        <v>0.32992307979253899</v>
      </c>
      <c r="L459">
        <v>652.97234960334094</v>
      </c>
      <c r="M459">
        <v>12.825254871740899</v>
      </c>
      <c r="N459">
        <v>55.640077112721798</v>
      </c>
      <c r="O459">
        <v>49.722853288280199</v>
      </c>
      <c r="P459">
        <v>-4.3094341206233601E-2</v>
      </c>
      <c r="Q459">
        <v>0.33182619870151397</v>
      </c>
      <c r="R459">
        <v>0.98461292289709801</v>
      </c>
      <c r="S459" t="s">
        <v>6744</v>
      </c>
      <c r="T459" t="s">
        <v>12568</v>
      </c>
      <c r="U459" t="s">
        <v>12568</v>
      </c>
      <c r="V459" t="s">
        <v>12568</v>
      </c>
      <c r="W459" t="s">
        <v>13019</v>
      </c>
      <c r="X459">
        <v>3</v>
      </c>
      <c r="Y459" t="s">
        <v>19250</v>
      </c>
      <c r="Z459" t="s">
        <v>25329</v>
      </c>
      <c r="AA459">
        <v>0.59474291458921746</v>
      </c>
      <c r="AB459" t="str">
        <f>HYPERLINK("Melting_Curves/meltCurve_F5GZ90_DTL.pdf", "Melting_Curves/meltCurve_F5GZ90_DTL.pdf")</f>
        <v>Melting_Curves/meltCurve_F5GZ90_DTL.pdf</v>
      </c>
    </row>
    <row r="460" spans="1:28" x14ac:dyDescent="0.25">
      <c r="A460" t="s">
        <v>464</v>
      </c>
      <c r="B460">
        <v>0.99352677808782597</v>
      </c>
      <c r="C460">
        <v>1.0512162786866499</v>
      </c>
      <c r="D460">
        <v>1.01339755362578</v>
      </c>
      <c r="E460">
        <v>0.88862387259395703</v>
      </c>
      <c r="F460">
        <v>0.85762069698295695</v>
      </c>
      <c r="G460">
        <v>0.65751510818899095</v>
      </c>
      <c r="H460">
        <v>0.60102186393136903</v>
      </c>
      <c r="I460">
        <v>0.596412205983887</v>
      </c>
      <c r="J460">
        <v>0.58033241150023196</v>
      </c>
      <c r="K460">
        <v>0.417632247115028</v>
      </c>
      <c r="L460">
        <v>762.17209247588596</v>
      </c>
      <c r="M460">
        <v>13.587974513728501</v>
      </c>
      <c r="N460">
        <v>69.864482650312993</v>
      </c>
      <c r="O460">
        <v>54.918590239544301</v>
      </c>
      <c r="P460">
        <v>-3.3055736449930401E-2</v>
      </c>
      <c r="Q460">
        <v>0.46567325001695897</v>
      </c>
      <c r="R460">
        <v>0.95203127574718305</v>
      </c>
      <c r="S460" t="s">
        <v>6745</v>
      </c>
      <c r="T460" t="s">
        <v>12568</v>
      </c>
      <c r="U460" t="s">
        <v>12568</v>
      </c>
      <c r="V460" t="s">
        <v>12568</v>
      </c>
      <c r="W460" t="s">
        <v>13020</v>
      </c>
      <c r="X460">
        <v>4</v>
      </c>
      <c r="Y460" t="s">
        <v>19251</v>
      </c>
      <c r="Z460" t="s">
        <v>25330</v>
      </c>
      <c r="AA460">
        <v>0.7623739598826591</v>
      </c>
      <c r="AB460" t="str">
        <f>HYPERLINK("Melting_Curves/meltCurve_F5GZY0_APLP2.pdf", "Melting_Curves/meltCurve_F5GZY0_APLP2.pdf")</f>
        <v>Melting_Curves/meltCurve_F5GZY0_APLP2.pdf</v>
      </c>
    </row>
    <row r="461" spans="1:28" x14ac:dyDescent="0.25">
      <c r="A461" t="s">
        <v>465</v>
      </c>
      <c r="B461">
        <v>0.99352677808782597</v>
      </c>
      <c r="C461">
        <v>0.91179358706142499</v>
      </c>
      <c r="D461">
        <v>0.76354301930298696</v>
      </c>
      <c r="E461">
        <v>0.213452174024582</v>
      </c>
      <c r="F461">
        <v>0.16335549264955701</v>
      </c>
      <c r="G461">
        <v>9.9271844177075005E-2</v>
      </c>
      <c r="H461">
        <v>7.9540456964236894E-2</v>
      </c>
      <c r="I461">
        <v>8.0601279775264406E-2</v>
      </c>
      <c r="J461">
        <v>6.0802489896811897E-2</v>
      </c>
      <c r="K461">
        <v>4.5620035249622902E-2</v>
      </c>
      <c r="L461">
        <v>1372.12877159598</v>
      </c>
      <c r="M461">
        <v>28.9040144831148</v>
      </c>
      <c r="N461">
        <v>47.740599035573297</v>
      </c>
      <c r="O461">
        <v>47.246417680194199</v>
      </c>
      <c r="P461">
        <v>-0.141463542324096</v>
      </c>
      <c r="Q461">
        <v>7.5063425530313796E-2</v>
      </c>
      <c r="R461">
        <v>0.99427607367276405</v>
      </c>
      <c r="S461" t="s">
        <v>6746</v>
      </c>
      <c r="T461" t="s">
        <v>12568</v>
      </c>
      <c r="U461" t="s">
        <v>12568</v>
      </c>
      <c r="V461" t="s">
        <v>12568</v>
      </c>
      <c r="W461" t="s">
        <v>13021</v>
      </c>
      <c r="X461">
        <v>7</v>
      </c>
      <c r="Y461" t="s">
        <v>19252</v>
      </c>
      <c r="Z461" t="s">
        <v>25331</v>
      </c>
      <c r="AA461">
        <v>0.31143637003453251</v>
      </c>
      <c r="AB461" t="str">
        <f>HYPERLINK("Melting_Curves/meltCurve_F5H012_TRIM21.pdf", "Melting_Curves/meltCurve_F5H012_TRIM21.pdf")</f>
        <v>Melting_Curves/meltCurve_F5H012_TRIM21.pdf</v>
      </c>
    </row>
    <row r="462" spans="1:28" x14ac:dyDescent="0.25">
      <c r="A462" t="s">
        <v>466</v>
      </c>
      <c r="B462">
        <v>0.99352677808782597</v>
      </c>
      <c r="C462">
        <v>1.00195016431376</v>
      </c>
      <c r="D462">
        <v>1.0343356692522101</v>
      </c>
      <c r="E462">
        <v>1.0097335568272501</v>
      </c>
      <c r="F462">
        <v>0.93235559896039999</v>
      </c>
      <c r="G462">
        <v>0.859359106801453</v>
      </c>
      <c r="H462">
        <v>0.73875426378453002</v>
      </c>
      <c r="I462">
        <v>0.75512468137326605</v>
      </c>
      <c r="J462">
        <v>0.97642238783081903</v>
      </c>
      <c r="K462">
        <v>0.71900438569570402</v>
      </c>
      <c r="L462">
        <v>1917.98771710914</v>
      </c>
      <c r="M462">
        <v>35.196677327979998</v>
      </c>
      <c r="O462">
        <v>54.318417584594698</v>
      </c>
      <c r="P462">
        <v>-3.2330537349499401E-2</v>
      </c>
      <c r="Q462">
        <v>0.800420072745199</v>
      </c>
      <c r="R462">
        <v>0.66263579899601399</v>
      </c>
      <c r="S462" t="s">
        <v>6747</v>
      </c>
      <c r="T462" t="s">
        <v>12568</v>
      </c>
      <c r="U462" t="s">
        <v>12568</v>
      </c>
      <c r="V462" t="s">
        <v>12568</v>
      </c>
      <c r="W462" t="s">
        <v>13022</v>
      </c>
      <c r="X462">
        <v>12</v>
      </c>
      <c r="Y462" t="s">
        <v>19253</v>
      </c>
      <c r="Z462" t="s">
        <v>25332</v>
      </c>
      <c r="AA462">
        <v>0.89780623551517869</v>
      </c>
      <c r="AB462" t="str">
        <f>HYPERLINK("Melting_Curves/meltCurve_F5H0B0_TPD52.pdf", "Melting_Curves/meltCurve_F5H0B0_TPD52.pdf")</f>
        <v>Melting_Curves/meltCurve_F5H0B0_TPD52.pdf</v>
      </c>
    </row>
    <row r="463" spans="1:28" x14ac:dyDescent="0.25">
      <c r="A463" t="s">
        <v>467</v>
      </c>
      <c r="B463">
        <v>0.99352677808782597</v>
      </c>
      <c r="C463">
        <v>0.97553867131883398</v>
      </c>
      <c r="D463">
        <v>0.77931443482825402</v>
      </c>
      <c r="E463">
        <v>0.64882764882257105</v>
      </c>
      <c r="F463">
        <v>0.65694465128610802</v>
      </c>
      <c r="G463">
        <v>0.44403940474754999</v>
      </c>
      <c r="H463">
        <v>0.464111368307568</v>
      </c>
      <c r="I463">
        <v>0.52753418769485805</v>
      </c>
      <c r="J463">
        <v>0.69313844552779902</v>
      </c>
      <c r="K463">
        <v>0.61145551030885903</v>
      </c>
      <c r="L463">
        <v>1070.87000795927</v>
      </c>
      <c r="M463">
        <v>23.020692890435399</v>
      </c>
      <c r="O463">
        <v>46.170952684287897</v>
      </c>
      <c r="P463">
        <v>-5.4759376031802601E-2</v>
      </c>
      <c r="Q463">
        <v>0.56070031965116796</v>
      </c>
      <c r="R463">
        <v>0.83787394697223705</v>
      </c>
      <c r="S463" t="s">
        <v>6748</v>
      </c>
      <c r="T463" t="s">
        <v>12568</v>
      </c>
      <c r="U463" t="s">
        <v>12568</v>
      </c>
      <c r="V463" t="s">
        <v>12568</v>
      </c>
      <c r="W463" t="s">
        <v>13023</v>
      </c>
      <c r="X463">
        <v>11</v>
      </c>
      <c r="Y463" t="s">
        <v>19254</v>
      </c>
      <c r="Z463" t="s">
        <v>25333</v>
      </c>
      <c r="AA463">
        <v>0.66092655708723735</v>
      </c>
      <c r="AB463" t="str">
        <f>HYPERLINK("Melting_Curves/meltCurve_F5H0C4_PAAF1.pdf", "Melting_Curves/meltCurve_F5H0C4_PAAF1.pdf")</f>
        <v>Melting_Curves/meltCurve_F5H0C4_PAAF1.pdf</v>
      </c>
    </row>
    <row r="464" spans="1:28" x14ac:dyDescent="0.25">
      <c r="A464" t="s">
        <v>468</v>
      </c>
      <c r="B464">
        <v>0.99352677808782597</v>
      </c>
      <c r="C464">
        <v>0.93365261529111099</v>
      </c>
      <c r="D464">
        <v>0.86862324238320698</v>
      </c>
      <c r="E464">
        <v>1.30426726271591</v>
      </c>
      <c r="F464">
        <v>1.0875369280746101</v>
      </c>
      <c r="G464">
        <v>0.42434741853611502</v>
      </c>
      <c r="H464">
        <v>0.235491051034836</v>
      </c>
      <c r="I464">
        <v>0.15665864078202699</v>
      </c>
      <c r="J464">
        <v>6.0339817182157397E-2</v>
      </c>
      <c r="K464">
        <v>8.4478168833566403E-2</v>
      </c>
      <c r="L464">
        <v>7866.9333114884303</v>
      </c>
      <c r="M464">
        <v>138.70129633963299</v>
      </c>
      <c r="N464">
        <v>56.846633101490902</v>
      </c>
      <c r="O464">
        <v>56.706717048847601</v>
      </c>
      <c r="P464">
        <v>-0.52941128023515605</v>
      </c>
      <c r="Q464">
        <v>0.134220442396008</v>
      </c>
      <c r="R464">
        <v>0.92922507265472798</v>
      </c>
      <c r="S464" t="s">
        <v>6749</v>
      </c>
      <c r="T464" t="s">
        <v>12568</v>
      </c>
      <c r="U464" t="s">
        <v>12568</v>
      </c>
      <c r="V464" t="s">
        <v>12568</v>
      </c>
      <c r="W464" t="s">
        <v>13024</v>
      </c>
      <c r="X464">
        <v>4</v>
      </c>
      <c r="Y464" t="s">
        <v>19255</v>
      </c>
      <c r="Z464" t="s">
        <v>25334</v>
      </c>
      <c r="AA464">
        <v>0.61698587599600352</v>
      </c>
      <c r="AB464" t="str">
        <f>HYPERLINK("Melting_Curves/meltCurve_F5H0F9_ANAPC5.pdf", "Melting_Curves/meltCurve_F5H0F9_ANAPC5.pdf")</f>
        <v>Melting_Curves/meltCurve_F5H0F9_ANAPC5.pdf</v>
      </c>
    </row>
    <row r="465" spans="1:28" x14ac:dyDescent="0.25">
      <c r="A465" t="s">
        <v>469</v>
      </c>
      <c r="B465">
        <v>0.99352677808782597</v>
      </c>
      <c r="C465">
        <v>0.69036294909923501</v>
      </c>
      <c r="D465">
        <v>0.80593362597977503</v>
      </c>
      <c r="E465">
        <v>0.50853869109420402</v>
      </c>
      <c r="F465">
        <v>0.49078983617794097</v>
      </c>
      <c r="G465">
        <v>0.27802037726802897</v>
      </c>
      <c r="H465">
        <v>0.23781262948241499</v>
      </c>
      <c r="I465">
        <v>0.27541164204160201</v>
      </c>
      <c r="J465">
        <v>0.24724060058063899</v>
      </c>
      <c r="K465">
        <v>0.26497836970006999</v>
      </c>
      <c r="L465">
        <v>511.17567452716798</v>
      </c>
      <c r="M465">
        <v>10.551275958521799</v>
      </c>
      <c r="N465">
        <v>50.940127855341203</v>
      </c>
      <c r="O465">
        <v>46.803682709263597</v>
      </c>
      <c r="P465">
        <v>-4.5010483294516797E-2</v>
      </c>
      <c r="Q465">
        <v>0.20168043264944799</v>
      </c>
      <c r="R465">
        <v>0.92805569936180798</v>
      </c>
      <c r="S465" t="s">
        <v>6750</v>
      </c>
      <c r="T465" t="s">
        <v>12568</v>
      </c>
      <c r="U465" t="s">
        <v>12568</v>
      </c>
      <c r="V465" t="s">
        <v>12568</v>
      </c>
      <c r="W465" t="s">
        <v>13025</v>
      </c>
      <c r="X465">
        <v>1</v>
      </c>
      <c r="Y465" t="s">
        <v>19256</v>
      </c>
      <c r="Z465" t="s">
        <v>25335</v>
      </c>
      <c r="AA465">
        <v>0.46401228916182569</v>
      </c>
      <c r="AB465" t="str">
        <f>HYPERLINK("Melting_Curves/meltCurve_F5H0I7_TDG.pdf", "Melting_Curves/meltCurve_F5H0I7_TDG.pdf")</f>
        <v>Melting_Curves/meltCurve_F5H0I7_TDG.pdf</v>
      </c>
    </row>
    <row r="466" spans="1:28" x14ac:dyDescent="0.25">
      <c r="A466" t="s">
        <v>470</v>
      </c>
      <c r="B466">
        <v>0.99352677808782597</v>
      </c>
      <c r="C466">
        <v>0.92933890206861303</v>
      </c>
      <c r="D466">
        <v>0.96330950882893096</v>
      </c>
      <c r="E466">
        <v>0.60315463217070697</v>
      </c>
      <c r="F466">
        <v>0.57901783856926103</v>
      </c>
      <c r="G466">
        <v>0.28449996699472502</v>
      </c>
      <c r="H466">
        <v>0.156220688988675</v>
      </c>
      <c r="I466">
        <v>0.155090064184955</v>
      </c>
      <c r="J466">
        <v>0.12522210509072701</v>
      </c>
      <c r="K466">
        <v>0.10784312887599901</v>
      </c>
      <c r="L466">
        <v>759.56500790491896</v>
      </c>
      <c r="M466">
        <v>14.4944585957457</v>
      </c>
      <c r="N466">
        <v>53.052651993733001</v>
      </c>
      <c r="O466">
        <v>51.436624631510298</v>
      </c>
      <c r="P466">
        <v>-6.4733704307846807E-2</v>
      </c>
      <c r="Q466">
        <v>8.1221691109225294E-2</v>
      </c>
      <c r="R466">
        <v>0.98243013340813801</v>
      </c>
      <c r="S466" t="s">
        <v>6751</v>
      </c>
      <c r="T466" t="s">
        <v>12568</v>
      </c>
      <c r="U466" t="s">
        <v>12568</v>
      </c>
      <c r="V466" t="s">
        <v>12568</v>
      </c>
      <c r="W466" t="s">
        <v>13026</v>
      </c>
      <c r="X466">
        <v>6</v>
      </c>
      <c r="Y466" t="s">
        <v>19257</v>
      </c>
      <c r="Z466" t="s">
        <v>25336</v>
      </c>
      <c r="AA466">
        <v>0.48237989843136869</v>
      </c>
      <c r="AB466" t="str">
        <f>HYPERLINK("Melting_Curves/meltCurve_F5H0K8_KSR1.pdf", "Melting_Curves/meltCurve_F5H0K8_KSR1.pdf")</f>
        <v>Melting_Curves/meltCurve_F5H0K8_KSR1.pdf</v>
      </c>
    </row>
    <row r="467" spans="1:28" x14ac:dyDescent="0.25">
      <c r="A467" t="s">
        <v>471</v>
      </c>
      <c r="B467">
        <v>0.99352677808782597</v>
      </c>
      <c r="C467">
        <v>0.99166372877268705</v>
      </c>
      <c r="D467">
        <v>0.904519378009919</v>
      </c>
      <c r="E467">
        <v>0.42976174416454099</v>
      </c>
      <c r="F467">
        <v>0.34758780107010701</v>
      </c>
      <c r="G467">
        <v>0.21663596078785999</v>
      </c>
      <c r="H467">
        <v>0.14804845291444199</v>
      </c>
      <c r="I467">
        <v>0.13587241339376099</v>
      </c>
      <c r="J467">
        <v>0.11401994301894</v>
      </c>
      <c r="K467">
        <v>9.0004909576036907E-2</v>
      </c>
      <c r="L467">
        <v>1082.3395872808901</v>
      </c>
      <c r="M467">
        <v>21.923408085262398</v>
      </c>
      <c r="N467">
        <v>50.056888173631201</v>
      </c>
      <c r="O467">
        <v>48.963855457332301</v>
      </c>
      <c r="P467">
        <v>-9.7382589299356406E-2</v>
      </c>
      <c r="Q467">
        <v>0.13004019705772299</v>
      </c>
      <c r="R467">
        <v>0.98753174463829696</v>
      </c>
      <c r="S467" t="s">
        <v>6752</v>
      </c>
      <c r="T467" t="s">
        <v>12568</v>
      </c>
      <c r="U467" t="s">
        <v>12568</v>
      </c>
      <c r="V467" t="s">
        <v>12568</v>
      </c>
      <c r="W467" t="s">
        <v>13027</v>
      </c>
      <c r="X467">
        <v>26</v>
      </c>
      <c r="Y467" t="s">
        <v>19258</v>
      </c>
      <c r="Z467" t="s">
        <v>25337</v>
      </c>
      <c r="AA467">
        <v>0.41183052606788939</v>
      </c>
      <c r="AB467" t="str">
        <f>HYPERLINK("Melting_Curves/meltCurve_F5H0L8_SEC23IP.pdf", "Melting_Curves/meltCurve_F5H0L8_SEC23IP.pdf")</f>
        <v>Melting_Curves/meltCurve_F5H0L8_SEC23IP.pdf</v>
      </c>
    </row>
    <row r="468" spans="1:28" x14ac:dyDescent="0.25">
      <c r="A468" t="s">
        <v>472</v>
      </c>
      <c r="B468">
        <v>0.99352677808782597</v>
      </c>
      <c r="C468">
        <v>0.95762044818175895</v>
      </c>
      <c r="D468">
        <v>0.90406972189294499</v>
      </c>
      <c r="E468">
        <v>0.92735077217901696</v>
      </c>
      <c r="F468">
        <v>0.83293562062642601</v>
      </c>
      <c r="G468">
        <v>0.79664300310637304</v>
      </c>
      <c r="H468">
        <v>0.64823621609834903</v>
      </c>
      <c r="I468">
        <v>0.523498080345289</v>
      </c>
      <c r="J468">
        <v>0.63596465377945099</v>
      </c>
      <c r="K468">
        <v>0.55325440240107904</v>
      </c>
      <c r="L468">
        <v>538.77813452612997</v>
      </c>
      <c r="M468">
        <v>9.3182390623173497</v>
      </c>
      <c r="O468">
        <v>55.344117825042098</v>
      </c>
      <c r="P468">
        <v>-2.2843957918432502E-2</v>
      </c>
      <c r="Q468">
        <v>0.45763383014859599</v>
      </c>
      <c r="R468">
        <v>0.93181722112938303</v>
      </c>
      <c r="S468" t="s">
        <v>6753</v>
      </c>
      <c r="T468" t="s">
        <v>12568</v>
      </c>
      <c r="U468" t="s">
        <v>12568</v>
      </c>
      <c r="V468" t="s">
        <v>12568</v>
      </c>
      <c r="W468" t="s">
        <v>13028</v>
      </c>
      <c r="X468">
        <v>5</v>
      </c>
      <c r="Y468" t="s">
        <v>19259</v>
      </c>
      <c r="Z468" t="s">
        <v>25338</v>
      </c>
      <c r="AA468">
        <v>0.78494646895119025</v>
      </c>
      <c r="AB468" t="str">
        <f>HYPERLINK("Melting_Curves/meltCurve_F5H0Q6_CLASRP.pdf", "Melting_Curves/meltCurve_F5H0Q6_CLASRP.pdf")</f>
        <v>Melting_Curves/meltCurve_F5H0Q6_CLASRP.pdf</v>
      </c>
    </row>
    <row r="469" spans="1:28" x14ac:dyDescent="0.25">
      <c r="A469" t="s">
        <v>473</v>
      </c>
      <c r="B469">
        <v>0.99352677808782597</v>
      </c>
      <c r="C469">
        <v>0.95967796866705501</v>
      </c>
      <c r="D469">
        <v>0.94363160337781304</v>
      </c>
      <c r="E469">
        <v>0.81588280490464604</v>
      </c>
      <c r="F469">
        <v>0.69910888695741902</v>
      </c>
      <c r="G469">
        <v>0.55571742246023803</v>
      </c>
      <c r="H469">
        <v>0.49743297955225502</v>
      </c>
      <c r="I469">
        <v>0.42830818897023198</v>
      </c>
      <c r="J469">
        <v>0.50359695300478702</v>
      </c>
      <c r="K469">
        <v>0.37576416987998901</v>
      </c>
      <c r="L469">
        <v>721.60851259154299</v>
      </c>
      <c r="M469">
        <v>13.629333348951899</v>
      </c>
      <c r="N469">
        <v>60.123399783752497</v>
      </c>
      <c r="O469">
        <v>51.844463632480704</v>
      </c>
      <c r="P469">
        <v>-3.9323351236445099E-2</v>
      </c>
      <c r="Q469">
        <v>0.40176134394558499</v>
      </c>
      <c r="R469">
        <v>0.98343498993784695</v>
      </c>
      <c r="S469" t="s">
        <v>6754</v>
      </c>
      <c r="T469" t="s">
        <v>12568</v>
      </c>
      <c r="U469" t="s">
        <v>12568</v>
      </c>
      <c r="V469" t="s">
        <v>12568</v>
      </c>
      <c r="W469" t="s">
        <v>13029</v>
      </c>
      <c r="X469">
        <v>1</v>
      </c>
      <c r="Y469" t="s">
        <v>19260</v>
      </c>
      <c r="Z469" t="s">
        <v>25339</v>
      </c>
      <c r="AA469">
        <v>0.6745793785783013</v>
      </c>
      <c r="AB469" t="str">
        <f>HYPERLINK("Melting_Curves/meltCurve_F5H105_ZNF384.pdf", "Melting_Curves/meltCurve_F5H105_ZNF384.pdf")</f>
        <v>Melting_Curves/meltCurve_F5H105_ZNF384.pdf</v>
      </c>
    </row>
    <row r="470" spans="1:28" x14ac:dyDescent="0.25">
      <c r="A470" t="s">
        <v>474</v>
      </c>
      <c r="B470">
        <v>0.99352677808782597</v>
      </c>
      <c r="C470">
        <v>0.93854321995618595</v>
      </c>
      <c r="D470">
        <v>0.89335202817033998</v>
      </c>
      <c r="E470">
        <v>0.46616994415226398</v>
      </c>
      <c r="F470">
        <v>0.42562493524580097</v>
      </c>
      <c r="G470">
        <v>0.31769487371794303</v>
      </c>
      <c r="H470">
        <v>0.28660589543862403</v>
      </c>
      <c r="I470">
        <v>0.31950123384089002</v>
      </c>
      <c r="J470">
        <v>0.26728083336358599</v>
      </c>
      <c r="K470">
        <v>0.24987700761823001</v>
      </c>
      <c r="L470">
        <v>1198.5863340373901</v>
      </c>
      <c r="M470">
        <v>24.709615643084401</v>
      </c>
      <c r="N470">
        <v>50.2527067462077</v>
      </c>
      <c r="O470">
        <v>48.192530641890201</v>
      </c>
      <c r="P470">
        <v>-9.1255469954268004E-2</v>
      </c>
      <c r="Q470">
        <v>0.28808778231836601</v>
      </c>
      <c r="R470">
        <v>0.98530504062538904</v>
      </c>
      <c r="S470" t="s">
        <v>6755</v>
      </c>
      <c r="T470" t="s">
        <v>12568</v>
      </c>
      <c r="U470" t="s">
        <v>12568</v>
      </c>
      <c r="V470" t="s">
        <v>12568</v>
      </c>
      <c r="W470" t="s">
        <v>13030</v>
      </c>
      <c r="X470">
        <v>5</v>
      </c>
      <c r="Y470" t="s">
        <v>19261</v>
      </c>
      <c r="Z470" t="s">
        <v>25340</v>
      </c>
      <c r="AA470">
        <v>0.49640879263581428</v>
      </c>
      <c r="AB470" t="str">
        <f>HYPERLINK("Melting_Curves/meltCurve_F5H148_RRN3.pdf", "Melting_Curves/meltCurve_F5H148_RRN3.pdf")</f>
        <v>Melting_Curves/meltCurve_F5H148_RRN3.pdf</v>
      </c>
    </row>
    <row r="471" spans="1:28" x14ac:dyDescent="0.25">
      <c r="A471" t="s">
        <v>475</v>
      </c>
      <c r="B471">
        <v>0.99352677808782597</v>
      </c>
      <c r="C471">
        <v>0.96978431570568102</v>
      </c>
      <c r="D471">
        <v>1.0023947399103501</v>
      </c>
      <c r="E471">
        <v>0.94713811393504999</v>
      </c>
      <c r="F471">
        <v>0.88403522668317003</v>
      </c>
      <c r="G471">
        <v>0.81516658961367705</v>
      </c>
      <c r="H471">
        <v>0.69811397604276704</v>
      </c>
      <c r="I471">
        <v>0.87977985335194997</v>
      </c>
      <c r="J471">
        <v>0.84259111907239304</v>
      </c>
      <c r="K471">
        <v>0.74539547805020301</v>
      </c>
      <c r="L471">
        <v>1516.09427958335</v>
      </c>
      <c r="M471">
        <v>29.009916169734399</v>
      </c>
      <c r="O471">
        <v>52.014794204347197</v>
      </c>
      <c r="P471">
        <v>-2.8915339188414099E-2</v>
      </c>
      <c r="Q471">
        <v>0.79262066741285397</v>
      </c>
      <c r="R471">
        <v>0.76519602614723703</v>
      </c>
      <c r="S471" t="s">
        <v>6756</v>
      </c>
      <c r="T471" t="s">
        <v>12568</v>
      </c>
      <c r="U471" t="s">
        <v>12568</v>
      </c>
      <c r="V471" t="s">
        <v>12568</v>
      </c>
      <c r="W471" t="s">
        <v>13031</v>
      </c>
      <c r="X471">
        <v>5</v>
      </c>
      <c r="Y471" t="s">
        <v>19262</v>
      </c>
      <c r="Z471" t="s">
        <v>25341</v>
      </c>
      <c r="AA471">
        <v>0.8787997063225419</v>
      </c>
      <c r="AB471" t="str">
        <f>HYPERLINK("Melting_Curves/meltCurve_F5H199_MSRB3.pdf", "Melting_Curves/meltCurve_F5H199_MSRB3.pdf")</f>
        <v>Melting_Curves/meltCurve_F5H199_MSRB3.pdf</v>
      </c>
    </row>
    <row r="472" spans="1:28" x14ac:dyDescent="0.25">
      <c r="A472" t="s">
        <v>476</v>
      </c>
      <c r="B472">
        <v>0.99352677808782597</v>
      </c>
      <c r="C472">
        <v>0.88606727147131203</v>
      </c>
      <c r="D472">
        <v>0.64779484325549597</v>
      </c>
      <c r="E472">
        <v>0.30939478809203103</v>
      </c>
      <c r="F472">
        <v>0.29244920635570398</v>
      </c>
      <c r="G472">
        <v>0.12590778729461599</v>
      </c>
      <c r="H472">
        <v>0.145062317006631</v>
      </c>
      <c r="I472">
        <v>0.12940975823888001</v>
      </c>
      <c r="J472">
        <v>7.4931961521285395E-2</v>
      </c>
      <c r="K472">
        <v>5.4138547012141103E-2</v>
      </c>
      <c r="L472">
        <v>806.45523599486</v>
      </c>
      <c r="M472">
        <v>17.030658444789399</v>
      </c>
      <c r="N472">
        <v>47.939678663632499</v>
      </c>
      <c r="O472">
        <v>46.714703596076603</v>
      </c>
      <c r="P472">
        <v>-8.2575406397346895E-2</v>
      </c>
      <c r="Q472">
        <v>9.4045538347756794E-2</v>
      </c>
      <c r="R472">
        <v>0.98808777893466504</v>
      </c>
      <c r="S472" t="s">
        <v>6757</v>
      </c>
      <c r="T472" t="s">
        <v>12568</v>
      </c>
      <c r="U472" t="s">
        <v>12568</v>
      </c>
      <c r="V472" t="s">
        <v>12568</v>
      </c>
      <c r="W472" t="s">
        <v>13032</v>
      </c>
      <c r="X472">
        <v>10</v>
      </c>
      <c r="Y472" t="s">
        <v>19263</v>
      </c>
      <c r="Z472" t="s">
        <v>25342</v>
      </c>
      <c r="AA472">
        <v>0.33461103917339668</v>
      </c>
      <c r="AB472" t="str">
        <f>HYPERLINK("Melting_Curves/meltCurve_F5H1D6_POLE.pdf", "Melting_Curves/meltCurve_F5H1D6_POLE.pdf")</f>
        <v>Melting_Curves/meltCurve_F5H1D6_POLE.pdf</v>
      </c>
    </row>
    <row r="473" spans="1:28" x14ac:dyDescent="0.25">
      <c r="A473" t="s">
        <v>477</v>
      </c>
      <c r="B473">
        <v>0.99352677808782597</v>
      </c>
      <c r="C473">
        <v>0.99045407463461099</v>
      </c>
      <c r="D473">
        <v>0.92136498556721802</v>
      </c>
      <c r="E473">
        <v>0.82407935585588399</v>
      </c>
      <c r="F473">
        <v>0.68950115353853603</v>
      </c>
      <c r="G473">
        <v>0.57996778475917998</v>
      </c>
      <c r="H473">
        <v>0.73451951126717996</v>
      </c>
      <c r="I473">
        <v>0.85547264174942494</v>
      </c>
      <c r="J473">
        <v>0.91097847200876603</v>
      </c>
      <c r="K473">
        <v>0.58525664813400102</v>
      </c>
      <c r="L473">
        <v>1449.7568330475899</v>
      </c>
      <c r="M473">
        <v>30.3106686961974</v>
      </c>
      <c r="O473">
        <v>47.623168194140497</v>
      </c>
      <c r="P473">
        <v>-4.3234755435847302E-2</v>
      </c>
      <c r="Q473">
        <v>0.728285311746657</v>
      </c>
      <c r="R473">
        <v>0.54781298140810097</v>
      </c>
      <c r="S473" t="s">
        <v>6758</v>
      </c>
      <c r="T473" t="s">
        <v>12568</v>
      </c>
      <c r="U473" t="s">
        <v>12568</v>
      </c>
      <c r="V473" t="s">
        <v>12568</v>
      </c>
      <c r="W473" t="s">
        <v>13033</v>
      </c>
      <c r="X473">
        <v>11</v>
      </c>
      <c r="Y473" t="s">
        <v>19264</v>
      </c>
      <c r="Z473" t="s">
        <v>25343</v>
      </c>
      <c r="AA473">
        <v>0.80080032080000985</v>
      </c>
      <c r="AB473" t="str">
        <f>HYPERLINK("Melting_Curves/meltCurve_F5H1L4_TXNRD2.pdf", "Melting_Curves/meltCurve_F5H1L4_TXNRD2.pdf")</f>
        <v>Melting_Curves/meltCurve_F5H1L4_TXNRD2.pdf</v>
      </c>
    </row>
    <row r="474" spans="1:28" x14ac:dyDescent="0.25">
      <c r="A474" t="s">
        <v>478</v>
      </c>
      <c r="B474">
        <v>0.99352677808782597</v>
      </c>
      <c r="C474">
        <v>1.00620194551944</v>
      </c>
      <c r="D474">
        <v>0.86443712804511796</v>
      </c>
      <c r="E474">
        <v>0.62069988838307999</v>
      </c>
      <c r="F474">
        <v>0.52503232131658195</v>
      </c>
      <c r="G474">
        <v>0.410038266718394</v>
      </c>
      <c r="H474">
        <v>0.41256892084230801</v>
      </c>
      <c r="I474">
        <v>0.33359076020085199</v>
      </c>
      <c r="J474">
        <v>0.33911793186099398</v>
      </c>
      <c r="K474">
        <v>0.27391372910718298</v>
      </c>
      <c r="L474">
        <v>807.48349667920195</v>
      </c>
      <c r="M474">
        <v>16.1778302397354</v>
      </c>
      <c r="N474">
        <v>53.320612227155699</v>
      </c>
      <c r="O474">
        <v>49.169011790400603</v>
      </c>
      <c r="P474">
        <v>-5.5758151838707103E-2</v>
      </c>
      <c r="Q474">
        <v>0.322191671510692</v>
      </c>
      <c r="R474">
        <v>0.98529006535688601</v>
      </c>
      <c r="S474" t="s">
        <v>6759</v>
      </c>
      <c r="T474" t="s">
        <v>12568</v>
      </c>
      <c r="U474" t="s">
        <v>12568</v>
      </c>
      <c r="V474" t="s">
        <v>12568</v>
      </c>
      <c r="W474" t="s">
        <v>13034</v>
      </c>
      <c r="X474">
        <v>1</v>
      </c>
      <c r="Y474" t="s">
        <v>19265</v>
      </c>
      <c r="Z474" t="s">
        <v>25344</v>
      </c>
      <c r="AA474">
        <v>0.56029675242605781</v>
      </c>
      <c r="AB474" t="str">
        <f>HYPERLINK("Melting_Curves/meltCurve_F5H1M6_P2RX4.pdf", "Melting_Curves/meltCurve_F5H1M6_P2RX4.pdf")</f>
        <v>Melting_Curves/meltCurve_F5H1M6_P2RX4.pdf</v>
      </c>
    </row>
    <row r="475" spans="1:28" x14ac:dyDescent="0.25">
      <c r="A475" t="s">
        <v>479</v>
      </c>
      <c r="B475">
        <v>0.99352677808782597</v>
      </c>
      <c r="C475">
        <v>0.96450289516604903</v>
      </c>
      <c r="D475">
        <v>0.88200229503307703</v>
      </c>
      <c r="E475">
        <v>0.86910707609365501</v>
      </c>
      <c r="F475">
        <v>0.82578023154859004</v>
      </c>
      <c r="G475">
        <v>0.94306250606125996</v>
      </c>
      <c r="H475">
        <v>1.0088736666501501</v>
      </c>
      <c r="I475">
        <v>0.88231475185506603</v>
      </c>
      <c r="J475">
        <v>1.26742889142889</v>
      </c>
      <c r="K475">
        <v>0.89136124034629505</v>
      </c>
      <c r="L475">
        <v>770.41260083680595</v>
      </c>
      <c r="M475">
        <v>5.1438199395997604</v>
      </c>
      <c r="Q475">
        <v>1.5</v>
      </c>
      <c r="R475">
        <v>-0.15808358662604999</v>
      </c>
      <c r="S475" t="s">
        <v>6760</v>
      </c>
      <c r="T475" t="s">
        <v>12568</v>
      </c>
      <c r="U475" t="s">
        <v>12568</v>
      </c>
      <c r="V475" t="s">
        <v>12568</v>
      </c>
      <c r="W475" t="s">
        <v>13035</v>
      </c>
      <c r="X475">
        <v>5</v>
      </c>
      <c r="Y475" t="s">
        <v>19266</v>
      </c>
      <c r="Z475" t="s">
        <v>25345</v>
      </c>
      <c r="AA475">
        <v>1.0002575273692991</v>
      </c>
      <c r="AB475" t="str">
        <f>HYPERLINK("Melting_Curves/meltCurve_F5H1N7_KIAA1211.pdf", "Melting_Curves/meltCurve_F5H1N7_KIAA1211.pdf")</f>
        <v>Melting_Curves/meltCurve_F5H1N7_KIAA1211.pdf</v>
      </c>
    </row>
    <row r="476" spans="1:28" x14ac:dyDescent="0.25">
      <c r="A476" t="s">
        <v>480</v>
      </c>
      <c r="B476">
        <v>0.99352677808782597</v>
      </c>
      <c r="C476">
        <v>0.981283942261991</v>
      </c>
      <c r="D476">
        <v>0.93844682946098301</v>
      </c>
      <c r="E476">
        <v>0.80909727939510501</v>
      </c>
      <c r="F476">
        <v>0.77483058885725398</v>
      </c>
      <c r="G476">
        <v>0.674705484043996</v>
      </c>
      <c r="H476">
        <v>0.66362266818835403</v>
      </c>
      <c r="I476">
        <v>0.70047243352255795</v>
      </c>
      <c r="J476">
        <v>0.72194376537046601</v>
      </c>
      <c r="K476">
        <v>0.61655465077337901</v>
      </c>
      <c r="L476">
        <v>871.31646120933306</v>
      </c>
      <c r="M476">
        <v>17.548740882816499</v>
      </c>
      <c r="O476">
        <v>49.019937672121998</v>
      </c>
      <c r="P476">
        <v>-2.9785207638993401E-2</v>
      </c>
      <c r="Q476">
        <v>0.66721500963056801</v>
      </c>
      <c r="R476">
        <v>0.95479361848616695</v>
      </c>
      <c r="S476" t="s">
        <v>6761</v>
      </c>
      <c r="T476" t="s">
        <v>12568</v>
      </c>
      <c r="U476" t="s">
        <v>12568</v>
      </c>
      <c r="V476" t="s">
        <v>12568</v>
      </c>
      <c r="W476" t="s">
        <v>13036</v>
      </c>
      <c r="X476">
        <v>5</v>
      </c>
      <c r="Y476" t="s">
        <v>19267</v>
      </c>
      <c r="Z476" t="s">
        <v>25346</v>
      </c>
      <c r="AA476">
        <v>0.78026252825885589</v>
      </c>
      <c r="AB476" t="str">
        <f>HYPERLINK("Melting_Curves/meltCurve_F5H1R7_FLJ22184.pdf", "Melting_Curves/meltCurve_F5H1R7_FLJ22184.pdf")</f>
        <v>Melting_Curves/meltCurve_F5H1R7_FLJ22184.pdf</v>
      </c>
    </row>
    <row r="477" spans="1:28" x14ac:dyDescent="0.25">
      <c r="A477" t="s">
        <v>481</v>
      </c>
      <c r="B477">
        <v>0.99352677808782597</v>
      </c>
      <c r="C477">
        <v>0.66626023524401801</v>
      </c>
      <c r="D477">
        <v>0.52988726420127297</v>
      </c>
      <c r="E477">
        <v>1.28006688149731</v>
      </c>
      <c r="F477">
        <v>0.765935884994841</v>
      </c>
      <c r="G477">
        <v>0.78399176488072997</v>
      </c>
      <c r="H477">
        <v>2.1505917754651298</v>
      </c>
      <c r="I477">
        <v>1.0039722146438199</v>
      </c>
      <c r="J477">
        <v>1.2680570248160501</v>
      </c>
      <c r="K477">
        <v>0.65195811849988805</v>
      </c>
      <c r="L477">
        <v>5917.7726429038203</v>
      </c>
      <c r="M477">
        <v>101.142851488719</v>
      </c>
      <c r="O477">
        <v>58.486187747706502</v>
      </c>
      <c r="P477">
        <v>0.112681815055309</v>
      </c>
      <c r="Q477">
        <v>1.2606345317896901</v>
      </c>
      <c r="R477">
        <v>0.13443594513339099</v>
      </c>
      <c r="S477" t="s">
        <v>6762</v>
      </c>
      <c r="T477" t="s">
        <v>12568</v>
      </c>
      <c r="U477" t="s">
        <v>12568</v>
      </c>
      <c r="V477" t="s">
        <v>12568</v>
      </c>
      <c r="W477" t="s">
        <v>13037</v>
      </c>
      <c r="X477">
        <v>1</v>
      </c>
      <c r="Y477" t="s">
        <v>19268</v>
      </c>
      <c r="Z477" t="s">
        <v>25347</v>
      </c>
      <c r="AA477">
        <v>1.0996675447206099</v>
      </c>
      <c r="AB477" t="str">
        <f>HYPERLINK("Melting_Curves/meltCurve_F5H2A0_C12orf43.pdf", "Melting_Curves/meltCurve_F5H2A0_C12orf43.pdf")</f>
        <v>Melting_Curves/meltCurve_F5H2A0_C12orf43.pdf</v>
      </c>
    </row>
    <row r="478" spans="1:28" x14ac:dyDescent="0.25">
      <c r="A478" t="s">
        <v>482</v>
      </c>
      <c r="B478">
        <v>0.99352677808782597</v>
      </c>
      <c r="C478">
        <v>0.78805817986373095</v>
      </c>
      <c r="D478">
        <v>0.70568736189016301</v>
      </c>
      <c r="E478">
        <v>0.50154391109894803</v>
      </c>
      <c r="F478">
        <v>0.45208196058184003</v>
      </c>
      <c r="G478">
        <v>0.38579483510040902</v>
      </c>
      <c r="H478">
        <v>0.38702358507430901</v>
      </c>
      <c r="I478">
        <v>0.37176759690603101</v>
      </c>
      <c r="J478">
        <v>0.32210565362829702</v>
      </c>
      <c r="K478">
        <v>0.292279025132199</v>
      </c>
      <c r="L478">
        <v>616.01004869763199</v>
      </c>
      <c r="M478">
        <v>13.2292186848603</v>
      </c>
      <c r="N478">
        <v>50.628572415094901</v>
      </c>
      <c r="O478">
        <v>45.538943033011002</v>
      </c>
      <c r="P478">
        <v>-4.8876963064245701E-2</v>
      </c>
      <c r="Q478">
        <v>0.32711432384942102</v>
      </c>
      <c r="R478">
        <v>0.97779997928776896</v>
      </c>
      <c r="S478" t="s">
        <v>6763</v>
      </c>
      <c r="T478" t="s">
        <v>12568</v>
      </c>
      <c r="U478" t="s">
        <v>12568</v>
      </c>
      <c r="V478" t="s">
        <v>12568</v>
      </c>
      <c r="W478" t="s">
        <v>13038</v>
      </c>
      <c r="X478">
        <v>7</v>
      </c>
      <c r="Y478" t="s">
        <v>19269</v>
      </c>
      <c r="Z478" t="s">
        <v>25348</v>
      </c>
      <c r="AA478">
        <v>0.49861366424718617</v>
      </c>
      <c r="AB478" t="str">
        <f>HYPERLINK("Melting_Curves/meltCurve_F5H2H5_ANKLE2.pdf", "Melting_Curves/meltCurve_F5H2H5_ANKLE2.pdf")</f>
        <v>Melting_Curves/meltCurve_F5H2H5_ANKLE2.pdf</v>
      </c>
    </row>
    <row r="479" spans="1:28" x14ac:dyDescent="0.25">
      <c r="A479" t="s">
        <v>483</v>
      </c>
      <c r="B479">
        <v>0.99352677808782597</v>
      </c>
      <c r="C479">
        <v>0.95331865423137896</v>
      </c>
      <c r="D479">
        <v>1.01368694717504</v>
      </c>
      <c r="E479">
        <v>0.89060762295353502</v>
      </c>
      <c r="F479">
        <v>0.80099896785038505</v>
      </c>
      <c r="G479">
        <v>0.72805167465371301</v>
      </c>
      <c r="H479">
        <v>0.64876850564084598</v>
      </c>
      <c r="I479">
        <v>0.66087005366726803</v>
      </c>
      <c r="J479">
        <v>0.739747871244267</v>
      </c>
      <c r="K479">
        <v>0.59345611408038201</v>
      </c>
      <c r="L479">
        <v>1019.52287419677</v>
      </c>
      <c r="M479">
        <v>19.4905047159349</v>
      </c>
      <c r="O479">
        <v>51.767400130195597</v>
      </c>
      <c r="P479">
        <v>-3.2553051790137899E-2</v>
      </c>
      <c r="Q479">
        <v>0.65416485151047998</v>
      </c>
      <c r="R479">
        <v>0.92975443871285501</v>
      </c>
      <c r="S479" t="s">
        <v>6764</v>
      </c>
      <c r="T479" t="s">
        <v>12568</v>
      </c>
      <c r="U479" t="s">
        <v>12568</v>
      </c>
      <c r="V479" t="s">
        <v>12568</v>
      </c>
      <c r="W479" t="s">
        <v>13039</v>
      </c>
      <c r="X479">
        <v>4</v>
      </c>
      <c r="Y479" t="s">
        <v>19270</v>
      </c>
      <c r="Z479" t="s">
        <v>25349</v>
      </c>
      <c r="AA479">
        <v>0.80105802659098269</v>
      </c>
      <c r="AB479" t="str">
        <f>HYPERLINK("Melting_Curves/meltCurve_F5H2Q7_KIAA1715.pdf", "Melting_Curves/meltCurve_F5H2Q7_KIAA1715.pdf")</f>
        <v>Melting_Curves/meltCurve_F5H2Q7_KIAA1715.pdf</v>
      </c>
    </row>
    <row r="480" spans="1:28" x14ac:dyDescent="0.25">
      <c r="A480" t="s">
        <v>484</v>
      </c>
      <c r="B480">
        <v>0.99352677808782597</v>
      </c>
      <c r="C480">
        <v>0.99060672530176297</v>
      </c>
      <c r="D480">
        <v>1.00516689094748</v>
      </c>
      <c r="E480">
        <v>0.59908974758987399</v>
      </c>
      <c r="F480">
        <v>0.51019858862089995</v>
      </c>
      <c r="G480">
        <v>0.25943610597235001</v>
      </c>
      <c r="H480">
        <v>0.24405161512776299</v>
      </c>
      <c r="I480">
        <v>0.25397410057685799</v>
      </c>
      <c r="J480">
        <v>0.22849018882221001</v>
      </c>
      <c r="K480">
        <v>0.17617651896196501</v>
      </c>
      <c r="L480">
        <v>1097.2235611952899</v>
      </c>
      <c r="M480">
        <v>21.5912304202784</v>
      </c>
      <c r="N480">
        <v>52.1869736386178</v>
      </c>
      <c r="O480">
        <v>50.388119627458401</v>
      </c>
      <c r="P480">
        <v>-8.3965178580168706E-2</v>
      </c>
      <c r="Q480">
        <v>0.21621038769676201</v>
      </c>
      <c r="R480">
        <v>0.98191315102758703</v>
      </c>
      <c r="S480" t="s">
        <v>6765</v>
      </c>
      <c r="T480" t="s">
        <v>12568</v>
      </c>
      <c r="U480" t="s">
        <v>12568</v>
      </c>
      <c r="V480" t="s">
        <v>12568</v>
      </c>
      <c r="W480" t="s">
        <v>13040</v>
      </c>
      <c r="X480">
        <v>12</v>
      </c>
      <c r="Y480" t="s">
        <v>19271</v>
      </c>
      <c r="Z480" t="s">
        <v>25350</v>
      </c>
      <c r="AA480">
        <v>0.50825287299917377</v>
      </c>
      <c r="AB480" t="str">
        <f>HYPERLINK("Melting_Curves/meltCurve_F5H2U2_PRPF4B.pdf", "Melting_Curves/meltCurve_F5H2U2_PRPF4B.pdf")</f>
        <v>Melting_Curves/meltCurve_F5H2U2_PRPF4B.pdf</v>
      </c>
    </row>
    <row r="481" spans="1:28" x14ac:dyDescent="0.25">
      <c r="A481" t="s">
        <v>485</v>
      </c>
      <c r="B481">
        <v>0.99352677808782597</v>
      </c>
      <c r="C481">
        <v>0.88223856886047203</v>
      </c>
      <c r="D481">
        <v>1.04659478696012</v>
      </c>
      <c r="E481">
        <v>1.0321737291030499</v>
      </c>
      <c r="F481">
        <v>1.03518759003483</v>
      </c>
      <c r="G481">
        <v>0.93993745529308803</v>
      </c>
      <c r="H481">
        <v>0.91241882187022605</v>
      </c>
      <c r="I481">
        <v>1.11471846541968</v>
      </c>
      <c r="J481">
        <v>0.89863839362387199</v>
      </c>
      <c r="K481">
        <v>0.96483588448172897</v>
      </c>
      <c r="L481">
        <v>576.82978691338201</v>
      </c>
      <c r="M481">
        <v>5.2044974893604499</v>
      </c>
      <c r="Q481">
        <v>0</v>
      </c>
      <c r="R481">
        <v>1.25829367957707E-2</v>
      </c>
      <c r="S481" t="s">
        <v>6766</v>
      </c>
      <c r="T481" t="s">
        <v>12568</v>
      </c>
      <c r="U481" t="s">
        <v>12568</v>
      </c>
      <c r="V481" t="s">
        <v>12568</v>
      </c>
      <c r="W481" t="s">
        <v>13041</v>
      </c>
      <c r="X481">
        <v>3</v>
      </c>
      <c r="Y481" t="s">
        <v>19272</v>
      </c>
      <c r="Z481" t="s">
        <v>25351</v>
      </c>
      <c r="AA481">
        <v>0.98916342226566945</v>
      </c>
      <c r="AB481" t="str">
        <f>HYPERLINK("Melting_Curves/meltCurve_F5H2U8_HMGA2.pdf", "Melting_Curves/meltCurve_F5H2U8_HMGA2.pdf")</f>
        <v>Melting_Curves/meltCurve_F5H2U8_HMGA2.pdf</v>
      </c>
    </row>
    <row r="482" spans="1:28" x14ac:dyDescent="0.25">
      <c r="A482" t="s">
        <v>486</v>
      </c>
      <c r="B482">
        <v>0.99352677808782597</v>
      </c>
      <c r="C482">
        <v>0.99823652280267905</v>
      </c>
      <c r="D482">
        <v>0.94352342235886999</v>
      </c>
      <c r="E482">
        <v>0.54055129105795596</v>
      </c>
      <c r="F482">
        <v>0.52613243493606598</v>
      </c>
      <c r="G482">
        <v>0.367800882433167</v>
      </c>
      <c r="H482">
        <v>0.31471444926186098</v>
      </c>
      <c r="I482">
        <v>0.32694332562321099</v>
      </c>
      <c r="J482">
        <v>0.285192926545911</v>
      </c>
      <c r="K482">
        <v>0.22049934197359899</v>
      </c>
      <c r="L482">
        <v>947.01955149492301</v>
      </c>
      <c r="M482">
        <v>18.972938440120501</v>
      </c>
      <c r="N482">
        <v>52.225493025466797</v>
      </c>
      <c r="O482">
        <v>49.369640958309098</v>
      </c>
      <c r="P482">
        <v>-6.8786340826308995E-2</v>
      </c>
      <c r="Q482">
        <v>0.28407068341671599</v>
      </c>
      <c r="R482">
        <v>0.97241269759715299</v>
      </c>
      <c r="S482" t="s">
        <v>6767</v>
      </c>
      <c r="T482" t="s">
        <v>12568</v>
      </c>
      <c r="U482" t="s">
        <v>12568</v>
      </c>
      <c r="V482" t="s">
        <v>12568</v>
      </c>
      <c r="W482" t="s">
        <v>13042</v>
      </c>
      <c r="X482">
        <v>3</v>
      </c>
      <c r="Y482" t="s">
        <v>19273</v>
      </c>
      <c r="Z482" t="s">
        <v>25352</v>
      </c>
      <c r="AA482">
        <v>0.53171425962642216</v>
      </c>
      <c r="AB482" t="str">
        <f>HYPERLINK("Melting_Curves/meltCurve_F5H2X0_TJP3.pdf", "Melting_Curves/meltCurve_F5H2X0_TJP3.pdf")</f>
        <v>Melting_Curves/meltCurve_F5H2X0_TJP3.pdf</v>
      </c>
    </row>
    <row r="483" spans="1:28" x14ac:dyDescent="0.25">
      <c r="A483" t="s">
        <v>487</v>
      </c>
      <c r="B483">
        <v>0.99352677808782597</v>
      </c>
      <c r="C483">
        <v>0.768682694659514</v>
      </c>
      <c r="D483">
        <v>0.73311502694434005</v>
      </c>
      <c r="E483">
        <v>0.66692417573527696</v>
      </c>
      <c r="F483">
        <v>0.67751164539489706</v>
      </c>
      <c r="G483">
        <v>0.56483572474856503</v>
      </c>
      <c r="H483">
        <v>0.547850102127039</v>
      </c>
      <c r="I483">
        <v>0.62402069830889995</v>
      </c>
      <c r="J483">
        <v>0.50140009527011098</v>
      </c>
      <c r="K483">
        <v>0.437225107833348</v>
      </c>
      <c r="L483">
        <v>362.16317986254398</v>
      </c>
      <c r="M483">
        <v>7.6176878215678796</v>
      </c>
      <c r="O483">
        <v>44.598066711739797</v>
      </c>
      <c r="P483">
        <v>-2.2953763214679301E-2</v>
      </c>
      <c r="Q483">
        <v>0.46319338826265699</v>
      </c>
      <c r="R483">
        <v>0.86048620594004099</v>
      </c>
      <c r="S483" t="s">
        <v>6768</v>
      </c>
      <c r="T483" t="s">
        <v>12568</v>
      </c>
      <c r="U483" t="s">
        <v>12568</v>
      </c>
      <c r="V483" t="s">
        <v>12568</v>
      </c>
      <c r="W483" t="s">
        <v>13043</v>
      </c>
      <c r="X483">
        <v>3</v>
      </c>
      <c r="Y483" t="s">
        <v>19274</v>
      </c>
      <c r="Z483" t="s">
        <v>25353</v>
      </c>
      <c r="AA483">
        <v>0.6414495015185252</v>
      </c>
      <c r="AB483" t="str">
        <f>HYPERLINK("Melting_Curves/meltCurve_F5H315_XAB2.pdf", "Melting_Curves/meltCurve_F5H315_XAB2.pdf")</f>
        <v>Melting_Curves/meltCurve_F5H315_XAB2.pdf</v>
      </c>
    </row>
    <row r="484" spans="1:28" x14ac:dyDescent="0.25">
      <c r="A484" t="s">
        <v>488</v>
      </c>
      <c r="B484">
        <v>0.99352677808782597</v>
      </c>
      <c r="C484">
        <v>0.972425933300884</v>
      </c>
      <c r="D484">
        <v>0.89793264109703796</v>
      </c>
      <c r="E484">
        <v>0.37283064784192899</v>
      </c>
      <c r="F484">
        <v>0.298362883471605</v>
      </c>
      <c r="G484">
        <v>0.185910152034127</v>
      </c>
      <c r="H484">
        <v>0.142497258490968</v>
      </c>
      <c r="I484">
        <v>0.14747822275670999</v>
      </c>
      <c r="J484">
        <v>0.12447724680257399</v>
      </c>
      <c r="K484">
        <v>8.8797099053420495E-2</v>
      </c>
      <c r="L484">
        <v>1336.19158881158</v>
      </c>
      <c r="M484">
        <v>27.4158452604863</v>
      </c>
      <c r="N484">
        <v>49.331565940954803</v>
      </c>
      <c r="O484">
        <v>48.480836454081597</v>
      </c>
      <c r="P484">
        <v>-0.121511791161923</v>
      </c>
      <c r="Q484">
        <v>0.14050603977696099</v>
      </c>
      <c r="R484">
        <v>0.98935987141561099</v>
      </c>
      <c r="S484" t="s">
        <v>6769</v>
      </c>
      <c r="T484" t="s">
        <v>12568</v>
      </c>
      <c r="U484" t="s">
        <v>12568</v>
      </c>
      <c r="V484" t="s">
        <v>12568</v>
      </c>
      <c r="W484" t="s">
        <v>13044</v>
      </c>
      <c r="X484">
        <v>18</v>
      </c>
      <c r="Y484" t="s">
        <v>19275</v>
      </c>
      <c r="Z484" t="s">
        <v>25354</v>
      </c>
      <c r="AA484">
        <v>0.39712770892184879</v>
      </c>
      <c r="AB484" t="str">
        <f>HYPERLINK("Melting_Curves/meltCurve_F5H365_SEC23A.pdf", "Melting_Curves/meltCurve_F5H365_SEC23A.pdf")</f>
        <v>Melting_Curves/meltCurve_F5H365_SEC23A.pdf</v>
      </c>
    </row>
    <row r="485" spans="1:28" x14ac:dyDescent="0.25">
      <c r="A485" t="s">
        <v>489</v>
      </c>
      <c r="B485">
        <v>0.99352677808782597</v>
      </c>
      <c r="C485">
        <v>0.85474358852017995</v>
      </c>
      <c r="D485">
        <v>0.67364979252892898</v>
      </c>
      <c r="E485">
        <v>0.41622839199462602</v>
      </c>
      <c r="F485">
        <v>0.29355843815159499</v>
      </c>
      <c r="G485">
        <v>0.18529853248707501</v>
      </c>
      <c r="H485">
        <v>6.3491236344118199E-2</v>
      </c>
      <c r="I485">
        <v>9.0363183033708203E-2</v>
      </c>
      <c r="J485">
        <v>7.8324815872358303E-2</v>
      </c>
      <c r="K485">
        <v>5.6843968577285797E-2</v>
      </c>
      <c r="L485">
        <v>653.75323336992506</v>
      </c>
      <c r="M485">
        <v>13.488345728294799</v>
      </c>
      <c r="N485">
        <v>48.829347082712196</v>
      </c>
      <c r="O485">
        <v>47.439868016407402</v>
      </c>
      <c r="P485">
        <v>-6.7715560523964394E-2</v>
      </c>
      <c r="Q485">
        <v>4.7496020586470303E-2</v>
      </c>
      <c r="R485">
        <v>0.99534016979556705</v>
      </c>
      <c r="S485" t="s">
        <v>6770</v>
      </c>
      <c r="T485" t="s">
        <v>12568</v>
      </c>
      <c r="U485" t="s">
        <v>12568</v>
      </c>
      <c r="V485" t="s">
        <v>12568</v>
      </c>
      <c r="W485" t="s">
        <v>13045</v>
      </c>
      <c r="X485">
        <v>1</v>
      </c>
      <c r="Y485" t="s">
        <v>19276</v>
      </c>
      <c r="Z485" t="s">
        <v>25355</v>
      </c>
      <c r="AA485">
        <v>0.34570401387034488</v>
      </c>
      <c r="AB485" t="str">
        <f>HYPERLINK("Melting_Curves/meltCurve_F5H4B1_PRAME.pdf", "Melting_Curves/meltCurve_F5H4B1_PRAME.pdf")</f>
        <v>Melting_Curves/meltCurve_F5H4B1_PRAME.pdf</v>
      </c>
    </row>
    <row r="486" spans="1:28" x14ac:dyDescent="0.25">
      <c r="A486" t="s">
        <v>490</v>
      </c>
      <c r="B486">
        <v>0.99352677808782597</v>
      </c>
      <c r="C486">
        <v>0.93266499118350099</v>
      </c>
      <c r="D486">
        <v>0.82787420720430405</v>
      </c>
      <c r="E486">
        <v>0.23500704269343001</v>
      </c>
      <c r="F486">
        <v>0.17761767249072</v>
      </c>
      <c r="G486">
        <v>0.103701534047084</v>
      </c>
      <c r="H486">
        <v>7.0849965739230206E-2</v>
      </c>
      <c r="I486">
        <v>6.1115870700539497E-2</v>
      </c>
      <c r="J486">
        <v>5.1658046646348703E-2</v>
      </c>
      <c r="K486">
        <v>4.5476860844932597E-2</v>
      </c>
      <c r="L486">
        <v>1504.3994119762799</v>
      </c>
      <c r="M486">
        <v>31.3903996287669</v>
      </c>
      <c r="N486">
        <v>48.164022856443097</v>
      </c>
      <c r="O486">
        <v>47.7322291686108</v>
      </c>
      <c r="P486">
        <v>-0.15257279522921599</v>
      </c>
      <c r="Q486">
        <v>7.1996744307122107E-2</v>
      </c>
      <c r="R486">
        <v>0.99329917711668703</v>
      </c>
      <c r="S486" t="s">
        <v>6771</v>
      </c>
      <c r="T486" t="s">
        <v>12568</v>
      </c>
      <c r="U486" t="s">
        <v>12568</v>
      </c>
      <c r="V486" t="s">
        <v>12568</v>
      </c>
      <c r="W486" t="s">
        <v>13046</v>
      </c>
      <c r="X486">
        <v>10</v>
      </c>
      <c r="Y486" t="s">
        <v>19277</v>
      </c>
      <c r="Z486" t="s">
        <v>25356</v>
      </c>
      <c r="AA486">
        <v>0.32223658759335222</v>
      </c>
      <c r="AB486" t="str">
        <f>HYPERLINK("Melting_Curves/meltCurve_F5H4G7_KPNA6.pdf", "Melting_Curves/meltCurve_F5H4G7_KPNA6.pdf")</f>
        <v>Melting_Curves/meltCurve_F5H4G7_KPNA6.pdf</v>
      </c>
    </row>
    <row r="487" spans="1:28" x14ac:dyDescent="0.25">
      <c r="A487" t="s">
        <v>491</v>
      </c>
      <c r="B487">
        <v>0.99352677808782597</v>
      </c>
      <c r="C487">
        <v>1.4676681352788901</v>
      </c>
      <c r="D487">
        <v>1.44252612131752</v>
      </c>
      <c r="E487">
        <v>1.2931648094296799</v>
      </c>
      <c r="F487">
        <v>1.11693670404617</v>
      </c>
      <c r="G487">
        <v>0.93232762598964503</v>
      </c>
      <c r="H487">
        <v>0.97629995297930305</v>
      </c>
      <c r="I487">
        <v>0.97584906856564602</v>
      </c>
      <c r="J487">
        <v>0.82910880486957195</v>
      </c>
      <c r="K487">
        <v>0.74545642426157499</v>
      </c>
      <c r="L487">
        <v>3915.9414198586601</v>
      </c>
      <c r="M487">
        <v>59.014123893190003</v>
      </c>
      <c r="O487">
        <v>66.279937369611702</v>
      </c>
      <c r="P487">
        <v>-5.9353291915355898E-2</v>
      </c>
      <c r="Q487">
        <v>0.73335666614170603</v>
      </c>
      <c r="R487">
        <v>6.2988572067177007E-2</v>
      </c>
      <c r="S487" t="s">
        <v>6772</v>
      </c>
      <c r="T487" t="s">
        <v>12568</v>
      </c>
      <c r="U487" t="s">
        <v>12568</v>
      </c>
      <c r="V487" t="s">
        <v>12568</v>
      </c>
      <c r="W487" t="s">
        <v>13047</v>
      </c>
      <c r="X487">
        <v>1</v>
      </c>
      <c r="Y487" t="s">
        <v>19278</v>
      </c>
      <c r="Z487" t="s">
        <v>25357</v>
      </c>
      <c r="AA487">
        <v>0.96764822768679604</v>
      </c>
      <c r="AB487" t="str">
        <f>HYPERLINK("Melting_Curves/meltCurve_F5H4I2_RNF115.pdf", "Melting_Curves/meltCurve_F5H4I2_RNF115.pdf")</f>
        <v>Melting_Curves/meltCurve_F5H4I2_RNF115.pdf</v>
      </c>
    </row>
    <row r="488" spans="1:28" x14ac:dyDescent="0.25">
      <c r="A488" t="s">
        <v>492</v>
      </c>
      <c r="B488">
        <v>0.99352677808782597</v>
      </c>
      <c r="C488">
        <v>0.90478564077234702</v>
      </c>
      <c r="D488">
        <v>0.96518787046941901</v>
      </c>
      <c r="E488">
        <v>1.09032065099534</v>
      </c>
      <c r="F488">
        <v>1.0619855937982801</v>
      </c>
      <c r="G488">
        <v>1.0139672251331999</v>
      </c>
      <c r="H488">
        <v>1.04954761647044</v>
      </c>
      <c r="I488">
        <v>1.28165360910269</v>
      </c>
      <c r="J488">
        <v>1.0778545945742399</v>
      </c>
      <c r="K488">
        <v>1.0999316506308501</v>
      </c>
      <c r="L488">
        <v>766.36108096131295</v>
      </c>
      <c r="M488">
        <v>13.5429428703646</v>
      </c>
      <c r="O488">
        <v>55.396433897919799</v>
      </c>
      <c r="P488">
        <v>8.7705200881464801E-3</v>
      </c>
      <c r="Q488">
        <v>1.1434791137542499</v>
      </c>
      <c r="R488">
        <v>0.41551851217434299</v>
      </c>
      <c r="S488" t="s">
        <v>6773</v>
      </c>
      <c r="T488" t="s">
        <v>12568</v>
      </c>
      <c r="U488" t="s">
        <v>12568</v>
      </c>
      <c r="V488" t="s">
        <v>12568</v>
      </c>
      <c r="W488" t="s">
        <v>13048</v>
      </c>
      <c r="X488">
        <v>2</v>
      </c>
      <c r="Y488" t="s">
        <v>19279</v>
      </c>
      <c r="Z488" t="s">
        <v>25358</v>
      </c>
      <c r="AA488">
        <v>1.0616104602768619</v>
      </c>
      <c r="AB488" t="str">
        <f>HYPERLINK("Melting_Curves/meltCurve_F5H4J2_PEX14.pdf", "Melting_Curves/meltCurve_F5H4J2_PEX14.pdf")</f>
        <v>Melting_Curves/meltCurve_F5H4J2_PEX14.pdf</v>
      </c>
    </row>
    <row r="489" spans="1:28" x14ac:dyDescent="0.25">
      <c r="A489" t="s">
        <v>493</v>
      </c>
      <c r="B489">
        <v>0.99352677808782597</v>
      </c>
      <c r="C489">
        <v>0.87809061284810797</v>
      </c>
      <c r="D489">
        <v>0.69846543748469203</v>
      </c>
      <c r="E489">
        <v>0.27646410746036498</v>
      </c>
      <c r="F489">
        <v>0.205107436875343</v>
      </c>
      <c r="G489">
        <v>0.18679708165203901</v>
      </c>
      <c r="H489">
        <v>0.10686601011192701</v>
      </c>
      <c r="I489">
        <v>0.12576144126578501</v>
      </c>
      <c r="J489">
        <v>8.79586921302139E-2</v>
      </c>
      <c r="K489">
        <v>3.6267379755498701E-2</v>
      </c>
      <c r="L489">
        <v>963.04001858086497</v>
      </c>
      <c r="M489">
        <v>20.380635772693999</v>
      </c>
      <c r="N489">
        <v>47.763655123396298</v>
      </c>
      <c r="O489">
        <v>46.804826887945403</v>
      </c>
      <c r="P489">
        <v>-9.82001692673483E-2</v>
      </c>
      <c r="Q489">
        <v>9.7947068151617203E-2</v>
      </c>
      <c r="R489">
        <v>0.98939086685843303</v>
      </c>
      <c r="S489" t="s">
        <v>6774</v>
      </c>
      <c r="T489" t="s">
        <v>12568</v>
      </c>
      <c r="U489" t="s">
        <v>12568</v>
      </c>
      <c r="V489" t="s">
        <v>12568</v>
      </c>
      <c r="W489" t="s">
        <v>13049</v>
      </c>
      <c r="X489">
        <v>1</v>
      </c>
      <c r="Y489" t="s">
        <v>19280</v>
      </c>
      <c r="Z489" t="s">
        <v>25359</v>
      </c>
      <c r="AA489">
        <v>0.3285769862057934</v>
      </c>
      <c r="AB489" t="str">
        <f>HYPERLINK("Melting_Curves/meltCurve_F5H4N6_GRIP1.pdf", "Melting_Curves/meltCurve_F5H4N6_GRIP1.pdf")</f>
        <v>Melting_Curves/meltCurve_F5H4N6_GRIP1.pdf</v>
      </c>
    </row>
    <row r="490" spans="1:28" x14ac:dyDescent="0.25">
      <c r="A490" t="s">
        <v>494</v>
      </c>
      <c r="B490">
        <v>0.99352677808782597</v>
      </c>
      <c r="C490">
        <v>0.95822802326511503</v>
      </c>
      <c r="D490">
        <v>0.88775217968793196</v>
      </c>
      <c r="E490">
        <v>0.68415078034945298</v>
      </c>
      <c r="F490">
        <v>0.60392601582783301</v>
      </c>
      <c r="G490">
        <v>0.45294568529263601</v>
      </c>
      <c r="H490">
        <v>0.36617350639060298</v>
      </c>
      <c r="I490">
        <v>0.39241710274003999</v>
      </c>
      <c r="J490">
        <v>0.44154909564762901</v>
      </c>
      <c r="K490">
        <v>0.41137649804669102</v>
      </c>
      <c r="L490">
        <v>830.23818353827596</v>
      </c>
      <c r="M490">
        <v>16.566329250604699</v>
      </c>
      <c r="N490">
        <v>55.1727477536595</v>
      </c>
      <c r="O490">
        <v>49.402824404557002</v>
      </c>
      <c r="P490">
        <v>-5.1102684349645898E-2</v>
      </c>
      <c r="Q490">
        <v>0.39046382763170201</v>
      </c>
      <c r="R490">
        <v>0.98725972477217105</v>
      </c>
      <c r="S490" t="s">
        <v>6775</v>
      </c>
      <c r="T490" t="s">
        <v>12568</v>
      </c>
      <c r="U490" t="s">
        <v>12568</v>
      </c>
      <c r="V490" t="s">
        <v>12568</v>
      </c>
      <c r="W490" t="s">
        <v>13050</v>
      </c>
      <c r="X490">
        <v>2</v>
      </c>
      <c r="Y490" t="s">
        <v>19281</v>
      </c>
      <c r="Z490" t="s">
        <v>25360</v>
      </c>
      <c r="AA490">
        <v>0.608113225782836</v>
      </c>
      <c r="AB490" t="str">
        <f>HYPERLINK("Melting_Curves/meltCurve_F5H4Q5_VPS37C.pdf", "Melting_Curves/meltCurve_F5H4Q5_VPS37C.pdf")</f>
        <v>Melting_Curves/meltCurve_F5H4Q5_VPS37C.pdf</v>
      </c>
    </row>
    <row r="491" spans="1:28" x14ac:dyDescent="0.25">
      <c r="A491" t="s">
        <v>495</v>
      </c>
      <c r="B491">
        <v>0.99352677808782597</v>
      </c>
      <c r="C491">
        <v>0.92053133987652702</v>
      </c>
      <c r="D491">
        <v>0.99978961305034197</v>
      </c>
      <c r="E491">
        <v>0.61468492433076205</v>
      </c>
      <c r="F491">
        <v>0.66993131020117802</v>
      </c>
      <c r="G491">
        <v>0.34950591463525599</v>
      </c>
      <c r="H491">
        <v>0.257482301744343</v>
      </c>
      <c r="I491">
        <v>0.22704236719823201</v>
      </c>
      <c r="J491">
        <v>0.19549774595494701</v>
      </c>
      <c r="K491">
        <v>0.167277935220497</v>
      </c>
      <c r="L491">
        <v>712.61028849019601</v>
      </c>
      <c r="M491">
        <v>13.4361903232116</v>
      </c>
      <c r="N491">
        <v>54.361441593226402</v>
      </c>
      <c r="O491">
        <v>51.9031379327566</v>
      </c>
      <c r="P491">
        <v>-5.5690501689363403E-2</v>
      </c>
      <c r="Q491">
        <v>0.13961838063700799</v>
      </c>
      <c r="R491">
        <v>0.96474294942875105</v>
      </c>
      <c r="S491" t="s">
        <v>6776</v>
      </c>
      <c r="T491" t="s">
        <v>12568</v>
      </c>
      <c r="U491" t="s">
        <v>12568</v>
      </c>
      <c r="V491" t="s">
        <v>12568</v>
      </c>
      <c r="W491" t="s">
        <v>13051</v>
      </c>
      <c r="X491">
        <v>3</v>
      </c>
      <c r="Y491" t="s">
        <v>19282</v>
      </c>
      <c r="Z491" t="s">
        <v>25361</v>
      </c>
      <c r="AA491">
        <v>0.53487556774215739</v>
      </c>
      <c r="AB491" t="str">
        <f>HYPERLINK("Melting_Curves/meltCurve_F5H4V9_PDCD2.pdf", "Melting_Curves/meltCurve_F5H4V9_PDCD2.pdf")</f>
        <v>Melting_Curves/meltCurve_F5H4V9_PDCD2.pdf</v>
      </c>
    </row>
    <row r="492" spans="1:28" x14ac:dyDescent="0.25">
      <c r="A492" t="s">
        <v>496</v>
      </c>
      <c r="B492">
        <v>0.99352677808782597</v>
      </c>
      <c r="C492">
        <v>1.0600625774599599</v>
      </c>
      <c r="D492">
        <v>1.1052853436046099</v>
      </c>
      <c r="E492">
        <v>1.1157619897091899</v>
      </c>
      <c r="F492">
        <v>0.93169798627162603</v>
      </c>
      <c r="G492">
        <v>1.0117118634258799</v>
      </c>
      <c r="H492">
        <v>0.89066031422408398</v>
      </c>
      <c r="I492">
        <v>1.0504322512653299</v>
      </c>
      <c r="J492">
        <v>0.97401306432117796</v>
      </c>
      <c r="K492">
        <v>1.2383368464042199</v>
      </c>
      <c r="L492">
        <v>15000</v>
      </c>
      <c r="M492">
        <v>214.19228943672201</v>
      </c>
      <c r="Q492">
        <v>1.5</v>
      </c>
      <c r="R492">
        <v>0.47195499692544002</v>
      </c>
      <c r="S492" t="s">
        <v>6777</v>
      </c>
      <c r="T492" t="s">
        <v>12568</v>
      </c>
      <c r="U492" t="s">
        <v>12568</v>
      </c>
      <c r="V492" t="s">
        <v>12568</v>
      </c>
      <c r="W492" t="s">
        <v>13052</v>
      </c>
      <c r="X492">
        <v>1</v>
      </c>
      <c r="Y492" t="s">
        <v>19283</v>
      </c>
      <c r="Z492" t="s">
        <v>25362</v>
      </c>
      <c r="AA492">
        <v>1.003487381511156</v>
      </c>
      <c r="AB492" t="str">
        <f>HYPERLINK("Melting_Curves/meltCurve_F5H555_CASC1.pdf", "Melting_Curves/meltCurve_F5H555_CASC1.pdf")</f>
        <v>Melting_Curves/meltCurve_F5H555_CASC1.pdf</v>
      </c>
    </row>
    <row r="493" spans="1:28" x14ac:dyDescent="0.25">
      <c r="A493" t="s">
        <v>497</v>
      </c>
      <c r="B493">
        <v>0.99352677808782597</v>
      </c>
      <c r="C493">
        <v>1.06961977006789</v>
      </c>
      <c r="D493">
        <v>0.978768486215009</v>
      </c>
      <c r="E493">
        <v>0.76978048456743597</v>
      </c>
      <c r="F493">
        <v>0.56222449591652102</v>
      </c>
      <c r="G493">
        <v>0.47970900444758002</v>
      </c>
      <c r="H493">
        <v>0.33221297728382498</v>
      </c>
      <c r="I493">
        <v>0.41041971795235399</v>
      </c>
      <c r="J493">
        <v>0.33850300458202998</v>
      </c>
      <c r="K493">
        <v>0.27965606285863398</v>
      </c>
      <c r="L493">
        <v>1047.32685820699</v>
      </c>
      <c r="M493">
        <v>20.2337646152458</v>
      </c>
      <c r="N493">
        <v>54.754655141506397</v>
      </c>
      <c r="O493">
        <v>51.263705594236797</v>
      </c>
      <c r="P493">
        <v>-6.5662082174858902E-2</v>
      </c>
      <c r="Q493">
        <v>0.33458215603040198</v>
      </c>
      <c r="R493">
        <v>0.97681594886881495</v>
      </c>
      <c r="S493" t="s">
        <v>6778</v>
      </c>
      <c r="T493" t="s">
        <v>12568</v>
      </c>
      <c r="U493" t="s">
        <v>12568</v>
      </c>
      <c r="V493" t="s">
        <v>12568</v>
      </c>
      <c r="W493" t="s">
        <v>12866</v>
      </c>
      <c r="X493">
        <v>1</v>
      </c>
      <c r="Z493" t="s">
        <v>25363</v>
      </c>
      <c r="AA493">
        <v>0.6044803391945035</v>
      </c>
      <c r="AB493" t="str">
        <f>HYPERLINK("Melting_Curves/meltCurve_F5H5K5_.pdf", "Melting_Curves/meltCurve_F5H5K5_.pdf")</f>
        <v>Melting_Curves/meltCurve_F5H5K5_.pdf</v>
      </c>
    </row>
    <row r="494" spans="1:28" x14ac:dyDescent="0.25">
      <c r="A494" t="s">
        <v>498</v>
      </c>
      <c r="B494">
        <v>0.99352677808782597</v>
      </c>
      <c r="C494">
        <v>1.0915858220208801</v>
      </c>
      <c r="D494">
        <v>0.97390161954041599</v>
      </c>
      <c r="E494">
        <v>0.92642334894700396</v>
      </c>
      <c r="F494">
        <v>0.805485150009289</v>
      </c>
      <c r="G494">
        <v>0.72648586756844902</v>
      </c>
      <c r="H494">
        <v>0.61067200713219105</v>
      </c>
      <c r="I494">
        <v>0.61552198333991004</v>
      </c>
      <c r="J494">
        <v>0.62585361152360397</v>
      </c>
      <c r="K494">
        <v>0.59699244003197205</v>
      </c>
      <c r="L494">
        <v>1038.4031451354899</v>
      </c>
      <c r="M494">
        <v>19.3531411248095</v>
      </c>
      <c r="O494">
        <v>53.092518988025198</v>
      </c>
      <c r="P494">
        <v>-3.6424554183708401E-2</v>
      </c>
      <c r="Q494">
        <v>0.60031310089813905</v>
      </c>
      <c r="R494">
        <v>0.96415889331446503</v>
      </c>
      <c r="S494" t="s">
        <v>6779</v>
      </c>
      <c r="T494" t="s">
        <v>12568</v>
      </c>
      <c r="U494" t="s">
        <v>12568</v>
      </c>
      <c r="V494" t="s">
        <v>12568</v>
      </c>
      <c r="W494" t="s">
        <v>13053</v>
      </c>
      <c r="X494">
        <v>1</v>
      </c>
      <c r="Y494" t="s">
        <v>19284</v>
      </c>
      <c r="Z494" t="s">
        <v>25364</v>
      </c>
      <c r="AA494">
        <v>0.78800347705533935</v>
      </c>
      <c r="AB494" t="str">
        <f>HYPERLINK("Melting_Curves/meltCurve_F5H5M7_IFNGR1.pdf", "Melting_Curves/meltCurve_F5H5M7_IFNGR1.pdf")</f>
        <v>Melting_Curves/meltCurve_F5H5M7_IFNGR1.pdf</v>
      </c>
    </row>
    <row r="495" spans="1:28" x14ac:dyDescent="0.25">
      <c r="A495" t="s">
        <v>499</v>
      </c>
      <c r="B495">
        <v>0.99352677808782597</v>
      </c>
      <c r="C495">
        <v>1.3655486287102601</v>
      </c>
      <c r="D495">
        <v>0.89404738480893897</v>
      </c>
      <c r="E495">
        <v>1.3822850929072299</v>
      </c>
      <c r="F495">
        <v>1.1974434507815399</v>
      </c>
      <c r="G495">
        <v>0.405021024202325</v>
      </c>
      <c r="H495">
        <v>0.27608458070882702</v>
      </c>
      <c r="I495">
        <v>0.24048341048119201</v>
      </c>
      <c r="J495">
        <v>0.211702032567015</v>
      </c>
      <c r="K495">
        <v>0.22405538567636701</v>
      </c>
      <c r="L495">
        <v>14177.5590862064</v>
      </c>
      <c r="M495">
        <v>250</v>
      </c>
      <c r="N495">
        <v>56.857283887861499</v>
      </c>
      <c r="O495">
        <v>56.7066187356765</v>
      </c>
      <c r="P495">
        <v>-0.83975957170596605</v>
      </c>
      <c r="Q495">
        <v>0.238081340719388</v>
      </c>
      <c r="R495">
        <v>0.85021605346843498</v>
      </c>
      <c r="S495" t="s">
        <v>6780</v>
      </c>
      <c r="T495" t="s">
        <v>12568</v>
      </c>
      <c r="U495" t="s">
        <v>12568</v>
      </c>
      <c r="V495" t="s">
        <v>12568</v>
      </c>
      <c r="W495" t="s">
        <v>13054</v>
      </c>
      <c r="X495">
        <v>1</v>
      </c>
      <c r="Y495" t="s">
        <v>19285</v>
      </c>
      <c r="Z495" t="s">
        <v>25365</v>
      </c>
      <c r="AA495">
        <v>0.66255186685458201</v>
      </c>
      <c r="AB495" t="str">
        <f>HYPERLINK("Melting_Curves/meltCurve_F5H5X7_CLEC4E.pdf", "Melting_Curves/meltCurve_F5H5X7_CLEC4E.pdf")</f>
        <v>Melting_Curves/meltCurve_F5H5X7_CLEC4E.pdf</v>
      </c>
    </row>
    <row r="496" spans="1:28" x14ac:dyDescent="0.25">
      <c r="A496" t="s">
        <v>500</v>
      </c>
      <c r="B496">
        <v>0.99352677808782597</v>
      </c>
      <c r="C496">
        <v>0.94934819673512105</v>
      </c>
      <c r="D496">
        <v>0.99693842199548299</v>
      </c>
      <c r="E496">
        <v>0.60539104551426703</v>
      </c>
      <c r="F496">
        <v>0.51682653825112701</v>
      </c>
      <c r="G496">
        <v>0.31397213300696902</v>
      </c>
      <c r="H496">
        <v>0.21285711628884299</v>
      </c>
      <c r="I496">
        <v>0.184654827941164</v>
      </c>
      <c r="J496">
        <v>0.16523181593139699</v>
      </c>
      <c r="K496">
        <v>0.136430236989732</v>
      </c>
      <c r="L496">
        <v>852.74614477261798</v>
      </c>
      <c r="M496">
        <v>16.503296028398299</v>
      </c>
      <c r="N496">
        <v>52.776355714743197</v>
      </c>
      <c r="O496">
        <v>50.930457865484598</v>
      </c>
      <c r="P496">
        <v>-6.91791777235094E-2</v>
      </c>
      <c r="Q496">
        <v>0.14608994317871701</v>
      </c>
      <c r="R496">
        <v>0.98437673699954298</v>
      </c>
      <c r="S496" t="s">
        <v>6781</v>
      </c>
      <c r="T496" t="s">
        <v>12568</v>
      </c>
      <c r="U496" t="s">
        <v>12568</v>
      </c>
      <c r="V496" t="s">
        <v>12568</v>
      </c>
      <c r="W496" t="s">
        <v>13055</v>
      </c>
      <c r="X496">
        <v>39</v>
      </c>
      <c r="Y496" t="s">
        <v>19286</v>
      </c>
      <c r="Z496" t="s">
        <v>25366</v>
      </c>
      <c r="AA496">
        <v>0.49483981748189387</v>
      </c>
      <c r="AB496" t="str">
        <f>HYPERLINK("Melting_Curves/meltCurve_F5H604_CLASP2.pdf", "Melting_Curves/meltCurve_F5H604_CLASP2.pdf")</f>
        <v>Melting_Curves/meltCurve_F5H604_CLASP2.pdf</v>
      </c>
    </row>
    <row r="497" spans="1:28" x14ac:dyDescent="0.25">
      <c r="A497" t="s">
        <v>501</v>
      </c>
      <c r="B497">
        <v>0.99352677808782597</v>
      </c>
      <c r="C497">
        <v>0.97046292422131497</v>
      </c>
      <c r="D497">
        <v>0.98119614667778998</v>
      </c>
      <c r="E497">
        <v>0.87699966510848304</v>
      </c>
      <c r="F497">
        <v>0.78188844951916403</v>
      </c>
      <c r="G497">
        <v>0.69357941071204798</v>
      </c>
      <c r="H497">
        <v>0.62783036850511198</v>
      </c>
      <c r="I497">
        <v>0.71134488100813698</v>
      </c>
      <c r="J497">
        <v>0.68951902816682098</v>
      </c>
      <c r="K497">
        <v>0.62566145748930402</v>
      </c>
      <c r="L497">
        <v>1118.11313012186</v>
      </c>
      <c r="M497">
        <v>21.7541253603898</v>
      </c>
      <c r="O497">
        <v>50.9693488336329</v>
      </c>
      <c r="P497">
        <v>-3.6334983578347899E-2</v>
      </c>
      <c r="Q497">
        <v>0.65948030939499902</v>
      </c>
      <c r="R497">
        <v>0.96562110261134104</v>
      </c>
      <c r="S497" t="s">
        <v>6782</v>
      </c>
      <c r="T497" t="s">
        <v>12568</v>
      </c>
      <c r="U497" t="s">
        <v>12568</v>
      </c>
      <c r="V497" t="s">
        <v>12568</v>
      </c>
      <c r="W497" t="s">
        <v>13056</v>
      </c>
      <c r="X497">
        <v>4</v>
      </c>
      <c r="Y497" t="s">
        <v>19287</v>
      </c>
      <c r="Z497" t="s">
        <v>25367</v>
      </c>
      <c r="AA497">
        <v>0.79288873059953313</v>
      </c>
      <c r="AB497" t="str">
        <f>HYPERLINK("Melting_Curves/meltCurve_F5H629_ATF2.pdf", "Melting_Curves/meltCurve_F5H629_ATF2.pdf")</f>
        <v>Melting_Curves/meltCurve_F5H629_ATF2.pdf</v>
      </c>
    </row>
    <row r="498" spans="1:28" x14ac:dyDescent="0.25">
      <c r="A498" t="s">
        <v>502</v>
      </c>
      <c r="B498">
        <v>0.99352677808782597</v>
      </c>
      <c r="C498">
        <v>0.89430302965328501</v>
      </c>
      <c r="D498">
        <v>0.87628410270908097</v>
      </c>
      <c r="E498">
        <v>0.927550056241359</v>
      </c>
      <c r="F498">
        <v>0.88276200728811105</v>
      </c>
      <c r="G498">
        <v>0.872595964994615</v>
      </c>
      <c r="H498">
        <v>0.76789904318845903</v>
      </c>
      <c r="I498">
        <v>0.73165735731761905</v>
      </c>
      <c r="J498">
        <v>0.85506485964318601</v>
      </c>
      <c r="K498">
        <v>0.88374268442023296</v>
      </c>
      <c r="L498">
        <v>370.50610962723601</v>
      </c>
      <c r="M498">
        <v>7.9690216611590596</v>
      </c>
      <c r="O498">
        <v>43.839315541755099</v>
      </c>
      <c r="P498">
        <v>-8.7761244714782E-3</v>
      </c>
      <c r="Q498">
        <v>0.80710388172091097</v>
      </c>
      <c r="R498">
        <v>0.47054546568989197</v>
      </c>
      <c r="S498" t="s">
        <v>6783</v>
      </c>
      <c r="T498" t="s">
        <v>12568</v>
      </c>
      <c r="U498" t="s">
        <v>12568</v>
      </c>
      <c r="V498" t="s">
        <v>12568</v>
      </c>
      <c r="W498" t="s">
        <v>13057</v>
      </c>
      <c r="X498">
        <v>1</v>
      </c>
      <c r="Y498" t="s">
        <v>19288</v>
      </c>
      <c r="Z498" t="s">
        <v>25368</v>
      </c>
      <c r="AA498">
        <v>0.86502553222616585</v>
      </c>
      <c r="AB498" t="str">
        <f>HYPERLINK("Melting_Curves/meltCurve_F5H6C2_IFT88.pdf", "Melting_Curves/meltCurve_F5H6C2_IFT88.pdf")</f>
        <v>Melting_Curves/meltCurve_F5H6C2_IFT88.pdf</v>
      </c>
    </row>
    <row r="499" spans="1:28" x14ac:dyDescent="0.25">
      <c r="A499" t="s">
        <v>503</v>
      </c>
      <c r="B499">
        <v>0.99352677808782597</v>
      </c>
      <c r="C499">
        <v>0.94102644515392997</v>
      </c>
      <c r="D499">
        <v>0.86136040813169401</v>
      </c>
      <c r="E499">
        <v>1.0019139285673799</v>
      </c>
      <c r="F499">
        <v>0.91922091436511799</v>
      </c>
      <c r="G499">
        <v>0.70225010378730102</v>
      </c>
      <c r="H499">
        <v>0.55646881549488703</v>
      </c>
      <c r="I499">
        <v>0.48927779468786098</v>
      </c>
      <c r="J499">
        <v>0.40790885506248697</v>
      </c>
      <c r="K499">
        <v>0.34302908425899797</v>
      </c>
      <c r="L499">
        <v>837.60807900718305</v>
      </c>
      <c r="M499">
        <v>14.1688448209635</v>
      </c>
      <c r="N499">
        <v>62.885874435240098</v>
      </c>
      <c r="O499">
        <v>57.975994900378097</v>
      </c>
      <c r="P499">
        <v>-4.3620021802772503E-2</v>
      </c>
      <c r="Q499">
        <v>0.28615357853303303</v>
      </c>
      <c r="R499">
        <v>0.95711699315565502</v>
      </c>
      <c r="S499" t="s">
        <v>6784</v>
      </c>
      <c r="T499" t="s">
        <v>12568</v>
      </c>
      <c r="U499" t="s">
        <v>12568</v>
      </c>
      <c r="V499" t="s">
        <v>12568</v>
      </c>
      <c r="W499" t="s">
        <v>13058</v>
      </c>
      <c r="X499">
        <v>3</v>
      </c>
      <c r="Y499" t="s">
        <v>19289</v>
      </c>
      <c r="Z499" t="s">
        <v>25369</v>
      </c>
      <c r="AA499">
        <v>0.74793033918252194</v>
      </c>
      <c r="AB499" t="str">
        <f>HYPERLINK("Melting_Curves/meltCurve_F5H6I7_ATL3.pdf", "Melting_Curves/meltCurve_F5H6I7_ATL3.pdf")</f>
        <v>Melting_Curves/meltCurve_F5H6I7_ATL3.pdf</v>
      </c>
    </row>
    <row r="500" spans="1:28" x14ac:dyDescent="0.25">
      <c r="A500" t="s">
        <v>504</v>
      </c>
      <c r="B500">
        <v>0.99352677808782597</v>
      </c>
      <c r="C500">
        <v>0.83919368153606499</v>
      </c>
      <c r="D500">
        <v>0.71799238593563897</v>
      </c>
      <c r="E500">
        <v>0.46990569638136398</v>
      </c>
      <c r="F500">
        <v>0.40560342028507201</v>
      </c>
      <c r="G500">
        <v>0.38329676563210302</v>
      </c>
      <c r="H500">
        <v>0.300247365453779</v>
      </c>
      <c r="I500">
        <v>0.28436422602937</v>
      </c>
      <c r="J500">
        <v>0.35610133688261297</v>
      </c>
      <c r="K500">
        <v>0.31476264538827198</v>
      </c>
      <c r="L500">
        <v>766.46511199116503</v>
      </c>
      <c r="M500">
        <v>16.413279569386098</v>
      </c>
      <c r="N500">
        <v>49.6945828429212</v>
      </c>
      <c r="O500">
        <v>46.021176937983</v>
      </c>
      <c r="P500">
        <v>-6.1154130864325397E-2</v>
      </c>
      <c r="Q500">
        <v>0.31416865598291499</v>
      </c>
      <c r="R500">
        <v>0.98645150781018798</v>
      </c>
      <c r="S500" t="s">
        <v>6785</v>
      </c>
      <c r="T500" t="s">
        <v>12568</v>
      </c>
      <c r="U500" t="s">
        <v>12568</v>
      </c>
      <c r="V500" t="s">
        <v>12568</v>
      </c>
      <c r="W500" t="s">
        <v>13059</v>
      </c>
      <c r="X500">
        <v>2</v>
      </c>
      <c r="Y500" t="s">
        <v>19290</v>
      </c>
      <c r="Z500" t="s">
        <v>25370</v>
      </c>
      <c r="AA500">
        <v>0.48300190446325669</v>
      </c>
      <c r="AB500" t="str">
        <f>HYPERLINK("Melting_Curves/meltCurve_F5H6S1_KDM6A.pdf", "Melting_Curves/meltCurve_F5H6S1_KDM6A.pdf")</f>
        <v>Melting_Curves/meltCurve_F5H6S1_KDM6A.pdf</v>
      </c>
    </row>
    <row r="501" spans="1:28" x14ac:dyDescent="0.25">
      <c r="A501" t="s">
        <v>505</v>
      </c>
      <c r="B501">
        <v>0.99352677808782597</v>
      </c>
      <c r="C501">
        <v>1.0430144974067901</v>
      </c>
      <c r="D501">
        <v>0.80052778627559396</v>
      </c>
      <c r="E501">
        <v>0.29894880172154598</v>
      </c>
      <c r="F501">
        <v>0.232273245370511</v>
      </c>
      <c r="G501">
        <v>0.130064553201032</v>
      </c>
      <c r="H501">
        <v>6.7339908784841807E-2</v>
      </c>
      <c r="I501">
        <v>6.5432486617492597E-2</v>
      </c>
      <c r="J501">
        <v>5.1945475299798802E-2</v>
      </c>
      <c r="K501">
        <v>3.6017069294839499E-2</v>
      </c>
      <c r="L501">
        <v>1258.4464760979799</v>
      </c>
      <c r="M501">
        <v>26.054902093414</v>
      </c>
      <c r="N501">
        <v>48.594968419474803</v>
      </c>
      <c r="O501">
        <v>48.017965964746502</v>
      </c>
      <c r="P501">
        <v>-0.12572541270376</v>
      </c>
      <c r="Q501">
        <v>7.3186355155940297E-2</v>
      </c>
      <c r="R501">
        <v>0.98855412635106399</v>
      </c>
      <c r="S501" t="s">
        <v>6786</v>
      </c>
      <c r="T501" t="s">
        <v>12568</v>
      </c>
      <c r="U501" t="s">
        <v>12568</v>
      </c>
      <c r="V501" t="s">
        <v>12568</v>
      </c>
      <c r="W501" t="s">
        <v>13060</v>
      </c>
      <c r="X501">
        <v>2</v>
      </c>
      <c r="Y501" t="s">
        <v>19291</v>
      </c>
      <c r="Z501" t="s">
        <v>25371</v>
      </c>
      <c r="AA501">
        <v>0.33710766242641887</v>
      </c>
      <c r="AB501" t="str">
        <f>HYPERLINK("Melting_Curves/meltCurve_F5H702_MRPL48.pdf", "Melting_Curves/meltCurve_F5H702_MRPL48.pdf")</f>
        <v>Melting_Curves/meltCurve_F5H702_MRPL48.pdf</v>
      </c>
    </row>
    <row r="502" spans="1:28" x14ac:dyDescent="0.25">
      <c r="A502" t="s">
        <v>506</v>
      </c>
      <c r="B502">
        <v>0.99352677808782597</v>
      </c>
      <c r="C502">
        <v>0.94049346126463496</v>
      </c>
      <c r="D502">
        <v>0.99258687816430002</v>
      </c>
      <c r="E502">
        <v>1.0213049627039399</v>
      </c>
      <c r="F502">
        <v>0.88581988677752499</v>
      </c>
      <c r="G502">
        <v>0.77705164843503705</v>
      </c>
      <c r="H502">
        <v>0.78530054354143597</v>
      </c>
      <c r="I502">
        <v>0.74542385194594696</v>
      </c>
      <c r="J502">
        <v>0.79367905684558704</v>
      </c>
      <c r="K502">
        <v>0.62359218011865303</v>
      </c>
      <c r="L502">
        <v>1589.1400974440401</v>
      </c>
      <c r="M502">
        <v>29.381494272369299</v>
      </c>
      <c r="O502">
        <v>53.837735856335797</v>
      </c>
      <c r="P502">
        <v>-3.6605689275581901E-2</v>
      </c>
      <c r="Q502">
        <v>0.73170139504718601</v>
      </c>
      <c r="R502">
        <v>0.84795367311167402</v>
      </c>
      <c r="S502" t="s">
        <v>6787</v>
      </c>
      <c r="T502" t="s">
        <v>12568</v>
      </c>
      <c r="U502" t="s">
        <v>12568</v>
      </c>
      <c r="V502" t="s">
        <v>12568</v>
      </c>
      <c r="W502" t="s">
        <v>13061</v>
      </c>
      <c r="X502">
        <v>24</v>
      </c>
      <c r="Y502" t="s">
        <v>19292</v>
      </c>
      <c r="Z502" t="s">
        <v>25372</v>
      </c>
      <c r="AA502">
        <v>0.85951650722031425</v>
      </c>
      <c r="AB502" t="str">
        <f>HYPERLINK("Melting_Curves/meltCurve_F5H721_WBP11.pdf", "Melting_Curves/meltCurve_F5H721_WBP11.pdf")</f>
        <v>Melting_Curves/meltCurve_F5H721_WBP11.pdf</v>
      </c>
    </row>
    <row r="503" spans="1:28" x14ac:dyDescent="0.25">
      <c r="A503" t="s">
        <v>507</v>
      </c>
      <c r="B503">
        <v>0.99352677808782597</v>
      </c>
      <c r="C503">
        <v>1.1308892156972601</v>
      </c>
      <c r="D503">
        <v>0.782500882453804</v>
      </c>
      <c r="E503">
        <v>0.94864279280237296</v>
      </c>
      <c r="F503">
        <v>0.87434443578631704</v>
      </c>
      <c r="G503">
        <v>0.85409886745482999</v>
      </c>
      <c r="H503">
        <v>0.69693418268752405</v>
      </c>
      <c r="I503">
        <v>0.767182221362396</v>
      </c>
      <c r="J503">
        <v>0.69431717065804999</v>
      </c>
      <c r="K503">
        <v>0.315559009260866</v>
      </c>
      <c r="L503">
        <v>560.91301772040504</v>
      </c>
      <c r="M503">
        <v>8.1044863608276305</v>
      </c>
      <c r="N503">
        <v>69.210182023319305</v>
      </c>
      <c r="O503">
        <v>65.378682385603895</v>
      </c>
      <c r="P503">
        <v>-3.1023945839113099E-2</v>
      </c>
      <c r="Q503">
        <v>0</v>
      </c>
      <c r="R503">
        <v>0.72731697390647199</v>
      </c>
      <c r="S503" t="s">
        <v>6788</v>
      </c>
      <c r="T503" t="s">
        <v>12568</v>
      </c>
      <c r="U503" t="s">
        <v>12568</v>
      </c>
      <c r="V503" t="s">
        <v>12568</v>
      </c>
      <c r="W503" t="s">
        <v>12652</v>
      </c>
      <c r="X503">
        <v>34</v>
      </c>
      <c r="Y503" t="s">
        <v>18880</v>
      </c>
      <c r="Z503" t="s">
        <v>25373</v>
      </c>
      <c r="AA503">
        <v>0.83141826240000083</v>
      </c>
      <c r="AB503" t="str">
        <f>HYPERLINK("Melting_Curves/meltCurve_F5H780_TXNRD1.pdf", "Melting_Curves/meltCurve_F5H780_TXNRD1.pdf")</f>
        <v>Melting_Curves/meltCurve_F5H780_TXNRD1.pdf</v>
      </c>
    </row>
    <row r="504" spans="1:28" x14ac:dyDescent="0.25">
      <c r="A504" t="s">
        <v>508</v>
      </c>
      <c r="B504">
        <v>0.99352677808782597</v>
      </c>
      <c r="C504">
        <v>0.98358111458835795</v>
      </c>
      <c r="D504">
        <v>0.71836173030469896</v>
      </c>
      <c r="E504">
        <v>0.260591837331489</v>
      </c>
      <c r="F504">
        <v>0.207635125834644</v>
      </c>
      <c r="G504">
        <v>0.13575377275383799</v>
      </c>
      <c r="H504">
        <v>0.105538072453537</v>
      </c>
      <c r="I504">
        <v>9.1042121825052197E-2</v>
      </c>
      <c r="J504">
        <v>8.3900905359328398E-2</v>
      </c>
      <c r="K504">
        <v>6.0266139742111403E-2</v>
      </c>
      <c r="L504">
        <v>1246.49648599681</v>
      </c>
      <c r="M504">
        <v>26.275261302020699</v>
      </c>
      <c r="N504">
        <v>47.840470084250697</v>
      </c>
      <c r="O504">
        <v>47.167696515531503</v>
      </c>
      <c r="P504">
        <v>-0.125516028973679</v>
      </c>
      <c r="Q504">
        <v>9.8736084108549602E-2</v>
      </c>
      <c r="R504">
        <v>0.99426421476346805</v>
      </c>
      <c r="S504" t="s">
        <v>6789</v>
      </c>
      <c r="T504" t="s">
        <v>12568</v>
      </c>
      <c r="U504" t="s">
        <v>12568</v>
      </c>
      <c r="V504" t="s">
        <v>12568</v>
      </c>
      <c r="W504" t="s">
        <v>13062</v>
      </c>
      <c r="X504">
        <v>8</v>
      </c>
      <c r="Y504" t="s">
        <v>19293</v>
      </c>
      <c r="Z504" t="s">
        <v>25374</v>
      </c>
      <c r="AA504">
        <v>0.32942593494995159</v>
      </c>
      <c r="AB504" t="str">
        <f>HYPERLINK("Melting_Curves/meltCurve_F5H801_OGDH.pdf", "Melting_Curves/meltCurve_F5H801_OGDH.pdf")</f>
        <v>Melting_Curves/meltCurve_F5H801_OGDH.pdf</v>
      </c>
    </row>
    <row r="505" spans="1:28" x14ac:dyDescent="0.25">
      <c r="A505" t="s">
        <v>509</v>
      </c>
      <c r="B505">
        <v>0.99352677808782597</v>
      </c>
      <c r="C505">
        <v>0.95859118568181401</v>
      </c>
      <c r="D505">
        <v>0.88423609752101096</v>
      </c>
      <c r="E505">
        <v>0.74922025037853501</v>
      </c>
      <c r="F505">
        <v>0.73500047770575905</v>
      </c>
      <c r="G505">
        <v>0.42911039657236599</v>
      </c>
      <c r="H505">
        <v>0.25540190109219002</v>
      </c>
      <c r="I505">
        <v>0.209175196204921</v>
      </c>
      <c r="J505">
        <v>0.19597371805980801</v>
      </c>
      <c r="K505">
        <v>0.15735281796798201</v>
      </c>
      <c r="L505">
        <v>661.13215623935798</v>
      </c>
      <c r="M505">
        <v>11.999113822768299</v>
      </c>
      <c r="N505">
        <v>55.871602207106498</v>
      </c>
      <c r="O505">
        <v>53.6349788876582</v>
      </c>
      <c r="P505">
        <v>-5.16634380162325E-2</v>
      </c>
      <c r="Q505">
        <v>7.6498681001245503E-2</v>
      </c>
      <c r="R505">
        <v>0.98659642082353904</v>
      </c>
      <c r="S505" t="s">
        <v>6790</v>
      </c>
      <c r="T505" t="s">
        <v>12568</v>
      </c>
      <c r="U505" t="s">
        <v>12568</v>
      </c>
      <c r="V505" t="s">
        <v>12568</v>
      </c>
      <c r="W505" t="s">
        <v>13063</v>
      </c>
      <c r="X505">
        <v>8</v>
      </c>
      <c r="Y505" t="s">
        <v>19294</v>
      </c>
      <c r="Z505" t="s">
        <v>25375</v>
      </c>
      <c r="AA505">
        <v>0.56267623058865324</v>
      </c>
      <c r="AB505" t="str">
        <f>HYPERLINK("Melting_Curves/meltCurve_F5H860_INPP4A.pdf", "Melting_Curves/meltCurve_F5H860_INPP4A.pdf")</f>
        <v>Melting_Curves/meltCurve_F5H860_INPP4A.pdf</v>
      </c>
    </row>
    <row r="506" spans="1:28" x14ac:dyDescent="0.25">
      <c r="A506" t="s">
        <v>510</v>
      </c>
      <c r="B506">
        <v>0.99352677808782597</v>
      </c>
      <c r="C506">
        <v>1.0117018563759601</v>
      </c>
      <c r="D506">
        <v>0.99003354041454805</v>
      </c>
      <c r="E506">
        <v>0.65970144674334197</v>
      </c>
      <c r="F506">
        <v>0.52930389845416503</v>
      </c>
      <c r="G506">
        <v>0.16463570011561901</v>
      </c>
      <c r="H506">
        <v>8.0623054140237002E-2</v>
      </c>
      <c r="I506">
        <v>6.7303617424694401E-2</v>
      </c>
      <c r="J506">
        <v>5.59100728252407E-2</v>
      </c>
      <c r="K506">
        <v>4.3422216964121199E-2</v>
      </c>
      <c r="L506">
        <v>1028.67441920842</v>
      </c>
      <c r="M506">
        <v>19.627679713294601</v>
      </c>
      <c r="N506">
        <v>52.596358683424597</v>
      </c>
      <c r="O506">
        <v>51.8744420210244</v>
      </c>
      <c r="P506">
        <v>-9.1407814229299805E-2</v>
      </c>
      <c r="Q506">
        <v>3.3698697243534297E-2</v>
      </c>
      <c r="R506">
        <v>0.99173955137358005</v>
      </c>
      <c r="S506" t="s">
        <v>6791</v>
      </c>
      <c r="T506" t="s">
        <v>12568</v>
      </c>
      <c r="U506" t="s">
        <v>12568</v>
      </c>
      <c r="V506" t="s">
        <v>12568</v>
      </c>
      <c r="W506" t="s">
        <v>13064</v>
      </c>
      <c r="X506">
        <v>32</v>
      </c>
      <c r="Y506" t="s">
        <v>19295</v>
      </c>
      <c r="Z506" t="s">
        <v>25376</v>
      </c>
      <c r="AA506">
        <v>0.44719712505006293</v>
      </c>
      <c r="AB506" t="str">
        <f>HYPERLINK("Melting_Curves/meltCurve_F5H897_TRAP1.pdf", "Melting_Curves/meltCurve_F5H897_TRAP1.pdf")</f>
        <v>Melting_Curves/meltCurve_F5H897_TRAP1.pdf</v>
      </c>
    </row>
    <row r="507" spans="1:28" x14ac:dyDescent="0.25">
      <c r="A507" t="s">
        <v>511</v>
      </c>
      <c r="B507">
        <v>0.99352677808782597</v>
      </c>
      <c r="C507">
        <v>0.92551283021288699</v>
      </c>
      <c r="D507">
        <v>1.01620769338601</v>
      </c>
      <c r="E507">
        <v>0.78291415513533102</v>
      </c>
      <c r="F507">
        <v>0.59878048054789801</v>
      </c>
      <c r="G507">
        <v>0.39822791495020898</v>
      </c>
      <c r="H507">
        <v>9.2462136191774999E-2</v>
      </c>
      <c r="I507">
        <v>0.20232483354634401</v>
      </c>
      <c r="J507">
        <v>7.4999282496367295E-2</v>
      </c>
      <c r="K507">
        <v>0.11353338495606401</v>
      </c>
      <c r="L507">
        <v>916.05094470559095</v>
      </c>
      <c r="M507">
        <v>16.972652159592698</v>
      </c>
      <c r="N507">
        <v>54.489757321562301</v>
      </c>
      <c r="O507">
        <v>53.239636424668497</v>
      </c>
      <c r="P507">
        <v>-7.3770291692960302E-2</v>
      </c>
      <c r="Q507">
        <v>7.4450012798702794E-2</v>
      </c>
      <c r="R507">
        <v>0.98013583149162697</v>
      </c>
      <c r="S507" t="s">
        <v>6792</v>
      </c>
      <c r="T507" t="s">
        <v>12568</v>
      </c>
      <c r="U507" t="s">
        <v>12568</v>
      </c>
      <c r="V507" t="s">
        <v>12568</v>
      </c>
      <c r="W507" t="s">
        <v>13065</v>
      </c>
      <c r="X507">
        <v>2</v>
      </c>
      <c r="Y507" t="s">
        <v>19296</v>
      </c>
      <c r="Z507" t="s">
        <v>25377</v>
      </c>
      <c r="AA507">
        <v>0.52165341499134099</v>
      </c>
      <c r="AB507" t="str">
        <f>HYPERLINK("Melting_Curves/meltCurve_F5H8E6_WDR20.pdf", "Melting_Curves/meltCurve_F5H8E6_WDR20.pdf")</f>
        <v>Melting_Curves/meltCurve_F5H8E6_WDR20.pdf</v>
      </c>
    </row>
    <row r="508" spans="1:28" x14ac:dyDescent="0.25">
      <c r="A508" t="s">
        <v>512</v>
      </c>
      <c r="B508">
        <v>0.99352677808782597</v>
      </c>
      <c r="C508">
        <v>0.92857890139454002</v>
      </c>
      <c r="D508">
        <v>0.88890160263645401</v>
      </c>
      <c r="E508">
        <v>0.66162614931650798</v>
      </c>
      <c r="F508">
        <v>0.54738481286077301</v>
      </c>
      <c r="G508">
        <v>0.28453662547709901</v>
      </c>
      <c r="H508">
        <v>9.7009602926963603E-2</v>
      </c>
      <c r="I508">
        <v>7.2217242574222407E-2</v>
      </c>
      <c r="J508">
        <v>6.4332846679838296E-2</v>
      </c>
      <c r="K508">
        <v>4.5620322934686097E-2</v>
      </c>
      <c r="L508">
        <v>722.02966166521298</v>
      </c>
      <c r="M508">
        <v>13.627484837804399</v>
      </c>
      <c r="N508">
        <v>52.9833473046818</v>
      </c>
      <c r="O508">
        <v>51.881469352726299</v>
      </c>
      <c r="P508">
        <v>-6.56760910392713E-2</v>
      </c>
      <c r="Q508">
        <v>0</v>
      </c>
      <c r="R508">
        <v>0.99491782717113397</v>
      </c>
      <c r="S508" t="s">
        <v>6793</v>
      </c>
      <c r="T508" t="s">
        <v>12568</v>
      </c>
      <c r="U508" t="s">
        <v>12568</v>
      </c>
      <c r="V508" t="s">
        <v>12568</v>
      </c>
      <c r="W508" t="s">
        <v>13066</v>
      </c>
      <c r="X508">
        <v>11</v>
      </c>
      <c r="Y508" t="s">
        <v>19297</v>
      </c>
      <c r="Z508" t="s">
        <v>25378</v>
      </c>
      <c r="AA508">
        <v>0.45725669869777708</v>
      </c>
      <c r="AB508" t="str">
        <f>HYPERLINK("Melting_Curves/meltCurve_F5H8H2_MVK.pdf", "Melting_Curves/meltCurve_F5H8H2_MVK.pdf")</f>
        <v>Melting_Curves/meltCurve_F5H8H2_MVK.pdf</v>
      </c>
    </row>
    <row r="509" spans="1:28" x14ac:dyDescent="0.25">
      <c r="A509" t="s">
        <v>513</v>
      </c>
      <c r="B509">
        <v>0.99352677808782597</v>
      </c>
      <c r="C509">
        <v>0.87410825126688096</v>
      </c>
      <c r="D509">
        <v>0.75096499533402805</v>
      </c>
      <c r="E509">
        <v>0.435722882780263</v>
      </c>
      <c r="F509">
        <v>0.32668300563659902</v>
      </c>
      <c r="G509">
        <v>0.18263315849780301</v>
      </c>
      <c r="H509">
        <v>0.11145566381103</v>
      </c>
      <c r="I509">
        <v>8.4799376112888195E-2</v>
      </c>
      <c r="J509">
        <v>9.5551575399092994E-2</v>
      </c>
      <c r="K509">
        <v>6.1594317073461698E-2</v>
      </c>
      <c r="L509">
        <v>694.10105726308302</v>
      </c>
      <c r="M509">
        <v>14.1535885573415</v>
      </c>
      <c r="N509">
        <v>49.491809578731299</v>
      </c>
      <c r="O509">
        <v>48.092807749609698</v>
      </c>
      <c r="P509">
        <v>-6.9130128421283396E-2</v>
      </c>
      <c r="Q509">
        <v>6.0523744936562499E-2</v>
      </c>
      <c r="R509">
        <v>0.996942040127062</v>
      </c>
      <c r="S509" t="s">
        <v>6794</v>
      </c>
      <c r="T509" t="s">
        <v>12568</v>
      </c>
      <c r="U509" t="s">
        <v>12568</v>
      </c>
      <c r="V509" t="s">
        <v>12568</v>
      </c>
      <c r="W509" t="s">
        <v>13067</v>
      </c>
      <c r="X509">
        <v>5</v>
      </c>
      <c r="Y509" t="s">
        <v>19298</v>
      </c>
      <c r="Z509" t="s">
        <v>25379</v>
      </c>
      <c r="AA509">
        <v>0.36942229982296809</v>
      </c>
      <c r="AB509" t="str">
        <f>HYPERLINK("Melting_Curves/meltCurve_F5H8H4_POGZ.pdf", "Melting_Curves/meltCurve_F5H8H4_POGZ.pdf")</f>
        <v>Melting_Curves/meltCurve_F5H8H4_POGZ.pdf</v>
      </c>
    </row>
    <row r="510" spans="1:28" x14ac:dyDescent="0.25">
      <c r="A510" t="s">
        <v>514</v>
      </c>
      <c r="B510">
        <v>0.99352677808782597</v>
      </c>
      <c r="C510">
        <v>0.89776336728695505</v>
      </c>
      <c r="D510">
        <v>0.82359188663894201</v>
      </c>
      <c r="E510">
        <v>0.43386794039502302</v>
      </c>
      <c r="F510">
        <v>0.37560318901017498</v>
      </c>
      <c r="G510">
        <v>0.24075720239562301</v>
      </c>
      <c r="H510">
        <v>0.20096143862934299</v>
      </c>
      <c r="I510">
        <v>0.25497014804371199</v>
      </c>
      <c r="J510">
        <v>0.19467640256206201</v>
      </c>
      <c r="K510">
        <v>0.167561907501837</v>
      </c>
      <c r="L510">
        <v>900.23609775629598</v>
      </c>
      <c r="M510">
        <v>18.590748300778198</v>
      </c>
      <c r="N510">
        <v>49.777545574404002</v>
      </c>
      <c r="O510">
        <v>47.874017806726997</v>
      </c>
      <c r="P510">
        <v>-7.7822328769917307E-2</v>
      </c>
      <c r="Q510">
        <v>0.19841728873918499</v>
      </c>
      <c r="R510">
        <v>0.98783443145952399</v>
      </c>
      <c r="S510" t="s">
        <v>6795</v>
      </c>
      <c r="T510" t="s">
        <v>12568</v>
      </c>
      <c r="U510" t="s">
        <v>12568</v>
      </c>
      <c r="V510" t="s">
        <v>12568</v>
      </c>
      <c r="W510" t="s">
        <v>13068</v>
      </c>
      <c r="X510">
        <v>14</v>
      </c>
      <c r="Y510" t="s">
        <v>19299</v>
      </c>
      <c r="Z510" t="s">
        <v>25380</v>
      </c>
      <c r="AA510">
        <v>0.43665359672510579</v>
      </c>
      <c r="AB510" t="str">
        <f>HYPERLINK("Melting_Curves/meltCurve_F6TQG2_SMARCA1.pdf", "Melting_Curves/meltCurve_F6TQG2_SMARCA1.pdf")</f>
        <v>Melting_Curves/meltCurve_F6TQG2_SMARCA1.pdf</v>
      </c>
    </row>
    <row r="511" spans="1:28" x14ac:dyDescent="0.25">
      <c r="A511" t="s">
        <v>515</v>
      </c>
      <c r="B511">
        <v>0.99352677808782597</v>
      </c>
      <c r="C511">
        <v>0.93811834528516203</v>
      </c>
      <c r="D511">
        <v>0.85058115539275703</v>
      </c>
      <c r="E511">
        <v>0.79620166517191704</v>
      </c>
      <c r="F511">
        <v>0.67301956718564204</v>
      </c>
      <c r="G511">
        <v>0.54115327803620905</v>
      </c>
      <c r="H511">
        <v>0.46597931884085902</v>
      </c>
      <c r="I511">
        <v>0.42984629499485999</v>
      </c>
      <c r="J511">
        <v>0.43982362223830701</v>
      </c>
      <c r="K511">
        <v>0.32358962238287298</v>
      </c>
      <c r="L511">
        <v>488.06759907217901</v>
      </c>
      <c r="M511">
        <v>9.0165074031643293</v>
      </c>
      <c r="N511">
        <v>59.587800911849001</v>
      </c>
      <c r="O511">
        <v>51.6667748934874</v>
      </c>
      <c r="P511">
        <v>-3.1388993476738403E-2</v>
      </c>
      <c r="Q511">
        <v>0.28105229934382697</v>
      </c>
      <c r="R511">
        <v>0.98692888474241502</v>
      </c>
      <c r="S511" t="s">
        <v>6796</v>
      </c>
      <c r="T511" t="s">
        <v>12568</v>
      </c>
      <c r="U511" t="s">
        <v>12568</v>
      </c>
      <c r="V511" t="s">
        <v>12568</v>
      </c>
      <c r="W511" t="s">
        <v>13069</v>
      </c>
      <c r="X511">
        <v>5</v>
      </c>
      <c r="Y511" t="s">
        <v>19300</v>
      </c>
      <c r="Z511" t="s">
        <v>25381</v>
      </c>
      <c r="AA511">
        <v>0.64233175525468555</v>
      </c>
      <c r="AB511" t="str">
        <f>HYPERLINK("Melting_Curves/meltCurve_F6U1T9_PPP3R1.pdf", "Melting_Curves/meltCurve_F6U1T9_PPP3R1.pdf")</f>
        <v>Melting_Curves/meltCurve_F6U1T9_PPP3R1.pdf</v>
      </c>
    </row>
    <row r="512" spans="1:28" x14ac:dyDescent="0.25">
      <c r="A512" t="s">
        <v>516</v>
      </c>
      <c r="B512">
        <v>0.99352677808782597</v>
      </c>
      <c r="C512">
        <v>0.98667042370285496</v>
      </c>
      <c r="D512">
        <v>0.82310405259295605</v>
      </c>
      <c r="E512">
        <v>0.60910116398925096</v>
      </c>
      <c r="F512">
        <v>0.53395945316862004</v>
      </c>
      <c r="G512">
        <v>0.35100631094677698</v>
      </c>
      <c r="H512">
        <v>0.33062973271861301</v>
      </c>
      <c r="I512">
        <v>0.37128307385096199</v>
      </c>
      <c r="J512">
        <v>0.147114052235953</v>
      </c>
      <c r="K512">
        <v>0.17703725962421499</v>
      </c>
      <c r="L512">
        <v>596.37809581136105</v>
      </c>
      <c r="M512">
        <v>11.6023739302936</v>
      </c>
      <c r="N512">
        <v>53.4332790765882</v>
      </c>
      <c r="O512">
        <v>49.945599934536197</v>
      </c>
      <c r="P512">
        <v>-4.7729489530991799E-2</v>
      </c>
      <c r="Q512">
        <v>0.17836696528399401</v>
      </c>
      <c r="R512">
        <v>0.96502809201267603</v>
      </c>
      <c r="S512" t="s">
        <v>6797</v>
      </c>
      <c r="T512" t="s">
        <v>12568</v>
      </c>
      <c r="U512" t="s">
        <v>12568</v>
      </c>
      <c r="V512" t="s">
        <v>12568</v>
      </c>
      <c r="W512" t="s">
        <v>13070</v>
      </c>
      <c r="X512">
        <v>2</v>
      </c>
      <c r="Y512" t="s">
        <v>19301</v>
      </c>
      <c r="Z512" t="s">
        <v>25382</v>
      </c>
      <c r="AA512">
        <v>0.51798767262756218</v>
      </c>
      <c r="AB512" t="str">
        <f>HYPERLINK("Melting_Curves/meltCurve_F6UJY9_HYI.pdf", "Melting_Curves/meltCurve_F6UJY9_HYI.pdf")</f>
        <v>Melting_Curves/meltCurve_F6UJY9_HYI.pdf</v>
      </c>
    </row>
    <row r="513" spans="1:28" x14ac:dyDescent="0.25">
      <c r="A513" t="s">
        <v>517</v>
      </c>
      <c r="B513">
        <v>0.99352677808782597</v>
      </c>
      <c r="C513">
        <v>0.969441324869318</v>
      </c>
      <c r="D513">
        <v>0.99171805980323002</v>
      </c>
      <c r="E513">
        <v>0.45756416928321803</v>
      </c>
      <c r="F513">
        <v>0.378142524433836</v>
      </c>
      <c r="G513">
        <v>0.144721593163952</v>
      </c>
      <c r="H513">
        <v>7.71791365707932E-2</v>
      </c>
      <c r="I513">
        <v>7.3702223274486306E-2</v>
      </c>
      <c r="J513">
        <v>6.0801844161726501E-2</v>
      </c>
      <c r="K513">
        <v>4.4932753052996502E-2</v>
      </c>
      <c r="L513">
        <v>1079.5810089035499</v>
      </c>
      <c r="M513">
        <v>21.461066687927101</v>
      </c>
      <c r="N513">
        <v>50.6231915716304</v>
      </c>
      <c r="O513">
        <v>49.873504067784097</v>
      </c>
      <c r="P513">
        <v>-0.100775666699065</v>
      </c>
      <c r="Q513">
        <v>6.3250311057156103E-2</v>
      </c>
      <c r="R513">
        <v>0.98152866858479904</v>
      </c>
      <c r="S513" t="s">
        <v>6798</v>
      </c>
      <c r="T513" t="s">
        <v>12568</v>
      </c>
      <c r="U513" t="s">
        <v>12568</v>
      </c>
      <c r="V513" t="s">
        <v>12568</v>
      </c>
      <c r="W513" t="s">
        <v>13071</v>
      </c>
      <c r="X513">
        <v>8</v>
      </c>
      <c r="Y513" t="s">
        <v>19302</v>
      </c>
      <c r="Z513" t="s">
        <v>25383</v>
      </c>
      <c r="AA513">
        <v>0.39635816930869028</v>
      </c>
      <c r="AB513" t="str">
        <f>HYPERLINK("Melting_Curves/meltCurve_F6UYM1_RPS6KB1.pdf", "Melting_Curves/meltCurve_F6UYM1_RPS6KB1.pdf")</f>
        <v>Melting_Curves/meltCurve_F6UYM1_RPS6KB1.pdf</v>
      </c>
    </row>
    <row r="514" spans="1:28" x14ac:dyDescent="0.25">
      <c r="A514" t="s">
        <v>518</v>
      </c>
      <c r="B514">
        <v>0.99352677808782597</v>
      </c>
      <c r="C514">
        <v>1.0196619834860601</v>
      </c>
      <c r="D514">
        <v>1.0011161895359</v>
      </c>
      <c r="E514">
        <v>1.00741930740974</v>
      </c>
      <c r="F514">
        <v>0.80138047441166305</v>
      </c>
      <c r="G514">
        <v>0.75853383976028299</v>
      </c>
      <c r="H514">
        <v>0.60894215936214502</v>
      </c>
      <c r="I514">
        <v>0.66329894564165603</v>
      </c>
      <c r="J514">
        <v>0.83279000311659601</v>
      </c>
      <c r="K514">
        <v>0.66414591872873696</v>
      </c>
      <c r="L514">
        <v>13211.377404864101</v>
      </c>
      <c r="M514">
        <v>250</v>
      </c>
      <c r="O514">
        <v>52.842133965949003</v>
      </c>
      <c r="P514">
        <v>-0.34827542237180797</v>
      </c>
      <c r="Q514">
        <v>0.70554216990711904</v>
      </c>
      <c r="R514">
        <v>0.86149520005160396</v>
      </c>
      <c r="S514" t="s">
        <v>6799</v>
      </c>
      <c r="T514" t="s">
        <v>12568</v>
      </c>
      <c r="U514" t="s">
        <v>12568</v>
      </c>
      <c r="V514" t="s">
        <v>12568</v>
      </c>
      <c r="W514" t="s">
        <v>13072</v>
      </c>
      <c r="X514">
        <v>7</v>
      </c>
      <c r="Y514" t="s">
        <v>19303</v>
      </c>
      <c r="Z514" t="s">
        <v>25384</v>
      </c>
      <c r="AA514">
        <v>0.83165150845621638</v>
      </c>
      <c r="AB514" t="str">
        <f>HYPERLINK("Melting_Curves/meltCurve_F6V707_TPD52L1.pdf", "Melting_Curves/meltCurve_F6V707_TPD52L1.pdf")</f>
        <v>Melting_Curves/meltCurve_F6V707_TPD52L1.pdf</v>
      </c>
    </row>
    <row r="515" spans="1:28" x14ac:dyDescent="0.25">
      <c r="A515" t="s">
        <v>519</v>
      </c>
      <c r="B515">
        <v>0.99352677808782597</v>
      </c>
      <c r="C515">
        <v>0.85487625439418602</v>
      </c>
      <c r="D515">
        <v>0.75186317149703097</v>
      </c>
      <c r="E515">
        <v>1.03725879985919</v>
      </c>
      <c r="F515">
        <v>0.73446303247587996</v>
      </c>
      <c r="G515">
        <v>0.79765414006973301</v>
      </c>
      <c r="H515">
        <v>1.31064840794281</v>
      </c>
      <c r="I515">
        <v>0.79332919219653397</v>
      </c>
      <c r="J515">
        <v>0.39166338712028598</v>
      </c>
      <c r="K515">
        <v>0.201393631813298</v>
      </c>
      <c r="L515">
        <v>3970.6300764072498</v>
      </c>
      <c r="M515">
        <v>60.637229412532498</v>
      </c>
      <c r="N515">
        <v>66.047114909427506</v>
      </c>
      <c r="O515">
        <v>65.410625042731496</v>
      </c>
      <c r="P515">
        <v>-0.184833137612506</v>
      </c>
      <c r="Q515">
        <v>0.20246725559477899</v>
      </c>
      <c r="R515">
        <v>0.66053586590354496</v>
      </c>
      <c r="S515" t="s">
        <v>6800</v>
      </c>
      <c r="T515" t="s">
        <v>12568</v>
      </c>
      <c r="U515" t="s">
        <v>12568</v>
      </c>
      <c r="V515" t="s">
        <v>12568</v>
      </c>
      <c r="W515" t="s">
        <v>12803</v>
      </c>
      <c r="X515">
        <v>8</v>
      </c>
      <c r="Y515" t="s">
        <v>19304</v>
      </c>
      <c r="Z515" t="s">
        <v>25385</v>
      </c>
      <c r="AA515">
        <v>0.88077488055132069</v>
      </c>
      <c r="AB515" t="str">
        <f>HYPERLINK("Melting_Curves/meltCurve_F6XY72_NME2.pdf", "Melting_Curves/meltCurve_F6XY72_NME2.pdf")</f>
        <v>Melting_Curves/meltCurve_F6XY72_NME2.pdf</v>
      </c>
    </row>
    <row r="516" spans="1:28" x14ac:dyDescent="0.25">
      <c r="A516" t="s">
        <v>520</v>
      </c>
      <c r="B516">
        <v>0.99352677808782597</v>
      </c>
      <c r="C516">
        <v>0.86033722310968397</v>
      </c>
      <c r="D516">
        <v>0.79678098300262701</v>
      </c>
      <c r="E516">
        <v>0.707471011831319</v>
      </c>
      <c r="F516">
        <v>0.60663741706108099</v>
      </c>
      <c r="G516">
        <v>0.30059788245535501</v>
      </c>
      <c r="H516">
        <v>0.14709870350271401</v>
      </c>
      <c r="I516">
        <v>0.137719456400969</v>
      </c>
      <c r="J516">
        <v>0.10771200376005299</v>
      </c>
      <c r="K516">
        <v>8.3181183870475003E-2</v>
      </c>
      <c r="L516">
        <v>579.79228878676599</v>
      </c>
      <c r="M516">
        <v>10.852782110256999</v>
      </c>
      <c r="N516">
        <v>53.423377773748399</v>
      </c>
      <c r="O516">
        <v>51.7055095062954</v>
      </c>
      <c r="P516">
        <v>-5.2492658486770802E-2</v>
      </c>
      <c r="Q516">
        <v>0</v>
      </c>
      <c r="R516">
        <v>0.98052219533707297</v>
      </c>
      <c r="S516" t="s">
        <v>6801</v>
      </c>
      <c r="T516" t="s">
        <v>12568</v>
      </c>
      <c r="U516" t="s">
        <v>12568</v>
      </c>
      <c r="V516" t="s">
        <v>12568</v>
      </c>
      <c r="W516" t="s">
        <v>13073</v>
      </c>
      <c r="X516">
        <v>44</v>
      </c>
      <c r="Y516" t="s">
        <v>19305</v>
      </c>
      <c r="Z516" t="s">
        <v>25386</v>
      </c>
      <c r="AA516">
        <v>0.47778287795126922</v>
      </c>
      <c r="AB516" t="str">
        <f>HYPERLINK("Melting_Curves/meltCurve_F8VPD4_CAD.pdf", "Melting_Curves/meltCurve_F8VPD4_CAD.pdf")</f>
        <v>Melting_Curves/meltCurve_F8VPD4_CAD.pdf</v>
      </c>
    </row>
    <row r="517" spans="1:28" x14ac:dyDescent="0.25">
      <c r="A517" t="s">
        <v>521</v>
      </c>
      <c r="B517">
        <v>0.99352677808782597</v>
      </c>
      <c r="C517">
        <v>0.93012297056668403</v>
      </c>
      <c r="D517">
        <v>0.93894289358087002</v>
      </c>
      <c r="E517">
        <v>0.87403328426028004</v>
      </c>
      <c r="F517">
        <v>0.77445887979563699</v>
      </c>
      <c r="G517">
        <v>0.802252540206563</v>
      </c>
      <c r="H517">
        <v>0.63886289055735301</v>
      </c>
      <c r="I517">
        <v>0.52787384025247597</v>
      </c>
      <c r="J517">
        <v>0.30145615034856799</v>
      </c>
      <c r="K517">
        <v>0.11937014948382101</v>
      </c>
      <c r="L517">
        <v>706.91318520965297</v>
      </c>
      <c r="M517">
        <v>11.266926277867199</v>
      </c>
      <c r="N517">
        <v>62.742328116607801</v>
      </c>
      <c r="O517">
        <v>60.8632370781311</v>
      </c>
      <c r="P517">
        <v>-4.6293920538284898E-2</v>
      </c>
      <c r="Q517">
        <v>0</v>
      </c>
      <c r="R517">
        <v>0.93335264335958601</v>
      </c>
      <c r="S517" t="s">
        <v>6802</v>
      </c>
      <c r="T517" t="s">
        <v>12568</v>
      </c>
      <c r="U517" t="s">
        <v>12568</v>
      </c>
      <c r="V517" t="s">
        <v>12568</v>
      </c>
      <c r="W517" t="s">
        <v>13074</v>
      </c>
      <c r="X517">
        <v>21</v>
      </c>
      <c r="Y517" t="s">
        <v>19306</v>
      </c>
      <c r="Z517" t="s">
        <v>25387</v>
      </c>
      <c r="AA517">
        <v>0.73708823279390301</v>
      </c>
      <c r="AB517" t="str">
        <f>HYPERLINK("Melting_Curves/meltCurve_F8VQZ7_METAP2.pdf", "Melting_Curves/meltCurve_F8VQZ7_METAP2.pdf")</f>
        <v>Melting_Curves/meltCurve_F8VQZ7_METAP2.pdf</v>
      </c>
    </row>
    <row r="518" spans="1:28" x14ac:dyDescent="0.25">
      <c r="A518" t="s">
        <v>522</v>
      </c>
      <c r="B518">
        <v>0.99352677808782597</v>
      </c>
      <c r="C518">
        <v>0.93818454190169498</v>
      </c>
      <c r="D518">
        <v>1.12937596216551</v>
      </c>
      <c r="E518">
        <v>0.92217736540663497</v>
      </c>
      <c r="F518">
        <v>0.778048378239107</v>
      </c>
      <c r="G518">
        <v>0.71701271250250997</v>
      </c>
      <c r="H518">
        <v>0.57532591656017495</v>
      </c>
      <c r="I518">
        <v>0.67516705736615801</v>
      </c>
      <c r="J518">
        <v>0.64354401078935297</v>
      </c>
      <c r="K518">
        <v>0.61411074676354305</v>
      </c>
      <c r="L518">
        <v>1560.7740557083901</v>
      </c>
      <c r="M518">
        <v>29.7248255602392</v>
      </c>
      <c r="O518">
        <v>52.271500635359502</v>
      </c>
      <c r="P518">
        <v>-5.19435394806246E-2</v>
      </c>
      <c r="Q518">
        <v>0.63462888278683605</v>
      </c>
      <c r="R518">
        <v>0.90062010401402204</v>
      </c>
      <c r="S518" t="s">
        <v>6803</v>
      </c>
      <c r="T518" t="s">
        <v>12568</v>
      </c>
      <c r="U518" t="s">
        <v>12568</v>
      </c>
      <c r="V518" t="s">
        <v>12568</v>
      </c>
      <c r="W518" t="s">
        <v>13075</v>
      </c>
      <c r="X518">
        <v>5</v>
      </c>
      <c r="Y518" t="s">
        <v>19307</v>
      </c>
      <c r="Z518" t="s">
        <v>25388</v>
      </c>
      <c r="AA518">
        <v>0.78935300176567813</v>
      </c>
      <c r="AB518" t="str">
        <f>HYPERLINK("Melting_Curves/meltCurve_F8VRH0_PCBP2.pdf", "Melting_Curves/meltCurve_F8VRH0_PCBP2.pdf")</f>
        <v>Melting_Curves/meltCurve_F8VRH0_PCBP2.pdf</v>
      </c>
    </row>
    <row r="519" spans="1:28" x14ac:dyDescent="0.25">
      <c r="A519" t="s">
        <v>523</v>
      </c>
      <c r="B519">
        <v>0.99352677808782597</v>
      </c>
      <c r="C519">
        <v>0.93777016311944394</v>
      </c>
      <c r="D519">
        <v>0.87889181389062698</v>
      </c>
      <c r="E519">
        <v>0.57198320642721401</v>
      </c>
      <c r="F519">
        <v>0.43072247737760599</v>
      </c>
      <c r="G519">
        <v>0.27304476502358699</v>
      </c>
      <c r="H519">
        <v>0.132152159605538</v>
      </c>
      <c r="I519">
        <v>0.13599627089345401</v>
      </c>
      <c r="J519">
        <v>0.11906355863573601</v>
      </c>
      <c r="K519">
        <v>9.73725088029231E-2</v>
      </c>
      <c r="L519">
        <v>753.84138394178103</v>
      </c>
      <c r="M519">
        <v>14.7854938807473</v>
      </c>
      <c r="N519">
        <v>51.6511532875491</v>
      </c>
      <c r="O519">
        <v>50.0797968740047</v>
      </c>
      <c r="P519">
        <v>-6.7411522121773398E-2</v>
      </c>
      <c r="Q519">
        <v>8.6782146376857397E-2</v>
      </c>
      <c r="R519">
        <v>0.99628429124836204</v>
      </c>
      <c r="S519" t="s">
        <v>6804</v>
      </c>
      <c r="T519" t="s">
        <v>12568</v>
      </c>
      <c r="U519" t="s">
        <v>12568</v>
      </c>
      <c r="V519" t="s">
        <v>12568</v>
      </c>
      <c r="W519" t="s">
        <v>13076</v>
      </c>
      <c r="X519">
        <v>3</v>
      </c>
      <c r="Y519" t="s">
        <v>19308</v>
      </c>
      <c r="Z519" t="s">
        <v>25389</v>
      </c>
      <c r="AA519">
        <v>0.44279514987681151</v>
      </c>
      <c r="AB519" t="str">
        <f>HYPERLINK("Melting_Curves/meltCurve_F8VS47_NEK3.pdf", "Melting_Curves/meltCurve_F8VS47_NEK3.pdf")</f>
        <v>Melting_Curves/meltCurve_F8VS47_NEK3.pdf</v>
      </c>
    </row>
    <row r="520" spans="1:28" x14ac:dyDescent="0.25">
      <c r="A520" t="s">
        <v>524</v>
      </c>
      <c r="B520">
        <v>0.99352677808782597</v>
      </c>
      <c r="C520">
        <v>0.86075781071542801</v>
      </c>
      <c r="D520">
        <v>0.93334189835241099</v>
      </c>
      <c r="E520">
        <v>0.70536475165215395</v>
      </c>
      <c r="F520">
        <v>0.61370226038179199</v>
      </c>
      <c r="G520">
        <v>0.36002619082791298</v>
      </c>
      <c r="H520">
        <v>0.232848185343663</v>
      </c>
      <c r="I520">
        <v>0.240225432913167</v>
      </c>
      <c r="J520">
        <v>0.25564078503417398</v>
      </c>
      <c r="K520">
        <v>0.21014046932625299</v>
      </c>
      <c r="L520">
        <v>725.77648345686896</v>
      </c>
      <c r="M520">
        <v>13.8303626373261</v>
      </c>
      <c r="N520">
        <v>54.213335011753898</v>
      </c>
      <c r="O520">
        <v>51.416421478812801</v>
      </c>
      <c r="P520">
        <v>-5.5221935613928401E-2</v>
      </c>
      <c r="Q520">
        <v>0.17893105594027001</v>
      </c>
      <c r="R520">
        <v>0.97821866396135704</v>
      </c>
      <c r="S520" t="s">
        <v>6805</v>
      </c>
      <c r="T520" t="s">
        <v>12568</v>
      </c>
      <c r="U520" t="s">
        <v>12568</v>
      </c>
      <c r="V520" t="s">
        <v>12568</v>
      </c>
      <c r="W520" t="s">
        <v>13077</v>
      </c>
      <c r="X520">
        <v>2</v>
      </c>
      <c r="Y520" t="s">
        <v>19309</v>
      </c>
      <c r="Z520" t="s">
        <v>25390</v>
      </c>
      <c r="AA520">
        <v>0.54065799814113158</v>
      </c>
      <c r="AB520" t="str">
        <f>HYPERLINK("Melting_Curves/meltCurve_F8VSE7_E2F7.pdf", "Melting_Curves/meltCurve_F8VSE7_E2F7.pdf")</f>
        <v>Melting_Curves/meltCurve_F8VSE7_E2F7.pdf</v>
      </c>
    </row>
    <row r="521" spans="1:28" x14ac:dyDescent="0.25">
      <c r="A521" t="s">
        <v>525</v>
      </c>
      <c r="B521">
        <v>0.99352677808782597</v>
      </c>
      <c r="C521">
        <v>0.96666980652753798</v>
      </c>
      <c r="D521">
        <v>0.95861648938838295</v>
      </c>
      <c r="E521">
        <v>0.90329843842119895</v>
      </c>
      <c r="F521">
        <v>0.75520071411373901</v>
      </c>
      <c r="G521">
        <v>0.61359494349935995</v>
      </c>
      <c r="H521">
        <v>0.49622752823696398</v>
      </c>
      <c r="I521">
        <v>0.50806840287678101</v>
      </c>
      <c r="J521">
        <v>0.55061880051072398</v>
      </c>
      <c r="K521">
        <v>0.47703937836666799</v>
      </c>
      <c r="L521">
        <v>1065.30825543643</v>
      </c>
      <c r="M521">
        <v>20.003056640442502</v>
      </c>
      <c r="N521">
        <v>68.484099107129595</v>
      </c>
      <c r="O521">
        <v>52.7335609145535</v>
      </c>
      <c r="P521">
        <v>-4.7972069134484201E-2</v>
      </c>
      <c r="Q521">
        <v>0.49414610192696801</v>
      </c>
      <c r="R521">
        <v>0.98663912085404604</v>
      </c>
      <c r="S521" t="s">
        <v>6806</v>
      </c>
      <c r="T521" t="s">
        <v>12568</v>
      </c>
      <c r="U521" t="s">
        <v>12568</v>
      </c>
      <c r="V521" t="s">
        <v>12568</v>
      </c>
      <c r="W521" t="s">
        <v>13078</v>
      </c>
      <c r="X521">
        <v>3</v>
      </c>
      <c r="Y521" t="s">
        <v>19310</v>
      </c>
      <c r="Z521" t="s">
        <v>25391</v>
      </c>
      <c r="AA521">
        <v>0.72462651412237589</v>
      </c>
      <c r="AB521" t="str">
        <f>HYPERLINK("Melting_Curves/meltCurve_F8VSL3_NFYB.pdf", "Melting_Curves/meltCurve_F8VSL3_NFYB.pdf")</f>
        <v>Melting_Curves/meltCurve_F8VSL3_NFYB.pdf</v>
      </c>
    </row>
    <row r="522" spans="1:28" x14ac:dyDescent="0.25">
      <c r="A522" t="s">
        <v>526</v>
      </c>
      <c r="B522">
        <v>0.99352677808782597</v>
      </c>
      <c r="C522">
        <v>1.03764942319133</v>
      </c>
      <c r="D522">
        <v>0.98012117953455802</v>
      </c>
      <c r="E522">
        <v>0.80088430596796401</v>
      </c>
      <c r="F522">
        <v>0.50026224307455502</v>
      </c>
      <c r="G522">
        <v>0.30164776600993298</v>
      </c>
      <c r="H522">
        <v>0.20897590084985199</v>
      </c>
      <c r="I522">
        <v>0.17825838609351399</v>
      </c>
      <c r="J522">
        <v>0.18290909496553401</v>
      </c>
      <c r="K522">
        <v>0.15094101987074099</v>
      </c>
      <c r="L522">
        <v>1235.9389385097199</v>
      </c>
      <c r="M522">
        <v>23.6290227645664</v>
      </c>
      <c r="N522">
        <v>53.257166031421903</v>
      </c>
      <c r="O522">
        <v>51.935644401908696</v>
      </c>
      <c r="P522">
        <v>-9.4163753731253796E-2</v>
      </c>
      <c r="Q522">
        <v>0.17214118649403701</v>
      </c>
      <c r="R522">
        <v>0.99698337290347105</v>
      </c>
      <c r="S522" t="s">
        <v>6807</v>
      </c>
      <c r="T522" t="s">
        <v>12568</v>
      </c>
      <c r="U522" t="s">
        <v>12568</v>
      </c>
      <c r="V522" t="s">
        <v>12568</v>
      </c>
      <c r="W522" t="s">
        <v>13079</v>
      </c>
      <c r="X522">
        <v>8</v>
      </c>
      <c r="Y522" t="s">
        <v>19311</v>
      </c>
      <c r="Z522" t="s">
        <v>25392</v>
      </c>
      <c r="AA522">
        <v>0.52016310984305114</v>
      </c>
      <c r="AB522" t="str">
        <f>HYPERLINK("Melting_Curves/meltCurve_F8VV59_NAP1L1.pdf", "Melting_Curves/meltCurve_F8VV59_NAP1L1.pdf")</f>
        <v>Melting_Curves/meltCurve_F8VV59_NAP1L1.pdf</v>
      </c>
    </row>
    <row r="523" spans="1:28" x14ac:dyDescent="0.25">
      <c r="A523" t="s">
        <v>527</v>
      </c>
      <c r="B523">
        <v>0.99352677808782597</v>
      </c>
      <c r="C523">
        <v>0.98871129865861396</v>
      </c>
      <c r="D523">
        <v>0.93673869626350204</v>
      </c>
      <c r="E523">
        <v>0.70345297485542702</v>
      </c>
      <c r="F523">
        <v>0.628913080250045</v>
      </c>
      <c r="G523">
        <v>0.33908613421859601</v>
      </c>
      <c r="H523">
        <v>0.35576319803722201</v>
      </c>
      <c r="I523">
        <v>0.34589894572206398</v>
      </c>
      <c r="J523">
        <v>0.26909498275357302</v>
      </c>
      <c r="K523">
        <v>0.197877576746918</v>
      </c>
      <c r="L523">
        <v>792.85323427177502</v>
      </c>
      <c r="M523">
        <v>15.1792433010603</v>
      </c>
      <c r="N523">
        <v>54.597554969046101</v>
      </c>
      <c r="O523">
        <v>51.351336149280797</v>
      </c>
      <c r="P523">
        <v>-5.6100633612160403E-2</v>
      </c>
      <c r="Q523">
        <v>0.24092008076164501</v>
      </c>
      <c r="R523">
        <v>0.97947423260125899</v>
      </c>
      <c r="S523" t="s">
        <v>6808</v>
      </c>
      <c r="T523" t="s">
        <v>12568</v>
      </c>
      <c r="U523" t="s">
        <v>12568</v>
      </c>
      <c r="V523" t="s">
        <v>12568</v>
      </c>
      <c r="W523" t="s">
        <v>13080</v>
      </c>
      <c r="X523">
        <v>7</v>
      </c>
      <c r="Y523" t="s">
        <v>19312</v>
      </c>
      <c r="Z523" t="s">
        <v>25393</v>
      </c>
      <c r="AA523">
        <v>0.56697321681162949</v>
      </c>
      <c r="AB523" t="str">
        <f>HYPERLINK("Melting_Curves/meltCurve_F8VV64_TENC1.pdf", "Melting_Curves/meltCurve_F8VV64_TENC1.pdf")</f>
        <v>Melting_Curves/meltCurve_F8VV64_TENC1.pdf</v>
      </c>
    </row>
    <row r="524" spans="1:28" x14ac:dyDescent="0.25">
      <c r="A524" t="s">
        <v>528</v>
      </c>
      <c r="B524">
        <v>0.99352677808782597</v>
      </c>
      <c r="C524">
        <v>1.0418538484195501</v>
      </c>
      <c r="D524">
        <v>0.87722608984976702</v>
      </c>
      <c r="E524">
        <v>0.32970357336301798</v>
      </c>
      <c r="F524">
        <v>0.24360406401478199</v>
      </c>
      <c r="G524">
        <v>0.141878327976413</v>
      </c>
      <c r="H524">
        <v>9.0867385301586404E-2</v>
      </c>
      <c r="I524">
        <v>8.3716371249674806E-2</v>
      </c>
      <c r="J524">
        <v>6.2269427805156902E-2</v>
      </c>
      <c r="K524">
        <v>5.19243851967486E-2</v>
      </c>
      <c r="L524">
        <v>1429.74282782727</v>
      </c>
      <c r="M524">
        <v>29.384893976531501</v>
      </c>
      <c r="N524">
        <v>48.992960406901098</v>
      </c>
      <c r="O524">
        <v>48.432037537060502</v>
      </c>
      <c r="P524">
        <v>-0.13779327675511699</v>
      </c>
      <c r="Q524">
        <v>9.1565627286265605E-2</v>
      </c>
      <c r="R524">
        <v>0.98956131468384101</v>
      </c>
      <c r="S524" t="s">
        <v>6809</v>
      </c>
      <c r="T524" t="s">
        <v>12568</v>
      </c>
      <c r="U524" t="s">
        <v>12568</v>
      </c>
      <c r="V524" t="s">
        <v>12568</v>
      </c>
      <c r="W524" t="s">
        <v>13081</v>
      </c>
      <c r="X524">
        <v>31</v>
      </c>
      <c r="Y524" t="s">
        <v>19313</v>
      </c>
      <c r="Z524" t="s">
        <v>25394</v>
      </c>
      <c r="AA524">
        <v>0.35941795926704762</v>
      </c>
      <c r="AB524" t="str">
        <f>HYPERLINK("Melting_Curves/meltCurve_F8VWA6_MON2.pdf", "Melting_Curves/meltCurve_F8VWA6_MON2.pdf")</f>
        <v>Melting_Curves/meltCurve_F8VWA6_MON2.pdf</v>
      </c>
    </row>
    <row r="525" spans="1:28" x14ac:dyDescent="0.25">
      <c r="A525" t="s">
        <v>529</v>
      </c>
      <c r="B525">
        <v>0.99352677808782597</v>
      </c>
      <c r="C525">
        <v>0.96648702754330995</v>
      </c>
      <c r="D525">
        <v>0.95470413896722395</v>
      </c>
      <c r="E525">
        <v>0.48158853340887697</v>
      </c>
      <c r="F525">
        <v>0.40248595025263301</v>
      </c>
      <c r="G525">
        <v>0.31145655673005801</v>
      </c>
      <c r="H525">
        <v>0.23751512206352601</v>
      </c>
      <c r="I525">
        <v>0.22499495068868999</v>
      </c>
      <c r="J525">
        <v>0.232476386064117</v>
      </c>
      <c r="K525">
        <v>0.18982646344186199</v>
      </c>
      <c r="L525">
        <v>1276.69364407179</v>
      </c>
      <c r="M525">
        <v>25.924550076106801</v>
      </c>
      <c r="N525">
        <v>50.500767365095498</v>
      </c>
      <c r="O525">
        <v>48.956287662105197</v>
      </c>
      <c r="P525">
        <v>-0.100962368687691</v>
      </c>
      <c r="Q525">
        <v>0.237373809162814</v>
      </c>
      <c r="R525">
        <v>0.98352301947223097</v>
      </c>
      <c r="S525" t="s">
        <v>6810</v>
      </c>
      <c r="T525" t="s">
        <v>12568</v>
      </c>
      <c r="U525" t="s">
        <v>12568</v>
      </c>
      <c r="V525" t="s">
        <v>12568</v>
      </c>
      <c r="W525" t="s">
        <v>13082</v>
      </c>
      <c r="X525">
        <v>12</v>
      </c>
      <c r="Y525" t="s">
        <v>19314</v>
      </c>
      <c r="Z525" t="s">
        <v>25395</v>
      </c>
      <c r="AA525">
        <v>0.47871277132484591</v>
      </c>
      <c r="AB525" t="str">
        <f>HYPERLINK("Melting_Curves/meltCurve_F8VWL3_FGD4.pdf", "Melting_Curves/meltCurve_F8VWL3_FGD4.pdf")</f>
        <v>Melting_Curves/meltCurve_F8VWL3_FGD4.pdf</v>
      </c>
    </row>
    <row r="526" spans="1:28" x14ac:dyDescent="0.25">
      <c r="A526" t="s">
        <v>530</v>
      </c>
      <c r="B526">
        <v>0.99352677808782597</v>
      </c>
      <c r="C526">
        <v>0.98680089709343399</v>
      </c>
      <c r="D526">
        <v>0.97952220602542694</v>
      </c>
      <c r="E526">
        <v>0.96521779958852105</v>
      </c>
      <c r="F526">
        <v>0.86876698069902702</v>
      </c>
      <c r="G526">
        <v>0.76053746775730802</v>
      </c>
      <c r="H526">
        <v>0.778008533476236</v>
      </c>
      <c r="I526">
        <v>0.790895061867953</v>
      </c>
      <c r="J526">
        <v>0.85993390493831701</v>
      </c>
      <c r="K526">
        <v>0.69258866909482697</v>
      </c>
      <c r="L526">
        <v>2113.2534005579901</v>
      </c>
      <c r="M526">
        <v>40.335114480283799</v>
      </c>
      <c r="O526">
        <v>52.2641162006584</v>
      </c>
      <c r="P526">
        <v>-4.3344725895591497E-2</v>
      </c>
      <c r="Q526">
        <v>0.77534522610046397</v>
      </c>
      <c r="R526">
        <v>0.85709960508529603</v>
      </c>
      <c r="S526" t="s">
        <v>6811</v>
      </c>
      <c r="T526" t="s">
        <v>12568</v>
      </c>
      <c r="U526" t="s">
        <v>12568</v>
      </c>
      <c r="V526" t="s">
        <v>12568</v>
      </c>
      <c r="W526" t="s">
        <v>13083</v>
      </c>
      <c r="X526">
        <v>19</v>
      </c>
      <c r="Y526" t="s">
        <v>19315</v>
      </c>
      <c r="Z526" t="s">
        <v>25396</v>
      </c>
      <c r="AA526">
        <v>0.86894513929064088</v>
      </c>
      <c r="AB526" t="str">
        <f>HYPERLINK("Melting_Curves/meltCurve_F8VXG7_SCAF11.pdf", "Melting_Curves/meltCurve_F8VXG7_SCAF11.pdf")</f>
        <v>Melting_Curves/meltCurve_F8VXG7_SCAF11.pdf</v>
      </c>
    </row>
    <row r="527" spans="1:28" x14ac:dyDescent="0.25">
      <c r="A527" t="s">
        <v>531</v>
      </c>
      <c r="B527">
        <v>0.99352677808782597</v>
      </c>
      <c r="C527">
        <v>0.91381845548787199</v>
      </c>
      <c r="D527">
        <v>0.92075543501815305</v>
      </c>
      <c r="E527">
        <v>0.34150001406180303</v>
      </c>
      <c r="F527">
        <v>0.27544685629634902</v>
      </c>
      <c r="G527">
        <v>0.12676896236194199</v>
      </c>
      <c r="H527">
        <v>9.3120791579848594E-2</v>
      </c>
      <c r="I527">
        <v>9.6179147590662095E-2</v>
      </c>
      <c r="J527">
        <v>7.7066756915288706E-2</v>
      </c>
      <c r="K527">
        <v>3.0650344290323699E-2</v>
      </c>
      <c r="L527">
        <v>1286.5863382175801</v>
      </c>
      <c r="M527">
        <v>26.3157006250587</v>
      </c>
      <c r="N527">
        <v>49.245303692668799</v>
      </c>
      <c r="O527">
        <v>48.610741506814897</v>
      </c>
      <c r="P527">
        <v>-0.123651538495685</v>
      </c>
      <c r="Q527">
        <v>8.6366404212285294E-2</v>
      </c>
      <c r="R527">
        <v>0.98255928659437097</v>
      </c>
      <c r="S527" t="s">
        <v>6812</v>
      </c>
      <c r="T527" t="s">
        <v>12568</v>
      </c>
      <c r="U527" t="s">
        <v>12568</v>
      </c>
      <c r="V527" t="s">
        <v>12568</v>
      </c>
      <c r="W527" t="s">
        <v>13084</v>
      </c>
      <c r="X527">
        <v>6</v>
      </c>
      <c r="Y527" t="s">
        <v>19316</v>
      </c>
      <c r="Z527" t="s">
        <v>25397</v>
      </c>
      <c r="AA527">
        <v>0.36439734556761211</v>
      </c>
      <c r="AB527" t="str">
        <f>HYPERLINK("Melting_Curves/meltCurve_F8VXY3_OAS1.pdf", "Melting_Curves/meltCurve_F8VXY3_OAS1.pdf")</f>
        <v>Melting_Curves/meltCurve_F8VXY3_OAS1.pdf</v>
      </c>
    </row>
    <row r="528" spans="1:28" x14ac:dyDescent="0.25">
      <c r="A528" t="s">
        <v>532</v>
      </c>
      <c r="B528">
        <v>0.99352677808782597</v>
      </c>
      <c r="C528">
        <v>1.2326467673748001</v>
      </c>
      <c r="D528">
        <v>1.04011241527295</v>
      </c>
      <c r="E528">
        <v>0.79235375343910097</v>
      </c>
      <c r="F528">
        <v>0.80287919263760799</v>
      </c>
      <c r="G528">
        <v>0.41826858965458402</v>
      </c>
      <c r="H528">
        <v>0.26350850243430601</v>
      </c>
      <c r="I528">
        <v>0.28462380715569202</v>
      </c>
      <c r="J528">
        <v>0.309842888404677</v>
      </c>
      <c r="K528">
        <v>0.24938990486037199</v>
      </c>
      <c r="L528">
        <v>1262.86972126407</v>
      </c>
      <c r="M528">
        <v>23.2746621126857</v>
      </c>
      <c r="N528">
        <v>55.980444737147899</v>
      </c>
      <c r="O528">
        <v>53.863626501602702</v>
      </c>
      <c r="P528">
        <v>-8.0422824022956904E-2</v>
      </c>
      <c r="Q528">
        <v>0.255535834411447</v>
      </c>
      <c r="R528">
        <v>0.93548078481468599</v>
      </c>
      <c r="S528" t="s">
        <v>6813</v>
      </c>
      <c r="T528" t="s">
        <v>12568</v>
      </c>
      <c r="U528" t="s">
        <v>12568</v>
      </c>
      <c r="V528" t="s">
        <v>12568</v>
      </c>
      <c r="W528" t="s">
        <v>13085</v>
      </c>
      <c r="X528">
        <v>8</v>
      </c>
      <c r="Y528" t="s">
        <v>19311</v>
      </c>
      <c r="Z528" t="s">
        <v>25398</v>
      </c>
      <c r="AA528">
        <v>0.61721539331129194</v>
      </c>
      <c r="AB528" t="str">
        <f>HYPERLINK("Melting_Curves/meltCurve_F8VY35_NAP1L1.pdf", "Melting_Curves/meltCurve_F8VY35_NAP1L1.pdf")</f>
        <v>Melting_Curves/meltCurve_F8VY35_NAP1L1.pdf</v>
      </c>
    </row>
    <row r="529" spans="1:28" x14ac:dyDescent="0.25">
      <c r="A529" t="s">
        <v>533</v>
      </c>
      <c r="B529">
        <v>0.99352677808782597</v>
      </c>
      <c r="C529">
        <v>1.02079746079042</v>
      </c>
      <c r="D529">
        <v>1.15013313515605</v>
      </c>
      <c r="E529">
        <v>1.0377848701588399</v>
      </c>
      <c r="F529">
        <v>0.79948302184807396</v>
      </c>
      <c r="G529">
        <v>0.79536378154068998</v>
      </c>
      <c r="H529">
        <v>0.92027076521597395</v>
      </c>
      <c r="I529">
        <v>0.96264439404126201</v>
      </c>
      <c r="J529">
        <v>0.77370587042611205</v>
      </c>
      <c r="K529">
        <v>0.66764327722189099</v>
      </c>
      <c r="L529">
        <v>468.28200855155302</v>
      </c>
      <c r="M529">
        <v>5.7331654690210696</v>
      </c>
      <c r="Q529">
        <v>0</v>
      </c>
      <c r="R529">
        <v>0.52333553752446405</v>
      </c>
      <c r="S529" t="s">
        <v>6814</v>
      </c>
      <c r="T529" t="s">
        <v>12568</v>
      </c>
      <c r="U529" t="s">
        <v>12568</v>
      </c>
      <c r="V529" t="s">
        <v>12568</v>
      </c>
      <c r="W529" t="s">
        <v>13086</v>
      </c>
      <c r="X529">
        <v>1</v>
      </c>
      <c r="Y529" t="s">
        <v>19317</v>
      </c>
      <c r="Z529" t="s">
        <v>25399</v>
      </c>
      <c r="AA529">
        <v>0.9126006580618935</v>
      </c>
      <c r="AB529" t="str">
        <f>HYPERLINK("Melting_Curves/meltCurve_F8VYY5_DNAJC14.pdf", "Melting_Curves/meltCurve_F8VYY5_DNAJC14.pdf")</f>
        <v>Melting_Curves/meltCurve_F8VYY5_DNAJC14.pdf</v>
      </c>
    </row>
    <row r="530" spans="1:28" x14ac:dyDescent="0.25">
      <c r="A530" t="s">
        <v>534</v>
      </c>
      <c r="B530">
        <v>0.99352677808782597</v>
      </c>
      <c r="C530">
        <v>1.0188166299917101</v>
      </c>
      <c r="D530">
        <v>1.0029206221168001</v>
      </c>
      <c r="E530">
        <v>0.98687773637560094</v>
      </c>
      <c r="F530">
        <v>0.87263645456848404</v>
      </c>
      <c r="G530">
        <v>0.73810003658701195</v>
      </c>
      <c r="H530">
        <v>0.71317011873960001</v>
      </c>
      <c r="I530">
        <v>0.735303672302555</v>
      </c>
      <c r="J530">
        <v>0.85875701125541604</v>
      </c>
      <c r="K530">
        <v>0.63920771492775597</v>
      </c>
      <c r="L530">
        <v>2888.3669991404499</v>
      </c>
      <c r="M530">
        <v>54.439287332087602</v>
      </c>
      <c r="O530">
        <v>52.9851996955475</v>
      </c>
      <c r="P530">
        <v>-6.7876853874637003E-2</v>
      </c>
      <c r="Q530">
        <v>0.73574470305738504</v>
      </c>
      <c r="R530">
        <v>0.85908636938838501</v>
      </c>
      <c r="S530" t="s">
        <v>6815</v>
      </c>
      <c r="T530" t="s">
        <v>12568</v>
      </c>
      <c r="U530" t="s">
        <v>12568</v>
      </c>
      <c r="V530" t="s">
        <v>12568</v>
      </c>
      <c r="W530" t="s">
        <v>13087</v>
      </c>
      <c r="X530">
        <v>7</v>
      </c>
      <c r="Y530" t="s">
        <v>19318</v>
      </c>
      <c r="Z530" t="s">
        <v>25400</v>
      </c>
      <c r="AA530">
        <v>0.85127567118814051</v>
      </c>
      <c r="AB530" t="str">
        <f>HYPERLINK("Melting_Curves/meltCurve_F8VZJ2_NACA.pdf", "Melting_Curves/meltCurve_F8VZJ2_NACA.pdf")</f>
        <v>Melting_Curves/meltCurve_F8VZJ2_NACA.pdf</v>
      </c>
    </row>
    <row r="531" spans="1:28" x14ac:dyDescent="0.25">
      <c r="A531" t="s">
        <v>535</v>
      </c>
      <c r="B531">
        <v>0.99352677808782597</v>
      </c>
      <c r="C531">
        <v>0.99230100591895798</v>
      </c>
      <c r="D531">
        <v>0.99333653657656695</v>
      </c>
      <c r="E531">
        <v>0.754028104374317</v>
      </c>
      <c r="F531">
        <v>0.65025962253988701</v>
      </c>
      <c r="G531">
        <v>0.50618827061868099</v>
      </c>
      <c r="H531">
        <v>0.39455267155554002</v>
      </c>
      <c r="I531">
        <v>0.39565562325133802</v>
      </c>
      <c r="J531">
        <v>0.42673625084725397</v>
      </c>
      <c r="K531">
        <v>0.31345124396894802</v>
      </c>
      <c r="L531">
        <v>875.38060525564504</v>
      </c>
      <c r="M531">
        <v>16.747471533535599</v>
      </c>
      <c r="N531">
        <v>56.542090159906699</v>
      </c>
      <c r="O531">
        <v>51.541252914665201</v>
      </c>
      <c r="P531">
        <v>-5.2077500742525699E-2</v>
      </c>
      <c r="Q531">
        <v>0.35895693785009603</v>
      </c>
      <c r="R531">
        <v>0.98359637200782002</v>
      </c>
      <c r="S531" t="s">
        <v>6816</v>
      </c>
      <c r="T531" t="s">
        <v>12568</v>
      </c>
      <c r="U531" t="s">
        <v>12568</v>
      </c>
      <c r="V531" t="s">
        <v>12568</v>
      </c>
      <c r="W531" t="s">
        <v>13088</v>
      </c>
      <c r="X531">
        <v>7</v>
      </c>
      <c r="Y531" t="s">
        <v>19319</v>
      </c>
      <c r="Z531" t="s">
        <v>25401</v>
      </c>
      <c r="AA531">
        <v>0.63309519513187429</v>
      </c>
      <c r="AB531" t="str">
        <f>HYPERLINK("Melting_Curves/meltCurve_F8W038_C17orf49.pdf", "Melting_Curves/meltCurve_F8W038_C17orf49.pdf")</f>
        <v>Melting_Curves/meltCurve_F8W038_C17orf49.pdf</v>
      </c>
    </row>
    <row r="532" spans="1:28" x14ac:dyDescent="0.25">
      <c r="A532" t="s">
        <v>536</v>
      </c>
      <c r="B532">
        <v>0.99352677808782597</v>
      </c>
      <c r="C532">
        <v>1.0327260356344099</v>
      </c>
      <c r="D532">
        <v>1.7713045010709501</v>
      </c>
      <c r="E532">
        <v>0.70403932943830905</v>
      </c>
      <c r="F532">
        <v>0.61456917393574495</v>
      </c>
      <c r="G532">
        <v>0.32382080136539598</v>
      </c>
      <c r="H532">
        <v>0.194441728657269</v>
      </c>
      <c r="I532">
        <v>0.16900060263526201</v>
      </c>
      <c r="J532">
        <v>0.15422753465731001</v>
      </c>
      <c r="K532">
        <v>0.113599213407553</v>
      </c>
      <c r="L532">
        <v>1432.60651543158</v>
      </c>
      <c r="M532">
        <v>26.936960221827199</v>
      </c>
      <c r="N532">
        <v>53.936453973692601</v>
      </c>
      <c r="O532">
        <v>52.893172345387697</v>
      </c>
      <c r="P532">
        <v>-0.10737035279327101</v>
      </c>
      <c r="Q532">
        <v>0.15668287750066301</v>
      </c>
      <c r="R532">
        <v>0.74942552708226795</v>
      </c>
      <c r="S532" t="s">
        <v>6817</v>
      </c>
      <c r="T532" t="s">
        <v>12568</v>
      </c>
      <c r="U532" t="s">
        <v>12568</v>
      </c>
      <c r="V532" t="s">
        <v>12568</v>
      </c>
      <c r="W532" t="s">
        <v>13089</v>
      </c>
      <c r="X532">
        <v>7</v>
      </c>
      <c r="Y532" t="s">
        <v>19320</v>
      </c>
      <c r="Z532" t="s">
        <v>25402</v>
      </c>
      <c r="AA532">
        <v>0.53403530236077101</v>
      </c>
      <c r="AB532" t="str">
        <f>HYPERLINK("Melting_Curves/meltCurve_F8W181_RPL6.pdf", "Melting_Curves/meltCurve_F8W181_RPL6.pdf")</f>
        <v>Melting_Curves/meltCurve_F8W181_RPL6.pdf</v>
      </c>
    </row>
    <row r="533" spans="1:28" x14ac:dyDescent="0.25">
      <c r="A533" t="s">
        <v>537</v>
      </c>
      <c r="B533">
        <v>0.99352677808782597</v>
      </c>
      <c r="C533">
        <v>0.95347700378979405</v>
      </c>
      <c r="D533">
        <v>1.0644833677975301</v>
      </c>
      <c r="E533">
        <v>0.716555714663628</v>
      </c>
      <c r="F533">
        <v>0.61710032857596098</v>
      </c>
      <c r="G533">
        <v>0.38157527073358299</v>
      </c>
      <c r="H533">
        <v>0.31176180519315599</v>
      </c>
      <c r="I533">
        <v>0.31865103871081002</v>
      </c>
      <c r="J533">
        <v>0.33438490437670199</v>
      </c>
      <c r="K533">
        <v>0.28623658869824098</v>
      </c>
      <c r="L533">
        <v>1129.1311485998399</v>
      </c>
      <c r="M533">
        <v>21.7681558180299</v>
      </c>
      <c r="N533">
        <v>54.190482414315397</v>
      </c>
      <c r="O533">
        <v>51.438980370445798</v>
      </c>
      <c r="P533">
        <v>-7.3732880670159401E-2</v>
      </c>
      <c r="Q533">
        <v>0.30308189362777099</v>
      </c>
      <c r="R533">
        <v>0.97642929311201998</v>
      </c>
      <c r="S533" t="s">
        <v>6818</v>
      </c>
      <c r="T533" t="s">
        <v>12568</v>
      </c>
      <c r="U533" t="s">
        <v>12568</v>
      </c>
      <c r="V533" t="s">
        <v>12568</v>
      </c>
      <c r="W533" t="s">
        <v>13090</v>
      </c>
      <c r="X533">
        <v>2</v>
      </c>
      <c r="Y533" t="s">
        <v>19321</v>
      </c>
      <c r="Z533" t="s">
        <v>25403</v>
      </c>
      <c r="AA533">
        <v>0.58710959660196294</v>
      </c>
      <c r="AB533" t="str">
        <f>HYPERLINK("Melting_Curves/meltCurve_F8W1T6_RBMS2.pdf", "Melting_Curves/meltCurve_F8W1T6_RBMS2.pdf")</f>
        <v>Melting_Curves/meltCurve_F8W1T6_RBMS2.pdf</v>
      </c>
    </row>
    <row r="534" spans="1:28" x14ac:dyDescent="0.25">
      <c r="A534" t="s">
        <v>538</v>
      </c>
      <c r="B534">
        <v>0.99352677808782597</v>
      </c>
      <c r="C534">
        <v>0.94820240811981005</v>
      </c>
      <c r="D534">
        <v>0.91023807867522399</v>
      </c>
      <c r="E534">
        <v>0.64071081874101399</v>
      </c>
      <c r="F534">
        <v>0.59654075382335203</v>
      </c>
      <c r="G534">
        <v>0.39198237534949198</v>
      </c>
      <c r="H534">
        <v>0.26345174638041102</v>
      </c>
      <c r="I534">
        <v>0.230346025623934</v>
      </c>
      <c r="J534">
        <v>0.290450615127826</v>
      </c>
      <c r="K534">
        <v>0.25147390944517001</v>
      </c>
      <c r="L534">
        <v>727.74215944932405</v>
      </c>
      <c r="M534">
        <v>14.091048426648699</v>
      </c>
      <c r="N534">
        <v>53.871856731627503</v>
      </c>
      <c r="O534">
        <v>50.638924627301797</v>
      </c>
      <c r="P534">
        <v>-5.4220712972286901E-2</v>
      </c>
      <c r="Q534">
        <v>0.220689815049677</v>
      </c>
      <c r="R534">
        <v>0.98592667071592799</v>
      </c>
      <c r="S534" t="s">
        <v>6819</v>
      </c>
      <c r="T534" t="s">
        <v>12568</v>
      </c>
      <c r="U534" t="s">
        <v>12568</v>
      </c>
      <c r="V534" t="s">
        <v>12568</v>
      </c>
      <c r="W534" t="s">
        <v>13091</v>
      </c>
      <c r="X534">
        <v>2</v>
      </c>
      <c r="Y534" t="s">
        <v>19322</v>
      </c>
      <c r="Z534" t="s">
        <v>25404</v>
      </c>
      <c r="AA534">
        <v>0.5426289055964183</v>
      </c>
      <c r="AB534" t="str">
        <f>HYPERLINK("Melting_Curves/meltCurve_F8W6D7_CBFA2T2.pdf", "Melting_Curves/meltCurve_F8W6D7_CBFA2T2.pdf")</f>
        <v>Melting_Curves/meltCurve_F8W6D7_CBFA2T2.pdf</v>
      </c>
    </row>
    <row r="535" spans="1:28" x14ac:dyDescent="0.25">
      <c r="A535" t="s">
        <v>539</v>
      </c>
      <c r="B535">
        <v>0.99352677808782597</v>
      </c>
      <c r="C535">
        <v>0.95594572482905604</v>
      </c>
      <c r="D535">
        <v>1.01339033124594</v>
      </c>
      <c r="E535">
        <v>0.85507605556808497</v>
      </c>
      <c r="F535">
        <v>0.73098570136478502</v>
      </c>
      <c r="G535">
        <v>0.48164765870638998</v>
      </c>
      <c r="H535">
        <v>0.24996069399191501</v>
      </c>
      <c r="I535">
        <v>0.201562302209772</v>
      </c>
      <c r="J535">
        <v>0.16483470443841899</v>
      </c>
      <c r="K535">
        <v>0.147154275713587</v>
      </c>
      <c r="L535">
        <v>935.58347157203798</v>
      </c>
      <c r="M535">
        <v>16.8465388340048</v>
      </c>
      <c r="N535">
        <v>56.405995307381502</v>
      </c>
      <c r="O535">
        <v>54.7708190771367</v>
      </c>
      <c r="P535">
        <v>-6.8099097905614997E-2</v>
      </c>
      <c r="Q535">
        <v>0.11445195025478901</v>
      </c>
      <c r="R535">
        <v>0.99610516102463698</v>
      </c>
      <c r="S535" t="s">
        <v>6820</v>
      </c>
      <c r="T535" t="s">
        <v>12568</v>
      </c>
      <c r="U535" t="s">
        <v>12568</v>
      </c>
      <c r="V535" t="s">
        <v>12568</v>
      </c>
      <c r="W535" t="s">
        <v>13092</v>
      </c>
      <c r="X535">
        <v>21</v>
      </c>
      <c r="Y535" t="s">
        <v>19323</v>
      </c>
      <c r="Z535" t="s">
        <v>25405</v>
      </c>
      <c r="AA535">
        <v>0.58752985661233004</v>
      </c>
      <c r="AB535" t="str">
        <f>HYPERLINK("Melting_Curves/meltCurve_F8W6I7_HNRNPA1.pdf", "Melting_Curves/meltCurve_F8W6I7_HNRNPA1.pdf")</f>
        <v>Melting_Curves/meltCurve_F8W6I7_HNRNPA1.pdf</v>
      </c>
    </row>
    <row r="536" spans="1:28" x14ac:dyDescent="0.25">
      <c r="A536" t="s">
        <v>540</v>
      </c>
      <c r="B536">
        <v>0.99352677808782597</v>
      </c>
      <c r="C536">
        <v>0.90006618514746894</v>
      </c>
      <c r="D536">
        <v>0.56519868270198703</v>
      </c>
      <c r="E536">
        <v>0.22921363034226599</v>
      </c>
      <c r="F536">
        <v>0.19500252774260299</v>
      </c>
      <c r="G536">
        <v>0.124025383013514</v>
      </c>
      <c r="H536">
        <v>9.0243284743721702E-2</v>
      </c>
      <c r="I536">
        <v>8.7272115311248497E-2</v>
      </c>
      <c r="J536">
        <v>6.4948831687344097E-2</v>
      </c>
      <c r="K536">
        <v>6.2289910500147198E-2</v>
      </c>
      <c r="L536">
        <v>1036.2770680758199</v>
      </c>
      <c r="M536">
        <v>22.3380531523831</v>
      </c>
      <c r="N536">
        <v>46.798782937258203</v>
      </c>
      <c r="O536">
        <v>46.023690416425801</v>
      </c>
      <c r="P536">
        <v>-0.110603647213534</v>
      </c>
      <c r="Q536">
        <v>8.8500761660129601E-2</v>
      </c>
      <c r="R536">
        <v>0.99446778607686703</v>
      </c>
      <c r="S536" t="s">
        <v>6821</v>
      </c>
      <c r="T536" t="s">
        <v>12568</v>
      </c>
      <c r="U536" t="s">
        <v>12568</v>
      </c>
      <c r="V536" t="s">
        <v>12568</v>
      </c>
      <c r="W536" t="s">
        <v>13093</v>
      </c>
      <c r="X536">
        <v>1</v>
      </c>
      <c r="Y536" t="s">
        <v>19324</v>
      </c>
      <c r="Z536" t="s">
        <v>25406</v>
      </c>
      <c r="AA536">
        <v>0.29336161095020419</v>
      </c>
      <c r="AB536" t="str">
        <f>HYPERLINK("Melting_Curves/meltCurve_F8W6X8_RASA3.pdf", "Melting_Curves/meltCurve_F8W6X8_RASA3.pdf")</f>
        <v>Melting_Curves/meltCurve_F8W6X8_RASA3.pdf</v>
      </c>
    </row>
    <row r="537" spans="1:28" x14ac:dyDescent="0.25">
      <c r="A537" t="s">
        <v>541</v>
      </c>
      <c r="B537">
        <v>0.99352677808782597</v>
      </c>
      <c r="C537">
        <v>0.94757562463837497</v>
      </c>
      <c r="D537">
        <v>0.94668000007687803</v>
      </c>
      <c r="E537">
        <v>0.72807380718668102</v>
      </c>
      <c r="F537">
        <v>0.62579079957169303</v>
      </c>
      <c r="G537">
        <v>0.297615075480054</v>
      </c>
      <c r="H537">
        <v>0.17515014017184899</v>
      </c>
      <c r="I537">
        <v>0.186042070520093</v>
      </c>
      <c r="J537">
        <v>0.16669856483235601</v>
      </c>
      <c r="K537">
        <v>0.136053763715722</v>
      </c>
      <c r="L537">
        <v>894.76055713879202</v>
      </c>
      <c r="M537">
        <v>16.867834955250199</v>
      </c>
      <c r="N537">
        <v>53.938291159490497</v>
      </c>
      <c r="O537">
        <v>52.3166433487551</v>
      </c>
      <c r="P537">
        <v>-7.0789803941257695E-2</v>
      </c>
      <c r="Q537">
        <v>0.121819975563996</v>
      </c>
      <c r="R537">
        <v>0.99183775283267095</v>
      </c>
      <c r="S537" t="s">
        <v>6822</v>
      </c>
      <c r="T537" t="s">
        <v>12568</v>
      </c>
      <c r="U537" t="s">
        <v>12568</v>
      </c>
      <c r="V537" t="s">
        <v>12568</v>
      </c>
      <c r="W537" t="s">
        <v>13094</v>
      </c>
      <c r="X537">
        <v>14</v>
      </c>
      <c r="Y537" t="s">
        <v>19325</v>
      </c>
      <c r="Z537" t="s">
        <v>25407</v>
      </c>
      <c r="AA537">
        <v>0.51959219852017213</v>
      </c>
      <c r="AB537" t="str">
        <f>HYPERLINK("Melting_Curves/meltCurve_F8W717_EML1.pdf", "Melting_Curves/meltCurve_F8W717_EML1.pdf")</f>
        <v>Melting_Curves/meltCurve_F8W717_EML1.pdf</v>
      </c>
    </row>
    <row r="538" spans="1:28" x14ac:dyDescent="0.25">
      <c r="A538" t="s">
        <v>542</v>
      </c>
      <c r="B538">
        <v>0.99352677808782597</v>
      </c>
      <c r="C538">
        <v>0.99019712502591295</v>
      </c>
      <c r="D538">
        <v>0.93045517784582599</v>
      </c>
      <c r="E538">
        <v>1.1306949263067101</v>
      </c>
      <c r="F538">
        <v>1.06168986029837</v>
      </c>
      <c r="G538">
        <v>0.811057052898846</v>
      </c>
      <c r="H538">
        <v>0.90087470746601594</v>
      </c>
      <c r="I538">
        <v>0.90302033742409304</v>
      </c>
      <c r="J538">
        <v>0.992047715514496</v>
      </c>
      <c r="K538">
        <v>0.68888675767845198</v>
      </c>
      <c r="L538">
        <v>777.559591310212</v>
      </c>
      <c r="M538">
        <v>9.9096472526385195</v>
      </c>
      <c r="Q538">
        <v>0</v>
      </c>
      <c r="R538">
        <v>0.40091447973128602</v>
      </c>
      <c r="S538" t="s">
        <v>6823</v>
      </c>
      <c r="T538" t="s">
        <v>12568</v>
      </c>
      <c r="U538" t="s">
        <v>12568</v>
      </c>
      <c r="V538" t="s">
        <v>12568</v>
      </c>
      <c r="W538" t="s">
        <v>13095</v>
      </c>
      <c r="X538">
        <v>21</v>
      </c>
      <c r="Y538" t="s">
        <v>19326</v>
      </c>
      <c r="Z538" t="s">
        <v>25408</v>
      </c>
      <c r="AA538">
        <v>0.95305618844628948</v>
      </c>
      <c r="AB538" t="str">
        <f>HYPERLINK("Melting_Curves/meltCurve_F8W726_UBAP2L.pdf", "Melting_Curves/meltCurve_F8W726_UBAP2L.pdf")</f>
        <v>Melting_Curves/meltCurve_F8W726_UBAP2L.pdf</v>
      </c>
    </row>
    <row r="539" spans="1:28" x14ac:dyDescent="0.25">
      <c r="A539" t="s">
        <v>543</v>
      </c>
      <c r="B539">
        <v>0.99352677808782597</v>
      </c>
      <c r="C539">
        <v>0.93774955069020405</v>
      </c>
      <c r="D539">
        <v>1.0704092325435799</v>
      </c>
      <c r="E539">
        <v>1.06959544320397</v>
      </c>
      <c r="F539">
        <v>1.0459722838507699</v>
      </c>
      <c r="G539">
        <v>1.06486650013609</v>
      </c>
      <c r="H539">
        <v>0.91999108053998602</v>
      </c>
      <c r="I539">
        <v>1.04610644030557</v>
      </c>
      <c r="J539">
        <v>1.0540452141314001</v>
      </c>
      <c r="K539">
        <v>1.0108308912625099</v>
      </c>
      <c r="L539">
        <v>11113.131605237</v>
      </c>
      <c r="M539">
        <v>250</v>
      </c>
      <c r="O539">
        <v>44.449681728860099</v>
      </c>
      <c r="P539">
        <v>4.9531036530721502E-2</v>
      </c>
      <c r="Q539">
        <v>1.03522622093057</v>
      </c>
      <c r="R539">
        <v>0.19899967884210801</v>
      </c>
      <c r="S539" t="s">
        <v>6824</v>
      </c>
      <c r="T539" t="s">
        <v>12568</v>
      </c>
      <c r="U539" t="s">
        <v>12568</v>
      </c>
      <c r="V539" t="s">
        <v>12568</v>
      </c>
      <c r="W539" t="s">
        <v>13096</v>
      </c>
      <c r="X539">
        <v>3</v>
      </c>
      <c r="Y539" t="s">
        <v>19327</v>
      </c>
      <c r="Z539" t="s">
        <v>25409</v>
      </c>
      <c r="AA539">
        <v>1.029995283496614</v>
      </c>
      <c r="AB539" t="str">
        <f>HYPERLINK("Melting_Curves/meltCurve_F8W8C2_VEZT.pdf", "Melting_Curves/meltCurve_F8W8C2_VEZT.pdf")</f>
        <v>Melting_Curves/meltCurve_F8W8C2_VEZT.pdf</v>
      </c>
    </row>
    <row r="540" spans="1:28" x14ac:dyDescent="0.25">
      <c r="A540" t="s">
        <v>544</v>
      </c>
      <c r="B540">
        <v>0.99352677808782597</v>
      </c>
      <c r="C540">
        <v>0.95705312599954295</v>
      </c>
      <c r="D540">
        <v>0.84926689734910799</v>
      </c>
      <c r="E540">
        <v>0.58262896086036198</v>
      </c>
      <c r="F540">
        <v>0.49371104980117098</v>
      </c>
      <c r="G540">
        <v>0.28534895364116802</v>
      </c>
      <c r="H540">
        <v>0.17445033507673099</v>
      </c>
      <c r="I540">
        <v>0.158104294103769</v>
      </c>
      <c r="J540">
        <v>0.134570045688328</v>
      </c>
      <c r="K540">
        <v>8.6388569270276605E-2</v>
      </c>
      <c r="L540">
        <v>664.70783685497599</v>
      </c>
      <c r="M540">
        <v>12.891144788447299</v>
      </c>
      <c r="N540">
        <v>52.231595097769898</v>
      </c>
      <c r="O540">
        <v>50.3696045730346</v>
      </c>
      <c r="P540">
        <v>-5.9127980511890298E-2</v>
      </c>
      <c r="Q540">
        <v>7.6044992901089195E-2</v>
      </c>
      <c r="R540">
        <v>0.99552852652448098</v>
      </c>
      <c r="S540" t="s">
        <v>6825</v>
      </c>
      <c r="T540" t="s">
        <v>12568</v>
      </c>
      <c r="U540" t="s">
        <v>12568</v>
      </c>
      <c r="V540" t="s">
        <v>12568</v>
      </c>
      <c r="W540" t="s">
        <v>13097</v>
      </c>
      <c r="X540">
        <v>3</v>
      </c>
      <c r="Y540" t="s">
        <v>19328</v>
      </c>
      <c r="Z540" t="s">
        <v>25410</v>
      </c>
      <c r="AA540">
        <v>0.45851281953095679</v>
      </c>
      <c r="AB540" t="str">
        <f>HYPERLINK("Melting_Curves/meltCurve_F8W8H5_RAB24.pdf", "Melting_Curves/meltCurve_F8W8H5_RAB24.pdf")</f>
        <v>Melting_Curves/meltCurve_F8W8H5_RAB24.pdf</v>
      </c>
    </row>
    <row r="541" spans="1:28" x14ac:dyDescent="0.25">
      <c r="A541" t="s">
        <v>545</v>
      </c>
      <c r="B541">
        <v>0.99352677808782597</v>
      </c>
      <c r="C541">
        <v>0.97742577623865201</v>
      </c>
      <c r="D541">
        <v>1.13689967168829</v>
      </c>
      <c r="E541">
        <v>0.94860383834927797</v>
      </c>
      <c r="F541">
        <v>0.80532875141252602</v>
      </c>
      <c r="G541">
        <v>0.69578534116528801</v>
      </c>
      <c r="H541">
        <v>0.39098227284104597</v>
      </c>
      <c r="I541">
        <v>0.21705657701252301</v>
      </c>
      <c r="J541">
        <v>0.14517511367149699</v>
      </c>
      <c r="K541">
        <v>0.121731132399663</v>
      </c>
      <c r="L541">
        <v>984.34074334826801</v>
      </c>
      <c r="M541">
        <v>16.6981966712119</v>
      </c>
      <c r="N541">
        <v>59.237692405136897</v>
      </c>
      <c r="O541">
        <v>58.122941897691199</v>
      </c>
      <c r="P541">
        <v>-6.9019992785212606E-2</v>
      </c>
      <c r="Q541">
        <v>3.9086895887941703E-2</v>
      </c>
      <c r="R541">
        <v>0.97876472425907102</v>
      </c>
      <c r="S541" t="s">
        <v>6826</v>
      </c>
      <c r="T541" t="s">
        <v>12568</v>
      </c>
      <c r="U541" t="s">
        <v>12568</v>
      </c>
      <c r="V541" t="s">
        <v>12568</v>
      </c>
      <c r="W541" t="s">
        <v>13098</v>
      </c>
      <c r="X541">
        <v>9</v>
      </c>
      <c r="Y541" t="s">
        <v>19329</v>
      </c>
      <c r="Z541" t="s">
        <v>25411</v>
      </c>
      <c r="AA541">
        <v>0.65645412860049013</v>
      </c>
      <c r="AB541" t="str">
        <f>HYPERLINK("Melting_Curves/meltCurve_F8W8I6_TIA1.pdf", "Melting_Curves/meltCurve_F8W8I6_TIA1.pdf")</f>
        <v>Melting_Curves/meltCurve_F8W8I6_TIA1.pdf</v>
      </c>
    </row>
    <row r="542" spans="1:28" x14ac:dyDescent="0.25">
      <c r="A542" t="s">
        <v>546</v>
      </c>
      <c r="B542">
        <v>0.99352677808782597</v>
      </c>
      <c r="C542">
        <v>1.01953164588129</v>
      </c>
      <c r="D542">
        <v>0.91856361225694805</v>
      </c>
      <c r="E542">
        <v>0.71119227119197104</v>
      </c>
      <c r="F542">
        <v>0.51244073893270903</v>
      </c>
      <c r="G542">
        <v>0.27483302243222202</v>
      </c>
      <c r="H542">
        <v>0.114708782408906</v>
      </c>
      <c r="I542">
        <v>8.0734550922859305E-2</v>
      </c>
      <c r="J542">
        <v>6.5564054643390698E-2</v>
      </c>
      <c r="K542">
        <v>5.6824861417527302E-2</v>
      </c>
      <c r="L542">
        <v>859.79401115841301</v>
      </c>
      <c r="M542">
        <v>16.2620542356415</v>
      </c>
      <c r="N542">
        <v>53.088117933338701</v>
      </c>
      <c r="O542">
        <v>52.091071576843603</v>
      </c>
      <c r="P542">
        <v>-7.5542659797075001E-2</v>
      </c>
      <c r="Q542">
        <v>3.2149703083603799E-2</v>
      </c>
      <c r="R542">
        <v>0.99826688139898001</v>
      </c>
      <c r="S542" t="s">
        <v>6827</v>
      </c>
      <c r="T542" t="s">
        <v>12568</v>
      </c>
      <c r="U542" t="s">
        <v>12568</v>
      </c>
      <c r="V542" t="s">
        <v>12568</v>
      </c>
      <c r="W542" t="s">
        <v>13099</v>
      </c>
      <c r="X542">
        <v>2</v>
      </c>
      <c r="Y542" t="s">
        <v>19330</v>
      </c>
      <c r="Z542" t="s">
        <v>25412</v>
      </c>
      <c r="AA542">
        <v>0.46600854685699189</v>
      </c>
      <c r="AB542" t="str">
        <f>HYPERLINK("Melting_Curves/meltCurve_F8W8K9_AP1S3.pdf", "Melting_Curves/meltCurve_F8W8K9_AP1S3.pdf")</f>
        <v>Melting_Curves/meltCurve_F8W8K9_AP1S3.pdf</v>
      </c>
    </row>
    <row r="543" spans="1:28" x14ac:dyDescent="0.25">
      <c r="A543" t="s">
        <v>547</v>
      </c>
      <c r="B543">
        <v>0.99352677808782597</v>
      </c>
      <c r="C543">
        <v>0.973792454080178</v>
      </c>
      <c r="D543">
        <v>0.98968023685657003</v>
      </c>
      <c r="E543">
        <v>0.87968651474500803</v>
      </c>
      <c r="F543">
        <v>0.78876483233658501</v>
      </c>
      <c r="G543">
        <v>0.79465752813356405</v>
      </c>
      <c r="H543">
        <v>0.73966988110670395</v>
      </c>
      <c r="I543">
        <v>0.82157722430020796</v>
      </c>
      <c r="J543">
        <v>0.78332708572296506</v>
      </c>
      <c r="K543">
        <v>0.71583474572794004</v>
      </c>
      <c r="L543">
        <v>1714.40696661742</v>
      </c>
      <c r="M543">
        <v>34.401882993826597</v>
      </c>
      <c r="O543">
        <v>49.6671938601216</v>
      </c>
      <c r="P543">
        <v>-3.99605171005641E-2</v>
      </c>
      <c r="Q543">
        <v>0.76923132454910303</v>
      </c>
      <c r="R543">
        <v>0.919669719508169</v>
      </c>
      <c r="S543" t="s">
        <v>6828</v>
      </c>
      <c r="T543" t="s">
        <v>12568</v>
      </c>
      <c r="U543" t="s">
        <v>12568</v>
      </c>
      <c r="V543" t="s">
        <v>12568</v>
      </c>
      <c r="W543" t="s">
        <v>13100</v>
      </c>
      <c r="X543">
        <v>3</v>
      </c>
      <c r="Y543" t="s">
        <v>19331</v>
      </c>
      <c r="Z543" t="s">
        <v>25413</v>
      </c>
      <c r="AA543">
        <v>0.84596122383400041</v>
      </c>
      <c r="AB543" t="str">
        <f>HYPERLINK("Melting_Curves/meltCurve_F8W8M3_PPP1R12B.pdf", "Melting_Curves/meltCurve_F8W8M3_PPP1R12B.pdf")</f>
        <v>Melting_Curves/meltCurve_F8W8M3_PPP1R12B.pdf</v>
      </c>
    </row>
    <row r="544" spans="1:28" x14ac:dyDescent="0.25">
      <c r="A544" t="s">
        <v>548</v>
      </c>
      <c r="B544">
        <v>0.99352677808782597</v>
      </c>
      <c r="C544">
        <v>0.97999945929739696</v>
      </c>
      <c r="D544">
        <v>1.0090937210164199</v>
      </c>
      <c r="E544">
        <v>0.89192862129626804</v>
      </c>
      <c r="F544">
        <v>0.80202676341217805</v>
      </c>
      <c r="G544">
        <v>0.68963972411664098</v>
      </c>
      <c r="H544">
        <v>0.64392712261596197</v>
      </c>
      <c r="I544">
        <v>0.66952151195481202</v>
      </c>
      <c r="J544">
        <v>0.70347584668751095</v>
      </c>
      <c r="K544">
        <v>0.57111620903557503</v>
      </c>
      <c r="L544">
        <v>1122.0904047157701</v>
      </c>
      <c r="M544">
        <v>21.4343025749383</v>
      </c>
      <c r="O544">
        <v>51.900945925698799</v>
      </c>
      <c r="P544">
        <v>-3.7222885600423798E-2</v>
      </c>
      <c r="Q544">
        <v>0.63948351276358395</v>
      </c>
      <c r="R544">
        <v>0.95583019944724201</v>
      </c>
      <c r="S544" t="s">
        <v>6829</v>
      </c>
      <c r="T544" t="s">
        <v>12568</v>
      </c>
      <c r="U544" t="s">
        <v>12568</v>
      </c>
      <c r="V544" t="s">
        <v>12568</v>
      </c>
      <c r="W544" t="s">
        <v>13101</v>
      </c>
      <c r="X544">
        <v>13</v>
      </c>
      <c r="Y544" t="s">
        <v>19332</v>
      </c>
      <c r="Z544" t="s">
        <v>25414</v>
      </c>
      <c r="AA544">
        <v>0.79229870354544429</v>
      </c>
      <c r="AB544" t="str">
        <f>HYPERLINK("Melting_Curves/meltCurve_F8W8M4_ABLIM1.pdf", "Melting_Curves/meltCurve_F8W8M4_ABLIM1.pdf")</f>
        <v>Melting_Curves/meltCurve_F8W8M4_ABLIM1.pdf</v>
      </c>
    </row>
    <row r="545" spans="1:28" x14ac:dyDescent="0.25">
      <c r="A545" t="s">
        <v>549</v>
      </c>
      <c r="B545">
        <v>0.99352677808782597</v>
      </c>
      <c r="C545">
        <v>0.90566963177488302</v>
      </c>
      <c r="D545">
        <v>0.84049460840014001</v>
      </c>
      <c r="E545">
        <v>0.69991394544053698</v>
      </c>
      <c r="F545">
        <v>0.63553898275478204</v>
      </c>
      <c r="G545">
        <v>0.47690613831721401</v>
      </c>
      <c r="H545">
        <v>0.42817171130079201</v>
      </c>
      <c r="I545">
        <v>0.429971080414632</v>
      </c>
      <c r="J545">
        <v>0.44796394744627599</v>
      </c>
      <c r="K545">
        <v>0.366311465151196</v>
      </c>
      <c r="L545">
        <v>568.90938173903601</v>
      </c>
      <c r="M545">
        <v>11.2500188021159</v>
      </c>
      <c r="N545">
        <v>57.304121461110697</v>
      </c>
      <c r="O545">
        <v>49.050782496046303</v>
      </c>
      <c r="P545">
        <v>-3.6322912149326203E-2</v>
      </c>
      <c r="Q545">
        <v>0.36671529552992299</v>
      </c>
      <c r="R545">
        <v>0.98720348926953905</v>
      </c>
      <c r="S545" t="s">
        <v>6830</v>
      </c>
      <c r="T545" t="s">
        <v>12568</v>
      </c>
      <c r="U545" t="s">
        <v>12568</v>
      </c>
      <c r="V545" t="s">
        <v>12568</v>
      </c>
      <c r="W545" t="s">
        <v>13102</v>
      </c>
      <c r="X545">
        <v>12</v>
      </c>
      <c r="Y545" t="s">
        <v>19333</v>
      </c>
      <c r="Z545" t="s">
        <v>25415</v>
      </c>
      <c r="AA545">
        <v>0.61311797071472129</v>
      </c>
      <c r="AB545" t="str">
        <f>HYPERLINK("Melting_Curves/meltCurve_F8W9F9_WNK2.pdf", "Melting_Curves/meltCurve_F8W9F9_WNK2.pdf")</f>
        <v>Melting_Curves/meltCurve_F8W9F9_WNK2.pdf</v>
      </c>
    </row>
    <row r="546" spans="1:28" x14ac:dyDescent="0.25">
      <c r="A546" t="s">
        <v>550</v>
      </c>
      <c r="B546">
        <v>0.99352677808782597</v>
      </c>
      <c r="C546">
        <v>1.00800354534341</v>
      </c>
      <c r="D546">
        <v>0.96146873051888604</v>
      </c>
      <c r="E546">
        <v>0.87546731283760704</v>
      </c>
      <c r="F546">
        <v>0.72664276442301201</v>
      </c>
      <c r="G546">
        <v>0.62266221421273305</v>
      </c>
      <c r="H546">
        <v>0.441885244372206</v>
      </c>
      <c r="I546">
        <v>0.37910130986632401</v>
      </c>
      <c r="J546">
        <v>0.51960215689808098</v>
      </c>
      <c r="K546">
        <v>0.55115521929737499</v>
      </c>
      <c r="L546">
        <v>1097.2548588848499</v>
      </c>
      <c r="M546">
        <v>20.716693447005401</v>
      </c>
      <c r="N546">
        <v>61.252176742053898</v>
      </c>
      <c r="O546">
        <v>52.478661428860697</v>
      </c>
      <c r="P546">
        <v>-5.2338832622579198E-2</v>
      </c>
      <c r="Q546">
        <v>0.46968480705216298</v>
      </c>
      <c r="R546">
        <v>0.94905574924226499</v>
      </c>
      <c r="S546" t="s">
        <v>6831</v>
      </c>
      <c r="T546" t="s">
        <v>12568</v>
      </c>
      <c r="U546" t="s">
        <v>12568</v>
      </c>
      <c r="V546" t="s">
        <v>12568</v>
      </c>
      <c r="W546" t="s">
        <v>13103</v>
      </c>
      <c r="X546">
        <v>3</v>
      </c>
      <c r="Y546" t="s">
        <v>19334</v>
      </c>
      <c r="Z546" t="s">
        <v>25416</v>
      </c>
      <c r="AA546">
        <v>0.70573116113386924</v>
      </c>
      <c r="AB546" t="str">
        <f>HYPERLINK("Melting_Curves/meltCurve_F8W9L8_PHF20L1.pdf", "Melting_Curves/meltCurve_F8W9L8_PHF20L1.pdf")</f>
        <v>Melting_Curves/meltCurve_F8W9L8_PHF20L1.pdf</v>
      </c>
    </row>
    <row r="547" spans="1:28" x14ac:dyDescent="0.25">
      <c r="A547" t="s">
        <v>551</v>
      </c>
      <c r="B547">
        <v>0.99352677808782597</v>
      </c>
      <c r="C547">
        <v>0.89462330083178399</v>
      </c>
      <c r="D547">
        <v>0.88167229933513902</v>
      </c>
      <c r="E547">
        <v>0.53928943348972003</v>
      </c>
      <c r="F547">
        <v>0.50637805115356305</v>
      </c>
      <c r="G547">
        <v>0.34003149758698897</v>
      </c>
      <c r="H547">
        <v>0.30353832761902699</v>
      </c>
      <c r="I547">
        <v>0.31584667575929298</v>
      </c>
      <c r="J547">
        <v>0.27712518937985198</v>
      </c>
      <c r="K547">
        <v>0.20712262935119899</v>
      </c>
      <c r="L547">
        <v>719.00443084179199</v>
      </c>
      <c r="M547">
        <v>14.4685245844974</v>
      </c>
      <c r="N547">
        <v>52.170154896498502</v>
      </c>
      <c r="O547">
        <v>48.774006393593197</v>
      </c>
      <c r="P547">
        <v>-5.5748799935703398E-2</v>
      </c>
      <c r="Q547">
        <v>0.24836125607286699</v>
      </c>
      <c r="R547">
        <v>0.97911725029619101</v>
      </c>
      <c r="S547" t="s">
        <v>6832</v>
      </c>
      <c r="T547" t="s">
        <v>12568</v>
      </c>
      <c r="U547" t="s">
        <v>12568</v>
      </c>
      <c r="V547" t="s">
        <v>12568</v>
      </c>
      <c r="W547" t="s">
        <v>13104</v>
      </c>
      <c r="X547">
        <v>4</v>
      </c>
      <c r="Y547" t="s">
        <v>19335</v>
      </c>
      <c r="Z547" t="s">
        <v>25417</v>
      </c>
      <c r="AA547">
        <v>0.51056279671269378</v>
      </c>
      <c r="AB547" t="str">
        <f>HYPERLINK("Melting_Curves/meltCurve_F8W9Q9_LENG8.pdf", "Melting_Curves/meltCurve_F8W9Q9_LENG8.pdf")</f>
        <v>Melting_Curves/meltCurve_F8W9Q9_LENG8.pdf</v>
      </c>
    </row>
    <row r="548" spans="1:28" x14ac:dyDescent="0.25">
      <c r="A548" t="s">
        <v>552</v>
      </c>
      <c r="B548">
        <v>0.99352677808782597</v>
      </c>
      <c r="C548">
        <v>0.91408227784321805</v>
      </c>
      <c r="D548">
        <v>0.83590886597567404</v>
      </c>
      <c r="E548">
        <v>0.51282613332150595</v>
      </c>
      <c r="F548">
        <v>0.41967954005124503</v>
      </c>
      <c r="G548">
        <v>0.22007284979130601</v>
      </c>
      <c r="H548">
        <v>0.169040704938139</v>
      </c>
      <c r="I548">
        <v>0.15961893706490701</v>
      </c>
      <c r="J548">
        <v>0.12627554494861701</v>
      </c>
      <c r="K548">
        <v>9.0284123255540694E-2</v>
      </c>
      <c r="L548">
        <v>722.67693810267394</v>
      </c>
      <c r="M548">
        <v>14.4166397830601</v>
      </c>
      <c r="N548">
        <v>50.917465992653398</v>
      </c>
      <c r="O548">
        <v>49.193076079708</v>
      </c>
      <c r="P548">
        <v>-6.5935357096945105E-2</v>
      </c>
      <c r="Q548">
        <v>0.100156401466178</v>
      </c>
      <c r="R548">
        <v>0.99455430031592196</v>
      </c>
      <c r="S548" t="s">
        <v>6833</v>
      </c>
      <c r="T548" t="s">
        <v>12568</v>
      </c>
      <c r="U548" t="s">
        <v>12568</v>
      </c>
      <c r="V548" t="s">
        <v>12568</v>
      </c>
      <c r="W548" t="s">
        <v>13105</v>
      </c>
      <c r="X548">
        <v>7</v>
      </c>
      <c r="Y548" t="s">
        <v>19336</v>
      </c>
      <c r="Z548" t="s">
        <v>25418</v>
      </c>
      <c r="AA548">
        <v>0.42683961897312989</v>
      </c>
      <c r="AB548" t="str">
        <f>HYPERLINK("Melting_Curves/meltCurve_F8W9X7_CCDC93.pdf", "Melting_Curves/meltCurve_F8W9X7_CCDC93.pdf")</f>
        <v>Melting_Curves/meltCurve_F8W9X7_CCDC93.pdf</v>
      </c>
    </row>
    <row r="549" spans="1:28" x14ac:dyDescent="0.25">
      <c r="A549" t="s">
        <v>553</v>
      </c>
      <c r="B549">
        <v>0.99352677808782597</v>
      </c>
      <c r="C549">
        <v>0.86505010393584103</v>
      </c>
      <c r="D549">
        <v>0.89475767388115202</v>
      </c>
      <c r="E549">
        <v>0.91536417969403405</v>
      </c>
      <c r="F549">
        <v>0.827856214252359</v>
      </c>
      <c r="G549">
        <v>0.36049774681140601</v>
      </c>
      <c r="H549">
        <v>0.14634541104382101</v>
      </c>
      <c r="I549">
        <v>0.114725578709514</v>
      </c>
      <c r="J549">
        <v>9.7788373663660805E-2</v>
      </c>
      <c r="K549">
        <v>8.9377220694760701E-2</v>
      </c>
      <c r="L549">
        <v>1566.95768456664</v>
      </c>
      <c r="M549">
        <v>28.290217875700399</v>
      </c>
      <c r="N549">
        <v>55.771327731779898</v>
      </c>
      <c r="O549">
        <v>55.114123840550199</v>
      </c>
      <c r="P549">
        <v>-0.117006588058771</v>
      </c>
      <c r="Q549">
        <v>8.8212961589677605E-2</v>
      </c>
      <c r="R549">
        <v>0.97794032004241205</v>
      </c>
      <c r="S549" t="s">
        <v>6834</v>
      </c>
      <c r="T549" t="s">
        <v>12568</v>
      </c>
      <c r="U549" t="s">
        <v>12568</v>
      </c>
      <c r="V549" t="s">
        <v>12568</v>
      </c>
      <c r="W549" t="s">
        <v>13106</v>
      </c>
      <c r="X549">
        <v>6</v>
      </c>
      <c r="Y549" t="s">
        <v>19337</v>
      </c>
      <c r="Z549" t="s">
        <v>25419</v>
      </c>
      <c r="AA549">
        <v>0.56267875212395591</v>
      </c>
      <c r="AB549" t="str">
        <f>HYPERLINK("Melting_Curves/meltCurve_F8WAK8_STAG2.pdf", "Melting_Curves/meltCurve_F8WAK8_STAG2.pdf")</f>
        <v>Melting_Curves/meltCurve_F8WAK8_STAG2.pdf</v>
      </c>
    </row>
    <row r="550" spans="1:28" x14ac:dyDescent="0.25">
      <c r="A550" t="s">
        <v>554</v>
      </c>
      <c r="B550">
        <v>0.99352677808782597</v>
      </c>
      <c r="C550">
        <v>0.96193049007742204</v>
      </c>
      <c r="D550">
        <v>0.95830505937771304</v>
      </c>
      <c r="E550">
        <v>0.62879592399523299</v>
      </c>
      <c r="F550">
        <v>0.55247100572320496</v>
      </c>
      <c r="G550">
        <v>0.441597108935467</v>
      </c>
      <c r="H550">
        <v>0.35997277348557299</v>
      </c>
      <c r="I550">
        <v>0.30169876110049099</v>
      </c>
      <c r="J550">
        <v>0.28443105397270602</v>
      </c>
      <c r="K550">
        <v>0.21699565286391201</v>
      </c>
      <c r="L550">
        <v>707.52258385900404</v>
      </c>
      <c r="M550">
        <v>13.7110876199253</v>
      </c>
      <c r="N550">
        <v>54.291823054029102</v>
      </c>
      <c r="O550">
        <v>50.5416768014722</v>
      </c>
      <c r="P550">
        <v>-5.11102480578427E-2</v>
      </c>
      <c r="Q550">
        <v>0.24649976441121399</v>
      </c>
      <c r="R550">
        <v>0.979923844030409</v>
      </c>
      <c r="S550" t="s">
        <v>6835</v>
      </c>
      <c r="T550" t="s">
        <v>12568</v>
      </c>
      <c r="U550" t="s">
        <v>12568</v>
      </c>
      <c r="V550" t="s">
        <v>12568</v>
      </c>
      <c r="W550" t="s">
        <v>13107</v>
      </c>
      <c r="X550">
        <v>2</v>
      </c>
      <c r="Y550" t="s">
        <v>19338</v>
      </c>
      <c r="Z550" t="s">
        <v>25420</v>
      </c>
      <c r="AA550">
        <v>0.55750620611665835</v>
      </c>
      <c r="AB550" t="str">
        <f>HYPERLINK("Melting_Curves/meltCurve_F8WAS3_NDUFA5.pdf", "Melting_Curves/meltCurve_F8WAS3_NDUFA5.pdf")</f>
        <v>Melting_Curves/meltCurve_F8WAS3_NDUFA5.pdf</v>
      </c>
    </row>
    <row r="551" spans="1:28" x14ac:dyDescent="0.25">
      <c r="A551" t="s">
        <v>555</v>
      </c>
      <c r="B551">
        <v>0.99352677808782597</v>
      </c>
      <c r="C551">
        <v>1.08983198752586</v>
      </c>
      <c r="D551">
        <v>1.1023199315919301</v>
      </c>
      <c r="E551">
        <v>0.68301388604134705</v>
      </c>
      <c r="F551">
        <v>0.576685585380179</v>
      </c>
      <c r="G551">
        <v>0.327906928737555</v>
      </c>
      <c r="H551">
        <v>0.206637094655055</v>
      </c>
      <c r="I551">
        <v>0.21436683528238001</v>
      </c>
      <c r="J551">
        <v>0.14316209855002399</v>
      </c>
      <c r="K551">
        <v>0.10220208240461801</v>
      </c>
      <c r="L551">
        <v>1012.19947508874</v>
      </c>
      <c r="M551">
        <v>19.1717102182776</v>
      </c>
      <c r="N551">
        <v>53.725800280806297</v>
      </c>
      <c r="O551">
        <v>52.232154300803003</v>
      </c>
      <c r="P551">
        <v>-7.8816134229052495E-2</v>
      </c>
      <c r="Q551">
        <v>0.14111409009341799</v>
      </c>
      <c r="R551">
        <v>0.96754548166495402</v>
      </c>
      <c r="S551" t="s">
        <v>6836</v>
      </c>
      <c r="T551" t="s">
        <v>12568</v>
      </c>
      <c r="U551" t="s">
        <v>12568</v>
      </c>
      <c r="V551" t="s">
        <v>12568</v>
      </c>
      <c r="W551" t="s">
        <v>13108</v>
      </c>
      <c r="X551">
        <v>1</v>
      </c>
      <c r="Y551" t="s">
        <v>19339</v>
      </c>
      <c r="Z551" t="s">
        <v>25421</v>
      </c>
      <c r="AA551">
        <v>0.52018953820655445</v>
      </c>
      <c r="AB551" t="str">
        <f>HYPERLINK("Melting_Curves/meltCurve_F8WB16_CTTNBP2.pdf", "Melting_Curves/meltCurve_F8WB16_CTTNBP2.pdf")</f>
        <v>Melting_Curves/meltCurve_F8WB16_CTTNBP2.pdf</v>
      </c>
    </row>
    <row r="552" spans="1:28" x14ac:dyDescent="0.25">
      <c r="A552" t="s">
        <v>556</v>
      </c>
      <c r="B552">
        <v>0.99352677808782597</v>
      </c>
      <c r="C552">
        <v>1.02144801798451</v>
      </c>
      <c r="D552">
        <v>0.95439740173568999</v>
      </c>
      <c r="E552">
        <v>0.62213534641558499</v>
      </c>
      <c r="F552">
        <v>0.51305983464028604</v>
      </c>
      <c r="G552">
        <v>0.35371176891682499</v>
      </c>
      <c r="H552">
        <v>0.36403907173511602</v>
      </c>
      <c r="I552">
        <v>0.35870849017974099</v>
      </c>
      <c r="J552">
        <v>0.28449996896678498</v>
      </c>
      <c r="K552">
        <v>0.24374591803933099</v>
      </c>
      <c r="L552">
        <v>1072.98410355448</v>
      </c>
      <c r="M552">
        <v>21.3534435152513</v>
      </c>
      <c r="N552">
        <v>52.588278906422701</v>
      </c>
      <c r="O552">
        <v>49.814291958313497</v>
      </c>
      <c r="P552">
        <v>-7.43080145227802E-2</v>
      </c>
      <c r="Q552">
        <v>0.30662084174371301</v>
      </c>
      <c r="R552">
        <v>0.98218880403376296</v>
      </c>
      <c r="S552" t="s">
        <v>6837</v>
      </c>
      <c r="T552" t="s">
        <v>12568</v>
      </c>
      <c r="U552" t="s">
        <v>12568</v>
      </c>
      <c r="V552" t="s">
        <v>12568</v>
      </c>
      <c r="W552" t="s">
        <v>13109</v>
      </c>
      <c r="X552">
        <v>2</v>
      </c>
      <c r="Y552" t="s">
        <v>19340</v>
      </c>
      <c r="Z552" t="s">
        <v>25422</v>
      </c>
      <c r="AA552">
        <v>0.55198798261578641</v>
      </c>
      <c r="AB552" t="str">
        <f>HYPERLINK("Melting_Curves/meltCurve_F8WBK5_MRPL40.pdf", "Melting_Curves/meltCurve_F8WBK5_MRPL40.pdf")</f>
        <v>Melting_Curves/meltCurve_F8WBK5_MRPL40.pdf</v>
      </c>
    </row>
    <row r="553" spans="1:28" x14ac:dyDescent="0.25">
      <c r="A553" t="s">
        <v>557</v>
      </c>
      <c r="B553">
        <v>0.99352677808782597</v>
      </c>
      <c r="C553">
        <v>0.901239594388212</v>
      </c>
      <c r="D553">
        <v>0.69777547668163797</v>
      </c>
      <c r="E553">
        <v>0.48660482495744301</v>
      </c>
      <c r="F553">
        <v>0.41744095359642802</v>
      </c>
      <c r="G553">
        <v>0.244949236271265</v>
      </c>
      <c r="H553">
        <v>0.19595431174686501</v>
      </c>
      <c r="I553">
        <v>0.18189544283217199</v>
      </c>
      <c r="J553">
        <v>0.13351762665028499</v>
      </c>
      <c r="K553">
        <v>0.102692074179666</v>
      </c>
      <c r="L553">
        <v>593.06201607138098</v>
      </c>
      <c r="M553">
        <v>12.0286998564253</v>
      </c>
      <c r="N553">
        <v>50.292671796571497</v>
      </c>
      <c r="O553">
        <v>48.0005405050847</v>
      </c>
      <c r="P553">
        <v>-5.6065189552240401E-2</v>
      </c>
      <c r="Q553">
        <v>0.105300923127827</v>
      </c>
      <c r="R553">
        <v>0.99134287684532796</v>
      </c>
      <c r="S553" t="s">
        <v>6838</v>
      </c>
      <c r="T553" t="s">
        <v>12568</v>
      </c>
      <c r="U553" t="s">
        <v>12568</v>
      </c>
      <c r="V553" t="s">
        <v>12568</v>
      </c>
      <c r="W553" t="s">
        <v>13110</v>
      </c>
      <c r="X553">
        <v>4</v>
      </c>
      <c r="Y553" t="s">
        <v>19341</v>
      </c>
      <c r="Z553" t="s">
        <v>25423</v>
      </c>
      <c r="AA553">
        <v>0.41492147501647081</v>
      </c>
      <c r="AB553" t="str">
        <f>HYPERLINK("Melting_Curves/meltCurve_F8WEG4_CBWD2.pdf", "Melting_Curves/meltCurve_F8WEG4_CBWD2.pdf")</f>
        <v>Melting_Curves/meltCurve_F8WEG4_CBWD2.pdf</v>
      </c>
    </row>
    <row r="554" spans="1:28" x14ac:dyDescent="0.25">
      <c r="A554" t="s">
        <v>558</v>
      </c>
      <c r="B554">
        <v>0.99352677808782597</v>
      </c>
      <c r="C554">
        <v>1.0229744389340201</v>
      </c>
      <c r="D554">
        <v>0.82921981883649798</v>
      </c>
      <c r="E554">
        <v>0.73981840783089003</v>
      </c>
      <c r="F554">
        <v>0.95147730625781302</v>
      </c>
      <c r="G554">
        <v>0.44798123832178499</v>
      </c>
      <c r="H554">
        <v>0.9464080278832</v>
      </c>
      <c r="I554">
        <v>2.0922311263124498</v>
      </c>
      <c r="J554">
        <v>0.44735567406979099</v>
      </c>
      <c r="K554">
        <v>0.35974208749599002</v>
      </c>
      <c r="L554">
        <v>15000</v>
      </c>
      <c r="M554">
        <v>225.68969951053299</v>
      </c>
      <c r="N554">
        <v>66.836990444928006</v>
      </c>
      <c r="O554">
        <v>66.457718653491398</v>
      </c>
      <c r="P554">
        <v>-0.54453997948826205</v>
      </c>
      <c r="Q554">
        <v>0.358608143678316</v>
      </c>
      <c r="R554">
        <v>0.26543977283450898</v>
      </c>
      <c r="S554" t="s">
        <v>6839</v>
      </c>
      <c r="T554" t="s">
        <v>12568</v>
      </c>
      <c r="U554" t="s">
        <v>12568</v>
      </c>
      <c r="V554" t="s">
        <v>12568</v>
      </c>
      <c r="W554" t="s">
        <v>13111</v>
      </c>
      <c r="X554">
        <v>1</v>
      </c>
      <c r="Y554" t="s">
        <v>19342</v>
      </c>
      <c r="Z554" t="s">
        <v>25424</v>
      </c>
      <c r="AA554">
        <v>0.92447025058267607</v>
      </c>
      <c r="AB554" t="str">
        <f>HYPERLINK("Melting_Curves/meltCurve_F8WF48_SEC62.pdf", "Melting_Curves/meltCurve_F8WF48_SEC62.pdf")</f>
        <v>Melting_Curves/meltCurve_F8WF48_SEC62.pdf</v>
      </c>
    </row>
    <row r="555" spans="1:28" x14ac:dyDescent="0.25">
      <c r="A555" t="s">
        <v>559</v>
      </c>
      <c r="B555">
        <v>0.99352677808782597</v>
      </c>
      <c r="C555">
        <v>1.02750074091785</v>
      </c>
      <c r="D555">
        <v>0.97887817240984898</v>
      </c>
      <c r="E555">
        <v>0.95787784079942195</v>
      </c>
      <c r="F555">
        <v>0.82706566177621998</v>
      </c>
      <c r="G555">
        <v>0.58861752292469305</v>
      </c>
      <c r="H555">
        <v>0.44714354106347898</v>
      </c>
      <c r="I555">
        <v>0.41977525168666002</v>
      </c>
      <c r="J555">
        <v>0.35090203567525802</v>
      </c>
      <c r="K555">
        <v>0.27635289678066599</v>
      </c>
      <c r="L555">
        <v>976.46657514643096</v>
      </c>
      <c r="M555">
        <v>17.311343748703699</v>
      </c>
      <c r="N555">
        <v>59.471058442586902</v>
      </c>
      <c r="O555">
        <v>55.669638689744701</v>
      </c>
      <c r="P555">
        <v>-5.4801986340550599E-2</v>
      </c>
      <c r="Q555">
        <v>0.29511416367280902</v>
      </c>
      <c r="R555">
        <v>0.99202359649264604</v>
      </c>
      <c r="S555" t="s">
        <v>6840</v>
      </c>
      <c r="T555" t="s">
        <v>12568</v>
      </c>
      <c r="U555" t="s">
        <v>12568</v>
      </c>
      <c r="V555" t="s">
        <v>12568</v>
      </c>
      <c r="W555" t="s">
        <v>13112</v>
      </c>
      <c r="X555">
        <v>15</v>
      </c>
      <c r="Y555" t="s">
        <v>19343</v>
      </c>
      <c r="Z555" t="s">
        <v>25425</v>
      </c>
      <c r="AA555">
        <v>0.69114917988141711</v>
      </c>
      <c r="AB555" t="str">
        <f>HYPERLINK("Melting_Curves/meltCurve_F8WJN3_CPSF6.pdf", "Melting_Curves/meltCurve_F8WJN3_CPSF6.pdf")</f>
        <v>Melting_Curves/meltCurve_F8WJN3_CPSF6.pdf</v>
      </c>
    </row>
    <row r="556" spans="1:28" x14ac:dyDescent="0.25">
      <c r="A556" t="s">
        <v>560</v>
      </c>
      <c r="B556">
        <v>0.99352677808782597</v>
      </c>
      <c r="C556">
        <v>0.82632196049565898</v>
      </c>
      <c r="D556">
        <v>0.49214121742760902</v>
      </c>
      <c r="E556">
        <v>0.27538904144355397</v>
      </c>
      <c r="F556">
        <v>0.20309978218149199</v>
      </c>
      <c r="G556">
        <v>0.121871858601852</v>
      </c>
      <c r="H556">
        <v>0.108829903284796</v>
      </c>
      <c r="I556">
        <v>0.127222682013162</v>
      </c>
      <c r="J556">
        <v>6.2280190163657503E-2</v>
      </c>
      <c r="K556">
        <v>5.9178891890301698E-2</v>
      </c>
      <c r="L556">
        <v>860.29744553959495</v>
      </c>
      <c r="M556">
        <v>18.743009311075902</v>
      </c>
      <c r="N556">
        <v>46.422724966274103</v>
      </c>
      <c r="O556">
        <v>45.386724436633401</v>
      </c>
      <c r="P556">
        <v>-9.3417110601809794E-2</v>
      </c>
      <c r="Q556">
        <v>9.51894220095134E-2</v>
      </c>
      <c r="R556">
        <v>0.98995088392566599</v>
      </c>
      <c r="S556" t="s">
        <v>6841</v>
      </c>
      <c r="T556" t="s">
        <v>12568</v>
      </c>
      <c r="U556" t="s">
        <v>12568</v>
      </c>
      <c r="V556" t="s">
        <v>12568</v>
      </c>
      <c r="W556" t="s">
        <v>13113</v>
      </c>
      <c r="X556">
        <v>2</v>
      </c>
      <c r="Y556" t="s">
        <v>19344</v>
      </c>
      <c r="Z556" t="s">
        <v>25426</v>
      </c>
      <c r="AA556">
        <v>0.28946533121836659</v>
      </c>
      <c r="AB556" t="str">
        <f>HYPERLINK("Melting_Curves/meltCurve_G3V130_MTERFD1.pdf", "Melting_Curves/meltCurve_G3V130_MTERFD1.pdf")</f>
        <v>Melting_Curves/meltCurve_G3V130_MTERFD1.pdf</v>
      </c>
    </row>
    <row r="557" spans="1:28" x14ac:dyDescent="0.25">
      <c r="A557" t="s">
        <v>561</v>
      </c>
      <c r="B557">
        <v>0.99352677808782597</v>
      </c>
      <c r="C557">
        <v>0.83175135711230996</v>
      </c>
      <c r="D557">
        <v>0.66054938914930905</v>
      </c>
      <c r="E557">
        <v>0.21614664007890499</v>
      </c>
      <c r="F557">
        <v>0.138653212541925</v>
      </c>
      <c r="G557">
        <v>8.3317123777114296E-2</v>
      </c>
      <c r="H557">
        <v>3.47323818947574E-2</v>
      </c>
      <c r="I557">
        <v>5.0568451207152303E-2</v>
      </c>
      <c r="J557">
        <v>3.10861169086325E-2</v>
      </c>
      <c r="K557">
        <v>1.4004543230076801E-2</v>
      </c>
      <c r="L557">
        <v>944.61595686794999</v>
      </c>
      <c r="M557">
        <v>20.095837039657798</v>
      </c>
      <c r="N557">
        <v>47.1627213147611</v>
      </c>
      <c r="O557">
        <v>46.547513937147897</v>
      </c>
      <c r="P557">
        <v>-0.10444004215873801</v>
      </c>
      <c r="Q557">
        <v>3.2382869262627102E-2</v>
      </c>
      <c r="R557">
        <v>0.99440675780780197</v>
      </c>
      <c r="S557" t="s">
        <v>6842</v>
      </c>
      <c r="T557" t="s">
        <v>12568</v>
      </c>
      <c r="U557" t="s">
        <v>12568</v>
      </c>
      <c r="V557" t="s">
        <v>12568</v>
      </c>
      <c r="W557" t="s">
        <v>13114</v>
      </c>
      <c r="X557">
        <v>2</v>
      </c>
      <c r="Y557" t="s">
        <v>19345</v>
      </c>
      <c r="Z557" t="s">
        <v>25427</v>
      </c>
      <c r="AA557">
        <v>0.27235266486799442</v>
      </c>
      <c r="AB557" t="str">
        <f>HYPERLINK("Melting_Curves/meltCurve_G3V167_PARP2.pdf", "Melting_Curves/meltCurve_G3V167_PARP2.pdf")</f>
        <v>Melting_Curves/meltCurve_G3V167_PARP2.pdf</v>
      </c>
    </row>
    <row r="558" spans="1:28" x14ac:dyDescent="0.25">
      <c r="A558" t="s">
        <v>562</v>
      </c>
      <c r="B558">
        <v>0.99352677808782597</v>
      </c>
      <c r="C558">
        <v>0.98114097183124105</v>
      </c>
      <c r="D558">
        <v>0.90761853414062099</v>
      </c>
      <c r="E558">
        <v>0.73482149409800301</v>
      </c>
      <c r="F558">
        <v>0.63186114231944801</v>
      </c>
      <c r="G558">
        <v>0.488319817453856</v>
      </c>
      <c r="H558">
        <v>0.39934022465267899</v>
      </c>
      <c r="I558">
        <v>0.40333675305858502</v>
      </c>
      <c r="J558">
        <v>0.43286785561466901</v>
      </c>
      <c r="K558">
        <v>0.34195531519651601</v>
      </c>
      <c r="L558">
        <v>760.645547403416</v>
      </c>
      <c r="M558">
        <v>14.7766562682702</v>
      </c>
      <c r="N558">
        <v>56.480763788651899</v>
      </c>
      <c r="O558">
        <v>50.560973042787403</v>
      </c>
      <c r="P558">
        <v>-4.6400518046273001E-2</v>
      </c>
      <c r="Q558">
        <v>0.364997341665383</v>
      </c>
      <c r="R558">
        <v>0.99190185403642195</v>
      </c>
      <c r="S558" t="s">
        <v>6843</v>
      </c>
      <c r="T558" t="s">
        <v>12568</v>
      </c>
      <c r="U558" t="s">
        <v>12568</v>
      </c>
      <c r="V558" t="s">
        <v>12568</v>
      </c>
      <c r="W558" t="s">
        <v>13115</v>
      </c>
      <c r="X558">
        <v>62</v>
      </c>
      <c r="Y558" t="s">
        <v>19346</v>
      </c>
      <c r="Z558" t="s">
        <v>25428</v>
      </c>
      <c r="AA558">
        <v>0.62270805093555637</v>
      </c>
      <c r="AB558" t="str">
        <f>HYPERLINK("Melting_Curves/meltCurve_G3V1L9_TJP1.pdf", "Melting_Curves/meltCurve_G3V1L9_TJP1.pdf")</f>
        <v>Melting_Curves/meltCurve_G3V1L9_TJP1.pdf</v>
      </c>
    </row>
    <row r="559" spans="1:28" x14ac:dyDescent="0.25">
      <c r="A559" t="s">
        <v>563</v>
      </c>
      <c r="B559">
        <v>0.99352677808782597</v>
      </c>
      <c r="C559">
        <v>0.90991785010952297</v>
      </c>
      <c r="D559">
        <v>1.01977414770641</v>
      </c>
      <c r="E559">
        <v>0.88885639552719997</v>
      </c>
      <c r="F559">
        <v>0.81805660431278904</v>
      </c>
      <c r="G559">
        <v>0.79324558614126395</v>
      </c>
      <c r="H559">
        <v>0.62060251833296898</v>
      </c>
      <c r="I559">
        <v>0.55084546264678402</v>
      </c>
      <c r="J559">
        <v>0.53455612813138598</v>
      </c>
      <c r="K559">
        <v>0.38651798971795698</v>
      </c>
      <c r="L559">
        <v>448.889067039959</v>
      </c>
      <c r="M559">
        <v>6.7561146319903704</v>
      </c>
      <c r="N559">
        <v>66.441896156149198</v>
      </c>
      <c r="O559">
        <v>61.348428447999403</v>
      </c>
      <c r="P559">
        <v>-2.7589841607515601E-2</v>
      </c>
      <c r="Q559">
        <v>0</v>
      </c>
      <c r="R559">
        <v>0.96296579729716003</v>
      </c>
      <c r="S559" t="s">
        <v>6844</v>
      </c>
      <c r="T559" t="s">
        <v>12568</v>
      </c>
      <c r="U559" t="s">
        <v>12568</v>
      </c>
      <c r="V559" t="s">
        <v>12568</v>
      </c>
      <c r="W559" t="s">
        <v>13116</v>
      </c>
      <c r="X559">
        <v>1</v>
      </c>
      <c r="Y559" t="s">
        <v>19347</v>
      </c>
      <c r="Z559" t="s">
        <v>25429</v>
      </c>
      <c r="AA559">
        <v>0.76462647101009107</v>
      </c>
      <c r="AB559" t="str">
        <f>HYPERLINK("Melting_Curves/meltCurve_G3V1N3_GAS2L3.pdf", "Melting_Curves/meltCurve_G3V1N3_GAS2L3.pdf")</f>
        <v>Melting_Curves/meltCurve_G3V1N3_GAS2L3.pdf</v>
      </c>
    </row>
    <row r="560" spans="1:28" x14ac:dyDescent="0.25">
      <c r="A560" t="s">
        <v>564</v>
      </c>
      <c r="B560">
        <v>0.99352677808782597</v>
      </c>
      <c r="C560">
        <v>0.95807516501512402</v>
      </c>
      <c r="D560">
        <v>0.98521274470668496</v>
      </c>
      <c r="E560">
        <v>0.86060538204829895</v>
      </c>
      <c r="F560">
        <v>0.77494386647131697</v>
      </c>
      <c r="G560">
        <v>0.55002733185347996</v>
      </c>
      <c r="H560">
        <v>0.35516656220091902</v>
      </c>
      <c r="I560">
        <v>0.24341798768626499</v>
      </c>
      <c r="J560">
        <v>0.14241194838030999</v>
      </c>
      <c r="K560">
        <v>0.11037916704848</v>
      </c>
      <c r="L560">
        <v>721.32661707562102</v>
      </c>
      <c r="M560">
        <v>12.4388496821619</v>
      </c>
      <c r="N560">
        <v>57.989817037219701</v>
      </c>
      <c r="O560">
        <v>56.552177285153903</v>
      </c>
      <c r="P560">
        <v>-5.4999890930569797E-2</v>
      </c>
      <c r="Q560">
        <v>0</v>
      </c>
      <c r="R560">
        <v>0.998096644958677</v>
      </c>
      <c r="S560" t="s">
        <v>6845</v>
      </c>
      <c r="T560" t="s">
        <v>12568</v>
      </c>
      <c r="U560" t="s">
        <v>12568</v>
      </c>
      <c r="V560" t="s">
        <v>12568</v>
      </c>
      <c r="W560" t="s">
        <v>13117</v>
      </c>
      <c r="X560">
        <v>7</v>
      </c>
      <c r="Y560" t="s">
        <v>19348</v>
      </c>
      <c r="Z560" t="s">
        <v>25430</v>
      </c>
      <c r="AA560">
        <v>0.61270928884906772</v>
      </c>
      <c r="AB560" t="str">
        <f>HYPERLINK("Melting_Curves/meltCurve_G3V1P3_LOH12CR1.pdf", "Melting_Curves/meltCurve_G3V1P3_LOH12CR1.pdf")</f>
        <v>Melting_Curves/meltCurve_G3V1P3_LOH12CR1.pdf</v>
      </c>
    </row>
    <row r="561" spans="1:28" x14ac:dyDescent="0.25">
      <c r="A561" t="s">
        <v>565</v>
      </c>
      <c r="B561">
        <v>0.99352677808782597</v>
      </c>
      <c r="C561">
        <v>0.97455132026802904</v>
      </c>
      <c r="D561">
        <v>0.95991037994681006</v>
      </c>
      <c r="E561">
        <v>0.85651746197674505</v>
      </c>
      <c r="F561">
        <v>0.81932453730001498</v>
      </c>
      <c r="G561">
        <v>0.62705969756451396</v>
      </c>
      <c r="H561">
        <v>0.66245863950650596</v>
      </c>
      <c r="I561">
        <v>0.70945265684352299</v>
      </c>
      <c r="J561">
        <v>0.81759271646979403</v>
      </c>
      <c r="K561">
        <v>0.61564009857424995</v>
      </c>
      <c r="L561">
        <v>1153.4748224863599</v>
      </c>
      <c r="M561">
        <v>22.769510747559</v>
      </c>
      <c r="O561">
        <v>50.272849645502902</v>
      </c>
      <c r="P561">
        <v>-3.5458376131589898E-2</v>
      </c>
      <c r="Q561">
        <v>0.68685161393839</v>
      </c>
      <c r="R561">
        <v>0.82365758604737704</v>
      </c>
      <c r="S561" t="s">
        <v>6846</v>
      </c>
      <c r="T561" t="s">
        <v>12568</v>
      </c>
      <c r="U561" t="s">
        <v>12568</v>
      </c>
      <c r="V561" t="s">
        <v>12568</v>
      </c>
      <c r="W561" t="s">
        <v>13118</v>
      </c>
      <c r="X561">
        <v>6</v>
      </c>
      <c r="Y561" t="s">
        <v>19349</v>
      </c>
      <c r="Z561" t="s">
        <v>25431</v>
      </c>
      <c r="AA561">
        <v>0.80149848371112065</v>
      </c>
      <c r="AB561" t="str">
        <f>HYPERLINK("Melting_Curves/meltCurve_G3V1R3_ZEB1.pdf", "Melting_Curves/meltCurve_G3V1R3_ZEB1.pdf")</f>
        <v>Melting_Curves/meltCurve_G3V1R3_ZEB1.pdf</v>
      </c>
    </row>
    <row r="562" spans="1:28" x14ac:dyDescent="0.25">
      <c r="A562" t="s">
        <v>566</v>
      </c>
      <c r="B562">
        <v>0.99352677808782597</v>
      </c>
      <c r="C562">
        <v>1.05419560393772</v>
      </c>
      <c r="D562">
        <v>0.87537853186646597</v>
      </c>
      <c r="E562">
        <v>0.810968983218055</v>
      </c>
      <c r="F562">
        <v>0.695796323086047</v>
      </c>
      <c r="G562">
        <v>0.60007976728720402</v>
      </c>
      <c r="H562">
        <v>0.96282159841818205</v>
      </c>
      <c r="I562">
        <v>0.91661148515721302</v>
      </c>
      <c r="J562">
        <v>0.99345607859467699</v>
      </c>
      <c r="K562">
        <v>0.68775429059035997</v>
      </c>
      <c r="L562">
        <v>11470.579869784</v>
      </c>
      <c r="M562">
        <v>250</v>
      </c>
      <c r="O562">
        <v>45.879370805261203</v>
      </c>
      <c r="P562">
        <v>-0.25931984872210101</v>
      </c>
      <c r="Q562">
        <v>0.80964104415022298</v>
      </c>
      <c r="R562">
        <v>0.32971136396864797</v>
      </c>
      <c r="S562" t="s">
        <v>6847</v>
      </c>
      <c r="T562" t="s">
        <v>12568</v>
      </c>
      <c r="U562" t="s">
        <v>12568</v>
      </c>
      <c r="V562" t="s">
        <v>12568</v>
      </c>
      <c r="W562" t="s">
        <v>13119</v>
      </c>
      <c r="X562">
        <v>15</v>
      </c>
      <c r="Y562" t="s">
        <v>19350</v>
      </c>
      <c r="Z562" t="s">
        <v>25432</v>
      </c>
      <c r="AA562">
        <v>0.8469814455121889</v>
      </c>
      <c r="AB562" t="str">
        <f>HYPERLINK("Melting_Curves/meltCurve_G3V1R9_ISYNA1.pdf", "Melting_Curves/meltCurve_G3V1R9_ISYNA1.pdf")</f>
        <v>Melting_Curves/meltCurve_G3V1R9_ISYNA1.pdf</v>
      </c>
    </row>
    <row r="563" spans="1:28" x14ac:dyDescent="0.25">
      <c r="A563" t="s">
        <v>567</v>
      </c>
      <c r="B563">
        <v>0.99352677808782597</v>
      </c>
      <c r="C563">
        <v>1.0045720179503299</v>
      </c>
      <c r="D563">
        <v>0.89884570102139505</v>
      </c>
      <c r="E563">
        <v>1.06960739798727</v>
      </c>
      <c r="F563">
        <v>0.98379586643168304</v>
      </c>
      <c r="G563">
        <v>1.02641937407843</v>
      </c>
      <c r="H563">
        <v>0.88275477930574497</v>
      </c>
      <c r="I563">
        <v>0.91047334838206395</v>
      </c>
      <c r="J563">
        <v>1.0236931975939001</v>
      </c>
      <c r="K563">
        <v>0.90035957462002003</v>
      </c>
      <c r="L563">
        <v>4512.1686177495703</v>
      </c>
      <c r="M563">
        <v>76.823475228188897</v>
      </c>
      <c r="O563">
        <v>58.694464267733402</v>
      </c>
      <c r="P563">
        <v>-2.29109004265508E-2</v>
      </c>
      <c r="Q563">
        <v>0.92998269466123895</v>
      </c>
      <c r="R563">
        <v>0.25333555521349599</v>
      </c>
      <c r="S563" t="s">
        <v>6848</v>
      </c>
      <c r="T563" t="s">
        <v>12568</v>
      </c>
      <c r="U563" t="s">
        <v>12568</v>
      </c>
      <c r="V563" t="s">
        <v>12568</v>
      </c>
      <c r="W563" t="s">
        <v>13120</v>
      </c>
      <c r="X563">
        <v>12</v>
      </c>
      <c r="Y563" t="s">
        <v>19351</v>
      </c>
      <c r="Z563" t="s">
        <v>25433</v>
      </c>
      <c r="AA563">
        <v>0.97378331520326644</v>
      </c>
      <c r="AB563" t="str">
        <f>HYPERLINK("Melting_Curves/meltCurve_G3V1V0_MYL6.pdf", "Melting_Curves/meltCurve_G3V1V0_MYL6.pdf")</f>
        <v>Melting_Curves/meltCurve_G3V1V0_MYL6.pdf</v>
      </c>
    </row>
    <row r="564" spans="1:28" x14ac:dyDescent="0.25">
      <c r="A564" t="s">
        <v>568</v>
      </c>
      <c r="B564">
        <v>0.99352677808782597</v>
      </c>
      <c r="C564">
        <v>0.82336182751585496</v>
      </c>
      <c r="D564">
        <v>0.88293887104860103</v>
      </c>
      <c r="E564">
        <v>0.74024555070630604</v>
      </c>
      <c r="F564">
        <v>0.64413328341540299</v>
      </c>
      <c r="G564">
        <v>0.53334580945773302</v>
      </c>
      <c r="H564">
        <v>0.69750469223134604</v>
      </c>
      <c r="I564">
        <v>0.64291913275527401</v>
      </c>
      <c r="J564">
        <v>0.55015991288281296</v>
      </c>
      <c r="K564">
        <v>0.55402227428956596</v>
      </c>
      <c r="L564">
        <v>559.69841648850297</v>
      </c>
      <c r="M564">
        <v>11.801199762685901</v>
      </c>
      <c r="O564">
        <v>46.126875275085702</v>
      </c>
      <c r="P564">
        <v>-2.7367045533810599E-2</v>
      </c>
      <c r="Q564">
        <v>0.57223613649553295</v>
      </c>
      <c r="R564">
        <v>0.8396468154933</v>
      </c>
      <c r="S564" t="s">
        <v>6849</v>
      </c>
      <c r="T564" t="s">
        <v>12568</v>
      </c>
      <c r="U564" t="s">
        <v>12568</v>
      </c>
      <c r="V564" t="s">
        <v>12568</v>
      </c>
      <c r="W564" t="s">
        <v>13121</v>
      </c>
      <c r="X564">
        <v>1</v>
      </c>
      <c r="Y564" t="s">
        <v>19352</v>
      </c>
      <c r="Z564" t="s">
        <v>25434</v>
      </c>
      <c r="AA564">
        <v>0.69607839899067725</v>
      </c>
      <c r="AB564" t="str">
        <f>HYPERLINK("Melting_Curves/meltCurve_G3V3A0_SERPINA3.pdf", "Melting_Curves/meltCurve_G3V3A0_SERPINA3.pdf")</f>
        <v>Melting_Curves/meltCurve_G3V3A0_SERPINA3.pdf</v>
      </c>
    </row>
    <row r="565" spans="1:28" x14ac:dyDescent="0.25">
      <c r="A565" t="s">
        <v>569</v>
      </c>
      <c r="B565">
        <v>0.99352677808782597</v>
      </c>
      <c r="C565">
        <v>0.93213069622294897</v>
      </c>
      <c r="D565">
        <v>0.92732502045825105</v>
      </c>
      <c r="E565">
        <v>0.73228964302517197</v>
      </c>
      <c r="F565">
        <v>0.59548800230608601</v>
      </c>
      <c r="G565">
        <v>0.32212944793715498</v>
      </c>
      <c r="H565">
        <v>0.33106832208768799</v>
      </c>
      <c r="I565">
        <v>0.232612940334462</v>
      </c>
      <c r="J565">
        <v>0.14516344305229001</v>
      </c>
      <c r="K565">
        <v>0.14643011879941001</v>
      </c>
      <c r="L565">
        <v>684.38508365252505</v>
      </c>
      <c r="M565">
        <v>12.823902060293801</v>
      </c>
      <c r="N565">
        <v>54.494121501510499</v>
      </c>
      <c r="O565">
        <v>52.120133969260898</v>
      </c>
      <c r="P565">
        <v>-5.4361124577577101E-2</v>
      </c>
      <c r="Q565">
        <v>0.11640580157098999</v>
      </c>
      <c r="R565">
        <v>0.98815109320358396</v>
      </c>
      <c r="S565" t="s">
        <v>6850</v>
      </c>
      <c r="T565" t="s">
        <v>12568</v>
      </c>
      <c r="U565" t="s">
        <v>12568</v>
      </c>
      <c r="V565" t="s">
        <v>12568</v>
      </c>
      <c r="W565" t="s">
        <v>13122</v>
      </c>
      <c r="X565">
        <v>19</v>
      </c>
      <c r="Y565" t="s">
        <v>19353</v>
      </c>
      <c r="Z565" t="s">
        <v>25435</v>
      </c>
      <c r="AA565">
        <v>0.53284395856429934</v>
      </c>
      <c r="AB565" t="str">
        <f>HYPERLINK("Melting_Curves/meltCurve_G3V3A4_SNW1.pdf", "Melting_Curves/meltCurve_G3V3A4_SNW1.pdf")</f>
        <v>Melting_Curves/meltCurve_G3V3A4_SNW1.pdf</v>
      </c>
    </row>
    <row r="566" spans="1:28" x14ac:dyDescent="0.25">
      <c r="A566" t="s">
        <v>570</v>
      </c>
      <c r="B566">
        <v>0.99352677808782597</v>
      </c>
      <c r="C566">
        <v>0.95664168773188796</v>
      </c>
      <c r="D566">
        <v>0.79470905803352199</v>
      </c>
      <c r="E566">
        <v>0.64262950536778995</v>
      </c>
      <c r="F566">
        <v>0.51990293966513201</v>
      </c>
      <c r="G566">
        <v>0.27682370115296001</v>
      </c>
      <c r="H566">
        <v>0.15920546479044001</v>
      </c>
      <c r="I566">
        <v>0.133816469841748</v>
      </c>
      <c r="J566">
        <v>0.10407696547854201</v>
      </c>
      <c r="K566">
        <v>8.1768605714373596E-2</v>
      </c>
      <c r="L566">
        <v>615.05698328946801</v>
      </c>
      <c r="M566">
        <v>11.7499705546977</v>
      </c>
      <c r="N566">
        <v>52.597141377275904</v>
      </c>
      <c r="O566">
        <v>50.898213808502597</v>
      </c>
      <c r="P566">
        <v>-5.61497248727909E-2</v>
      </c>
      <c r="Q566">
        <v>2.7342778822149E-2</v>
      </c>
      <c r="R566">
        <v>0.99516162111330198</v>
      </c>
      <c r="S566" t="s">
        <v>6851</v>
      </c>
      <c r="T566" t="s">
        <v>12568</v>
      </c>
      <c r="U566" t="s">
        <v>12568</v>
      </c>
      <c r="V566" t="s">
        <v>12568</v>
      </c>
      <c r="W566" t="s">
        <v>13123</v>
      </c>
      <c r="X566">
        <v>11</v>
      </c>
      <c r="Y566" t="s">
        <v>19354</v>
      </c>
      <c r="Z566" t="s">
        <v>25436</v>
      </c>
      <c r="AA566">
        <v>0.45742716156571089</v>
      </c>
      <c r="AB566" t="str">
        <f>HYPERLINK("Melting_Curves/meltCurve_G3V3G9_DCAF8.pdf", "Melting_Curves/meltCurve_G3V3G9_DCAF8.pdf")</f>
        <v>Melting_Curves/meltCurve_G3V3G9_DCAF8.pdf</v>
      </c>
    </row>
    <row r="567" spans="1:28" x14ac:dyDescent="0.25">
      <c r="A567" t="s">
        <v>571</v>
      </c>
      <c r="B567">
        <v>0.99352677808782597</v>
      </c>
      <c r="C567">
        <v>0.96236735728145995</v>
      </c>
      <c r="D567">
        <v>0.95083762156408203</v>
      </c>
      <c r="E567">
        <v>0.45433818715254498</v>
      </c>
      <c r="F567">
        <v>0.37449756402873402</v>
      </c>
      <c r="G567">
        <v>0.17710460280343401</v>
      </c>
      <c r="H567">
        <v>8.8135912684659007E-2</v>
      </c>
      <c r="I567">
        <v>7.5387290753326203E-2</v>
      </c>
      <c r="J567">
        <v>6.2929078888323497E-2</v>
      </c>
      <c r="K567">
        <v>4.5248046366531298E-2</v>
      </c>
      <c r="L567">
        <v>972.94210077659795</v>
      </c>
      <c r="M567">
        <v>19.369716794217201</v>
      </c>
      <c r="N567">
        <v>50.583573159145701</v>
      </c>
      <c r="O567">
        <v>49.703870922621199</v>
      </c>
      <c r="P567">
        <v>-9.1261676566830402E-2</v>
      </c>
      <c r="Q567">
        <v>6.3302643742601597E-2</v>
      </c>
      <c r="R567">
        <v>0.98483470356047198</v>
      </c>
      <c r="S567" t="s">
        <v>6852</v>
      </c>
      <c r="T567" t="s">
        <v>12568</v>
      </c>
      <c r="U567" t="s">
        <v>12568</v>
      </c>
      <c r="V567" t="s">
        <v>12568</v>
      </c>
      <c r="W567" t="s">
        <v>13124</v>
      </c>
      <c r="X567">
        <v>1</v>
      </c>
      <c r="Y567" t="s">
        <v>19355</v>
      </c>
      <c r="Z567" t="s">
        <v>25437</v>
      </c>
      <c r="AA567">
        <v>0.39657635976579653</v>
      </c>
      <c r="AB567" t="str">
        <f>HYPERLINK("Melting_Curves/meltCurve_G3V3I4_NFKBIA.pdf", "Melting_Curves/meltCurve_G3V3I4_NFKBIA.pdf")</f>
        <v>Melting_Curves/meltCurve_G3V3I4_NFKBIA.pdf</v>
      </c>
    </row>
    <row r="568" spans="1:28" x14ac:dyDescent="0.25">
      <c r="A568" t="s">
        <v>572</v>
      </c>
      <c r="B568">
        <v>0.99352677808782597</v>
      </c>
      <c r="C568">
        <v>1.0026922338362401</v>
      </c>
      <c r="D568">
        <v>1.03781524708241</v>
      </c>
      <c r="E568">
        <v>0.718131350195091</v>
      </c>
      <c r="F568">
        <v>0.61011658996417995</v>
      </c>
      <c r="G568">
        <v>0.308792099357865</v>
      </c>
      <c r="H568">
        <v>0.16850707269483201</v>
      </c>
      <c r="I568">
        <v>0.149280001291068</v>
      </c>
      <c r="J568">
        <v>0.11817959990462699</v>
      </c>
      <c r="K568">
        <v>8.9501279398550695E-2</v>
      </c>
      <c r="L568">
        <v>951.36098470903596</v>
      </c>
      <c r="M568">
        <v>17.820652485898599</v>
      </c>
      <c r="N568">
        <v>53.982562861845601</v>
      </c>
      <c r="O568">
        <v>52.726682014190999</v>
      </c>
      <c r="P568">
        <v>-7.6939177716999402E-2</v>
      </c>
      <c r="Q568">
        <v>8.9474631001071003E-2</v>
      </c>
      <c r="R568">
        <v>0.98960091021910701</v>
      </c>
      <c r="S568" t="s">
        <v>6853</v>
      </c>
      <c r="T568" t="s">
        <v>12568</v>
      </c>
      <c r="U568" t="s">
        <v>12568</v>
      </c>
      <c r="V568" t="s">
        <v>12568</v>
      </c>
      <c r="W568" t="s">
        <v>13125</v>
      </c>
      <c r="X568">
        <v>9</v>
      </c>
      <c r="Y568" t="s">
        <v>19356</v>
      </c>
      <c r="Z568" t="s">
        <v>25438</v>
      </c>
      <c r="AA568">
        <v>0.51075324972685043</v>
      </c>
      <c r="AB568" t="str">
        <f>HYPERLINK("Melting_Curves/meltCurve_G3V3R7_ATXN3.pdf", "Melting_Curves/meltCurve_G3V3R7_ATXN3.pdf")</f>
        <v>Melting_Curves/meltCurve_G3V3R7_ATXN3.pdf</v>
      </c>
    </row>
    <row r="569" spans="1:28" x14ac:dyDescent="0.25">
      <c r="A569" t="s">
        <v>573</v>
      </c>
      <c r="B569">
        <v>0.99352677808782597</v>
      </c>
      <c r="C569">
        <v>0.970567093022078</v>
      </c>
      <c r="D569">
        <v>0.76635659873614304</v>
      </c>
      <c r="E569">
        <v>0.357051502881716</v>
      </c>
      <c r="F569">
        <v>0.26661866571694798</v>
      </c>
      <c r="G569">
        <v>0.119856299130052</v>
      </c>
      <c r="H569">
        <v>7.0796452861937795E-2</v>
      </c>
      <c r="I569">
        <v>7.2408935611739195E-2</v>
      </c>
      <c r="J569">
        <v>8.3947945303706806E-2</v>
      </c>
      <c r="K569">
        <v>3.3242784342125097E-2</v>
      </c>
      <c r="L569">
        <v>961.81863197045698</v>
      </c>
      <c r="M569">
        <v>19.816755917966301</v>
      </c>
      <c r="N569">
        <v>48.8774692736745</v>
      </c>
      <c r="O569">
        <v>48.049479090504001</v>
      </c>
      <c r="P569">
        <v>-9.6437208278289999E-2</v>
      </c>
      <c r="Q569">
        <v>6.4710370499522496E-2</v>
      </c>
      <c r="R569">
        <v>0.99441378102481404</v>
      </c>
      <c r="S569" t="s">
        <v>6854</v>
      </c>
      <c r="T569" t="s">
        <v>12568</v>
      </c>
      <c r="U569" t="s">
        <v>12568</v>
      </c>
      <c r="V569" t="s">
        <v>12568</v>
      </c>
      <c r="W569" t="s">
        <v>13126</v>
      </c>
      <c r="X569">
        <v>1</v>
      </c>
      <c r="Y569" t="s">
        <v>19357</v>
      </c>
      <c r="Z569" t="s">
        <v>25439</v>
      </c>
      <c r="AA569">
        <v>0.34424433057259751</v>
      </c>
      <c r="AB569" t="str">
        <f>HYPERLINK("Melting_Curves/meltCurve_G3V439_SIVA1.pdf", "Melting_Curves/meltCurve_G3V439_SIVA1.pdf")</f>
        <v>Melting_Curves/meltCurve_G3V439_SIVA1.pdf</v>
      </c>
    </row>
    <row r="570" spans="1:28" x14ac:dyDescent="0.25">
      <c r="A570" t="s">
        <v>574</v>
      </c>
      <c r="B570">
        <v>0.99352677808782597</v>
      </c>
      <c r="C570">
        <v>1.0476086202744801</v>
      </c>
      <c r="D570">
        <v>0.83078649841030605</v>
      </c>
      <c r="E570">
        <v>0.67090883939962098</v>
      </c>
      <c r="F570">
        <v>0.46050988589763903</v>
      </c>
      <c r="G570">
        <v>0.39475229660143801</v>
      </c>
      <c r="H570">
        <v>0.29473828391808499</v>
      </c>
      <c r="I570">
        <v>0.24903579744166501</v>
      </c>
      <c r="J570">
        <v>0.196768957577868</v>
      </c>
      <c r="K570">
        <v>0.172658129878941</v>
      </c>
      <c r="L570">
        <v>714.79164881793997</v>
      </c>
      <c r="M570">
        <v>13.920074117259601</v>
      </c>
      <c r="N570">
        <v>53.117358979442102</v>
      </c>
      <c r="O570">
        <v>50.324753052267504</v>
      </c>
      <c r="P570">
        <v>-5.63397069659934E-2</v>
      </c>
      <c r="Q570">
        <v>0.18537825249411499</v>
      </c>
      <c r="R570">
        <v>0.98259534170731599</v>
      </c>
      <c r="S570" t="s">
        <v>6855</v>
      </c>
      <c r="T570" t="s">
        <v>12568</v>
      </c>
      <c r="U570" t="s">
        <v>12568</v>
      </c>
      <c r="V570" t="s">
        <v>12568</v>
      </c>
      <c r="W570" t="s">
        <v>13127</v>
      </c>
      <c r="X570">
        <v>2</v>
      </c>
      <c r="Y570" t="s">
        <v>19358</v>
      </c>
      <c r="Z570" t="s">
        <v>25440</v>
      </c>
      <c r="AA570">
        <v>0.51450468777158798</v>
      </c>
      <c r="AB570" t="str">
        <f>HYPERLINK("Melting_Curves/meltCurve_G3V4J7_DCAF5.pdf", "Melting_Curves/meltCurve_G3V4J7_DCAF5.pdf")</f>
        <v>Melting_Curves/meltCurve_G3V4J7_DCAF5.pdf</v>
      </c>
    </row>
    <row r="571" spans="1:28" x14ac:dyDescent="0.25">
      <c r="A571" t="s">
        <v>575</v>
      </c>
      <c r="B571">
        <v>0.99352677808782597</v>
      </c>
      <c r="C571">
        <v>0.92067124129382105</v>
      </c>
      <c r="D571">
        <v>1.0320867732561001</v>
      </c>
      <c r="E571">
        <v>0.58765812189662003</v>
      </c>
      <c r="F571">
        <v>0.50303333722351695</v>
      </c>
      <c r="G571">
        <v>0.304761304945392</v>
      </c>
      <c r="H571">
        <v>0.24258081357469599</v>
      </c>
      <c r="I571">
        <v>0.23682969813532501</v>
      </c>
      <c r="J571">
        <v>0.233551322632156</v>
      </c>
      <c r="K571">
        <v>0.21228271846895699</v>
      </c>
      <c r="L571">
        <v>1072.4866405893499</v>
      </c>
      <c r="M571">
        <v>21.146428941162998</v>
      </c>
      <c r="N571">
        <v>52.213837788999697</v>
      </c>
      <c r="O571">
        <v>50.270116293484897</v>
      </c>
      <c r="P571">
        <v>-8.1264722791538305E-2</v>
      </c>
      <c r="Q571">
        <v>0.22727727715373899</v>
      </c>
      <c r="R571">
        <v>0.97397454103015202</v>
      </c>
      <c r="S571" t="s">
        <v>6856</v>
      </c>
      <c r="T571" t="s">
        <v>12568</v>
      </c>
      <c r="U571" t="s">
        <v>12568</v>
      </c>
      <c r="V571" t="s">
        <v>12568</v>
      </c>
      <c r="W571" t="s">
        <v>13128</v>
      </c>
      <c r="X571">
        <v>9</v>
      </c>
      <c r="Y571" t="s">
        <v>19359</v>
      </c>
      <c r="Z571" t="s">
        <v>25441</v>
      </c>
      <c r="AA571">
        <v>0.51297456043352008</v>
      </c>
      <c r="AB571" t="str">
        <f>HYPERLINK("Melting_Curves/meltCurve_G3V4W0_HNRNPC.pdf", "Melting_Curves/meltCurve_G3V4W0_HNRNPC.pdf")</f>
        <v>Melting_Curves/meltCurve_G3V4W0_HNRNPC.pdf</v>
      </c>
    </row>
    <row r="572" spans="1:28" x14ac:dyDescent="0.25">
      <c r="A572" t="s">
        <v>576</v>
      </c>
      <c r="B572">
        <v>0.99352677808782597</v>
      </c>
      <c r="C572">
        <v>0.93624428186879205</v>
      </c>
      <c r="D572">
        <v>1.3121767238169799</v>
      </c>
      <c r="E572">
        <v>0.85885712421556804</v>
      </c>
      <c r="F572">
        <v>0.70294515533618396</v>
      </c>
      <c r="G572">
        <v>0.49444645090615202</v>
      </c>
      <c r="H572">
        <v>0.28363226945966102</v>
      </c>
      <c r="I572">
        <v>0.26048248588662898</v>
      </c>
      <c r="J572">
        <v>0.25808511655831601</v>
      </c>
      <c r="K572">
        <v>0.213733334876442</v>
      </c>
      <c r="L572">
        <v>1184.9499560629899</v>
      </c>
      <c r="M572">
        <v>21.693951648804099</v>
      </c>
      <c r="N572">
        <v>56.200372128168297</v>
      </c>
      <c r="O572">
        <v>54.163442922036602</v>
      </c>
      <c r="P572">
        <v>-7.7282777075029702E-2</v>
      </c>
      <c r="Q572">
        <v>0.228208390948172</v>
      </c>
      <c r="R572">
        <v>0.913005808857969</v>
      </c>
      <c r="S572" t="s">
        <v>6857</v>
      </c>
      <c r="T572" t="s">
        <v>12568</v>
      </c>
      <c r="U572" t="s">
        <v>12568</v>
      </c>
      <c r="V572" t="s">
        <v>12568</v>
      </c>
      <c r="W572" t="s">
        <v>13129</v>
      </c>
      <c r="X572">
        <v>4</v>
      </c>
      <c r="Y572" t="s">
        <v>19360</v>
      </c>
      <c r="Z572" t="s">
        <v>25442</v>
      </c>
      <c r="AA572">
        <v>0.61347024737515243</v>
      </c>
      <c r="AB572" t="str">
        <f>HYPERLINK("Melting_Curves/meltCurve_G3V529_DDX24.pdf", "Melting_Curves/meltCurve_G3V529_DDX24.pdf")</f>
        <v>Melting_Curves/meltCurve_G3V529_DDX24.pdf</v>
      </c>
    </row>
    <row r="573" spans="1:28" x14ac:dyDescent="0.25">
      <c r="A573" t="s">
        <v>577</v>
      </c>
      <c r="B573">
        <v>0.99352677808782597</v>
      </c>
      <c r="C573">
        <v>0.93506162105995005</v>
      </c>
      <c r="D573">
        <v>1.04512324913808</v>
      </c>
      <c r="E573">
        <v>0.862363697753317</v>
      </c>
      <c r="F573">
        <v>0.68578322065694197</v>
      </c>
      <c r="G573">
        <v>0.63676955384894396</v>
      </c>
      <c r="H573">
        <v>0.70807847215456998</v>
      </c>
      <c r="I573">
        <v>0.64413115191234005</v>
      </c>
      <c r="J573">
        <v>0.67150698104439399</v>
      </c>
      <c r="K573">
        <v>0.83503647451185103</v>
      </c>
      <c r="L573">
        <v>12509.211584443699</v>
      </c>
      <c r="M573">
        <v>250</v>
      </c>
      <c r="O573">
        <v>50.033644324027598</v>
      </c>
      <c r="P573">
        <v>-0.37863988095828399</v>
      </c>
      <c r="Q573">
        <v>0.69688427033906897</v>
      </c>
      <c r="R573">
        <v>0.84428719204659797</v>
      </c>
      <c r="S573" t="s">
        <v>6858</v>
      </c>
      <c r="T573" t="s">
        <v>12568</v>
      </c>
      <c r="U573" t="s">
        <v>12568</v>
      </c>
      <c r="V573" t="s">
        <v>12568</v>
      </c>
      <c r="W573" t="s">
        <v>13130</v>
      </c>
      <c r="X573">
        <v>1</v>
      </c>
      <c r="Y573" t="s">
        <v>19361</v>
      </c>
      <c r="Z573" t="s">
        <v>25443</v>
      </c>
      <c r="AA573">
        <v>0.79832175481501499</v>
      </c>
      <c r="AB573" t="str">
        <f>HYPERLINK("Melting_Curves/meltCurve_G3V577_RPGRIP1.pdf", "Melting_Curves/meltCurve_G3V577_RPGRIP1.pdf")</f>
        <v>Melting_Curves/meltCurve_G3V577_RPGRIP1.pdf</v>
      </c>
    </row>
    <row r="574" spans="1:28" x14ac:dyDescent="0.25">
      <c r="A574" t="s">
        <v>578</v>
      </c>
      <c r="B574">
        <v>0.99352677808782597</v>
      </c>
      <c r="C574">
        <v>0.951669033127022</v>
      </c>
      <c r="D574">
        <v>0.87096419102533096</v>
      </c>
      <c r="E574">
        <v>0.74368631669866003</v>
      </c>
      <c r="F574">
        <v>0.65643482645056395</v>
      </c>
      <c r="G574">
        <v>0.52449229861195801</v>
      </c>
      <c r="H574">
        <v>0.41701247611407499</v>
      </c>
      <c r="I574">
        <v>0.430198014064058</v>
      </c>
      <c r="J574">
        <v>0.42984908990041598</v>
      </c>
      <c r="K574">
        <v>0.34771019462413899</v>
      </c>
      <c r="L574">
        <v>589.56982103079599</v>
      </c>
      <c r="M574">
        <v>11.3038373064261</v>
      </c>
      <c r="N574">
        <v>58.075412762389099</v>
      </c>
      <c r="O574">
        <v>50.604242438086303</v>
      </c>
      <c r="P574">
        <v>-3.6756483977618597E-2</v>
      </c>
      <c r="Q574">
        <v>0.34200424844723898</v>
      </c>
      <c r="R574">
        <v>0.99203485385170198</v>
      </c>
      <c r="S574" t="s">
        <v>6859</v>
      </c>
      <c r="T574" t="s">
        <v>12568</v>
      </c>
      <c r="U574" t="s">
        <v>12568</v>
      </c>
      <c r="V574" t="s">
        <v>12568</v>
      </c>
      <c r="W574" t="s">
        <v>13131</v>
      </c>
      <c r="X574">
        <v>2</v>
      </c>
      <c r="Y574" t="s">
        <v>19362</v>
      </c>
      <c r="Z574" t="s">
        <v>25444</v>
      </c>
      <c r="AA574">
        <v>0.63007527214239789</v>
      </c>
      <c r="AB574" t="str">
        <f>HYPERLINK("Melting_Curves/meltCurve_G3V583_FAM177A1.pdf", "Melting_Curves/meltCurve_G3V583_FAM177A1.pdf")</f>
        <v>Melting_Curves/meltCurve_G3V583_FAM177A1.pdf</v>
      </c>
    </row>
    <row r="575" spans="1:28" x14ac:dyDescent="0.25">
      <c r="A575" t="s">
        <v>579</v>
      </c>
      <c r="B575">
        <v>0.99352677808782597</v>
      </c>
      <c r="C575">
        <v>0.96205511611330297</v>
      </c>
      <c r="D575">
        <v>0.87807769610122899</v>
      </c>
      <c r="E575">
        <v>0.73387265801160495</v>
      </c>
      <c r="F575">
        <v>0.72161980343511101</v>
      </c>
      <c r="G575">
        <v>0.64045297785257704</v>
      </c>
      <c r="H575">
        <v>0.53208967711576405</v>
      </c>
      <c r="I575">
        <v>0.60482549799094998</v>
      </c>
      <c r="J575">
        <v>0.55702733369576796</v>
      </c>
      <c r="K575">
        <v>0.49637762224221998</v>
      </c>
      <c r="L575">
        <v>565.289489939943</v>
      </c>
      <c r="M575">
        <v>11.161865208923899</v>
      </c>
      <c r="O575">
        <v>49.100690292296399</v>
      </c>
      <c r="P575">
        <v>-2.7736460308909E-2</v>
      </c>
      <c r="Q575">
        <v>0.51210836756159706</v>
      </c>
      <c r="R575">
        <v>0.96820285964358899</v>
      </c>
      <c r="S575" t="s">
        <v>6860</v>
      </c>
      <c r="T575" t="s">
        <v>12568</v>
      </c>
      <c r="U575" t="s">
        <v>12568</v>
      </c>
      <c r="V575" t="s">
        <v>12568</v>
      </c>
      <c r="W575" t="s">
        <v>13132</v>
      </c>
      <c r="X575">
        <v>4</v>
      </c>
      <c r="Y575" t="s">
        <v>19363</v>
      </c>
      <c r="Z575" t="s">
        <v>25445</v>
      </c>
      <c r="AA575">
        <v>0.70326848821010135</v>
      </c>
      <c r="AB575" t="str">
        <f>HYPERLINK("Melting_Curves/meltCurve_G3V599_CTAGE5.pdf", "Melting_Curves/meltCurve_G3V599_CTAGE5.pdf")</f>
        <v>Melting_Curves/meltCurve_G3V599_CTAGE5.pdf</v>
      </c>
    </row>
    <row r="576" spans="1:28" x14ac:dyDescent="0.25">
      <c r="A576" t="s">
        <v>580</v>
      </c>
      <c r="B576">
        <v>0.99352677808782597</v>
      </c>
      <c r="C576">
        <v>0.88858310221301295</v>
      </c>
      <c r="D576">
        <v>0.93448412637732103</v>
      </c>
      <c r="E576">
        <v>0.67968686411660895</v>
      </c>
      <c r="F576">
        <v>0.577805041176086</v>
      </c>
      <c r="G576">
        <v>0.40569081104289001</v>
      </c>
      <c r="H576">
        <v>0.38574280663928301</v>
      </c>
      <c r="I576">
        <v>0.34051749515718899</v>
      </c>
      <c r="J576">
        <v>0.26346821063610099</v>
      </c>
      <c r="K576">
        <v>0.24235763317216899</v>
      </c>
      <c r="L576">
        <v>618.54875023577404</v>
      </c>
      <c r="M576">
        <v>11.8770446185772</v>
      </c>
      <c r="N576">
        <v>54.952145048650699</v>
      </c>
      <c r="O576">
        <v>50.668792902758803</v>
      </c>
      <c r="P576">
        <v>-4.5059799663216701E-2</v>
      </c>
      <c r="Q576">
        <v>0.231272395568863</v>
      </c>
      <c r="R576">
        <v>0.98246551348959998</v>
      </c>
      <c r="S576" t="s">
        <v>6861</v>
      </c>
      <c r="T576" t="s">
        <v>12568</v>
      </c>
      <c r="U576" t="s">
        <v>12568</v>
      </c>
      <c r="V576" t="s">
        <v>12568</v>
      </c>
      <c r="W576" t="s">
        <v>13133</v>
      </c>
      <c r="X576">
        <v>2</v>
      </c>
      <c r="Y576" t="s">
        <v>19364</v>
      </c>
      <c r="Z576" t="s">
        <v>25446</v>
      </c>
      <c r="AA576">
        <v>0.56450371815600975</v>
      </c>
      <c r="AB576" t="str">
        <f>HYPERLINK("Melting_Curves/meltCurve_G3V5N7_FOS.pdf", "Melting_Curves/meltCurve_G3V5N7_FOS.pdf")</f>
        <v>Melting_Curves/meltCurve_G3V5N7_FOS.pdf</v>
      </c>
    </row>
    <row r="577" spans="1:28" x14ac:dyDescent="0.25">
      <c r="A577" t="s">
        <v>581</v>
      </c>
      <c r="B577">
        <v>0.99352677808782597</v>
      </c>
      <c r="C577">
        <v>0.94221714367447695</v>
      </c>
      <c r="D577">
        <v>0.97561305098028905</v>
      </c>
      <c r="E577">
        <v>0.286866734409503</v>
      </c>
      <c r="F577">
        <v>0.20134536102505399</v>
      </c>
      <c r="G577">
        <v>0.10302016779044899</v>
      </c>
      <c r="H577">
        <v>6.3086181820605006E-2</v>
      </c>
      <c r="I577">
        <v>6.3704885646140297E-2</v>
      </c>
      <c r="J577">
        <v>5.1847187024019102E-2</v>
      </c>
      <c r="K577">
        <v>4.2862532241370703E-2</v>
      </c>
      <c r="L577">
        <v>2191.0287898523802</v>
      </c>
      <c r="M577">
        <v>44.918962447393803</v>
      </c>
      <c r="N577">
        <v>48.967925012476599</v>
      </c>
      <c r="O577">
        <v>48.680966471190601</v>
      </c>
      <c r="P577">
        <v>-0.21218205652488001</v>
      </c>
      <c r="Q577">
        <v>8.0190792888348295E-2</v>
      </c>
      <c r="R577">
        <v>0.989116630252037</v>
      </c>
      <c r="S577" t="s">
        <v>6862</v>
      </c>
      <c r="T577" t="s">
        <v>12568</v>
      </c>
      <c r="U577" t="s">
        <v>12568</v>
      </c>
      <c r="V577" t="s">
        <v>12568</v>
      </c>
      <c r="W577" t="s">
        <v>13134</v>
      </c>
      <c r="X577">
        <v>5</v>
      </c>
      <c r="Y577" t="s">
        <v>19365</v>
      </c>
      <c r="Z577" t="s">
        <v>25447</v>
      </c>
      <c r="AA577">
        <v>0.35176406694173967</v>
      </c>
      <c r="AB577" t="str">
        <f>HYPERLINK("Melting_Curves/meltCurve_G3V5T0_GSTZ1.pdf", "Melting_Curves/meltCurve_G3V5T0_GSTZ1.pdf")</f>
        <v>Melting_Curves/meltCurve_G3V5T0_GSTZ1.pdf</v>
      </c>
    </row>
    <row r="578" spans="1:28" x14ac:dyDescent="0.25">
      <c r="A578" t="s">
        <v>582</v>
      </c>
      <c r="B578">
        <v>0.99352677808782597</v>
      </c>
      <c r="C578">
        <v>0.96336712878916597</v>
      </c>
      <c r="D578">
        <v>0.98013831935749396</v>
      </c>
      <c r="E578">
        <v>0.62243257946570496</v>
      </c>
      <c r="F578">
        <v>0.54097299161620205</v>
      </c>
      <c r="G578">
        <v>0.33134481832574098</v>
      </c>
      <c r="H578">
        <v>0.22431844278879201</v>
      </c>
      <c r="I578">
        <v>0.215252160318746</v>
      </c>
      <c r="J578">
        <v>0.212254370378264</v>
      </c>
      <c r="K578">
        <v>0.16965895923045299</v>
      </c>
      <c r="L578">
        <v>862.55828265601599</v>
      </c>
      <c r="M578">
        <v>16.711602339997398</v>
      </c>
      <c r="N578">
        <v>53.028592983598699</v>
      </c>
      <c r="O578">
        <v>50.8922580332829</v>
      </c>
      <c r="P578">
        <v>-6.7336360131022996E-2</v>
      </c>
      <c r="Q578">
        <v>0.17980985122855001</v>
      </c>
      <c r="R578">
        <v>0.98711403980469903</v>
      </c>
      <c r="S578" t="s">
        <v>6863</v>
      </c>
      <c r="T578" t="s">
        <v>12568</v>
      </c>
      <c r="U578" t="s">
        <v>12568</v>
      </c>
      <c r="V578" t="s">
        <v>12568</v>
      </c>
      <c r="W578" t="s">
        <v>13135</v>
      </c>
      <c r="X578">
        <v>13</v>
      </c>
      <c r="Y578" t="s">
        <v>19366</v>
      </c>
      <c r="Z578" t="s">
        <v>25448</v>
      </c>
      <c r="AA578">
        <v>0.51292075816016058</v>
      </c>
      <c r="AB578" t="str">
        <f>HYPERLINK("Melting_Curves/meltCurve_G3XAA0_ARID1B.pdf", "Melting_Curves/meltCurve_G3XAA0_ARID1B.pdf")</f>
        <v>Melting_Curves/meltCurve_G3XAA0_ARID1B.pdf</v>
      </c>
    </row>
    <row r="579" spans="1:28" x14ac:dyDescent="0.25">
      <c r="A579" t="s">
        <v>583</v>
      </c>
      <c r="B579">
        <v>0.99352677808782597</v>
      </c>
      <c r="C579">
        <v>0.96178851341378502</v>
      </c>
      <c r="D579">
        <v>0.97134484541678101</v>
      </c>
      <c r="E579">
        <v>0.97840473877613199</v>
      </c>
      <c r="F579">
        <v>0.86537168573505796</v>
      </c>
      <c r="G579">
        <v>0.83475342035635203</v>
      </c>
      <c r="H579">
        <v>0.74751840507363398</v>
      </c>
      <c r="I579">
        <v>0.75409737495163998</v>
      </c>
      <c r="J579">
        <v>0.76675028093470998</v>
      </c>
      <c r="K579">
        <v>0.722332594479421</v>
      </c>
      <c r="L579">
        <v>874.81732137747497</v>
      </c>
      <c r="M579">
        <v>16.113227461450201</v>
      </c>
      <c r="O579">
        <v>53.476305131174101</v>
      </c>
      <c r="P579">
        <v>-2.0325602716517201E-2</v>
      </c>
      <c r="Q579">
        <v>0.73019552492557505</v>
      </c>
      <c r="R579">
        <v>0.95480992689463895</v>
      </c>
      <c r="S579" t="s">
        <v>6864</v>
      </c>
      <c r="T579" t="s">
        <v>12568</v>
      </c>
      <c r="U579" t="s">
        <v>12568</v>
      </c>
      <c r="V579" t="s">
        <v>12568</v>
      </c>
      <c r="W579" t="s">
        <v>13136</v>
      </c>
      <c r="X579">
        <v>12</v>
      </c>
      <c r="Y579" t="s">
        <v>19367</v>
      </c>
      <c r="Z579" t="s">
        <v>25449</v>
      </c>
      <c r="AA579">
        <v>0.86371139838637279</v>
      </c>
      <c r="AB579" t="str">
        <f>HYPERLINK("Melting_Curves/meltCurve_G3XAF7_BCAS1.pdf", "Melting_Curves/meltCurve_G3XAF7_BCAS1.pdf")</f>
        <v>Melting_Curves/meltCurve_G3XAF7_BCAS1.pdf</v>
      </c>
    </row>
    <row r="580" spans="1:28" x14ac:dyDescent="0.25">
      <c r="A580" t="s">
        <v>584</v>
      </c>
      <c r="B580">
        <v>0.99352677808782597</v>
      </c>
      <c r="C580">
        <v>0.77691943580195699</v>
      </c>
      <c r="D580">
        <v>0.66877151354613695</v>
      </c>
      <c r="E580">
        <v>1.0242206319631499</v>
      </c>
      <c r="F580">
        <v>0.80074089009840499</v>
      </c>
      <c r="G580">
        <v>0.21495607631525801</v>
      </c>
      <c r="H580">
        <v>0.10045206372608199</v>
      </c>
      <c r="I580">
        <v>8.50104326014616E-2</v>
      </c>
      <c r="J580">
        <v>0</v>
      </c>
      <c r="K580">
        <v>0</v>
      </c>
      <c r="L580">
        <v>2101.6697852043899</v>
      </c>
      <c r="M580">
        <v>38.296911409166597</v>
      </c>
      <c r="N580">
        <v>54.991649215825099</v>
      </c>
      <c r="O580">
        <v>54.729317552768499</v>
      </c>
      <c r="P580">
        <v>-0.16829996558337601</v>
      </c>
      <c r="Q580">
        <v>3.79464838655982E-2</v>
      </c>
      <c r="R580">
        <v>0.89603266912368695</v>
      </c>
      <c r="S580" t="s">
        <v>6865</v>
      </c>
      <c r="T580" t="s">
        <v>12568</v>
      </c>
      <c r="U580" t="s">
        <v>12568</v>
      </c>
      <c r="V580" t="s">
        <v>12568</v>
      </c>
      <c r="W580" t="s">
        <v>13137</v>
      </c>
      <c r="X580">
        <v>5</v>
      </c>
      <c r="Y580" t="s">
        <v>19368</v>
      </c>
      <c r="Z580" t="s">
        <v>25450</v>
      </c>
      <c r="AA580">
        <v>0.51903593340792542</v>
      </c>
      <c r="AB580" t="str">
        <f>HYPERLINK("Melting_Curves/meltCurve_G3XAH0_SEPT5.pdf", "Melting_Curves/meltCurve_G3XAH0_SEPT5.pdf")</f>
        <v>Melting_Curves/meltCurve_G3XAH0_SEPT5.pdf</v>
      </c>
    </row>
    <row r="581" spans="1:28" x14ac:dyDescent="0.25">
      <c r="A581" t="s">
        <v>585</v>
      </c>
      <c r="B581">
        <v>0.99352677808782597</v>
      </c>
      <c r="C581">
        <v>0.91156429173289999</v>
      </c>
      <c r="D581">
        <v>1.00368181755966</v>
      </c>
      <c r="E581">
        <v>0.99752299115554499</v>
      </c>
      <c r="F581">
        <v>0.89311610015811504</v>
      </c>
      <c r="G581">
        <v>0.84997544115159995</v>
      </c>
      <c r="H581">
        <v>0.80407913858441604</v>
      </c>
      <c r="I581">
        <v>0.88681103277849105</v>
      </c>
      <c r="J581">
        <v>0.95264457141091397</v>
      </c>
      <c r="K581">
        <v>0.83032379916949695</v>
      </c>
      <c r="L581">
        <v>4896.12885500426</v>
      </c>
      <c r="M581">
        <v>93.710579812488604</v>
      </c>
      <c r="O581">
        <v>52.223565591283197</v>
      </c>
      <c r="P581">
        <v>-6.0665339258735601E-2</v>
      </c>
      <c r="Q581">
        <v>0.86476831250946895</v>
      </c>
      <c r="R581">
        <v>0.55112980101610198</v>
      </c>
      <c r="S581" t="s">
        <v>6866</v>
      </c>
      <c r="T581" t="s">
        <v>12568</v>
      </c>
      <c r="U581" t="s">
        <v>12568</v>
      </c>
      <c r="V581" t="s">
        <v>12568</v>
      </c>
      <c r="W581" t="s">
        <v>13138</v>
      </c>
      <c r="X581">
        <v>2</v>
      </c>
      <c r="Y581" t="s">
        <v>19369</v>
      </c>
      <c r="Z581" t="s">
        <v>25451</v>
      </c>
      <c r="AA581">
        <v>0.92006431418408752</v>
      </c>
      <c r="AB581" t="str">
        <f>HYPERLINK("Melting_Curves/meltCurve_G3XAI9_FAM133B.pdf", "Melting_Curves/meltCurve_G3XAI9_FAM133B.pdf")</f>
        <v>Melting_Curves/meltCurve_G3XAI9_FAM133B.pdf</v>
      </c>
    </row>
    <row r="582" spans="1:28" x14ac:dyDescent="0.25">
      <c r="A582" t="s">
        <v>586</v>
      </c>
      <c r="B582">
        <v>0.99352677808782597</v>
      </c>
      <c r="C582">
        <v>0.98043692262029103</v>
      </c>
      <c r="D582">
        <v>0.99251993532164096</v>
      </c>
      <c r="E582">
        <v>0.93312294491259895</v>
      </c>
      <c r="F582">
        <v>0.85220470155440498</v>
      </c>
      <c r="G582">
        <v>0.83125349966527995</v>
      </c>
      <c r="H582">
        <v>0.72814629770668704</v>
      </c>
      <c r="I582">
        <v>0.81048980794466197</v>
      </c>
      <c r="J582">
        <v>0.756088174324554</v>
      </c>
      <c r="K582">
        <v>0.67822797278801195</v>
      </c>
      <c r="L582">
        <v>620.64748245968303</v>
      </c>
      <c r="M582">
        <v>11.3184182347084</v>
      </c>
      <c r="O582">
        <v>53.207085849385201</v>
      </c>
      <c r="P582">
        <v>-1.6019025935036402E-2</v>
      </c>
      <c r="Q582">
        <v>0.69887376671744195</v>
      </c>
      <c r="R582">
        <v>0.91816113153233203</v>
      </c>
      <c r="S582" t="s">
        <v>6867</v>
      </c>
      <c r="T582" t="s">
        <v>12568</v>
      </c>
      <c r="U582" t="s">
        <v>12568</v>
      </c>
      <c r="V582" t="s">
        <v>12568</v>
      </c>
      <c r="W582" t="s">
        <v>13139</v>
      </c>
      <c r="X582">
        <v>7</v>
      </c>
      <c r="Y582" t="s">
        <v>19370</v>
      </c>
      <c r="Z582" t="s">
        <v>25452</v>
      </c>
      <c r="AA582">
        <v>0.85527843325770647</v>
      </c>
      <c r="AB582" t="str">
        <f>HYPERLINK("Melting_Curves/meltCurve_G3XAL9_SLC12A2.pdf", "Melting_Curves/meltCurve_G3XAL9_SLC12A2.pdf")</f>
        <v>Melting_Curves/meltCurve_G3XAL9_SLC12A2.pdf</v>
      </c>
    </row>
    <row r="583" spans="1:28" x14ac:dyDescent="0.25">
      <c r="A583" t="s">
        <v>587</v>
      </c>
      <c r="B583">
        <v>0.99352677808782597</v>
      </c>
      <c r="C583">
        <v>1.04443411531014</v>
      </c>
      <c r="D583">
        <v>0.98251561333723803</v>
      </c>
      <c r="E583">
        <v>0.93813125231598005</v>
      </c>
      <c r="F583">
        <v>0.82087815784951301</v>
      </c>
      <c r="G583">
        <v>0.66223852623296697</v>
      </c>
      <c r="H583">
        <v>0.61976334780290798</v>
      </c>
      <c r="I583">
        <v>0.60313474718817395</v>
      </c>
      <c r="J583">
        <v>0.70571640637573296</v>
      </c>
      <c r="K583">
        <v>0.61131503330025605</v>
      </c>
      <c r="L583">
        <v>1633.5381701481001</v>
      </c>
      <c r="M583">
        <v>30.866417182481101</v>
      </c>
      <c r="O583">
        <v>52.702161421538499</v>
      </c>
      <c r="P583">
        <v>-5.3847466090539003E-2</v>
      </c>
      <c r="Q583">
        <v>0.63223948919931905</v>
      </c>
      <c r="R583">
        <v>0.96658597406903601</v>
      </c>
      <c r="S583" t="s">
        <v>6868</v>
      </c>
      <c r="T583" t="s">
        <v>12568</v>
      </c>
      <c r="U583" t="s">
        <v>12568</v>
      </c>
      <c r="V583" t="s">
        <v>12568</v>
      </c>
      <c r="W583" t="s">
        <v>13140</v>
      </c>
      <c r="X583">
        <v>1</v>
      </c>
      <c r="Y583" t="s">
        <v>19371</v>
      </c>
      <c r="Z583" t="s">
        <v>25453</v>
      </c>
      <c r="AA583">
        <v>0.79290908953573835</v>
      </c>
      <c r="AB583" t="str">
        <f>HYPERLINK("Melting_Curves/meltCurve_G3XAM2_CFI.pdf", "Melting_Curves/meltCurve_G3XAM2_CFI.pdf")</f>
        <v>Melting_Curves/meltCurve_G3XAM2_CFI.pdf</v>
      </c>
    </row>
    <row r="584" spans="1:28" x14ac:dyDescent="0.25">
      <c r="A584" t="s">
        <v>588</v>
      </c>
      <c r="B584">
        <v>0.99352677808782597</v>
      </c>
      <c r="C584">
        <v>0.911021949851619</v>
      </c>
      <c r="D584">
        <v>0.98314109889743795</v>
      </c>
      <c r="E584">
        <v>1.58811378813593</v>
      </c>
      <c r="F584">
        <v>1.59246543174252</v>
      </c>
      <c r="G584">
        <v>1.67451036357893</v>
      </c>
      <c r="H584">
        <v>1.40375468298647</v>
      </c>
      <c r="I584">
        <v>1.65024220673697</v>
      </c>
      <c r="J584">
        <v>1.5161077988284499</v>
      </c>
      <c r="K584">
        <v>1.3162429105595099</v>
      </c>
      <c r="L584">
        <v>11940.1948506276</v>
      </c>
      <c r="M584">
        <v>250</v>
      </c>
      <c r="O584">
        <v>47.757704288014999</v>
      </c>
      <c r="P584">
        <v>0.65434442806456194</v>
      </c>
      <c r="Q584">
        <v>1.5</v>
      </c>
      <c r="R584">
        <v>0.84800403783337397</v>
      </c>
      <c r="S584" t="s">
        <v>6869</v>
      </c>
      <c r="T584" t="s">
        <v>12568</v>
      </c>
      <c r="U584" t="s">
        <v>12568</v>
      </c>
      <c r="V584" t="s">
        <v>12568</v>
      </c>
      <c r="W584" t="s">
        <v>13141</v>
      </c>
      <c r="X584">
        <v>1</v>
      </c>
      <c r="Y584" t="s">
        <v>19372</v>
      </c>
      <c r="Z584" t="s">
        <v>25454</v>
      </c>
      <c r="AA584">
        <v>1.3706117669125679</v>
      </c>
      <c r="AB584" t="str">
        <f>HYPERLINK("Melting_Curves/meltCurve_G3XAN4_TRAM1.pdf", "Melting_Curves/meltCurve_G3XAN4_TRAM1.pdf")</f>
        <v>Melting_Curves/meltCurve_G3XAN4_TRAM1.pdf</v>
      </c>
    </row>
    <row r="585" spans="1:28" x14ac:dyDescent="0.25">
      <c r="A585" t="s">
        <v>589</v>
      </c>
      <c r="B585">
        <v>0.99352677808782597</v>
      </c>
      <c r="C585">
        <v>0.91764383473834898</v>
      </c>
      <c r="D585">
        <v>0.87801161397985805</v>
      </c>
      <c r="E585">
        <v>0.43030694029058197</v>
      </c>
      <c r="F585">
        <v>0.37285146851204298</v>
      </c>
      <c r="G585">
        <v>0.22232059229863399</v>
      </c>
      <c r="H585">
        <v>0.179043134695024</v>
      </c>
      <c r="I585">
        <v>0.204429344124642</v>
      </c>
      <c r="J585">
        <v>0.170652316482412</v>
      </c>
      <c r="K585">
        <v>0.13764120305004501</v>
      </c>
      <c r="L585">
        <v>996.99480568170804</v>
      </c>
      <c r="M585">
        <v>20.3752000832867</v>
      </c>
      <c r="N585">
        <v>49.966072297525201</v>
      </c>
      <c r="O585">
        <v>48.4677539469061</v>
      </c>
      <c r="P585">
        <v>-8.7016867740381601E-2</v>
      </c>
      <c r="Q585">
        <v>0.17205538069460299</v>
      </c>
      <c r="R585">
        <v>0.98648302877715599</v>
      </c>
      <c r="S585" t="s">
        <v>6870</v>
      </c>
      <c r="T585" t="s">
        <v>12568</v>
      </c>
      <c r="U585" t="s">
        <v>12568</v>
      </c>
      <c r="V585" t="s">
        <v>12568</v>
      </c>
      <c r="W585" t="s">
        <v>13142</v>
      </c>
      <c r="X585">
        <v>18</v>
      </c>
      <c r="Y585" t="s">
        <v>19373</v>
      </c>
      <c r="Z585" t="s">
        <v>25455</v>
      </c>
      <c r="AA585">
        <v>0.42972922608508368</v>
      </c>
      <c r="AB585" t="str">
        <f>HYPERLINK("Melting_Curves/meltCurve_G5E948_MAP4K4.pdf", "Melting_Curves/meltCurve_G5E948_MAP4K4.pdf")</f>
        <v>Melting_Curves/meltCurve_G5E948_MAP4K4.pdf</v>
      </c>
    </row>
    <row r="586" spans="1:28" x14ac:dyDescent="0.25">
      <c r="A586" t="s">
        <v>590</v>
      </c>
      <c r="B586">
        <v>0.99352677808782597</v>
      </c>
      <c r="C586">
        <v>0.93846638899100498</v>
      </c>
      <c r="D586">
        <v>0.93297549754142195</v>
      </c>
      <c r="E586">
        <v>0.205834911456829</v>
      </c>
      <c r="F586">
        <v>0.14543878921935499</v>
      </c>
      <c r="G586">
        <v>7.1746990045845796E-2</v>
      </c>
      <c r="H586">
        <v>4.4624906512909603E-2</v>
      </c>
      <c r="I586">
        <v>3.8457223493826201E-2</v>
      </c>
      <c r="J586">
        <v>4.4053971366884499E-2</v>
      </c>
      <c r="K586">
        <v>2.1945233123744901E-2</v>
      </c>
      <c r="L586">
        <v>2257.61190157387</v>
      </c>
      <c r="M586">
        <v>46.710298092975499</v>
      </c>
      <c r="N586">
        <v>48.456205183248898</v>
      </c>
      <c r="O586">
        <v>48.243887101661301</v>
      </c>
      <c r="P586">
        <v>-0.228418210575668</v>
      </c>
      <c r="Q586">
        <v>5.63308797529131E-2</v>
      </c>
      <c r="R586">
        <v>0.99301442471230295</v>
      </c>
      <c r="S586" t="s">
        <v>6871</v>
      </c>
      <c r="T586" t="s">
        <v>12568</v>
      </c>
      <c r="U586" t="s">
        <v>12568</v>
      </c>
      <c r="V586" t="s">
        <v>12568</v>
      </c>
      <c r="W586" t="s">
        <v>13143</v>
      </c>
      <c r="X586">
        <v>3</v>
      </c>
      <c r="Y586" t="s">
        <v>19374</v>
      </c>
      <c r="Z586" t="s">
        <v>25456</v>
      </c>
      <c r="AA586">
        <v>0.32073419497078459</v>
      </c>
      <c r="AB586" t="str">
        <f>HYPERLINK("Melting_Curves/meltCurve_G5E979_ATG4A.pdf", "Melting_Curves/meltCurve_G5E979_ATG4A.pdf")</f>
        <v>Melting_Curves/meltCurve_G5E979_ATG4A.pdf</v>
      </c>
    </row>
    <row r="587" spans="1:28" x14ac:dyDescent="0.25">
      <c r="A587" t="s">
        <v>591</v>
      </c>
      <c r="B587">
        <v>0.99352677808782597</v>
      </c>
      <c r="C587">
        <v>0.92804121922624605</v>
      </c>
      <c r="D587">
        <v>0.61587140073803104</v>
      </c>
      <c r="E587">
        <v>0.37673090662990599</v>
      </c>
      <c r="F587">
        <v>0.29818020117595501</v>
      </c>
      <c r="G587">
        <v>0.18209565679599601</v>
      </c>
      <c r="H587">
        <v>0.122210431269171</v>
      </c>
      <c r="I587">
        <v>9.8867202721631006E-2</v>
      </c>
      <c r="J587">
        <v>0.103449402313031</v>
      </c>
      <c r="K587">
        <v>6.7568161456847006E-2</v>
      </c>
      <c r="L587">
        <v>743.37368259869402</v>
      </c>
      <c r="M587">
        <v>15.5707515046954</v>
      </c>
      <c r="N587">
        <v>48.3725774715558</v>
      </c>
      <c r="O587">
        <v>46.975005660236398</v>
      </c>
      <c r="P587">
        <v>-7.5258649250995804E-2</v>
      </c>
      <c r="Q587">
        <v>9.1895601793574297E-2</v>
      </c>
      <c r="R587">
        <v>0.98840859577758</v>
      </c>
      <c r="S587" t="s">
        <v>6872</v>
      </c>
      <c r="T587" t="s">
        <v>12568</v>
      </c>
      <c r="U587" t="s">
        <v>12568</v>
      </c>
      <c r="V587" t="s">
        <v>12568</v>
      </c>
      <c r="W587" t="s">
        <v>12740</v>
      </c>
      <c r="X587">
        <v>15</v>
      </c>
      <c r="Y587" t="s">
        <v>19375</v>
      </c>
      <c r="Z587" t="s">
        <v>25457</v>
      </c>
      <c r="AA587">
        <v>0.34818602707372592</v>
      </c>
      <c r="AB587" t="str">
        <f>HYPERLINK("Melting_Curves/meltCurve_G5E9A6_USP11.pdf", "Melting_Curves/meltCurve_G5E9A6_USP11.pdf")</f>
        <v>Melting_Curves/meltCurve_G5E9A6_USP11.pdf</v>
      </c>
    </row>
    <row r="588" spans="1:28" x14ac:dyDescent="0.25">
      <c r="A588" t="s">
        <v>592</v>
      </c>
      <c r="B588">
        <v>0.99352677808782597</v>
      </c>
      <c r="C588">
        <v>0.73079092902253295</v>
      </c>
      <c r="D588">
        <v>0.72543396289533402</v>
      </c>
      <c r="E588">
        <v>0.42130260978662398</v>
      </c>
      <c r="F588">
        <v>0.41776460600084397</v>
      </c>
      <c r="G588">
        <v>0.304202012949712</v>
      </c>
      <c r="H588">
        <v>0.18723934193605499</v>
      </c>
      <c r="I588">
        <v>0.20612044876885599</v>
      </c>
      <c r="J588">
        <v>0.18989237778986201</v>
      </c>
      <c r="K588">
        <v>0.21238853171041799</v>
      </c>
      <c r="L588">
        <v>546.61644397938096</v>
      </c>
      <c r="M588">
        <v>11.4574490589719</v>
      </c>
      <c r="N588">
        <v>49.484485128041499</v>
      </c>
      <c r="O588">
        <v>46.324437943010203</v>
      </c>
      <c r="P588">
        <v>-5.1423601078862902E-2</v>
      </c>
      <c r="Q588">
        <v>0.16858186164074901</v>
      </c>
      <c r="R588">
        <v>0.96511649816594802</v>
      </c>
      <c r="S588" t="s">
        <v>6873</v>
      </c>
      <c r="T588" t="s">
        <v>12568</v>
      </c>
      <c r="U588" t="s">
        <v>12568</v>
      </c>
      <c r="V588" t="s">
        <v>12568</v>
      </c>
      <c r="W588" t="s">
        <v>13144</v>
      </c>
      <c r="X588">
        <v>1</v>
      </c>
      <c r="Y588" t="s">
        <v>19376</v>
      </c>
      <c r="Z588" t="s">
        <v>25458</v>
      </c>
      <c r="AA588">
        <v>0.4182085667069847</v>
      </c>
      <c r="AB588" t="str">
        <f>HYPERLINK("Melting_Curves/meltCurve_G5E9A7_DMWD.pdf", "Melting_Curves/meltCurve_G5E9A7_DMWD.pdf")</f>
        <v>Melting_Curves/meltCurve_G5E9A7_DMWD.pdf</v>
      </c>
    </row>
    <row r="589" spans="1:28" x14ac:dyDescent="0.25">
      <c r="A589" t="s">
        <v>593</v>
      </c>
      <c r="B589">
        <v>0.99352677808782597</v>
      </c>
      <c r="C589">
        <v>0.88847208079987805</v>
      </c>
      <c r="D589">
        <v>0.90719738558289298</v>
      </c>
      <c r="E589">
        <v>0.80845887615973699</v>
      </c>
      <c r="F589">
        <v>0.78329673543420797</v>
      </c>
      <c r="G589">
        <v>0.69116013891050698</v>
      </c>
      <c r="H589">
        <v>0.58487293474660496</v>
      </c>
      <c r="I589">
        <v>0.64483949017936504</v>
      </c>
      <c r="J589">
        <v>0.65349710207257194</v>
      </c>
      <c r="K589">
        <v>0.60016107335021196</v>
      </c>
      <c r="L589">
        <v>474.59083546473801</v>
      </c>
      <c r="M589">
        <v>9.2723949118110909</v>
      </c>
      <c r="O589">
        <v>48.971544099245797</v>
      </c>
      <c r="P589">
        <v>-2.0204196098945901E-2</v>
      </c>
      <c r="Q589">
        <v>0.57344818349218896</v>
      </c>
      <c r="R589">
        <v>0.942466866023144</v>
      </c>
      <c r="S589" t="s">
        <v>6874</v>
      </c>
      <c r="T589" t="s">
        <v>12568</v>
      </c>
      <c r="U589" t="s">
        <v>12568</v>
      </c>
      <c r="V589" t="s">
        <v>12568</v>
      </c>
      <c r="W589" t="s">
        <v>13145</v>
      </c>
      <c r="X589">
        <v>1</v>
      </c>
      <c r="Y589" t="s">
        <v>19377</v>
      </c>
      <c r="Z589" t="s">
        <v>25459</v>
      </c>
      <c r="AA589">
        <v>0.75152764979501196</v>
      </c>
      <c r="AB589" t="str">
        <f>HYPERLINK("Melting_Curves/meltCurve_G5E9B5_TFPT.pdf", "Melting_Curves/meltCurve_G5E9B5_TFPT.pdf")</f>
        <v>Melting_Curves/meltCurve_G5E9B5_TFPT.pdf</v>
      </c>
    </row>
    <row r="590" spans="1:28" x14ac:dyDescent="0.25">
      <c r="A590" t="s">
        <v>594</v>
      </c>
      <c r="B590">
        <v>0.99352677808782597</v>
      </c>
      <c r="C590">
        <v>1.01274419926987</v>
      </c>
      <c r="D590">
        <v>0.86596137074125701</v>
      </c>
      <c r="E590">
        <v>0.26983305391321899</v>
      </c>
      <c r="F590">
        <v>0.21567791761625901</v>
      </c>
      <c r="G590">
        <v>0.126217152318569</v>
      </c>
      <c r="H590">
        <v>9.1982979764093503E-2</v>
      </c>
      <c r="I590">
        <v>9.6155845885519994E-2</v>
      </c>
      <c r="J590">
        <v>7.6415885232647904E-2</v>
      </c>
      <c r="K590">
        <v>6.0514468600963198E-2</v>
      </c>
      <c r="L590">
        <v>1672.8058661386001</v>
      </c>
      <c r="M590">
        <v>34.716640399064097</v>
      </c>
      <c r="N590">
        <v>48.496983022234403</v>
      </c>
      <c r="O590">
        <v>48.0255024646519</v>
      </c>
      <c r="P590">
        <v>-0.162610923584074</v>
      </c>
      <c r="Q590">
        <v>0.100207249237829</v>
      </c>
      <c r="R590">
        <v>0.99285301732233</v>
      </c>
      <c r="S590" t="s">
        <v>6875</v>
      </c>
      <c r="T590" t="s">
        <v>12568</v>
      </c>
      <c r="U590" t="s">
        <v>12568</v>
      </c>
      <c r="V590" t="s">
        <v>12568</v>
      </c>
      <c r="W590" t="s">
        <v>13146</v>
      </c>
      <c r="X590">
        <v>18</v>
      </c>
      <c r="Y590" t="s">
        <v>19378</v>
      </c>
      <c r="Z590" t="s">
        <v>25460</v>
      </c>
      <c r="AA590">
        <v>0.34969927454217931</v>
      </c>
      <c r="AB590" t="str">
        <f>HYPERLINK("Melting_Curves/meltCurve_G5E9C8_SOS1.pdf", "Melting_Curves/meltCurve_G5E9C8_SOS1.pdf")</f>
        <v>Melting_Curves/meltCurve_G5E9C8_SOS1.pdf</v>
      </c>
    </row>
    <row r="591" spans="1:28" x14ac:dyDescent="0.25">
      <c r="A591" t="s">
        <v>595</v>
      </c>
      <c r="B591">
        <v>0.99352677808782597</v>
      </c>
      <c r="C591">
        <v>1.0097857695098</v>
      </c>
      <c r="D591">
        <v>1.05960493785459</v>
      </c>
      <c r="E591">
        <v>0.686762048385686</v>
      </c>
      <c r="F591">
        <v>0.48678742481846599</v>
      </c>
      <c r="G591">
        <v>0.43802557530318298</v>
      </c>
      <c r="H591">
        <v>0.346227269216278</v>
      </c>
      <c r="I591">
        <v>0.34877887938509999</v>
      </c>
      <c r="J591">
        <v>0.36216301736055001</v>
      </c>
      <c r="K591">
        <v>0.31710853816555101</v>
      </c>
      <c r="L591">
        <v>1645.78669410314</v>
      </c>
      <c r="M591">
        <v>32.6749549907234</v>
      </c>
      <c r="N591">
        <v>52.413592590066202</v>
      </c>
      <c r="O591">
        <v>50.180932845510398</v>
      </c>
      <c r="P591">
        <v>-0.104138138482955</v>
      </c>
      <c r="Q591">
        <v>0.36027796829005998</v>
      </c>
      <c r="R591">
        <v>0.98156881145181596</v>
      </c>
      <c r="S591" t="s">
        <v>6876</v>
      </c>
      <c r="T591" t="s">
        <v>12568</v>
      </c>
      <c r="U591" t="s">
        <v>12568</v>
      </c>
      <c r="V591" t="s">
        <v>12568</v>
      </c>
      <c r="W591" t="s">
        <v>13147</v>
      </c>
      <c r="X591">
        <v>60</v>
      </c>
      <c r="Y591" t="s">
        <v>19346</v>
      </c>
      <c r="Z591" t="s">
        <v>25461</v>
      </c>
      <c r="AA591">
        <v>0.5847260200248463</v>
      </c>
      <c r="AB591" t="str">
        <f>HYPERLINK("Melting_Curves/meltCurve_G5E9E7_TJP1.pdf", "Melting_Curves/meltCurve_G5E9E7_TJP1.pdf")</f>
        <v>Melting_Curves/meltCurve_G5E9E7_TJP1.pdf</v>
      </c>
    </row>
    <row r="592" spans="1:28" x14ac:dyDescent="0.25">
      <c r="A592" t="s">
        <v>596</v>
      </c>
      <c r="B592">
        <v>0.99352677808782597</v>
      </c>
      <c r="C592">
        <v>0.82384135898588995</v>
      </c>
      <c r="D592">
        <v>0.62603778336052895</v>
      </c>
      <c r="E592">
        <v>0.30906372373067997</v>
      </c>
      <c r="F592">
        <v>0.25697176279585598</v>
      </c>
      <c r="G592">
        <v>0.193289231370669</v>
      </c>
      <c r="H592">
        <v>0.16949102021656601</v>
      </c>
      <c r="I592">
        <v>0.168577565333378</v>
      </c>
      <c r="J592">
        <v>0.15146953332072899</v>
      </c>
      <c r="K592">
        <v>0.129934197258364</v>
      </c>
      <c r="L592">
        <v>850.51487117071099</v>
      </c>
      <c r="M592">
        <v>18.3205903420608</v>
      </c>
      <c r="N592">
        <v>47.376511613483203</v>
      </c>
      <c r="O592">
        <v>45.881485863596097</v>
      </c>
      <c r="P592">
        <v>-8.4450475182248699E-2</v>
      </c>
      <c r="Q592">
        <v>0.15405905205072501</v>
      </c>
      <c r="R592">
        <v>0.99540149317533999</v>
      </c>
      <c r="S592" t="s">
        <v>6877</v>
      </c>
      <c r="T592" t="s">
        <v>12568</v>
      </c>
      <c r="U592" t="s">
        <v>12568</v>
      </c>
      <c r="V592" t="s">
        <v>12568</v>
      </c>
      <c r="W592" t="s">
        <v>13148</v>
      </c>
      <c r="X592">
        <v>13</v>
      </c>
      <c r="Y592" t="s">
        <v>19379</v>
      </c>
      <c r="Z592" t="s">
        <v>25462</v>
      </c>
      <c r="AA592">
        <v>0.35070383365242602</v>
      </c>
      <c r="AB592" t="str">
        <f>HYPERLINK("Melting_Curves/meltCurve_G5E9I6_MAPRE2.pdf", "Melting_Curves/meltCurve_G5E9I6_MAPRE2.pdf")</f>
        <v>Melting_Curves/meltCurve_G5E9I6_MAPRE2.pdf</v>
      </c>
    </row>
    <row r="593" spans="1:28" x14ac:dyDescent="0.25">
      <c r="A593" t="s">
        <v>597</v>
      </c>
      <c r="B593">
        <v>0.99352677808782597</v>
      </c>
      <c r="C593">
        <v>1.0408557827249201</v>
      </c>
      <c r="D593">
        <v>0.83064007155559005</v>
      </c>
      <c r="E593">
        <v>0.31498521026730802</v>
      </c>
      <c r="F593">
        <v>0.260767387493753</v>
      </c>
      <c r="G593">
        <v>6.4943598003170497E-2</v>
      </c>
      <c r="H593">
        <v>0.14352778060735599</v>
      </c>
      <c r="I593">
        <v>0.1913069584582</v>
      </c>
      <c r="J593">
        <v>0.118829880795096</v>
      </c>
      <c r="K593">
        <v>6.2353668310976301E-2</v>
      </c>
      <c r="L593">
        <v>1467.85011354682</v>
      </c>
      <c r="M593">
        <v>30.469004383863702</v>
      </c>
      <c r="N593">
        <v>48.639079519120003</v>
      </c>
      <c r="O593">
        <v>47.969109822242899</v>
      </c>
      <c r="P593">
        <v>-0.13877341157262199</v>
      </c>
      <c r="Q593">
        <v>0.12608963586632799</v>
      </c>
      <c r="R593">
        <v>0.98218109435696399</v>
      </c>
      <c r="S593" t="s">
        <v>6878</v>
      </c>
      <c r="T593" t="s">
        <v>12568</v>
      </c>
      <c r="U593" t="s">
        <v>12568</v>
      </c>
      <c r="V593" t="s">
        <v>12568</v>
      </c>
      <c r="W593" t="s">
        <v>13149</v>
      </c>
      <c r="X593">
        <v>2</v>
      </c>
      <c r="Y593" t="s">
        <v>19380</v>
      </c>
      <c r="Z593" t="s">
        <v>25463</v>
      </c>
      <c r="AA593">
        <v>0.36933698572436552</v>
      </c>
      <c r="AB593" t="str">
        <f>HYPERLINK("Melting_Curves/meltCurve_G5E9L9_DCLK2.pdf", "Melting_Curves/meltCurve_G5E9L9_DCLK2.pdf")</f>
        <v>Melting_Curves/meltCurve_G5E9L9_DCLK2.pdf</v>
      </c>
    </row>
    <row r="594" spans="1:28" x14ac:dyDescent="0.25">
      <c r="A594" t="s">
        <v>598</v>
      </c>
      <c r="B594">
        <v>0.99352677808782597</v>
      </c>
      <c r="C594">
        <v>2.4827994865070102</v>
      </c>
      <c r="D594">
        <v>6.6532451192997</v>
      </c>
      <c r="E594">
        <v>3.11315166682511</v>
      </c>
      <c r="F594">
        <v>2.7719533572522801</v>
      </c>
      <c r="G594">
        <v>1.6652185716400101</v>
      </c>
      <c r="H594">
        <v>0.90905830427357703</v>
      </c>
      <c r="I594">
        <v>0.97143679538948502</v>
      </c>
      <c r="J594">
        <v>0.79688033152656301</v>
      </c>
      <c r="K594">
        <v>0.65442921332361803</v>
      </c>
      <c r="L594">
        <v>3147.04092388442</v>
      </c>
      <c r="M594">
        <v>47.0345914751423</v>
      </c>
      <c r="O594">
        <v>66.788471788679701</v>
      </c>
      <c r="P594">
        <v>-6.8576322891572103E-2</v>
      </c>
      <c r="Q594">
        <v>0.61049077204602598</v>
      </c>
      <c r="R594">
        <v>-0.39550360062659701</v>
      </c>
      <c r="S594" t="s">
        <v>6879</v>
      </c>
      <c r="T594" t="s">
        <v>12568</v>
      </c>
      <c r="U594" t="s">
        <v>12568</v>
      </c>
      <c r="V594" t="s">
        <v>12568</v>
      </c>
      <c r="W594" t="s">
        <v>13150</v>
      </c>
      <c r="X594">
        <v>1</v>
      </c>
      <c r="Y594" t="s">
        <v>19381</v>
      </c>
      <c r="Z594" t="s">
        <v>25464</v>
      </c>
      <c r="AA594">
        <v>0.95866420546451658</v>
      </c>
      <c r="AB594" t="str">
        <f>HYPERLINK("Melting_Curves/meltCurve_G5E9R3_RPL37A.pdf", "Melting_Curves/meltCurve_G5E9R3_RPL37A.pdf")</f>
        <v>Melting_Curves/meltCurve_G5E9R3_RPL37A.pdf</v>
      </c>
    </row>
    <row r="595" spans="1:28" x14ac:dyDescent="0.25">
      <c r="A595" t="s">
        <v>599</v>
      </c>
      <c r="B595">
        <v>0.99352677808782597</v>
      </c>
      <c r="C595">
        <v>0.92206281297236903</v>
      </c>
      <c r="D595">
        <v>0.81352350438690102</v>
      </c>
      <c r="E595">
        <v>0.66429667709173601</v>
      </c>
      <c r="F595">
        <v>0.55505014189089097</v>
      </c>
      <c r="G595">
        <v>0.54930013753212503</v>
      </c>
      <c r="H595">
        <v>0.35535154399827601</v>
      </c>
      <c r="I595">
        <v>0.362712040498682</v>
      </c>
      <c r="J595">
        <v>0.35809656757031</v>
      </c>
      <c r="K595">
        <v>0.25218009674732</v>
      </c>
      <c r="L595">
        <v>467.65910961946599</v>
      </c>
      <c r="M595">
        <v>8.9430271919368796</v>
      </c>
      <c r="N595">
        <v>56.001976002530597</v>
      </c>
      <c r="O595">
        <v>49.876786762908601</v>
      </c>
      <c r="P595">
        <v>-3.4834611648659301E-2</v>
      </c>
      <c r="Q595">
        <v>0.223463392880666</v>
      </c>
      <c r="R595">
        <v>0.97604485959101905</v>
      </c>
      <c r="S595" t="s">
        <v>6880</v>
      </c>
      <c r="T595" t="s">
        <v>12568</v>
      </c>
      <c r="U595" t="s">
        <v>12568</v>
      </c>
      <c r="V595" t="s">
        <v>12568</v>
      </c>
      <c r="W595" t="s">
        <v>13151</v>
      </c>
      <c r="X595">
        <v>1</v>
      </c>
      <c r="Y595" t="s">
        <v>19382</v>
      </c>
      <c r="Z595" t="s">
        <v>25465</v>
      </c>
      <c r="AA595">
        <v>0.57359769782733694</v>
      </c>
      <c r="AB595" t="str">
        <f>HYPERLINK("Melting_Curves/meltCurve_G5EA02_C4orf21.pdf", "Melting_Curves/meltCurve_G5EA02_C4orf21.pdf")</f>
        <v>Melting_Curves/meltCurve_G5EA02_C4orf21.pdf</v>
      </c>
    </row>
    <row r="596" spans="1:28" x14ac:dyDescent="0.25">
      <c r="A596" t="s">
        <v>600</v>
      </c>
      <c r="B596">
        <v>0.99352677808782597</v>
      </c>
      <c r="C596">
        <v>0.96753207019821297</v>
      </c>
      <c r="D596">
        <v>0.92458878120250498</v>
      </c>
      <c r="E596">
        <v>0.648605537032927</v>
      </c>
      <c r="F596">
        <v>0.52647460218808595</v>
      </c>
      <c r="G596">
        <v>0.425981874189237</v>
      </c>
      <c r="H596">
        <v>0.31465959153306</v>
      </c>
      <c r="I596">
        <v>0.23692211159026999</v>
      </c>
      <c r="J596">
        <v>0.15432979375460901</v>
      </c>
      <c r="K596">
        <v>0.103534824561496</v>
      </c>
      <c r="L596">
        <v>557.89114282343405</v>
      </c>
      <c r="M596">
        <v>10.3630627931232</v>
      </c>
      <c r="N596">
        <v>54.502778754563302</v>
      </c>
      <c r="O596">
        <v>51.945642019916598</v>
      </c>
      <c r="P596">
        <v>-4.69191682728302E-2</v>
      </c>
      <c r="Q596">
        <v>5.9655367586798097E-2</v>
      </c>
      <c r="R596">
        <v>0.98585766750450998</v>
      </c>
      <c r="S596" t="s">
        <v>6881</v>
      </c>
      <c r="T596" t="s">
        <v>12568</v>
      </c>
      <c r="U596" t="s">
        <v>12568</v>
      </c>
      <c r="V596" t="s">
        <v>12568</v>
      </c>
      <c r="W596" t="s">
        <v>13152</v>
      </c>
      <c r="X596">
        <v>1</v>
      </c>
      <c r="Y596" t="s">
        <v>19383</v>
      </c>
      <c r="Z596" t="s">
        <v>25466</v>
      </c>
      <c r="AA596">
        <v>0.521591259022543</v>
      </c>
      <c r="AB596" t="str">
        <f>HYPERLINK("Melting_Curves/meltCurve_G5EA37_WIPI1.pdf", "Melting_Curves/meltCurve_G5EA37_WIPI1.pdf")</f>
        <v>Melting_Curves/meltCurve_G5EA37_WIPI1.pdf</v>
      </c>
    </row>
    <row r="597" spans="1:28" x14ac:dyDescent="0.25">
      <c r="A597" t="s">
        <v>601</v>
      </c>
      <c r="B597">
        <v>0.99352677808782597</v>
      </c>
      <c r="C597">
        <v>1.03641428405652</v>
      </c>
      <c r="D597">
        <v>1.06901986311509</v>
      </c>
      <c r="E597">
        <v>0.52643789317667899</v>
      </c>
      <c r="F597">
        <v>0.32877647954726902</v>
      </c>
      <c r="G597">
        <v>0.22649813683592199</v>
      </c>
      <c r="H597">
        <v>0.15839767750030501</v>
      </c>
      <c r="I597">
        <v>0.185656046146709</v>
      </c>
      <c r="J597">
        <v>0.16153491306859499</v>
      </c>
      <c r="K597">
        <v>0.14759326509648901</v>
      </c>
      <c r="L597">
        <v>1879.2585145027999</v>
      </c>
      <c r="M597">
        <v>37.702097421576902</v>
      </c>
      <c r="N597">
        <v>50.454550401770902</v>
      </c>
      <c r="O597">
        <v>49.705322195341203</v>
      </c>
      <c r="P597">
        <v>-0.15493685817790501</v>
      </c>
      <c r="Q597">
        <v>0.182945591468823</v>
      </c>
      <c r="R597">
        <v>0.98443842526624803</v>
      </c>
      <c r="S597" t="s">
        <v>6882</v>
      </c>
      <c r="T597" t="s">
        <v>12568</v>
      </c>
      <c r="U597" t="s">
        <v>12568</v>
      </c>
      <c r="V597" t="s">
        <v>12568</v>
      </c>
      <c r="W597" t="s">
        <v>13153</v>
      </c>
      <c r="X597">
        <v>3</v>
      </c>
      <c r="Y597" t="s">
        <v>19384</v>
      </c>
      <c r="Z597" t="s">
        <v>25467</v>
      </c>
      <c r="AA597">
        <v>0.45424755944236372</v>
      </c>
      <c r="AB597" t="str">
        <f>HYPERLINK("Melting_Curves/meltCurve_G5EA42_TMOD2.pdf", "Melting_Curves/meltCurve_G5EA42_TMOD2.pdf")</f>
        <v>Melting_Curves/meltCurve_G5EA42_TMOD2.pdf</v>
      </c>
    </row>
    <row r="598" spans="1:28" x14ac:dyDescent="0.25">
      <c r="A598" t="s">
        <v>602</v>
      </c>
      <c r="B598">
        <v>0.99352677808782597</v>
      </c>
      <c r="C598">
        <v>0.97393241175633405</v>
      </c>
      <c r="D598">
        <v>0.97563855213205497</v>
      </c>
      <c r="E598">
        <v>0.54785580361533204</v>
      </c>
      <c r="F598">
        <v>0.43592739748521397</v>
      </c>
      <c r="G598">
        <v>0.204548034400343</v>
      </c>
      <c r="H598">
        <v>0.115679349155986</v>
      </c>
      <c r="I598">
        <v>0.111160893700765</v>
      </c>
      <c r="J598">
        <v>9.2252524833698904E-2</v>
      </c>
      <c r="K598">
        <v>6.9491805677231705E-2</v>
      </c>
      <c r="L598">
        <v>959.45888859503202</v>
      </c>
      <c r="M598">
        <v>18.8010025764621</v>
      </c>
      <c r="N598">
        <v>51.525843319125201</v>
      </c>
      <c r="O598">
        <v>50.465497905043598</v>
      </c>
      <c r="P598">
        <v>-8.5467164042109703E-2</v>
      </c>
      <c r="Q598">
        <v>8.2397075583347607E-2</v>
      </c>
      <c r="R598">
        <v>0.98877289490722098</v>
      </c>
      <c r="S598" t="s">
        <v>6883</v>
      </c>
      <c r="T598" t="s">
        <v>12568</v>
      </c>
      <c r="U598" t="s">
        <v>12568</v>
      </c>
      <c r="V598" t="s">
        <v>12568</v>
      </c>
      <c r="W598" t="s">
        <v>13154</v>
      </c>
      <c r="X598">
        <v>38</v>
      </c>
      <c r="Y598" t="s">
        <v>19385</v>
      </c>
      <c r="Z598" t="s">
        <v>25468</v>
      </c>
      <c r="AA598">
        <v>0.43412061429944881</v>
      </c>
      <c r="AB598" t="str">
        <f>HYPERLINK("Melting_Curves/meltCurve_G5EA52_PDIA3.pdf", "Melting_Curves/meltCurve_G5EA52_PDIA3.pdf")</f>
        <v>Melting_Curves/meltCurve_G5EA52_PDIA3.pdf</v>
      </c>
    </row>
    <row r="599" spans="1:28" x14ac:dyDescent="0.25">
      <c r="A599" t="s">
        <v>603</v>
      </c>
      <c r="B599">
        <v>0.99352677808782597</v>
      </c>
      <c r="C599">
        <v>1.0826116606851499</v>
      </c>
      <c r="D599">
        <v>1.0708909784284399</v>
      </c>
      <c r="E599">
        <v>0.77029374946350004</v>
      </c>
      <c r="F599">
        <v>0.68289565984727996</v>
      </c>
      <c r="G599">
        <v>0.49967467495004902</v>
      </c>
      <c r="H599">
        <v>0.12917356216752199</v>
      </c>
      <c r="I599">
        <v>5.4835762640486702E-2</v>
      </c>
      <c r="J599">
        <v>0.113846935180105</v>
      </c>
      <c r="K599">
        <v>0</v>
      </c>
      <c r="L599">
        <v>919.74089763127097</v>
      </c>
      <c r="M599">
        <v>16.520040442764401</v>
      </c>
      <c r="N599">
        <v>55.674254654695297</v>
      </c>
      <c r="O599">
        <v>54.877637135639702</v>
      </c>
      <c r="P599">
        <v>-7.5263732129838598E-2</v>
      </c>
      <c r="Q599">
        <v>0</v>
      </c>
      <c r="R599">
        <v>0.97271456203464601</v>
      </c>
      <c r="S599" t="s">
        <v>6884</v>
      </c>
      <c r="T599" t="s">
        <v>12568</v>
      </c>
      <c r="U599" t="s">
        <v>12568</v>
      </c>
      <c r="V599" t="s">
        <v>12568</v>
      </c>
      <c r="W599" t="s">
        <v>13155</v>
      </c>
      <c r="X599">
        <v>1</v>
      </c>
      <c r="Y599" t="s">
        <v>19386</v>
      </c>
      <c r="Z599" t="s">
        <v>25469</v>
      </c>
      <c r="AA599">
        <v>0.53905761603408886</v>
      </c>
      <c r="AB599" t="str">
        <f>HYPERLINK("Melting_Curves/meltCurve_G8JL95_MAU2.pdf", "Melting_Curves/meltCurve_G8JL95_MAU2.pdf")</f>
        <v>Melting_Curves/meltCurve_G8JL95_MAU2.pdf</v>
      </c>
    </row>
    <row r="600" spans="1:28" x14ac:dyDescent="0.25">
      <c r="A600" t="s">
        <v>604</v>
      </c>
      <c r="B600">
        <v>0.99352677808782597</v>
      </c>
      <c r="C600">
        <v>0.95856522220146501</v>
      </c>
      <c r="D600">
        <v>0.88360051689915797</v>
      </c>
      <c r="E600">
        <v>0.809521496569373</v>
      </c>
      <c r="F600">
        <v>0.74511295239850805</v>
      </c>
      <c r="G600">
        <v>0.47547417518955398</v>
      </c>
      <c r="H600">
        <v>0.35004490958527401</v>
      </c>
      <c r="I600">
        <v>0.297841030233858</v>
      </c>
      <c r="J600">
        <v>0.28459858630395801</v>
      </c>
      <c r="K600">
        <v>0.18915810572456601</v>
      </c>
      <c r="L600">
        <v>616.23622540389101</v>
      </c>
      <c r="M600">
        <v>11.0434334325466</v>
      </c>
      <c r="N600">
        <v>57.293914528804997</v>
      </c>
      <c r="O600">
        <v>54.065101334650599</v>
      </c>
      <c r="P600">
        <v>-4.4696149023510101E-2</v>
      </c>
      <c r="Q600">
        <v>0.12501882455135599</v>
      </c>
      <c r="R600">
        <v>0.98965001999130098</v>
      </c>
      <c r="S600" t="s">
        <v>6885</v>
      </c>
      <c r="T600" t="s">
        <v>12568</v>
      </c>
      <c r="U600" t="s">
        <v>12568</v>
      </c>
      <c r="V600" t="s">
        <v>12568</v>
      </c>
      <c r="W600" t="s">
        <v>13156</v>
      </c>
      <c r="X600">
        <v>2</v>
      </c>
      <c r="Y600" t="s">
        <v>19387</v>
      </c>
      <c r="Z600" t="s">
        <v>25470</v>
      </c>
      <c r="AA600">
        <v>0.60485351361158202</v>
      </c>
      <c r="AB600" t="str">
        <f>HYPERLINK("Melting_Curves/meltCurve_G8JLA8_TGFBI.pdf", "Melting_Curves/meltCurve_G8JLA8_TGFBI.pdf")</f>
        <v>Melting_Curves/meltCurve_G8JLA8_TGFBI.pdf</v>
      </c>
    </row>
    <row r="601" spans="1:28" x14ac:dyDescent="0.25">
      <c r="A601" t="s">
        <v>605</v>
      </c>
      <c r="B601">
        <v>0.99352677808782597</v>
      </c>
      <c r="C601">
        <v>1.0012804952114001</v>
      </c>
      <c r="D601">
        <v>0.91717248076990898</v>
      </c>
      <c r="E601">
        <v>0.36431388409191301</v>
      </c>
      <c r="F601">
        <v>0.30709420417479799</v>
      </c>
      <c r="G601">
        <v>0.22529835177090801</v>
      </c>
      <c r="H601">
        <v>0.19490313601617301</v>
      </c>
      <c r="I601">
        <v>0.17079582157349901</v>
      </c>
      <c r="J601">
        <v>0.18226110956150701</v>
      </c>
      <c r="K601">
        <v>0.14459556392659201</v>
      </c>
      <c r="L601">
        <v>1743.19929526552</v>
      </c>
      <c r="M601">
        <v>35.966969543477603</v>
      </c>
      <c r="N601">
        <v>49.135478769847197</v>
      </c>
      <c r="O601">
        <v>48.317578891652197</v>
      </c>
      <c r="P601">
        <v>-0.15007656006374001</v>
      </c>
      <c r="Q601">
        <v>0.193558676435553</v>
      </c>
      <c r="R601">
        <v>0.99059131043660997</v>
      </c>
      <c r="S601" t="s">
        <v>6886</v>
      </c>
      <c r="T601" t="s">
        <v>12568</v>
      </c>
      <c r="U601" t="s">
        <v>12568</v>
      </c>
      <c r="V601" t="s">
        <v>12568</v>
      </c>
      <c r="W601" t="s">
        <v>13157</v>
      </c>
      <c r="X601">
        <v>13</v>
      </c>
      <c r="Y601" t="s">
        <v>19388</v>
      </c>
      <c r="Z601" t="s">
        <v>25471</v>
      </c>
      <c r="AA601">
        <v>0.42451445666282422</v>
      </c>
      <c r="AB601" t="str">
        <f>HYPERLINK("Melting_Curves/meltCurve_G8JLB3_PUS1.pdf", "Melting_Curves/meltCurve_G8JLB3_PUS1.pdf")</f>
        <v>Melting_Curves/meltCurve_G8JLB3_PUS1.pdf</v>
      </c>
    </row>
    <row r="602" spans="1:28" x14ac:dyDescent="0.25">
      <c r="A602" t="s">
        <v>606</v>
      </c>
      <c r="B602">
        <v>0.99352677808782597</v>
      </c>
      <c r="C602">
        <v>1.0403659498167901</v>
      </c>
      <c r="D602">
        <v>0.91952953407561</v>
      </c>
      <c r="E602">
        <v>0.88140117025011</v>
      </c>
      <c r="F602">
        <v>0.724954417366661</v>
      </c>
      <c r="G602">
        <v>0.431166064047172</v>
      </c>
      <c r="H602">
        <v>0.18390844867514899</v>
      </c>
      <c r="I602">
        <v>0.12941406095159599</v>
      </c>
      <c r="J602">
        <v>8.7383033621303605E-2</v>
      </c>
      <c r="K602">
        <v>6.2536918401530694E-2</v>
      </c>
      <c r="L602">
        <v>965.47764378384602</v>
      </c>
      <c r="M602">
        <v>17.333980355129</v>
      </c>
      <c r="N602">
        <v>55.9136329544041</v>
      </c>
      <c r="O602">
        <v>54.973103793969699</v>
      </c>
      <c r="P602">
        <v>-7.62915057050923E-2</v>
      </c>
      <c r="Q602">
        <v>3.2249792663567797E-2</v>
      </c>
      <c r="R602">
        <v>0.99592757899221196</v>
      </c>
      <c r="S602" t="s">
        <v>6887</v>
      </c>
      <c r="T602" t="s">
        <v>12568</v>
      </c>
      <c r="U602" t="s">
        <v>12568</v>
      </c>
      <c r="V602" t="s">
        <v>12568</v>
      </c>
      <c r="W602" t="s">
        <v>13158</v>
      </c>
      <c r="X602">
        <v>9</v>
      </c>
      <c r="Y602" t="s">
        <v>19389</v>
      </c>
      <c r="Z602" t="s">
        <v>25472</v>
      </c>
      <c r="AA602">
        <v>0.55383025073731529</v>
      </c>
      <c r="AB602" t="str">
        <f>HYPERLINK("Melting_Curves/meltCurve_G8JLI5_WDR45.pdf", "Melting_Curves/meltCurve_G8JLI5_WDR45.pdf")</f>
        <v>Melting_Curves/meltCurve_G8JLI5_WDR45.pdf</v>
      </c>
    </row>
    <row r="603" spans="1:28" x14ac:dyDescent="0.25">
      <c r="A603" t="s">
        <v>607</v>
      </c>
      <c r="B603">
        <v>0.99352677808782597</v>
      </c>
      <c r="C603">
        <v>0.99454601521443098</v>
      </c>
      <c r="D603">
        <v>0.95796621562837303</v>
      </c>
      <c r="E603">
        <v>0.84818934292754899</v>
      </c>
      <c r="F603">
        <v>0.75342688651263801</v>
      </c>
      <c r="G603">
        <v>0.56088939713211705</v>
      </c>
      <c r="H603">
        <v>0.40170720125255099</v>
      </c>
      <c r="I603">
        <v>0.234890340998863</v>
      </c>
      <c r="J603">
        <v>0.14794782636291101</v>
      </c>
      <c r="K603">
        <v>0.11336874827884599</v>
      </c>
      <c r="L603">
        <v>686.387988965315</v>
      </c>
      <c r="M603">
        <v>11.815469169532101</v>
      </c>
      <c r="N603">
        <v>58.092339882122403</v>
      </c>
      <c r="O603">
        <v>56.5031994382786</v>
      </c>
      <c r="P603">
        <v>-5.2291258898196198E-2</v>
      </c>
      <c r="Q603">
        <v>0</v>
      </c>
      <c r="R603">
        <v>0.99731834557973398</v>
      </c>
      <c r="S603" t="s">
        <v>6888</v>
      </c>
      <c r="T603" t="s">
        <v>12568</v>
      </c>
      <c r="U603" t="s">
        <v>12568</v>
      </c>
      <c r="V603" t="s">
        <v>12568</v>
      </c>
      <c r="W603" t="s">
        <v>13159</v>
      </c>
      <c r="X603">
        <v>6</v>
      </c>
      <c r="Y603" t="s">
        <v>19390</v>
      </c>
      <c r="Z603" t="s">
        <v>25473</v>
      </c>
      <c r="AA603">
        <v>0.61519942260915172</v>
      </c>
      <c r="AB603" t="str">
        <f>HYPERLINK("Melting_Curves/meltCurve_G8JLK3_PACS2.pdf", "Melting_Curves/meltCurve_G8JLK3_PACS2.pdf")</f>
        <v>Melting_Curves/meltCurve_G8JLK3_PACS2.pdf</v>
      </c>
    </row>
    <row r="604" spans="1:28" x14ac:dyDescent="0.25">
      <c r="A604" t="s">
        <v>608</v>
      </c>
      <c r="B604">
        <v>0.99352677808782597</v>
      </c>
      <c r="C604">
        <v>0.92037019313016</v>
      </c>
      <c r="D604">
        <v>0.83301079103224396</v>
      </c>
      <c r="E604">
        <v>0.54198050156524802</v>
      </c>
      <c r="F604">
        <v>0.518082713021772</v>
      </c>
      <c r="G604">
        <v>0.188232399122714</v>
      </c>
      <c r="H604">
        <v>8.9208069130381595E-2</v>
      </c>
      <c r="I604">
        <v>8.8796348373134604E-2</v>
      </c>
      <c r="J604">
        <v>5.0206808940899197E-2</v>
      </c>
      <c r="K604">
        <v>3.44143271893134E-2</v>
      </c>
      <c r="L604">
        <v>663.23029882981496</v>
      </c>
      <c r="M604">
        <v>12.845027682188499</v>
      </c>
      <c r="N604">
        <v>51.633232367497797</v>
      </c>
      <c r="O604">
        <v>50.429812366849902</v>
      </c>
      <c r="P604">
        <v>-6.3689535723281704E-2</v>
      </c>
      <c r="Q604">
        <v>0</v>
      </c>
      <c r="R604">
        <v>0.98710023390794099</v>
      </c>
      <c r="S604" t="s">
        <v>6889</v>
      </c>
      <c r="T604" t="s">
        <v>12568</v>
      </c>
      <c r="U604" t="s">
        <v>12568</v>
      </c>
      <c r="V604" t="s">
        <v>12568</v>
      </c>
      <c r="W604" t="s">
        <v>13160</v>
      </c>
      <c r="X604">
        <v>3</v>
      </c>
      <c r="Y604" t="s">
        <v>19391</v>
      </c>
      <c r="Z604" t="s">
        <v>25474</v>
      </c>
      <c r="AA604">
        <v>0.41632044963008241</v>
      </c>
      <c r="AB604" t="str">
        <f>HYPERLINK("Melting_Curves/meltCurve_G8JLP2_C14orf159.pdf", "Melting_Curves/meltCurve_G8JLP2_C14orf159.pdf")</f>
        <v>Melting_Curves/meltCurve_G8JLP2_C14orf159.pdf</v>
      </c>
    </row>
    <row r="605" spans="1:28" x14ac:dyDescent="0.25">
      <c r="A605" t="s">
        <v>609</v>
      </c>
      <c r="B605">
        <v>0.99352677808782597</v>
      </c>
      <c r="C605">
        <v>1.00103415303171</v>
      </c>
      <c r="D605">
        <v>0.93007806434229401</v>
      </c>
      <c r="E605">
        <v>0.84135481126231204</v>
      </c>
      <c r="F605">
        <v>0.97402678919409302</v>
      </c>
      <c r="G605">
        <v>0.75021248108001304</v>
      </c>
      <c r="H605">
        <v>0.79936831291363197</v>
      </c>
      <c r="I605">
        <v>0.67701362535259302</v>
      </c>
      <c r="J605">
        <v>0.67329778550454999</v>
      </c>
      <c r="K605">
        <v>0.36559801290011801</v>
      </c>
      <c r="L605">
        <v>507.17572761899601</v>
      </c>
      <c r="M605">
        <v>7.28952588493308</v>
      </c>
      <c r="N605">
        <v>69.575959978302507</v>
      </c>
      <c r="O605">
        <v>64.913285111005493</v>
      </c>
      <c r="P605">
        <v>-2.8118938044391299E-2</v>
      </c>
      <c r="Q605">
        <v>0</v>
      </c>
      <c r="R605">
        <v>0.84230655466849202</v>
      </c>
      <c r="S605" t="s">
        <v>6890</v>
      </c>
      <c r="T605" t="s">
        <v>12568</v>
      </c>
      <c r="U605" t="s">
        <v>12568</v>
      </c>
      <c r="V605" t="s">
        <v>12568</v>
      </c>
      <c r="W605" t="s">
        <v>13161</v>
      </c>
      <c r="X605">
        <v>33</v>
      </c>
      <c r="Y605" t="s">
        <v>19392</v>
      </c>
      <c r="Z605" t="s">
        <v>25475</v>
      </c>
      <c r="AA605">
        <v>0.82342946863150024</v>
      </c>
      <c r="AB605" t="str">
        <f>HYPERLINK("Melting_Curves/meltCurve_H0Y2S9_MPRIP.pdf", "Melting_Curves/meltCurve_H0Y2S9_MPRIP.pdf")</f>
        <v>Melting_Curves/meltCurve_H0Y2S9_MPRIP.pdf</v>
      </c>
    </row>
    <row r="606" spans="1:28" x14ac:dyDescent="0.25">
      <c r="A606" t="s">
        <v>610</v>
      </c>
      <c r="B606">
        <v>0.99352677808782597</v>
      </c>
      <c r="C606">
        <v>0.87764894423432804</v>
      </c>
      <c r="D606">
        <v>0.830154895096617</v>
      </c>
      <c r="E606">
        <v>0.44580072152024902</v>
      </c>
      <c r="F606">
        <v>0.36847971273577201</v>
      </c>
      <c r="G606">
        <v>0.17672817554644499</v>
      </c>
      <c r="H606">
        <v>0.14103156230947</v>
      </c>
      <c r="I606">
        <v>0.128521584715133</v>
      </c>
      <c r="J606">
        <v>0.11251244545057</v>
      </c>
      <c r="K606">
        <v>9.6105088008415301E-2</v>
      </c>
      <c r="L606">
        <v>776.00622734053104</v>
      </c>
      <c r="M606">
        <v>15.7370507992967</v>
      </c>
      <c r="N606">
        <v>49.995006561405702</v>
      </c>
      <c r="O606">
        <v>48.535130040355398</v>
      </c>
      <c r="P606">
        <v>-7.3213057818282606E-2</v>
      </c>
      <c r="Q606">
        <v>9.6880865549919606E-2</v>
      </c>
      <c r="R606">
        <v>0.99108213330863304</v>
      </c>
      <c r="S606" t="s">
        <v>6891</v>
      </c>
      <c r="T606" t="s">
        <v>12568</v>
      </c>
      <c r="U606" t="s">
        <v>12568</v>
      </c>
      <c r="V606" t="s">
        <v>12568</v>
      </c>
      <c r="W606" t="s">
        <v>13162</v>
      </c>
      <c r="X606">
        <v>30</v>
      </c>
      <c r="Y606" t="s">
        <v>19393</v>
      </c>
      <c r="Z606" t="s">
        <v>25476</v>
      </c>
      <c r="AA606">
        <v>0.39732524759991622</v>
      </c>
      <c r="AB606" t="str">
        <f>HYPERLINK("Melting_Curves/meltCurve_H0Y3P2_EIF4G2.pdf", "Melting_Curves/meltCurve_H0Y3P2_EIF4G2.pdf")</f>
        <v>Melting_Curves/meltCurve_H0Y3P2_EIF4G2.pdf</v>
      </c>
    </row>
    <row r="607" spans="1:28" x14ac:dyDescent="0.25">
      <c r="A607" t="s">
        <v>611</v>
      </c>
      <c r="B607">
        <v>0.99352677808782597</v>
      </c>
      <c r="C607">
        <v>0.94779301005933703</v>
      </c>
      <c r="D607">
        <v>0.91167099878820701</v>
      </c>
      <c r="E607">
        <v>0.90592509411648703</v>
      </c>
      <c r="F607">
        <v>0.81199164303445104</v>
      </c>
      <c r="G607">
        <v>0.614831930385486</v>
      </c>
      <c r="H607">
        <v>0.53069482704605098</v>
      </c>
      <c r="I607">
        <v>0.55633302941016505</v>
      </c>
      <c r="J607">
        <v>0.549251828224955</v>
      </c>
      <c r="K607">
        <v>0.39581063446233899</v>
      </c>
      <c r="L607">
        <v>611.37386859077799</v>
      </c>
      <c r="M607">
        <v>10.969665306325</v>
      </c>
      <c r="N607">
        <v>65.201367200059494</v>
      </c>
      <c r="O607">
        <v>53.9770210126743</v>
      </c>
      <c r="P607">
        <v>-3.0579090581760501E-2</v>
      </c>
      <c r="Q607">
        <v>0.39833877002770102</v>
      </c>
      <c r="R607">
        <v>0.95614745230360798</v>
      </c>
      <c r="S607" t="s">
        <v>6892</v>
      </c>
      <c r="T607" t="s">
        <v>12568</v>
      </c>
      <c r="U607" t="s">
        <v>12568</v>
      </c>
      <c r="V607" t="s">
        <v>12568</v>
      </c>
      <c r="W607" t="s">
        <v>13163</v>
      </c>
      <c r="X607">
        <v>9</v>
      </c>
      <c r="Y607" t="s">
        <v>19346</v>
      </c>
      <c r="Z607" t="s">
        <v>25477</v>
      </c>
      <c r="AA607">
        <v>0.72710979544032517</v>
      </c>
      <c r="AB607" t="str">
        <f>HYPERLINK("Melting_Curves/meltCurve_H0Y3R8_TJP1.pdf", "Melting_Curves/meltCurve_H0Y3R8_TJP1.pdf")</f>
        <v>Melting_Curves/meltCurve_H0Y3R8_TJP1.pdf</v>
      </c>
    </row>
    <row r="608" spans="1:28" x14ac:dyDescent="0.25">
      <c r="A608" t="s">
        <v>612</v>
      </c>
      <c r="B608">
        <v>0.99352677808782597</v>
      </c>
      <c r="C608">
        <v>1.04950289989691</v>
      </c>
      <c r="D608">
        <v>1.0357410901648201</v>
      </c>
      <c r="E608">
        <v>0.90128409041086999</v>
      </c>
      <c r="F608">
        <v>0.82672858877049005</v>
      </c>
      <c r="G608">
        <v>0.74107035580833802</v>
      </c>
      <c r="H608">
        <v>0.66045374752893204</v>
      </c>
      <c r="I608">
        <v>0.69668963718683496</v>
      </c>
      <c r="J608">
        <v>0.77788402543572899</v>
      </c>
      <c r="K608">
        <v>0.57519936616224498</v>
      </c>
      <c r="L608">
        <v>1162.78680888383</v>
      </c>
      <c r="M608">
        <v>22.076045543254899</v>
      </c>
      <c r="O608">
        <v>52.245391187728004</v>
      </c>
      <c r="P608">
        <v>-3.4447494741419997E-2</v>
      </c>
      <c r="Q608">
        <v>0.67391203602412397</v>
      </c>
      <c r="R608">
        <v>0.88896012146663494</v>
      </c>
      <c r="S608" t="s">
        <v>6893</v>
      </c>
      <c r="T608" t="s">
        <v>12568</v>
      </c>
      <c r="U608" t="s">
        <v>12568</v>
      </c>
      <c r="V608" t="s">
        <v>12568</v>
      </c>
      <c r="W608" t="s">
        <v>13164</v>
      </c>
      <c r="X608">
        <v>12</v>
      </c>
      <c r="Y608" t="s">
        <v>19394</v>
      </c>
      <c r="Z608" t="s">
        <v>25478</v>
      </c>
      <c r="AA608">
        <v>0.81542302820038404</v>
      </c>
      <c r="AB608" t="str">
        <f>HYPERLINK("Melting_Curves/meltCurve_H0Y412_PRRC2B.pdf", "Melting_Curves/meltCurve_H0Y412_PRRC2B.pdf")</f>
        <v>Melting_Curves/meltCurve_H0Y412_PRRC2B.pdf</v>
      </c>
    </row>
    <row r="609" spans="1:28" x14ac:dyDescent="0.25">
      <c r="A609" t="s">
        <v>613</v>
      </c>
      <c r="B609">
        <v>0.99352677808782597</v>
      </c>
      <c r="C609">
        <v>0.924936998639456</v>
      </c>
      <c r="D609">
        <v>1.07120026775097</v>
      </c>
      <c r="E609">
        <v>1.0319774723716999</v>
      </c>
      <c r="F609">
        <v>1.0074258004169001</v>
      </c>
      <c r="G609">
        <v>0.90275265241652103</v>
      </c>
      <c r="H609">
        <v>1.02676731687668</v>
      </c>
      <c r="I609">
        <v>0.92582413766428695</v>
      </c>
      <c r="J609">
        <v>1.1138657617168</v>
      </c>
      <c r="K609">
        <v>0.70199937338315599</v>
      </c>
      <c r="L609">
        <v>15000</v>
      </c>
      <c r="M609">
        <v>213.42880216212799</v>
      </c>
      <c r="Q609">
        <v>0</v>
      </c>
      <c r="R609">
        <v>0.66354113256931302</v>
      </c>
      <c r="S609" t="s">
        <v>6894</v>
      </c>
      <c r="T609" t="s">
        <v>12568</v>
      </c>
      <c r="U609" t="s">
        <v>12568</v>
      </c>
      <c r="V609" t="s">
        <v>12568</v>
      </c>
      <c r="W609" t="s">
        <v>13165</v>
      </c>
      <c r="X609">
        <v>1</v>
      </c>
      <c r="Y609" t="s">
        <v>19395</v>
      </c>
      <c r="Z609" t="s">
        <v>25479</v>
      </c>
      <c r="AA609">
        <v>0.99618620445370776</v>
      </c>
      <c r="AB609" t="str">
        <f>HYPERLINK("Melting_Curves/meltCurve_H0Y459_NCOR1.pdf", "Melting_Curves/meltCurve_H0Y459_NCOR1.pdf")</f>
        <v>Melting_Curves/meltCurve_H0Y459_NCOR1.pdf</v>
      </c>
    </row>
    <row r="610" spans="1:28" x14ac:dyDescent="0.25">
      <c r="A610" t="s">
        <v>614</v>
      </c>
      <c r="B610">
        <v>0.99352677808782597</v>
      </c>
      <c r="C610">
        <v>0.85698865741689101</v>
      </c>
      <c r="D610">
        <v>0.76095725406429704</v>
      </c>
      <c r="E610">
        <v>0.47112996204311602</v>
      </c>
      <c r="F610">
        <v>0.340112093050429</v>
      </c>
      <c r="G610">
        <v>0.24005508992970601</v>
      </c>
      <c r="H610">
        <v>0.15947445207941999</v>
      </c>
      <c r="I610">
        <v>0.13994128046676499</v>
      </c>
      <c r="J610">
        <v>0.14943574550903799</v>
      </c>
      <c r="K610">
        <v>0.10885453180766</v>
      </c>
      <c r="L610">
        <v>676.561161188298</v>
      </c>
      <c r="M610">
        <v>13.834407579942701</v>
      </c>
      <c r="N610">
        <v>49.8186214918057</v>
      </c>
      <c r="O610">
        <v>47.916405207671602</v>
      </c>
      <c r="P610">
        <v>-6.4095780931188603E-2</v>
      </c>
      <c r="Q610">
        <v>0.112123116128113</v>
      </c>
      <c r="R610">
        <v>0.99613897873494095</v>
      </c>
      <c r="S610" t="s">
        <v>6895</v>
      </c>
      <c r="T610" t="s">
        <v>12568</v>
      </c>
      <c r="U610" t="s">
        <v>12568</v>
      </c>
      <c r="V610" t="s">
        <v>12568</v>
      </c>
      <c r="W610" t="s">
        <v>13166</v>
      </c>
      <c r="X610">
        <v>1</v>
      </c>
      <c r="Y610" t="s">
        <v>19396</v>
      </c>
      <c r="Z610" t="s">
        <v>25480</v>
      </c>
      <c r="AA610">
        <v>0.4012110296521339</v>
      </c>
      <c r="AB610" t="str">
        <f>HYPERLINK("Melting_Curves/meltCurve_H0Y498_EDEM3.pdf", "Melting_Curves/meltCurve_H0Y498_EDEM3.pdf")</f>
        <v>Melting_Curves/meltCurve_H0Y498_EDEM3.pdf</v>
      </c>
    </row>
    <row r="611" spans="1:28" x14ac:dyDescent="0.25">
      <c r="A611" t="s">
        <v>615</v>
      </c>
      <c r="B611">
        <v>0.99352677808782597</v>
      </c>
      <c r="C611">
        <v>0.933530885692053</v>
      </c>
      <c r="D611">
        <v>0.93974267755447305</v>
      </c>
      <c r="E611">
        <v>1.14828220725427</v>
      </c>
      <c r="F611">
        <v>0.93317435331867105</v>
      </c>
      <c r="G611">
        <v>0.47627147681464799</v>
      </c>
      <c r="H611">
        <v>0.24919694714746601</v>
      </c>
      <c r="I611">
        <v>0.24204104563172299</v>
      </c>
      <c r="J611">
        <v>0.22424042824264601</v>
      </c>
      <c r="K611">
        <v>0.24998598447703901</v>
      </c>
      <c r="L611">
        <v>2621.7953334122199</v>
      </c>
      <c r="M611">
        <v>46.797034000800501</v>
      </c>
      <c r="N611">
        <v>56.804472587255397</v>
      </c>
      <c r="O611">
        <v>55.9228039663451</v>
      </c>
      <c r="P611">
        <v>-0.159630881874607</v>
      </c>
      <c r="Q611">
        <v>0.23696054884690099</v>
      </c>
      <c r="R611">
        <v>0.97587324358860095</v>
      </c>
      <c r="S611" t="s">
        <v>6896</v>
      </c>
      <c r="T611" t="s">
        <v>12568</v>
      </c>
      <c r="U611" t="s">
        <v>12568</v>
      </c>
      <c r="V611" t="s">
        <v>12568</v>
      </c>
      <c r="W611" t="s">
        <v>13167</v>
      </c>
      <c r="X611">
        <v>12</v>
      </c>
      <c r="Y611" t="s">
        <v>19397</v>
      </c>
      <c r="Z611" t="s">
        <v>25481</v>
      </c>
      <c r="AA611">
        <v>0.64669613100486378</v>
      </c>
      <c r="AB611" t="str">
        <f>HYPERLINK("Melting_Curves/meltCurve_H0Y4R1_IMPDH2.pdf", "Melting_Curves/meltCurve_H0Y4R1_IMPDH2.pdf")</f>
        <v>Melting_Curves/meltCurve_H0Y4R1_IMPDH2.pdf</v>
      </c>
    </row>
    <row r="612" spans="1:28" x14ac:dyDescent="0.25">
      <c r="A612" t="s">
        <v>616</v>
      </c>
      <c r="B612">
        <v>0.99352677808782597</v>
      </c>
      <c r="C612">
        <v>0.93888777446954197</v>
      </c>
      <c r="D612">
        <v>0.93951313295085104</v>
      </c>
      <c r="E612">
        <v>0.915938473319164</v>
      </c>
      <c r="F612">
        <v>0.92861171871287995</v>
      </c>
      <c r="G612">
        <v>0.75483063338337297</v>
      </c>
      <c r="H612">
        <v>0.57087724924235805</v>
      </c>
      <c r="I612">
        <v>0.64136763408772102</v>
      </c>
      <c r="J612">
        <v>0.66025719093172797</v>
      </c>
      <c r="K612">
        <v>0.52534680341057405</v>
      </c>
      <c r="L612">
        <v>1024.8828650246701</v>
      </c>
      <c r="M612">
        <v>18.335969544564598</v>
      </c>
      <c r="O612">
        <v>55.242555358782802</v>
      </c>
      <c r="P612">
        <v>-3.58423795727906E-2</v>
      </c>
      <c r="Q612">
        <v>0.56807654832128296</v>
      </c>
      <c r="R612">
        <v>0.91164558445830601</v>
      </c>
      <c r="S612" t="s">
        <v>6897</v>
      </c>
      <c r="T612" t="s">
        <v>12568</v>
      </c>
      <c r="U612" t="s">
        <v>12568</v>
      </c>
      <c r="V612" t="s">
        <v>12568</v>
      </c>
      <c r="W612" t="s">
        <v>13168</v>
      </c>
      <c r="X612">
        <v>9</v>
      </c>
      <c r="Y612" t="s">
        <v>19398</v>
      </c>
      <c r="Z612" t="s">
        <v>25482</v>
      </c>
      <c r="AA612">
        <v>0.80317778306324905</v>
      </c>
      <c r="AB612" t="str">
        <f>HYPERLINK("Melting_Curves/meltCurve_H0Y4V9_LARP4B.pdf", "Melting_Curves/meltCurve_H0Y4V9_LARP4B.pdf")</f>
        <v>Melting_Curves/meltCurve_H0Y4V9_LARP4B.pdf</v>
      </c>
    </row>
    <row r="613" spans="1:28" x14ac:dyDescent="0.25">
      <c r="A613" t="s">
        <v>617</v>
      </c>
      <c r="B613">
        <v>0.99352677808782597</v>
      </c>
      <c r="C613">
        <v>0.89547384327592805</v>
      </c>
      <c r="D613">
        <v>1.0867570825642701</v>
      </c>
      <c r="E613">
        <v>1.1176024559031501</v>
      </c>
      <c r="F613">
        <v>0.93032713650652998</v>
      </c>
      <c r="G613">
        <v>0.56345751462008398</v>
      </c>
      <c r="H613">
        <v>0.27790670914020699</v>
      </c>
      <c r="I613">
        <v>0.225191412615658</v>
      </c>
      <c r="J613">
        <v>9.6920600436928406E-2</v>
      </c>
      <c r="K613">
        <v>0.16688257203437201</v>
      </c>
      <c r="L613">
        <v>1785.66022196726</v>
      </c>
      <c r="M613">
        <v>31.299330579928199</v>
      </c>
      <c r="N613">
        <v>57.733797452347297</v>
      </c>
      <c r="O613">
        <v>56.819695400051103</v>
      </c>
      <c r="P613">
        <v>-0.116412842920163</v>
      </c>
      <c r="Q613">
        <v>0.15467765780609999</v>
      </c>
      <c r="R613">
        <v>0.97243480175552399</v>
      </c>
      <c r="S613" t="s">
        <v>6898</v>
      </c>
      <c r="T613" t="s">
        <v>12568</v>
      </c>
      <c r="U613" t="s">
        <v>12568</v>
      </c>
      <c r="V613" t="s">
        <v>12568</v>
      </c>
      <c r="W613" t="s">
        <v>13169</v>
      </c>
      <c r="X613">
        <v>6</v>
      </c>
      <c r="Y613" t="s">
        <v>19399</v>
      </c>
      <c r="Z613" t="s">
        <v>25483</v>
      </c>
      <c r="AA613">
        <v>0.64035262170482932</v>
      </c>
      <c r="AB613" t="str">
        <f>HYPERLINK("Melting_Curves/meltCurve_H0Y4W2_TRRAP.pdf", "Melting_Curves/meltCurve_H0Y4W2_TRRAP.pdf")</f>
        <v>Melting_Curves/meltCurve_H0Y4W2_TRRAP.pdf</v>
      </c>
    </row>
    <row r="614" spans="1:28" x14ac:dyDescent="0.25">
      <c r="A614" t="s">
        <v>618</v>
      </c>
      <c r="B614">
        <v>0.99352677808782597</v>
      </c>
      <c r="C614">
        <v>0.87305890054677104</v>
      </c>
      <c r="D614">
        <v>0.90245310543057</v>
      </c>
      <c r="E614">
        <v>0.65223014496631604</v>
      </c>
      <c r="F614">
        <v>0.63570934574534599</v>
      </c>
      <c r="G614">
        <v>0.49041719989890498</v>
      </c>
      <c r="H614">
        <v>0.401190687051102</v>
      </c>
      <c r="I614">
        <v>0.44160270604747898</v>
      </c>
      <c r="J614">
        <v>0.400405333969168</v>
      </c>
      <c r="K614">
        <v>0.37606726454328898</v>
      </c>
      <c r="L614">
        <v>587.08310035809995</v>
      </c>
      <c r="M614">
        <v>11.606429460993899</v>
      </c>
      <c r="N614">
        <v>56.7888895721103</v>
      </c>
      <c r="O614">
        <v>49.150942899303899</v>
      </c>
      <c r="P614">
        <v>-3.7830083871339598E-2</v>
      </c>
      <c r="Q614">
        <v>0.35936399974828998</v>
      </c>
      <c r="R614">
        <v>0.97349409008337195</v>
      </c>
      <c r="S614" t="s">
        <v>6899</v>
      </c>
      <c r="T614" t="s">
        <v>12568</v>
      </c>
      <c r="U614" t="s">
        <v>12568</v>
      </c>
      <c r="V614" t="s">
        <v>12568</v>
      </c>
      <c r="W614" t="s">
        <v>13170</v>
      </c>
      <c r="X614">
        <v>9</v>
      </c>
      <c r="Y614" t="s">
        <v>19400</v>
      </c>
      <c r="Z614" t="s">
        <v>25484</v>
      </c>
      <c r="AA614">
        <v>0.60785195581711071</v>
      </c>
      <c r="AB614" t="str">
        <f>HYPERLINK("Melting_Curves/meltCurve_H0Y507_SH3PXD2A.pdf", "Melting_Curves/meltCurve_H0Y507_SH3PXD2A.pdf")</f>
        <v>Melting_Curves/meltCurve_H0Y507_SH3PXD2A.pdf</v>
      </c>
    </row>
    <row r="615" spans="1:28" x14ac:dyDescent="0.25">
      <c r="A615" t="s">
        <v>619</v>
      </c>
      <c r="B615">
        <v>0.99352677808782597</v>
      </c>
      <c r="C615">
        <v>0.88544852133391905</v>
      </c>
      <c r="D615">
        <v>0.85615483102067702</v>
      </c>
      <c r="E615">
        <v>0.684943849583172</v>
      </c>
      <c r="F615">
        <v>0.58441783904113997</v>
      </c>
      <c r="G615">
        <v>0.43545111524463997</v>
      </c>
      <c r="H615">
        <v>0.35812136123975802</v>
      </c>
      <c r="I615">
        <v>0.35189477205342401</v>
      </c>
      <c r="J615">
        <v>0.34925615403785498</v>
      </c>
      <c r="K615">
        <v>0.31003182585341699</v>
      </c>
      <c r="L615">
        <v>586.113131196582</v>
      </c>
      <c r="M615">
        <v>11.482498994879499</v>
      </c>
      <c r="N615">
        <v>55.072760134952702</v>
      </c>
      <c r="O615">
        <v>49.569478056109403</v>
      </c>
      <c r="P615">
        <v>-4.1468151843421903E-2</v>
      </c>
      <c r="Q615">
        <v>0.28413949976449099</v>
      </c>
      <c r="R615">
        <v>0.99348100950311602</v>
      </c>
      <c r="S615" t="s">
        <v>6900</v>
      </c>
      <c r="T615" t="s">
        <v>12568</v>
      </c>
      <c r="U615" t="s">
        <v>12568</v>
      </c>
      <c r="V615" t="s">
        <v>12568</v>
      </c>
      <c r="W615" t="s">
        <v>13171</v>
      </c>
      <c r="X615">
        <v>13</v>
      </c>
      <c r="Y615" t="s">
        <v>19401</v>
      </c>
      <c r="Z615" t="s">
        <v>25485</v>
      </c>
      <c r="AA615">
        <v>0.57244120120868069</v>
      </c>
      <c r="AB615" t="str">
        <f>HYPERLINK("Melting_Curves/meltCurve_H0Y5B0_EPB41L2.pdf", "Melting_Curves/meltCurve_H0Y5B0_EPB41L2.pdf")</f>
        <v>Melting_Curves/meltCurve_H0Y5B0_EPB41L2.pdf</v>
      </c>
    </row>
    <row r="616" spans="1:28" x14ac:dyDescent="0.25">
      <c r="A616" t="s">
        <v>620</v>
      </c>
      <c r="B616">
        <v>0.99352677808782597</v>
      </c>
      <c r="C616">
        <v>0.88342818248203903</v>
      </c>
      <c r="D616">
        <v>0.96472060892997502</v>
      </c>
      <c r="E616">
        <v>0.386563460127064</v>
      </c>
      <c r="F616">
        <v>0.329323500620952</v>
      </c>
      <c r="G616">
        <v>0.20328101583602301</v>
      </c>
      <c r="H616">
        <v>0.152686686521359</v>
      </c>
      <c r="I616">
        <v>0.146032946497483</v>
      </c>
      <c r="J616">
        <v>0.148261499126665</v>
      </c>
      <c r="K616">
        <v>0.14729466424909901</v>
      </c>
      <c r="L616">
        <v>1507.9472026665701</v>
      </c>
      <c r="M616">
        <v>30.838567832622601</v>
      </c>
      <c r="N616">
        <v>49.551827448852102</v>
      </c>
      <c r="O616">
        <v>48.693871862447999</v>
      </c>
      <c r="P616">
        <v>-0.13186832876250301</v>
      </c>
      <c r="Q616">
        <v>0.167128610536493</v>
      </c>
      <c r="R616">
        <v>0.974539080401289</v>
      </c>
      <c r="S616" t="s">
        <v>6901</v>
      </c>
      <c r="T616" t="s">
        <v>12568</v>
      </c>
      <c r="U616" t="s">
        <v>12568</v>
      </c>
      <c r="V616" t="s">
        <v>12568</v>
      </c>
      <c r="W616" t="s">
        <v>13172</v>
      </c>
      <c r="X616">
        <v>3</v>
      </c>
      <c r="Y616" t="s">
        <v>19402</v>
      </c>
      <c r="Z616" t="s">
        <v>25486</v>
      </c>
      <c r="AA616">
        <v>0.41894779986093611</v>
      </c>
      <c r="AB616" t="str">
        <f>HYPERLINK("Melting_Curves/meltCurve_H0Y5B5_PBRM1.pdf", "Melting_Curves/meltCurve_H0Y5B5_PBRM1.pdf")</f>
        <v>Melting_Curves/meltCurve_H0Y5B5_PBRM1.pdf</v>
      </c>
    </row>
    <row r="617" spans="1:28" x14ac:dyDescent="0.25">
      <c r="A617" t="s">
        <v>621</v>
      </c>
      <c r="B617">
        <v>0.99352677808782597</v>
      </c>
      <c r="C617">
        <v>0.88281497296061096</v>
      </c>
      <c r="D617">
        <v>0.79119644153017599</v>
      </c>
      <c r="E617">
        <v>0.63353279716314304</v>
      </c>
      <c r="F617">
        <v>0.55282040482579198</v>
      </c>
      <c r="G617">
        <v>0.195414358438498</v>
      </c>
      <c r="H617">
        <v>0.151984545764487</v>
      </c>
      <c r="I617">
        <v>0.15891196287801099</v>
      </c>
      <c r="J617">
        <v>0.14871804927968399</v>
      </c>
      <c r="K617">
        <v>0.130900782656759</v>
      </c>
      <c r="L617">
        <v>630.53549442978897</v>
      </c>
      <c r="M617">
        <v>12.242702657512099</v>
      </c>
      <c r="N617">
        <v>52.1652659099638</v>
      </c>
      <c r="O617">
        <v>50.186654198966998</v>
      </c>
      <c r="P617">
        <v>-5.6608779882033E-2</v>
      </c>
      <c r="Q617">
        <v>7.1978892476137799E-2</v>
      </c>
      <c r="R617">
        <v>0.97688073480679505</v>
      </c>
      <c r="S617" t="s">
        <v>6902</v>
      </c>
      <c r="T617" t="s">
        <v>12568</v>
      </c>
      <c r="U617" t="s">
        <v>12568</v>
      </c>
      <c r="V617" t="s">
        <v>12568</v>
      </c>
      <c r="W617" t="s">
        <v>13173</v>
      </c>
      <c r="X617">
        <v>11</v>
      </c>
      <c r="Y617" t="s">
        <v>19241</v>
      </c>
      <c r="Z617" t="s">
        <v>25487</v>
      </c>
      <c r="AA617">
        <v>0.45635454039142243</v>
      </c>
      <c r="AB617" t="str">
        <f>HYPERLINK("Melting_Curves/meltCurve_H0Y5C2_ATE1.pdf", "Melting_Curves/meltCurve_H0Y5C2_ATE1.pdf")</f>
        <v>Melting_Curves/meltCurve_H0Y5C2_ATE1.pdf</v>
      </c>
    </row>
    <row r="618" spans="1:28" x14ac:dyDescent="0.25">
      <c r="A618" t="s">
        <v>622</v>
      </c>
      <c r="B618">
        <v>0.99352677808782597</v>
      </c>
      <c r="C618">
        <v>0.90497400291084296</v>
      </c>
      <c r="D618">
        <v>0.98164619341923398</v>
      </c>
      <c r="E618">
        <v>0.90265265053001098</v>
      </c>
      <c r="F618">
        <v>0.79622479372573696</v>
      </c>
      <c r="G618">
        <v>0.67185834167766401</v>
      </c>
      <c r="H618">
        <v>0.47074345143904001</v>
      </c>
      <c r="I618">
        <v>0.37349023642453699</v>
      </c>
      <c r="J618">
        <v>0.32098610928613203</v>
      </c>
      <c r="K618">
        <v>0.19709707955477701</v>
      </c>
      <c r="L618">
        <v>589.73957481529999</v>
      </c>
      <c r="M618">
        <v>9.7051907855930697</v>
      </c>
      <c r="N618">
        <v>60.7653579114249</v>
      </c>
      <c r="O618">
        <v>58.353795965685102</v>
      </c>
      <c r="P618">
        <v>-4.1601760658067401E-2</v>
      </c>
      <c r="Q618">
        <v>0</v>
      </c>
      <c r="R618">
        <v>0.98864349292368503</v>
      </c>
      <c r="S618" t="s">
        <v>6903</v>
      </c>
      <c r="T618" t="s">
        <v>12568</v>
      </c>
      <c r="U618" t="s">
        <v>12568</v>
      </c>
      <c r="V618" t="s">
        <v>12568</v>
      </c>
      <c r="W618" t="s">
        <v>13174</v>
      </c>
      <c r="X618">
        <v>4</v>
      </c>
      <c r="Y618" t="s">
        <v>19403</v>
      </c>
      <c r="Z618" t="s">
        <v>25488</v>
      </c>
      <c r="AA618">
        <v>0.68050708687271277</v>
      </c>
      <c r="AB618" t="str">
        <f>HYPERLINK("Melting_Curves/meltCurve_H0Y614_UFM1.pdf", "Melting_Curves/meltCurve_H0Y614_UFM1.pdf")</f>
        <v>Melting_Curves/meltCurve_H0Y614_UFM1.pdf</v>
      </c>
    </row>
    <row r="619" spans="1:28" x14ac:dyDescent="0.25">
      <c r="A619" t="s">
        <v>623</v>
      </c>
      <c r="B619">
        <v>0.99352677808782597</v>
      </c>
      <c r="C619">
        <v>1.0433030872040101</v>
      </c>
      <c r="D619">
        <v>1.079575232492</v>
      </c>
      <c r="E619">
        <v>0.94431757998760701</v>
      </c>
      <c r="F619">
        <v>0.77248577897763504</v>
      </c>
      <c r="G619">
        <v>0.71445639664204996</v>
      </c>
      <c r="H619">
        <v>0.56111330027196504</v>
      </c>
      <c r="I619">
        <v>0.49929535558300803</v>
      </c>
      <c r="J619">
        <v>0.59346237688120096</v>
      </c>
      <c r="K619">
        <v>0.582971500127617</v>
      </c>
      <c r="L619">
        <v>1235.4233108363501</v>
      </c>
      <c r="M619">
        <v>22.952711186484699</v>
      </c>
      <c r="O619">
        <v>53.4211487504692</v>
      </c>
      <c r="P619">
        <v>-4.7634461619373202E-2</v>
      </c>
      <c r="Q619">
        <v>0.55654221082719202</v>
      </c>
      <c r="R619">
        <v>0.94828805825206297</v>
      </c>
      <c r="S619" t="s">
        <v>6904</v>
      </c>
      <c r="T619" t="s">
        <v>12568</v>
      </c>
      <c r="U619" t="s">
        <v>12568</v>
      </c>
      <c r="V619" t="s">
        <v>12568</v>
      </c>
      <c r="W619" t="s">
        <v>13175</v>
      </c>
      <c r="X619">
        <v>13</v>
      </c>
      <c r="Y619" t="s">
        <v>19404</v>
      </c>
      <c r="Z619" t="s">
        <v>25489</v>
      </c>
      <c r="AA619">
        <v>0.76568096181899792</v>
      </c>
      <c r="AB619" t="str">
        <f>HYPERLINK("Melting_Curves/meltCurve_H0Y6A0_ARFGAP3.pdf", "Melting_Curves/meltCurve_H0Y6A0_ARFGAP3.pdf")</f>
        <v>Melting_Curves/meltCurve_H0Y6A0_ARFGAP3.pdf</v>
      </c>
    </row>
    <row r="620" spans="1:28" x14ac:dyDescent="0.25">
      <c r="A620" t="s">
        <v>624</v>
      </c>
      <c r="B620">
        <v>0.99352677808782597</v>
      </c>
      <c r="C620">
        <v>0.88969283797226795</v>
      </c>
      <c r="D620">
        <v>0.79181508472756501</v>
      </c>
      <c r="E620">
        <v>0.32595694978030698</v>
      </c>
      <c r="F620">
        <v>0.26114579405791999</v>
      </c>
      <c r="G620">
        <v>0.16879623786662801</v>
      </c>
      <c r="H620">
        <v>0.12585356417445001</v>
      </c>
      <c r="I620">
        <v>0.107122817180812</v>
      </c>
      <c r="J620">
        <v>0.104667247986259</v>
      </c>
      <c r="K620">
        <v>9.3859090364184203E-2</v>
      </c>
      <c r="L620">
        <v>1003.63852763753</v>
      </c>
      <c r="M620">
        <v>20.9022257489016</v>
      </c>
      <c r="N620">
        <v>48.600936197647101</v>
      </c>
      <c r="O620">
        <v>47.582858817808301</v>
      </c>
      <c r="P620">
        <v>-9.7607032447262598E-2</v>
      </c>
      <c r="Q620">
        <v>0.111234424882747</v>
      </c>
      <c r="R620">
        <v>0.99154151598754303</v>
      </c>
      <c r="S620" t="s">
        <v>6905</v>
      </c>
      <c r="T620" t="s">
        <v>12568</v>
      </c>
      <c r="U620" t="s">
        <v>12568</v>
      </c>
      <c r="V620" t="s">
        <v>12568</v>
      </c>
      <c r="W620" t="s">
        <v>13176</v>
      </c>
      <c r="X620">
        <v>9</v>
      </c>
      <c r="Y620" t="s">
        <v>19405</v>
      </c>
      <c r="Z620" t="s">
        <v>25490</v>
      </c>
      <c r="AA620">
        <v>0.36020616533222538</v>
      </c>
      <c r="AB620" t="str">
        <f>HYPERLINK("Melting_Curves/meltCurve_H0Y6C3_PYCRL.pdf", "Melting_Curves/meltCurve_H0Y6C3_PYCRL.pdf")</f>
        <v>Melting_Curves/meltCurve_H0Y6C3_PYCRL.pdf</v>
      </c>
    </row>
    <row r="621" spans="1:28" x14ac:dyDescent="0.25">
      <c r="A621" t="s">
        <v>625</v>
      </c>
      <c r="B621">
        <v>0.99352677808782597</v>
      </c>
      <c r="C621">
        <v>0.95654516179776194</v>
      </c>
      <c r="D621">
        <v>0.93940771311729099</v>
      </c>
      <c r="E621">
        <v>0.82617995227146601</v>
      </c>
      <c r="F621">
        <v>0.78651520815615095</v>
      </c>
      <c r="G621">
        <v>0.66933734223081698</v>
      </c>
      <c r="H621">
        <v>0.51837961073598904</v>
      </c>
      <c r="I621">
        <v>0.548585402840984</v>
      </c>
      <c r="J621">
        <v>0.59466732049996696</v>
      </c>
      <c r="K621">
        <v>0.47848701599425397</v>
      </c>
      <c r="L621">
        <v>626.25612151832001</v>
      </c>
      <c r="M621">
        <v>11.667057876254001</v>
      </c>
      <c r="O621">
        <v>52.173088297015703</v>
      </c>
      <c r="P621">
        <v>-2.91520984306083E-2</v>
      </c>
      <c r="Q621">
        <v>0.47868733044449502</v>
      </c>
      <c r="R621">
        <v>0.96603202412439504</v>
      </c>
      <c r="S621" t="s">
        <v>6906</v>
      </c>
      <c r="T621" t="s">
        <v>12568</v>
      </c>
      <c r="U621" t="s">
        <v>12568</v>
      </c>
      <c r="V621" t="s">
        <v>12568</v>
      </c>
      <c r="W621" t="s">
        <v>13177</v>
      </c>
      <c r="X621">
        <v>4</v>
      </c>
      <c r="Y621" t="s">
        <v>19406</v>
      </c>
      <c r="Z621" t="s">
        <v>25491</v>
      </c>
      <c r="AA621">
        <v>0.73077415995640771</v>
      </c>
      <c r="AB621" t="str">
        <f>HYPERLINK("Melting_Curves/meltCurve_H0Y6F0_EFCAB2.pdf", "Melting_Curves/meltCurve_H0Y6F0_EFCAB2.pdf")</f>
        <v>Melting_Curves/meltCurve_H0Y6F0_EFCAB2.pdf</v>
      </c>
    </row>
    <row r="622" spans="1:28" x14ac:dyDescent="0.25">
      <c r="A622" t="s">
        <v>626</v>
      </c>
      <c r="B622">
        <v>0.99352677808782597</v>
      </c>
      <c r="C622">
        <v>1.10833000481612</v>
      </c>
      <c r="D622">
        <v>1.1908170780985099</v>
      </c>
      <c r="E622">
        <v>1.23653075899426</v>
      </c>
      <c r="F622">
        <v>1.2904425384065099</v>
      </c>
      <c r="G622">
        <v>0.91691651095341498</v>
      </c>
      <c r="H622">
        <v>1.08166223329153</v>
      </c>
      <c r="I622">
        <v>0.97622710878148999</v>
      </c>
      <c r="J622">
        <v>1.01451972432682</v>
      </c>
      <c r="K622">
        <v>1.08906737891456</v>
      </c>
      <c r="L622">
        <v>1.66841756206261</v>
      </c>
      <c r="M622">
        <v>12.7231241050499</v>
      </c>
      <c r="Q622">
        <v>1.0898038029338699</v>
      </c>
      <c r="R622">
        <v>-6.1218006219832002E-9</v>
      </c>
      <c r="S622" t="s">
        <v>6907</v>
      </c>
      <c r="T622" t="s">
        <v>12568</v>
      </c>
      <c r="U622" t="s">
        <v>12568</v>
      </c>
      <c r="V622" t="s">
        <v>12568</v>
      </c>
      <c r="W622" t="s">
        <v>12866</v>
      </c>
      <c r="X622">
        <v>1</v>
      </c>
      <c r="Z622" t="s">
        <v>25492</v>
      </c>
      <c r="AA622">
        <v>1.0898035267281621</v>
      </c>
      <c r="AB622" t="str">
        <f>HYPERLINK("Melting_Curves/meltCurve_H0Y7D4_.pdf", "Melting_Curves/meltCurve_H0Y7D4_.pdf")</f>
        <v>Melting_Curves/meltCurve_H0Y7D4_.pdf</v>
      </c>
    </row>
    <row r="623" spans="1:28" x14ac:dyDescent="0.25">
      <c r="A623" t="s">
        <v>627</v>
      </c>
      <c r="B623">
        <v>0.99352677808782597</v>
      </c>
      <c r="C623">
        <v>0.808448177753748</v>
      </c>
      <c r="D623">
        <v>0.83643471811234404</v>
      </c>
      <c r="E623">
        <v>0.35980674846157801</v>
      </c>
      <c r="F623">
        <v>0.29693255562391202</v>
      </c>
      <c r="G623">
        <v>0.19473979004943201</v>
      </c>
      <c r="H623">
        <v>0.15501458872125101</v>
      </c>
      <c r="I623">
        <v>0.12695190029661699</v>
      </c>
      <c r="J623">
        <v>9.0165963423187195E-2</v>
      </c>
      <c r="K623">
        <v>8.3507923377122498E-2</v>
      </c>
      <c r="L623">
        <v>798.51493917165499</v>
      </c>
      <c r="M623">
        <v>16.487215146358601</v>
      </c>
      <c r="N623">
        <v>49.1075705554371</v>
      </c>
      <c r="O623">
        <v>47.736680953870497</v>
      </c>
      <c r="P623">
        <v>-7.7593301406678805E-2</v>
      </c>
      <c r="Q623">
        <v>0.101415626108872</v>
      </c>
      <c r="R623">
        <v>0.97395118225315702</v>
      </c>
      <c r="S623" t="s">
        <v>6908</v>
      </c>
      <c r="T623" t="s">
        <v>12568</v>
      </c>
      <c r="U623" t="s">
        <v>12568</v>
      </c>
      <c r="V623" t="s">
        <v>12568</v>
      </c>
      <c r="W623" t="s">
        <v>13178</v>
      </c>
      <c r="X623">
        <v>1</v>
      </c>
      <c r="Y623" t="s">
        <v>19407</v>
      </c>
      <c r="Z623" t="s">
        <v>25493</v>
      </c>
      <c r="AA623">
        <v>0.37281278158667519</v>
      </c>
      <c r="AB623" t="str">
        <f>HYPERLINK("Melting_Curves/meltCurve_H0Y7F8_MAPKAP1.pdf", "Melting_Curves/meltCurve_H0Y7F8_MAPKAP1.pdf")</f>
        <v>Melting_Curves/meltCurve_H0Y7F8_MAPKAP1.pdf</v>
      </c>
    </row>
    <row r="624" spans="1:28" x14ac:dyDescent="0.25">
      <c r="A624" t="s">
        <v>628</v>
      </c>
      <c r="B624">
        <v>0.99352677808782597</v>
      </c>
      <c r="C624">
        <v>0.91397290041461099</v>
      </c>
      <c r="D624">
        <v>0.72174614764224898</v>
      </c>
      <c r="E624">
        <v>0.322977757092693</v>
      </c>
      <c r="F624">
        <v>0.270690248159771</v>
      </c>
      <c r="G624">
        <v>0.16586548093739101</v>
      </c>
      <c r="H624">
        <v>0.101016351883616</v>
      </c>
      <c r="I624">
        <v>0.116765162999786</v>
      </c>
      <c r="J624">
        <v>0.13383769224016201</v>
      </c>
      <c r="K624">
        <v>0.118109883001167</v>
      </c>
      <c r="L624">
        <v>966.05552246598904</v>
      </c>
      <c r="M624">
        <v>20.2924895475597</v>
      </c>
      <c r="N624">
        <v>48.267904090439401</v>
      </c>
      <c r="O624">
        <v>47.151477822824901</v>
      </c>
      <c r="P624">
        <v>-9.4536950245444798E-2</v>
      </c>
      <c r="Q624">
        <v>0.121365839222993</v>
      </c>
      <c r="R624">
        <v>0.99485654855372896</v>
      </c>
      <c r="S624" t="s">
        <v>6909</v>
      </c>
      <c r="T624" t="s">
        <v>12568</v>
      </c>
      <c r="U624" t="s">
        <v>12568</v>
      </c>
      <c r="V624" t="s">
        <v>12568</v>
      </c>
      <c r="W624" t="s">
        <v>13179</v>
      </c>
      <c r="X624">
        <v>10</v>
      </c>
      <c r="Y624" t="s">
        <v>19408</v>
      </c>
      <c r="Z624" t="s">
        <v>25494</v>
      </c>
      <c r="AA624">
        <v>0.3563608142902937</v>
      </c>
      <c r="AB624" t="str">
        <f>HYPERLINK("Melting_Curves/meltCurve_H0Y9S9_PPIP5K2.pdf", "Melting_Curves/meltCurve_H0Y9S9_PPIP5K2.pdf")</f>
        <v>Melting_Curves/meltCurve_H0Y9S9_PPIP5K2.pdf</v>
      </c>
    </row>
    <row r="625" spans="1:28" x14ac:dyDescent="0.25">
      <c r="A625" t="s">
        <v>629</v>
      </c>
      <c r="B625">
        <v>0.99352677808782597</v>
      </c>
      <c r="C625">
        <v>1.0383635587633</v>
      </c>
      <c r="D625">
        <v>0.99627791489908202</v>
      </c>
      <c r="E625">
        <v>0.99063792372759096</v>
      </c>
      <c r="F625">
        <v>0.90525990351150798</v>
      </c>
      <c r="G625">
        <v>0.67751914273903202</v>
      </c>
      <c r="H625">
        <v>0.48950832314342202</v>
      </c>
      <c r="I625">
        <v>0.43158722309423098</v>
      </c>
      <c r="J625">
        <v>0.43174224324000698</v>
      </c>
      <c r="K625">
        <v>0.33905148501365101</v>
      </c>
      <c r="L625">
        <v>1268.6592951287801</v>
      </c>
      <c r="M625">
        <v>22.249046699685898</v>
      </c>
      <c r="N625">
        <v>60.722579847320503</v>
      </c>
      <c r="O625">
        <v>56.5661971506402</v>
      </c>
      <c r="P625">
        <v>-6.1832627716520899E-2</v>
      </c>
      <c r="Q625">
        <v>0.37119792458981399</v>
      </c>
      <c r="R625">
        <v>0.99271914359125202</v>
      </c>
      <c r="S625" t="s">
        <v>6910</v>
      </c>
      <c r="T625" t="s">
        <v>12568</v>
      </c>
      <c r="U625" t="s">
        <v>12568</v>
      </c>
      <c r="V625" t="s">
        <v>12568</v>
      </c>
      <c r="W625" t="s">
        <v>13180</v>
      </c>
      <c r="X625">
        <v>1</v>
      </c>
      <c r="Y625" t="s">
        <v>19409</v>
      </c>
      <c r="Z625" t="s">
        <v>25495</v>
      </c>
      <c r="AA625">
        <v>0.73466566531605015</v>
      </c>
      <c r="AB625" t="str">
        <f>HYPERLINK("Melting_Curves/meltCurve_H0Y9V2_UBE2B.pdf", "Melting_Curves/meltCurve_H0Y9V2_UBE2B.pdf")</f>
        <v>Melting_Curves/meltCurve_H0Y9V2_UBE2B.pdf</v>
      </c>
    </row>
    <row r="626" spans="1:28" x14ac:dyDescent="0.25">
      <c r="A626" t="s">
        <v>630</v>
      </c>
      <c r="B626">
        <v>0.99352677808782597</v>
      </c>
      <c r="C626">
        <v>1.0611668414769999</v>
      </c>
      <c r="D626">
        <v>0.98401111980377998</v>
      </c>
      <c r="E626">
        <v>0.87369116236226296</v>
      </c>
      <c r="F626">
        <v>0.71490056710105199</v>
      </c>
      <c r="G626">
        <v>0.62210673928793203</v>
      </c>
      <c r="H626">
        <v>0.52994502950079003</v>
      </c>
      <c r="I626">
        <v>0.54703060976192497</v>
      </c>
      <c r="J626">
        <v>0.55293959377031798</v>
      </c>
      <c r="K626">
        <v>0.449859341514039</v>
      </c>
      <c r="L626">
        <v>1030.5777726583501</v>
      </c>
      <c r="M626">
        <v>19.576555374803299</v>
      </c>
      <c r="O626">
        <v>52.103384167400002</v>
      </c>
      <c r="P626">
        <v>-4.6221411581586901E-2</v>
      </c>
      <c r="Q626">
        <v>0.50794067572427604</v>
      </c>
      <c r="R626">
        <v>0.97457912025844495</v>
      </c>
      <c r="S626" t="s">
        <v>6911</v>
      </c>
      <c r="T626" t="s">
        <v>12568</v>
      </c>
      <c r="U626" t="s">
        <v>12568</v>
      </c>
      <c r="V626" t="s">
        <v>12568</v>
      </c>
      <c r="W626" t="s">
        <v>13181</v>
      </c>
      <c r="X626">
        <v>3</v>
      </c>
      <c r="Y626" t="s">
        <v>19410</v>
      </c>
      <c r="Z626" t="s">
        <v>25496</v>
      </c>
      <c r="AA626">
        <v>0.72236037882423199</v>
      </c>
      <c r="AB626" t="str">
        <f>HYPERLINK("Melting_Curves/meltCurve_H0YA52_PCBD2.pdf", "Melting_Curves/meltCurve_H0YA52_PCBD2.pdf")</f>
        <v>Melting_Curves/meltCurve_H0YA52_PCBD2.pdf</v>
      </c>
    </row>
    <row r="627" spans="1:28" x14ac:dyDescent="0.25">
      <c r="A627" t="s">
        <v>631</v>
      </c>
      <c r="B627">
        <v>0.99352677808782597</v>
      </c>
      <c r="C627">
        <v>0.94623252748961895</v>
      </c>
      <c r="D627">
        <v>0.90846728670812404</v>
      </c>
      <c r="E627">
        <v>0.82839973571034298</v>
      </c>
      <c r="F627">
        <v>0.70490414110761501</v>
      </c>
      <c r="G627">
        <v>0.66747171506149905</v>
      </c>
      <c r="H627">
        <v>0.61947039276760496</v>
      </c>
      <c r="I627">
        <v>0.67873306368945996</v>
      </c>
      <c r="J627">
        <v>0.64882268224664696</v>
      </c>
      <c r="K627">
        <v>0.56877502510435995</v>
      </c>
      <c r="L627">
        <v>687.44559272116101</v>
      </c>
      <c r="M627">
        <v>13.7706870771627</v>
      </c>
      <c r="O627">
        <v>48.903510869604297</v>
      </c>
      <c r="P627">
        <v>-2.7449752081830901E-2</v>
      </c>
      <c r="Q627">
        <v>0.61012844200196903</v>
      </c>
      <c r="R627">
        <v>0.96179608978737896</v>
      </c>
      <c r="S627" t="s">
        <v>6912</v>
      </c>
      <c r="T627" t="s">
        <v>12568</v>
      </c>
      <c r="U627" t="s">
        <v>12568</v>
      </c>
      <c r="V627" t="s">
        <v>12568</v>
      </c>
      <c r="W627" t="s">
        <v>13182</v>
      </c>
      <c r="X627">
        <v>1</v>
      </c>
      <c r="Y627" t="s">
        <v>19411</v>
      </c>
      <c r="Z627" t="s">
        <v>25497</v>
      </c>
      <c r="AA627">
        <v>0.74987772206572889</v>
      </c>
      <c r="AB627" t="str">
        <f>HYPERLINK("Melting_Curves/meltCurve_H0YA59_STOX2.pdf", "Melting_Curves/meltCurve_H0YA59_STOX2.pdf")</f>
        <v>Melting_Curves/meltCurve_H0YA59_STOX2.pdf</v>
      </c>
    </row>
    <row r="628" spans="1:28" x14ac:dyDescent="0.25">
      <c r="A628" t="s">
        <v>632</v>
      </c>
      <c r="B628">
        <v>0.99352677808782597</v>
      </c>
      <c r="C628">
        <v>0.99187080607154399</v>
      </c>
      <c r="D628">
        <v>0.84765864551650405</v>
      </c>
      <c r="E628">
        <v>0.71393911915992703</v>
      </c>
      <c r="F628">
        <v>0.64415323360544796</v>
      </c>
      <c r="G628">
        <v>0.34754741368733899</v>
      </c>
      <c r="H628">
        <v>0.244549030941901</v>
      </c>
      <c r="I628">
        <v>0.19130135622435099</v>
      </c>
      <c r="J628">
        <v>0.16006805835816701</v>
      </c>
      <c r="K628">
        <v>0.13779808291256701</v>
      </c>
      <c r="L628">
        <v>651.46503995556895</v>
      </c>
      <c r="M628">
        <v>12.121934130768899</v>
      </c>
      <c r="N628">
        <v>54.498350375991798</v>
      </c>
      <c r="O628">
        <v>52.342783960482002</v>
      </c>
      <c r="P628">
        <v>-5.3430503898575697E-2</v>
      </c>
      <c r="Q628">
        <v>7.7357421042995894E-2</v>
      </c>
      <c r="R628">
        <v>0.99113355968722605</v>
      </c>
      <c r="S628" t="s">
        <v>6913</v>
      </c>
      <c r="T628" t="s">
        <v>12568</v>
      </c>
      <c r="U628" t="s">
        <v>12568</v>
      </c>
      <c r="V628" t="s">
        <v>12568</v>
      </c>
      <c r="W628" t="s">
        <v>13183</v>
      </c>
      <c r="X628">
        <v>3</v>
      </c>
      <c r="Y628" t="s">
        <v>19412</v>
      </c>
      <c r="Z628" t="s">
        <v>25498</v>
      </c>
      <c r="AA628">
        <v>0.52444577272768933</v>
      </c>
      <c r="AB628" t="str">
        <f>HYPERLINK("Melting_Curves/meltCurve_H0YA68_MAN2B2.pdf", "Melting_Curves/meltCurve_H0YA68_MAN2B2.pdf")</f>
        <v>Melting_Curves/meltCurve_H0YA68_MAN2B2.pdf</v>
      </c>
    </row>
    <row r="629" spans="1:28" x14ac:dyDescent="0.25">
      <c r="A629" t="s">
        <v>633</v>
      </c>
      <c r="B629">
        <v>0.99352677808782597</v>
      </c>
      <c r="C629">
        <v>0.85105545704415897</v>
      </c>
      <c r="D629">
        <v>0.96771059813217297</v>
      </c>
      <c r="E629">
        <v>0.69646640962972195</v>
      </c>
      <c r="F629">
        <v>0.71906615208114699</v>
      </c>
      <c r="G629">
        <v>0.66258909565856094</v>
      </c>
      <c r="H629">
        <v>0.60092056839357499</v>
      </c>
      <c r="I629">
        <v>0.77053621104783998</v>
      </c>
      <c r="J629">
        <v>0.57979274999651398</v>
      </c>
      <c r="K629">
        <v>0.56318759618619696</v>
      </c>
      <c r="L629">
        <v>594.96866017782804</v>
      </c>
      <c r="M629">
        <v>12.295678253075399</v>
      </c>
      <c r="O629">
        <v>47.161917817414199</v>
      </c>
      <c r="P629">
        <v>-2.5510624698216001E-2</v>
      </c>
      <c r="Q629">
        <v>0.60868654230188901</v>
      </c>
      <c r="R629">
        <v>0.77026034375744101</v>
      </c>
      <c r="S629" t="s">
        <v>6914</v>
      </c>
      <c r="T629" t="s">
        <v>12568</v>
      </c>
      <c r="U629" t="s">
        <v>12568</v>
      </c>
      <c r="V629" t="s">
        <v>12568</v>
      </c>
      <c r="W629" t="s">
        <v>13184</v>
      </c>
      <c r="X629">
        <v>2</v>
      </c>
      <c r="Y629" t="s">
        <v>19413</v>
      </c>
      <c r="Z629" t="s">
        <v>25499</v>
      </c>
      <c r="AA629">
        <v>0.73241433644322718</v>
      </c>
      <c r="AB629" t="str">
        <f>HYPERLINK("Melting_Curves/meltCurve_H0YAI5_RNF4.pdf", "Melting_Curves/meltCurve_H0YAI5_RNF4.pdf")</f>
        <v>Melting_Curves/meltCurve_H0YAI5_RNF4.pdf</v>
      </c>
    </row>
    <row r="630" spans="1:28" x14ac:dyDescent="0.25">
      <c r="A630" t="s">
        <v>634</v>
      </c>
      <c r="B630">
        <v>0.99352677808782597</v>
      </c>
      <c r="C630">
        <v>0.99761510494411398</v>
      </c>
      <c r="D630">
        <v>0.71572982012222597</v>
      </c>
      <c r="E630">
        <v>0.338808517353339</v>
      </c>
      <c r="F630">
        <v>0.23902962643148901</v>
      </c>
      <c r="G630">
        <v>0.15960616822027399</v>
      </c>
      <c r="H630">
        <v>0.104862986585639</v>
      </c>
      <c r="I630">
        <v>8.9541251858377593E-2</v>
      </c>
      <c r="J630">
        <v>7.5885987834243093E-2</v>
      </c>
      <c r="K630">
        <v>5.1877949447045303E-2</v>
      </c>
      <c r="L630">
        <v>1007.29626512699</v>
      </c>
      <c r="M630">
        <v>20.982254273654899</v>
      </c>
      <c r="N630">
        <v>48.459386513296899</v>
      </c>
      <c r="O630">
        <v>47.577373246186603</v>
      </c>
      <c r="P630">
        <v>-0.10045069646046401</v>
      </c>
      <c r="Q630">
        <v>8.8934578773711706E-2</v>
      </c>
      <c r="R630">
        <v>0.99191093948457598</v>
      </c>
      <c r="S630" t="s">
        <v>6915</v>
      </c>
      <c r="T630" t="s">
        <v>12568</v>
      </c>
      <c r="U630" t="s">
        <v>12568</v>
      </c>
      <c r="V630" t="s">
        <v>12568</v>
      </c>
      <c r="W630" t="s">
        <v>13185</v>
      </c>
      <c r="X630">
        <v>12</v>
      </c>
      <c r="Y630" t="s">
        <v>19414</v>
      </c>
      <c r="Z630" t="s">
        <v>25500</v>
      </c>
      <c r="AA630">
        <v>0.34379190205555721</v>
      </c>
      <c r="AB630" t="str">
        <f>HYPERLINK("Melting_Curves/meltCurve_H0YAN8_ARHGEF10.pdf", "Melting_Curves/meltCurve_H0YAN8_ARHGEF10.pdf")</f>
        <v>Melting_Curves/meltCurve_H0YAN8_ARHGEF10.pdf</v>
      </c>
    </row>
    <row r="631" spans="1:28" x14ac:dyDescent="0.25">
      <c r="A631" t="s">
        <v>635</v>
      </c>
      <c r="B631">
        <v>0.99352677808782597</v>
      </c>
      <c r="C631">
        <v>0.91012066250436996</v>
      </c>
      <c r="D631">
        <v>0.72471775776363601</v>
      </c>
      <c r="E631">
        <v>1.02408150607015</v>
      </c>
      <c r="F631">
        <v>0.71105844025784704</v>
      </c>
      <c r="G631">
        <v>0.70568303068008398</v>
      </c>
      <c r="H631">
        <v>1.3104053967659199</v>
      </c>
      <c r="I631">
        <v>2.0289162477536302</v>
      </c>
      <c r="J631">
        <v>1.92084188766136</v>
      </c>
      <c r="K631">
        <v>1.0301419020537901</v>
      </c>
      <c r="L631">
        <v>15000</v>
      </c>
      <c r="M631">
        <v>246.39474483545001</v>
      </c>
      <c r="O631">
        <v>60.873900483222002</v>
      </c>
      <c r="P631">
        <v>0.50595308471907396</v>
      </c>
      <c r="Q631">
        <v>1.5</v>
      </c>
      <c r="R631">
        <v>0.550443944542236</v>
      </c>
      <c r="S631" t="s">
        <v>6916</v>
      </c>
      <c r="T631" t="s">
        <v>12568</v>
      </c>
      <c r="U631" t="s">
        <v>12568</v>
      </c>
      <c r="V631" t="s">
        <v>12568</v>
      </c>
      <c r="W631" t="s">
        <v>13186</v>
      </c>
      <c r="X631">
        <v>18</v>
      </c>
      <c r="Y631" t="s">
        <v>19415</v>
      </c>
      <c r="Z631" t="s">
        <v>25501</v>
      </c>
      <c r="AA631">
        <v>1.1519796422279109</v>
      </c>
      <c r="AB631" t="str">
        <f>HYPERLINK("Melting_Curves/meltCurve_H0YBD4_GSR.pdf", "Melting_Curves/meltCurve_H0YBD4_GSR.pdf")</f>
        <v>Melting_Curves/meltCurve_H0YBD4_GSR.pdf</v>
      </c>
    </row>
    <row r="632" spans="1:28" x14ac:dyDescent="0.25">
      <c r="A632" t="s">
        <v>636</v>
      </c>
      <c r="B632">
        <v>0.99352677808782597</v>
      </c>
      <c r="C632">
        <v>0.93422670916644301</v>
      </c>
      <c r="D632">
        <v>1.0041706440045799</v>
      </c>
      <c r="E632">
        <v>0.76018836495628395</v>
      </c>
      <c r="F632">
        <v>0.75567761537950295</v>
      </c>
      <c r="G632">
        <v>0.74331040904771795</v>
      </c>
      <c r="H632">
        <v>0.62661938491914304</v>
      </c>
      <c r="I632">
        <v>0.67861809595839495</v>
      </c>
      <c r="J632">
        <v>0.68037538996254499</v>
      </c>
      <c r="K632">
        <v>0.57169876325905</v>
      </c>
      <c r="L632">
        <v>704.53586450411899</v>
      </c>
      <c r="M632">
        <v>13.9551139277643</v>
      </c>
      <c r="O632">
        <v>49.483044159249701</v>
      </c>
      <c r="P632">
        <v>-2.6160838290132001E-2</v>
      </c>
      <c r="Q632">
        <v>0.628997777357437</v>
      </c>
      <c r="R632">
        <v>0.89114601474525501</v>
      </c>
      <c r="S632" t="s">
        <v>6917</v>
      </c>
      <c r="T632" t="s">
        <v>12568</v>
      </c>
      <c r="U632" t="s">
        <v>12568</v>
      </c>
      <c r="V632" t="s">
        <v>12568</v>
      </c>
      <c r="W632" t="s">
        <v>13187</v>
      </c>
      <c r="X632">
        <v>1</v>
      </c>
      <c r="Y632" t="s">
        <v>19416</v>
      </c>
      <c r="Z632" t="s">
        <v>25502</v>
      </c>
      <c r="AA632">
        <v>0.76851075306538796</v>
      </c>
      <c r="AB632" t="str">
        <f>HYPERLINK("Melting_Curves/meltCurve_H0YCZ8_LETM2.pdf", "Melting_Curves/meltCurve_H0YCZ8_LETM2.pdf")</f>
        <v>Melting_Curves/meltCurve_H0YCZ8_LETM2.pdf</v>
      </c>
    </row>
    <row r="633" spans="1:28" x14ac:dyDescent="0.25">
      <c r="A633" t="s">
        <v>637</v>
      </c>
      <c r="B633">
        <v>0.99352677808782597</v>
      </c>
      <c r="C633">
        <v>0.97830302173179295</v>
      </c>
      <c r="D633">
        <v>1.07610910320596</v>
      </c>
      <c r="E633">
        <v>0.98491228285084398</v>
      </c>
      <c r="F633">
        <v>0.88883908579621995</v>
      </c>
      <c r="G633">
        <v>0.52904339429271696</v>
      </c>
      <c r="H633">
        <v>0.36478050775392301</v>
      </c>
      <c r="I633">
        <v>0.43491568775523698</v>
      </c>
      <c r="J633">
        <v>0.26817788822445199</v>
      </c>
      <c r="K633">
        <v>0.115398035964125</v>
      </c>
      <c r="L633">
        <v>1098.5977272043001</v>
      </c>
      <c r="M633">
        <v>19.2788488776959</v>
      </c>
      <c r="N633">
        <v>58.598130641661697</v>
      </c>
      <c r="O633">
        <v>56.382100448080003</v>
      </c>
      <c r="P633">
        <v>-6.7880567831761995E-2</v>
      </c>
      <c r="Q633">
        <v>0.20594720832569799</v>
      </c>
      <c r="R633">
        <v>0.95701234717310002</v>
      </c>
      <c r="S633" t="s">
        <v>6918</v>
      </c>
      <c r="T633" t="s">
        <v>12568</v>
      </c>
      <c r="U633" t="s">
        <v>12568</v>
      </c>
      <c r="V633" t="s">
        <v>12568</v>
      </c>
      <c r="W633" t="s">
        <v>13188</v>
      </c>
      <c r="X633">
        <v>1</v>
      </c>
      <c r="Y633" t="s">
        <v>19417</v>
      </c>
      <c r="Z633" t="s">
        <v>25503</v>
      </c>
      <c r="AA633">
        <v>0.66565365707429258</v>
      </c>
      <c r="AB633" t="str">
        <f>HYPERLINK("Melting_Curves/meltCurve_H0YDP7_MRPL49.pdf", "Melting_Curves/meltCurve_H0YDP7_MRPL49.pdf")</f>
        <v>Melting_Curves/meltCurve_H0YDP7_MRPL49.pdf</v>
      </c>
    </row>
    <row r="634" spans="1:28" x14ac:dyDescent="0.25">
      <c r="A634" t="s">
        <v>638</v>
      </c>
      <c r="B634">
        <v>0.99352677808782597</v>
      </c>
      <c r="C634">
        <v>0.78312661826163599</v>
      </c>
      <c r="D634">
        <v>1.0479894962154399</v>
      </c>
      <c r="E634">
        <v>0.75795895040896599</v>
      </c>
      <c r="F634">
        <v>0.81295556382449297</v>
      </c>
      <c r="G634">
        <v>0.34283308048810801</v>
      </c>
      <c r="H634">
        <v>0.25450022572211101</v>
      </c>
      <c r="I634">
        <v>0.85977063676225396</v>
      </c>
      <c r="J634">
        <v>0.72590460365341603</v>
      </c>
      <c r="K634">
        <v>0</v>
      </c>
      <c r="L634">
        <v>1255.59627273307</v>
      </c>
      <c r="M634">
        <v>24.0170165721591</v>
      </c>
      <c r="N634">
        <v>57.051093313713203</v>
      </c>
      <c r="O634">
        <v>51.921021568262397</v>
      </c>
      <c r="P634">
        <v>-6.5579176852485904E-2</v>
      </c>
      <c r="Q634">
        <v>0.43292115761000199</v>
      </c>
      <c r="R634">
        <v>0.43744027680867997</v>
      </c>
      <c r="S634" t="s">
        <v>6919</v>
      </c>
      <c r="T634" t="s">
        <v>12568</v>
      </c>
      <c r="U634" t="s">
        <v>12568</v>
      </c>
      <c r="V634" t="s">
        <v>12568</v>
      </c>
      <c r="W634" t="s">
        <v>13189</v>
      </c>
      <c r="X634">
        <v>14</v>
      </c>
      <c r="Y634" t="s">
        <v>19219</v>
      </c>
      <c r="Z634" t="s">
        <v>25504</v>
      </c>
      <c r="AA634">
        <v>0.67063706063313644</v>
      </c>
      <c r="AB634" t="str">
        <f>HYPERLINK("Melting_Curves/meltCurve_H0YDQ3_LMO7.pdf", "Melting_Curves/meltCurve_H0YDQ3_LMO7.pdf")</f>
        <v>Melting_Curves/meltCurve_H0YDQ3_LMO7.pdf</v>
      </c>
    </row>
    <row r="635" spans="1:28" x14ac:dyDescent="0.25">
      <c r="A635" t="s">
        <v>639</v>
      </c>
      <c r="B635">
        <v>0.99352677808782597</v>
      </c>
      <c r="C635">
        <v>1.03269827403404</v>
      </c>
      <c r="D635">
        <v>0.957713533156616</v>
      </c>
      <c r="E635">
        <v>0.94150770402246298</v>
      </c>
      <c r="F635">
        <v>0.62586369904228401</v>
      </c>
      <c r="G635">
        <v>0.48772325971084901</v>
      </c>
      <c r="H635">
        <v>0.46101079446301702</v>
      </c>
      <c r="I635">
        <v>0.38092618465496803</v>
      </c>
      <c r="J635">
        <v>0.351637700472196</v>
      </c>
      <c r="K635">
        <v>0.31985757005375698</v>
      </c>
      <c r="L635">
        <v>1290.5701855161201</v>
      </c>
      <c r="M635">
        <v>24.3593148786724</v>
      </c>
      <c r="N635">
        <v>56.052031599220498</v>
      </c>
      <c r="O635">
        <v>52.627378216824603</v>
      </c>
      <c r="P635">
        <v>-7.3087753887124796E-2</v>
      </c>
      <c r="Q635">
        <v>0.36839612567538399</v>
      </c>
      <c r="R635">
        <v>0.97800759220265898</v>
      </c>
      <c r="S635" t="s">
        <v>6920</v>
      </c>
      <c r="T635" t="s">
        <v>12568</v>
      </c>
      <c r="U635" t="s">
        <v>12568</v>
      </c>
      <c r="V635" t="s">
        <v>12568</v>
      </c>
      <c r="W635" t="s">
        <v>13190</v>
      </c>
      <c r="X635">
        <v>2</v>
      </c>
      <c r="Y635" t="s">
        <v>19418</v>
      </c>
      <c r="Z635" t="s">
        <v>25505</v>
      </c>
      <c r="AA635">
        <v>0.64778574732055028</v>
      </c>
      <c r="AB635" t="str">
        <f>HYPERLINK("Melting_Curves/meltCurve_H0YDQ8_CRTC2.pdf", "Melting_Curves/meltCurve_H0YDQ8_CRTC2.pdf")</f>
        <v>Melting_Curves/meltCurve_H0YDQ8_CRTC2.pdf</v>
      </c>
    </row>
    <row r="636" spans="1:28" x14ac:dyDescent="0.25">
      <c r="A636" t="s">
        <v>640</v>
      </c>
      <c r="B636">
        <v>0.99352677808782597</v>
      </c>
      <c r="C636">
        <v>0.91068500692294896</v>
      </c>
      <c r="D636">
        <v>1.0258120633380901</v>
      </c>
      <c r="E636">
        <v>0.83235787551285001</v>
      </c>
      <c r="F636">
        <v>0.85600765600389805</v>
      </c>
      <c r="G636">
        <v>0.85010297847927896</v>
      </c>
      <c r="H636">
        <v>0.81254532762110898</v>
      </c>
      <c r="I636">
        <v>0.82884882002042704</v>
      </c>
      <c r="J636">
        <v>0.76715482759561304</v>
      </c>
      <c r="K636">
        <v>0.71346139612630799</v>
      </c>
      <c r="L636">
        <v>251.070347611958</v>
      </c>
      <c r="M636">
        <v>3.4706251162778199</v>
      </c>
      <c r="O636">
        <v>56.535651361151402</v>
      </c>
      <c r="P636">
        <v>-8.6291565852715801E-3</v>
      </c>
      <c r="Q636">
        <v>0.448783735641407</v>
      </c>
      <c r="R636">
        <v>0.76617925933012798</v>
      </c>
      <c r="S636" t="s">
        <v>6921</v>
      </c>
      <c r="T636" t="s">
        <v>12568</v>
      </c>
      <c r="U636" t="s">
        <v>12568</v>
      </c>
      <c r="V636" t="s">
        <v>12568</v>
      </c>
      <c r="W636" t="s">
        <v>13191</v>
      </c>
      <c r="X636">
        <v>1</v>
      </c>
      <c r="Y636" t="s">
        <v>19419</v>
      </c>
      <c r="Z636" t="s">
        <v>25506</v>
      </c>
      <c r="AA636">
        <v>0.85960412179672696</v>
      </c>
      <c r="AB636" t="str">
        <f>HYPERLINK("Melting_Curves/meltCurve_H0YDR5_SIGIRR.pdf", "Melting_Curves/meltCurve_H0YDR5_SIGIRR.pdf")</f>
        <v>Melting_Curves/meltCurve_H0YDR5_SIGIRR.pdf</v>
      </c>
    </row>
    <row r="637" spans="1:28" x14ac:dyDescent="0.25">
      <c r="A637" t="s">
        <v>641</v>
      </c>
      <c r="B637">
        <v>0.99352677808782597</v>
      </c>
      <c r="C637">
        <v>0.85757547090108299</v>
      </c>
      <c r="D637">
        <v>0.99103891628733998</v>
      </c>
      <c r="E637">
        <v>0.79662951305739205</v>
      </c>
      <c r="F637">
        <v>0.69514974537890195</v>
      </c>
      <c r="G637">
        <v>0.50157876827305903</v>
      </c>
      <c r="H637">
        <v>0.23822061965053901</v>
      </c>
      <c r="I637">
        <v>0.18781676034151401</v>
      </c>
      <c r="J637">
        <v>0.16018209764190899</v>
      </c>
      <c r="K637">
        <v>0.11383723367149901</v>
      </c>
      <c r="L637">
        <v>693.56807422249301</v>
      </c>
      <c r="M637">
        <v>12.371796945103799</v>
      </c>
      <c r="N637">
        <v>56.318527595833402</v>
      </c>
      <c r="O637">
        <v>54.6561427706812</v>
      </c>
      <c r="P637">
        <v>-5.50413745693469E-2</v>
      </c>
      <c r="Q637">
        <v>2.75608044916715E-2</v>
      </c>
      <c r="R637">
        <v>0.980031842833332</v>
      </c>
      <c r="S637" t="s">
        <v>6922</v>
      </c>
      <c r="T637" t="s">
        <v>12568</v>
      </c>
      <c r="U637" t="s">
        <v>12568</v>
      </c>
      <c r="V637" t="s">
        <v>12568</v>
      </c>
      <c r="W637" t="s">
        <v>13192</v>
      </c>
      <c r="X637">
        <v>25</v>
      </c>
      <c r="Y637" t="s">
        <v>19420</v>
      </c>
      <c r="Z637" t="s">
        <v>25507</v>
      </c>
      <c r="AA637">
        <v>0.56754286822603395</v>
      </c>
      <c r="AB637" t="str">
        <f>HYPERLINK("Melting_Curves/meltCurve_H0YDU8_PPP5C.pdf", "Melting_Curves/meltCurve_H0YDU8_PPP5C.pdf")</f>
        <v>Melting_Curves/meltCurve_H0YDU8_PPP5C.pdf</v>
      </c>
    </row>
    <row r="638" spans="1:28" x14ac:dyDescent="0.25">
      <c r="A638" t="s">
        <v>642</v>
      </c>
      <c r="B638">
        <v>0.99352677808782597</v>
      </c>
      <c r="C638">
        <v>0.99004497363631305</v>
      </c>
      <c r="D638">
        <v>0.947711159282841</v>
      </c>
      <c r="E638">
        <v>0.79165559638369698</v>
      </c>
      <c r="F638">
        <v>0.73528505015328705</v>
      </c>
      <c r="G638">
        <v>0.62348949505398299</v>
      </c>
      <c r="H638">
        <v>0.50325195162786296</v>
      </c>
      <c r="I638">
        <v>0.49887204335718999</v>
      </c>
      <c r="J638">
        <v>0.50458172488392705</v>
      </c>
      <c r="K638">
        <v>0.40802055035461199</v>
      </c>
      <c r="L638">
        <v>630.06577864000599</v>
      </c>
      <c r="M638">
        <v>11.732952675321201</v>
      </c>
      <c r="N638">
        <v>62.909152900147298</v>
      </c>
      <c r="O638">
        <v>52.211758973059801</v>
      </c>
      <c r="P638">
        <v>-3.3141237222649E-2</v>
      </c>
      <c r="Q638">
        <v>0.41023974197698698</v>
      </c>
      <c r="R638">
        <v>0.98638951642719397</v>
      </c>
      <c r="S638" t="s">
        <v>6923</v>
      </c>
      <c r="T638" t="s">
        <v>12568</v>
      </c>
      <c r="U638" t="s">
        <v>12568</v>
      </c>
      <c r="V638" t="s">
        <v>12568</v>
      </c>
      <c r="W638" t="s">
        <v>13193</v>
      </c>
      <c r="X638">
        <v>1</v>
      </c>
      <c r="Y638" t="s">
        <v>19421</v>
      </c>
      <c r="Z638" t="s">
        <v>25508</v>
      </c>
      <c r="AA638">
        <v>0.69575907178992014</v>
      </c>
      <c r="AB638" t="str">
        <f>HYPERLINK("Melting_Curves/meltCurve_H0YEB0_ASAP3.pdf", "Melting_Curves/meltCurve_H0YEB0_ASAP3.pdf")</f>
        <v>Melting_Curves/meltCurve_H0YEB0_ASAP3.pdf</v>
      </c>
    </row>
    <row r="639" spans="1:28" x14ac:dyDescent="0.25">
      <c r="A639" t="s">
        <v>643</v>
      </c>
      <c r="B639">
        <v>0.99352677808782597</v>
      </c>
      <c r="C639">
        <v>1.0679975661301899</v>
      </c>
      <c r="D639">
        <v>0.95932909883110296</v>
      </c>
      <c r="E639">
        <v>1.1533221480073099</v>
      </c>
      <c r="F639">
        <v>0.93175641966376299</v>
      </c>
      <c r="G639">
        <v>0.85241409208989105</v>
      </c>
      <c r="H639">
        <v>1.0236318867746199</v>
      </c>
      <c r="I639">
        <v>0.97407738765299501</v>
      </c>
      <c r="J639">
        <v>1.2682500463556501</v>
      </c>
      <c r="K639">
        <v>1.0192222527969099</v>
      </c>
      <c r="L639">
        <v>15000</v>
      </c>
      <c r="M639">
        <v>229.89305461139699</v>
      </c>
      <c r="O639">
        <v>65.242793620174893</v>
      </c>
      <c r="P639">
        <v>0.126503548198031</v>
      </c>
      <c r="Q639">
        <v>1.1436049427584201</v>
      </c>
      <c r="R639">
        <v>0.28424513969960602</v>
      </c>
      <c r="S639" t="s">
        <v>6924</v>
      </c>
      <c r="T639" t="s">
        <v>12568</v>
      </c>
      <c r="U639" t="s">
        <v>12568</v>
      </c>
      <c r="V639" t="s">
        <v>12568</v>
      </c>
      <c r="W639" t="s">
        <v>13194</v>
      </c>
      <c r="X639">
        <v>5</v>
      </c>
      <c r="Y639" t="s">
        <v>19422</v>
      </c>
      <c r="Z639" t="s">
        <v>25509</v>
      </c>
      <c r="AA639">
        <v>1.0227288676688999</v>
      </c>
      <c r="AB639" t="str">
        <f>HYPERLINK("Melting_Curves/meltCurve_H0YEB6_SSSCA1.pdf", "Melting_Curves/meltCurve_H0YEB6_SSSCA1.pdf")</f>
        <v>Melting_Curves/meltCurve_H0YEB6_SSSCA1.pdf</v>
      </c>
    </row>
    <row r="640" spans="1:28" x14ac:dyDescent="0.25">
      <c r="A640" t="s">
        <v>644</v>
      </c>
      <c r="B640">
        <v>0.99352677808782597</v>
      </c>
      <c r="C640">
        <v>0.98002031802387402</v>
      </c>
      <c r="D640">
        <v>0.75765719971209999</v>
      </c>
      <c r="E640">
        <v>0.43731947811518701</v>
      </c>
      <c r="F640">
        <v>0.38178676192051503</v>
      </c>
      <c r="G640">
        <v>0.24287587613881201</v>
      </c>
      <c r="H640">
        <v>0.192150326343246</v>
      </c>
      <c r="I640">
        <v>0.21266374246642</v>
      </c>
      <c r="J640">
        <v>0.20846866248583201</v>
      </c>
      <c r="K640">
        <v>0.212041664696243</v>
      </c>
      <c r="L640">
        <v>936.14615470366198</v>
      </c>
      <c r="M640">
        <v>19.427329133815</v>
      </c>
      <c r="N640">
        <v>49.549211723940999</v>
      </c>
      <c r="O640">
        <v>47.685217517873802</v>
      </c>
      <c r="P640">
        <v>-8.0782314594900997E-2</v>
      </c>
      <c r="Q640">
        <v>0.206894253946276</v>
      </c>
      <c r="R640">
        <v>0.99184840117059303</v>
      </c>
      <c r="S640" t="s">
        <v>6925</v>
      </c>
      <c r="T640" t="s">
        <v>12568</v>
      </c>
      <c r="U640" t="s">
        <v>12568</v>
      </c>
      <c r="V640" t="s">
        <v>12568</v>
      </c>
      <c r="W640" t="s">
        <v>13195</v>
      </c>
      <c r="X640">
        <v>5</v>
      </c>
      <c r="Y640" t="s">
        <v>19423</v>
      </c>
      <c r="Z640" t="s">
        <v>25510</v>
      </c>
      <c r="AA640">
        <v>0.4352718367768989</v>
      </c>
      <c r="AB640" t="str">
        <f>HYPERLINK("Melting_Curves/meltCurve_H0YEF3_RNASEH2C.pdf", "Melting_Curves/meltCurve_H0YEF3_RNASEH2C.pdf")</f>
        <v>Melting_Curves/meltCurve_H0YEF3_RNASEH2C.pdf</v>
      </c>
    </row>
    <row r="641" spans="1:28" x14ac:dyDescent="0.25">
      <c r="A641" t="s">
        <v>645</v>
      </c>
      <c r="B641">
        <v>0.99352677808782597</v>
      </c>
      <c r="C641">
        <v>1.00230404738442</v>
      </c>
      <c r="D641">
        <v>0.904993054237897</v>
      </c>
      <c r="E641">
        <v>1.0188089606719299</v>
      </c>
      <c r="F641">
        <v>0.86618236111832203</v>
      </c>
      <c r="G641">
        <v>0.55029659397406205</v>
      </c>
      <c r="H641">
        <v>0.74984938847811899</v>
      </c>
      <c r="I641">
        <v>0.74132482020594104</v>
      </c>
      <c r="J641">
        <v>0.70381601223814705</v>
      </c>
      <c r="K641">
        <v>0.56494767677989099</v>
      </c>
      <c r="L641">
        <v>13272.382210154199</v>
      </c>
      <c r="M641">
        <v>250</v>
      </c>
      <c r="O641">
        <v>53.086136019272899</v>
      </c>
      <c r="P641">
        <v>-0.39788299394068799</v>
      </c>
      <c r="Q641">
        <v>0.66204689758635604</v>
      </c>
      <c r="R641">
        <v>0.827882038197709</v>
      </c>
      <c r="S641" t="s">
        <v>6926</v>
      </c>
      <c r="T641" t="s">
        <v>12568</v>
      </c>
      <c r="U641" t="s">
        <v>12568</v>
      </c>
      <c r="V641" t="s">
        <v>12568</v>
      </c>
      <c r="W641" t="s">
        <v>13196</v>
      </c>
      <c r="X641">
        <v>1</v>
      </c>
      <c r="Y641" t="s">
        <v>19424</v>
      </c>
      <c r="Z641" t="s">
        <v>25511</v>
      </c>
      <c r="AA641">
        <v>0.80953328114249612</v>
      </c>
      <c r="AB641" t="str">
        <f>HYPERLINK("Melting_Curves/meltCurve_H0YEP0_KAT5.pdf", "Melting_Curves/meltCurve_H0YEP0_KAT5.pdf")</f>
        <v>Melting_Curves/meltCurve_H0YEP0_KAT5.pdf</v>
      </c>
    </row>
    <row r="642" spans="1:28" x14ac:dyDescent="0.25">
      <c r="A642" t="s">
        <v>646</v>
      </c>
      <c r="B642">
        <v>0.99352677808782597</v>
      </c>
      <c r="C642">
        <v>0.97000428940398398</v>
      </c>
      <c r="D642">
        <v>0.96291999357310498</v>
      </c>
      <c r="E642">
        <v>0.66997638272716198</v>
      </c>
      <c r="F642">
        <v>0.57699192869476201</v>
      </c>
      <c r="G642">
        <v>0.37330858396555999</v>
      </c>
      <c r="H642">
        <v>0.34586136535648898</v>
      </c>
      <c r="I642">
        <v>0.33147743459775197</v>
      </c>
      <c r="J642">
        <v>0.21890195800947701</v>
      </c>
      <c r="K642">
        <v>0.18801448283076799</v>
      </c>
      <c r="L642">
        <v>744.53651948181596</v>
      </c>
      <c r="M642">
        <v>14.276788428858101</v>
      </c>
      <c r="N642">
        <v>54.3075465287626</v>
      </c>
      <c r="O642">
        <v>51.158980131309598</v>
      </c>
      <c r="P642">
        <v>-5.4673724031677501E-2</v>
      </c>
      <c r="Q642">
        <v>0.21643186281676499</v>
      </c>
      <c r="R642">
        <v>0.98175591961991504</v>
      </c>
      <c r="S642" t="s">
        <v>6927</v>
      </c>
      <c r="T642" t="s">
        <v>12568</v>
      </c>
      <c r="U642" t="s">
        <v>12568</v>
      </c>
      <c r="V642" t="s">
        <v>12568</v>
      </c>
      <c r="W642" t="s">
        <v>13197</v>
      </c>
      <c r="X642">
        <v>3</v>
      </c>
      <c r="Y642" t="s">
        <v>19425</v>
      </c>
      <c r="Z642" t="s">
        <v>25512</v>
      </c>
      <c r="AA642">
        <v>0.55252965219319139</v>
      </c>
      <c r="AB642" t="str">
        <f>HYPERLINK("Melting_Curves/meltCurve_H0YEP5_SMPD1.pdf", "Melting_Curves/meltCurve_H0YEP5_SMPD1.pdf")</f>
        <v>Melting_Curves/meltCurve_H0YEP5_SMPD1.pdf</v>
      </c>
    </row>
    <row r="643" spans="1:28" x14ac:dyDescent="0.25">
      <c r="A643" t="s">
        <v>647</v>
      </c>
      <c r="B643">
        <v>0.99352677808782597</v>
      </c>
      <c r="C643">
        <v>1.02725906090738</v>
      </c>
      <c r="D643">
        <v>0.96328331131827005</v>
      </c>
      <c r="E643">
        <v>0.92713443138972995</v>
      </c>
      <c r="F643">
        <v>0.78327611061668101</v>
      </c>
      <c r="G643">
        <v>0.66110712067119903</v>
      </c>
      <c r="H643">
        <v>0.50206317142009804</v>
      </c>
      <c r="I643">
        <v>0.30166575983555699</v>
      </c>
      <c r="J643">
        <v>0.25423754839245</v>
      </c>
      <c r="K643">
        <v>0.25911289181542502</v>
      </c>
      <c r="L643">
        <v>746.88848692685895</v>
      </c>
      <c r="M643">
        <v>12.739406149121701</v>
      </c>
      <c r="N643">
        <v>60.041048410824402</v>
      </c>
      <c r="O643">
        <v>57.239890912087297</v>
      </c>
      <c r="P643">
        <v>-4.8443785432654901E-2</v>
      </c>
      <c r="Q643">
        <v>0.12950830614230699</v>
      </c>
      <c r="R643">
        <v>0.98974632393579898</v>
      </c>
      <c r="S643" t="s">
        <v>6928</v>
      </c>
      <c r="T643" t="s">
        <v>12568</v>
      </c>
      <c r="U643" t="s">
        <v>12568</v>
      </c>
      <c r="V643" t="s">
        <v>12568</v>
      </c>
      <c r="W643" t="s">
        <v>13198</v>
      </c>
      <c r="X643">
        <v>1</v>
      </c>
      <c r="Y643" t="s">
        <v>19426</v>
      </c>
      <c r="Z643" t="s">
        <v>25513</v>
      </c>
      <c r="AA643">
        <v>0.67923589865364109</v>
      </c>
      <c r="AB643" t="str">
        <f>HYPERLINK("Melting_Curves/meltCurve_H0YFI1_LAMTOR1.pdf", "Melting_Curves/meltCurve_H0YFI1_LAMTOR1.pdf")</f>
        <v>Melting_Curves/meltCurve_H0YFI1_LAMTOR1.pdf</v>
      </c>
    </row>
    <row r="644" spans="1:28" x14ac:dyDescent="0.25">
      <c r="A644" t="s">
        <v>648</v>
      </c>
      <c r="B644">
        <v>0.99352677808782597</v>
      </c>
      <c r="C644">
        <v>0.68635190398217505</v>
      </c>
      <c r="D644">
        <v>0.58812734874042305</v>
      </c>
      <c r="E644">
        <v>0.77399594034400998</v>
      </c>
      <c r="F644">
        <v>0.25298641241661102</v>
      </c>
      <c r="G644">
        <v>0.15894504067388199</v>
      </c>
      <c r="H644">
        <v>0.20434881809321401</v>
      </c>
      <c r="I644">
        <v>0.13501309225427399</v>
      </c>
      <c r="J644">
        <v>0.17769353018292</v>
      </c>
      <c r="K644">
        <v>0.14880496070157301</v>
      </c>
      <c r="L644">
        <v>464.38528160351302</v>
      </c>
      <c r="M644">
        <v>9.4851745496965094</v>
      </c>
      <c r="N644">
        <v>49.744488266531597</v>
      </c>
      <c r="O644">
        <v>46.931032218475998</v>
      </c>
      <c r="P644">
        <v>-4.7041326710352299E-2</v>
      </c>
      <c r="Q644">
        <v>6.9543905819659302E-2</v>
      </c>
      <c r="R644">
        <v>0.84589824720720197</v>
      </c>
      <c r="S644" t="s">
        <v>6929</v>
      </c>
      <c r="T644" t="s">
        <v>12568</v>
      </c>
      <c r="U644" t="s">
        <v>12568</v>
      </c>
      <c r="V644" t="s">
        <v>12568</v>
      </c>
      <c r="W644" t="s">
        <v>13199</v>
      </c>
      <c r="X644">
        <v>1</v>
      </c>
      <c r="Y644" t="s">
        <v>19427</v>
      </c>
      <c r="Z644" t="s">
        <v>25514</v>
      </c>
      <c r="AA644">
        <v>0.39672293412704501</v>
      </c>
      <c r="AB644" t="str">
        <f>HYPERLINK("Melting_Curves/meltCurve_H0YGG2_NUDT22.pdf", "Melting_Curves/meltCurve_H0YGG2_NUDT22.pdf")</f>
        <v>Melting_Curves/meltCurve_H0YGG2_NUDT22.pdf</v>
      </c>
    </row>
    <row r="645" spans="1:28" x14ac:dyDescent="0.25">
      <c r="A645" t="s">
        <v>649</v>
      </c>
      <c r="B645">
        <v>0.99352677808782597</v>
      </c>
      <c r="C645">
        <v>0.88520391746258598</v>
      </c>
      <c r="D645">
        <v>0.98492671351094696</v>
      </c>
      <c r="E645">
        <v>0.90382238101295398</v>
      </c>
      <c r="F645">
        <v>0.83709688219540401</v>
      </c>
      <c r="G645">
        <v>0.76693442202567097</v>
      </c>
      <c r="H645">
        <v>0.73558146449021</v>
      </c>
      <c r="I645">
        <v>0.78453745898143701</v>
      </c>
      <c r="J645">
        <v>0.77638065825402802</v>
      </c>
      <c r="K645">
        <v>0.435867471851758</v>
      </c>
      <c r="L645">
        <v>326.51055992046702</v>
      </c>
      <c r="M645">
        <v>4.2846811608291597</v>
      </c>
      <c r="O645">
        <v>63.879869844938199</v>
      </c>
      <c r="P645">
        <v>-1.6940959877029101E-2</v>
      </c>
      <c r="Q645">
        <v>0</v>
      </c>
      <c r="R645">
        <v>0.72848139779859</v>
      </c>
      <c r="S645" t="s">
        <v>6930</v>
      </c>
      <c r="T645" t="s">
        <v>12568</v>
      </c>
      <c r="U645" t="s">
        <v>12568</v>
      </c>
      <c r="V645" t="s">
        <v>12568</v>
      </c>
      <c r="W645" t="s">
        <v>13200</v>
      </c>
      <c r="X645">
        <v>15</v>
      </c>
      <c r="Y645" t="s">
        <v>19428</v>
      </c>
      <c r="Z645" t="s">
        <v>25515</v>
      </c>
      <c r="AA645">
        <v>0.82065831791963006</v>
      </c>
      <c r="AB645" t="str">
        <f>HYPERLINK("Melting_Curves/meltCurve_H0YGR4_REXO2.pdf", "Melting_Curves/meltCurve_H0YGR4_REXO2.pdf")</f>
        <v>Melting_Curves/meltCurve_H0YGR4_REXO2.pdf</v>
      </c>
    </row>
    <row r="646" spans="1:28" x14ac:dyDescent="0.25">
      <c r="A646" t="s">
        <v>650</v>
      </c>
      <c r="B646">
        <v>0.99352677808782597</v>
      </c>
      <c r="C646">
        <v>1.0097781440531901</v>
      </c>
      <c r="D646">
        <v>0.82930770196254999</v>
      </c>
      <c r="E646">
        <v>0.73068416544369497</v>
      </c>
      <c r="F646">
        <v>0.55151207204275499</v>
      </c>
      <c r="G646">
        <v>0.369250677089694</v>
      </c>
      <c r="H646">
        <v>0.29829476204524202</v>
      </c>
      <c r="I646">
        <v>0.298752246821473</v>
      </c>
      <c r="J646">
        <v>0.28383622672736097</v>
      </c>
      <c r="K646">
        <v>0.18365653145313801</v>
      </c>
      <c r="L646">
        <v>704.40437981634</v>
      </c>
      <c r="M646">
        <v>13.569121820133301</v>
      </c>
      <c r="N646">
        <v>54.0935032436212</v>
      </c>
      <c r="O646">
        <v>50.8237220688533</v>
      </c>
      <c r="P646">
        <v>-5.2690489455433198E-2</v>
      </c>
      <c r="Q646">
        <v>0.21070013800875001</v>
      </c>
      <c r="R646">
        <v>0.98666714528500699</v>
      </c>
      <c r="S646" t="s">
        <v>6931</v>
      </c>
      <c r="T646" t="s">
        <v>12568</v>
      </c>
      <c r="U646" t="s">
        <v>12568</v>
      </c>
      <c r="V646" t="s">
        <v>12568</v>
      </c>
      <c r="W646" t="s">
        <v>13201</v>
      </c>
      <c r="X646">
        <v>3</v>
      </c>
      <c r="Y646" t="s">
        <v>19429</v>
      </c>
      <c r="Z646" t="s">
        <v>25516</v>
      </c>
      <c r="AA646">
        <v>0.54465711896322</v>
      </c>
      <c r="AB646" t="str">
        <f>HYPERLINK("Melting_Curves/meltCurve_H0YGW5_LRP6.pdf", "Melting_Curves/meltCurve_H0YGW5_LRP6.pdf")</f>
        <v>Melting_Curves/meltCurve_H0YGW5_LRP6.pdf</v>
      </c>
    </row>
    <row r="647" spans="1:28" x14ac:dyDescent="0.25">
      <c r="A647" t="s">
        <v>651</v>
      </c>
      <c r="B647">
        <v>0.99352677808782597</v>
      </c>
      <c r="C647">
        <v>0.92917177818869801</v>
      </c>
      <c r="D647">
        <v>0.93328297148390704</v>
      </c>
      <c r="E647">
        <v>0.71432561098328795</v>
      </c>
      <c r="F647">
        <v>0.578644214853826</v>
      </c>
      <c r="G647">
        <v>0.54255787240926701</v>
      </c>
      <c r="H647">
        <v>0.49286119628112202</v>
      </c>
      <c r="I647">
        <v>0.49777290225089998</v>
      </c>
      <c r="J647">
        <v>0.60489775183333405</v>
      </c>
      <c r="K647">
        <v>0.52382004333105803</v>
      </c>
      <c r="L647">
        <v>1207.49777179225</v>
      </c>
      <c r="M647">
        <v>24.637017850717399</v>
      </c>
      <c r="O647">
        <v>48.692041619076903</v>
      </c>
      <c r="P647">
        <v>-5.9818801476557999E-2</v>
      </c>
      <c r="Q647">
        <v>0.52710866464595696</v>
      </c>
      <c r="R647">
        <v>0.96605446088871205</v>
      </c>
      <c r="S647" t="s">
        <v>6932</v>
      </c>
      <c r="T647" t="s">
        <v>12568</v>
      </c>
      <c r="U647" t="s">
        <v>12568</v>
      </c>
      <c r="V647" t="s">
        <v>12568</v>
      </c>
      <c r="W647" t="s">
        <v>13202</v>
      </c>
      <c r="X647">
        <v>1</v>
      </c>
      <c r="Y647" t="s">
        <v>19430</v>
      </c>
      <c r="Z647" t="s">
        <v>25517</v>
      </c>
      <c r="AA647">
        <v>0.67347668603858646</v>
      </c>
      <c r="AB647" t="str">
        <f>HYPERLINK("Melting_Curves/meltCurve_H0YHD0_BRMS1L.pdf", "Melting_Curves/meltCurve_H0YHD0_BRMS1L.pdf")</f>
        <v>Melting_Curves/meltCurve_H0YHD0_BRMS1L.pdf</v>
      </c>
    </row>
    <row r="648" spans="1:28" x14ac:dyDescent="0.25">
      <c r="A648" t="s">
        <v>652</v>
      </c>
      <c r="B648">
        <v>0.99352677808782597</v>
      </c>
      <c r="C648">
        <v>0.85868523287475795</v>
      </c>
      <c r="D648">
        <v>0.991249765975594</v>
      </c>
      <c r="E648">
        <v>0.70258503650330695</v>
      </c>
      <c r="F648">
        <v>0.51606108671456996</v>
      </c>
      <c r="G648">
        <v>0.38618095255294199</v>
      </c>
      <c r="H648">
        <v>0.40136619405421697</v>
      </c>
      <c r="I648">
        <v>0.27624426003567198</v>
      </c>
      <c r="J648">
        <v>0.29587890187632099</v>
      </c>
      <c r="K648">
        <v>0.239345852589464</v>
      </c>
      <c r="L648">
        <v>831.57845116431201</v>
      </c>
      <c r="M648">
        <v>16.200737556611099</v>
      </c>
      <c r="N648">
        <v>53.925810280419697</v>
      </c>
      <c r="O648">
        <v>50.566698581833897</v>
      </c>
      <c r="P648">
        <v>-5.8411392901090403E-2</v>
      </c>
      <c r="Q648">
        <v>0.27078610888785598</v>
      </c>
      <c r="R648">
        <v>0.96248414459713305</v>
      </c>
      <c r="S648" t="s">
        <v>6933</v>
      </c>
      <c r="T648" t="s">
        <v>12568</v>
      </c>
      <c r="U648" t="s">
        <v>12568</v>
      </c>
      <c r="V648" t="s">
        <v>12568</v>
      </c>
      <c r="W648" t="s">
        <v>13203</v>
      </c>
      <c r="X648">
        <v>1</v>
      </c>
      <c r="Y648" t="s">
        <v>19431</v>
      </c>
      <c r="Z648" t="s">
        <v>25518</v>
      </c>
      <c r="AA648">
        <v>0.56086148354848364</v>
      </c>
      <c r="AB648" t="str">
        <f>HYPERLINK("Melting_Curves/meltCurve_H0YIQ8_KANSL2.pdf", "Melting_Curves/meltCurve_H0YIQ8_KANSL2.pdf")</f>
        <v>Melting_Curves/meltCurve_H0YIQ8_KANSL2.pdf</v>
      </c>
    </row>
    <row r="649" spans="1:28" x14ac:dyDescent="0.25">
      <c r="A649" t="s">
        <v>653</v>
      </c>
      <c r="B649">
        <v>0.99352677808782597</v>
      </c>
      <c r="C649">
        <v>1.02238251955587</v>
      </c>
      <c r="D649">
        <v>0.95782636053492298</v>
      </c>
      <c r="E649">
        <v>0.88885066956361203</v>
      </c>
      <c r="F649">
        <v>0.67852839414147603</v>
      </c>
      <c r="G649">
        <v>0.41870173859856602</v>
      </c>
      <c r="H649">
        <v>0.32314814721407897</v>
      </c>
      <c r="I649">
        <v>0.16251782893755501</v>
      </c>
      <c r="J649">
        <v>0.124796200649232</v>
      </c>
      <c r="K649">
        <v>4.39430755111248E-2</v>
      </c>
      <c r="L649">
        <v>772.46548811747095</v>
      </c>
      <c r="M649">
        <v>13.7327183086117</v>
      </c>
      <c r="N649">
        <v>56.345875590156098</v>
      </c>
      <c r="O649">
        <v>55.097478003065397</v>
      </c>
      <c r="P649">
        <v>-6.1600297325756802E-2</v>
      </c>
      <c r="Q649">
        <v>1.1547334321319E-2</v>
      </c>
      <c r="R649">
        <v>0.99279335368398802</v>
      </c>
      <c r="S649" t="s">
        <v>6934</v>
      </c>
      <c r="T649" t="s">
        <v>12568</v>
      </c>
      <c r="U649" t="s">
        <v>12568</v>
      </c>
      <c r="V649" t="s">
        <v>12568</v>
      </c>
      <c r="W649" t="s">
        <v>13204</v>
      </c>
      <c r="X649">
        <v>1</v>
      </c>
      <c r="Y649" t="s">
        <v>19432</v>
      </c>
      <c r="Z649" t="s">
        <v>25519</v>
      </c>
      <c r="AA649">
        <v>0.56513975878104883</v>
      </c>
      <c r="AB649" t="str">
        <f>HYPERLINK("Melting_Curves/meltCurve_H0YJG9_DHRS2.pdf", "Melting_Curves/meltCurve_H0YJG9_DHRS2.pdf")</f>
        <v>Melting_Curves/meltCurve_H0YJG9_DHRS2.pdf</v>
      </c>
    </row>
    <row r="650" spans="1:28" x14ac:dyDescent="0.25">
      <c r="A650" t="s">
        <v>654</v>
      </c>
      <c r="B650">
        <v>0.99352677808782597</v>
      </c>
      <c r="C650">
        <v>0.99999097285111105</v>
      </c>
      <c r="D650">
        <v>1.1713119456324801</v>
      </c>
      <c r="E650">
        <v>3.0767439779571299</v>
      </c>
      <c r="F650">
        <v>3.1074029607395901</v>
      </c>
      <c r="G650">
        <v>3.0265114120827299</v>
      </c>
      <c r="H650">
        <v>2.2460108487612298</v>
      </c>
      <c r="I650">
        <v>2.6526302150967802</v>
      </c>
      <c r="J650">
        <v>1.7900166485914</v>
      </c>
      <c r="K650">
        <v>1.6503218922671401</v>
      </c>
      <c r="L650">
        <v>11529.974648134001</v>
      </c>
      <c r="M650">
        <v>250</v>
      </c>
      <c r="O650">
        <v>46.116948819159497</v>
      </c>
      <c r="P650">
        <v>0.67762507964008001</v>
      </c>
      <c r="Q650">
        <v>1.5</v>
      </c>
      <c r="R650">
        <v>-0.39326777556091302</v>
      </c>
      <c r="S650" t="s">
        <v>6935</v>
      </c>
      <c r="T650" t="s">
        <v>12568</v>
      </c>
      <c r="U650" t="s">
        <v>12568</v>
      </c>
      <c r="V650" t="s">
        <v>12568</v>
      </c>
      <c r="W650" t="s">
        <v>13205</v>
      </c>
      <c r="X650">
        <v>1</v>
      </c>
      <c r="Y650" t="s">
        <v>19433</v>
      </c>
      <c r="Z650" t="s">
        <v>25520</v>
      </c>
      <c r="AA650">
        <v>1.3979612202722771</v>
      </c>
      <c r="AB650" t="str">
        <f>HYPERLINK("Melting_Curves/meltCurve_H0YJS3_FANCM.pdf", "Melting_Curves/meltCurve_H0YJS3_FANCM.pdf")</f>
        <v>Melting_Curves/meltCurve_H0YJS3_FANCM.pdf</v>
      </c>
    </row>
    <row r="651" spans="1:28" x14ac:dyDescent="0.25">
      <c r="A651" t="s">
        <v>655</v>
      </c>
      <c r="B651">
        <v>0.99352677808782597</v>
      </c>
      <c r="C651">
        <v>1.1080671015044301</v>
      </c>
      <c r="D651">
        <v>0.84939983011528797</v>
      </c>
      <c r="E651">
        <v>0.86849946691319702</v>
      </c>
      <c r="F651">
        <v>0.77601998919582005</v>
      </c>
      <c r="G651">
        <v>0.223648561692841</v>
      </c>
      <c r="H651">
        <v>0.193834956042193</v>
      </c>
      <c r="I651">
        <v>0.160472801532557</v>
      </c>
      <c r="J651">
        <v>0.114971822445394</v>
      </c>
      <c r="K651">
        <v>6.4418743848334001E-2</v>
      </c>
      <c r="L651">
        <v>1720.93838690962</v>
      </c>
      <c r="M651">
        <v>31.682513905798299</v>
      </c>
      <c r="N651">
        <v>54.772128483191601</v>
      </c>
      <c r="O651">
        <v>54.103213979569503</v>
      </c>
      <c r="P651">
        <v>-0.12949657333970599</v>
      </c>
      <c r="Q651">
        <v>0.115456070751999</v>
      </c>
      <c r="R651">
        <v>0.96655148060984697</v>
      </c>
      <c r="S651" t="s">
        <v>6936</v>
      </c>
      <c r="T651" t="s">
        <v>12568</v>
      </c>
      <c r="U651" t="s">
        <v>12568</v>
      </c>
      <c r="V651" t="s">
        <v>12568</v>
      </c>
      <c r="W651" t="s">
        <v>13206</v>
      </c>
      <c r="X651">
        <v>33</v>
      </c>
      <c r="Y651" t="s">
        <v>19434</v>
      </c>
      <c r="Z651" t="s">
        <v>25521</v>
      </c>
      <c r="AA651">
        <v>0.54287462559178867</v>
      </c>
      <c r="AB651" t="str">
        <f>HYPERLINK("Melting_Curves/meltCurve_H0YL33_ANXA2.pdf", "Melting_Curves/meltCurve_H0YL33_ANXA2.pdf")</f>
        <v>Melting_Curves/meltCurve_H0YL33_ANXA2.pdf</v>
      </c>
    </row>
    <row r="652" spans="1:28" x14ac:dyDescent="0.25">
      <c r="A652" t="s">
        <v>656</v>
      </c>
      <c r="B652">
        <v>0.99352677808782597</v>
      </c>
      <c r="C652">
        <v>1.01492898007126</v>
      </c>
      <c r="D652">
        <v>1.0116289487938299</v>
      </c>
      <c r="E652">
        <v>0.66093178026442401</v>
      </c>
      <c r="F652">
        <v>0.51913000938987897</v>
      </c>
      <c r="G652">
        <v>0.35700249141672802</v>
      </c>
      <c r="H652">
        <v>0.272531401868707</v>
      </c>
      <c r="I652">
        <v>0.25722523911907502</v>
      </c>
      <c r="J652">
        <v>0.25798224911305701</v>
      </c>
      <c r="K652">
        <v>0.20323268392056901</v>
      </c>
      <c r="L652">
        <v>1050.43145076828</v>
      </c>
      <c r="M652">
        <v>20.4723251089058</v>
      </c>
      <c r="N652">
        <v>53.011784291357301</v>
      </c>
      <c r="O652">
        <v>50.827776637347498</v>
      </c>
      <c r="P652">
        <v>-7.6442715472712294E-2</v>
      </c>
      <c r="Q652">
        <v>0.240868204709309</v>
      </c>
      <c r="R652">
        <v>0.98735667827163398</v>
      </c>
      <c r="S652" t="s">
        <v>6937</v>
      </c>
      <c r="T652" t="s">
        <v>12568</v>
      </c>
      <c r="U652" t="s">
        <v>12568</v>
      </c>
      <c r="V652" t="s">
        <v>12568</v>
      </c>
      <c r="W652" t="s">
        <v>13207</v>
      </c>
      <c r="X652">
        <v>5</v>
      </c>
      <c r="Y652" t="s">
        <v>19435</v>
      </c>
      <c r="Z652" t="s">
        <v>25522</v>
      </c>
      <c r="AA652">
        <v>0.53713998706383725</v>
      </c>
      <c r="AB652" t="str">
        <f>HYPERLINK("Melting_Curves/meltCurve_H0YLB5_POU2F1.pdf", "Melting_Curves/meltCurve_H0YLB5_POU2F1.pdf")</f>
        <v>Melting_Curves/meltCurve_H0YLB5_POU2F1.pdf</v>
      </c>
    </row>
    <row r="653" spans="1:28" x14ac:dyDescent="0.25">
      <c r="A653" t="s">
        <v>657</v>
      </c>
      <c r="B653">
        <v>0.99352677808782597</v>
      </c>
      <c r="C653">
        <v>0.95285463061547404</v>
      </c>
      <c r="D653">
        <v>0.91973993477657301</v>
      </c>
      <c r="E653">
        <v>0.69025684886563698</v>
      </c>
      <c r="F653">
        <v>0.65853855761454505</v>
      </c>
      <c r="G653">
        <v>0.42172965237971199</v>
      </c>
      <c r="H653">
        <v>0.25863359462413299</v>
      </c>
      <c r="I653">
        <v>0.22974637458104799</v>
      </c>
      <c r="J653">
        <v>0.24356738680047099</v>
      </c>
      <c r="K653">
        <v>0.19630271789475801</v>
      </c>
      <c r="L653">
        <v>668.840768504626</v>
      </c>
      <c r="M653">
        <v>12.5095623504467</v>
      </c>
      <c r="N653">
        <v>55.034678512899603</v>
      </c>
      <c r="O653">
        <v>52.155219308407901</v>
      </c>
      <c r="P653">
        <v>-5.0983141723906902E-2</v>
      </c>
      <c r="Q653">
        <v>0.14993300126478301</v>
      </c>
      <c r="R653">
        <v>0.989052859318858</v>
      </c>
      <c r="S653" t="s">
        <v>6938</v>
      </c>
      <c r="T653" t="s">
        <v>12568</v>
      </c>
      <c r="U653" t="s">
        <v>12568</v>
      </c>
      <c r="V653" t="s">
        <v>12568</v>
      </c>
      <c r="W653" t="s">
        <v>13208</v>
      </c>
      <c r="X653">
        <v>2</v>
      </c>
      <c r="Y653" t="s">
        <v>19436</v>
      </c>
      <c r="Z653" t="s">
        <v>25523</v>
      </c>
      <c r="AA653">
        <v>0.55380493357868366</v>
      </c>
      <c r="AB653" t="str">
        <f>HYPERLINK("Melting_Curves/meltCurve_H0YLF2_HMBOX1.pdf", "Melting_Curves/meltCurve_H0YLF2_HMBOX1.pdf")</f>
        <v>Melting_Curves/meltCurve_H0YLF2_HMBOX1.pdf</v>
      </c>
    </row>
    <row r="654" spans="1:28" x14ac:dyDescent="0.25">
      <c r="A654" t="s">
        <v>658</v>
      </c>
      <c r="B654">
        <v>0.99352677808782597</v>
      </c>
      <c r="C654">
        <v>0.97386679800181897</v>
      </c>
      <c r="D654">
        <v>0.95812256593741096</v>
      </c>
      <c r="E654">
        <v>0.76606343765483198</v>
      </c>
      <c r="F654">
        <v>0.67120127165456001</v>
      </c>
      <c r="G654">
        <v>0.53683572655881096</v>
      </c>
      <c r="H654">
        <v>0.474419115447483</v>
      </c>
      <c r="I654">
        <v>0.44433181983382602</v>
      </c>
      <c r="J654">
        <v>0.494266343592978</v>
      </c>
      <c r="K654">
        <v>0.37776907441225399</v>
      </c>
      <c r="L654">
        <v>798.21901118108303</v>
      </c>
      <c r="M654">
        <v>15.388380858704799</v>
      </c>
      <c r="N654">
        <v>58.877205376988101</v>
      </c>
      <c r="O654">
        <v>51.019236834774098</v>
      </c>
      <c r="P654">
        <v>-4.3748158564981397E-2</v>
      </c>
      <c r="Q654">
        <v>0.41987566157644302</v>
      </c>
      <c r="R654">
        <v>0.98508760459253297</v>
      </c>
      <c r="S654" t="s">
        <v>6939</v>
      </c>
      <c r="T654" t="s">
        <v>12568</v>
      </c>
      <c r="U654" t="s">
        <v>12568</v>
      </c>
      <c r="V654" t="s">
        <v>12568</v>
      </c>
      <c r="W654" t="s">
        <v>13209</v>
      </c>
      <c r="X654">
        <v>6</v>
      </c>
      <c r="Y654" t="s">
        <v>19437</v>
      </c>
      <c r="Z654" t="s">
        <v>25524</v>
      </c>
      <c r="AA654">
        <v>0.66196004078597304</v>
      </c>
      <c r="AB654" t="str">
        <f>HYPERLINK("Melting_Curves/meltCurve_H0YLX2_RFX7.pdf", "Melting_Curves/meltCurve_H0YLX2_RFX7.pdf")</f>
        <v>Melting_Curves/meltCurve_H0YLX2_RFX7.pdf</v>
      </c>
    </row>
    <row r="655" spans="1:28" x14ac:dyDescent="0.25">
      <c r="A655" t="s">
        <v>659</v>
      </c>
      <c r="B655">
        <v>0.99352677808782597</v>
      </c>
      <c r="C655">
        <v>0.99697629911168695</v>
      </c>
      <c r="D655">
        <v>1.06925210790178</v>
      </c>
      <c r="E655">
        <v>0.72599391500227195</v>
      </c>
      <c r="F655">
        <v>0.70516225709328895</v>
      </c>
      <c r="G655">
        <v>0.21578766235670599</v>
      </c>
      <c r="H655">
        <v>8.6417661143117899E-2</v>
      </c>
      <c r="I655">
        <v>6.8146231068664798E-2</v>
      </c>
      <c r="J655">
        <v>2.9704814643405499E-2</v>
      </c>
      <c r="K655">
        <v>3.2763607324076197E-2</v>
      </c>
      <c r="L655">
        <v>1138.88925985075</v>
      </c>
      <c r="M655">
        <v>21.068358370008799</v>
      </c>
      <c r="N655">
        <v>54.135706445055</v>
      </c>
      <c r="O655">
        <v>53.576915070184803</v>
      </c>
      <c r="P655">
        <v>-9.6826063574320095E-2</v>
      </c>
      <c r="Q655">
        <v>1.51099087469814E-2</v>
      </c>
      <c r="R655">
        <v>0.97994723367743197</v>
      </c>
      <c r="S655" t="s">
        <v>6940</v>
      </c>
      <c r="T655" t="s">
        <v>12568</v>
      </c>
      <c r="U655" t="s">
        <v>12568</v>
      </c>
      <c r="V655" t="s">
        <v>12568</v>
      </c>
      <c r="W655" t="s">
        <v>13210</v>
      </c>
      <c r="X655">
        <v>1</v>
      </c>
      <c r="Y655" t="s">
        <v>19438</v>
      </c>
      <c r="Z655" t="s">
        <v>25525</v>
      </c>
      <c r="AA655">
        <v>0.4888760716631238</v>
      </c>
      <c r="AB655" t="str">
        <f>HYPERLINK("Melting_Curves/meltCurve_H0YM91_T.pdf", "Melting_Curves/meltCurve_H0YM91_T.pdf")</f>
        <v>Melting_Curves/meltCurve_H0YM91_T.pdf</v>
      </c>
    </row>
    <row r="656" spans="1:28" x14ac:dyDescent="0.25">
      <c r="A656" t="s">
        <v>660</v>
      </c>
      <c r="B656">
        <v>0.99352677808782597</v>
      </c>
      <c r="C656">
        <v>1.02529201257942</v>
      </c>
      <c r="D656">
        <v>0.90546587889437702</v>
      </c>
      <c r="E656">
        <v>0.90423471981408698</v>
      </c>
      <c r="F656">
        <v>0.77674410537918004</v>
      </c>
      <c r="G656">
        <v>0.72570580056026301</v>
      </c>
      <c r="H656">
        <v>1.2245958419202601</v>
      </c>
      <c r="I656">
        <v>1.2751081040044201</v>
      </c>
      <c r="J656">
        <v>1.56727274890812</v>
      </c>
      <c r="K656">
        <v>1.1989326092044901</v>
      </c>
      <c r="L656">
        <v>7748.6501782938803</v>
      </c>
      <c r="M656">
        <v>127.621238737819</v>
      </c>
      <c r="O656">
        <v>60.701087283616303</v>
      </c>
      <c r="P656">
        <v>0.18261890370685099</v>
      </c>
      <c r="Q656">
        <v>1.3474395296316899</v>
      </c>
      <c r="R656">
        <v>0.63162201816821995</v>
      </c>
      <c r="S656" t="s">
        <v>6941</v>
      </c>
      <c r="T656" t="s">
        <v>12568</v>
      </c>
      <c r="U656" t="s">
        <v>12568</v>
      </c>
      <c r="V656" t="s">
        <v>12568</v>
      </c>
      <c r="W656" t="s">
        <v>13211</v>
      </c>
      <c r="X656">
        <v>13</v>
      </c>
      <c r="Y656" t="s">
        <v>19439</v>
      </c>
      <c r="Z656" t="s">
        <v>25526</v>
      </c>
      <c r="AA656">
        <v>1.1073788847454109</v>
      </c>
      <c r="AB656" t="str">
        <f>HYPERLINK("Melting_Curves/meltCurve_H0YMB3_GMPR2.pdf", "Melting_Curves/meltCurve_H0YMB3_GMPR2.pdf")</f>
        <v>Melting_Curves/meltCurve_H0YMB3_GMPR2.pdf</v>
      </c>
    </row>
    <row r="657" spans="1:28" x14ac:dyDescent="0.25">
      <c r="A657" t="s">
        <v>661</v>
      </c>
      <c r="B657">
        <v>0.99352677808782597</v>
      </c>
      <c r="C657">
        <v>0.87879315388347401</v>
      </c>
      <c r="D657">
        <v>1.0255186232008999</v>
      </c>
      <c r="E657">
        <v>0.63778380418242198</v>
      </c>
      <c r="F657">
        <v>0.63811703050142299</v>
      </c>
      <c r="G657">
        <v>0.41332210593477398</v>
      </c>
      <c r="H657">
        <v>0.187704627378799</v>
      </c>
      <c r="I657">
        <v>0.133004764302077</v>
      </c>
      <c r="J657">
        <v>9.6203169225669904E-2</v>
      </c>
      <c r="K657">
        <v>6.9329253048255504E-2</v>
      </c>
      <c r="L657">
        <v>656.77454196693202</v>
      </c>
      <c r="M657">
        <v>12.0308878510362</v>
      </c>
      <c r="N657">
        <v>54.590696012831302</v>
      </c>
      <c r="O657">
        <v>53.1480611514042</v>
      </c>
      <c r="P657">
        <v>-5.6604884616134402E-2</v>
      </c>
      <c r="Q657">
        <v>0</v>
      </c>
      <c r="R657">
        <v>0.96911971013909304</v>
      </c>
      <c r="S657" t="s">
        <v>6942</v>
      </c>
      <c r="T657" t="s">
        <v>12568</v>
      </c>
      <c r="U657" t="s">
        <v>12568</v>
      </c>
      <c r="V657" t="s">
        <v>12568</v>
      </c>
      <c r="W657" t="s">
        <v>13212</v>
      </c>
      <c r="X657">
        <v>4</v>
      </c>
      <c r="Y657" t="s">
        <v>19440</v>
      </c>
      <c r="Z657" t="s">
        <v>25527</v>
      </c>
      <c r="AA657">
        <v>0.51089252694132881</v>
      </c>
      <c r="AB657" t="str">
        <f>HYPERLINK("Melting_Curves/meltCurve_H0YMJ0_MORF4L1.pdf", "Melting_Curves/meltCurve_H0YMJ0_MORF4L1.pdf")</f>
        <v>Melting_Curves/meltCurve_H0YMJ0_MORF4L1.pdf</v>
      </c>
    </row>
    <row r="658" spans="1:28" x14ac:dyDescent="0.25">
      <c r="A658" t="s">
        <v>662</v>
      </c>
      <c r="B658">
        <v>0.99352677808782597</v>
      </c>
      <c r="C658">
        <v>0.93018854831533204</v>
      </c>
      <c r="D658">
        <v>0.91925351353589302</v>
      </c>
      <c r="E658">
        <v>0.26537856780665398</v>
      </c>
      <c r="F658">
        <v>0.20868435724067699</v>
      </c>
      <c r="G658">
        <v>0.137819769008549</v>
      </c>
      <c r="H658">
        <v>9.2443966792273596E-2</v>
      </c>
      <c r="I658">
        <v>8.7482405208189604E-2</v>
      </c>
      <c r="J658">
        <v>7.4387124045165107E-2</v>
      </c>
      <c r="K658">
        <v>5.3517023649860898E-2</v>
      </c>
      <c r="L658">
        <v>1920.72229363867</v>
      </c>
      <c r="M658">
        <v>39.723766427631404</v>
      </c>
      <c r="N658">
        <v>48.627188216949101</v>
      </c>
      <c r="O658">
        <v>48.2299308630745</v>
      </c>
      <c r="P658">
        <v>-0.18517923325949601</v>
      </c>
      <c r="Q658">
        <v>0.100673397823254</v>
      </c>
      <c r="R658">
        <v>0.98861396729344397</v>
      </c>
      <c r="S658" t="s">
        <v>6943</v>
      </c>
      <c r="T658" t="s">
        <v>12568</v>
      </c>
      <c r="U658" t="s">
        <v>12568</v>
      </c>
      <c r="V658" t="s">
        <v>12568</v>
      </c>
      <c r="W658" t="s">
        <v>13213</v>
      </c>
      <c r="X658">
        <v>2</v>
      </c>
      <c r="Y658" t="s">
        <v>19441</v>
      </c>
      <c r="Z658" t="s">
        <v>25528</v>
      </c>
      <c r="AA658">
        <v>0.35409954580730102</v>
      </c>
      <c r="AB658" t="str">
        <f>HYPERLINK("Melting_Curves/meltCurve_H0YMM4_ISG20.pdf", "Melting_Curves/meltCurve_H0YMM4_ISG20.pdf")</f>
        <v>Melting_Curves/meltCurve_H0YMM4_ISG20.pdf</v>
      </c>
    </row>
    <row r="659" spans="1:28" x14ac:dyDescent="0.25">
      <c r="A659" t="s">
        <v>663</v>
      </c>
      <c r="B659">
        <v>0.99352677808782597</v>
      </c>
      <c r="C659">
        <v>0.900984267459921</v>
      </c>
      <c r="D659">
        <v>0.93890714852311796</v>
      </c>
      <c r="E659">
        <v>0.92650497040601598</v>
      </c>
      <c r="F659">
        <v>0.87781696261133502</v>
      </c>
      <c r="G659">
        <v>0.77679821348979805</v>
      </c>
      <c r="H659">
        <v>0.78005602085336601</v>
      </c>
      <c r="I659">
        <v>0.83323876884200598</v>
      </c>
      <c r="J659">
        <v>0.85599356819869699</v>
      </c>
      <c r="K659">
        <v>0.74221398556572005</v>
      </c>
      <c r="L659">
        <v>384.49065416538201</v>
      </c>
      <c r="M659">
        <v>7.5397803109956598</v>
      </c>
      <c r="O659">
        <v>47.777879499645103</v>
      </c>
      <c r="P659">
        <v>-9.5437833648854293E-3</v>
      </c>
      <c r="Q659">
        <v>0.75843341254483398</v>
      </c>
      <c r="R659">
        <v>0.72125109393280595</v>
      </c>
      <c r="S659" t="s">
        <v>6944</v>
      </c>
      <c r="T659" t="s">
        <v>12568</v>
      </c>
      <c r="U659" t="s">
        <v>12568</v>
      </c>
      <c r="V659" t="s">
        <v>12568</v>
      </c>
      <c r="W659" t="s">
        <v>13214</v>
      </c>
      <c r="X659">
        <v>1</v>
      </c>
      <c r="Y659" t="s">
        <v>19442</v>
      </c>
      <c r="Z659" t="s">
        <v>25529</v>
      </c>
      <c r="AA659">
        <v>0.86063754345503407</v>
      </c>
      <c r="AB659" t="str">
        <f>HYPERLINK("Melting_Curves/meltCurve_H0YNA7_SPPL2A.pdf", "Melting_Curves/meltCurve_H0YNA7_SPPL2A.pdf")</f>
        <v>Melting_Curves/meltCurve_H0YNA7_SPPL2A.pdf</v>
      </c>
    </row>
    <row r="660" spans="1:28" x14ac:dyDescent="0.25">
      <c r="A660" t="s">
        <v>664</v>
      </c>
      <c r="B660">
        <v>0.99352677808782597</v>
      </c>
      <c r="C660">
        <v>0.88854856924677705</v>
      </c>
      <c r="D660">
        <v>0.70742413379631897</v>
      </c>
      <c r="E660">
        <v>0.56608823451228096</v>
      </c>
      <c r="F660">
        <v>0.50404259227902404</v>
      </c>
      <c r="G660">
        <v>0.37802897448300898</v>
      </c>
      <c r="H660">
        <v>0.35177572193513301</v>
      </c>
      <c r="I660">
        <v>0.35057833675558597</v>
      </c>
      <c r="J660">
        <v>0.40612676754571497</v>
      </c>
      <c r="K660">
        <v>0.31392380291140298</v>
      </c>
      <c r="L660">
        <v>663.51747659726902</v>
      </c>
      <c r="M660">
        <v>13.967474878981699</v>
      </c>
      <c r="N660">
        <v>51.744565817641302</v>
      </c>
      <c r="O660">
        <v>46.562502727033703</v>
      </c>
      <c r="P660">
        <v>-4.9441044178680699E-2</v>
      </c>
      <c r="Q660">
        <v>0.34081398184129902</v>
      </c>
      <c r="R660">
        <v>0.98220288684250201</v>
      </c>
      <c r="S660" t="s">
        <v>6945</v>
      </c>
      <c r="T660" t="s">
        <v>12568</v>
      </c>
      <c r="U660" t="s">
        <v>12568</v>
      </c>
      <c r="V660" t="s">
        <v>12568</v>
      </c>
      <c r="W660" t="s">
        <v>13215</v>
      </c>
      <c r="X660">
        <v>45</v>
      </c>
      <c r="Y660" t="s">
        <v>19443</v>
      </c>
      <c r="Z660" t="s">
        <v>25530</v>
      </c>
      <c r="AA660">
        <v>0.52575504005352414</v>
      </c>
      <c r="AB660" t="str">
        <f>HYPERLINK("Melting_Curves/meltCurve_H0YNH8_UACA.pdf", "Melting_Curves/meltCurve_H0YNH8_UACA.pdf")</f>
        <v>Melting_Curves/meltCurve_H0YNH8_UACA.pdf</v>
      </c>
    </row>
    <row r="661" spans="1:28" x14ac:dyDescent="0.25">
      <c r="A661" t="s">
        <v>665</v>
      </c>
      <c r="B661">
        <v>0.99352677808782597</v>
      </c>
      <c r="C661">
        <v>0.97342661135344299</v>
      </c>
      <c r="D661">
        <v>0.91206968172146097</v>
      </c>
      <c r="E661">
        <v>0.34334042890466399</v>
      </c>
      <c r="F661">
        <v>0.259953434703038</v>
      </c>
      <c r="G661">
        <v>0.17993722042294499</v>
      </c>
      <c r="H661">
        <v>0.13726072318493299</v>
      </c>
      <c r="I661">
        <v>0.13102523105559299</v>
      </c>
      <c r="J661">
        <v>0.12722730894880599</v>
      </c>
      <c r="K661">
        <v>0.100858032753364</v>
      </c>
      <c r="L661">
        <v>1640.8321127863401</v>
      </c>
      <c r="M661">
        <v>33.795742854699299</v>
      </c>
      <c r="N661">
        <v>49.039409126557999</v>
      </c>
      <c r="O661">
        <v>48.382399059640797</v>
      </c>
      <c r="P661">
        <v>-0.14969377752447299</v>
      </c>
      <c r="Q661">
        <v>0.142789775259689</v>
      </c>
      <c r="R661">
        <v>0.99229054964316998</v>
      </c>
      <c r="S661" t="s">
        <v>6946</v>
      </c>
      <c r="T661" t="s">
        <v>12568</v>
      </c>
      <c r="U661" t="s">
        <v>12568</v>
      </c>
      <c r="V661" t="s">
        <v>12568</v>
      </c>
      <c r="W661" t="s">
        <v>13216</v>
      </c>
      <c r="X661">
        <v>6</v>
      </c>
      <c r="Y661" t="s">
        <v>19444</v>
      </c>
      <c r="Z661" t="s">
        <v>25531</v>
      </c>
      <c r="AA661">
        <v>0.39119802953938299</v>
      </c>
      <c r="AB661" t="str">
        <f>HYPERLINK("Melting_Curves/meltCurve_H0YNU5_BLM.pdf", "Melting_Curves/meltCurve_H0YNU5_BLM.pdf")</f>
        <v>Melting_Curves/meltCurve_H0YNU5_BLM.pdf</v>
      </c>
    </row>
    <row r="662" spans="1:28" x14ac:dyDescent="0.25">
      <c r="A662" t="s">
        <v>666</v>
      </c>
      <c r="B662">
        <v>0.99352677808782597</v>
      </c>
      <c r="C662">
        <v>0.94375326651795499</v>
      </c>
      <c r="D662">
        <v>0.937801475780911</v>
      </c>
      <c r="E662">
        <v>0.87593717528208903</v>
      </c>
      <c r="F662">
        <v>0.78269775312329604</v>
      </c>
      <c r="G662">
        <v>0.64263005128624495</v>
      </c>
      <c r="H662">
        <v>0.70351312264754096</v>
      </c>
      <c r="I662">
        <v>0.74771617445572902</v>
      </c>
      <c r="J662">
        <v>0.83573096922164003</v>
      </c>
      <c r="K662">
        <v>0.78848092185474505</v>
      </c>
      <c r="L662">
        <v>1153.1976745882801</v>
      </c>
      <c r="M662">
        <v>23.546981444718799</v>
      </c>
      <c r="O662">
        <v>48.625224949696502</v>
      </c>
      <c r="P662">
        <v>-3.0845143708292101E-2</v>
      </c>
      <c r="Q662">
        <v>0.74521982535853204</v>
      </c>
      <c r="R662">
        <v>0.75636937817726202</v>
      </c>
      <c r="S662" t="s">
        <v>6947</v>
      </c>
      <c r="T662" t="s">
        <v>12568</v>
      </c>
      <c r="U662" t="s">
        <v>12568</v>
      </c>
      <c r="V662" t="s">
        <v>12568</v>
      </c>
      <c r="W662" t="s">
        <v>13217</v>
      </c>
      <c r="X662">
        <v>1</v>
      </c>
      <c r="Y662" t="s">
        <v>19445</v>
      </c>
      <c r="Z662" t="s">
        <v>25532</v>
      </c>
      <c r="AA662">
        <v>0.82398982907582197</v>
      </c>
      <c r="AB662" t="str">
        <f>HYPERLINK("Melting_Curves/meltCurve_H0YNX7_GCHFR.pdf", "Melting_Curves/meltCurve_H0YNX7_GCHFR.pdf")</f>
        <v>Melting_Curves/meltCurve_H0YNX7_GCHFR.pdf</v>
      </c>
    </row>
    <row r="663" spans="1:28" x14ac:dyDescent="0.25">
      <c r="A663" t="s">
        <v>667</v>
      </c>
      <c r="B663">
        <v>0.99352677808782597</v>
      </c>
      <c r="C663">
        <v>0.94807482938455401</v>
      </c>
      <c r="D663">
        <v>1.0123293201024199</v>
      </c>
      <c r="E663">
        <v>0.248740548664353</v>
      </c>
      <c r="F663">
        <v>0.17624577731028501</v>
      </c>
      <c r="G663">
        <v>9.7897566604932804E-2</v>
      </c>
      <c r="H663">
        <v>7.03520257155133E-2</v>
      </c>
      <c r="I663">
        <v>6.4598851639918506E-2</v>
      </c>
      <c r="J663">
        <v>5.1018574813067402E-2</v>
      </c>
      <c r="K663">
        <v>4.0764040090030498E-2</v>
      </c>
      <c r="L663">
        <v>3328.9961254528198</v>
      </c>
      <c r="M663">
        <v>68.047606709195804</v>
      </c>
      <c r="N663">
        <v>49.050585187807599</v>
      </c>
      <c r="O663">
        <v>48.879376887754198</v>
      </c>
      <c r="P663">
        <v>-0.31952151222144598</v>
      </c>
      <c r="Q663">
        <v>8.1936372951999403E-2</v>
      </c>
      <c r="R663">
        <v>0.99112318097186303</v>
      </c>
      <c r="S663" t="s">
        <v>6948</v>
      </c>
      <c r="T663" t="s">
        <v>12568</v>
      </c>
      <c r="U663" t="s">
        <v>12568</v>
      </c>
      <c r="V663" t="s">
        <v>12568</v>
      </c>
      <c r="W663" t="s">
        <v>13218</v>
      </c>
      <c r="X663">
        <v>13</v>
      </c>
      <c r="Y663" t="s">
        <v>19446</v>
      </c>
      <c r="Z663" t="s">
        <v>25533</v>
      </c>
      <c r="AA663">
        <v>0.35602236731666059</v>
      </c>
      <c r="AB663" t="str">
        <f>HYPERLINK("Melting_Curves/meltCurve_H3BLU7_AKR7A2.pdf", "Melting_Curves/meltCurve_H3BLU7_AKR7A2.pdf")</f>
        <v>Melting_Curves/meltCurve_H3BLU7_AKR7A2.pdf</v>
      </c>
    </row>
    <row r="664" spans="1:28" x14ac:dyDescent="0.25">
      <c r="A664" t="s">
        <v>668</v>
      </c>
      <c r="B664">
        <v>0.99352677808782597</v>
      </c>
      <c r="C664">
        <v>0.95732704906511401</v>
      </c>
      <c r="D664">
        <v>0.98997480203813304</v>
      </c>
      <c r="E664">
        <v>0.83135964660150796</v>
      </c>
      <c r="F664">
        <v>0.81824492862774201</v>
      </c>
      <c r="G664">
        <v>0.54134281518274996</v>
      </c>
      <c r="H664">
        <v>0.55700714058287504</v>
      </c>
      <c r="I664">
        <v>0.60688989999085396</v>
      </c>
      <c r="J664">
        <v>0.64888802549962699</v>
      </c>
      <c r="K664">
        <v>0.49406937192793099</v>
      </c>
      <c r="L664">
        <v>1144.1135290846</v>
      </c>
      <c r="M664">
        <v>21.918728392039998</v>
      </c>
      <c r="O664">
        <v>51.769343286650503</v>
      </c>
      <c r="P664">
        <v>-4.66018868124667E-2</v>
      </c>
      <c r="Q664">
        <v>0.55973835673866201</v>
      </c>
      <c r="R664">
        <v>0.91525142703740603</v>
      </c>
      <c r="S664" t="s">
        <v>6949</v>
      </c>
      <c r="T664" t="s">
        <v>12568</v>
      </c>
      <c r="U664" t="s">
        <v>12568</v>
      </c>
      <c r="V664" t="s">
        <v>12568</v>
      </c>
      <c r="W664" t="s">
        <v>13219</v>
      </c>
      <c r="X664">
        <v>3</v>
      </c>
      <c r="Y664" t="s">
        <v>19447</v>
      </c>
      <c r="Z664" t="s">
        <v>25534</v>
      </c>
      <c r="AA664">
        <v>0.74390575206169562</v>
      </c>
      <c r="AB664" t="str">
        <f>HYPERLINK("Melting_Curves/meltCurve_H3BM42_GLG1.pdf", "Melting_Curves/meltCurve_H3BM42_GLG1.pdf")</f>
        <v>Melting_Curves/meltCurve_H3BM42_GLG1.pdf</v>
      </c>
    </row>
    <row r="665" spans="1:28" x14ac:dyDescent="0.25">
      <c r="A665" t="s">
        <v>669</v>
      </c>
      <c r="B665">
        <v>0.99352677808782597</v>
      </c>
      <c r="C665">
        <v>1.00616435785273</v>
      </c>
      <c r="D665">
        <v>0.96336798979254201</v>
      </c>
      <c r="E665">
        <v>0.82177486939358801</v>
      </c>
      <c r="F665">
        <v>0.73531097829178704</v>
      </c>
      <c r="G665">
        <v>0.58083969614481601</v>
      </c>
      <c r="H665">
        <v>0.48841394189613102</v>
      </c>
      <c r="I665">
        <v>0.51079426040906994</v>
      </c>
      <c r="J665">
        <v>0.49064014512745902</v>
      </c>
      <c r="K665">
        <v>0.30672009716882598</v>
      </c>
      <c r="L665">
        <v>632.40795476859898</v>
      </c>
      <c r="M665">
        <v>11.537778412263799</v>
      </c>
      <c r="N665">
        <v>61.1610250652856</v>
      </c>
      <c r="O665">
        <v>53.242944146697297</v>
      </c>
      <c r="P665">
        <v>-3.5274634533970797E-2</v>
      </c>
      <c r="Q665">
        <v>0.34906066149912801</v>
      </c>
      <c r="R665">
        <v>0.96511359390801699</v>
      </c>
      <c r="S665" t="s">
        <v>6950</v>
      </c>
      <c r="T665" t="s">
        <v>12568</v>
      </c>
      <c r="U665" t="s">
        <v>12568</v>
      </c>
      <c r="V665" t="s">
        <v>12568</v>
      </c>
      <c r="W665" t="s">
        <v>13220</v>
      </c>
      <c r="X665">
        <v>7</v>
      </c>
      <c r="Y665" t="s">
        <v>19448</v>
      </c>
      <c r="Z665" t="s">
        <v>25535</v>
      </c>
      <c r="AA665">
        <v>0.68649872896201125</v>
      </c>
      <c r="AB665" t="str">
        <f>HYPERLINK("Melting_Curves/meltCurve_H3BM67_NOL3.pdf", "Melting_Curves/meltCurve_H3BM67_NOL3.pdf")</f>
        <v>Melting_Curves/meltCurve_H3BM67_NOL3.pdf</v>
      </c>
    </row>
    <row r="666" spans="1:28" x14ac:dyDescent="0.25">
      <c r="A666" t="s">
        <v>670</v>
      </c>
      <c r="B666">
        <v>0.99352677808782597</v>
      </c>
      <c r="C666">
        <v>1.0027763397668701</v>
      </c>
      <c r="D666">
        <v>0.87160992766861101</v>
      </c>
      <c r="E666">
        <v>0.41946715893136</v>
      </c>
      <c r="F666">
        <v>0.27887209159979498</v>
      </c>
      <c r="G666">
        <v>0.132003054751855</v>
      </c>
      <c r="H666">
        <v>7.4266617437055302E-2</v>
      </c>
      <c r="I666">
        <v>8.26601630936033E-2</v>
      </c>
      <c r="J666">
        <v>5.3759293317553102E-2</v>
      </c>
      <c r="K666">
        <v>4.1336574977299999E-2</v>
      </c>
      <c r="L666">
        <v>1096.75246174781</v>
      </c>
      <c r="M666">
        <v>22.212140551104898</v>
      </c>
      <c r="N666">
        <v>49.691657399315801</v>
      </c>
      <c r="O666">
        <v>48.981301663506599</v>
      </c>
      <c r="P666">
        <v>-0.10591904238170501</v>
      </c>
      <c r="Q666">
        <v>6.5747230099308301E-2</v>
      </c>
      <c r="R666">
        <v>0.99479454238115705</v>
      </c>
      <c r="S666" t="s">
        <v>6951</v>
      </c>
      <c r="T666" t="s">
        <v>12568</v>
      </c>
      <c r="U666" t="s">
        <v>12568</v>
      </c>
      <c r="V666" t="s">
        <v>12568</v>
      </c>
      <c r="W666" t="s">
        <v>13221</v>
      </c>
      <c r="X666">
        <v>1</v>
      </c>
      <c r="Y666" t="s">
        <v>19449</v>
      </c>
      <c r="Z666" t="s">
        <v>25536</v>
      </c>
      <c r="AA666">
        <v>0.36830117389121608</v>
      </c>
      <c r="AB666" t="str">
        <f>HYPERLINK("Melting_Curves/meltCurve_H3BM79_AKTIP.pdf", "Melting_Curves/meltCurve_H3BM79_AKTIP.pdf")</f>
        <v>Melting_Curves/meltCurve_H3BM79_AKTIP.pdf</v>
      </c>
    </row>
    <row r="667" spans="1:28" x14ac:dyDescent="0.25">
      <c r="A667" t="s">
        <v>671</v>
      </c>
      <c r="B667">
        <v>0.99352677808782597</v>
      </c>
      <c r="C667">
        <v>0.94303455788093704</v>
      </c>
      <c r="D667">
        <v>0.83081706321962201</v>
      </c>
      <c r="E667">
        <v>0.66908844625707098</v>
      </c>
      <c r="F667">
        <v>0.592764561323323</v>
      </c>
      <c r="G667">
        <v>0.462057608520552</v>
      </c>
      <c r="H667">
        <v>0.424300841158677</v>
      </c>
      <c r="I667">
        <v>0.41508733376499801</v>
      </c>
      <c r="J667">
        <v>0.50371065890628397</v>
      </c>
      <c r="K667">
        <v>0.36232006198787697</v>
      </c>
      <c r="L667">
        <v>701.97776403001706</v>
      </c>
      <c r="M667">
        <v>14.2324655968334</v>
      </c>
      <c r="N667">
        <v>55.859548377569702</v>
      </c>
      <c r="O667">
        <v>48.379210126065999</v>
      </c>
      <c r="P667">
        <v>-4.3731385936970402E-2</v>
      </c>
      <c r="Q667">
        <v>0.40546424216215199</v>
      </c>
      <c r="R667">
        <v>0.97522383952658898</v>
      </c>
      <c r="S667" t="s">
        <v>6952</v>
      </c>
      <c r="T667" t="s">
        <v>12568</v>
      </c>
      <c r="U667" t="s">
        <v>12568</v>
      </c>
      <c r="V667" t="s">
        <v>12568</v>
      </c>
      <c r="W667" t="s">
        <v>13222</v>
      </c>
      <c r="X667">
        <v>2</v>
      </c>
      <c r="Y667" t="s">
        <v>19450</v>
      </c>
      <c r="Z667" t="s">
        <v>25537</v>
      </c>
      <c r="AA667">
        <v>0.60617473280980882</v>
      </c>
      <c r="AB667" t="str">
        <f>HYPERLINK("Melting_Curves/meltCurve_H3BMJ2_C15orf39.pdf", "Melting_Curves/meltCurve_H3BMJ2_C15orf39.pdf")</f>
        <v>Melting_Curves/meltCurve_H3BMJ2_C15orf39.pdf</v>
      </c>
    </row>
    <row r="668" spans="1:28" x14ac:dyDescent="0.25">
      <c r="A668" t="s">
        <v>672</v>
      </c>
      <c r="B668">
        <v>0.99352677808782597</v>
      </c>
      <c r="C668">
        <v>1.09755215581237</v>
      </c>
      <c r="D668">
        <v>0.89911243376605199</v>
      </c>
      <c r="E668">
        <v>0.621820945949354</v>
      </c>
      <c r="F668">
        <v>0.56570846013814402</v>
      </c>
      <c r="G668">
        <v>0.29357337747099099</v>
      </c>
      <c r="H668">
        <v>0.150181475572157</v>
      </c>
      <c r="I668">
        <v>0.126780693995175</v>
      </c>
      <c r="J668">
        <v>9.2419809022237495E-2</v>
      </c>
      <c r="K668">
        <v>7.55602174984535E-2</v>
      </c>
      <c r="L668">
        <v>775.40899576700701</v>
      </c>
      <c r="M668">
        <v>14.712352708456899</v>
      </c>
      <c r="N668">
        <v>53.118239389857003</v>
      </c>
      <c r="O668">
        <v>51.759627469883903</v>
      </c>
      <c r="P668">
        <v>-6.7222368569690105E-2</v>
      </c>
      <c r="Q668">
        <v>5.4121215410653102E-2</v>
      </c>
      <c r="R668">
        <v>0.98075206351301303</v>
      </c>
      <c r="S668" t="s">
        <v>6953</v>
      </c>
      <c r="T668" t="s">
        <v>12568</v>
      </c>
      <c r="U668" t="s">
        <v>12568</v>
      </c>
      <c r="V668" t="s">
        <v>12568</v>
      </c>
      <c r="W668" t="s">
        <v>13223</v>
      </c>
      <c r="X668">
        <v>1</v>
      </c>
      <c r="Y668" t="s">
        <v>19451</v>
      </c>
      <c r="Z668" t="s">
        <v>25538</v>
      </c>
      <c r="AA668">
        <v>0.47586541913368002</v>
      </c>
      <c r="AB668" t="str">
        <f>HYPERLINK("Melting_Curves/meltCurve_H3BN26_SEZ6L2.pdf", "Melting_Curves/meltCurve_H3BN26_SEZ6L2.pdf")</f>
        <v>Melting_Curves/meltCurve_H3BN26_SEZ6L2.pdf</v>
      </c>
    </row>
    <row r="669" spans="1:28" x14ac:dyDescent="0.25">
      <c r="A669" t="s">
        <v>673</v>
      </c>
      <c r="B669">
        <v>0.99352677808782597</v>
      </c>
      <c r="C669">
        <v>0.94024119016826602</v>
      </c>
      <c r="D669">
        <v>0.95946919541764097</v>
      </c>
      <c r="E669">
        <v>0.843615407175902</v>
      </c>
      <c r="F669">
        <v>0.81694030621944302</v>
      </c>
      <c r="G669">
        <v>0.72671662662389303</v>
      </c>
      <c r="H669">
        <v>0.65543886099766702</v>
      </c>
      <c r="I669">
        <v>0.68911468236788298</v>
      </c>
      <c r="J669">
        <v>0.70790196019559104</v>
      </c>
      <c r="K669">
        <v>0.61385164448516105</v>
      </c>
      <c r="L669">
        <v>594.21847025410295</v>
      </c>
      <c r="M669">
        <v>11.3989842404774</v>
      </c>
      <c r="O669">
        <v>50.6020779568058</v>
      </c>
      <c r="P669">
        <v>-2.0766000032873301E-2</v>
      </c>
      <c r="Q669">
        <v>0.63137282689639596</v>
      </c>
      <c r="R669">
        <v>0.95450278999191696</v>
      </c>
      <c r="S669" t="s">
        <v>6954</v>
      </c>
      <c r="T669" t="s">
        <v>12568</v>
      </c>
      <c r="U669" t="s">
        <v>12568</v>
      </c>
      <c r="V669" t="s">
        <v>12568</v>
      </c>
      <c r="W669" t="s">
        <v>13224</v>
      </c>
      <c r="X669">
        <v>6</v>
      </c>
      <c r="Y669" t="s">
        <v>19452</v>
      </c>
      <c r="Z669" t="s">
        <v>25539</v>
      </c>
      <c r="AA669">
        <v>0.79232502833892837</v>
      </c>
      <c r="AB669" t="str">
        <f>HYPERLINK("Melting_Curves/meltCurve_H3BN72_COX4I1.pdf", "Melting_Curves/meltCurve_H3BN72_COX4I1.pdf")</f>
        <v>Melting_Curves/meltCurve_H3BN72_COX4I1.pdf</v>
      </c>
    </row>
    <row r="670" spans="1:28" x14ac:dyDescent="0.25">
      <c r="A670" t="s">
        <v>674</v>
      </c>
      <c r="B670">
        <v>0.99352677808782597</v>
      </c>
      <c r="C670">
        <v>0.88508683102471197</v>
      </c>
      <c r="D670">
        <v>0.95627219081525205</v>
      </c>
      <c r="E670">
        <v>0.477133969753533</v>
      </c>
      <c r="F670">
        <v>0.43318887171506798</v>
      </c>
      <c r="G670">
        <v>0.290159939909442</v>
      </c>
      <c r="H670">
        <v>0.20939331615537199</v>
      </c>
      <c r="I670">
        <v>0.19053348373842799</v>
      </c>
      <c r="J670">
        <v>0.19281645072957501</v>
      </c>
      <c r="K670">
        <v>0.16675074123677999</v>
      </c>
      <c r="L670">
        <v>923.31150478034203</v>
      </c>
      <c r="M670">
        <v>18.570210068075099</v>
      </c>
      <c r="N670">
        <v>51.0030863206863</v>
      </c>
      <c r="O670">
        <v>49.1542306447081</v>
      </c>
      <c r="P670">
        <v>-7.6826776313052902E-2</v>
      </c>
      <c r="Q670">
        <v>0.18661202401438001</v>
      </c>
      <c r="R670">
        <v>0.97098963216854794</v>
      </c>
      <c r="S670" t="s">
        <v>6955</v>
      </c>
      <c r="T670" t="s">
        <v>12568</v>
      </c>
      <c r="U670" t="s">
        <v>12568</v>
      </c>
      <c r="V670" t="s">
        <v>12568</v>
      </c>
      <c r="W670" t="s">
        <v>13225</v>
      </c>
      <c r="X670">
        <v>1</v>
      </c>
      <c r="Y670" t="s">
        <v>19453</v>
      </c>
      <c r="Z670" t="s">
        <v>25540</v>
      </c>
      <c r="AA670">
        <v>0.46325997588613271</v>
      </c>
      <c r="AB670" t="str">
        <f>HYPERLINK("Melting_Curves/meltCurve_H3BNA7_KIAA0513.pdf", "Melting_Curves/meltCurve_H3BNA7_KIAA0513.pdf")</f>
        <v>Melting_Curves/meltCurve_H3BNA7_KIAA0513.pdf</v>
      </c>
    </row>
    <row r="671" spans="1:28" x14ac:dyDescent="0.25">
      <c r="A671" t="s">
        <v>675</v>
      </c>
      <c r="B671">
        <v>0.99352677808782597</v>
      </c>
      <c r="C671">
        <v>0.75285955690142103</v>
      </c>
      <c r="D671">
        <v>0.95607745683522105</v>
      </c>
      <c r="E671">
        <v>0.77763159260890902</v>
      </c>
      <c r="F671">
        <v>0.74181786149742601</v>
      </c>
      <c r="G671">
        <v>0.76580328507654905</v>
      </c>
      <c r="H671">
        <v>0.55446245918025905</v>
      </c>
      <c r="I671">
        <v>0.62521644204229998</v>
      </c>
      <c r="J671">
        <v>0.616698695627104</v>
      </c>
      <c r="K671">
        <v>0.54066312170992903</v>
      </c>
      <c r="L671">
        <v>253.85072449839001</v>
      </c>
      <c r="M671">
        <v>4.1433883984775397</v>
      </c>
      <c r="O671">
        <v>50.849674079575699</v>
      </c>
      <c r="P671">
        <v>-1.4710735782761801E-2</v>
      </c>
      <c r="Q671">
        <v>0.28604189440038902</v>
      </c>
      <c r="R671">
        <v>0.76721333553370197</v>
      </c>
      <c r="S671" t="s">
        <v>6956</v>
      </c>
      <c r="T671" t="s">
        <v>12568</v>
      </c>
      <c r="U671" t="s">
        <v>12568</v>
      </c>
      <c r="V671" t="s">
        <v>12568</v>
      </c>
      <c r="W671" t="s">
        <v>13226</v>
      </c>
      <c r="X671">
        <v>1</v>
      </c>
      <c r="Y671" t="s">
        <v>19454</v>
      </c>
      <c r="Z671" t="s">
        <v>25541</v>
      </c>
      <c r="AA671">
        <v>0.73223097941634507</v>
      </c>
      <c r="AB671" t="str">
        <f>HYPERLINK("Melting_Curves/meltCurve_H3BNG0_FAM219B.pdf", "Melting_Curves/meltCurve_H3BNG0_FAM219B.pdf")</f>
        <v>Melting_Curves/meltCurve_H3BNG0_FAM219B.pdf</v>
      </c>
    </row>
    <row r="672" spans="1:28" x14ac:dyDescent="0.25">
      <c r="A672" t="s">
        <v>676</v>
      </c>
      <c r="B672">
        <v>0.99352677808782597</v>
      </c>
      <c r="C672">
        <v>0.88511889287731504</v>
      </c>
      <c r="D672">
        <v>0.94305864576489595</v>
      </c>
      <c r="E672">
        <v>0.53981810432375299</v>
      </c>
      <c r="F672">
        <v>0.51578073406292602</v>
      </c>
      <c r="G672">
        <v>0.226173505609405</v>
      </c>
      <c r="H672">
        <v>0.18026681412148701</v>
      </c>
      <c r="I672">
        <v>0.17544105545126701</v>
      </c>
      <c r="J672">
        <v>0.17444871795837899</v>
      </c>
      <c r="K672">
        <v>9.6085854290202097E-2</v>
      </c>
      <c r="L672">
        <v>769.72531241177603</v>
      </c>
      <c r="M672">
        <v>15.0843587459196</v>
      </c>
      <c r="N672">
        <v>51.945008924960199</v>
      </c>
      <c r="O672">
        <v>50.1564060372149</v>
      </c>
      <c r="P672">
        <v>-6.6404807594538207E-2</v>
      </c>
      <c r="Q672">
        <v>0.116886963318504</v>
      </c>
      <c r="R672">
        <v>0.97359995337523697</v>
      </c>
      <c r="S672" t="s">
        <v>6957</v>
      </c>
      <c r="T672" t="s">
        <v>12568</v>
      </c>
      <c r="U672" t="s">
        <v>12568</v>
      </c>
      <c r="V672" t="s">
        <v>12568</v>
      </c>
      <c r="W672" t="s">
        <v>13227</v>
      </c>
      <c r="X672">
        <v>3</v>
      </c>
      <c r="Y672" t="s">
        <v>19455</v>
      </c>
      <c r="Z672" t="s">
        <v>25542</v>
      </c>
      <c r="AA672">
        <v>0.46171859633296031</v>
      </c>
      <c r="AB672" t="str">
        <f>HYPERLINK("Melting_Curves/meltCurve_H3BNK2_LYRM1.pdf", "Melting_Curves/meltCurve_H3BNK2_LYRM1.pdf")</f>
        <v>Melting_Curves/meltCurve_H3BNK2_LYRM1.pdf</v>
      </c>
    </row>
    <row r="673" spans="1:28" x14ac:dyDescent="0.25">
      <c r="A673" t="s">
        <v>677</v>
      </c>
      <c r="B673">
        <v>0.99352677808782597</v>
      </c>
      <c r="C673">
        <v>1.04661827984742</v>
      </c>
      <c r="D673">
        <v>0.976097270263526</v>
      </c>
      <c r="E673">
        <v>0.92642689423342905</v>
      </c>
      <c r="F673">
        <v>0.747070729321196</v>
      </c>
      <c r="G673">
        <v>0.65991187093013304</v>
      </c>
      <c r="H673">
        <v>0.60692282429142297</v>
      </c>
      <c r="I673">
        <v>0.57787517488579598</v>
      </c>
      <c r="J673">
        <v>0.667454130424458</v>
      </c>
      <c r="K673">
        <v>0.60459461347396604</v>
      </c>
      <c r="L673">
        <v>1647.8274937501501</v>
      </c>
      <c r="M673">
        <v>31.649936042885901</v>
      </c>
      <c r="O673">
        <v>51.857638818107702</v>
      </c>
      <c r="P673">
        <v>-5.8496934843693997E-2</v>
      </c>
      <c r="Q673">
        <v>0.61661888470961901</v>
      </c>
      <c r="R673">
        <v>0.975212492255353</v>
      </c>
      <c r="S673" t="s">
        <v>6958</v>
      </c>
      <c r="T673" t="s">
        <v>12568</v>
      </c>
      <c r="U673" t="s">
        <v>12568</v>
      </c>
      <c r="V673" t="s">
        <v>12568</v>
      </c>
      <c r="W673" t="s">
        <v>13228</v>
      </c>
      <c r="X673">
        <v>3</v>
      </c>
      <c r="Y673" t="s">
        <v>19456</v>
      </c>
      <c r="Z673" t="s">
        <v>25543</v>
      </c>
      <c r="AA673">
        <v>0.77299591085878105</v>
      </c>
      <c r="AB673" t="str">
        <f>HYPERLINK("Melting_Curves/meltCurve_H3BNM4_INO80E.pdf", "Melting_Curves/meltCurve_H3BNM4_INO80E.pdf")</f>
        <v>Melting_Curves/meltCurve_H3BNM4_INO80E.pdf</v>
      </c>
    </row>
    <row r="674" spans="1:28" x14ac:dyDescent="0.25">
      <c r="A674" t="s">
        <v>678</v>
      </c>
      <c r="B674">
        <v>0.99352677808782597</v>
      </c>
      <c r="C674">
        <v>0.88014417333418404</v>
      </c>
      <c r="D674">
        <v>0.75570653994051296</v>
      </c>
      <c r="E674">
        <v>0.29309095741070701</v>
      </c>
      <c r="F674">
        <v>0.23542488739970399</v>
      </c>
      <c r="G674">
        <v>0.115929862577451</v>
      </c>
      <c r="H674">
        <v>8.8767701300077703E-2</v>
      </c>
      <c r="I674">
        <v>9.2090080719605505E-2</v>
      </c>
      <c r="J674">
        <v>6.6309651532545602E-2</v>
      </c>
      <c r="K674">
        <v>4.7786436023088602E-2</v>
      </c>
      <c r="L674">
        <v>959.56635406958799</v>
      </c>
      <c r="M674">
        <v>20.052205955205601</v>
      </c>
      <c r="N674">
        <v>48.232030806789503</v>
      </c>
      <c r="O674">
        <v>47.385105601223799</v>
      </c>
      <c r="P674">
        <v>-9.8092650055083802E-2</v>
      </c>
      <c r="Q674">
        <v>7.2824038460490306E-2</v>
      </c>
      <c r="R674">
        <v>0.99233044416323402</v>
      </c>
      <c r="S674" t="s">
        <v>6959</v>
      </c>
      <c r="T674" t="s">
        <v>12568</v>
      </c>
      <c r="U674" t="s">
        <v>12568</v>
      </c>
      <c r="V674" t="s">
        <v>12568</v>
      </c>
      <c r="W674" t="s">
        <v>13229</v>
      </c>
      <c r="X674">
        <v>5</v>
      </c>
      <c r="Y674" t="s">
        <v>19457</v>
      </c>
      <c r="Z674" t="s">
        <v>25544</v>
      </c>
      <c r="AA674">
        <v>0.328685649158584</v>
      </c>
      <c r="AB674" t="str">
        <f>HYPERLINK("Melting_Curves/meltCurve_H3BPB8_MPI.pdf", "Melting_Curves/meltCurve_H3BPB8_MPI.pdf")</f>
        <v>Melting_Curves/meltCurve_H3BPB8_MPI.pdf</v>
      </c>
    </row>
    <row r="675" spans="1:28" x14ac:dyDescent="0.25">
      <c r="A675" t="s">
        <v>679</v>
      </c>
      <c r="B675">
        <v>0.99352677808782597</v>
      </c>
      <c r="C675">
        <v>1.0264834231279301</v>
      </c>
      <c r="D675">
        <v>0.87081365536612598</v>
      </c>
      <c r="E675">
        <v>0.46314511197081698</v>
      </c>
      <c r="F675">
        <v>0.376440307998478</v>
      </c>
      <c r="G675">
        <v>0.20855277826044999</v>
      </c>
      <c r="H675">
        <v>0.14210036242329499</v>
      </c>
      <c r="I675">
        <v>0.14480375876193499</v>
      </c>
      <c r="J675">
        <v>0.12085982022771501</v>
      </c>
      <c r="K675">
        <v>9.8591187676325798E-2</v>
      </c>
      <c r="L675">
        <v>985.93752802812503</v>
      </c>
      <c r="M675">
        <v>19.8646980603773</v>
      </c>
      <c r="N675">
        <v>50.365736393905898</v>
      </c>
      <c r="O675">
        <v>49.137860661841202</v>
      </c>
      <c r="P675">
        <v>-8.8380793065528998E-2</v>
      </c>
      <c r="Q675">
        <v>0.12554442366601501</v>
      </c>
      <c r="R675">
        <v>0.98915678265128204</v>
      </c>
      <c r="S675" t="s">
        <v>6960</v>
      </c>
      <c r="T675" t="s">
        <v>12568</v>
      </c>
      <c r="U675" t="s">
        <v>12568</v>
      </c>
      <c r="V675" t="s">
        <v>12568</v>
      </c>
      <c r="W675" t="s">
        <v>13230</v>
      </c>
      <c r="X675">
        <v>141</v>
      </c>
      <c r="Y675" t="s">
        <v>19208</v>
      </c>
      <c r="Z675" t="s">
        <v>25545</v>
      </c>
      <c r="AA675">
        <v>0.4186805405067876</v>
      </c>
      <c r="AB675" t="str">
        <f>HYPERLINK("Melting_Curves/meltCurve_H3BPE1_MACF1.pdf", "Melting_Curves/meltCurve_H3BPE1_MACF1.pdf")</f>
        <v>Melting_Curves/meltCurve_H3BPE1_MACF1.pdf</v>
      </c>
    </row>
    <row r="676" spans="1:28" x14ac:dyDescent="0.25">
      <c r="A676" t="s">
        <v>680</v>
      </c>
      <c r="B676">
        <v>0.99352677808782597</v>
      </c>
      <c r="C676">
        <v>1.0158411410516699</v>
      </c>
      <c r="D676">
        <v>1.0646014317333701</v>
      </c>
      <c r="E676">
        <v>1.0960278751641299</v>
      </c>
      <c r="F676">
        <v>0.89510572534517696</v>
      </c>
      <c r="G676">
        <v>0.77471186865671604</v>
      </c>
      <c r="H676">
        <v>0.69505316136123296</v>
      </c>
      <c r="I676">
        <v>0.72973404016323595</v>
      </c>
      <c r="J676">
        <v>0.832679093715323</v>
      </c>
      <c r="K676">
        <v>0.75617386644778095</v>
      </c>
      <c r="L676">
        <v>13264.3207135343</v>
      </c>
      <c r="M676">
        <v>250</v>
      </c>
      <c r="O676">
        <v>53.053887284530099</v>
      </c>
      <c r="P676">
        <v>-0.28547578123395001</v>
      </c>
      <c r="Q676">
        <v>0.75767040039647704</v>
      </c>
      <c r="R676">
        <v>0.87690491531265602</v>
      </c>
      <c r="S676" t="s">
        <v>6961</v>
      </c>
      <c r="T676" t="s">
        <v>12568</v>
      </c>
      <c r="U676" t="s">
        <v>12568</v>
      </c>
      <c r="V676" t="s">
        <v>12568</v>
      </c>
      <c r="W676" t="s">
        <v>13231</v>
      </c>
      <c r="X676">
        <v>2</v>
      </c>
      <c r="Y676" t="s">
        <v>19458</v>
      </c>
      <c r="Z676" t="s">
        <v>25546</v>
      </c>
      <c r="AA676">
        <v>0.86316516904424945</v>
      </c>
      <c r="AB676" t="str">
        <f>HYPERLINK("Melting_Curves/meltCurve_H3BPG5_RNPS1.pdf", "Melting_Curves/meltCurve_H3BPG5_RNPS1.pdf")</f>
        <v>Melting_Curves/meltCurve_H3BPG5_RNPS1.pdf</v>
      </c>
    </row>
    <row r="677" spans="1:28" x14ac:dyDescent="0.25">
      <c r="A677" t="s">
        <v>681</v>
      </c>
      <c r="B677">
        <v>0.99352677808782597</v>
      </c>
      <c r="C677">
        <v>1.0803532760227601</v>
      </c>
      <c r="D677">
        <v>0.96381995640547902</v>
      </c>
      <c r="E677">
        <v>0.99336582406886798</v>
      </c>
      <c r="F677">
        <v>0.693144037260365</v>
      </c>
      <c r="G677">
        <v>0.57817375883805999</v>
      </c>
      <c r="H677">
        <v>0.63363962682062303</v>
      </c>
      <c r="I677">
        <v>0.50191727729902103</v>
      </c>
      <c r="J677">
        <v>0.286339279877593</v>
      </c>
      <c r="K677">
        <v>0.27258974860901902</v>
      </c>
      <c r="L677">
        <v>531.91471665053905</v>
      </c>
      <c r="M677">
        <v>8.6201765693924592</v>
      </c>
      <c r="N677">
        <v>61.994105997392502</v>
      </c>
      <c r="O677">
        <v>58.654400754276999</v>
      </c>
      <c r="P677">
        <v>-3.6050231417250403E-2</v>
      </c>
      <c r="Q677">
        <v>1.9649383013140301E-2</v>
      </c>
      <c r="R677">
        <v>0.92003304242533301</v>
      </c>
      <c r="S677" t="s">
        <v>6962</v>
      </c>
      <c r="T677" t="s">
        <v>12568</v>
      </c>
      <c r="U677" t="s">
        <v>12568</v>
      </c>
      <c r="V677" t="s">
        <v>12568</v>
      </c>
      <c r="W677" t="s">
        <v>13232</v>
      </c>
      <c r="X677">
        <v>25</v>
      </c>
      <c r="Y677" t="s">
        <v>19459</v>
      </c>
      <c r="Z677" t="s">
        <v>25547</v>
      </c>
      <c r="AA677">
        <v>0.70152729421274285</v>
      </c>
      <c r="AB677" t="str">
        <f>HYPERLINK("Melting_Curves/meltCurve_H3BPS8_ALDOA.pdf", "Melting_Curves/meltCurve_H3BPS8_ALDOA.pdf")</f>
        <v>Melting_Curves/meltCurve_H3BPS8_ALDOA.pdf</v>
      </c>
    </row>
    <row r="678" spans="1:28" x14ac:dyDescent="0.25">
      <c r="A678" t="s">
        <v>682</v>
      </c>
      <c r="B678">
        <v>0.99352677808782597</v>
      </c>
      <c r="C678">
        <v>1.0299417628179099</v>
      </c>
      <c r="D678">
        <v>1.0073476226196501</v>
      </c>
      <c r="E678">
        <v>0.34976079679133998</v>
      </c>
      <c r="F678">
        <v>0.26592315396442501</v>
      </c>
      <c r="G678">
        <v>0.117970630301483</v>
      </c>
      <c r="H678">
        <v>8.6308524586832497E-2</v>
      </c>
      <c r="I678">
        <v>0.111682645230161</v>
      </c>
      <c r="J678">
        <v>6.9410980433782105E-2</v>
      </c>
      <c r="K678">
        <v>9.5695366179901806E-2</v>
      </c>
      <c r="L678">
        <v>2156.0792889233599</v>
      </c>
      <c r="M678">
        <v>43.9595861641019</v>
      </c>
      <c r="N678">
        <v>49.339550247383102</v>
      </c>
      <c r="O678">
        <v>48.945677356373302</v>
      </c>
      <c r="P678">
        <v>-0.198761864466483</v>
      </c>
      <c r="Q678">
        <v>0.114775992230018</v>
      </c>
      <c r="R678">
        <v>0.98605539188213398</v>
      </c>
      <c r="S678" t="s">
        <v>6963</v>
      </c>
      <c r="T678" t="s">
        <v>12568</v>
      </c>
      <c r="U678" t="s">
        <v>12568</v>
      </c>
      <c r="V678" t="s">
        <v>12568</v>
      </c>
      <c r="W678" t="s">
        <v>13233</v>
      </c>
      <c r="X678">
        <v>1</v>
      </c>
      <c r="Z678" t="s">
        <v>25548</v>
      </c>
      <c r="AA678">
        <v>0.38420829818212288</v>
      </c>
      <c r="AB678" t="str">
        <f>HYPERLINK("Melting_Curves/meltCurve_H3BQF6_.pdf", "Melting_Curves/meltCurve_H3BQF6_.pdf")</f>
        <v>Melting_Curves/meltCurve_H3BQF6_.pdf</v>
      </c>
    </row>
    <row r="679" spans="1:28" x14ac:dyDescent="0.25">
      <c r="A679" t="s">
        <v>683</v>
      </c>
      <c r="B679">
        <v>0.99352677808782597</v>
      </c>
      <c r="C679">
        <v>0.90680083199796202</v>
      </c>
      <c r="D679">
        <v>0.88174169012576498</v>
      </c>
      <c r="E679">
        <v>0.83403254620496003</v>
      </c>
      <c r="F679">
        <v>0.75663783904894799</v>
      </c>
      <c r="G679">
        <v>0.47804158671078301</v>
      </c>
      <c r="H679">
        <v>0.38352873926424103</v>
      </c>
      <c r="I679">
        <v>0.38089008034062699</v>
      </c>
      <c r="J679">
        <v>0.32609332992254703</v>
      </c>
      <c r="K679">
        <v>0.21792595461853501</v>
      </c>
      <c r="L679">
        <v>542.94636162187396</v>
      </c>
      <c r="M679">
        <v>9.6334420453165208</v>
      </c>
      <c r="N679">
        <v>58.2524016223337</v>
      </c>
      <c r="O679">
        <v>54.092573753210402</v>
      </c>
      <c r="P679">
        <v>-3.8564093777190001E-2</v>
      </c>
      <c r="Q679">
        <v>0.13432339751608799</v>
      </c>
      <c r="R679">
        <v>0.97598828563231699</v>
      </c>
      <c r="S679" t="s">
        <v>6964</v>
      </c>
      <c r="T679" t="s">
        <v>12568</v>
      </c>
      <c r="U679" t="s">
        <v>12568</v>
      </c>
      <c r="V679" t="s">
        <v>12568</v>
      </c>
      <c r="W679" t="s">
        <v>13234</v>
      </c>
      <c r="X679">
        <v>15</v>
      </c>
      <c r="Y679" t="s">
        <v>19460</v>
      </c>
      <c r="Z679" t="s">
        <v>25549</v>
      </c>
      <c r="AA679">
        <v>0.62292700818308944</v>
      </c>
      <c r="AB679" t="str">
        <f>HYPERLINK("Melting_Curves/meltCurve_H3BQQ2_ZNF598.pdf", "Melting_Curves/meltCurve_H3BQQ2_ZNF598.pdf")</f>
        <v>Melting_Curves/meltCurve_H3BQQ2_ZNF598.pdf</v>
      </c>
    </row>
    <row r="680" spans="1:28" x14ac:dyDescent="0.25">
      <c r="A680" t="s">
        <v>684</v>
      </c>
      <c r="B680">
        <v>0.99352677808782597</v>
      </c>
      <c r="C680">
        <v>0.91358113205672897</v>
      </c>
      <c r="D680">
        <v>0.55075091832788403</v>
      </c>
      <c r="E680">
        <v>0.275271779659993</v>
      </c>
      <c r="F680">
        <v>0.19381550422011201</v>
      </c>
      <c r="G680">
        <v>0.119813565326172</v>
      </c>
      <c r="H680">
        <v>7.88134926392903E-2</v>
      </c>
      <c r="I680">
        <v>6.3567659231548404E-2</v>
      </c>
      <c r="J680">
        <v>5.5095583191396097E-2</v>
      </c>
      <c r="K680">
        <v>5.3303460079019399E-2</v>
      </c>
      <c r="L680">
        <v>925.36679901964601</v>
      </c>
      <c r="M680">
        <v>19.8297998845104</v>
      </c>
      <c r="N680">
        <v>47.034855676459301</v>
      </c>
      <c r="O680">
        <v>46.198657705893702</v>
      </c>
      <c r="P680">
        <v>-9.95729714235951E-2</v>
      </c>
      <c r="Q680">
        <v>7.2107076083443702E-2</v>
      </c>
      <c r="R680">
        <v>0.99206472063001405</v>
      </c>
      <c r="S680" t="s">
        <v>6965</v>
      </c>
      <c r="T680" t="s">
        <v>12568</v>
      </c>
      <c r="U680" t="s">
        <v>12568</v>
      </c>
      <c r="V680" t="s">
        <v>12568</v>
      </c>
      <c r="W680" t="s">
        <v>13235</v>
      </c>
      <c r="X680">
        <v>7</v>
      </c>
      <c r="Y680" t="s">
        <v>19461</v>
      </c>
      <c r="Z680" t="s">
        <v>25550</v>
      </c>
      <c r="AA680">
        <v>0.29232252139916992</v>
      </c>
      <c r="AB680" t="str">
        <f>HYPERLINK("Melting_Curves/meltCurve_H3BQV3_COG8.pdf", "Melting_Curves/meltCurve_H3BQV3_COG8.pdf")</f>
        <v>Melting_Curves/meltCurve_H3BQV3_COG8.pdf</v>
      </c>
    </row>
    <row r="681" spans="1:28" x14ac:dyDescent="0.25">
      <c r="A681" t="s">
        <v>685</v>
      </c>
      <c r="B681">
        <v>0.99352677808782597</v>
      </c>
      <c r="C681">
        <v>0.984080645119501</v>
      </c>
      <c r="D681">
        <v>0.95707470539078199</v>
      </c>
      <c r="E681">
        <v>0.54064764708778001</v>
      </c>
      <c r="F681">
        <v>0.43390768068772301</v>
      </c>
      <c r="G681">
        <v>0.32060639563846499</v>
      </c>
      <c r="H681">
        <v>0.230761788305437</v>
      </c>
      <c r="I681">
        <v>0.260610481739523</v>
      </c>
      <c r="J681">
        <v>0.22321423685745501</v>
      </c>
      <c r="K681">
        <v>0.20136509296216201</v>
      </c>
      <c r="L681">
        <v>1122.5134689451299</v>
      </c>
      <c r="M681">
        <v>22.529451199671598</v>
      </c>
      <c r="N681">
        <v>51.276584073781301</v>
      </c>
      <c r="O681">
        <v>49.4367061906636</v>
      </c>
      <c r="P681">
        <v>-8.7061569401289896E-2</v>
      </c>
      <c r="Q681">
        <v>0.23585359678232701</v>
      </c>
      <c r="R681">
        <v>0.98724790022054498</v>
      </c>
      <c r="S681" t="s">
        <v>6966</v>
      </c>
      <c r="T681" t="s">
        <v>12568</v>
      </c>
      <c r="U681" t="s">
        <v>12568</v>
      </c>
      <c r="V681" t="s">
        <v>12568</v>
      </c>
      <c r="W681" t="s">
        <v>13236</v>
      </c>
      <c r="X681">
        <v>8</v>
      </c>
      <c r="Y681" t="s">
        <v>19462</v>
      </c>
      <c r="Z681" t="s">
        <v>25551</v>
      </c>
      <c r="AA681">
        <v>0.49449772927499291</v>
      </c>
      <c r="AB681" t="str">
        <f>HYPERLINK("Melting_Curves/meltCurve_H3BQZ7_hCG_2044799.pdf", "Melting_Curves/meltCurve_H3BQZ7_hCG_2044799.pdf")</f>
        <v>Melting_Curves/meltCurve_H3BQZ7_hCG_2044799.pdf</v>
      </c>
    </row>
    <row r="682" spans="1:28" x14ac:dyDescent="0.25">
      <c r="A682" t="s">
        <v>686</v>
      </c>
      <c r="B682">
        <v>0.99352677808782597</v>
      </c>
      <c r="C682">
        <v>0.88490447071145295</v>
      </c>
      <c r="D682">
        <v>0.94899018825773596</v>
      </c>
      <c r="E682">
        <v>0.821451003533749</v>
      </c>
      <c r="F682">
        <v>0.63919133696636299</v>
      </c>
      <c r="G682">
        <v>0.50293742878951497</v>
      </c>
      <c r="H682">
        <v>0.36644230009501899</v>
      </c>
      <c r="I682">
        <v>0.352903239679696</v>
      </c>
      <c r="J682">
        <v>0.32593830893039999</v>
      </c>
      <c r="K682">
        <v>0.18351639990638099</v>
      </c>
      <c r="L682">
        <v>562.22149339840303</v>
      </c>
      <c r="M682">
        <v>10.1416379217223</v>
      </c>
      <c r="N682">
        <v>57.380436038123499</v>
      </c>
      <c r="O682">
        <v>53.411053304945298</v>
      </c>
      <c r="P682">
        <v>-4.05883433382015E-2</v>
      </c>
      <c r="Q682">
        <v>0.145357899646296</v>
      </c>
      <c r="R682">
        <v>0.97818536342623197</v>
      </c>
      <c r="S682" t="s">
        <v>6967</v>
      </c>
      <c r="T682" t="s">
        <v>12568</v>
      </c>
      <c r="U682" t="s">
        <v>12568</v>
      </c>
      <c r="V682" t="s">
        <v>12568</v>
      </c>
      <c r="W682" t="s">
        <v>13237</v>
      </c>
      <c r="X682">
        <v>1</v>
      </c>
      <c r="Y682" t="s">
        <v>19463</v>
      </c>
      <c r="Z682" t="s">
        <v>25552</v>
      </c>
      <c r="AA682">
        <v>0.60543524767749957</v>
      </c>
      <c r="AB682" t="str">
        <f>HYPERLINK("Melting_Curves/meltCurve_H3BRB6_ZNRF1.pdf", "Melting_Curves/meltCurve_H3BRB6_ZNRF1.pdf")</f>
        <v>Melting_Curves/meltCurve_H3BRB6_ZNRF1.pdf</v>
      </c>
    </row>
    <row r="683" spans="1:28" x14ac:dyDescent="0.25">
      <c r="A683" t="s">
        <v>687</v>
      </c>
      <c r="B683">
        <v>0.99352677808782597</v>
      </c>
      <c r="C683">
        <v>0.96494378323013297</v>
      </c>
      <c r="D683">
        <v>0.96212496111066304</v>
      </c>
      <c r="E683">
        <v>0.95791921758810095</v>
      </c>
      <c r="F683">
        <v>0.92799663752704098</v>
      </c>
      <c r="G683">
        <v>0.84508362723893404</v>
      </c>
      <c r="H683">
        <v>0.83443737293588205</v>
      </c>
      <c r="I683">
        <v>0.91826395912859504</v>
      </c>
      <c r="J683">
        <v>0.89271744270959497</v>
      </c>
      <c r="K683">
        <v>0.73571041213195798</v>
      </c>
      <c r="L683">
        <v>241.82267224940901</v>
      </c>
      <c r="M683">
        <v>2.05229817261701</v>
      </c>
      <c r="Q683">
        <v>0</v>
      </c>
      <c r="R683">
        <v>0.666783638055509</v>
      </c>
      <c r="S683" t="s">
        <v>6968</v>
      </c>
      <c r="T683" t="s">
        <v>12568</v>
      </c>
      <c r="U683" t="s">
        <v>12568</v>
      </c>
      <c r="V683" t="s">
        <v>12568</v>
      </c>
      <c r="W683" t="s">
        <v>13238</v>
      </c>
      <c r="X683">
        <v>11</v>
      </c>
      <c r="Y683" t="s">
        <v>19464</v>
      </c>
      <c r="Z683" t="s">
        <v>25553</v>
      </c>
      <c r="AA683">
        <v>0.90560407454111969</v>
      </c>
      <c r="AB683" t="str">
        <f>HYPERLINK("Melting_Curves/meltCurve_H3BRF9_ZFYVE19.pdf", "Melting_Curves/meltCurve_H3BRF9_ZFYVE19.pdf")</f>
        <v>Melting_Curves/meltCurve_H3BRF9_ZFYVE19.pdf</v>
      </c>
    </row>
    <row r="684" spans="1:28" x14ac:dyDescent="0.25">
      <c r="A684" t="s">
        <v>688</v>
      </c>
      <c r="B684">
        <v>0.99352677808782597</v>
      </c>
      <c r="C684">
        <v>0.72636117124395105</v>
      </c>
      <c r="D684">
        <v>0.99011843635902996</v>
      </c>
      <c r="E684">
        <v>0.54148489884749196</v>
      </c>
      <c r="F684">
        <v>0.55098059668812704</v>
      </c>
      <c r="G684">
        <v>0.37975595500025899</v>
      </c>
      <c r="H684">
        <v>0.25518757172800999</v>
      </c>
      <c r="I684">
        <v>0.23374217634094299</v>
      </c>
      <c r="J684">
        <v>0.28730167369454201</v>
      </c>
      <c r="K684">
        <v>0.22030889039825899</v>
      </c>
      <c r="L684">
        <v>567.16940045281297</v>
      </c>
      <c r="M684">
        <v>11.1325757843817</v>
      </c>
      <c r="N684">
        <v>53.130501894599099</v>
      </c>
      <c r="O684">
        <v>49.385829119334602</v>
      </c>
      <c r="P684">
        <v>-4.6024053329259802E-2</v>
      </c>
      <c r="Q684">
        <v>0.18358391481677799</v>
      </c>
      <c r="R684">
        <v>0.89736838532876095</v>
      </c>
      <c r="S684" t="s">
        <v>6969</v>
      </c>
      <c r="T684" t="s">
        <v>12568</v>
      </c>
      <c r="U684" t="s">
        <v>12568</v>
      </c>
      <c r="V684" t="s">
        <v>12568</v>
      </c>
      <c r="W684" t="s">
        <v>13239</v>
      </c>
      <c r="X684">
        <v>1</v>
      </c>
      <c r="Y684" t="s">
        <v>19465</v>
      </c>
      <c r="Z684" t="s">
        <v>25554</v>
      </c>
      <c r="AA684">
        <v>0.51115794588872476</v>
      </c>
      <c r="AB684" t="str">
        <f>HYPERLINK("Melting_Curves/meltCurve_H3BRG4_UQCRC2.pdf", "Melting_Curves/meltCurve_H3BRG4_UQCRC2.pdf")</f>
        <v>Melting_Curves/meltCurve_H3BRG4_UQCRC2.pdf</v>
      </c>
    </row>
    <row r="685" spans="1:28" x14ac:dyDescent="0.25">
      <c r="A685" t="s">
        <v>689</v>
      </c>
      <c r="B685">
        <v>0.99352677808782597</v>
      </c>
      <c r="C685">
        <v>0.94383808968707505</v>
      </c>
      <c r="D685">
        <v>1.0174571622639099</v>
      </c>
      <c r="E685">
        <v>0.90356327463180797</v>
      </c>
      <c r="F685">
        <v>0.84251806701522602</v>
      </c>
      <c r="G685">
        <v>0.62287752797572205</v>
      </c>
      <c r="H685">
        <v>0.27639717084361398</v>
      </c>
      <c r="I685">
        <v>0.17200838861892601</v>
      </c>
      <c r="J685">
        <v>0.145483960592277</v>
      </c>
      <c r="K685">
        <v>0.119240497068528</v>
      </c>
      <c r="L685">
        <v>1119.0404894347</v>
      </c>
      <c r="M685">
        <v>19.449346220099301</v>
      </c>
      <c r="N685">
        <v>58.039273088614699</v>
      </c>
      <c r="O685">
        <v>56.938257185720801</v>
      </c>
      <c r="P685">
        <v>-7.8774718447927702E-2</v>
      </c>
      <c r="Q685">
        <v>7.7576789393042994E-2</v>
      </c>
      <c r="R685">
        <v>0.99270718745811204</v>
      </c>
      <c r="S685" t="s">
        <v>6970</v>
      </c>
      <c r="T685" t="s">
        <v>12568</v>
      </c>
      <c r="U685" t="s">
        <v>12568</v>
      </c>
      <c r="V685" t="s">
        <v>12568</v>
      </c>
      <c r="W685" t="s">
        <v>13240</v>
      </c>
      <c r="X685">
        <v>13</v>
      </c>
      <c r="Y685" t="s">
        <v>19466</v>
      </c>
      <c r="Z685" t="s">
        <v>25555</v>
      </c>
      <c r="AA685">
        <v>0.62796584828646462</v>
      </c>
      <c r="AB685" t="str">
        <f>HYPERLINK("Melting_Curves/meltCurve_H3BRL3_UBFD1.pdf", "Melting_Curves/meltCurve_H3BRL3_UBFD1.pdf")</f>
        <v>Melting_Curves/meltCurve_H3BRL3_UBFD1.pdf</v>
      </c>
    </row>
    <row r="686" spans="1:28" x14ac:dyDescent="0.25">
      <c r="A686" t="s">
        <v>690</v>
      </c>
      <c r="B686">
        <v>0.99352677808782597</v>
      </c>
      <c r="C686">
        <v>0.95334035364372405</v>
      </c>
      <c r="D686">
        <v>0.75113026553809603</v>
      </c>
      <c r="E686">
        <v>0.72893091258940401</v>
      </c>
      <c r="F686">
        <v>0.69082807489121201</v>
      </c>
      <c r="G686">
        <v>0.59492148214815499</v>
      </c>
      <c r="H686">
        <v>0.48774261861238899</v>
      </c>
      <c r="I686">
        <v>0.53629817638022803</v>
      </c>
      <c r="J686">
        <v>0.529343644065005</v>
      </c>
      <c r="K686">
        <v>0.433411278662518</v>
      </c>
      <c r="L686">
        <v>463.38208703960697</v>
      </c>
      <c r="M686">
        <v>9.1911061073784008</v>
      </c>
      <c r="N686">
        <v>65.142399068666506</v>
      </c>
      <c r="O686">
        <v>48.201898258004398</v>
      </c>
      <c r="P686">
        <v>-2.68373587672135E-2</v>
      </c>
      <c r="Q686">
        <v>0.43739322156015797</v>
      </c>
      <c r="R686">
        <v>0.94329557338207604</v>
      </c>
      <c r="S686" t="s">
        <v>6971</v>
      </c>
      <c r="T686" t="s">
        <v>12568</v>
      </c>
      <c r="U686" t="s">
        <v>12568</v>
      </c>
      <c r="V686" t="s">
        <v>12568</v>
      </c>
      <c r="W686" t="s">
        <v>13241</v>
      </c>
      <c r="X686">
        <v>5</v>
      </c>
      <c r="Y686" t="s">
        <v>19467</v>
      </c>
      <c r="Z686" t="s">
        <v>25556</v>
      </c>
      <c r="AA686">
        <v>0.66009437111680236</v>
      </c>
      <c r="AB686" t="str">
        <f>HYPERLINK("Melting_Curves/meltCurve_H3BRS1_NFATC3.pdf", "Melting_Curves/meltCurve_H3BRS1_NFATC3.pdf")</f>
        <v>Melting_Curves/meltCurve_H3BRS1_NFATC3.pdf</v>
      </c>
    </row>
    <row r="687" spans="1:28" x14ac:dyDescent="0.25">
      <c r="A687" t="s">
        <v>691</v>
      </c>
      <c r="B687">
        <v>0.99352677808782597</v>
      </c>
      <c r="C687">
        <v>0.93053605951431095</v>
      </c>
      <c r="D687">
        <v>0.85401185035235205</v>
      </c>
      <c r="E687">
        <v>0.48836402406259499</v>
      </c>
      <c r="F687">
        <v>0.412302077640889</v>
      </c>
      <c r="G687">
        <v>0.27969205212569798</v>
      </c>
      <c r="H687">
        <v>0.19976820052723401</v>
      </c>
      <c r="I687">
        <v>0.19638312389353699</v>
      </c>
      <c r="J687">
        <v>0.18644593243445301</v>
      </c>
      <c r="K687">
        <v>0.13683055327258301</v>
      </c>
      <c r="L687">
        <v>803.10590881918404</v>
      </c>
      <c r="M687">
        <v>16.2190247178455</v>
      </c>
      <c r="N687">
        <v>50.780224795997903</v>
      </c>
      <c r="O687">
        <v>48.781893435301498</v>
      </c>
      <c r="P687">
        <v>-6.9321002734348394E-2</v>
      </c>
      <c r="Q687">
        <v>0.166076039356682</v>
      </c>
      <c r="R687">
        <v>0.99121750135141196</v>
      </c>
      <c r="S687" t="s">
        <v>6972</v>
      </c>
      <c r="T687" t="s">
        <v>12568</v>
      </c>
      <c r="U687" t="s">
        <v>12568</v>
      </c>
      <c r="V687" t="s">
        <v>12568</v>
      </c>
      <c r="W687" t="s">
        <v>13242</v>
      </c>
      <c r="X687">
        <v>30</v>
      </c>
      <c r="Y687" t="s">
        <v>19468</v>
      </c>
      <c r="Z687" t="s">
        <v>25557</v>
      </c>
      <c r="AA687">
        <v>0.44808542133530338</v>
      </c>
      <c r="AB687" t="str">
        <f>HYPERLINK("Melting_Curves/meltCurve_H3BRV0_EIF3C.pdf", "Melting_Curves/meltCurve_H3BRV0_EIF3C.pdf")</f>
        <v>Melting_Curves/meltCurve_H3BRV0_EIF3C.pdf</v>
      </c>
    </row>
    <row r="688" spans="1:28" x14ac:dyDescent="0.25">
      <c r="A688" t="s">
        <v>692</v>
      </c>
      <c r="B688">
        <v>0.99352677808782597</v>
      </c>
      <c r="C688">
        <v>0.89353034416612198</v>
      </c>
      <c r="D688">
        <v>0.89731068663720304</v>
      </c>
      <c r="E688">
        <v>0.92955471256126998</v>
      </c>
      <c r="F688">
        <v>0.85463879332888903</v>
      </c>
      <c r="G688">
        <v>0.75469345432998403</v>
      </c>
      <c r="H688">
        <v>0.65306825241422695</v>
      </c>
      <c r="I688">
        <v>0.75574144777165797</v>
      </c>
      <c r="J688">
        <v>0.60208784462074705</v>
      </c>
      <c r="K688">
        <v>0.60672827732654699</v>
      </c>
      <c r="L688">
        <v>292.971894486677</v>
      </c>
      <c r="M688">
        <v>4.1876546406342099</v>
      </c>
      <c r="O688">
        <v>58.2519401257155</v>
      </c>
      <c r="P688">
        <v>-1.45651465026775E-2</v>
      </c>
      <c r="Q688">
        <v>0.198455916608546</v>
      </c>
      <c r="R688">
        <v>0.88745366003124904</v>
      </c>
      <c r="S688" t="s">
        <v>6973</v>
      </c>
      <c r="T688" t="s">
        <v>12568</v>
      </c>
      <c r="U688" t="s">
        <v>12568</v>
      </c>
      <c r="V688" t="s">
        <v>12568</v>
      </c>
      <c r="W688" t="s">
        <v>13243</v>
      </c>
      <c r="X688">
        <v>1</v>
      </c>
      <c r="Y688" t="s">
        <v>19469</v>
      </c>
      <c r="Z688" t="s">
        <v>25558</v>
      </c>
      <c r="AA688">
        <v>0.79808047757803613</v>
      </c>
      <c r="AB688" t="str">
        <f>HYPERLINK("Melting_Curves/meltCurve_H3BS88_TEX9.pdf", "Melting_Curves/meltCurve_H3BS88_TEX9.pdf")</f>
        <v>Melting_Curves/meltCurve_H3BS88_TEX9.pdf</v>
      </c>
    </row>
    <row r="689" spans="1:28" x14ac:dyDescent="0.25">
      <c r="A689" t="s">
        <v>693</v>
      </c>
      <c r="B689">
        <v>0.99352677808782597</v>
      </c>
      <c r="C689">
        <v>1.06066870325189</v>
      </c>
      <c r="D689">
        <v>0.87748309929922497</v>
      </c>
      <c r="E689">
        <v>0.90448442419012798</v>
      </c>
      <c r="F689">
        <v>0.72240286476327598</v>
      </c>
      <c r="G689">
        <v>0.53354631934044705</v>
      </c>
      <c r="H689">
        <v>0.36060740705642802</v>
      </c>
      <c r="I689">
        <v>0.297081969977946</v>
      </c>
      <c r="J689">
        <v>0.28890223973206602</v>
      </c>
      <c r="K689">
        <v>0.17607526231220899</v>
      </c>
      <c r="L689">
        <v>739.97074590980401</v>
      </c>
      <c r="M689">
        <v>13.173753244371101</v>
      </c>
      <c r="N689">
        <v>57.772401626559301</v>
      </c>
      <c r="O689">
        <v>54.923070294000702</v>
      </c>
      <c r="P689">
        <v>-5.0796586433376499E-2</v>
      </c>
      <c r="Q689">
        <v>0.153031995257148</v>
      </c>
      <c r="R689">
        <v>0.98214756997809805</v>
      </c>
      <c r="S689" t="s">
        <v>6974</v>
      </c>
      <c r="T689" t="s">
        <v>12568</v>
      </c>
      <c r="U689" t="s">
        <v>12568</v>
      </c>
      <c r="V689" t="s">
        <v>12568</v>
      </c>
      <c r="W689" t="s">
        <v>13244</v>
      </c>
      <c r="X689">
        <v>12</v>
      </c>
      <c r="Y689" t="s">
        <v>19470</v>
      </c>
      <c r="Z689" t="s">
        <v>25559</v>
      </c>
      <c r="AA689">
        <v>0.62567120938588794</v>
      </c>
      <c r="AB689" t="str">
        <f>HYPERLINK("Melting_Curves/meltCurve_H3BSC1_RAB11A.pdf", "Melting_Curves/meltCurve_H3BSC1_RAB11A.pdf")</f>
        <v>Melting_Curves/meltCurve_H3BSC1_RAB11A.pdf</v>
      </c>
    </row>
    <row r="690" spans="1:28" x14ac:dyDescent="0.25">
      <c r="A690" t="s">
        <v>694</v>
      </c>
      <c r="B690">
        <v>0.99352677808782597</v>
      </c>
      <c r="C690">
        <v>0.89634966916825498</v>
      </c>
      <c r="D690">
        <v>0.87099140512847895</v>
      </c>
      <c r="E690">
        <v>0.57212247419770101</v>
      </c>
      <c r="F690">
        <v>0.52772062229831296</v>
      </c>
      <c r="G690">
        <v>0.30883610568816999</v>
      </c>
      <c r="H690">
        <v>0.30911967439412702</v>
      </c>
      <c r="I690">
        <v>0.36843893674234701</v>
      </c>
      <c r="J690">
        <v>0.37589799455559297</v>
      </c>
      <c r="K690">
        <v>0.42156664470819699</v>
      </c>
      <c r="L690">
        <v>938.03012733071796</v>
      </c>
      <c r="M690">
        <v>19.271052170484001</v>
      </c>
      <c r="N690">
        <v>51.992042261843203</v>
      </c>
      <c r="O690">
        <v>48.160547102724898</v>
      </c>
      <c r="P690">
        <v>-6.4650944039133906E-2</v>
      </c>
      <c r="Q690">
        <v>0.35374413175331099</v>
      </c>
      <c r="R690">
        <v>0.96157820842268105</v>
      </c>
      <c r="S690" t="s">
        <v>6975</v>
      </c>
      <c r="T690" t="s">
        <v>12568</v>
      </c>
      <c r="U690" t="s">
        <v>12568</v>
      </c>
      <c r="V690" t="s">
        <v>12568</v>
      </c>
      <c r="W690" t="s">
        <v>13245</v>
      </c>
      <c r="X690">
        <v>1</v>
      </c>
      <c r="Y690" t="s">
        <v>19471</v>
      </c>
      <c r="Z690" t="s">
        <v>25560</v>
      </c>
      <c r="AA690">
        <v>0.55043752568864146</v>
      </c>
      <c r="AB690" t="str">
        <f>HYPERLINK("Melting_Curves/meltCurve_H3BSL4_E4F1.pdf", "Melting_Curves/meltCurve_H3BSL4_E4F1.pdf")</f>
        <v>Melting_Curves/meltCurve_H3BSL4_E4F1.pdf</v>
      </c>
    </row>
    <row r="691" spans="1:28" x14ac:dyDescent="0.25">
      <c r="A691" t="s">
        <v>695</v>
      </c>
      <c r="B691">
        <v>0.99352677808782597</v>
      </c>
      <c r="C691">
        <v>1.03071305956143</v>
      </c>
      <c r="D691">
        <v>0.97143433129429702</v>
      </c>
      <c r="E691">
        <v>0.82289378956870296</v>
      </c>
      <c r="F691">
        <v>0.71087909603609001</v>
      </c>
      <c r="G691">
        <v>0.46178369740152297</v>
      </c>
      <c r="H691">
        <v>0.32323727079921499</v>
      </c>
      <c r="I691">
        <v>0.233536962586265</v>
      </c>
      <c r="J691">
        <v>0.25607070257945302</v>
      </c>
      <c r="K691">
        <v>0.161140558246677</v>
      </c>
      <c r="L691">
        <v>829.35903392140199</v>
      </c>
      <c r="M691">
        <v>15.081130271087201</v>
      </c>
      <c r="N691">
        <v>56.4346740934132</v>
      </c>
      <c r="O691">
        <v>54.053423685602503</v>
      </c>
      <c r="P691">
        <v>-5.86072232490224E-2</v>
      </c>
      <c r="Q691">
        <v>0.15984875445952201</v>
      </c>
      <c r="R691">
        <v>0.99439452466859501</v>
      </c>
      <c r="S691" t="s">
        <v>6976</v>
      </c>
      <c r="T691" t="s">
        <v>12568</v>
      </c>
      <c r="U691" t="s">
        <v>12568</v>
      </c>
      <c r="V691" t="s">
        <v>12568</v>
      </c>
      <c r="W691" t="s">
        <v>13246</v>
      </c>
      <c r="X691">
        <v>1</v>
      </c>
      <c r="Y691" t="s">
        <v>19472</v>
      </c>
      <c r="Z691" t="s">
        <v>25561</v>
      </c>
      <c r="AA691">
        <v>0.59584789848356368</v>
      </c>
      <c r="AB691" t="str">
        <f>HYPERLINK("Melting_Curves/meltCurve_H3BST1_BLOC1S6.pdf", "Melting_Curves/meltCurve_H3BST1_BLOC1S6.pdf")</f>
        <v>Melting_Curves/meltCurve_H3BST1_BLOC1S6.pdf</v>
      </c>
    </row>
    <row r="692" spans="1:28" x14ac:dyDescent="0.25">
      <c r="A692" t="s">
        <v>696</v>
      </c>
      <c r="B692">
        <v>0.99352677808782597</v>
      </c>
      <c r="C692">
        <v>1.0662286544600901</v>
      </c>
      <c r="D692">
        <v>1.07010889501691</v>
      </c>
      <c r="E692">
        <v>0.85335728030494795</v>
      </c>
      <c r="F692">
        <v>0.67376313899584095</v>
      </c>
      <c r="G692">
        <v>0.31273023100244002</v>
      </c>
      <c r="H692">
        <v>5.7287955151864398E-2</v>
      </c>
      <c r="I692">
        <v>4.9015852256402197E-2</v>
      </c>
      <c r="J692">
        <v>3.3861788697898097E-2</v>
      </c>
      <c r="K692">
        <v>5.7526269210108104E-3</v>
      </c>
      <c r="L692">
        <v>1213.71205421682</v>
      </c>
      <c r="M692">
        <v>22.185256952915001</v>
      </c>
      <c r="N692">
        <v>54.716198282748003</v>
      </c>
      <c r="O692">
        <v>54.269362598753503</v>
      </c>
      <c r="P692">
        <v>-0.102032824293796</v>
      </c>
      <c r="Q692">
        <v>1.6546975092577301E-3</v>
      </c>
      <c r="R692">
        <v>0.99207856334421296</v>
      </c>
      <c r="S692" t="s">
        <v>6977</v>
      </c>
      <c r="T692" t="s">
        <v>12568</v>
      </c>
      <c r="U692" t="s">
        <v>12568</v>
      </c>
      <c r="V692" t="s">
        <v>12568</v>
      </c>
      <c r="W692" t="s">
        <v>13247</v>
      </c>
      <c r="X692">
        <v>6</v>
      </c>
      <c r="Y692" t="s">
        <v>19473</v>
      </c>
      <c r="Z692" t="s">
        <v>25562</v>
      </c>
      <c r="AA692">
        <v>0.50245807576891344</v>
      </c>
      <c r="AB692" t="str">
        <f>HYPERLINK("Melting_Curves/meltCurve_H3BSW0_LRRC57.pdf", "Melting_Curves/meltCurve_H3BSW0_LRRC57.pdf")</f>
        <v>Melting_Curves/meltCurve_H3BSW0_LRRC57.pdf</v>
      </c>
    </row>
    <row r="693" spans="1:28" x14ac:dyDescent="0.25">
      <c r="A693" t="s">
        <v>697</v>
      </c>
      <c r="B693">
        <v>0.99352677808782597</v>
      </c>
      <c r="C693">
        <v>0.920503207137922</v>
      </c>
      <c r="D693">
        <v>0.81215249728283301</v>
      </c>
      <c r="E693">
        <v>0.25057581810573598</v>
      </c>
      <c r="F693">
        <v>0.19900480029374401</v>
      </c>
      <c r="G693">
        <v>0.112224287680186</v>
      </c>
      <c r="H693">
        <v>7.2110021026611598E-2</v>
      </c>
      <c r="I693">
        <v>5.97939263012141E-2</v>
      </c>
      <c r="J693">
        <v>4.9070228173034199E-2</v>
      </c>
      <c r="K693">
        <v>4.3199567180872499E-2</v>
      </c>
      <c r="L693">
        <v>1304.1434403369501</v>
      </c>
      <c r="M693">
        <v>27.193913785203101</v>
      </c>
      <c r="N693">
        <v>48.223379878611198</v>
      </c>
      <c r="O693">
        <v>47.700109026919499</v>
      </c>
      <c r="P693">
        <v>-0.13259397420100799</v>
      </c>
      <c r="Q693">
        <v>6.9691204450312697E-2</v>
      </c>
      <c r="R693">
        <v>0.99146729889813601</v>
      </c>
      <c r="S693" t="s">
        <v>6978</v>
      </c>
      <c r="T693" t="s">
        <v>12568</v>
      </c>
      <c r="U693" t="s">
        <v>12568</v>
      </c>
      <c r="V693" t="s">
        <v>12568</v>
      </c>
      <c r="W693" t="s">
        <v>13248</v>
      </c>
      <c r="X693">
        <v>8</v>
      </c>
      <c r="Y693" t="s">
        <v>19474</v>
      </c>
      <c r="Z693" t="s">
        <v>25563</v>
      </c>
      <c r="AA693">
        <v>0.32332608624239362</v>
      </c>
      <c r="AB693" t="str">
        <f>HYPERLINK("Melting_Curves/meltCurve_H3BTB7_EARS2.pdf", "Melting_Curves/meltCurve_H3BTB7_EARS2.pdf")</f>
        <v>Melting_Curves/meltCurve_H3BTB7_EARS2.pdf</v>
      </c>
    </row>
    <row r="694" spans="1:28" x14ac:dyDescent="0.25">
      <c r="A694" t="s">
        <v>698</v>
      </c>
      <c r="B694">
        <v>0.99352677808782597</v>
      </c>
      <c r="C694">
        <v>1.0171292188710399</v>
      </c>
      <c r="D694">
        <v>1.00925249691929</v>
      </c>
      <c r="E694">
        <v>0.80576176542278699</v>
      </c>
      <c r="F694">
        <v>0.73180394513904201</v>
      </c>
      <c r="G694">
        <v>0.451708961419234</v>
      </c>
      <c r="H694">
        <v>0.28771439565292101</v>
      </c>
      <c r="I694">
        <v>0.208906717116629</v>
      </c>
      <c r="J694">
        <v>0.16779508077602301</v>
      </c>
      <c r="K694">
        <v>0.12040839837390099</v>
      </c>
      <c r="L694">
        <v>828.64553021461802</v>
      </c>
      <c r="M694">
        <v>14.906340132222899</v>
      </c>
      <c r="N694">
        <v>56.362839490693197</v>
      </c>
      <c r="O694">
        <v>54.618438264759902</v>
      </c>
      <c r="P694">
        <v>-6.1930475241553297E-2</v>
      </c>
      <c r="Q694">
        <v>9.2414229184469607E-2</v>
      </c>
      <c r="R694">
        <v>0.99454802303853096</v>
      </c>
      <c r="S694" t="s">
        <v>6979</v>
      </c>
      <c r="T694" t="s">
        <v>12568</v>
      </c>
      <c r="U694" t="s">
        <v>12568</v>
      </c>
      <c r="V694" t="s">
        <v>12568</v>
      </c>
      <c r="W694" t="s">
        <v>13249</v>
      </c>
      <c r="X694">
        <v>7</v>
      </c>
      <c r="Y694" t="s">
        <v>19475</v>
      </c>
      <c r="Z694" t="s">
        <v>25564</v>
      </c>
      <c r="AA694">
        <v>0.58087223443616665</v>
      </c>
      <c r="AB694" t="str">
        <f>HYPERLINK("Melting_Curves/meltCurve_H3BTL1_MAP1LC3B.pdf", "Melting_Curves/meltCurve_H3BTL1_MAP1LC3B.pdf")</f>
        <v>Melting_Curves/meltCurve_H3BTL1_MAP1LC3B.pdf</v>
      </c>
    </row>
    <row r="695" spans="1:28" x14ac:dyDescent="0.25">
      <c r="A695" t="s">
        <v>699</v>
      </c>
      <c r="B695">
        <v>0.99352677808782597</v>
      </c>
      <c r="C695">
        <v>1.01917498603428</v>
      </c>
      <c r="D695">
        <v>0.92163028528204305</v>
      </c>
      <c r="E695">
        <v>0.86075892638252904</v>
      </c>
      <c r="F695">
        <v>0.80190848788826996</v>
      </c>
      <c r="G695">
        <v>0.75612801559209697</v>
      </c>
      <c r="H695">
        <v>0.71375500952982895</v>
      </c>
      <c r="I695">
        <v>0.73608582072850204</v>
      </c>
      <c r="J695">
        <v>0.73781935965269396</v>
      </c>
      <c r="K695">
        <v>0.63266067894160904</v>
      </c>
      <c r="L695">
        <v>657.86412820016096</v>
      </c>
      <c r="M695">
        <v>12.8539885876272</v>
      </c>
      <c r="O695">
        <v>49.988497582593197</v>
      </c>
      <c r="P695">
        <v>-2.0327251730297001E-2</v>
      </c>
      <c r="Q695">
        <v>0.68385173142133904</v>
      </c>
      <c r="R695">
        <v>0.94187849095263898</v>
      </c>
      <c r="S695" t="s">
        <v>6980</v>
      </c>
      <c r="T695" t="s">
        <v>12568</v>
      </c>
      <c r="U695" t="s">
        <v>12568</v>
      </c>
      <c r="V695" t="s">
        <v>12568</v>
      </c>
      <c r="W695" t="s">
        <v>13233</v>
      </c>
      <c r="X695">
        <v>5</v>
      </c>
      <c r="Z695" t="s">
        <v>25565</v>
      </c>
      <c r="AA695">
        <v>0.81090275145128565</v>
      </c>
      <c r="AB695" t="str">
        <f>HYPERLINK("Melting_Curves/meltCurve_H3BTX0_.pdf", "Melting_Curves/meltCurve_H3BTX0_.pdf")</f>
        <v>Melting_Curves/meltCurve_H3BTX0_.pdf</v>
      </c>
    </row>
    <row r="696" spans="1:28" x14ac:dyDescent="0.25">
      <c r="A696" t="s">
        <v>700</v>
      </c>
      <c r="B696">
        <v>0.99352677808782597</v>
      </c>
      <c r="C696">
        <v>0.99880239858651598</v>
      </c>
      <c r="D696">
        <v>1.10688898467066</v>
      </c>
      <c r="E696">
        <v>1.2262930666699701</v>
      </c>
      <c r="F696">
        <v>1.1453412029775001</v>
      </c>
      <c r="G696">
        <v>0.97187393487116802</v>
      </c>
      <c r="H696">
        <v>0.35204056104769699</v>
      </c>
      <c r="I696">
        <v>0.20558823211762101</v>
      </c>
      <c r="J696">
        <v>0.16891412669251801</v>
      </c>
      <c r="K696">
        <v>0.109801886299411</v>
      </c>
      <c r="L696">
        <v>3700.9385458000102</v>
      </c>
      <c r="M696">
        <v>61.821562579831102</v>
      </c>
      <c r="N696">
        <v>60.224615310967003</v>
      </c>
      <c r="O696">
        <v>59.802304840513401</v>
      </c>
      <c r="P696">
        <v>-0.21853984221849199</v>
      </c>
      <c r="Q696">
        <v>0.15439333314142001</v>
      </c>
      <c r="R696">
        <v>0.95344436351742201</v>
      </c>
      <c r="S696" t="s">
        <v>6981</v>
      </c>
      <c r="T696" t="s">
        <v>12568</v>
      </c>
      <c r="U696" t="s">
        <v>12568</v>
      </c>
      <c r="V696" t="s">
        <v>12568</v>
      </c>
      <c r="W696" t="s">
        <v>13250</v>
      </c>
      <c r="X696">
        <v>3</v>
      </c>
      <c r="Y696" t="s">
        <v>19476</v>
      </c>
      <c r="Z696" t="s">
        <v>25566</v>
      </c>
      <c r="AA696">
        <v>0.71577441064732794</v>
      </c>
      <c r="AB696" t="str">
        <f>HYPERLINK("Melting_Curves/meltCurve_H3BU49_ARL2BP.pdf", "Melting_Curves/meltCurve_H3BU49_ARL2BP.pdf")</f>
        <v>Melting_Curves/meltCurve_H3BU49_ARL2BP.pdf</v>
      </c>
    </row>
    <row r="697" spans="1:28" x14ac:dyDescent="0.25">
      <c r="A697" t="s">
        <v>701</v>
      </c>
      <c r="B697">
        <v>0.99352677808782597</v>
      </c>
      <c r="C697">
        <v>0.88067455891496804</v>
      </c>
      <c r="D697">
        <v>1.0398348138818101</v>
      </c>
      <c r="E697">
        <v>0.93304411102566098</v>
      </c>
      <c r="F697">
        <v>0.83920665659355798</v>
      </c>
      <c r="G697">
        <v>0.68296580351951097</v>
      </c>
      <c r="H697">
        <v>0.68262314467198304</v>
      </c>
      <c r="I697">
        <v>0.67413169674196305</v>
      </c>
      <c r="J697">
        <v>0.65157611781457203</v>
      </c>
      <c r="K697">
        <v>0.50194746587856598</v>
      </c>
      <c r="L697">
        <v>591.59402250650101</v>
      </c>
      <c r="M697">
        <v>10.415465984628</v>
      </c>
      <c r="O697">
        <v>54.825440465147601</v>
      </c>
      <c r="P697">
        <v>-2.3178130772186299E-2</v>
      </c>
      <c r="Q697">
        <v>0.51217808071221504</v>
      </c>
      <c r="R697">
        <v>0.88012961222205199</v>
      </c>
      <c r="S697" t="s">
        <v>6982</v>
      </c>
      <c r="T697" t="s">
        <v>12568</v>
      </c>
      <c r="U697" t="s">
        <v>12568</v>
      </c>
      <c r="V697" t="s">
        <v>12568</v>
      </c>
      <c r="W697" t="s">
        <v>13251</v>
      </c>
      <c r="X697">
        <v>40</v>
      </c>
      <c r="Y697" t="s">
        <v>19477</v>
      </c>
      <c r="Z697" t="s">
        <v>25567</v>
      </c>
      <c r="AA697">
        <v>0.79375184773669238</v>
      </c>
      <c r="AB697" t="str">
        <f>HYPERLINK("Melting_Curves/meltCurve_H3BUF6_ATXN2L.pdf", "Melting_Curves/meltCurve_H3BUF6_ATXN2L.pdf")</f>
        <v>Melting_Curves/meltCurve_H3BUF6_ATXN2L.pdf</v>
      </c>
    </row>
    <row r="698" spans="1:28" x14ac:dyDescent="0.25">
      <c r="A698" t="s">
        <v>702</v>
      </c>
      <c r="B698">
        <v>0.99352677808782597</v>
      </c>
      <c r="C698">
        <v>1.0251087384706501</v>
      </c>
      <c r="D698">
        <v>0.96087629695205701</v>
      </c>
      <c r="E698">
        <v>0.43893047508642802</v>
      </c>
      <c r="F698">
        <v>0.422308668829661</v>
      </c>
      <c r="G698">
        <v>0.20410483345593899</v>
      </c>
      <c r="H698">
        <v>0.118852256751694</v>
      </c>
      <c r="I698">
        <v>9.3570727218369704E-2</v>
      </c>
      <c r="J698">
        <v>7.7534204811021704E-2</v>
      </c>
      <c r="K698">
        <v>6.5534134031411298E-2</v>
      </c>
      <c r="L698">
        <v>975.28521733329899</v>
      </c>
      <c r="M698">
        <v>19.3921566897986</v>
      </c>
      <c r="N698">
        <v>50.793347873731101</v>
      </c>
      <c r="O698">
        <v>49.7671108890261</v>
      </c>
      <c r="P698">
        <v>-8.8944596653028798E-2</v>
      </c>
      <c r="Q698">
        <v>8.6980804039144002E-2</v>
      </c>
      <c r="R698">
        <v>0.97418874940223199</v>
      </c>
      <c r="S698" t="s">
        <v>6983</v>
      </c>
      <c r="T698" t="s">
        <v>12568</v>
      </c>
      <c r="U698" t="s">
        <v>12568</v>
      </c>
      <c r="V698" t="s">
        <v>12568</v>
      </c>
      <c r="W698" t="s">
        <v>13252</v>
      </c>
      <c r="X698">
        <v>2</v>
      </c>
      <c r="Y698" t="s">
        <v>19478</v>
      </c>
      <c r="Z698" t="s">
        <v>25568</v>
      </c>
      <c r="AA698">
        <v>0.41370349980705989</v>
      </c>
      <c r="AB698" t="str">
        <f>HYPERLINK("Melting_Curves/meltCurve_H7BXD8_LGALS8.pdf", "Melting_Curves/meltCurve_H7BXD8_LGALS8.pdf")</f>
        <v>Melting_Curves/meltCurve_H7BXD8_LGALS8.pdf</v>
      </c>
    </row>
    <row r="699" spans="1:28" x14ac:dyDescent="0.25">
      <c r="A699" t="s">
        <v>703</v>
      </c>
      <c r="B699">
        <v>0.99352677808782597</v>
      </c>
      <c r="C699">
        <v>1.0419589960407201</v>
      </c>
      <c r="D699">
        <v>0.87394227332195495</v>
      </c>
      <c r="E699">
        <v>0.48432065037441002</v>
      </c>
      <c r="F699">
        <v>0.46654720930321703</v>
      </c>
      <c r="G699">
        <v>0.26859431949155699</v>
      </c>
      <c r="H699">
        <v>7.41930702194733E-2</v>
      </c>
      <c r="I699">
        <v>0.13315236839942299</v>
      </c>
      <c r="J699">
        <v>0.146059939618291</v>
      </c>
      <c r="K699">
        <v>3.0000507738077799E-2</v>
      </c>
      <c r="L699">
        <v>781.39119287514995</v>
      </c>
      <c r="M699">
        <v>15.365358791612699</v>
      </c>
      <c r="N699">
        <v>51.381526956064803</v>
      </c>
      <c r="O699">
        <v>50.016057451796499</v>
      </c>
      <c r="P699">
        <v>-7.1205212320927594E-2</v>
      </c>
      <c r="Q699">
        <v>7.2959769130531593E-2</v>
      </c>
      <c r="R699">
        <v>0.971002316174575</v>
      </c>
      <c r="S699" t="s">
        <v>6984</v>
      </c>
      <c r="T699" t="s">
        <v>12568</v>
      </c>
      <c r="U699" t="s">
        <v>12568</v>
      </c>
      <c r="V699" t="s">
        <v>12568</v>
      </c>
      <c r="W699" t="s">
        <v>13253</v>
      </c>
      <c r="X699">
        <v>1</v>
      </c>
      <c r="Y699" t="s">
        <v>19479</v>
      </c>
      <c r="Z699" t="s">
        <v>25569</v>
      </c>
      <c r="AA699">
        <v>0.42902960762023812</v>
      </c>
      <c r="AB699" t="str">
        <f>HYPERLINK("Melting_Curves/meltCurve_H7BXG2_NPRL3.pdf", "Melting_Curves/meltCurve_H7BXG2_NPRL3.pdf")</f>
        <v>Melting_Curves/meltCurve_H7BXG2_NPRL3.pdf</v>
      </c>
    </row>
    <row r="700" spans="1:28" x14ac:dyDescent="0.25">
      <c r="A700" t="s">
        <v>704</v>
      </c>
      <c r="B700">
        <v>0.99352677808782597</v>
      </c>
      <c r="C700">
        <v>0.91556099310555195</v>
      </c>
      <c r="D700">
        <v>0.87513900979374104</v>
      </c>
      <c r="E700">
        <v>0.95584863839527701</v>
      </c>
      <c r="F700">
        <v>0.89721421564065695</v>
      </c>
      <c r="G700">
        <v>0.63857871673871403</v>
      </c>
      <c r="H700">
        <v>0.43292519818796799</v>
      </c>
      <c r="I700">
        <v>0.39238834454662103</v>
      </c>
      <c r="J700">
        <v>0.38563921581268201</v>
      </c>
      <c r="K700">
        <v>0.311771985653925</v>
      </c>
      <c r="L700">
        <v>1188.74892881915</v>
      </c>
      <c r="M700">
        <v>20.974185443423501</v>
      </c>
      <c r="N700">
        <v>59.6945601499406</v>
      </c>
      <c r="O700">
        <v>56.169076036480497</v>
      </c>
      <c r="P700">
        <v>-6.2844141231708103E-2</v>
      </c>
      <c r="Q700">
        <v>0.32682897363129398</v>
      </c>
      <c r="R700">
        <v>0.96442061856241301</v>
      </c>
      <c r="S700" t="s">
        <v>6985</v>
      </c>
      <c r="T700" t="s">
        <v>12568</v>
      </c>
      <c r="U700" t="s">
        <v>12568</v>
      </c>
      <c r="V700" t="s">
        <v>12568</v>
      </c>
      <c r="W700" t="s">
        <v>13254</v>
      </c>
      <c r="X700">
        <v>22</v>
      </c>
      <c r="Y700" t="s">
        <v>19480</v>
      </c>
      <c r="Z700" t="s">
        <v>25570</v>
      </c>
      <c r="AA700">
        <v>0.70893816406120547</v>
      </c>
      <c r="AB700" t="str">
        <f>HYPERLINK("Melting_Curves/meltCurve_H7BXH2_PPP6R3.pdf", "Melting_Curves/meltCurve_H7BXH2_PPP6R3.pdf")</f>
        <v>Melting_Curves/meltCurve_H7BXH2_PPP6R3.pdf</v>
      </c>
    </row>
    <row r="701" spans="1:28" x14ac:dyDescent="0.25">
      <c r="A701" t="s">
        <v>705</v>
      </c>
      <c r="B701">
        <v>0.99352677808782597</v>
      </c>
      <c r="C701">
        <v>0.994439549047758</v>
      </c>
      <c r="D701">
        <v>1.02022996345508</v>
      </c>
      <c r="E701">
        <v>0.71207555265384004</v>
      </c>
      <c r="F701">
        <v>0.58652973588792801</v>
      </c>
      <c r="G701">
        <v>0.29206777084355201</v>
      </c>
      <c r="H701">
        <v>0.14974374984458</v>
      </c>
      <c r="I701">
        <v>0.16219269741730499</v>
      </c>
      <c r="J701">
        <v>0.116059745859818</v>
      </c>
      <c r="K701">
        <v>0.184138185147701</v>
      </c>
      <c r="L701">
        <v>1044.37557089493</v>
      </c>
      <c r="M701">
        <v>19.8162656271682</v>
      </c>
      <c r="N701">
        <v>53.527851020196003</v>
      </c>
      <c r="O701">
        <v>52.175048629540903</v>
      </c>
      <c r="P701">
        <v>-8.2460246082910596E-2</v>
      </c>
      <c r="Q701">
        <v>0.13157781498948001</v>
      </c>
      <c r="R701">
        <v>0.98867938263986099</v>
      </c>
      <c r="S701" t="s">
        <v>6986</v>
      </c>
      <c r="T701" t="s">
        <v>12568</v>
      </c>
      <c r="U701" t="s">
        <v>12568</v>
      </c>
      <c r="V701" t="s">
        <v>12568</v>
      </c>
      <c r="W701" t="s">
        <v>13255</v>
      </c>
      <c r="X701">
        <v>4</v>
      </c>
      <c r="Y701" t="s">
        <v>19481</v>
      </c>
      <c r="Z701" t="s">
        <v>25571</v>
      </c>
      <c r="AA701">
        <v>0.51145938621862064</v>
      </c>
      <c r="AB701" t="str">
        <f>HYPERLINK("Melting_Curves/meltCurve_H7BXI1_ESYT2.pdf", "Melting_Curves/meltCurve_H7BXI1_ESYT2.pdf")</f>
        <v>Melting_Curves/meltCurve_H7BXI1_ESYT2.pdf</v>
      </c>
    </row>
    <row r="702" spans="1:28" x14ac:dyDescent="0.25">
      <c r="A702" t="s">
        <v>706</v>
      </c>
      <c r="B702">
        <v>0.99352677808782597</v>
      </c>
      <c r="C702">
        <v>0.96489053880195097</v>
      </c>
      <c r="D702">
        <v>0.98740324302439697</v>
      </c>
      <c r="E702">
        <v>0.93300731381802604</v>
      </c>
      <c r="F702">
        <v>0.87585771232555698</v>
      </c>
      <c r="G702">
        <v>0.733265834932331</v>
      </c>
      <c r="H702">
        <v>0.78455770103973099</v>
      </c>
      <c r="I702">
        <v>0.92891520182565501</v>
      </c>
      <c r="J702">
        <v>1.12878177646266</v>
      </c>
      <c r="K702">
        <v>0.98756790855587795</v>
      </c>
      <c r="L702">
        <v>12453.6586773414</v>
      </c>
      <c r="M702">
        <v>250</v>
      </c>
      <c r="O702">
        <v>49.811446894241698</v>
      </c>
      <c r="P702">
        <v>-0.117328673272507</v>
      </c>
      <c r="Q702">
        <v>0.90649102444670404</v>
      </c>
      <c r="R702">
        <v>9.1186069493414901E-2</v>
      </c>
      <c r="S702" t="s">
        <v>6987</v>
      </c>
      <c r="T702" t="s">
        <v>12568</v>
      </c>
      <c r="U702" t="s">
        <v>12568</v>
      </c>
      <c r="V702" t="s">
        <v>12568</v>
      </c>
      <c r="W702" t="s">
        <v>13256</v>
      </c>
      <c r="X702">
        <v>45</v>
      </c>
      <c r="Y702" t="s">
        <v>19482</v>
      </c>
      <c r="Z702" t="s">
        <v>25572</v>
      </c>
      <c r="AA702">
        <v>0.93709108060358814</v>
      </c>
      <c r="AB702" t="str">
        <f>HYPERLINK("Melting_Curves/meltCurve_H7BYY1_TPM1.pdf", "Melting_Curves/meltCurve_H7BYY1_TPM1.pdf")</f>
        <v>Melting_Curves/meltCurve_H7BYY1_TPM1.pdf</v>
      </c>
    </row>
    <row r="703" spans="1:28" x14ac:dyDescent="0.25">
      <c r="A703" t="s">
        <v>707</v>
      </c>
      <c r="B703">
        <v>0.99352677808782597</v>
      </c>
      <c r="C703">
        <v>1.1413888726410399</v>
      </c>
      <c r="D703">
        <v>1.2209917419833201</v>
      </c>
      <c r="E703">
        <v>1.0731268035794199</v>
      </c>
      <c r="F703">
        <v>0.81067128603720695</v>
      </c>
      <c r="G703">
        <v>0.74591482285018396</v>
      </c>
      <c r="H703">
        <v>0.54808860623256805</v>
      </c>
      <c r="I703">
        <v>0.570710487836394</v>
      </c>
      <c r="J703">
        <v>0.387140370549244</v>
      </c>
      <c r="K703">
        <v>0.32337391848478703</v>
      </c>
      <c r="L703">
        <v>908.28732093706401</v>
      </c>
      <c r="M703">
        <v>15.2713805992669</v>
      </c>
      <c r="N703">
        <v>63.147705018181099</v>
      </c>
      <c r="O703">
        <v>58.484557945684102</v>
      </c>
      <c r="P703">
        <v>-4.6076808635876203E-2</v>
      </c>
      <c r="Q703">
        <v>0.29422804461298702</v>
      </c>
      <c r="R703">
        <v>0.88430607810670403</v>
      </c>
      <c r="S703" t="s">
        <v>6988</v>
      </c>
      <c r="T703" t="s">
        <v>12568</v>
      </c>
      <c r="U703" t="s">
        <v>12568</v>
      </c>
      <c r="V703" t="s">
        <v>12568</v>
      </c>
      <c r="W703" t="s">
        <v>13257</v>
      </c>
      <c r="X703">
        <v>1</v>
      </c>
      <c r="Y703" t="s">
        <v>19483</v>
      </c>
      <c r="Z703" t="s">
        <v>25573</v>
      </c>
      <c r="AA703">
        <v>0.75877553237366413</v>
      </c>
      <c r="AB703" t="str">
        <f>HYPERLINK("Melting_Curves/meltCurve_H7BYY2_BCOR.pdf", "Melting_Curves/meltCurve_H7BYY2_BCOR.pdf")</f>
        <v>Melting_Curves/meltCurve_H7BYY2_BCOR.pdf</v>
      </c>
    </row>
    <row r="704" spans="1:28" x14ac:dyDescent="0.25">
      <c r="A704" t="s">
        <v>708</v>
      </c>
      <c r="B704">
        <v>0.99352677808782597</v>
      </c>
      <c r="C704">
        <v>1.01682722124861</v>
      </c>
      <c r="D704">
        <v>0.96970726000676599</v>
      </c>
      <c r="E704">
        <v>0.56756069246584995</v>
      </c>
      <c r="F704">
        <v>0.51298962751493005</v>
      </c>
      <c r="G704">
        <v>0.23352612665584799</v>
      </c>
      <c r="H704">
        <v>0.16816277727030099</v>
      </c>
      <c r="I704">
        <v>0.17688547456619899</v>
      </c>
      <c r="J704">
        <v>0.12597895176614399</v>
      </c>
      <c r="K704">
        <v>9.7888453366201306E-2</v>
      </c>
      <c r="L704">
        <v>910.86432001974697</v>
      </c>
      <c r="M704">
        <v>17.728000031179501</v>
      </c>
      <c r="N704">
        <v>52.174339297054502</v>
      </c>
      <c r="O704">
        <v>50.739588193914599</v>
      </c>
      <c r="P704">
        <v>-7.70206952098558E-2</v>
      </c>
      <c r="Q704">
        <v>0.11827761444250801</v>
      </c>
      <c r="R704">
        <v>0.98255888836253802</v>
      </c>
      <c r="S704" t="s">
        <v>6989</v>
      </c>
      <c r="T704" t="s">
        <v>12568</v>
      </c>
      <c r="U704" t="s">
        <v>12568</v>
      </c>
      <c r="V704" t="s">
        <v>12568</v>
      </c>
      <c r="W704" t="s">
        <v>13258</v>
      </c>
      <c r="X704">
        <v>10</v>
      </c>
      <c r="Y704" t="s">
        <v>19385</v>
      </c>
      <c r="Z704" t="s">
        <v>25574</v>
      </c>
      <c r="AA704">
        <v>0.46793552137525901</v>
      </c>
      <c r="AB704" t="str">
        <f>HYPERLINK("Melting_Curves/meltCurve_H7BZJ3_PDIA3.pdf", "Melting_Curves/meltCurve_H7BZJ3_PDIA3.pdf")</f>
        <v>Melting_Curves/meltCurve_H7BZJ3_PDIA3.pdf</v>
      </c>
    </row>
    <row r="705" spans="1:28" x14ac:dyDescent="0.25">
      <c r="A705" t="s">
        <v>709</v>
      </c>
      <c r="B705">
        <v>0.99352677808782597</v>
      </c>
      <c r="C705">
        <v>1.02966599937298</v>
      </c>
      <c r="D705">
        <v>0.89442893007973401</v>
      </c>
      <c r="E705">
        <v>0.57635207161676705</v>
      </c>
      <c r="F705">
        <v>0.53949478801209705</v>
      </c>
      <c r="G705">
        <v>0.33314621296211699</v>
      </c>
      <c r="H705">
        <v>0.28699384303751002</v>
      </c>
      <c r="I705">
        <v>0.35749043290825699</v>
      </c>
      <c r="J705">
        <v>0.27284395605424799</v>
      </c>
      <c r="K705">
        <v>0.209439648608608</v>
      </c>
      <c r="L705">
        <v>882.44822994098297</v>
      </c>
      <c r="M705">
        <v>17.5772951868665</v>
      </c>
      <c r="N705">
        <v>52.490141309744601</v>
      </c>
      <c r="O705">
        <v>49.567587973268502</v>
      </c>
      <c r="P705">
        <v>-6.4944392779663102E-2</v>
      </c>
      <c r="Q705">
        <v>0.26747266948167198</v>
      </c>
      <c r="R705">
        <v>0.97380876642471503</v>
      </c>
      <c r="S705" t="s">
        <v>6990</v>
      </c>
      <c r="T705" t="s">
        <v>12568</v>
      </c>
      <c r="U705" t="s">
        <v>12568</v>
      </c>
      <c r="V705" t="s">
        <v>12568</v>
      </c>
      <c r="W705" t="s">
        <v>13259</v>
      </c>
      <c r="X705">
        <v>3</v>
      </c>
      <c r="Y705" t="s">
        <v>19484</v>
      </c>
      <c r="Z705" t="s">
        <v>25575</v>
      </c>
      <c r="AA705">
        <v>0.52965306655314026</v>
      </c>
      <c r="AB705" t="str">
        <f>HYPERLINK("Melting_Curves/meltCurve_H7BZL0_MKI67IP.pdf", "Melting_Curves/meltCurve_H7BZL0_MKI67IP.pdf")</f>
        <v>Melting_Curves/meltCurve_H7BZL0_MKI67IP.pdf</v>
      </c>
    </row>
    <row r="706" spans="1:28" x14ac:dyDescent="0.25">
      <c r="A706" t="s">
        <v>710</v>
      </c>
      <c r="B706">
        <v>0.99352677808782597</v>
      </c>
      <c r="C706">
        <v>0.93879272315342199</v>
      </c>
      <c r="D706">
        <v>0.98109687652928101</v>
      </c>
      <c r="E706">
        <v>0.80051141136462001</v>
      </c>
      <c r="F706">
        <v>0.72817055207832404</v>
      </c>
      <c r="G706">
        <v>0.63621115165758502</v>
      </c>
      <c r="H706">
        <v>0.48913187642001499</v>
      </c>
      <c r="I706">
        <v>0.53376328393401296</v>
      </c>
      <c r="J706">
        <v>0.52118663576174695</v>
      </c>
      <c r="K706">
        <v>0.36939721325939701</v>
      </c>
      <c r="L706">
        <v>571.69025991984904</v>
      </c>
      <c r="M706">
        <v>10.476738781721201</v>
      </c>
      <c r="N706">
        <v>63.188831464320302</v>
      </c>
      <c r="O706">
        <v>52.6919172993898</v>
      </c>
      <c r="P706">
        <v>-3.0817545519701998E-2</v>
      </c>
      <c r="Q706">
        <v>0.38027468055637897</v>
      </c>
      <c r="R706">
        <v>0.960615396387973</v>
      </c>
      <c r="S706" t="s">
        <v>6991</v>
      </c>
      <c r="T706" t="s">
        <v>12568</v>
      </c>
      <c r="U706" t="s">
        <v>12568</v>
      </c>
      <c r="V706" t="s">
        <v>12568</v>
      </c>
      <c r="W706" t="s">
        <v>13260</v>
      </c>
      <c r="X706">
        <v>4</v>
      </c>
      <c r="Y706" t="s">
        <v>19485</v>
      </c>
      <c r="Z706" t="s">
        <v>25576</v>
      </c>
      <c r="AA706">
        <v>0.69798829319671518</v>
      </c>
      <c r="AB706" t="str">
        <f>HYPERLINK("Melting_Curves/meltCurve_H7C096_BNIP2.pdf", "Melting_Curves/meltCurve_H7C096_BNIP2.pdf")</f>
        <v>Melting_Curves/meltCurve_H7C096_BNIP2.pdf</v>
      </c>
    </row>
    <row r="707" spans="1:28" x14ac:dyDescent="0.25">
      <c r="A707" t="s">
        <v>711</v>
      </c>
      <c r="B707">
        <v>0.99352677808782597</v>
      </c>
      <c r="C707">
        <v>1.0490834631972401</v>
      </c>
      <c r="D707">
        <v>0.96110188942613195</v>
      </c>
      <c r="E707">
        <v>1.1878349042062799</v>
      </c>
      <c r="F707">
        <v>0.98127806975551901</v>
      </c>
      <c r="G707">
        <v>0.93120595350067903</v>
      </c>
      <c r="H707">
        <v>0.73864303371126605</v>
      </c>
      <c r="I707">
        <v>0.770639201804455</v>
      </c>
      <c r="J707">
        <v>0.84316776529422399</v>
      </c>
      <c r="K707">
        <v>0.69801651389645802</v>
      </c>
      <c r="L707">
        <v>14301.0918457553</v>
      </c>
      <c r="M707">
        <v>250</v>
      </c>
      <c r="O707">
        <v>57.200685816641503</v>
      </c>
      <c r="P707">
        <v>-0.25937548768305202</v>
      </c>
      <c r="Q707">
        <v>0.76261662071684799</v>
      </c>
      <c r="R707">
        <v>0.75710646976765905</v>
      </c>
      <c r="S707" t="s">
        <v>6992</v>
      </c>
      <c r="T707" t="s">
        <v>12568</v>
      </c>
      <c r="U707" t="s">
        <v>12568</v>
      </c>
      <c r="V707" t="s">
        <v>12568</v>
      </c>
      <c r="W707" t="s">
        <v>13261</v>
      </c>
      <c r="X707">
        <v>1</v>
      </c>
      <c r="Y707" t="s">
        <v>19486</v>
      </c>
      <c r="Z707" t="s">
        <v>25577</v>
      </c>
      <c r="AA707">
        <v>0.89877481455325225</v>
      </c>
      <c r="AB707" t="str">
        <f>HYPERLINK("Melting_Curves/meltCurve_H7C0D5_YIPF4.pdf", "Melting_Curves/meltCurve_H7C0D5_YIPF4.pdf")</f>
        <v>Melting_Curves/meltCurve_H7C0D5_YIPF4.pdf</v>
      </c>
    </row>
    <row r="708" spans="1:28" x14ac:dyDescent="0.25">
      <c r="A708" t="s">
        <v>712</v>
      </c>
      <c r="B708">
        <v>0.99352677808782597</v>
      </c>
      <c r="C708">
        <v>0.97438635715392197</v>
      </c>
      <c r="D708">
        <v>0.96854663509579997</v>
      </c>
      <c r="E708">
        <v>0.851306264433907</v>
      </c>
      <c r="F708">
        <v>0.69894934819761001</v>
      </c>
      <c r="G708">
        <v>0.345709536430926</v>
      </c>
      <c r="H708">
        <v>0.18515846234859301</v>
      </c>
      <c r="I708">
        <v>0.15274542863840701</v>
      </c>
      <c r="J708">
        <v>0.14562263975011899</v>
      </c>
      <c r="K708">
        <v>0.12793125202755201</v>
      </c>
      <c r="L708">
        <v>1143.1472314738901</v>
      </c>
      <c r="M708">
        <v>21.046455182225799</v>
      </c>
      <c r="N708">
        <v>55.018720699203399</v>
      </c>
      <c r="O708">
        <v>53.832200657106</v>
      </c>
      <c r="P708">
        <v>-8.6215665348044701E-2</v>
      </c>
      <c r="Q708">
        <v>0.117940677890965</v>
      </c>
      <c r="R708">
        <v>0.99813617055370596</v>
      </c>
      <c r="S708" t="s">
        <v>6993</v>
      </c>
      <c r="T708" t="s">
        <v>12568</v>
      </c>
      <c r="U708" t="s">
        <v>12568</v>
      </c>
      <c r="V708" t="s">
        <v>12568</v>
      </c>
      <c r="W708" t="s">
        <v>13262</v>
      </c>
      <c r="X708">
        <v>5</v>
      </c>
      <c r="Y708" t="s">
        <v>19487</v>
      </c>
      <c r="Z708" t="s">
        <v>25578</v>
      </c>
      <c r="AA708">
        <v>0.54982860984267612</v>
      </c>
      <c r="AB708" t="str">
        <f>HYPERLINK("Melting_Curves/meltCurve_H7C0G7_NHEJ1.pdf", "Melting_Curves/meltCurve_H7C0G7_NHEJ1.pdf")</f>
        <v>Melting_Curves/meltCurve_H7C0G7_NHEJ1.pdf</v>
      </c>
    </row>
    <row r="709" spans="1:28" x14ac:dyDescent="0.25">
      <c r="A709" t="s">
        <v>713</v>
      </c>
      <c r="B709">
        <v>0.99352677808782597</v>
      </c>
      <c r="C709">
        <v>1.02064528058625</v>
      </c>
      <c r="D709">
        <v>1.05968464066582</v>
      </c>
      <c r="E709">
        <v>1.0221551749400399</v>
      </c>
      <c r="F709">
        <v>0.98250413306169304</v>
      </c>
      <c r="G709">
        <v>0.88150264917538301</v>
      </c>
      <c r="H709">
        <v>1.1985678425537001</v>
      </c>
      <c r="I709">
        <v>0.85483366273251804</v>
      </c>
      <c r="J709">
        <v>0.77194287624144697</v>
      </c>
      <c r="K709">
        <v>0.60235158263959199</v>
      </c>
      <c r="L709">
        <v>2794.9958071238998</v>
      </c>
      <c r="M709">
        <v>42.061028286478098</v>
      </c>
      <c r="O709">
        <v>66.301281135779206</v>
      </c>
      <c r="P709">
        <v>-6.8955949185867504E-2</v>
      </c>
      <c r="Q709">
        <v>0.56521652733731498</v>
      </c>
      <c r="R709">
        <v>0.72894536664805698</v>
      </c>
      <c r="S709" t="s">
        <v>6994</v>
      </c>
      <c r="T709" t="s">
        <v>12568</v>
      </c>
      <c r="U709" t="s">
        <v>12568</v>
      </c>
      <c r="V709" t="s">
        <v>12568</v>
      </c>
      <c r="W709" t="s">
        <v>13263</v>
      </c>
      <c r="X709">
        <v>1</v>
      </c>
      <c r="Y709" t="s">
        <v>19488</v>
      </c>
      <c r="Z709" t="s">
        <v>25579</v>
      </c>
      <c r="AA709">
        <v>0.94736438107842857</v>
      </c>
      <c r="AB709" t="str">
        <f>HYPERLINK("Melting_Curves/meltCurve_H7C0J3_CHD3.pdf", "Melting_Curves/meltCurve_H7C0J3_CHD3.pdf")</f>
        <v>Melting_Curves/meltCurve_H7C0J3_CHD3.pdf</v>
      </c>
    </row>
    <row r="710" spans="1:28" x14ac:dyDescent="0.25">
      <c r="A710" t="s">
        <v>714</v>
      </c>
      <c r="B710">
        <v>0.99352677808782597</v>
      </c>
      <c r="C710">
        <v>0.94789753768151597</v>
      </c>
      <c r="D710">
        <v>0.96182707960871905</v>
      </c>
      <c r="E710">
        <v>0.863168901854657</v>
      </c>
      <c r="F710">
        <v>0.74406830691401205</v>
      </c>
      <c r="G710">
        <v>0.62490515661434898</v>
      </c>
      <c r="H710">
        <v>0.47199825303646198</v>
      </c>
      <c r="I710">
        <v>0.50531640209902395</v>
      </c>
      <c r="J710">
        <v>0.56539195147856003</v>
      </c>
      <c r="K710">
        <v>0.47322476684553799</v>
      </c>
      <c r="L710">
        <v>906.33450118016697</v>
      </c>
      <c r="M710">
        <v>17.1235118719387</v>
      </c>
      <c r="N710">
        <v>66.8936916467797</v>
      </c>
      <c r="O710">
        <v>52.2231860226401</v>
      </c>
      <c r="P710">
        <v>-4.2137575623843397E-2</v>
      </c>
      <c r="Q710">
        <v>0.48598715005169701</v>
      </c>
      <c r="R710">
        <v>0.97295973321570395</v>
      </c>
      <c r="S710" t="s">
        <v>6995</v>
      </c>
      <c r="T710" t="s">
        <v>12568</v>
      </c>
      <c r="U710" t="s">
        <v>12568</v>
      </c>
      <c r="V710" t="s">
        <v>12568</v>
      </c>
      <c r="W710" t="s">
        <v>13233</v>
      </c>
      <c r="X710">
        <v>5</v>
      </c>
      <c r="Z710" t="s">
        <v>25580</v>
      </c>
      <c r="AA710">
        <v>0.71663390367696256</v>
      </c>
      <c r="AB710" t="str">
        <f>HYPERLINK("Melting_Curves/meltCurve_H7C0S8_.pdf", "Melting_Curves/meltCurve_H7C0S8_.pdf")</f>
        <v>Melting_Curves/meltCurve_H7C0S8_.pdf</v>
      </c>
    </row>
    <row r="711" spans="1:28" x14ac:dyDescent="0.25">
      <c r="A711" t="s">
        <v>715</v>
      </c>
      <c r="B711">
        <v>0.99352677808782597</v>
      </c>
      <c r="C711">
        <v>1.0067500168866199</v>
      </c>
      <c r="D711">
        <v>0.92028178451528198</v>
      </c>
      <c r="E711">
        <v>0.47288108446918498</v>
      </c>
      <c r="F711">
        <v>0.46970631737442697</v>
      </c>
      <c r="G711">
        <v>0.257551064705202</v>
      </c>
      <c r="H711">
        <v>0.190440304018024</v>
      </c>
      <c r="I711">
        <v>0.173015134509938</v>
      </c>
      <c r="J711">
        <v>0.105108996293135</v>
      </c>
      <c r="K711">
        <v>0.129200152035574</v>
      </c>
      <c r="L711">
        <v>860.98564980858305</v>
      </c>
      <c r="M711">
        <v>17.107767760777701</v>
      </c>
      <c r="N711">
        <v>51.277450699830901</v>
      </c>
      <c r="O711">
        <v>49.654642607737401</v>
      </c>
      <c r="P711">
        <v>-7.4437119759292597E-2</v>
      </c>
      <c r="Q711">
        <v>0.13584885298386201</v>
      </c>
      <c r="R711">
        <v>0.97587402918848798</v>
      </c>
      <c r="S711" t="s">
        <v>6996</v>
      </c>
      <c r="T711" t="s">
        <v>12568</v>
      </c>
      <c r="U711" t="s">
        <v>12568</v>
      </c>
      <c r="V711" t="s">
        <v>12568</v>
      </c>
      <c r="W711" t="s">
        <v>13264</v>
      </c>
      <c r="X711">
        <v>1</v>
      </c>
      <c r="Y711" t="s">
        <v>19489</v>
      </c>
      <c r="Z711" t="s">
        <v>25581</v>
      </c>
      <c r="AA711">
        <v>0.44944845231700992</v>
      </c>
      <c r="AB711" t="str">
        <f>HYPERLINK("Melting_Curves/meltCurve_H7C0Y4_DUSP22.pdf", "Melting_Curves/meltCurve_H7C0Y4_DUSP22.pdf")</f>
        <v>Melting_Curves/meltCurve_H7C0Y4_DUSP22.pdf</v>
      </c>
    </row>
    <row r="712" spans="1:28" x14ac:dyDescent="0.25">
      <c r="A712" t="s">
        <v>716</v>
      </c>
      <c r="B712">
        <v>0.99352677808782597</v>
      </c>
      <c r="C712">
        <v>0.93035945369546302</v>
      </c>
      <c r="D712">
        <v>0.92336488903644398</v>
      </c>
      <c r="E712">
        <v>0.51569183317735501</v>
      </c>
      <c r="F712">
        <v>0.49481675976153799</v>
      </c>
      <c r="G712">
        <v>0.40144071402625098</v>
      </c>
      <c r="H712">
        <v>0.324393086387742</v>
      </c>
      <c r="I712">
        <v>0.34241310726743601</v>
      </c>
      <c r="J712">
        <v>0.31998330570273098</v>
      </c>
      <c r="K712">
        <v>0.27260528175906601</v>
      </c>
      <c r="L712">
        <v>990.60139518220001</v>
      </c>
      <c r="M712">
        <v>20.207408143784001</v>
      </c>
      <c r="N712">
        <v>51.647153627471802</v>
      </c>
      <c r="O712">
        <v>48.549190748830902</v>
      </c>
      <c r="P712">
        <v>-7.0656228378055894E-2</v>
      </c>
      <c r="Q712">
        <v>0.321002462016023</v>
      </c>
      <c r="R712">
        <v>0.97409510259533905</v>
      </c>
      <c r="S712" t="s">
        <v>6997</v>
      </c>
      <c r="T712" t="s">
        <v>12568</v>
      </c>
      <c r="U712" t="s">
        <v>12568</v>
      </c>
      <c r="V712" t="s">
        <v>12568</v>
      </c>
      <c r="W712" t="s">
        <v>13265</v>
      </c>
      <c r="X712">
        <v>7</v>
      </c>
      <c r="Y712" t="s">
        <v>19490</v>
      </c>
      <c r="Z712" t="s">
        <v>25582</v>
      </c>
      <c r="AA712">
        <v>0.53450471833214919</v>
      </c>
      <c r="AB712" t="str">
        <f>HYPERLINK("Melting_Curves/meltCurve_H7C107_IQSEC1.pdf", "Melting_Curves/meltCurve_H7C107_IQSEC1.pdf")</f>
        <v>Melting_Curves/meltCurve_H7C107_IQSEC1.pdf</v>
      </c>
    </row>
    <row r="713" spans="1:28" x14ac:dyDescent="0.25">
      <c r="A713" t="s">
        <v>717</v>
      </c>
      <c r="B713">
        <v>0.99352677808782597</v>
      </c>
      <c r="C713">
        <v>0.96445816128491102</v>
      </c>
      <c r="D713">
        <v>1.0071065646405299</v>
      </c>
      <c r="E713">
        <v>0.94029734456708902</v>
      </c>
      <c r="F713">
        <v>0.83809423935305105</v>
      </c>
      <c r="G713">
        <v>0.64175036628631799</v>
      </c>
      <c r="H713">
        <v>0.60739060962404001</v>
      </c>
      <c r="I713">
        <v>0.67565162186994399</v>
      </c>
      <c r="J713">
        <v>0.68601690768225898</v>
      </c>
      <c r="K713">
        <v>0.67865065392075097</v>
      </c>
      <c r="L713">
        <v>2121.78687292118</v>
      </c>
      <c r="M713">
        <v>40.1064077468383</v>
      </c>
      <c r="O713">
        <v>52.772934780048303</v>
      </c>
      <c r="P713">
        <v>-6.5470490361807798E-2</v>
      </c>
      <c r="Q713">
        <v>0.65541048252237399</v>
      </c>
      <c r="R713">
        <v>0.96641918421765305</v>
      </c>
      <c r="S713" t="s">
        <v>6998</v>
      </c>
      <c r="T713" t="s">
        <v>12568</v>
      </c>
      <c r="U713" t="s">
        <v>12568</v>
      </c>
      <c r="V713" t="s">
        <v>12568</v>
      </c>
      <c r="W713" t="s">
        <v>13266</v>
      </c>
      <c r="X713">
        <v>1</v>
      </c>
      <c r="Y713" t="s">
        <v>19491</v>
      </c>
      <c r="Z713" t="s">
        <v>25583</v>
      </c>
      <c r="AA713">
        <v>0.80488137545819094</v>
      </c>
      <c r="AB713" t="str">
        <f>HYPERLINK("Melting_Curves/meltCurve_H7C171_INO80B.pdf", "Melting_Curves/meltCurve_H7C171_INO80B.pdf")</f>
        <v>Melting_Curves/meltCurve_H7C171_INO80B.pdf</v>
      </c>
    </row>
    <row r="714" spans="1:28" x14ac:dyDescent="0.25">
      <c r="A714" t="s">
        <v>718</v>
      </c>
      <c r="B714">
        <v>0.99352677808782597</v>
      </c>
      <c r="C714">
        <v>0.98328056244727702</v>
      </c>
      <c r="D714">
        <v>0.99601551810306999</v>
      </c>
      <c r="E714">
        <v>1.0977293035062901</v>
      </c>
      <c r="F714">
        <v>0.86612810756135905</v>
      </c>
      <c r="G714">
        <v>0.72485873738611395</v>
      </c>
      <c r="H714">
        <v>0.48645542004587899</v>
      </c>
      <c r="I714">
        <v>0.360480300313679</v>
      </c>
      <c r="J714">
        <v>0.45320372684722898</v>
      </c>
      <c r="K714">
        <v>0.373542429276296</v>
      </c>
      <c r="L714">
        <v>1497.5294846271299</v>
      </c>
      <c r="M714">
        <v>26.190371937899499</v>
      </c>
      <c r="N714">
        <v>60.506882715647599</v>
      </c>
      <c r="O714">
        <v>56.848396693468899</v>
      </c>
      <c r="P714">
        <v>-7.1224583068566202E-2</v>
      </c>
      <c r="Q714">
        <v>0.38161121347165899</v>
      </c>
      <c r="R714">
        <v>0.96796460519675298</v>
      </c>
      <c r="S714" t="s">
        <v>6999</v>
      </c>
      <c r="T714" t="s">
        <v>12568</v>
      </c>
      <c r="U714" t="s">
        <v>12568</v>
      </c>
      <c r="V714" t="s">
        <v>12568</v>
      </c>
      <c r="W714" t="s">
        <v>13267</v>
      </c>
      <c r="X714">
        <v>4</v>
      </c>
      <c r="Y714" t="s">
        <v>19492</v>
      </c>
      <c r="Z714" t="s">
        <v>25584</v>
      </c>
      <c r="AA714">
        <v>0.7408707888869196</v>
      </c>
      <c r="AB714" t="str">
        <f>HYPERLINK("Melting_Curves/meltCurve_H7C173_MZT2B.pdf", "Melting_Curves/meltCurve_H7C173_MZT2B.pdf")</f>
        <v>Melting_Curves/meltCurve_H7C173_MZT2B.pdf</v>
      </c>
    </row>
    <row r="715" spans="1:28" x14ac:dyDescent="0.25">
      <c r="A715" t="s">
        <v>719</v>
      </c>
      <c r="B715">
        <v>0.99352677808782597</v>
      </c>
      <c r="C715">
        <v>0.87526795767483401</v>
      </c>
      <c r="D715">
        <v>0.79853883222183497</v>
      </c>
      <c r="E715">
        <v>0.45244211799210698</v>
      </c>
      <c r="F715">
        <v>0.41407926854648203</v>
      </c>
      <c r="G715">
        <v>0.27243750400925798</v>
      </c>
      <c r="H715">
        <v>0.141539729072685</v>
      </c>
      <c r="I715">
        <v>0.14110072468740001</v>
      </c>
      <c r="J715">
        <v>0.113420796772364</v>
      </c>
      <c r="K715">
        <v>8.0866119161502006E-2</v>
      </c>
      <c r="L715">
        <v>615.58185915502304</v>
      </c>
      <c r="M715">
        <v>12.3389306805462</v>
      </c>
      <c r="N715">
        <v>50.541141982217397</v>
      </c>
      <c r="O715">
        <v>48.633331422637902</v>
      </c>
      <c r="P715">
        <v>-5.8775921889340402E-2</v>
      </c>
      <c r="Q715">
        <v>7.3550296999173995E-2</v>
      </c>
      <c r="R715">
        <v>0.98805242094798595</v>
      </c>
      <c r="S715" t="s">
        <v>7000</v>
      </c>
      <c r="T715" t="s">
        <v>12568</v>
      </c>
      <c r="U715" t="s">
        <v>12568</v>
      </c>
      <c r="V715" t="s">
        <v>12568</v>
      </c>
      <c r="W715" t="s">
        <v>13268</v>
      </c>
      <c r="X715">
        <v>3</v>
      </c>
      <c r="Y715" t="s">
        <v>19493</v>
      </c>
      <c r="Z715" t="s">
        <v>25585</v>
      </c>
      <c r="AA715">
        <v>0.40983377135092752</v>
      </c>
      <c r="AB715" t="str">
        <f>HYPERLINK("Melting_Curves/meltCurve_H7C1F9_RALGAPA2.pdf", "Melting_Curves/meltCurve_H7C1F9_RALGAPA2.pdf")</f>
        <v>Melting_Curves/meltCurve_H7C1F9_RALGAPA2.pdf</v>
      </c>
    </row>
    <row r="716" spans="1:28" x14ac:dyDescent="0.25">
      <c r="A716" t="s">
        <v>720</v>
      </c>
      <c r="B716">
        <v>0.99352677808782597</v>
      </c>
      <c r="C716">
        <v>0.89346771201733999</v>
      </c>
      <c r="D716">
        <v>0.81549187799841805</v>
      </c>
      <c r="E716">
        <v>0.69124961088181003</v>
      </c>
      <c r="F716">
        <v>0.60511376471023703</v>
      </c>
      <c r="G716">
        <v>0.48851352109143298</v>
      </c>
      <c r="H716">
        <v>0.47375858712268998</v>
      </c>
      <c r="I716">
        <v>0.483844448856108</v>
      </c>
      <c r="J716">
        <v>0.46413638272468499</v>
      </c>
      <c r="K716">
        <v>0.421746285476576</v>
      </c>
      <c r="L716">
        <v>589.73214282202002</v>
      </c>
      <c r="M716">
        <v>12.025633909936801</v>
      </c>
      <c r="N716">
        <v>58.421112912181201</v>
      </c>
      <c r="O716">
        <v>47.742565589986803</v>
      </c>
      <c r="P716">
        <v>-3.60591700167558E-2</v>
      </c>
      <c r="Q716">
        <v>0.42750766694459802</v>
      </c>
      <c r="R716">
        <v>0.99046410259030104</v>
      </c>
      <c r="S716" t="s">
        <v>7001</v>
      </c>
      <c r="T716" t="s">
        <v>12568</v>
      </c>
      <c r="U716" t="s">
        <v>12568</v>
      </c>
      <c r="V716" t="s">
        <v>12568</v>
      </c>
      <c r="W716" t="s">
        <v>13269</v>
      </c>
      <c r="X716">
        <v>7</v>
      </c>
      <c r="Y716" t="s">
        <v>19494</v>
      </c>
      <c r="Z716" t="s">
        <v>25586</v>
      </c>
      <c r="AA716">
        <v>0.62091793337395784</v>
      </c>
      <c r="AB716" t="str">
        <f>HYPERLINK("Melting_Curves/meltCurve_H7C1N2_COBL.pdf", "Melting_Curves/meltCurve_H7C1N2_COBL.pdf")</f>
        <v>Melting_Curves/meltCurve_H7C1N2_COBL.pdf</v>
      </c>
    </row>
    <row r="717" spans="1:28" x14ac:dyDescent="0.25">
      <c r="A717" t="s">
        <v>721</v>
      </c>
      <c r="B717">
        <v>0.99352677808782597</v>
      </c>
      <c r="C717">
        <v>0.94462953707697594</v>
      </c>
      <c r="D717">
        <v>0.87945780406432605</v>
      </c>
      <c r="E717">
        <v>0.34983639737794098</v>
      </c>
      <c r="F717">
        <v>0.26866223093834302</v>
      </c>
      <c r="G717">
        <v>0.196265885366465</v>
      </c>
      <c r="H717">
        <v>0.15541990756494201</v>
      </c>
      <c r="I717">
        <v>0.14905556742760101</v>
      </c>
      <c r="J717">
        <v>0.15042937399105699</v>
      </c>
      <c r="K717">
        <v>0.120842680739411</v>
      </c>
      <c r="L717">
        <v>1457.62579734521</v>
      </c>
      <c r="M717">
        <v>30.147945258434898</v>
      </c>
      <c r="N717">
        <v>48.966189430729102</v>
      </c>
      <c r="O717">
        <v>48.137861296961297</v>
      </c>
      <c r="P717">
        <v>-0.131826029091372</v>
      </c>
      <c r="Q717">
        <v>0.158047788816392</v>
      </c>
      <c r="R717">
        <v>0.99256117552837597</v>
      </c>
      <c r="S717" t="s">
        <v>7002</v>
      </c>
      <c r="T717" t="s">
        <v>12568</v>
      </c>
      <c r="U717" t="s">
        <v>12568</v>
      </c>
      <c r="V717" t="s">
        <v>12568</v>
      </c>
      <c r="W717" t="s">
        <v>13270</v>
      </c>
      <c r="X717">
        <v>6</v>
      </c>
      <c r="Y717" t="s">
        <v>19495</v>
      </c>
      <c r="Z717" t="s">
        <v>25587</v>
      </c>
      <c r="AA717">
        <v>0.39739930647801031</v>
      </c>
      <c r="AB717" t="str">
        <f>HYPERLINK("Melting_Curves/meltCurve_H7C1U3_CC2D1B.pdf", "Melting_Curves/meltCurve_H7C1U3_CC2D1B.pdf")</f>
        <v>Melting_Curves/meltCurve_H7C1U3_CC2D1B.pdf</v>
      </c>
    </row>
    <row r="718" spans="1:28" x14ac:dyDescent="0.25">
      <c r="A718" t="s">
        <v>722</v>
      </c>
      <c r="B718">
        <v>0.99352677808782597</v>
      </c>
      <c r="C718">
        <v>1.05865376965474</v>
      </c>
      <c r="D718">
        <v>1.0371536924812299</v>
      </c>
      <c r="E718">
        <v>1.1065209786618899</v>
      </c>
      <c r="F718">
        <v>1.16921323575637</v>
      </c>
      <c r="G718">
        <v>1.0638808329290601</v>
      </c>
      <c r="H718">
        <v>0.76255841777017197</v>
      </c>
      <c r="I718">
        <v>0.79761704518189702</v>
      </c>
      <c r="J718">
        <v>0.35053799120333901</v>
      </c>
      <c r="K718">
        <v>0.69853223701821898</v>
      </c>
      <c r="L718">
        <v>2277.63040567399</v>
      </c>
      <c r="M718">
        <v>36.778020721622198</v>
      </c>
      <c r="O718">
        <v>61.7468829727135</v>
      </c>
      <c r="P718">
        <v>-6.6213915363006207E-2</v>
      </c>
      <c r="Q718">
        <v>0.55533325025904401</v>
      </c>
      <c r="R718">
        <v>0.73743581805880998</v>
      </c>
      <c r="S718" t="s">
        <v>7003</v>
      </c>
      <c r="T718" t="s">
        <v>12568</v>
      </c>
      <c r="U718" t="s">
        <v>12568</v>
      </c>
      <c r="V718" t="s">
        <v>12568</v>
      </c>
      <c r="W718" t="s">
        <v>13271</v>
      </c>
      <c r="X718">
        <v>1</v>
      </c>
      <c r="Y718" t="s">
        <v>19496</v>
      </c>
      <c r="Z718" t="s">
        <v>25588</v>
      </c>
      <c r="AA718">
        <v>0.88214047789192729</v>
      </c>
      <c r="AB718" t="str">
        <f>HYPERLINK("Melting_Curves/meltCurve_H7C284_MFSD6.pdf", "Melting_Curves/meltCurve_H7C284_MFSD6.pdf")</f>
        <v>Melting_Curves/meltCurve_H7C284_MFSD6.pdf</v>
      </c>
    </row>
    <row r="719" spans="1:28" x14ac:dyDescent="0.25">
      <c r="A719" t="s">
        <v>723</v>
      </c>
      <c r="B719">
        <v>0.99352677808782597</v>
      </c>
      <c r="C719">
        <v>0.93860496619461498</v>
      </c>
      <c r="D719">
        <v>1.0085534275029899</v>
      </c>
      <c r="E719">
        <v>1.0575603711886401</v>
      </c>
      <c r="F719">
        <v>0.94281706840954105</v>
      </c>
      <c r="G719">
        <v>0.90638723870500604</v>
      </c>
      <c r="H719">
        <v>0.78056302148883605</v>
      </c>
      <c r="I719">
        <v>1.0384796363000299</v>
      </c>
      <c r="J719">
        <v>0.75950121783970903</v>
      </c>
      <c r="K719">
        <v>0.70854449905874595</v>
      </c>
      <c r="L719">
        <v>556.60907240214101</v>
      </c>
      <c r="M719">
        <v>6.9416336613602603</v>
      </c>
      <c r="Q719">
        <v>0</v>
      </c>
      <c r="R719">
        <v>0.54854379708161705</v>
      </c>
      <c r="S719" t="s">
        <v>7004</v>
      </c>
      <c r="T719" t="s">
        <v>12568</v>
      </c>
      <c r="U719" t="s">
        <v>12568</v>
      </c>
      <c r="V719" t="s">
        <v>12568</v>
      </c>
      <c r="W719" t="s">
        <v>13267</v>
      </c>
      <c r="X719">
        <v>1</v>
      </c>
      <c r="Y719" t="s">
        <v>19492</v>
      </c>
      <c r="Z719" t="s">
        <v>25589</v>
      </c>
      <c r="AA719">
        <v>0.92711367645533427</v>
      </c>
      <c r="AB719" t="str">
        <f>HYPERLINK("Melting_Curves/meltCurve_H7C293_MZT2B.pdf", "Melting_Curves/meltCurve_H7C293_MZT2B.pdf")</f>
        <v>Melting_Curves/meltCurve_H7C293_MZT2B.pdf</v>
      </c>
    </row>
    <row r="720" spans="1:28" x14ac:dyDescent="0.25">
      <c r="A720" t="s">
        <v>724</v>
      </c>
      <c r="B720">
        <v>0.99352677808782597</v>
      </c>
      <c r="C720">
        <v>0.99651626382947101</v>
      </c>
      <c r="D720">
        <v>1.00827542629025</v>
      </c>
      <c r="E720">
        <v>1.1000567010520801</v>
      </c>
      <c r="F720">
        <v>1.4245822641479</v>
      </c>
      <c r="G720">
        <v>1.3012957802648999</v>
      </c>
      <c r="H720">
        <v>1.3988162935866499</v>
      </c>
      <c r="I720">
        <v>2.1151371015425502</v>
      </c>
      <c r="J720">
        <v>1.7275630561236699</v>
      </c>
      <c r="K720">
        <v>1.0339109031476199</v>
      </c>
      <c r="L720">
        <v>1948.4975965164101</v>
      </c>
      <c r="M720">
        <v>37.874684440150801</v>
      </c>
      <c r="O720">
        <v>51.303118980360999</v>
      </c>
      <c r="P720">
        <v>9.2281870046689696E-2</v>
      </c>
      <c r="Q720">
        <v>1.5</v>
      </c>
      <c r="R720">
        <v>0.44504849245869099</v>
      </c>
      <c r="S720" t="s">
        <v>7005</v>
      </c>
      <c r="T720" t="s">
        <v>12568</v>
      </c>
      <c r="U720" t="s">
        <v>12568</v>
      </c>
      <c r="V720" t="s">
        <v>12568</v>
      </c>
      <c r="W720" t="s">
        <v>13272</v>
      </c>
      <c r="X720">
        <v>1</v>
      </c>
      <c r="Y720" t="s">
        <v>19497</v>
      </c>
      <c r="Z720" t="s">
        <v>25590</v>
      </c>
      <c r="AA720">
        <v>1.3072507497084951</v>
      </c>
      <c r="AB720" t="str">
        <f>HYPERLINK("Melting_Curves/meltCurve_H7C2G2_ART4.pdf", "Melting_Curves/meltCurve_H7C2G2_ART4.pdf")</f>
        <v>Melting_Curves/meltCurve_H7C2G2_ART4.pdf</v>
      </c>
    </row>
    <row r="721" spans="1:28" x14ac:dyDescent="0.25">
      <c r="A721" t="s">
        <v>725</v>
      </c>
      <c r="B721">
        <v>0.99352677808782597</v>
      </c>
      <c r="C721">
        <v>0.72757359146598</v>
      </c>
      <c r="D721">
        <v>0.65250885041168205</v>
      </c>
      <c r="E721">
        <v>0.40953142535924603</v>
      </c>
      <c r="F721">
        <v>0.42284581343295802</v>
      </c>
      <c r="G721">
        <v>0.41228131957101299</v>
      </c>
      <c r="H721">
        <v>0.34586299414127403</v>
      </c>
      <c r="I721">
        <v>0.38677376797579399</v>
      </c>
      <c r="J721">
        <v>0.33449714335198</v>
      </c>
      <c r="K721">
        <v>0.36424496315656102</v>
      </c>
      <c r="L721">
        <v>789.61741541922402</v>
      </c>
      <c r="M721">
        <v>17.660701451466998</v>
      </c>
      <c r="N721">
        <v>48.263415024292499</v>
      </c>
      <c r="O721">
        <v>44.149002510437697</v>
      </c>
      <c r="P721">
        <v>-6.3632287688763001E-2</v>
      </c>
      <c r="Q721">
        <v>0.36375078708200798</v>
      </c>
      <c r="R721">
        <v>0.96189412916461203</v>
      </c>
      <c r="S721" t="s">
        <v>7006</v>
      </c>
      <c r="T721" t="s">
        <v>12568</v>
      </c>
      <c r="U721" t="s">
        <v>12568</v>
      </c>
      <c r="V721" t="s">
        <v>12568</v>
      </c>
      <c r="W721" t="s">
        <v>13273</v>
      </c>
      <c r="X721">
        <v>13</v>
      </c>
      <c r="Y721" t="s">
        <v>19498</v>
      </c>
      <c r="Z721" t="s">
        <v>25591</v>
      </c>
      <c r="AA721">
        <v>0.47847220039605831</v>
      </c>
      <c r="AB721" t="str">
        <f>HYPERLINK("Melting_Curves/meltCurve_H7C2K6_EPB41L1.pdf", "Melting_Curves/meltCurve_H7C2K6_EPB41L1.pdf")</f>
        <v>Melting_Curves/meltCurve_H7C2K6_EPB41L1.pdf</v>
      </c>
    </row>
    <row r="722" spans="1:28" x14ac:dyDescent="0.25">
      <c r="A722" t="s">
        <v>726</v>
      </c>
      <c r="B722">
        <v>0.99352677808782597</v>
      </c>
      <c r="C722">
        <v>1.0490828556923599</v>
      </c>
      <c r="D722">
        <v>1.0393703533012399</v>
      </c>
      <c r="E722">
        <v>0.48338889450682498</v>
      </c>
      <c r="F722">
        <v>0.38451778831827199</v>
      </c>
      <c r="G722">
        <v>0.15840773400771299</v>
      </c>
      <c r="H722">
        <v>0.110490250489575</v>
      </c>
      <c r="I722">
        <v>9.9588430667817696E-2</v>
      </c>
      <c r="J722">
        <v>8.6254393029896098E-2</v>
      </c>
      <c r="K722">
        <v>6.9224028323332507E-2</v>
      </c>
      <c r="L722">
        <v>1263.8414216354699</v>
      </c>
      <c r="M722">
        <v>25.110574640698999</v>
      </c>
      <c r="N722">
        <v>50.774144998668703</v>
      </c>
      <c r="O722">
        <v>50.015093556928498</v>
      </c>
      <c r="P722">
        <v>-0.11316666859386</v>
      </c>
      <c r="Q722">
        <v>9.8393170769898702E-2</v>
      </c>
      <c r="R722">
        <v>0.97698970361987003</v>
      </c>
      <c r="S722" t="s">
        <v>7007</v>
      </c>
      <c r="T722" t="s">
        <v>12568</v>
      </c>
      <c r="U722" t="s">
        <v>12568</v>
      </c>
      <c r="V722" t="s">
        <v>12568</v>
      </c>
      <c r="W722" t="s">
        <v>13274</v>
      </c>
      <c r="X722">
        <v>3</v>
      </c>
      <c r="Y722" t="s">
        <v>19499</v>
      </c>
      <c r="Z722" t="s">
        <v>25592</v>
      </c>
      <c r="AA722">
        <v>0.41689302829116998</v>
      </c>
      <c r="AB722" t="str">
        <f>HYPERLINK("Melting_Curves/meltCurve_H7C2Z6_GCA.pdf", "Melting_Curves/meltCurve_H7C2Z6_GCA.pdf")</f>
        <v>Melting_Curves/meltCurve_H7C2Z6_GCA.pdf</v>
      </c>
    </row>
    <row r="723" spans="1:28" x14ac:dyDescent="0.25">
      <c r="A723" t="s">
        <v>727</v>
      </c>
      <c r="B723">
        <v>0.99352677808782597</v>
      </c>
      <c r="C723">
        <v>0.88241066861768702</v>
      </c>
      <c r="D723">
        <v>0.92564670628943602</v>
      </c>
      <c r="E723">
        <v>0.72531915069294794</v>
      </c>
      <c r="F723">
        <v>0.70641160555976301</v>
      </c>
      <c r="G723">
        <v>0.44301062215229697</v>
      </c>
      <c r="H723">
        <v>0.31662430372634898</v>
      </c>
      <c r="I723">
        <v>0.30536708858827999</v>
      </c>
      <c r="J723">
        <v>0.33412140309324101</v>
      </c>
      <c r="K723">
        <v>0.26386418730704098</v>
      </c>
      <c r="L723">
        <v>636.19240000374202</v>
      </c>
      <c r="M723">
        <v>11.9132650304163</v>
      </c>
      <c r="N723">
        <v>56.165687748424403</v>
      </c>
      <c r="O723">
        <v>51.964031348082699</v>
      </c>
      <c r="P723">
        <v>-4.4614713007478199E-2</v>
      </c>
      <c r="Q723">
        <v>0.22177986681985301</v>
      </c>
      <c r="R723">
        <v>0.97340330655974905</v>
      </c>
      <c r="S723" t="s">
        <v>7008</v>
      </c>
      <c r="T723" t="s">
        <v>12568</v>
      </c>
      <c r="U723" t="s">
        <v>12568</v>
      </c>
      <c r="V723" t="s">
        <v>12568</v>
      </c>
      <c r="W723" t="s">
        <v>13275</v>
      </c>
      <c r="X723">
        <v>2</v>
      </c>
      <c r="Y723" t="s">
        <v>19500</v>
      </c>
      <c r="Z723" t="s">
        <v>25593</v>
      </c>
      <c r="AA723">
        <v>0.59104448672326082</v>
      </c>
      <c r="AB723" t="str">
        <f>HYPERLINK("Melting_Curves/meltCurve_H7C331_SDCCAG3.pdf", "Melting_Curves/meltCurve_H7C331_SDCCAG3.pdf")</f>
        <v>Melting_Curves/meltCurve_H7C331_SDCCAG3.pdf</v>
      </c>
    </row>
    <row r="724" spans="1:28" x14ac:dyDescent="0.25">
      <c r="A724" t="s">
        <v>728</v>
      </c>
      <c r="B724">
        <v>0.99352677808782597</v>
      </c>
      <c r="C724">
        <v>1.4752303956639099</v>
      </c>
      <c r="D724">
        <v>0.83578091566840496</v>
      </c>
      <c r="E724">
        <v>0.67893469162388198</v>
      </c>
      <c r="F724">
        <v>0.49004045243115202</v>
      </c>
      <c r="G724">
        <v>0.377963909265987</v>
      </c>
      <c r="H724">
        <v>0.39348034696270401</v>
      </c>
      <c r="I724">
        <v>0.52115622494708203</v>
      </c>
      <c r="J724">
        <v>0.25064539248233098</v>
      </c>
      <c r="K724">
        <v>0.118280804854952</v>
      </c>
      <c r="L724">
        <v>1182.17694454356</v>
      </c>
      <c r="M724">
        <v>23.4508648205355</v>
      </c>
      <c r="N724">
        <v>52.692995606239499</v>
      </c>
      <c r="O724">
        <v>50.048526664862699</v>
      </c>
      <c r="P724">
        <v>-7.9783238256386793E-2</v>
      </c>
      <c r="Q724">
        <v>0.31892247771601201</v>
      </c>
      <c r="R724">
        <v>0.76790656038582605</v>
      </c>
      <c r="S724" t="s">
        <v>7009</v>
      </c>
      <c r="T724" t="s">
        <v>12568</v>
      </c>
      <c r="U724" t="s">
        <v>12568</v>
      </c>
      <c r="V724" t="s">
        <v>12568</v>
      </c>
      <c r="W724" t="s">
        <v>13276</v>
      </c>
      <c r="X724">
        <v>1</v>
      </c>
      <c r="Y724" t="s">
        <v>19501</v>
      </c>
      <c r="Z724" t="s">
        <v>25594</v>
      </c>
      <c r="AA724">
        <v>0.56221605844287548</v>
      </c>
      <c r="AB724" t="str">
        <f>HYPERLINK("Melting_Curves/meltCurve_H7C3C7_SNAP47.pdf", "Melting_Curves/meltCurve_H7C3C7_SNAP47.pdf")</f>
        <v>Melting_Curves/meltCurve_H7C3C7_SNAP47.pdf</v>
      </c>
    </row>
    <row r="725" spans="1:28" x14ac:dyDescent="0.25">
      <c r="A725" t="s">
        <v>729</v>
      </c>
      <c r="B725">
        <v>0.99352677808782597</v>
      </c>
      <c r="C725">
        <v>1.0037315763985</v>
      </c>
      <c r="D725">
        <v>0.98530088572878505</v>
      </c>
      <c r="E725">
        <v>0.95864342403436298</v>
      </c>
      <c r="F725">
        <v>0.79917615507527395</v>
      </c>
      <c r="G725">
        <v>0.68887255225521404</v>
      </c>
      <c r="H725">
        <v>0.64695095942313496</v>
      </c>
      <c r="I725">
        <v>0.48691596718938401</v>
      </c>
      <c r="J725">
        <v>0.366200921370743</v>
      </c>
      <c r="K725">
        <v>0.211435494041913</v>
      </c>
      <c r="L725">
        <v>612.30492457829098</v>
      </c>
      <c r="M725">
        <v>9.7266005150043604</v>
      </c>
      <c r="N725">
        <v>62.951563848553299</v>
      </c>
      <c r="O725">
        <v>60.463518432986199</v>
      </c>
      <c r="P725">
        <v>-4.0238560027428198E-2</v>
      </c>
      <c r="Q725">
        <v>0</v>
      </c>
      <c r="R725">
        <v>0.97705071961290901</v>
      </c>
      <c r="S725" t="s">
        <v>7010</v>
      </c>
      <c r="T725" t="s">
        <v>12568</v>
      </c>
      <c r="U725" t="s">
        <v>12568</v>
      </c>
      <c r="V725" t="s">
        <v>12568</v>
      </c>
      <c r="W725" t="s">
        <v>13277</v>
      </c>
      <c r="X725">
        <v>9</v>
      </c>
      <c r="Y725" t="s">
        <v>19502</v>
      </c>
      <c r="Z725" t="s">
        <v>25595</v>
      </c>
      <c r="AA725">
        <v>0.73236057620508277</v>
      </c>
      <c r="AB725" t="str">
        <f>HYPERLINK("Melting_Curves/meltCurve_H7C3P4_GNS.pdf", "Melting_Curves/meltCurve_H7C3P4_GNS.pdf")</f>
        <v>Melting_Curves/meltCurve_H7C3P4_GNS.pdf</v>
      </c>
    </row>
    <row r="726" spans="1:28" x14ac:dyDescent="0.25">
      <c r="A726" t="s">
        <v>730</v>
      </c>
      <c r="B726">
        <v>0.99352677808782597</v>
      </c>
      <c r="C726">
        <v>0.85645677043314805</v>
      </c>
      <c r="D726">
        <v>0.84548417752051797</v>
      </c>
      <c r="E726">
        <v>0.76782523379260603</v>
      </c>
      <c r="F726">
        <v>0.93546446292499597</v>
      </c>
      <c r="G726">
        <v>0.88303027364730402</v>
      </c>
      <c r="H726">
        <v>0.73940783535283905</v>
      </c>
      <c r="I726">
        <v>0.86685504115491996</v>
      </c>
      <c r="J726">
        <v>0.80281906713411999</v>
      </c>
      <c r="K726">
        <v>0.88241336490320099</v>
      </c>
      <c r="L726">
        <v>3156.9539572866202</v>
      </c>
      <c r="M726">
        <v>75.773195896237297</v>
      </c>
      <c r="O726">
        <v>41.634217945928498</v>
      </c>
      <c r="P726">
        <v>-7.2622424437562297E-2</v>
      </c>
      <c r="Q726">
        <v>0.84038805597364596</v>
      </c>
      <c r="R726">
        <v>0.40813570918604902</v>
      </c>
      <c r="S726" t="s">
        <v>7011</v>
      </c>
      <c r="T726" t="s">
        <v>12568</v>
      </c>
      <c r="U726" t="s">
        <v>12568</v>
      </c>
      <c r="V726" t="s">
        <v>12568</v>
      </c>
      <c r="W726" t="s">
        <v>13278</v>
      </c>
      <c r="X726">
        <v>1</v>
      </c>
      <c r="Y726" t="s">
        <v>19503</v>
      </c>
      <c r="Z726" t="s">
        <v>25596</v>
      </c>
      <c r="AA726">
        <v>0.84947455111012782</v>
      </c>
      <c r="AB726" t="str">
        <f>HYPERLINK("Melting_Curves/meltCurve_H7C4B9_MDFIC.pdf", "Melting_Curves/meltCurve_H7C4B9_MDFIC.pdf")</f>
        <v>Melting_Curves/meltCurve_H7C4B9_MDFIC.pdf</v>
      </c>
    </row>
    <row r="727" spans="1:28" x14ac:dyDescent="0.25">
      <c r="A727" t="s">
        <v>731</v>
      </c>
      <c r="B727">
        <v>0.99352677808782597</v>
      </c>
      <c r="C727">
        <v>0.85087961251921396</v>
      </c>
      <c r="D727">
        <v>0.88856831696513106</v>
      </c>
      <c r="E727">
        <v>0.59298135523978701</v>
      </c>
      <c r="F727">
        <v>0.55562499119427999</v>
      </c>
      <c r="G727">
        <v>0.45052311271037199</v>
      </c>
      <c r="H727">
        <v>0.406435589967722</v>
      </c>
      <c r="I727">
        <v>0.42265675227657201</v>
      </c>
      <c r="J727">
        <v>0.37093236937447999</v>
      </c>
      <c r="K727">
        <v>0.44451588452483898</v>
      </c>
      <c r="L727">
        <v>730.54504408973196</v>
      </c>
      <c r="M727">
        <v>15.033693873903699</v>
      </c>
      <c r="N727">
        <v>54.293568549541298</v>
      </c>
      <c r="O727">
        <v>47.758362880049098</v>
      </c>
      <c r="P727">
        <v>-4.7472209293154301E-2</v>
      </c>
      <c r="Q727">
        <v>0.39683009114831502</v>
      </c>
      <c r="R727">
        <v>0.96420350594277304</v>
      </c>
      <c r="S727" t="s">
        <v>7012</v>
      </c>
      <c r="T727" t="s">
        <v>12568</v>
      </c>
      <c r="U727" t="s">
        <v>12568</v>
      </c>
      <c r="V727" t="s">
        <v>12568</v>
      </c>
      <c r="W727" t="s">
        <v>13279</v>
      </c>
      <c r="X727">
        <v>6</v>
      </c>
      <c r="Y727" t="s">
        <v>19504</v>
      </c>
      <c r="Z727" t="s">
        <v>25597</v>
      </c>
      <c r="AA727">
        <v>0.58467355518671149</v>
      </c>
      <c r="AB727" t="str">
        <f>HYPERLINK("Melting_Curves/meltCurve_H7C4X9_ZMYND8.pdf", "Melting_Curves/meltCurve_H7C4X9_ZMYND8.pdf")</f>
        <v>Melting_Curves/meltCurve_H7C4X9_ZMYND8.pdf</v>
      </c>
    </row>
    <row r="728" spans="1:28" x14ac:dyDescent="0.25">
      <c r="A728" t="s">
        <v>732</v>
      </c>
      <c r="B728">
        <v>0.99352677808782597</v>
      </c>
      <c r="C728">
        <v>0.87375042938125902</v>
      </c>
      <c r="D728">
        <v>0.88697040018484496</v>
      </c>
      <c r="E728">
        <v>0.62564916395817105</v>
      </c>
      <c r="F728">
        <v>0.55732025908136795</v>
      </c>
      <c r="G728">
        <v>0.48935975828296402</v>
      </c>
      <c r="H728">
        <v>0.475245833016054</v>
      </c>
      <c r="I728">
        <v>0.44966229362509702</v>
      </c>
      <c r="J728">
        <v>0.42894227112397598</v>
      </c>
      <c r="K728">
        <v>0.38652333565533897</v>
      </c>
      <c r="L728">
        <v>688.55119109282805</v>
      </c>
      <c r="M728">
        <v>14.0905190223198</v>
      </c>
      <c r="N728">
        <v>55.865442444649702</v>
      </c>
      <c r="O728">
        <v>47.913621119379201</v>
      </c>
      <c r="P728">
        <v>-4.3056460290634001E-2</v>
      </c>
      <c r="Q728">
        <v>0.41443629815785699</v>
      </c>
      <c r="R728">
        <v>0.97649820351815797</v>
      </c>
      <c r="S728" t="s">
        <v>7013</v>
      </c>
      <c r="T728" t="s">
        <v>12568</v>
      </c>
      <c r="U728" t="s">
        <v>12568</v>
      </c>
      <c r="V728" t="s">
        <v>12568</v>
      </c>
      <c r="W728" t="s">
        <v>13280</v>
      </c>
      <c r="X728">
        <v>1</v>
      </c>
      <c r="Y728" t="s">
        <v>19505</v>
      </c>
      <c r="Z728" t="s">
        <v>25598</v>
      </c>
      <c r="AA728">
        <v>0.60382243157123849</v>
      </c>
      <c r="AB728" t="str">
        <f>HYPERLINK("Melting_Curves/meltCurve_H7C5A5_STIM2.pdf", "Melting_Curves/meltCurve_H7C5A5_STIM2.pdf")</f>
        <v>Melting_Curves/meltCurve_H7C5A5_STIM2.pdf</v>
      </c>
    </row>
    <row r="729" spans="1:28" x14ac:dyDescent="0.25">
      <c r="A729" t="s">
        <v>733</v>
      </c>
      <c r="B729">
        <v>0.99352677808782597</v>
      </c>
      <c r="C729">
        <v>0.95255527174828403</v>
      </c>
      <c r="D729">
        <v>0.93881065438685396</v>
      </c>
      <c r="E729">
        <v>0.73578739190116804</v>
      </c>
      <c r="F729">
        <v>0.70133548465544604</v>
      </c>
      <c r="G729">
        <v>0.58207396984972304</v>
      </c>
      <c r="H729">
        <v>0.49903043892980697</v>
      </c>
      <c r="I729">
        <v>0.32978526602404301</v>
      </c>
      <c r="J729">
        <v>0.121839896157179</v>
      </c>
      <c r="K729">
        <v>7.0051263723061599E-2</v>
      </c>
      <c r="L729">
        <v>562.63998783867305</v>
      </c>
      <c r="M729">
        <v>9.6876079147813794</v>
      </c>
      <c r="N729">
        <v>58.078319331825803</v>
      </c>
      <c r="O729">
        <v>55.765551583965703</v>
      </c>
      <c r="P729">
        <v>-4.3453919488518102E-2</v>
      </c>
      <c r="Q729">
        <v>0</v>
      </c>
      <c r="R729">
        <v>0.95879850690819801</v>
      </c>
      <c r="S729" t="s">
        <v>7014</v>
      </c>
      <c r="T729" t="s">
        <v>12568</v>
      </c>
      <c r="U729" t="s">
        <v>12568</v>
      </c>
      <c r="V729" t="s">
        <v>12568</v>
      </c>
      <c r="W729" t="s">
        <v>13281</v>
      </c>
      <c r="X729">
        <v>7</v>
      </c>
      <c r="Y729" t="s">
        <v>19506</v>
      </c>
      <c r="Z729" t="s">
        <v>25599</v>
      </c>
      <c r="AA729">
        <v>0.61130228944356424</v>
      </c>
      <c r="AB729" t="str">
        <f>HYPERLINK("Melting_Curves/meltCurve_H7C5G1_IAH1.pdf", "Melting_Curves/meltCurve_H7C5G1_IAH1.pdf")</f>
        <v>Melting_Curves/meltCurve_H7C5G1_IAH1.pdf</v>
      </c>
    </row>
    <row r="730" spans="1:28" x14ac:dyDescent="0.25">
      <c r="A730" t="s">
        <v>734</v>
      </c>
      <c r="B730">
        <v>0.99352677808782597</v>
      </c>
      <c r="C730">
        <v>1.08868211762545</v>
      </c>
      <c r="D730">
        <v>0.80885356547324805</v>
      </c>
      <c r="E730">
        <v>1.2473393895614799</v>
      </c>
      <c r="F730">
        <v>1.0507823207942799</v>
      </c>
      <c r="G730">
        <v>0.98744873161931201</v>
      </c>
      <c r="H730">
        <v>2.1517490846884901</v>
      </c>
      <c r="I730">
        <v>1.6187983255620699</v>
      </c>
      <c r="J730">
        <v>2.2023531697354999</v>
      </c>
      <c r="K730">
        <v>0.72709448260172904</v>
      </c>
      <c r="L730">
        <v>14620.222806039401</v>
      </c>
      <c r="M730">
        <v>250</v>
      </c>
      <c r="O730">
        <v>58.477148841905297</v>
      </c>
      <c r="P730">
        <v>0.53439677992504397</v>
      </c>
      <c r="Q730">
        <v>1.5</v>
      </c>
      <c r="R730">
        <v>0.34753283593985101</v>
      </c>
      <c r="S730" t="s">
        <v>7015</v>
      </c>
      <c r="T730" t="s">
        <v>12568</v>
      </c>
      <c r="U730" t="s">
        <v>12568</v>
      </c>
      <c r="V730" t="s">
        <v>12568</v>
      </c>
      <c r="W730" t="s">
        <v>13282</v>
      </c>
      <c r="X730">
        <v>9</v>
      </c>
      <c r="Y730" t="s">
        <v>19507</v>
      </c>
      <c r="Z730" t="s">
        <v>25600</v>
      </c>
      <c r="AA730">
        <v>1.191933829737073</v>
      </c>
      <c r="AB730" t="str">
        <f>HYPERLINK("Melting_Curves/meltCurve_H8Y6P7_GCOM1.pdf", "Melting_Curves/meltCurve_H8Y6P7_GCOM1.pdf")</f>
        <v>Melting_Curves/meltCurve_H8Y6P7_GCOM1.pdf</v>
      </c>
    </row>
    <row r="731" spans="1:28" x14ac:dyDescent="0.25">
      <c r="A731" t="s">
        <v>735</v>
      </c>
      <c r="B731">
        <v>0.99352677808782597</v>
      </c>
      <c r="C731">
        <v>0.75166742844676204</v>
      </c>
      <c r="D731">
        <v>0.70279225775955301</v>
      </c>
      <c r="E731">
        <v>0.81793353225363497</v>
      </c>
      <c r="F731">
        <v>0.90578352529380801</v>
      </c>
      <c r="G731">
        <v>1.1303748081618401</v>
      </c>
      <c r="H731">
        <v>0.86414487696528897</v>
      </c>
      <c r="I731">
        <v>1.0849324973555099</v>
      </c>
      <c r="J731">
        <v>0.95933498144368501</v>
      </c>
      <c r="K731">
        <v>1.02558910481566</v>
      </c>
      <c r="L731">
        <v>15000</v>
      </c>
      <c r="M731">
        <v>211.36568047833899</v>
      </c>
      <c r="Q731">
        <v>1.5</v>
      </c>
      <c r="R731">
        <v>-0.32292620763705199</v>
      </c>
      <c r="S731" t="s">
        <v>7016</v>
      </c>
      <c r="T731" t="s">
        <v>12568</v>
      </c>
      <c r="U731" t="s">
        <v>12568</v>
      </c>
      <c r="V731" t="s">
        <v>12568</v>
      </c>
      <c r="W731" t="s">
        <v>13283</v>
      </c>
      <c r="X731">
        <v>3</v>
      </c>
      <c r="Y731" t="s">
        <v>19508</v>
      </c>
      <c r="Z731" t="s">
        <v>25601</v>
      </c>
      <c r="AA731">
        <v>1.0002833176728909</v>
      </c>
      <c r="AB731" t="str">
        <f>HYPERLINK("Melting_Curves/meltCurve_H9KV61_PWWP2B.pdf", "Melting_Curves/meltCurve_H9KV61_PWWP2B.pdf")</f>
        <v>Melting_Curves/meltCurve_H9KV61_PWWP2B.pdf</v>
      </c>
    </row>
    <row r="732" spans="1:28" x14ac:dyDescent="0.25">
      <c r="A732" t="s">
        <v>736</v>
      </c>
      <c r="B732">
        <v>0.99352677808782597</v>
      </c>
      <c r="C732">
        <v>0.97555609698508505</v>
      </c>
      <c r="D732">
        <v>1.27548577845888</v>
      </c>
      <c r="E732">
        <v>1.15168925489193</v>
      </c>
      <c r="F732">
        <v>1.1214514466740799</v>
      </c>
      <c r="G732">
        <v>1.2867168757407501</v>
      </c>
      <c r="H732">
        <v>1.6500759959676199</v>
      </c>
      <c r="I732">
        <v>2.2695304175102899</v>
      </c>
      <c r="J732">
        <v>1.84254902349236</v>
      </c>
      <c r="K732">
        <v>2.0838980651632601</v>
      </c>
      <c r="L732">
        <v>2228.95910632913</v>
      </c>
      <c r="M732">
        <v>40.179392079248203</v>
      </c>
      <c r="O732">
        <v>55.338279216278501</v>
      </c>
      <c r="P732">
        <v>9.0758745268143495E-2</v>
      </c>
      <c r="Q732">
        <v>1.5</v>
      </c>
      <c r="R732">
        <v>0.39103761528768699</v>
      </c>
      <c r="S732" t="s">
        <v>7017</v>
      </c>
      <c r="T732" t="s">
        <v>12568</v>
      </c>
      <c r="U732" t="s">
        <v>12568</v>
      </c>
      <c r="V732" t="s">
        <v>12568</v>
      </c>
      <c r="W732" t="s">
        <v>13284</v>
      </c>
      <c r="X732">
        <v>2</v>
      </c>
      <c r="Y732" t="s">
        <v>19509</v>
      </c>
      <c r="Z732" t="s">
        <v>25602</v>
      </c>
      <c r="AA732">
        <v>1.2401890573614061</v>
      </c>
      <c r="AB732" t="str">
        <f>HYPERLINK("Melting_Curves/meltCurve_H9KVA7_CEACAM5.pdf", "Melting_Curves/meltCurve_H9KVA7_CEACAM5.pdf")</f>
        <v>Melting_Curves/meltCurve_H9KVA7_CEACAM5.pdf</v>
      </c>
    </row>
    <row r="733" spans="1:28" x14ac:dyDescent="0.25">
      <c r="A733" t="s">
        <v>737</v>
      </c>
      <c r="B733">
        <v>0.99352677808782597</v>
      </c>
      <c r="C733">
        <v>1.02803547271317</v>
      </c>
      <c r="D733">
        <v>0.84187590994755301</v>
      </c>
      <c r="E733">
        <v>0.464646358762205</v>
      </c>
      <c r="F733">
        <v>0.28492083239889099</v>
      </c>
      <c r="G733">
        <v>0.23833445190163299</v>
      </c>
      <c r="H733">
        <v>0.14791212984362401</v>
      </c>
      <c r="I733">
        <v>0.12825259878636799</v>
      </c>
      <c r="J733">
        <v>0.119942564565253</v>
      </c>
      <c r="K733">
        <v>0.12534889724030701</v>
      </c>
      <c r="L733">
        <v>1100.01036854417</v>
      </c>
      <c r="M733">
        <v>22.3976855984168</v>
      </c>
      <c r="N733">
        <v>49.838779633901602</v>
      </c>
      <c r="O733">
        <v>48.726210906286603</v>
      </c>
      <c r="P733">
        <v>-9.8920760274356104E-2</v>
      </c>
      <c r="Q733">
        <v>0.13920879569743999</v>
      </c>
      <c r="R733">
        <v>0.99296093127678198</v>
      </c>
      <c r="S733" t="s">
        <v>7018</v>
      </c>
      <c r="T733" t="s">
        <v>12568</v>
      </c>
      <c r="U733" t="s">
        <v>12568</v>
      </c>
      <c r="V733" t="s">
        <v>12568</v>
      </c>
      <c r="W733" t="s">
        <v>13285</v>
      </c>
      <c r="X733">
        <v>2</v>
      </c>
      <c r="Y733" t="s">
        <v>19510</v>
      </c>
      <c r="Z733" t="s">
        <v>25603</v>
      </c>
      <c r="AA733">
        <v>0.41024411415725143</v>
      </c>
      <c r="AB733" t="str">
        <f>HYPERLINK("Melting_Curves/meltCurve_H9ZYI9_GABPB1.pdf", "Melting_Curves/meltCurve_H9ZYI9_GABPB1.pdf")</f>
        <v>Melting_Curves/meltCurve_H9ZYI9_GABPB1.pdf</v>
      </c>
    </row>
    <row r="734" spans="1:28" x14ac:dyDescent="0.25">
      <c r="A734" t="s">
        <v>738</v>
      </c>
      <c r="B734">
        <v>0.99352677808782597</v>
      </c>
      <c r="C734">
        <v>0.97936087025666196</v>
      </c>
      <c r="D734">
        <v>0.86608090367073798</v>
      </c>
      <c r="E734">
        <v>0.32780986228180198</v>
      </c>
      <c r="F734">
        <v>0.243853745972441</v>
      </c>
      <c r="G734">
        <v>0.114401539375064</v>
      </c>
      <c r="H734">
        <v>0.12135802108410899</v>
      </c>
      <c r="I734">
        <v>0.101409065204729</v>
      </c>
      <c r="J734">
        <v>2.8949438902103601E-2</v>
      </c>
      <c r="K734">
        <v>3.2682572044280503E-2</v>
      </c>
      <c r="L734">
        <v>1293.86925518624</v>
      </c>
      <c r="M734">
        <v>26.6081628879192</v>
      </c>
      <c r="N734">
        <v>48.954129886367397</v>
      </c>
      <c r="O734">
        <v>48.3545895632598</v>
      </c>
      <c r="P734">
        <v>-0.126357750349889</v>
      </c>
      <c r="Q734">
        <v>8.1497595855635693E-2</v>
      </c>
      <c r="R734">
        <v>0.98915599188041303</v>
      </c>
      <c r="S734" t="s">
        <v>7019</v>
      </c>
      <c r="T734" t="s">
        <v>12568</v>
      </c>
      <c r="U734" t="s">
        <v>12568</v>
      </c>
      <c r="V734" t="s">
        <v>12568</v>
      </c>
      <c r="W734" t="s">
        <v>13286</v>
      </c>
      <c r="X734">
        <v>3</v>
      </c>
      <c r="Y734" t="s">
        <v>19511</v>
      </c>
      <c r="Z734" t="s">
        <v>25604</v>
      </c>
      <c r="AA734">
        <v>0.35275700265541438</v>
      </c>
      <c r="AB734" t="str">
        <f>HYPERLINK("Melting_Curves/meltCurve_I3L077_MYO15B.pdf", "Melting_Curves/meltCurve_I3L077_MYO15B.pdf")</f>
        <v>Melting_Curves/meltCurve_I3L077_MYO15B.pdf</v>
      </c>
    </row>
    <row r="735" spans="1:28" x14ac:dyDescent="0.25">
      <c r="A735" t="s">
        <v>739</v>
      </c>
      <c r="B735">
        <v>0.99352677808782597</v>
      </c>
      <c r="C735">
        <v>0.94465258892389103</v>
      </c>
      <c r="D735">
        <v>0.98010380981253098</v>
      </c>
      <c r="E735">
        <v>0.76852900451569806</v>
      </c>
      <c r="F735">
        <v>0.704130701957834</v>
      </c>
      <c r="G735">
        <v>0.49464319973335003</v>
      </c>
      <c r="H735">
        <v>0.40230178308801701</v>
      </c>
      <c r="I735">
        <v>0.40960995601042999</v>
      </c>
      <c r="J735">
        <v>0.48779812226666103</v>
      </c>
      <c r="K735">
        <v>0.38700798385504898</v>
      </c>
      <c r="L735">
        <v>929.55263451991004</v>
      </c>
      <c r="M735">
        <v>17.839507239012399</v>
      </c>
      <c r="N735">
        <v>57.393322918684099</v>
      </c>
      <c r="O735">
        <v>51.464889096295202</v>
      </c>
      <c r="P735">
        <v>-5.1709037588963599E-2</v>
      </c>
      <c r="Q735">
        <v>0.40333243771862298</v>
      </c>
      <c r="R735">
        <v>0.97409407132936499</v>
      </c>
      <c r="S735" t="s">
        <v>7020</v>
      </c>
      <c r="T735" t="s">
        <v>12568</v>
      </c>
      <c r="U735" t="s">
        <v>12568</v>
      </c>
      <c r="V735" t="s">
        <v>12568</v>
      </c>
      <c r="W735" t="s">
        <v>12866</v>
      </c>
      <c r="X735">
        <v>12</v>
      </c>
      <c r="Z735" t="s">
        <v>25605</v>
      </c>
      <c r="AA735">
        <v>0.65418138672267345</v>
      </c>
      <c r="AB735" t="str">
        <f>HYPERLINK("Melting_Curves/meltCurve_I3L097_.pdf", "Melting_Curves/meltCurve_I3L097_.pdf")</f>
        <v>Melting_Curves/meltCurve_I3L097_.pdf</v>
      </c>
    </row>
    <row r="736" spans="1:28" x14ac:dyDescent="0.25">
      <c r="A736" t="s">
        <v>740</v>
      </c>
      <c r="B736">
        <v>0.99352677808782597</v>
      </c>
      <c r="C736">
        <v>0.86928772970877299</v>
      </c>
      <c r="D736">
        <v>0.86222891948365199</v>
      </c>
      <c r="E736">
        <v>0.56833861882717895</v>
      </c>
      <c r="F736">
        <v>0.50015664242089397</v>
      </c>
      <c r="G736">
        <v>0.35985548645482301</v>
      </c>
      <c r="H736">
        <v>0.35753243015186698</v>
      </c>
      <c r="I736">
        <v>0.284973459828049</v>
      </c>
      <c r="J736">
        <v>0.24630542305031</v>
      </c>
      <c r="K736">
        <v>0.228503773850216</v>
      </c>
      <c r="L736">
        <v>613.18899832257398</v>
      </c>
      <c r="M736">
        <v>12.246393255591601</v>
      </c>
      <c r="N736">
        <v>52.700684172967399</v>
      </c>
      <c r="O736">
        <v>48.792014599105897</v>
      </c>
      <c r="P736">
        <v>-4.8413350750483197E-2</v>
      </c>
      <c r="Q736">
        <v>0.22861905482534101</v>
      </c>
      <c r="R736">
        <v>0.98364280850032404</v>
      </c>
      <c r="S736" t="s">
        <v>7021</v>
      </c>
      <c r="T736" t="s">
        <v>12568</v>
      </c>
      <c r="U736" t="s">
        <v>12568</v>
      </c>
      <c r="V736" t="s">
        <v>12568</v>
      </c>
      <c r="W736" t="s">
        <v>13287</v>
      </c>
      <c r="X736">
        <v>1</v>
      </c>
      <c r="Y736" t="s">
        <v>19512</v>
      </c>
      <c r="Z736" t="s">
        <v>25606</v>
      </c>
      <c r="AA736">
        <v>0.51333080688239108</v>
      </c>
      <c r="AB736" t="str">
        <f>HYPERLINK("Melting_Curves/meltCurve_I3L0L4_ENDOV.pdf", "Melting_Curves/meltCurve_I3L0L4_ENDOV.pdf")</f>
        <v>Melting_Curves/meltCurve_I3L0L4_ENDOV.pdf</v>
      </c>
    </row>
    <row r="737" spans="1:28" x14ac:dyDescent="0.25">
      <c r="A737" t="s">
        <v>741</v>
      </c>
      <c r="B737">
        <v>0.99352677808782597</v>
      </c>
      <c r="C737">
        <v>0.84619380747137896</v>
      </c>
      <c r="D737">
        <v>0.52821362244139602</v>
      </c>
      <c r="E737">
        <v>0.26500888838206998</v>
      </c>
      <c r="F737">
        <v>0.19769275615155699</v>
      </c>
      <c r="G737">
        <v>0.121724622318323</v>
      </c>
      <c r="H737">
        <v>7.4141236690567006E-2</v>
      </c>
      <c r="I737">
        <v>6.8462768103535299E-2</v>
      </c>
      <c r="J737">
        <v>5.4180103102368399E-2</v>
      </c>
      <c r="K737">
        <v>4.2481976076136803E-2</v>
      </c>
      <c r="L737">
        <v>836.26464596338894</v>
      </c>
      <c r="M737">
        <v>18.0320822076838</v>
      </c>
      <c r="N737">
        <v>46.745108872391597</v>
      </c>
      <c r="O737">
        <v>45.817377290557801</v>
      </c>
      <c r="P737">
        <v>-9.1874677745129696E-2</v>
      </c>
      <c r="Q737">
        <v>6.6274704732118897E-2</v>
      </c>
      <c r="R737">
        <v>0.99340431375016702</v>
      </c>
      <c r="S737" t="s">
        <v>7022</v>
      </c>
      <c r="T737" t="s">
        <v>12568</v>
      </c>
      <c r="U737" t="s">
        <v>12568</v>
      </c>
      <c r="V737" t="s">
        <v>12568</v>
      </c>
      <c r="W737" t="s">
        <v>13288</v>
      </c>
      <c r="X737">
        <v>31</v>
      </c>
      <c r="Y737" t="s">
        <v>19513</v>
      </c>
      <c r="Z737" t="s">
        <v>25607</v>
      </c>
      <c r="AA737">
        <v>0.28251603909094919</v>
      </c>
      <c r="AB737" t="str">
        <f>HYPERLINK("Melting_Curves/meltCurve_I3L0N3_NSF.pdf", "Melting_Curves/meltCurve_I3L0N3_NSF.pdf")</f>
        <v>Melting_Curves/meltCurve_I3L0N3_NSF.pdf</v>
      </c>
    </row>
    <row r="738" spans="1:28" x14ac:dyDescent="0.25">
      <c r="A738" t="s">
        <v>742</v>
      </c>
      <c r="B738">
        <v>0.99352677808782597</v>
      </c>
      <c r="C738">
        <v>0.95527172894981405</v>
      </c>
      <c r="D738">
        <v>0.75338163469700103</v>
      </c>
      <c r="E738">
        <v>0.354800338277522</v>
      </c>
      <c r="F738">
        <v>0.34308094066633299</v>
      </c>
      <c r="G738">
        <v>0.17126936836891399</v>
      </c>
      <c r="H738">
        <v>0.23727737838052601</v>
      </c>
      <c r="I738">
        <v>0.30205909607709802</v>
      </c>
      <c r="J738">
        <v>0.11144941657344599</v>
      </c>
      <c r="K738">
        <v>5.6496605449383799E-2</v>
      </c>
      <c r="L738">
        <v>999.35279858768297</v>
      </c>
      <c r="M738">
        <v>20.9082964597326</v>
      </c>
      <c r="N738">
        <v>48.791750832056202</v>
      </c>
      <c r="O738">
        <v>47.366160749903997</v>
      </c>
      <c r="P738">
        <v>-9.1206395607382099E-2</v>
      </c>
      <c r="Q738">
        <v>0.17353786640551</v>
      </c>
      <c r="R738">
        <v>0.956401405387028</v>
      </c>
      <c r="S738" t="s">
        <v>7023</v>
      </c>
      <c r="T738" t="s">
        <v>12568</v>
      </c>
      <c r="U738" t="s">
        <v>12568</v>
      </c>
      <c r="V738" t="s">
        <v>12568</v>
      </c>
      <c r="W738" t="s">
        <v>13289</v>
      </c>
      <c r="X738">
        <v>3</v>
      </c>
      <c r="Y738" t="s">
        <v>19514</v>
      </c>
      <c r="Z738" t="s">
        <v>25608</v>
      </c>
      <c r="AA738">
        <v>0.39906147703683881</v>
      </c>
      <c r="AB738" t="str">
        <f>HYPERLINK("Melting_Curves/meltCurve_I3L0W4_SAT2.pdf", "Melting_Curves/meltCurve_I3L0W4_SAT2.pdf")</f>
        <v>Melting_Curves/meltCurve_I3L0W4_SAT2.pdf</v>
      </c>
    </row>
    <row r="739" spans="1:28" x14ac:dyDescent="0.25">
      <c r="A739" t="s">
        <v>743</v>
      </c>
      <c r="B739">
        <v>0.99352677808782597</v>
      </c>
      <c r="C739">
        <v>0.94462781413298802</v>
      </c>
      <c r="D739">
        <v>0.89921927388968503</v>
      </c>
      <c r="E739">
        <v>0.68932654401920002</v>
      </c>
      <c r="F739">
        <v>0.51885987146124601</v>
      </c>
      <c r="G739">
        <v>0.35080154557840598</v>
      </c>
      <c r="H739">
        <v>0.20176321321322199</v>
      </c>
      <c r="I739">
        <v>0.17558268893336099</v>
      </c>
      <c r="J739">
        <v>0.182420329487778</v>
      </c>
      <c r="K739">
        <v>0.196200543472724</v>
      </c>
      <c r="L739">
        <v>774.53802084122401</v>
      </c>
      <c r="M739">
        <v>14.903790516929501</v>
      </c>
      <c r="N739">
        <v>53.236525335667601</v>
      </c>
      <c r="O739">
        <v>51.0604848401683</v>
      </c>
      <c r="P739">
        <v>-6.20802329710676E-2</v>
      </c>
      <c r="Q739">
        <v>0.149338977598302</v>
      </c>
      <c r="R739">
        <v>0.99675665661046198</v>
      </c>
      <c r="S739" t="s">
        <v>7024</v>
      </c>
      <c r="T739" t="s">
        <v>12568</v>
      </c>
      <c r="U739" t="s">
        <v>12568</v>
      </c>
      <c r="V739" t="s">
        <v>12568</v>
      </c>
      <c r="W739" t="s">
        <v>13290</v>
      </c>
      <c r="X739">
        <v>1</v>
      </c>
      <c r="Y739" t="s">
        <v>19515</v>
      </c>
      <c r="Z739" t="s">
        <v>25609</v>
      </c>
      <c r="AA739">
        <v>0.50795643168722571</v>
      </c>
      <c r="AB739" t="str">
        <f>HYPERLINK("Melting_Curves/meltCurve_I3L121_CLUAP1.pdf", "Melting_Curves/meltCurve_I3L121_CLUAP1.pdf")</f>
        <v>Melting_Curves/meltCurve_I3L121_CLUAP1.pdf</v>
      </c>
    </row>
    <row r="740" spans="1:28" x14ac:dyDescent="0.25">
      <c r="A740" t="s">
        <v>744</v>
      </c>
      <c r="B740">
        <v>0.99352677808782597</v>
      </c>
      <c r="C740">
        <v>1.01650929898136</v>
      </c>
      <c r="D740">
        <v>1.0390365527838901</v>
      </c>
      <c r="E740">
        <v>0.75842111203274498</v>
      </c>
      <c r="F740">
        <v>0.65112607991196503</v>
      </c>
      <c r="G740">
        <v>0.39617895482087301</v>
      </c>
      <c r="H740">
        <v>0.20317902591925899</v>
      </c>
      <c r="I740">
        <v>0.131921818663815</v>
      </c>
      <c r="J740">
        <v>0.106293318600058</v>
      </c>
      <c r="K740">
        <v>8.1204944389044506E-2</v>
      </c>
      <c r="L740">
        <v>858.53843922701299</v>
      </c>
      <c r="M740">
        <v>15.7067255549357</v>
      </c>
      <c r="N740">
        <v>55.0512806359108</v>
      </c>
      <c r="O740">
        <v>53.797526167728101</v>
      </c>
      <c r="P740">
        <v>-6.9146071886417707E-2</v>
      </c>
      <c r="Q740">
        <v>5.2743641697276501E-2</v>
      </c>
      <c r="R740">
        <v>0.991128001849232</v>
      </c>
      <c r="S740" t="s">
        <v>7025</v>
      </c>
      <c r="T740" t="s">
        <v>12568</v>
      </c>
      <c r="U740" t="s">
        <v>12568</v>
      </c>
      <c r="V740" t="s">
        <v>12568</v>
      </c>
      <c r="W740" t="s">
        <v>13291</v>
      </c>
      <c r="X740">
        <v>10</v>
      </c>
      <c r="Y740" t="s">
        <v>19516</v>
      </c>
      <c r="Z740" t="s">
        <v>25610</v>
      </c>
      <c r="AA740">
        <v>0.53337203947374989</v>
      </c>
      <c r="AB740" t="str">
        <f>HYPERLINK("Melting_Curves/meltCurve_I3L1H5_DPH1.pdf", "Melting_Curves/meltCurve_I3L1H5_DPH1.pdf")</f>
        <v>Melting_Curves/meltCurve_I3L1H5_DPH1.pdf</v>
      </c>
    </row>
    <row r="741" spans="1:28" x14ac:dyDescent="0.25">
      <c r="A741" t="s">
        <v>745</v>
      </c>
      <c r="B741">
        <v>0.99352677808782597</v>
      </c>
      <c r="C741">
        <v>1.0049599784977199</v>
      </c>
      <c r="D741">
        <v>0.78648723534703202</v>
      </c>
      <c r="E741">
        <v>1.24596557633822</v>
      </c>
      <c r="F741">
        <v>0.95312421314738904</v>
      </c>
      <c r="G741">
        <v>0.69571726293452596</v>
      </c>
      <c r="H741">
        <v>0.60051767641515996</v>
      </c>
      <c r="I741">
        <v>0.544430902692003</v>
      </c>
      <c r="J741">
        <v>0.54292864374054195</v>
      </c>
      <c r="K741">
        <v>0.21649633252769801</v>
      </c>
      <c r="L741">
        <v>712.30806715038398</v>
      </c>
      <c r="M741">
        <v>11.0620814319613</v>
      </c>
      <c r="N741">
        <v>64.615031183468403</v>
      </c>
      <c r="O741">
        <v>62.394973829888698</v>
      </c>
      <c r="P741">
        <v>-4.3506524366368697E-2</v>
      </c>
      <c r="Q741">
        <v>1.8740930011566299E-2</v>
      </c>
      <c r="R741">
        <v>0.79321763753837704</v>
      </c>
      <c r="S741" t="s">
        <v>7026</v>
      </c>
      <c r="T741" t="s">
        <v>12568</v>
      </c>
      <c r="U741" t="s">
        <v>12568</v>
      </c>
      <c r="V741" t="s">
        <v>12568</v>
      </c>
      <c r="W741" t="s">
        <v>13292</v>
      </c>
      <c r="X741">
        <v>2</v>
      </c>
      <c r="Y741" t="s">
        <v>19517</v>
      </c>
      <c r="Z741" t="s">
        <v>25611</v>
      </c>
      <c r="AA741">
        <v>0.7782833279475827</v>
      </c>
      <c r="AB741" t="str">
        <f>HYPERLINK("Melting_Curves/meltCurve_I3L1Q3_ELP5.pdf", "Melting_Curves/meltCurve_I3L1Q3_ELP5.pdf")</f>
        <v>Melting_Curves/meltCurve_I3L1Q3_ELP5.pdf</v>
      </c>
    </row>
    <row r="742" spans="1:28" x14ac:dyDescent="0.25">
      <c r="A742" t="s">
        <v>746</v>
      </c>
      <c r="B742">
        <v>0.99352677808782597</v>
      </c>
      <c r="C742">
        <v>1.1595717531852401</v>
      </c>
      <c r="D742">
        <v>1.1713389405055501</v>
      </c>
      <c r="E742">
        <v>0.644687816091155</v>
      </c>
      <c r="F742">
        <v>0.59506685746210897</v>
      </c>
      <c r="G742">
        <v>0.28755717605315501</v>
      </c>
      <c r="H742">
        <v>3.1372666356307199E-2</v>
      </c>
      <c r="I742">
        <v>0.12357098567960299</v>
      </c>
      <c r="J742">
        <v>0</v>
      </c>
      <c r="K742">
        <v>4.4190838411052501E-2</v>
      </c>
      <c r="L742">
        <v>1040.92971127755</v>
      </c>
      <c r="M742">
        <v>19.4844264590274</v>
      </c>
      <c r="N742">
        <v>53.550627375867002</v>
      </c>
      <c r="O742">
        <v>52.870469387522903</v>
      </c>
      <c r="P742">
        <v>-9.0056624071417998E-2</v>
      </c>
      <c r="Q742">
        <v>2.25700825420375E-2</v>
      </c>
      <c r="R742">
        <v>0.94525700359337395</v>
      </c>
      <c r="S742" t="s">
        <v>7027</v>
      </c>
      <c r="T742" t="s">
        <v>12568</v>
      </c>
      <c r="U742" t="s">
        <v>12568</v>
      </c>
      <c r="V742" t="s">
        <v>12568</v>
      </c>
      <c r="W742" t="s">
        <v>13293</v>
      </c>
      <c r="X742">
        <v>4</v>
      </c>
      <c r="Y742" t="s">
        <v>19518</v>
      </c>
      <c r="Z742" t="s">
        <v>25612</v>
      </c>
      <c r="AA742">
        <v>0.47390526959244728</v>
      </c>
      <c r="AB742" t="str">
        <f>HYPERLINK("Melting_Curves/meltCurve_I3L232_B3GNTL1.pdf", "Melting_Curves/meltCurve_I3L232_B3GNTL1.pdf")</f>
        <v>Melting_Curves/meltCurve_I3L232_B3GNTL1.pdf</v>
      </c>
    </row>
    <row r="743" spans="1:28" x14ac:dyDescent="0.25">
      <c r="A743" t="s">
        <v>747</v>
      </c>
      <c r="B743">
        <v>0.99352677808782597</v>
      </c>
      <c r="C743">
        <v>1.01756640776831</v>
      </c>
      <c r="D743">
        <v>0.79154374746906997</v>
      </c>
      <c r="E743">
        <v>0.34655845363570797</v>
      </c>
      <c r="F743">
        <v>0.26288326649784399</v>
      </c>
      <c r="G743">
        <v>0.18863842959753099</v>
      </c>
      <c r="H743">
        <v>0.13159342541595101</v>
      </c>
      <c r="I743">
        <v>0.149286608063634</v>
      </c>
      <c r="J743">
        <v>0.13091610744681001</v>
      </c>
      <c r="K743">
        <v>0.116825516235232</v>
      </c>
      <c r="L743">
        <v>1256.78753915528</v>
      </c>
      <c r="M743">
        <v>26.150967387513401</v>
      </c>
      <c r="N743">
        <v>48.696392208242301</v>
      </c>
      <c r="O743">
        <v>47.780550777100103</v>
      </c>
      <c r="P743">
        <v>-0.116997514879115</v>
      </c>
      <c r="Q743">
        <v>0.14494301169617699</v>
      </c>
      <c r="R743">
        <v>0.99344798636784304</v>
      </c>
      <c r="S743" t="s">
        <v>7028</v>
      </c>
      <c r="T743" t="s">
        <v>12568</v>
      </c>
      <c r="U743" t="s">
        <v>12568</v>
      </c>
      <c r="V743" t="s">
        <v>12568</v>
      </c>
      <c r="W743" t="s">
        <v>13294</v>
      </c>
      <c r="X743">
        <v>23</v>
      </c>
      <c r="Y743" t="s">
        <v>19519</v>
      </c>
      <c r="Z743" t="s">
        <v>25613</v>
      </c>
      <c r="AA743">
        <v>0.38150788750513909</v>
      </c>
      <c r="AB743" t="str">
        <f>HYPERLINK("Melting_Curves/meltCurve_I3L2B0_CLUH.pdf", "Melting_Curves/meltCurve_I3L2B0_CLUH.pdf")</f>
        <v>Melting_Curves/meltCurve_I3L2B0_CLUH.pdf</v>
      </c>
    </row>
    <row r="744" spans="1:28" x14ac:dyDescent="0.25">
      <c r="A744" t="s">
        <v>748</v>
      </c>
      <c r="B744">
        <v>0.99352677808782597</v>
      </c>
      <c r="C744">
        <v>0.88811712260860698</v>
      </c>
      <c r="D744">
        <v>1.0400623466333501</v>
      </c>
      <c r="E744">
        <v>0.48089502504263798</v>
      </c>
      <c r="F744">
        <v>0.45053288077072601</v>
      </c>
      <c r="G744">
        <v>0.20140656053749301</v>
      </c>
      <c r="H744">
        <v>8.8095832578610506E-2</v>
      </c>
      <c r="I744">
        <v>7.5903217717030694E-2</v>
      </c>
      <c r="J744">
        <v>5.7563365577840198E-2</v>
      </c>
      <c r="K744">
        <v>4.2568000809204899E-2</v>
      </c>
      <c r="L744">
        <v>898.01477314915996</v>
      </c>
      <c r="M744">
        <v>17.568008196890101</v>
      </c>
      <c r="N744">
        <v>51.407295960428698</v>
      </c>
      <c r="O744">
        <v>50.467960848679397</v>
      </c>
      <c r="P744">
        <v>-8.2913580587192198E-2</v>
      </c>
      <c r="Q744">
        <v>4.7301880026278803E-2</v>
      </c>
      <c r="R744">
        <v>0.96267045525772499</v>
      </c>
      <c r="S744" t="s">
        <v>7029</v>
      </c>
      <c r="T744" t="s">
        <v>12568</v>
      </c>
      <c r="U744" t="s">
        <v>12568</v>
      </c>
      <c r="V744" t="s">
        <v>12568</v>
      </c>
      <c r="W744" t="s">
        <v>13295</v>
      </c>
      <c r="X744">
        <v>5</v>
      </c>
      <c r="Y744" t="s">
        <v>19520</v>
      </c>
      <c r="Z744" t="s">
        <v>25614</v>
      </c>
      <c r="AA744">
        <v>0.41706383594067808</v>
      </c>
      <c r="AB744" t="str">
        <f>HYPERLINK("Melting_Curves/meltCurve_I3L2C7_GEMIN4.pdf", "Melting_Curves/meltCurve_I3L2C7_GEMIN4.pdf")</f>
        <v>Melting_Curves/meltCurve_I3L2C7_GEMIN4.pdf</v>
      </c>
    </row>
    <row r="745" spans="1:28" x14ac:dyDescent="0.25">
      <c r="A745" t="s">
        <v>749</v>
      </c>
      <c r="B745">
        <v>0.99352677808782597</v>
      </c>
      <c r="C745">
        <v>0.94685152351873103</v>
      </c>
      <c r="D745">
        <v>0.96429256829911003</v>
      </c>
      <c r="E745">
        <v>0.70034593860915195</v>
      </c>
      <c r="F745">
        <v>0.62818739228089504</v>
      </c>
      <c r="G745">
        <v>0.44508924744078798</v>
      </c>
      <c r="H745">
        <v>0.39455556631965299</v>
      </c>
      <c r="I745">
        <v>0.38755151957987599</v>
      </c>
      <c r="J745">
        <v>0.39249364188409103</v>
      </c>
      <c r="K745">
        <v>0.31411022220478702</v>
      </c>
      <c r="L745">
        <v>823.49395292429597</v>
      </c>
      <c r="M745">
        <v>16.012861286598401</v>
      </c>
      <c r="N745">
        <v>55.503677286748598</v>
      </c>
      <c r="O745">
        <v>50.645011262312103</v>
      </c>
      <c r="P745">
        <v>-5.17179289580426E-2</v>
      </c>
      <c r="Q745">
        <v>0.345763079096361</v>
      </c>
      <c r="R745">
        <v>0.98554060942700705</v>
      </c>
      <c r="S745" t="s">
        <v>7030</v>
      </c>
      <c r="T745" t="s">
        <v>12568</v>
      </c>
      <c r="U745" t="s">
        <v>12568</v>
      </c>
      <c r="V745" t="s">
        <v>12568</v>
      </c>
      <c r="W745" t="s">
        <v>13296</v>
      </c>
      <c r="X745">
        <v>19</v>
      </c>
      <c r="Y745" t="s">
        <v>19521</v>
      </c>
      <c r="Z745" t="s">
        <v>25615</v>
      </c>
      <c r="AA745">
        <v>0.60836510820492873</v>
      </c>
      <c r="AB745" t="str">
        <f>HYPERLINK("Melting_Curves/meltCurve_I3L2J0_CIC.pdf", "Melting_Curves/meltCurve_I3L2J0_CIC.pdf")</f>
        <v>Melting_Curves/meltCurve_I3L2J0_CIC.pdf</v>
      </c>
    </row>
    <row r="746" spans="1:28" x14ac:dyDescent="0.25">
      <c r="A746" t="s">
        <v>750</v>
      </c>
      <c r="B746">
        <v>0.99352677808782597</v>
      </c>
      <c r="C746">
        <v>0.89377687170136599</v>
      </c>
      <c r="D746">
        <v>0.78119872235999999</v>
      </c>
      <c r="E746">
        <v>0.64223992871670199</v>
      </c>
      <c r="F746">
        <v>0.57760899497170604</v>
      </c>
      <c r="G746">
        <v>0.50187174075296104</v>
      </c>
      <c r="H746">
        <v>0.452360389404524</v>
      </c>
      <c r="I746">
        <v>0.50018637113340803</v>
      </c>
      <c r="J746">
        <v>0.45036391078735999</v>
      </c>
      <c r="K746">
        <v>0.414194021003708</v>
      </c>
      <c r="L746">
        <v>617.43350116104</v>
      </c>
      <c r="M746">
        <v>12.867374555154001</v>
      </c>
      <c r="N746">
        <v>57.078227552049398</v>
      </c>
      <c r="O746">
        <v>46.869777604834901</v>
      </c>
      <c r="P746">
        <v>-3.87414808209584E-2</v>
      </c>
      <c r="Q746">
        <v>0.43563600511915701</v>
      </c>
      <c r="R746">
        <v>0.98749701445525795</v>
      </c>
      <c r="S746" t="s">
        <v>7031</v>
      </c>
      <c r="T746" t="s">
        <v>12568</v>
      </c>
      <c r="U746" t="s">
        <v>12568</v>
      </c>
      <c r="V746" t="s">
        <v>12568</v>
      </c>
      <c r="W746" t="s">
        <v>13297</v>
      </c>
      <c r="X746">
        <v>9</v>
      </c>
      <c r="Y746" t="s">
        <v>19522</v>
      </c>
      <c r="Z746" t="s">
        <v>25616</v>
      </c>
      <c r="AA746">
        <v>0.60533175048443411</v>
      </c>
      <c r="AB746" t="str">
        <f>HYPERLINK("Melting_Curves/meltCurve_I3L2N2_DVL2.pdf", "Melting_Curves/meltCurve_I3L2N2_DVL2.pdf")</f>
        <v>Melting_Curves/meltCurve_I3L2N2_DVL2.pdf</v>
      </c>
    </row>
    <row r="747" spans="1:28" x14ac:dyDescent="0.25">
      <c r="A747" t="s">
        <v>751</v>
      </c>
      <c r="B747">
        <v>0.99352677808782597</v>
      </c>
      <c r="C747">
        <v>1.0010853619256901</v>
      </c>
      <c r="D747">
        <v>0.84558372371554402</v>
      </c>
      <c r="E747">
        <v>1.0834090052705301</v>
      </c>
      <c r="F747">
        <v>1.1745876902264101</v>
      </c>
      <c r="G747">
        <v>1.1781019549704199</v>
      </c>
      <c r="H747">
        <v>1.3128396534425</v>
      </c>
      <c r="I747">
        <v>1.30830245949569</v>
      </c>
      <c r="J747">
        <v>1.1719920300025499</v>
      </c>
      <c r="K747">
        <v>1.45945039796751</v>
      </c>
      <c r="L747">
        <v>935.297583383963</v>
      </c>
      <c r="M747">
        <v>17.122386299725999</v>
      </c>
      <c r="O747">
        <v>53.895494085405197</v>
      </c>
      <c r="P747">
        <v>2.6445940304072001E-2</v>
      </c>
      <c r="Q747">
        <v>1.3329515791211199</v>
      </c>
      <c r="R747">
        <v>0.747755429705667</v>
      </c>
      <c r="S747" t="s">
        <v>7032</v>
      </c>
      <c r="T747" t="s">
        <v>12568</v>
      </c>
      <c r="U747" t="s">
        <v>12568</v>
      </c>
      <c r="V747" t="s">
        <v>12568</v>
      </c>
      <c r="W747" t="s">
        <v>13298</v>
      </c>
      <c r="X747">
        <v>2</v>
      </c>
      <c r="Y747" t="s">
        <v>19523</v>
      </c>
      <c r="Z747" t="s">
        <v>25617</v>
      </c>
      <c r="AA747">
        <v>1.165052258021213</v>
      </c>
      <c r="AB747" t="str">
        <f>HYPERLINK("Melting_Curves/meltCurve_I3L2Z5_MAZ.pdf", "Melting_Curves/meltCurve_I3L2Z5_MAZ.pdf")</f>
        <v>Melting_Curves/meltCurve_I3L2Z5_MAZ.pdf</v>
      </c>
    </row>
    <row r="748" spans="1:28" x14ac:dyDescent="0.25">
      <c r="A748" t="s">
        <v>752</v>
      </c>
      <c r="B748">
        <v>0.99352677808782597</v>
      </c>
      <c r="C748">
        <v>0.95362890895836205</v>
      </c>
      <c r="D748">
        <v>0.92682576378276804</v>
      </c>
      <c r="E748">
        <v>0.69938659896902899</v>
      </c>
      <c r="F748">
        <v>0.94147535418365602</v>
      </c>
      <c r="G748">
        <v>0.25734314845476902</v>
      </c>
      <c r="H748">
        <v>0.83101995115574601</v>
      </c>
      <c r="I748">
        <v>0.43547522976396302</v>
      </c>
      <c r="J748">
        <v>0.69743441787731197</v>
      </c>
      <c r="K748">
        <v>0.37026520148539999</v>
      </c>
      <c r="L748">
        <v>677.02406114487201</v>
      </c>
      <c r="M748">
        <v>13.177756808777</v>
      </c>
      <c r="O748">
        <v>50.236344989795398</v>
      </c>
      <c r="P748">
        <v>-3.2618346048892903E-2</v>
      </c>
      <c r="Q748">
        <v>0.50269148585068102</v>
      </c>
      <c r="R748">
        <v>0.49726562351256498</v>
      </c>
      <c r="S748" t="s">
        <v>7033</v>
      </c>
      <c r="T748" t="s">
        <v>12568</v>
      </c>
      <c r="U748" t="s">
        <v>12568</v>
      </c>
      <c r="V748" t="s">
        <v>12568</v>
      </c>
      <c r="W748" t="s">
        <v>13299</v>
      </c>
      <c r="X748">
        <v>1</v>
      </c>
      <c r="Y748" t="s">
        <v>19524</v>
      </c>
      <c r="Z748" t="s">
        <v>25618</v>
      </c>
      <c r="AA748">
        <v>0.70513993625397331</v>
      </c>
      <c r="AB748" t="str">
        <f>HYPERLINK("Melting_Curves/meltCurve_I3L301_TFAP4.pdf", "Melting_Curves/meltCurve_I3L301_TFAP4.pdf")</f>
        <v>Melting_Curves/meltCurve_I3L301_TFAP4.pdf</v>
      </c>
    </row>
    <row r="749" spans="1:28" x14ac:dyDescent="0.25">
      <c r="A749" t="s">
        <v>753</v>
      </c>
      <c r="B749">
        <v>0.99352677808782597</v>
      </c>
      <c r="C749">
        <v>0.42266800251353398</v>
      </c>
      <c r="D749">
        <v>1.53988430474743</v>
      </c>
      <c r="E749">
        <v>0.56696234275837798</v>
      </c>
      <c r="F749">
        <v>0.476031148517016</v>
      </c>
      <c r="G749">
        <v>0.23526473668123199</v>
      </c>
      <c r="H749">
        <v>0.125002419297705</v>
      </c>
      <c r="I749">
        <v>0.11616252762540701</v>
      </c>
      <c r="J749">
        <v>0.101771174405606</v>
      </c>
      <c r="K749">
        <v>6.8814429851631997E-2</v>
      </c>
      <c r="L749">
        <v>1399.2438602422901</v>
      </c>
      <c r="M749">
        <v>27.1046280574392</v>
      </c>
      <c r="N749">
        <v>52.122803281105199</v>
      </c>
      <c r="O749">
        <v>51.345255292787101</v>
      </c>
      <c r="P749">
        <v>-0.11689209252146</v>
      </c>
      <c r="Q749">
        <v>0.114277481130379</v>
      </c>
      <c r="R749">
        <v>0.65662853907462704</v>
      </c>
      <c r="S749" t="s">
        <v>7034</v>
      </c>
      <c r="T749" t="s">
        <v>12568</v>
      </c>
      <c r="U749" t="s">
        <v>12568</v>
      </c>
      <c r="V749" t="s">
        <v>12568</v>
      </c>
      <c r="W749" t="s">
        <v>13300</v>
      </c>
      <c r="X749">
        <v>5</v>
      </c>
      <c r="Y749" t="s">
        <v>19525</v>
      </c>
      <c r="Z749" t="s">
        <v>25619</v>
      </c>
      <c r="AA749">
        <v>0.46433719445842242</v>
      </c>
      <c r="AB749" t="str">
        <f>HYPERLINK("Melting_Curves/meltCurve_I3L3P7_RPS15A.pdf", "Melting_Curves/meltCurve_I3L3P7_RPS15A.pdf")</f>
        <v>Melting_Curves/meltCurve_I3L3P7_RPS15A.pdf</v>
      </c>
    </row>
    <row r="750" spans="1:28" x14ac:dyDescent="0.25">
      <c r="A750" t="s">
        <v>754</v>
      </c>
      <c r="B750">
        <v>0.99352677808782597</v>
      </c>
      <c r="C750">
        <v>0.97403234585888498</v>
      </c>
      <c r="D750">
        <v>0.99748754188278799</v>
      </c>
      <c r="E750">
        <v>0.94981205310755601</v>
      </c>
      <c r="F750">
        <v>0.87251956192755498</v>
      </c>
      <c r="G750">
        <v>0.83552987538807599</v>
      </c>
      <c r="H750">
        <v>0.68317013109803104</v>
      </c>
      <c r="I750">
        <v>0.677551932772955</v>
      </c>
      <c r="J750">
        <v>0.86363138529865202</v>
      </c>
      <c r="K750">
        <v>0.67617063544205602</v>
      </c>
      <c r="L750">
        <v>1094.26775989726</v>
      </c>
      <c r="M750">
        <v>20.315301180117199</v>
      </c>
      <c r="O750">
        <v>53.350440671564101</v>
      </c>
      <c r="P750">
        <v>-2.6364251806317001E-2</v>
      </c>
      <c r="Q750">
        <v>0.72306559506401802</v>
      </c>
      <c r="R750">
        <v>0.80328949115070003</v>
      </c>
      <c r="S750" t="s">
        <v>7035</v>
      </c>
      <c r="T750" t="s">
        <v>12568</v>
      </c>
      <c r="U750" t="s">
        <v>12568</v>
      </c>
      <c r="V750" t="s">
        <v>12568</v>
      </c>
      <c r="W750" t="s">
        <v>13301</v>
      </c>
      <c r="X750">
        <v>1</v>
      </c>
      <c r="Y750" t="s">
        <v>19526</v>
      </c>
      <c r="Z750" t="s">
        <v>25620</v>
      </c>
      <c r="AA750">
        <v>0.85472474639189455</v>
      </c>
      <c r="AB750" t="str">
        <f>HYPERLINK("Melting_Curves/meltCurve_I3L4B1_MYL4.pdf", "Melting_Curves/meltCurve_I3L4B1_MYL4.pdf")</f>
        <v>Melting_Curves/meltCurve_I3L4B1_MYL4.pdf</v>
      </c>
    </row>
    <row r="751" spans="1:28" x14ac:dyDescent="0.25">
      <c r="A751" t="s">
        <v>755</v>
      </c>
      <c r="B751">
        <v>0.99352677808782597</v>
      </c>
      <c r="C751">
        <v>0.79007962630389295</v>
      </c>
      <c r="D751">
        <v>1.0252950921141699</v>
      </c>
      <c r="E751">
        <v>1.0825050640072</v>
      </c>
      <c r="F751">
        <v>0.73783849526947998</v>
      </c>
      <c r="G751">
        <v>0.82465487925097802</v>
      </c>
      <c r="H751">
        <v>0.83575233414719197</v>
      </c>
      <c r="I751">
        <v>0.93491280605235805</v>
      </c>
      <c r="J751">
        <v>0.75979933540485201</v>
      </c>
      <c r="K751">
        <v>0.70398431875631895</v>
      </c>
      <c r="L751">
        <v>216.07699287806301</v>
      </c>
      <c r="M751">
        <v>1.95243978759183</v>
      </c>
      <c r="O751">
        <v>64.755899294433803</v>
      </c>
      <c r="P751">
        <v>-8.2542105579874597E-3</v>
      </c>
      <c r="Q751">
        <v>0</v>
      </c>
      <c r="R751">
        <v>0.29728350840740603</v>
      </c>
      <c r="S751" t="s">
        <v>7036</v>
      </c>
      <c r="T751" t="s">
        <v>12568</v>
      </c>
      <c r="U751" t="s">
        <v>12568</v>
      </c>
      <c r="V751" t="s">
        <v>12568</v>
      </c>
      <c r="W751" t="s">
        <v>13302</v>
      </c>
      <c r="X751">
        <v>17</v>
      </c>
      <c r="Y751" t="s">
        <v>19527</v>
      </c>
      <c r="Z751" t="s">
        <v>25621</v>
      </c>
      <c r="AA751">
        <v>0.87317423507593395</v>
      </c>
      <c r="AB751" t="str">
        <f>HYPERLINK("Melting_Curves/meltCurve_I3L4C3_SPAG7.pdf", "Melting_Curves/meltCurve_I3L4C3_SPAG7.pdf")</f>
        <v>Melting_Curves/meltCurve_I3L4C3_SPAG7.pdf</v>
      </c>
    </row>
    <row r="752" spans="1:28" x14ac:dyDescent="0.25">
      <c r="A752" t="s">
        <v>756</v>
      </c>
      <c r="B752">
        <v>0.99352677808782597</v>
      </c>
      <c r="C752">
        <v>1.02534939096277</v>
      </c>
      <c r="D752">
        <v>0.94941611491593803</v>
      </c>
      <c r="E752">
        <v>0.89015949882377698</v>
      </c>
      <c r="F752">
        <v>0.797598637365173</v>
      </c>
      <c r="G752">
        <v>0.72334786810746599</v>
      </c>
      <c r="H752">
        <v>0.81512528195212297</v>
      </c>
      <c r="I752">
        <v>0.72000514311882002</v>
      </c>
      <c r="J752">
        <v>0.75219827627692304</v>
      </c>
      <c r="K752">
        <v>0.55187850705229102</v>
      </c>
      <c r="L752">
        <v>359.50855344540503</v>
      </c>
      <c r="M752">
        <v>5.7611448261320897</v>
      </c>
      <c r="O752">
        <v>56.111717975984</v>
      </c>
      <c r="P752">
        <v>-1.42660748644023E-2</v>
      </c>
      <c r="Q752">
        <v>0.446283403025037</v>
      </c>
      <c r="R752">
        <v>0.82590914364174195</v>
      </c>
      <c r="S752" t="s">
        <v>7037</v>
      </c>
      <c r="T752" t="s">
        <v>12568</v>
      </c>
      <c r="U752" t="s">
        <v>12568</v>
      </c>
      <c r="V752" t="s">
        <v>12568</v>
      </c>
      <c r="W752" t="s">
        <v>13303</v>
      </c>
      <c r="X752">
        <v>4</v>
      </c>
      <c r="Y752" t="s">
        <v>19528</v>
      </c>
      <c r="Z752" t="s">
        <v>25622</v>
      </c>
      <c r="AA752">
        <v>0.82031731755558179</v>
      </c>
      <c r="AB752" t="str">
        <f>HYPERLINK("Melting_Curves/meltCurve_I3L4Q0_FAM195B.pdf", "Melting_Curves/meltCurve_I3L4Q0_FAM195B.pdf")</f>
        <v>Melting_Curves/meltCurve_I3L4Q0_FAM195B.pdf</v>
      </c>
    </row>
    <row r="753" spans="1:28" x14ac:dyDescent="0.25">
      <c r="A753" t="s">
        <v>757</v>
      </c>
      <c r="B753">
        <v>0.99352677808782597</v>
      </c>
      <c r="C753">
        <v>1.0156538065129399</v>
      </c>
      <c r="D753">
        <v>0.96710387068320802</v>
      </c>
      <c r="E753">
        <v>0.69872613189114696</v>
      </c>
      <c r="F753">
        <v>0.61513190856237598</v>
      </c>
      <c r="G753">
        <v>0.297211138730333</v>
      </c>
      <c r="H753">
        <v>0.167400707912679</v>
      </c>
      <c r="I753">
        <v>0.153282303666085</v>
      </c>
      <c r="J753">
        <v>0.122751407026379</v>
      </c>
      <c r="K753">
        <v>0.111705829607624</v>
      </c>
      <c r="L753">
        <v>886.37830650068099</v>
      </c>
      <c r="M753">
        <v>16.6747864073937</v>
      </c>
      <c r="N753">
        <v>53.810881719652997</v>
      </c>
      <c r="O753">
        <v>52.4099470250639</v>
      </c>
      <c r="P753">
        <v>-7.2248619170683703E-2</v>
      </c>
      <c r="Q753">
        <v>9.1732235291356198E-2</v>
      </c>
      <c r="R753">
        <v>0.99214898332552903</v>
      </c>
      <c r="S753" t="s">
        <v>7038</v>
      </c>
      <c r="T753" t="s">
        <v>12568</v>
      </c>
      <c r="U753" t="s">
        <v>12568</v>
      </c>
      <c r="V753" t="s">
        <v>12568</v>
      </c>
      <c r="W753" t="s">
        <v>13304</v>
      </c>
      <c r="X753">
        <v>4</v>
      </c>
      <c r="Y753" t="s">
        <v>19529</v>
      </c>
      <c r="Z753" t="s">
        <v>25623</v>
      </c>
      <c r="AA753">
        <v>0.50674241214510607</v>
      </c>
      <c r="AB753" t="str">
        <f>HYPERLINK("Melting_Curves/meltCurve_I3L4X3_NFKBIB.pdf", "Melting_Curves/meltCurve_I3L4X3_NFKBIB.pdf")</f>
        <v>Melting_Curves/meltCurve_I3L4X3_NFKBIB.pdf</v>
      </c>
    </row>
    <row r="754" spans="1:28" x14ac:dyDescent="0.25">
      <c r="A754" t="s">
        <v>758</v>
      </c>
      <c r="B754">
        <v>0.99352677808782597</v>
      </c>
      <c r="C754">
        <v>1.01940575296397</v>
      </c>
      <c r="D754">
        <v>0.93033619627739295</v>
      </c>
      <c r="E754">
        <v>0.83580048820135899</v>
      </c>
      <c r="F754">
        <v>0.68287501809278495</v>
      </c>
      <c r="G754">
        <v>0.32005373936899301</v>
      </c>
      <c r="H754">
        <v>0.13702196606043099</v>
      </c>
      <c r="I754">
        <v>9.2682355372351005E-2</v>
      </c>
      <c r="J754">
        <v>7.4774140908117404E-2</v>
      </c>
      <c r="K754">
        <v>7.2302935108869704E-2</v>
      </c>
      <c r="L754">
        <v>1061.0716847430499</v>
      </c>
      <c r="M754">
        <v>19.472784161825501</v>
      </c>
      <c r="N754">
        <v>54.763499853667597</v>
      </c>
      <c r="O754">
        <v>53.925086160194802</v>
      </c>
      <c r="P754">
        <v>-8.6096846977367206E-2</v>
      </c>
      <c r="Q754">
        <v>4.6338375976464598E-2</v>
      </c>
      <c r="R754">
        <v>0.99694372333562498</v>
      </c>
      <c r="S754" t="s">
        <v>7039</v>
      </c>
      <c r="T754" t="s">
        <v>12568</v>
      </c>
      <c r="U754" t="s">
        <v>12568</v>
      </c>
      <c r="V754" t="s">
        <v>12568</v>
      </c>
      <c r="W754" t="s">
        <v>13305</v>
      </c>
      <c r="X754">
        <v>2</v>
      </c>
      <c r="Y754" t="s">
        <v>19530</v>
      </c>
      <c r="Z754" t="s">
        <v>25624</v>
      </c>
      <c r="AA754">
        <v>0.52034449541948891</v>
      </c>
      <c r="AB754" t="str">
        <f>HYPERLINK("Melting_Curves/meltCurve_I3L4X7_GPS2.pdf", "Melting_Curves/meltCurve_I3L4X7_GPS2.pdf")</f>
        <v>Melting_Curves/meltCurve_I3L4X7_GPS2.pdf</v>
      </c>
    </row>
    <row r="755" spans="1:28" x14ac:dyDescent="0.25">
      <c r="A755" t="s">
        <v>759</v>
      </c>
      <c r="B755">
        <v>0.99352677808782597</v>
      </c>
      <c r="C755">
        <v>0.92939196679753699</v>
      </c>
      <c r="D755">
        <v>0.94357272714610196</v>
      </c>
      <c r="E755">
        <v>0.98481645432980902</v>
      </c>
      <c r="F755">
        <v>0.87563294038224604</v>
      </c>
      <c r="G755">
        <v>0.89230016807633195</v>
      </c>
      <c r="H755">
        <v>0.72288216168850095</v>
      </c>
      <c r="I755">
        <v>0.65494436407249901</v>
      </c>
      <c r="J755">
        <v>0.41553894150846199</v>
      </c>
      <c r="K755">
        <v>0.19672569427321801</v>
      </c>
      <c r="L755">
        <v>1009.1464764045101</v>
      </c>
      <c r="M755">
        <v>15.450629257152199</v>
      </c>
      <c r="N755">
        <v>65.314263934121598</v>
      </c>
      <c r="O755">
        <v>64.249477861878702</v>
      </c>
      <c r="P755">
        <v>-6.0125077751600198E-2</v>
      </c>
      <c r="Q755">
        <v>0</v>
      </c>
      <c r="R755">
        <v>0.95572687023905101</v>
      </c>
      <c r="S755" t="s">
        <v>7040</v>
      </c>
      <c r="T755" t="s">
        <v>12568</v>
      </c>
      <c r="U755" t="s">
        <v>12568</v>
      </c>
      <c r="V755" t="s">
        <v>12568</v>
      </c>
      <c r="W755" t="s">
        <v>13306</v>
      </c>
      <c r="X755">
        <v>16</v>
      </c>
      <c r="Y755" t="s">
        <v>19531</v>
      </c>
      <c r="Z755" t="s">
        <v>25625</v>
      </c>
      <c r="AA755">
        <v>0.81692041469678855</v>
      </c>
      <c r="AB755" t="str">
        <f>HYPERLINK("Melting_Curves/meltCurve_I6L8B7_FABP5.pdf", "Melting_Curves/meltCurve_I6L8B7_FABP5.pdf")</f>
        <v>Melting_Curves/meltCurve_I6L8B7_FABP5.pdf</v>
      </c>
    </row>
    <row r="756" spans="1:28" x14ac:dyDescent="0.25">
      <c r="A756" t="s">
        <v>760</v>
      </c>
      <c r="B756">
        <v>0.99352677808782597</v>
      </c>
      <c r="C756">
        <v>1.1112208414106199</v>
      </c>
      <c r="D756">
        <v>0.99709531278179697</v>
      </c>
      <c r="E756">
        <v>0.89453235062360104</v>
      </c>
      <c r="F756">
        <v>0.70533055634115804</v>
      </c>
      <c r="G756">
        <v>0.69440563348723405</v>
      </c>
      <c r="H756">
        <v>0.44190171974167902</v>
      </c>
      <c r="I756">
        <v>0.37500203086128497</v>
      </c>
      <c r="J756">
        <v>0.40226604280449602</v>
      </c>
      <c r="K756">
        <v>0.34932927614085502</v>
      </c>
      <c r="L756">
        <v>805.69360987308403</v>
      </c>
      <c r="M756">
        <v>14.4335589496357</v>
      </c>
      <c r="N756">
        <v>59.987239546315401</v>
      </c>
      <c r="O756">
        <v>54.782146839906297</v>
      </c>
      <c r="P756">
        <v>-4.5025062722115303E-2</v>
      </c>
      <c r="Q756">
        <v>0.31651508919638299</v>
      </c>
      <c r="R756">
        <v>0.95852197332276601</v>
      </c>
      <c r="S756" t="s">
        <v>7041</v>
      </c>
      <c r="T756" t="s">
        <v>12568</v>
      </c>
      <c r="U756" t="s">
        <v>12568</v>
      </c>
      <c r="V756" t="s">
        <v>12568</v>
      </c>
      <c r="W756" t="s">
        <v>13307</v>
      </c>
      <c r="X756">
        <v>1</v>
      </c>
      <c r="Y756" t="s">
        <v>19532</v>
      </c>
      <c r="Z756" t="s">
        <v>25626</v>
      </c>
      <c r="AA756">
        <v>0.68970370233950018</v>
      </c>
      <c r="AB756" t="str">
        <f>HYPERLINK("Melting_Curves/meltCurve_I6L9B4_DNAJC24.pdf", "Melting_Curves/meltCurve_I6L9B4_DNAJC24.pdf")</f>
        <v>Melting_Curves/meltCurve_I6L9B4_DNAJC24.pdf</v>
      </c>
    </row>
    <row r="757" spans="1:28" x14ac:dyDescent="0.25">
      <c r="A757" t="s">
        <v>761</v>
      </c>
      <c r="B757">
        <v>0.99352677808782597</v>
      </c>
      <c r="C757">
        <v>0.98153565563913903</v>
      </c>
      <c r="D757">
        <v>0.90742133084027299</v>
      </c>
      <c r="E757">
        <v>2.01729017494096</v>
      </c>
      <c r="F757">
        <v>1.5583691395744601</v>
      </c>
      <c r="G757">
        <v>1.2351621257765599</v>
      </c>
      <c r="H757">
        <v>0.37672022326822302</v>
      </c>
      <c r="I757">
        <v>0.29306983235892298</v>
      </c>
      <c r="J757">
        <v>0.247646085931475</v>
      </c>
      <c r="K757">
        <v>0.141670852219447</v>
      </c>
      <c r="L757">
        <v>11884.779456947401</v>
      </c>
      <c r="M757">
        <v>196.261539318139</v>
      </c>
      <c r="N757">
        <v>60.7436298143407</v>
      </c>
      <c r="O757">
        <v>60.549537760206398</v>
      </c>
      <c r="P757">
        <v>-0.62602358920686696</v>
      </c>
      <c r="Q757">
        <v>0.22745049399190101</v>
      </c>
      <c r="R757">
        <v>0.58709356088003795</v>
      </c>
      <c r="S757" t="s">
        <v>7042</v>
      </c>
      <c r="T757" t="s">
        <v>12568</v>
      </c>
      <c r="U757" t="s">
        <v>12568</v>
      </c>
      <c r="V757" t="s">
        <v>12568</v>
      </c>
      <c r="W757" t="s">
        <v>12868</v>
      </c>
      <c r="X757">
        <v>16</v>
      </c>
      <c r="Y757" t="s">
        <v>19098</v>
      </c>
      <c r="Z757" t="s">
        <v>25627</v>
      </c>
      <c r="AA757">
        <v>0.75693014965115801</v>
      </c>
      <c r="AB757" t="str">
        <f>HYPERLINK("Melting_Curves/meltCurve_J3KMW7_UBR5.pdf", "Melting_Curves/meltCurve_J3KMW7_UBR5.pdf")</f>
        <v>Melting_Curves/meltCurve_J3KMW7_UBR5.pdf</v>
      </c>
    </row>
    <row r="758" spans="1:28" x14ac:dyDescent="0.25">
      <c r="A758" t="s">
        <v>762</v>
      </c>
      <c r="B758">
        <v>0.99352677808782597</v>
      </c>
      <c r="C758">
        <v>0.94030261877631605</v>
      </c>
      <c r="D758">
        <v>0.66322445522109896</v>
      </c>
      <c r="E758">
        <v>0.29208796535395998</v>
      </c>
      <c r="F758">
        <v>0.24745861692407101</v>
      </c>
      <c r="G758">
        <v>0.148445832165014</v>
      </c>
      <c r="H758">
        <v>0.135159033194967</v>
      </c>
      <c r="I758">
        <v>0.13240772835707201</v>
      </c>
      <c r="J758">
        <v>0.106391897989387</v>
      </c>
      <c r="K758">
        <v>7.5573280063566395E-2</v>
      </c>
      <c r="L758">
        <v>1024.4413689852399</v>
      </c>
      <c r="M758">
        <v>21.724042402331701</v>
      </c>
      <c r="N758">
        <v>47.754748705843099</v>
      </c>
      <c r="O758">
        <v>46.762896333637798</v>
      </c>
      <c r="P758">
        <v>-0.102316821829417</v>
      </c>
      <c r="Q758">
        <v>0.11903713588143899</v>
      </c>
      <c r="R758">
        <v>0.99348460835418795</v>
      </c>
      <c r="S758" t="s">
        <v>7043</v>
      </c>
      <c r="T758" t="s">
        <v>12568</v>
      </c>
      <c r="U758" t="s">
        <v>12568</v>
      </c>
      <c r="V758" t="s">
        <v>12568</v>
      </c>
      <c r="W758" t="s">
        <v>13308</v>
      </c>
      <c r="X758">
        <v>7</v>
      </c>
      <c r="Y758" t="s">
        <v>19533</v>
      </c>
      <c r="Z758" t="s">
        <v>25628</v>
      </c>
      <c r="AA758">
        <v>0.33989158378096279</v>
      </c>
      <c r="AB758" t="str">
        <f>HYPERLINK("Melting_Curves/meltCurve_J3KMX2_SMARCD2.pdf", "Melting_Curves/meltCurve_J3KMX2_SMARCD2.pdf")</f>
        <v>Melting_Curves/meltCurve_J3KMX2_SMARCD2.pdf</v>
      </c>
    </row>
    <row r="759" spans="1:28" x14ac:dyDescent="0.25">
      <c r="A759" t="s">
        <v>763</v>
      </c>
      <c r="B759">
        <v>0.99352677808782597</v>
      </c>
      <c r="C759">
        <v>0.96527090043071795</v>
      </c>
      <c r="D759">
        <v>1.04058332034319</v>
      </c>
      <c r="E759">
        <v>1.0019708556340701</v>
      </c>
      <c r="F759">
        <v>0.893577033800936</v>
      </c>
      <c r="G759">
        <v>0.87450862756348902</v>
      </c>
      <c r="H759">
        <v>0.75498514541474404</v>
      </c>
      <c r="I759">
        <v>0.81561427934647401</v>
      </c>
      <c r="J759">
        <v>0.71683274721241497</v>
      </c>
      <c r="K759">
        <v>0.573712496924353</v>
      </c>
      <c r="L759">
        <v>486.75920494317398</v>
      </c>
      <c r="M759">
        <v>6.4996945478033599</v>
      </c>
      <c r="O759">
        <v>68.747213789518696</v>
      </c>
      <c r="P759">
        <v>-2.3693625469440802E-2</v>
      </c>
      <c r="Q759">
        <v>0</v>
      </c>
      <c r="R759">
        <v>0.91028850379489201</v>
      </c>
      <c r="S759" t="s">
        <v>7044</v>
      </c>
      <c r="T759" t="s">
        <v>12568</v>
      </c>
      <c r="U759" t="s">
        <v>12568</v>
      </c>
      <c r="V759" t="s">
        <v>12568</v>
      </c>
      <c r="W759" t="s">
        <v>13309</v>
      </c>
      <c r="X759">
        <v>8</v>
      </c>
      <c r="Y759" t="s">
        <v>19534</v>
      </c>
      <c r="Z759" t="s">
        <v>25629</v>
      </c>
      <c r="AA759">
        <v>0.87302596538302157</v>
      </c>
      <c r="AB759" t="str">
        <f>HYPERLINK("Melting_Curves/meltCurve_J3KMY5_NPC2.pdf", "Melting_Curves/meltCurve_J3KMY5_NPC2.pdf")</f>
        <v>Melting_Curves/meltCurve_J3KMY5_NPC2.pdf</v>
      </c>
    </row>
    <row r="760" spans="1:28" x14ac:dyDescent="0.25">
      <c r="A760" t="s">
        <v>764</v>
      </c>
      <c r="B760">
        <v>0.99352677808782597</v>
      </c>
      <c r="C760">
        <v>0.93445474456906896</v>
      </c>
      <c r="D760">
        <v>0.78097708224755602</v>
      </c>
      <c r="E760">
        <v>0.36735084897296</v>
      </c>
      <c r="F760">
        <v>0.32139784753337802</v>
      </c>
      <c r="G760">
        <v>0.20571641419515599</v>
      </c>
      <c r="H760">
        <v>0.167621880247211</v>
      </c>
      <c r="I760">
        <v>0.12963649188593299</v>
      </c>
      <c r="J760">
        <v>8.56097473282868E-2</v>
      </c>
      <c r="K760">
        <v>7.8494331469186204E-2</v>
      </c>
      <c r="L760">
        <v>866.765891153447</v>
      </c>
      <c r="M760">
        <v>17.883125303306901</v>
      </c>
      <c r="N760">
        <v>49.178306560242497</v>
      </c>
      <c r="O760">
        <v>47.874487414228398</v>
      </c>
      <c r="P760">
        <v>-8.2765695241947296E-2</v>
      </c>
      <c r="Q760">
        <v>0.113764609114769</v>
      </c>
      <c r="R760">
        <v>0.98829233736718103</v>
      </c>
      <c r="S760" t="s">
        <v>7045</v>
      </c>
      <c r="T760" t="s">
        <v>12568</v>
      </c>
      <c r="U760" t="s">
        <v>12568</v>
      </c>
      <c r="V760" t="s">
        <v>12568</v>
      </c>
      <c r="W760" t="s">
        <v>13310</v>
      </c>
      <c r="X760">
        <v>3</v>
      </c>
      <c r="Y760" t="s">
        <v>19535</v>
      </c>
      <c r="Z760" t="s">
        <v>25630</v>
      </c>
      <c r="AA760">
        <v>0.37966379838206238</v>
      </c>
      <c r="AB760" t="str">
        <f>HYPERLINK("Melting_Curves/meltCurve_J3KMZ7_INTS2.pdf", "Melting_Curves/meltCurve_J3KMZ7_INTS2.pdf")</f>
        <v>Melting_Curves/meltCurve_J3KMZ7_INTS2.pdf</v>
      </c>
    </row>
    <row r="761" spans="1:28" x14ac:dyDescent="0.25">
      <c r="A761" t="s">
        <v>765</v>
      </c>
      <c r="B761">
        <v>0.99352677808782597</v>
      </c>
      <c r="C761">
        <v>0.96685310214513898</v>
      </c>
      <c r="D761">
        <v>0.76442084662493504</v>
      </c>
      <c r="E761">
        <v>0.40237877235017599</v>
      </c>
      <c r="F761">
        <v>0.29708047199943199</v>
      </c>
      <c r="G761">
        <v>0.19835668934373701</v>
      </c>
      <c r="H761">
        <v>0.116624350082748</v>
      </c>
      <c r="I761">
        <v>0.102208691027685</v>
      </c>
      <c r="J761">
        <v>0.101086527805873</v>
      </c>
      <c r="K761">
        <v>6.77664171820022E-2</v>
      </c>
      <c r="L761">
        <v>874.60754246567001</v>
      </c>
      <c r="M761">
        <v>17.958985602169001</v>
      </c>
      <c r="N761">
        <v>49.282377449627397</v>
      </c>
      <c r="O761">
        <v>48.108481360651098</v>
      </c>
      <c r="P761">
        <v>-8.4410766352761901E-2</v>
      </c>
      <c r="Q761">
        <v>9.5567687560417502E-2</v>
      </c>
      <c r="R761">
        <v>0.99416643699317997</v>
      </c>
      <c r="S761" t="s">
        <v>7046</v>
      </c>
      <c r="T761" t="s">
        <v>12568</v>
      </c>
      <c r="U761" t="s">
        <v>12568</v>
      </c>
      <c r="V761" t="s">
        <v>12568</v>
      </c>
      <c r="W761" t="s">
        <v>13311</v>
      </c>
      <c r="X761">
        <v>8</v>
      </c>
      <c r="Y761" t="s">
        <v>19536</v>
      </c>
      <c r="Z761" t="s">
        <v>25631</v>
      </c>
      <c r="AA761">
        <v>0.37369483355966832</v>
      </c>
      <c r="AB761" t="str">
        <f>HYPERLINK("Melting_Curves/meltCurve_J3KN32_RCOR1.pdf", "Melting_Curves/meltCurve_J3KN32_RCOR1.pdf")</f>
        <v>Melting_Curves/meltCurve_J3KN32_RCOR1.pdf</v>
      </c>
    </row>
    <row r="762" spans="1:28" x14ac:dyDescent="0.25">
      <c r="A762" t="s">
        <v>766</v>
      </c>
      <c r="B762">
        <v>0.99352677808782597</v>
      </c>
      <c r="C762">
        <v>1.07785076426463</v>
      </c>
      <c r="D762">
        <v>0.93328826748695204</v>
      </c>
      <c r="E762">
        <v>0.88817239155202199</v>
      </c>
      <c r="F762">
        <v>0.79307455019393702</v>
      </c>
      <c r="G762">
        <v>0.67525981442613603</v>
      </c>
      <c r="H762">
        <v>0.58927575550987799</v>
      </c>
      <c r="I762">
        <v>0.28655863915525298</v>
      </c>
      <c r="J762">
        <v>0.10689428257971199</v>
      </c>
      <c r="K762">
        <v>5.2002310020485998E-2</v>
      </c>
      <c r="L762">
        <v>846.06395849047306</v>
      </c>
      <c r="M762">
        <v>14.082664985402401</v>
      </c>
      <c r="N762">
        <v>60.078398630639697</v>
      </c>
      <c r="O762">
        <v>58.905880189040502</v>
      </c>
      <c r="P762">
        <v>-5.9775384127342499E-2</v>
      </c>
      <c r="Q762">
        <v>0</v>
      </c>
      <c r="R762">
        <v>0.95986886562016305</v>
      </c>
      <c r="S762" t="s">
        <v>7047</v>
      </c>
      <c r="T762" t="s">
        <v>12568</v>
      </c>
      <c r="U762" t="s">
        <v>12568</v>
      </c>
      <c r="V762" t="s">
        <v>12568</v>
      </c>
      <c r="W762" t="s">
        <v>13312</v>
      </c>
      <c r="X762">
        <v>2</v>
      </c>
      <c r="Y762" t="s">
        <v>19537</v>
      </c>
      <c r="Z762" t="s">
        <v>25632</v>
      </c>
      <c r="AA762">
        <v>0.67486498344133472</v>
      </c>
      <c r="AB762" t="str">
        <f>HYPERLINK("Melting_Curves/meltCurve_J3KN33_CNTLN.pdf", "Melting_Curves/meltCurve_J3KN33_CNTLN.pdf")</f>
        <v>Melting_Curves/meltCurve_J3KN33_CNTLN.pdf</v>
      </c>
    </row>
    <row r="763" spans="1:28" x14ac:dyDescent="0.25">
      <c r="A763" t="s">
        <v>767</v>
      </c>
      <c r="B763">
        <v>0.99352677808782597</v>
      </c>
      <c r="C763">
        <v>0.925600758723922</v>
      </c>
      <c r="D763">
        <v>1.0055990247714099</v>
      </c>
      <c r="E763">
        <v>0.91909274210840497</v>
      </c>
      <c r="F763">
        <v>0.87161982546572303</v>
      </c>
      <c r="G763">
        <v>0.78076421215539804</v>
      </c>
      <c r="H763">
        <v>0.72286646470499005</v>
      </c>
      <c r="I763">
        <v>0.79742295289810905</v>
      </c>
      <c r="J763">
        <v>0.71755175928019699</v>
      </c>
      <c r="K763">
        <v>0.69456460910300599</v>
      </c>
      <c r="L763">
        <v>728.98598777153097</v>
      </c>
      <c r="M763">
        <v>13.600089751725401</v>
      </c>
      <c r="O763">
        <v>52.482489003944302</v>
      </c>
      <c r="P763">
        <v>-1.9119286669442698E-2</v>
      </c>
      <c r="Q763">
        <v>0.70491986331036705</v>
      </c>
      <c r="R763">
        <v>0.90848182798714605</v>
      </c>
      <c r="S763" t="s">
        <v>7048</v>
      </c>
      <c r="T763" t="s">
        <v>12568</v>
      </c>
      <c r="U763" t="s">
        <v>12568</v>
      </c>
      <c r="V763" t="s">
        <v>12568</v>
      </c>
      <c r="W763" t="s">
        <v>13313</v>
      </c>
      <c r="X763">
        <v>8</v>
      </c>
      <c r="Y763" t="s">
        <v>19538</v>
      </c>
      <c r="Z763" t="s">
        <v>25633</v>
      </c>
      <c r="AA763">
        <v>0.84568038847295457</v>
      </c>
      <c r="AB763" t="str">
        <f>HYPERLINK("Melting_Curves/meltCurve_J3KN68_VGLL4.pdf", "Melting_Curves/meltCurve_J3KN68_VGLL4.pdf")</f>
        <v>Melting_Curves/meltCurve_J3KN68_VGLL4.pdf</v>
      </c>
    </row>
    <row r="764" spans="1:28" x14ac:dyDescent="0.25">
      <c r="A764" t="s">
        <v>768</v>
      </c>
      <c r="B764">
        <v>0.99352677808782597</v>
      </c>
      <c r="C764">
        <v>1.0221565665967101</v>
      </c>
      <c r="D764">
        <v>0.85467643925452996</v>
      </c>
      <c r="E764">
        <v>0.49478979307798399</v>
      </c>
      <c r="F764">
        <v>0.36735036915208602</v>
      </c>
      <c r="G764">
        <v>0.147997095224016</v>
      </c>
      <c r="H764">
        <v>0.119027005629354</v>
      </c>
      <c r="I764">
        <v>0.103218428378944</v>
      </c>
      <c r="J764">
        <v>0.101860969346581</v>
      </c>
      <c r="K764">
        <v>5.9156670123604399E-2</v>
      </c>
      <c r="L764">
        <v>947.90153793075899</v>
      </c>
      <c r="M764">
        <v>18.960761525138</v>
      </c>
      <c r="N764">
        <v>50.475546137677298</v>
      </c>
      <c r="O764">
        <v>49.446675697614097</v>
      </c>
      <c r="P764">
        <v>-8.7918744797492995E-2</v>
      </c>
      <c r="Q764">
        <v>8.2924151261687798E-2</v>
      </c>
      <c r="R764">
        <v>0.99302623771663801</v>
      </c>
      <c r="S764" t="s">
        <v>7049</v>
      </c>
      <c r="T764" t="s">
        <v>12568</v>
      </c>
      <c r="U764" t="s">
        <v>12568</v>
      </c>
      <c r="V764" t="s">
        <v>12568</v>
      </c>
      <c r="W764" t="s">
        <v>13314</v>
      </c>
      <c r="X764">
        <v>1</v>
      </c>
      <c r="Y764" t="s">
        <v>19539</v>
      </c>
      <c r="Z764" t="s">
        <v>25634</v>
      </c>
      <c r="AA764">
        <v>0.40255536459630098</v>
      </c>
      <c r="AB764" t="str">
        <f>HYPERLINK("Melting_Curves/meltCurve_J3KN75_TBC1D8B.pdf", "Melting_Curves/meltCurve_J3KN75_TBC1D8B.pdf")</f>
        <v>Melting_Curves/meltCurve_J3KN75_TBC1D8B.pdf</v>
      </c>
    </row>
    <row r="765" spans="1:28" x14ac:dyDescent="0.25">
      <c r="A765" t="s">
        <v>769</v>
      </c>
      <c r="B765">
        <v>0.99352677808782597</v>
      </c>
      <c r="C765">
        <v>1.0824578122155999</v>
      </c>
      <c r="D765">
        <v>0.84001033322959995</v>
      </c>
      <c r="E765">
        <v>0.52757494573452601</v>
      </c>
      <c r="F765">
        <v>0.53789365388681598</v>
      </c>
      <c r="G765">
        <v>0.23000822506721699</v>
      </c>
      <c r="H765">
        <v>0.13764001040683399</v>
      </c>
      <c r="I765">
        <v>0.16225415380590799</v>
      </c>
      <c r="J765">
        <v>0.126654290041676</v>
      </c>
      <c r="K765">
        <v>9.1271265115078201E-2</v>
      </c>
      <c r="L765">
        <v>773.02724545967305</v>
      </c>
      <c r="M765">
        <v>15.101968451354001</v>
      </c>
      <c r="N765">
        <v>51.896358502964603</v>
      </c>
      <c r="O765">
        <v>50.314826133347204</v>
      </c>
      <c r="P765">
        <v>-6.8048032812411396E-2</v>
      </c>
      <c r="Q765">
        <v>9.3233934559874193E-2</v>
      </c>
      <c r="R765">
        <v>0.96914343208999598</v>
      </c>
      <c r="S765" t="s">
        <v>7050</v>
      </c>
      <c r="T765" t="s">
        <v>12568</v>
      </c>
      <c r="U765" t="s">
        <v>12568</v>
      </c>
      <c r="V765" t="s">
        <v>12568</v>
      </c>
      <c r="W765" t="s">
        <v>13315</v>
      </c>
      <c r="X765">
        <v>2</v>
      </c>
      <c r="Y765" t="s">
        <v>19540</v>
      </c>
      <c r="Z765" t="s">
        <v>25635</v>
      </c>
      <c r="AA765">
        <v>0.45196986071980061</v>
      </c>
      <c r="AB765" t="str">
        <f>HYPERLINK("Melting_Curves/meltCurve_J3KNB8_MAP3K4.pdf", "Melting_Curves/meltCurve_J3KNB8_MAP3K4.pdf")</f>
        <v>Melting_Curves/meltCurve_J3KNB8_MAP3K4.pdf</v>
      </c>
    </row>
    <row r="766" spans="1:28" x14ac:dyDescent="0.25">
      <c r="A766" t="s">
        <v>770</v>
      </c>
      <c r="B766">
        <v>0.99352677808782597</v>
      </c>
      <c r="C766">
        <v>1.00648491867913</v>
      </c>
      <c r="D766">
        <v>0.84411593936582097</v>
      </c>
      <c r="E766">
        <v>0.37949325125170502</v>
      </c>
      <c r="F766">
        <v>0.28970234818118201</v>
      </c>
      <c r="G766">
        <v>0.19068282943508399</v>
      </c>
      <c r="H766">
        <v>0.11267203672484601</v>
      </c>
      <c r="I766">
        <v>7.1555372263262695E-2</v>
      </c>
      <c r="J766">
        <v>7.7309825579795502E-2</v>
      </c>
      <c r="K766">
        <v>2.2727312520317299E-2</v>
      </c>
      <c r="L766">
        <v>1028.9289637797899</v>
      </c>
      <c r="M766">
        <v>20.979948710551199</v>
      </c>
      <c r="N766">
        <v>49.4608173252171</v>
      </c>
      <c r="O766">
        <v>48.604398191700803</v>
      </c>
      <c r="P766">
        <v>-9.9160026631708698E-2</v>
      </c>
      <c r="Q766">
        <v>8.1125905416046695E-2</v>
      </c>
      <c r="R766">
        <v>0.98665882587931697</v>
      </c>
      <c r="S766" t="s">
        <v>7051</v>
      </c>
      <c r="T766" t="s">
        <v>12568</v>
      </c>
      <c r="U766" t="s">
        <v>12568</v>
      </c>
      <c r="V766" t="s">
        <v>12568</v>
      </c>
      <c r="W766" t="s">
        <v>13316</v>
      </c>
      <c r="X766">
        <v>9</v>
      </c>
      <c r="Y766" t="s">
        <v>19541</v>
      </c>
      <c r="Z766" t="s">
        <v>25636</v>
      </c>
      <c r="AA766">
        <v>0.36979136400447249</v>
      </c>
      <c r="AB766" t="str">
        <f>HYPERLINK("Melting_Curves/meltCurve_J3KND1_SAAL1.pdf", "Melting_Curves/meltCurve_J3KND1_SAAL1.pdf")</f>
        <v>Melting_Curves/meltCurve_J3KND1_SAAL1.pdf</v>
      </c>
    </row>
    <row r="767" spans="1:28" x14ac:dyDescent="0.25">
      <c r="A767" t="s">
        <v>771</v>
      </c>
      <c r="B767">
        <v>0.99352677808782597</v>
      </c>
      <c r="C767">
        <v>0.95600404045780896</v>
      </c>
      <c r="D767">
        <v>1.01040096335553</v>
      </c>
      <c r="E767">
        <v>0.866594204654205</v>
      </c>
      <c r="F767">
        <v>0.82449661222040604</v>
      </c>
      <c r="G767">
        <v>0.63716043983398296</v>
      </c>
      <c r="H767">
        <v>0.52180775277901603</v>
      </c>
      <c r="I767">
        <v>0.52541812003799904</v>
      </c>
      <c r="J767">
        <v>0.52370655988328296</v>
      </c>
      <c r="K767">
        <v>0.401304012519897</v>
      </c>
      <c r="L767">
        <v>783.12993957198205</v>
      </c>
      <c r="M767">
        <v>14.165511633078699</v>
      </c>
      <c r="N767">
        <v>63.891399496334003</v>
      </c>
      <c r="O767">
        <v>54.217496607943303</v>
      </c>
      <c r="P767">
        <v>-3.7508093254147203E-2</v>
      </c>
      <c r="Q767">
        <v>0.42583425235592198</v>
      </c>
      <c r="R767">
        <v>0.97540552343827802</v>
      </c>
      <c r="S767" t="s">
        <v>7052</v>
      </c>
      <c r="T767" t="s">
        <v>12568</v>
      </c>
      <c r="U767" t="s">
        <v>12568</v>
      </c>
      <c r="V767" t="s">
        <v>12568</v>
      </c>
      <c r="W767" t="s">
        <v>13317</v>
      </c>
      <c r="X767">
        <v>11</v>
      </c>
      <c r="Y767" t="s">
        <v>19542</v>
      </c>
      <c r="Z767" t="s">
        <v>25637</v>
      </c>
      <c r="AA767">
        <v>0.72980773724665482</v>
      </c>
      <c r="AB767" t="str">
        <f>HYPERLINK("Melting_Curves/meltCurve_J3KNF4_CCS.pdf", "Melting_Curves/meltCurve_J3KNF4_CCS.pdf")</f>
        <v>Melting_Curves/meltCurve_J3KNF4_CCS.pdf</v>
      </c>
    </row>
    <row r="768" spans="1:28" x14ac:dyDescent="0.25">
      <c r="A768" t="s">
        <v>772</v>
      </c>
      <c r="B768">
        <v>0.99352677808782597</v>
      </c>
      <c r="C768">
        <v>0.87378941070041105</v>
      </c>
      <c r="D768">
        <v>1.0278882588054601</v>
      </c>
      <c r="E768">
        <v>0.73776665101468297</v>
      </c>
      <c r="F768">
        <v>0.74687392938983699</v>
      </c>
      <c r="G768">
        <v>0.73587473505783096</v>
      </c>
      <c r="H768">
        <v>0.58228417687484602</v>
      </c>
      <c r="I768">
        <v>0.69357701002693295</v>
      </c>
      <c r="J768">
        <v>0.64076348273835704</v>
      </c>
      <c r="K768">
        <v>0.53094588549014499</v>
      </c>
      <c r="L768">
        <v>518.68868373408702</v>
      </c>
      <c r="M768">
        <v>10.0293019016411</v>
      </c>
      <c r="O768">
        <v>49.7873882491157</v>
      </c>
      <c r="P768">
        <v>-2.1888162155645801E-2</v>
      </c>
      <c r="Q768">
        <v>0.56558071830260803</v>
      </c>
      <c r="R768">
        <v>0.81404441668717697</v>
      </c>
      <c r="S768" t="s">
        <v>7053</v>
      </c>
      <c r="T768" t="s">
        <v>12568</v>
      </c>
      <c r="U768" t="s">
        <v>12568</v>
      </c>
      <c r="V768" t="s">
        <v>12568</v>
      </c>
      <c r="W768" t="s">
        <v>13318</v>
      </c>
      <c r="X768">
        <v>2</v>
      </c>
      <c r="Y768" t="s">
        <v>19543</v>
      </c>
      <c r="Z768" t="s">
        <v>25638</v>
      </c>
      <c r="AA768">
        <v>0.75214138490695592</v>
      </c>
      <c r="AB768" t="str">
        <f>HYPERLINK("Melting_Curves/meltCurve_J3KNH7_SENP3.pdf", "Melting_Curves/meltCurve_J3KNH7_SENP3.pdf")</f>
        <v>Melting_Curves/meltCurve_J3KNH7_SENP3.pdf</v>
      </c>
    </row>
    <row r="769" spans="1:28" x14ac:dyDescent="0.25">
      <c r="A769" t="s">
        <v>773</v>
      </c>
      <c r="B769">
        <v>0.99352677808782597</v>
      </c>
      <c r="C769">
        <v>0.98499125814466204</v>
      </c>
      <c r="D769">
        <v>0.99636986849568998</v>
      </c>
      <c r="E769">
        <v>0.82546344513384895</v>
      </c>
      <c r="F769">
        <v>0.69727386744257203</v>
      </c>
      <c r="G769">
        <v>0.72012634774054396</v>
      </c>
      <c r="H769">
        <v>0.63356856902365799</v>
      </c>
      <c r="I769">
        <v>0.46956618021656499</v>
      </c>
      <c r="J769">
        <v>0.19421804368020901</v>
      </c>
      <c r="K769">
        <v>7.4386951866629594E-2</v>
      </c>
      <c r="L769">
        <v>637.85831901427105</v>
      </c>
      <c r="M769">
        <v>10.4562128923258</v>
      </c>
      <c r="N769">
        <v>61.002807087549002</v>
      </c>
      <c r="O769">
        <v>58.898164402135698</v>
      </c>
      <c r="P769">
        <v>-4.4400783881532402E-2</v>
      </c>
      <c r="Q769">
        <v>0</v>
      </c>
      <c r="R769">
        <v>0.918514351196561</v>
      </c>
      <c r="S769" t="s">
        <v>7054</v>
      </c>
      <c r="T769" t="s">
        <v>12568</v>
      </c>
      <c r="U769" t="s">
        <v>12568</v>
      </c>
      <c r="V769" t="s">
        <v>12568</v>
      </c>
      <c r="W769" t="s">
        <v>13319</v>
      </c>
      <c r="X769">
        <v>4</v>
      </c>
      <c r="Y769" t="s">
        <v>19544</v>
      </c>
      <c r="Z769" t="s">
        <v>25639</v>
      </c>
      <c r="AA769">
        <v>0.69014969590169284</v>
      </c>
      <c r="AB769" t="str">
        <f>HYPERLINK("Melting_Curves/meltCurve_J3KNK4_AP4S1.pdf", "Melting_Curves/meltCurve_J3KNK4_AP4S1.pdf")</f>
        <v>Melting_Curves/meltCurve_J3KNK4_AP4S1.pdf</v>
      </c>
    </row>
    <row r="770" spans="1:28" x14ac:dyDescent="0.25">
      <c r="A770" t="s">
        <v>774</v>
      </c>
      <c r="B770">
        <v>0.99352677808782597</v>
      </c>
      <c r="C770">
        <v>0.96735183444912398</v>
      </c>
      <c r="D770">
        <v>0.90516658406098804</v>
      </c>
      <c r="E770">
        <v>0.65076186775696099</v>
      </c>
      <c r="F770">
        <v>0.57120303244453197</v>
      </c>
      <c r="G770">
        <v>0.46200037079617401</v>
      </c>
      <c r="H770">
        <v>0.41265700491839002</v>
      </c>
      <c r="I770">
        <v>0.45620387289213898</v>
      </c>
      <c r="J770">
        <v>0.44546366910796498</v>
      </c>
      <c r="K770">
        <v>0.38990978447199298</v>
      </c>
      <c r="L770">
        <v>949.17502856577698</v>
      </c>
      <c r="M770">
        <v>19.210055448876801</v>
      </c>
      <c r="N770">
        <v>54.668515307317399</v>
      </c>
      <c r="O770">
        <v>48.884202663475399</v>
      </c>
      <c r="P770">
        <v>-5.6865073013691897E-2</v>
      </c>
      <c r="Q770">
        <v>0.42119918204872903</v>
      </c>
      <c r="R770">
        <v>0.99123157172001897</v>
      </c>
      <c r="S770" t="s">
        <v>7055</v>
      </c>
      <c r="T770" t="s">
        <v>12568</v>
      </c>
      <c r="U770" t="s">
        <v>12568</v>
      </c>
      <c r="V770" t="s">
        <v>12568</v>
      </c>
      <c r="W770" t="s">
        <v>13320</v>
      </c>
      <c r="X770">
        <v>35</v>
      </c>
      <c r="Y770" t="s">
        <v>19545</v>
      </c>
      <c r="Z770" t="s">
        <v>25640</v>
      </c>
      <c r="AA770">
        <v>0.61151285978551695</v>
      </c>
      <c r="AB770" t="str">
        <f>HYPERLINK("Melting_Curves/meltCurve_J3KNL6_SEC16A.pdf", "Melting_Curves/meltCurve_J3KNL6_SEC16A.pdf")</f>
        <v>Melting_Curves/meltCurve_J3KNL6_SEC16A.pdf</v>
      </c>
    </row>
    <row r="771" spans="1:28" x14ac:dyDescent="0.25">
      <c r="A771" t="s">
        <v>775</v>
      </c>
      <c r="B771">
        <v>0.99352677808782597</v>
      </c>
      <c r="C771">
        <v>0.96517679027470704</v>
      </c>
      <c r="D771">
        <v>1.01245545537443</v>
      </c>
      <c r="E771">
        <v>0.57185812390083501</v>
      </c>
      <c r="F771">
        <v>0.57639119363874902</v>
      </c>
      <c r="G771">
        <v>0.396271713027467</v>
      </c>
      <c r="H771">
        <v>0.41710142386010202</v>
      </c>
      <c r="I771">
        <v>0.31723251056028601</v>
      </c>
      <c r="J771">
        <v>0.30388508740533399</v>
      </c>
      <c r="K771">
        <v>0.27037808428036197</v>
      </c>
      <c r="L771">
        <v>939.34223615024598</v>
      </c>
      <c r="M771">
        <v>18.625678886872599</v>
      </c>
      <c r="N771">
        <v>53.318875211412198</v>
      </c>
      <c r="O771">
        <v>49.8620805448504</v>
      </c>
      <c r="P771">
        <v>-6.3732321365130198E-2</v>
      </c>
      <c r="Q771">
        <v>0.31756815739803901</v>
      </c>
      <c r="R771">
        <v>0.95336306672883397</v>
      </c>
      <c r="S771" t="s">
        <v>7056</v>
      </c>
      <c r="T771" t="s">
        <v>12568</v>
      </c>
      <c r="U771" t="s">
        <v>12568</v>
      </c>
      <c r="V771" t="s">
        <v>12568</v>
      </c>
      <c r="W771" t="s">
        <v>13321</v>
      </c>
      <c r="X771">
        <v>5</v>
      </c>
      <c r="Y771" t="s">
        <v>19546</v>
      </c>
      <c r="Z771" t="s">
        <v>25641</v>
      </c>
      <c r="AA771">
        <v>0.56574656590359662</v>
      </c>
      <c r="AB771" t="str">
        <f>HYPERLINK("Melting_Curves/meltCurve_J3KNL9_ZFYVE1.pdf", "Melting_Curves/meltCurve_J3KNL9_ZFYVE1.pdf")</f>
        <v>Melting_Curves/meltCurve_J3KNL9_ZFYVE1.pdf</v>
      </c>
    </row>
    <row r="772" spans="1:28" x14ac:dyDescent="0.25">
      <c r="A772" t="s">
        <v>776</v>
      </c>
      <c r="B772">
        <v>0.99352677808782597</v>
      </c>
      <c r="C772">
        <v>1.01533103766834</v>
      </c>
      <c r="D772">
        <v>0.98310919269287</v>
      </c>
      <c r="E772">
        <v>0.61916452210103501</v>
      </c>
      <c r="F772">
        <v>0.53256714636300695</v>
      </c>
      <c r="G772">
        <v>0.31505466081577799</v>
      </c>
      <c r="H772">
        <v>0.20676517707115799</v>
      </c>
      <c r="I772">
        <v>0.18905363829407201</v>
      </c>
      <c r="J772">
        <v>0.166933056945133</v>
      </c>
      <c r="K772">
        <v>0.131498820936363</v>
      </c>
      <c r="L772">
        <v>874.53067418464298</v>
      </c>
      <c r="M772">
        <v>16.862140394702902</v>
      </c>
      <c r="N772">
        <v>52.9440581932055</v>
      </c>
      <c r="O772">
        <v>51.150587612594101</v>
      </c>
      <c r="P772">
        <v>-7.04207565195E-2</v>
      </c>
      <c r="Q772">
        <v>0.14558079730739501</v>
      </c>
      <c r="R772">
        <v>0.98679511265991104</v>
      </c>
      <c r="S772" t="s">
        <v>7057</v>
      </c>
      <c r="T772" t="s">
        <v>12568</v>
      </c>
      <c r="U772" t="s">
        <v>12568</v>
      </c>
      <c r="V772" t="s">
        <v>12568</v>
      </c>
      <c r="W772" t="s">
        <v>13322</v>
      </c>
      <c r="X772">
        <v>18</v>
      </c>
      <c r="Y772" t="s">
        <v>19547</v>
      </c>
      <c r="Z772" t="s">
        <v>25642</v>
      </c>
      <c r="AA772">
        <v>0.49936978897063772</v>
      </c>
      <c r="AB772" t="str">
        <f>HYPERLINK("Melting_Curves/meltCurve_J3KNN7_BRAP.pdf", "Melting_Curves/meltCurve_J3KNN7_BRAP.pdf")</f>
        <v>Melting_Curves/meltCurve_J3KNN7_BRAP.pdf</v>
      </c>
    </row>
    <row r="773" spans="1:28" x14ac:dyDescent="0.25">
      <c r="A773" t="s">
        <v>777</v>
      </c>
      <c r="B773">
        <v>0.99352677808782597</v>
      </c>
      <c r="C773">
        <v>0.84517468160787301</v>
      </c>
      <c r="D773">
        <v>0.67076500464745903</v>
      </c>
      <c r="E773">
        <v>0.28461843830226802</v>
      </c>
      <c r="F773">
        <v>0.230037684869559</v>
      </c>
      <c r="G773">
        <v>0.133960217379229</v>
      </c>
      <c r="H773">
        <v>0.104330872626026</v>
      </c>
      <c r="I773">
        <v>9.6813932945704506E-2</v>
      </c>
      <c r="J773">
        <v>9.4419110225018504E-2</v>
      </c>
      <c r="K773">
        <v>7.3314192430339598E-2</v>
      </c>
      <c r="L773">
        <v>864.76230604227601</v>
      </c>
      <c r="M773">
        <v>18.350043482115002</v>
      </c>
      <c r="N773">
        <v>47.637989531092501</v>
      </c>
      <c r="O773">
        <v>46.5769201643391</v>
      </c>
      <c r="P773">
        <v>-8.9681046751345306E-2</v>
      </c>
      <c r="Q773">
        <v>8.9511489873142003E-2</v>
      </c>
      <c r="R773">
        <v>0.99513101131070603</v>
      </c>
      <c r="S773" t="s">
        <v>7058</v>
      </c>
      <c r="T773" t="s">
        <v>12568</v>
      </c>
      <c r="U773" t="s">
        <v>12568</v>
      </c>
      <c r="V773" t="s">
        <v>12568</v>
      </c>
      <c r="W773" t="s">
        <v>13323</v>
      </c>
      <c r="X773">
        <v>7</v>
      </c>
      <c r="Y773" t="s">
        <v>19548</v>
      </c>
      <c r="Z773" t="s">
        <v>25643</v>
      </c>
      <c r="AA773">
        <v>0.3217937375609759</v>
      </c>
      <c r="AB773" t="str">
        <f>HYPERLINK("Melting_Curves/meltCurve_J3KNU8_ALDH6A1.pdf", "Melting_Curves/meltCurve_J3KNU8_ALDH6A1.pdf")</f>
        <v>Melting_Curves/meltCurve_J3KNU8_ALDH6A1.pdf</v>
      </c>
    </row>
    <row r="774" spans="1:28" x14ac:dyDescent="0.25">
      <c r="A774" t="s">
        <v>778</v>
      </c>
      <c r="B774">
        <v>0.99352677808782597</v>
      </c>
      <c r="C774">
        <v>0.99438765347900104</v>
      </c>
      <c r="D774">
        <v>1.0009414747552201</v>
      </c>
      <c r="E774">
        <v>0.77818526736087501</v>
      </c>
      <c r="F774">
        <v>0.79438435081426495</v>
      </c>
      <c r="G774">
        <v>0.58302014185774198</v>
      </c>
      <c r="H774">
        <v>0.72830983002972005</v>
      </c>
      <c r="I774">
        <v>0.47254737861253499</v>
      </c>
      <c r="J774">
        <v>0.57553514263295902</v>
      </c>
      <c r="K774">
        <v>0.43051398547752501</v>
      </c>
      <c r="L774">
        <v>560.44917433186697</v>
      </c>
      <c r="M774">
        <v>10.200503344070301</v>
      </c>
      <c r="N774">
        <v>68.6356181767907</v>
      </c>
      <c r="O774">
        <v>52.957173969876102</v>
      </c>
      <c r="P774">
        <v>-2.7236165197928201E-2</v>
      </c>
      <c r="Q774">
        <v>0.43465518355426103</v>
      </c>
      <c r="R774">
        <v>0.87869418161748103</v>
      </c>
      <c r="S774" t="s">
        <v>7059</v>
      </c>
      <c r="T774" t="s">
        <v>12568</v>
      </c>
      <c r="U774" t="s">
        <v>12568</v>
      </c>
      <c r="V774" t="s">
        <v>12568</v>
      </c>
      <c r="W774" t="s">
        <v>13324</v>
      </c>
      <c r="X774">
        <v>2</v>
      </c>
      <c r="Y774" t="s">
        <v>19549</v>
      </c>
      <c r="Z774" t="s">
        <v>25644</v>
      </c>
      <c r="AA774">
        <v>0.73090641272055812</v>
      </c>
      <c r="AB774" t="str">
        <f>HYPERLINK("Melting_Curves/meltCurve_J3KNZ9_FBRS.pdf", "Melting_Curves/meltCurve_J3KNZ9_FBRS.pdf")</f>
        <v>Melting_Curves/meltCurve_J3KNZ9_FBRS.pdf</v>
      </c>
    </row>
    <row r="775" spans="1:28" x14ac:dyDescent="0.25">
      <c r="A775" t="s">
        <v>779</v>
      </c>
      <c r="B775">
        <v>0.99352677808782597</v>
      </c>
      <c r="C775">
        <v>0.95297006440587595</v>
      </c>
      <c r="D775">
        <v>1.0013316572484201</v>
      </c>
      <c r="E775">
        <v>0.95022308032887204</v>
      </c>
      <c r="F775">
        <v>0.832432663691132</v>
      </c>
      <c r="G775">
        <v>0.71529384364315296</v>
      </c>
      <c r="H775">
        <v>0.76238872723959705</v>
      </c>
      <c r="I775">
        <v>0.82916058663623604</v>
      </c>
      <c r="J775">
        <v>0.89827567371317196</v>
      </c>
      <c r="K775">
        <v>0.7969322638295</v>
      </c>
      <c r="L775">
        <v>2750.5180372494101</v>
      </c>
      <c r="M775">
        <v>53.856978407000298</v>
      </c>
      <c r="O775">
        <v>51.0005159153623</v>
      </c>
      <c r="P775">
        <v>-5.2439175130036299E-2</v>
      </c>
      <c r="Q775">
        <v>0.80136848695176099</v>
      </c>
      <c r="R775">
        <v>0.76182422256096005</v>
      </c>
      <c r="S775" t="s">
        <v>7060</v>
      </c>
      <c r="T775" t="s">
        <v>12568</v>
      </c>
      <c r="U775" t="s">
        <v>12568</v>
      </c>
      <c r="V775" t="s">
        <v>12568</v>
      </c>
      <c r="W775" t="s">
        <v>13325</v>
      </c>
      <c r="X775">
        <v>4</v>
      </c>
      <c r="Y775" t="s">
        <v>19550</v>
      </c>
      <c r="Z775" t="s">
        <v>25645</v>
      </c>
      <c r="AA775">
        <v>0.87505406473938563</v>
      </c>
      <c r="AB775" t="str">
        <f>HYPERLINK("Melting_Curves/meltCurve_J3KP15_SRSF2.pdf", "Melting_Curves/meltCurve_J3KP15_SRSF2.pdf")</f>
        <v>Melting_Curves/meltCurve_J3KP15_SRSF2.pdf</v>
      </c>
    </row>
    <row r="776" spans="1:28" x14ac:dyDescent="0.25">
      <c r="A776" t="s">
        <v>780</v>
      </c>
      <c r="B776">
        <v>0.99352677808782597</v>
      </c>
      <c r="C776">
        <v>1.00305111173204</v>
      </c>
      <c r="D776">
        <v>0.89393605620107197</v>
      </c>
      <c r="E776">
        <v>0.88967136066513697</v>
      </c>
      <c r="F776">
        <v>0.76488340848550895</v>
      </c>
      <c r="G776">
        <v>0.63049217986247696</v>
      </c>
      <c r="H776">
        <v>0.83178246803354305</v>
      </c>
      <c r="I776">
        <v>0.74670027695316299</v>
      </c>
      <c r="J776">
        <v>0.83281620099821996</v>
      </c>
      <c r="K776">
        <v>0.71440742381868305</v>
      </c>
      <c r="L776">
        <v>1023.38594830625</v>
      </c>
      <c r="M776">
        <v>21.2063410204345</v>
      </c>
      <c r="O776">
        <v>47.835502374466898</v>
      </c>
      <c r="P776">
        <v>-2.7522807311754799E-2</v>
      </c>
      <c r="Q776">
        <v>0.75167176308586203</v>
      </c>
      <c r="R776">
        <v>0.71487105675185003</v>
      </c>
      <c r="S776" t="s">
        <v>7061</v>
      </c>
      <c r="T776" t="s">
        <v>12568</v>
      </c>
      <c r="U776" t="s">
        <v>12568</v>
      </c>
      <c r="V776" t="s">
        <v>12568</v>
      </c>
      <c r="W776" t="s">
        <v>13326</v>
      </c>
      <c r="X776">
        <v>6</v>
      </c>
      <c r="Y776" t="s">
        <v>19551</v>
      </c>
      <c r="Z776" t="s">
        <v>25646</v>
      </c>
      <c r="AA776">
        <v>0.82313732948125162</v>
      </c>
      <c r="AB776" t="str">
        <f>HYPERLINK("Melting_Curves/meltCurve_J3KP75_PHACTR2.pdf", "Melting_Curves/meltCurve_J3KP75_PHACTR2.pdf")</f>
        <v>Melting_Curves/meltCurve_J3KP75_PHACTR2.pdf</v>
      </c>
    </row>
    <row r="777" spans="1:28" x14ac:dyDescent="0.25">
      <c r="A777" t="s">
        <v>781</v>
      </c>
      <c r="B777">
        <v>0.99352677808782597</v>
      </c>
      <c r="C777">
        <v>0.95781781926952103</v>
      </c>
      <c r="D777">
        <v>0.97341808446515399</v>
      </c>
      <c r="E777">
        <v>0.86511966782754501</v>
      </c>
      <c r="F777">
        <v>0.74850767828898501</v>
      </c>
      <c r="G777">
        <v>0.68041922510466202</v>
      </c>
      <c r="H777">
        <v>0.586286175382015</v>
      </c>
      <c r="I777">
        <v>0.60213638241440404</v>
      </c>
      <c r="J777">
        <v>0.66276995471866595</v>
      </c>
      <c r="K777">
        <v>0.61590173944114901</v>
      </c>
      <c r="L777">
        <v>1042.49737831789</v>
      </c>
      <c r="M777">
        <v>20.256524882441202</v>
      </c>
      <c r="O777">
        <v>50.971074082403703</v>
      </c>
      <c r="P777">
        <v>-3.8352959153251501E-2</v>
      </c>
      <c r="Q777">
        <v>0.61398491035934899</v>
      </c>
      <c r="R777">
        <v>0.97517587920388005</v>
      </c>
      <c r="S777" t="s">
        <v>7062</v>
      </c>
      <c r="T777" t="s">
        <v>12568</v>
      </c>
      <c r="U777" t="s">
        <v>12568</v>
      </c>
      <c r="V777" t="s">
        <v>12568</v>
      </c>
      <c r="W777" t="s">
        <v>13327</v>
      </c>
      <c r="X777">
        <v>16</v>
      </c>
      <c r="Y777" t="s">
        <v>19552</v>
      </c>
      <c r="Z777" t="s">
        <v>25647</v>
      </c>
      <c r="AA777">
        <v>0.76673197434035567</v>
      </c>
      <c r="AB777" t="str">
        <f>HYPERLINK("Melting_Curves/meltCurve_J3KPS2_FAM83H.pdf", "Melting_Curves/meltCurve_J3KPS2_FAM83H.pdf")</f>
        <v>Melting_Curves/meltCurve_J3KPS2_FAM83H.pdf</v>
      </c>
    </row>
    <row r="778" spans="1:28" x14ac:dyDescent="0.25">
      <c r="A778" t="s">
        <v>782</v>
      </c>
      <c r="B778">
        <v>0.99352677808782597</v>
      </c>
      <c r="C778">
        <v>0.87766936750622704</v>
      </c>
      <c r="D778">
        <v>0.863752164032901</v>
      </c>
      <c r="E778">
        <v>0.232288510938716</v>
      </c>
      <c r="F778">
        <v>0.14734940857690099</v>
      </c>
      <c r="G778">
        <v>9.3566967574212803E-2</v>
      </c>
      <c r="H778">
        <v>6.49964973938882E-2</v>
      </c>
      <c r="I778">
        <v>5.8437069927370203E-2</v>
      </c>
      <c r="J778">
        <v>3.9996156554244801E-2</v>
      </c>
      <c r="K778">
        <v>3.2464277421813403E-2</v>
      </c>
      <c r="L778">
        <v>1623.6316945103599</v>
      </c>
      <c r="M778">
        <v>33.777590880111703</v>
      </c>
      <c r="N778">
        <v>48.256838854052901</v>
      </c>
      <c r="O778">
        <v>47.900776967918297</v>
      </c>
      <c r="P778">
        <v>-0.16539314268939001</v>
      </c>
      <c r="Q778">
        <v>6.1812821245848699E-2</v>
      </c>
      <c r="R778">
        <v>0.98778300364415395</v>
      </c>
      <c r="S778" t="s">
        <v>7063</v>
      </c>
      <c r="T778" t="s">
        <v>12568</v>
      </c>
      <c r="U778" t="s">
        <v>12568</v>
      </c>
      <c r="V778" t="s">
        <v>12568</v>
      </c>
      <c r="W778" t="s">
        <v>13328</v>
      </c>
      <c r="X778">
        <v>9</v>
      </c>
      <c r="Y778" t="s">
        <v>19553</v>
      </c>
      <c r="Z778" t="s">
        <v>25648</v>
      </c>
      <c r="AA778">
        <v>0.31855057669195752</v>
      </c>
      <c r="AB778" t="str">
        <f>HYPERLINK("Melting_Curves/meltCurve_J3KPU4_MYD88.pdf", "Melting_Curves/meltCurve_J3KPU4_MYD88.pdf")</f>
        <v>Melting_Curves/meltCurve_J3KPU4_MYD88.pdf</v>
      </c>
    </row>
    <row r="779" spans="1:28" x14ac:dyDescent="0.25">
      <c r="A779" t="s">
        <v>783</v>
      </c>
      <c r="B779">
        <v>0.99352677808782597</v>
      </c>
      <c r="C779">
        <v>0.88736663976366603</v>
      </c>
      <c r="D779">
        <v>0.94998712687975395</v>
      </c>
      <c r="E779">
        <v>0.28763710239999102</v>
      </c>
      <c r="F779">
        <v>0.23658155065685599</v>
      </c>
      <c r="G779">
        <v>0.138224690480969</v>
      </c>
      <c r="H779">
        <v>0.11030849400123301</v>
      </c>
      <c r="I779">
        <v>0.104172808863358</v>
      </c>
      <c r="J779">
        <v>8.8093608794030706E-2</v>
      </c>
      <c r="K779">
        <v>6.7025231098315E-2</v>
      </c>
      <c r="L779">
        <v>2020.3914362432299</v>
      </c>
      <c r="M779">
        <v>41.638307362819603</v>
      </c>
      <c r="N779">
        <v>48.8314043714417</v>
      </c>
      <c r="O779">
        <v>48.410909328976999</v>
      </c>
      <c r="P779">
        <v>-0.19012378578084799</v>
      </c>
      <c r="Q779">
        <v>0.115809645008837</v>
      </c>
      <c r="R779">
        <v>0.980754346625614</v>
      </c>
      <c r="S779" t="s">
        <v>7064</v>
      </c>
      <c r="T779" t="s">
        <v>12568</v>
      </c>
      <c r="U779" t="s">
        <v>12568</v>
      </c>
      <c r="V779" t="s">
        <v>12568</v>
      </c>
      <c r="W779" t="s">
        <v>13329</v>
      </c>
      <c r="X779">
        <v>18</v>
      </c>
      <c r="Y779" t="s">
        <v>19554</v>
      </c>
      <c r="Z779" t="s">
        <v>25649</v>
      </c>
      <c r="AA779">
        <v>0.36972967853082461</v>
      </c>
      <c r="AB779" t="str">
        <f>HYPERLINK("Melting_Curves/meltCurve_J3KPV7_MPST.pdf", "Melting_Curves/meltCurve_J3KPV7_MPST.pdf")</f>
        <v>Melting_Curves/meltCurve_J3KPV7_MPST.pdf</v>
      </c>
    </row>
    <row r="780" spans="1:28" x14ac:dyDescent="0.25">
      <c r="A780" t="s">
        <v>784</v>
      </c>
      <c r="B780">
        <v>0.99352677808782597</v>
      </c>
      <c r="C780">
        <v>1.0418177150230099</v>
      </c>
      <c r="D780">
        <v>0.886656102616876</v>
      </c>
      <c r="E780">
        <v>0.95816014549728901</v>
      </c>
      <c r="F780">
        <v>0.748966867843604</v>
      </c>
      <c r="G780">
        <v>0.491589940927389</v>
      </c>
      <c r="H780">
        <v>0.226252959723133</v>
      </c>
      <c r="I780">
        <v>0.18097285350626999</v>
      </c>
      <c r="J780">
        <v>0.13624898540139399</v>
      </c>
      <c r="K780">
        <v>0.105093721560511</v>
      </c>
      <c r="L780">
        <v>1052.4480356996</v>
      </c>
      <c r="M780">
        <v>18.773713801747501</v>
      </c>
      <c r="N780">
        <v>56.6457298785486</v>
      </c>
      <c r="O780">
        <v>55.435195609463698</v>
      </c>
      <c r="P780">
        <v>-7.7195055656351194E-2</v>
      </c>
      <c r="Q780">
        <v>8.8268687999106601E-2</v>
      </c>
      <c r="R780">
        <v>0.98885805642105296</v>
      </c>
      <c r="S780" t="s">
        <v>7065</v>
      </c>
      <c r="T780" t="s">
        <v>12568</v>
      </c>
      <c r="U780" t="s">
        <v>12568</v>
      </c>
      <c r="V780" t="s">
        <v>12568</v>
      </c>
      <c r="W780" t="s">
        <v>13330</v>
      </c>
      <c r="X780">
        <v>7</v>
      </c>
      <c r="Y780" t="s">
        <v>19555</v>
      </c>
      <c r="Z780" t="s">
        <v>25650</v>
      </c>
      <c r="AA780">
        <v>0.58905733790512271</v>
      </c>
      <c r="AB780" t="str">
        <f>HYPERLINK("Melting_Curves/meltCurve_J3KQ34_COPS7B.pdf", "Melting_Curves/meltCurve_J3KQ34_COPS7B.pdf")</f>
        <v>Melting_Curves/meltCurve_J3KQ34_COPS7B.pdf</v>
      </c>
    </row>
    <row r="781" spans="1:28" x14ac:dyDescent="0.25">
      <c r="A781" t="s">
        <v>785</v>
      </c>
      <c r="B781">
        <v>0.99352677808782597</v>
      </c>
      <c r="C781">
        <v>0.94492614316781798</v>
      </c>
      <c r="D781">
        <v>0.88366990597402395</v>
      </c>
      <c r="E781">
        <v>0.440906560856273</v>
      </c>
      <c r="F781">
        <v>0.38579787887769701</v>
      </c>
      <c r="G781">
        <v>0.160629800245497</v>
      </c>
      <c r="H781">
        <v>8.2531510620200199E-2</v>
      </c>
      <c r="I781">
        <v>7.4838783606289996E-2</v>
      </c>
      <c r="J781">
        <v>6.6566245115906905E-2</v>
      </c>
      <c r="K781">
        <v>4.6875786983253301E-2</v>
      </c>
      <c r="L781">
        <v>852.87190910187201</v>
      </c>
      <c r="M781">
        <v>17.040501609294701</v>
      </c>
      <c r="N781">
        <v>50.3709022708966</v>
      </c>
      <c r="O781">
        <v>49.375674137156302</v>
      </c>
      <c r="P781">
        <v>-8.1842788130964794E-2</v>
      </c>
      <c r="Q781">
        <v>5.1484351360653498E-2</v>
      </c>
      <c r="R781">
        <v>0.98823597395466101</v>
      </c>
      <c r="S781" t="s">
        <v>7066</v>
      </c>
      <c r="T781" t="s">
        <v>12568</v>
      </c>
      <c r="U781" t="s">
        <v>12568</v>
      </c>
      <c r="V781" t="s">
        <v>12568</v>
      </c>
      <c r="W781" t="s">
        <v>13331</v>
      </c>
      <c r="X781">
        <v>3</v>
      </c>
      <c r="Y781" t="s">
        <v>19556</v>
      </c>
      <c r="Z781" t="s">
        <v>25651</v>
      </c>
      <c r="AA781">
        <v>0.38714371043943802</v>
      </c>
      <c r="AB781" t="str">
        <f>HYPERLINK("Melting_Curves/meltCurve_J3KQ72_FBXO6.pdf", "Melting_Curves/meltCurve_J3KQ72_FBXO6.pdf")</f>
        <v>Melting_Curves/meltCurve_J3KQ72_FBXO6.pdf</v>
      </c>
    </row>
    <row r="782" spans="1:28" x14ac:dyDescent="0.25">
      <c r="A782" t="s">
        <v>786</v>
      </c>
      <c r="B782">
        <v>0.99352677808782597</v>
      </c>
      <c r="C782">
        <v>0.92404553103810905</v>
      </c>
      <c r="D782">
        <v>0.67450987923847605</v>
      </c>
      <c r="E782">
        <v>0.33000008902017097</v>
      </c>
      <c r="F782">
        <v>0.26579312351351397</v>
      </c>
      <c r="G782">
        <v>0.17315238507495201</v>
      </c>
      <c r="H782">
        <v>0.123699361439152</v>
      </c>
      <c r="I782">
        <v>0.11009877364753</v>
      </c>
      <c r="J782">
        <v>9.5838691429966705E-2</v>
      </c>
      <c r="K782">
        <v>7.7115485541569606E-2</v>
      </c>
      <c r="L782">
        <v>878.20815238675596</v>
      </c>
      <c r="M782">
        <v>18.4658314697345</v>
      </c>
      <c r="N782">
        <v>48.171534792345703</v>
      </c>
      <c r="O782">
        <v>47.011343924742803</v>
      </c>
      <c r="P782">
        <v>-8.7921063554900897E-2</v>
      </c>
      <c r="Q782">
        <v>0.104702931846928</v>
      </c>
      <c r="R782">
        <v>0.99428817706861095</v>
      </c>
      <c r="S782" t="s">
        <v>7067</v>
      </c>
      <c r="T782" t="s">
        <v>12568</v>
      </c>
      <c r="U782" t="s">
        <v>12568</v>
      </c>
      <c r="V782" t="s">
        <v>12568</v>
      </c>
      <c r="W782" t="s">
        <v>13332</v>
      </c>
      <c r="X782">
        <v>11</v>
      </c>
      <c r="Y782" t="s">
        <v>19557</v>
      </c>
      <c r="Z782" t="s">
        <v>25652</v>
      </c>
      <c r="AA782">
        <v>0.34554311968779761</v>
      </c>
      <c r="AB782" t="str">
        <f>HYPERLINK("Melting_Curves/meltCurve_J3KQ98_PPP1R37.pdf", "Melting_Curves/meltCurve_J3KQ98_PPP1R37.pdf")</f>
        <v>Melting_Curves/meltCurve_J3KQ98_PPP1R37.pdf</v>
      </c>
    </row>
    <row r="783" spans="1:28" x14ac:dyDescent="0.25">
      <c r="A783" t="s">
        <v>787</v>
      </c>
      <c r="B783">
        <v>0.99352677808782597</v>
      </c>
      <c r="C783">
        <v>0.83736215602014596</v>
      </c>
      <c r="D783">
        <v>0.90326795186613595</v>
      </c>
      <c r="E783">
        <v>0.41186179074608698</v>
      </c>
      <c r="F783">
        <v>0.40032862629418298</v>
      </c>
      <c r="G783">
        <v>0.225249123264947</v>
      </c>
      <c r="H783">
        <v>0.16192666133629499</v>
      </c>
      <c r="I783">
        <v>0.14685828518512301</v>
      </c>
      <c r="J783">
        <v>0.13659592280793201</v>
      </c>
      <c r="K783">
        <v>0.135640340514908</v>
      </c>
      <c r="L783">
        <v>811.03749556242599</v>
      </c>
      <c r="M783">
        <v>16.4658577642799</v>
      </c>
      <c r="N783">
        <v>50.189285710386798</v>
      </c>
      <c r="O783">
        <v>48.5464035257624</v>
      </c>
      <c r="P783">
        <v>-7.3614289629845397E-2</v>
      </c>
      <c r="Q783">
        <v>0.13191082094690901</v>
      </c>
      <c r="R783">
        <v>0.96740492032424796</v>
      </c>
      <c r="S783" t="s">
        <v>7068</v>
      </c>
      <c r="T783" t="s">
        <v>12568</v>
      </c>
      <c r="U783" t="s">
        <v>12568</v>
      </c>
      <c r="V783" t="s">
        <v>12568</v>
      </c>
      <c r="W783" t="s">
        <v>13333</v>
      </c>
      <c r="X783">
        <v>4</v>
      </c>
      <c r="Y783" t="s">
        <v>19558</v>
      </c>
      <c r="Z783" t="s">
        <v>25653</v>
      </c>
      <c r="AA783">
        <v>0.41753724857264141</v>
      </c>
      <c r="AB783" t="str">
        <f>HYPERLINK("Melting_Curves/meltCurve_J3KQG4_GBA.pdf", "Melting_Curves/meltCurve_J3KQG4_GBA.pdf")</f>
        <v>Melting_Curves/meltCurve_J3KQG4_GBA.pdf</v>
      </c>
    </row>
    <row r="784" spans="1:28" x14ac:dyDescent="0.25">
      <c r="A784" t="s">
        <v>788</v>
      </c>
      <c r="B784">
        <v>0.99352677808782597</v>
      </c>
      <c r="C784">
        <v>1.05537869751484</v>
      </c>
      <c r="D784">
        <v>0.896048674053054</v>
      </c>
      <c r="E784">
        <v>0.868500259368857</v>
      </c>
      <c r="F784">
        <v>0.661705098791605</v>
      </c>
      <c r="G784">
        <v>0.51542463546542905</v>
      </c>
      <c r="H784">
        <v>0.39363653275869198</v>
      </c>
      <c r="I784">
        <v>0.30746811416407099</v>
      </c>
      <c r="J784">
        <v>0.33230980829892398</v>
      </c>
      <c r="K784">
        <v>0.23375780020887499</v>
      </c>
      <c r="L784">
        <v>743.15951308849003</v>
      </c>
      <c r="M784">
        <v>13.6025060043554</v>
      </c>
      <c r="N784">
        <v>57.247798694813902</v>
      </c>
      <c r="O784">
        <v>53.493796699574702</v>
      </c>
      <c r="P784">
        <v>-4.8873211950908199E-2</v>
      </c>
      <c r="Q784">
        <v>0.231310496108564</v>
      </c>
      <c r="R784">
        <v>0.98389780756071199</v>
      </c>
      <c r="S784" t="s">
        <v>7069</v>
      </c>
      <c r="T784" t="s">
        <v>12568</v>
      </c>
      <c r="U784" t="s">
        <v>12568</v>
      </c>
      <c r="V784" t="s">
        <v>12568</v>
      </c>
      <c r="W784" t="s">
        <v>13334</v>
      </c>
      <c r="X784">
        <v>6</v>
      </c>
      <c r="Y784" t="s">
        <v>19559</v>
      </c>
      <c r="Z784" t="s">
        <v>25654</v>
      </c>
      <c r="AA784">
        <v>0.62312295972532705</v>
      </c>
      <c r="AB784" t="str">
        <f>HYPERLINK("Melting_Curves/meltCurve_J3KQS6_BABAM1.pdf", "Melting_Curves/meltCurve_J3KQS6_BABAM1.pdf")</f>
        <v>Melting_Curves/meltCurve_J3KQS6_BABAM1.pdf</v>
      </c>
    </row>
    <row r="785" spans="1:28" x14ac:dyDescent="0.25">
      <c r="A785" t="s">
        <v>789</v>
      </c>
      <c r="B785">
        <v>0.99352677808782597</v>
      </c>
      <c r="C785">
        <v>0.88614134388678001</v>
      </c>
      <c r="D785">
        <v>0.84513174592109697</v>
      </c>
      <c r="E785">
        <v>0.86336105094835003</v>
      </c>
      <c r="F785">
        <v>0.71718849850829203</v>
      </c>
      <c r="G785">
        <v>0.49562579118209799</v>
      </c>
      <c r="H785">
        <v>0.43112304047884598</v>
      </c>
      <c r="I785">
        <v>0.24661248199817701</v>
      </c>
      <c r="J785">
        <v>0.106546846211287</v>
      </c>
      <c r="K785">
        <v>7.2751614615750304E-2</v>
      </c>
      <c r="L785">
        <v>616.64985554935504</v>
      </c>
      <c r="M785">
        <v>10.7609767873963</v>
      </c>
      <c r="N785">
        <v>57.304263901616999</v>
      </c>
      <c r="O785">
        <v>55.431720870729002</v>
      </c>
      <c r="P785">
        <v>-4.8550396359027401E-2</v>
      </c>
      <c r="Q785">
        <v>0</v>
      </c>
      <c r="R785">
        <v>0.96933523495455698</v>
      </c>
      <c r="S785" t="s">
        <v>7070</v>
      </c>
      <c r="T785" t="s">
        <v>12568</v>
      </c>
      <c r="U785" t="s">
        <v>12568</v>
      </c>
      <c r="V785" t="s">
        <v>12568</v>
      </c>
      <c r="W785" t="s">
        <v>13335</v>
      </c>
      <c r="X785">
        <v>5</v>
      </c>
      <c r="Y785" t="s">
        <v>19560</v>
      </c>
      <c r="Z785" t="s">
        <v>25655</v>
      </c>
      <c r="AA785">
        <v>0.59175159958323575</v>
      </c>
      <c r="AB785" t="str">
        <f>HYPERLINK("Melting_Curves/meltCurve_J3KQT5_KCTD1.pdf", "Melting_Curves/meltCurve_J3KQT5_KCTD1.pdf")</f>
        <v>Melting_Curves/meltCurve_J3KQT5_KCTD1.pdf</v>
      </c>
    </row>
    <row r="786" spans="1:28" x14ac:dyDescent="0.25">
      <c r="A786" t="s">
        <v>790</v>
      </c>
      <c r="B786">
        <v>0.99352677808782597</v>
      </c>
      <c r="C786">
        <v>1.13844575791088</v>
      </c>
      <c r="D786">
        <v>1.2068812054026801</v>
      </c>
      <c r="E786">
        <v>0.97791491111144402</v>
      </c>
      <c r="F786">
        <v>0.72126386926538699</v>
      </c>
      <c r="G786">
        <v>0.59806737924786202</v>
      </c>
      <c r="H786">
        <v>0.36949299177814499</v>
      </c>
      <c r="I786">
        <v>0.24310394341629801</v>
      </c>
      <c r="J786">
        <v>0.29407372526773001</v>
      </c>
      <c r="K786">
        <v>0.326749452016038</v>
      </c>
      <c r="L786">
        <v>1216.4024616208601</v>
      </c>
      <c r="M786">
        <v>21.9253885976098</v>
      </c>
      <c r="N786">
        <v>57.6071387979459</v>
      </c>
      <c r="O786">
        <v>55.023841283021198</v>
      </c>
      <c r="P786">
        <v>-7.1970378558005796E-2</v>
      </c>
      <c r="Q786">
        <v>0.27755035229361302</v>
      </c>
      <c r="R786">
        <v>0.93124815065104305</v>
      </c>
      <c r="S786" t="s">
        <v>7071</v>
      </c>
      <c r="T786" t="s">
        <v>12568</v>
      </c>
      <c r="U786" t="s">
        <v>12568</v>
      </c>
      <c r="V786" t="s">
        <v>12568</v>
      </c>
      <c r="W786" t="s">
        <v>13336</v>
      </c>
      <c r="X786">
        <v>2</v>
      </c>
      <c r="Y786" t="s">
        <v>19561</v>
      </c>
      <c r="Z786" t="s">
        <v>25656</v>
      </c>
      <c r="AA786">
        <v>0.65857962400794301</v>
      </c>
      <c r="AB786" t="str">
        <f>HYPERLINK("Melting_Curves/meltCurve_J3KRL7_PER1.pdf", "Melting_Curves/meltCurve_J3KRL7_PER1.pdf")</f>
        <v>Melting_Curves/meltCurve_J3KRL7_PER1.pdf</v>
      </c>
    </row>
    <row r="787" spans="1:28" x14ac:dyDescent="0.25">
      <c r="A787" t="s">
        <v>791</v>
      </c>
      <c r="B787">
        <v>0.99352677808782597</v>
      </c>
      <c r="C787">
        <v>0.98595323831370096</v>
      </c>
      <c r="D787">
        <v>0.85212508253045405</v>
      </c>
      <c r="E787">
        <v>0.72968838346439702</v>
      </c>
      <c r="F787">
        <v>0.64656572856877303</v>
      </c>
      <c r="G787">
        <v>0.44957194929094402</v>
      </c>
      <c r="H787">
        <v>0.39035998462697402</v>
      </c>
      <c r="I787">
        <v>0.35897707132659901</v>
      </c>
      <c r="J787">
        <v>0.32459779747219802</v>
      </c>
      <c r="K787">
        <v>0.28253111067846098</v>
      </c>
      <c r="L787">
        <v>606.74148484946795</v>
      </c>
      <c r="M787">
        <v>11.5176808350122</v>
      </c>
      <c r="N787">
        <v>56.226575447741403</v>
      </c>
      <c r="O787">
        <v>51.166178938790601</v>
      </c>
      <c r="P787">
        <v>-4.1754843478083697E-2</v>
      </c>
      <c r="Q787">
        <v>0.25824221917862</v>
      </c>
      <c r="R787">
        <v>0.99311237359406201</v>
      </c>
      <c r="S787" t="s">
        <v>7072</v>
      </c>
      <c r="T787" t="s">
        <v>12568</v>
      </c>
      <c r="U787" t="s">
        <v>12568</v>
      </c>
      <c r="V787" t="s">
        <v>12568</v>
      </c>
      <c r="W787" t="s">
        <v>13337</v>
      </c>
      <c r="X787">
        <v>3</v>
      </c>
      <c r="Y787" t="s">
        <v>19562</v>
      </c>
      <c r="Z787" t="s">
        <v>25657</v>
      </c>
      <c r="AA787">
        <v>0.59442168241647952</v>
      </c>
      <c r="AB787" t="str">
        <f>HYPERLINK("Melting_Curves/meltCurve_J3KRP6_SS18.pdf", "Melting_Curves/meltCurve_J3KRP6_SS18.pdf")</f>
        <v>Melting_Curves/meltCurve_J3KRP6_SS18.pdf</v>
      </c>
    </row>
    <row r="788" spans="1:28" x14ac:dyDescent="0.25">
      <c r="A788" t="s">
        <v>792</v>
      </c>
      <c r="B788">
        <v>0.99352677808782597</v>
      </c>
      <c r="C788">
        <v>0.96928657520024097</v>
      </c>
      <c r="D788">
        <v>0.97853255509981396</v>
      </c>
      <c r="E788">
        <v>0.66064989534372698</v>
      </c>
      <c r="F788">
        <v>0.60082598793163</v>
      </c>
      <c r="G788">
        <v>0.29486509471605898</v>
      </c>
      <c r="H788">
        <v>0.15003238994287299</v>
      </c>
      <c r="I788">
        <v>0.133736582600297</v>
      </c>
      <c r="J788">
        <v>0.115277145867053</v>
      </c>
      <c r="K788">
        <v>9.5218420429478506E-2</v>
      </c>
      <c r="L788">
        <v>829.76522369293104</v>
      </c>
      <c r="M788">
        <v>15.6466344139738</v>
      </c>
      <c r="N788">
        <v>53.552309789121601</v>
      </c>
      <c r="O788">
        <v>52.187954178630498</v>
      </c>
      <c r="P788">
        <v>-6.9669647357408507E-2</v>
      </c>
      <c r="Q788">
        <v>7.0571923965625297E-2</v>
      </c>
      <c r="R788">
        <v>0.98908460543480203</v>
      </c>
      <c r="S788" t="s">
        <v>7073</v>
      </c>
      <c r="T788" t="s">
        <v>12568</v>
      </c>
      <c r="U788" t="s">
        <v>12568</v>
      </c>
      <c r="V788" t="s">
        <v>12568</v>
      </c>
      <c r="W788" t="s">
        <v>13338</v>
      </c>
      <c r="X788">
        <v>2</v>
      </c>
      <c r="Y788" t="s">
        <v>19563</v>
      </c>
      <c r="Z788" t="s">
        <v>25658</v>
      </c>
      <c r="AA788">
        <v>0.49311867527527192</v>
      </c>
      <c r="AB788" t="str">
        <f>HYPERLINK("Melting_Curves/meltCurve_J3KRR7_CYLD.pdf", "Melting_Curves/meltCurve_J3KRR7_CYLD.pdf")</f>
        <v>Melting_Curves/meltCurve_J3KRR7_CYLD.pdf</v>
      </c>
    </row>
    <row r="789" spans="1:28" x14ac:dyDescent="0.25">
      <c r="A789" t="s">
        <v>793</v>
      </c>
      <c r="B789">
        <v>0.99352677808782597</v>
      </c>
      <c r="C789">
        <v>0.97369890946991999</v>
      </c>
      <c r="D789">
        <v>1.0011388592810599</v>
      </c>
      <c r="E789">
        <v>0.94474843832390498</v>
      </c>
      <c r="F789">
        <v>0.88519459198085704</v>
      </c>
      <c r="G789">
        <v>0.87591936600171505</v>
      </c>
      <c r="H789">
        <v>0.75329609522334795</v>
      </c>
      <c r="I789">
        <v>0.80362578798682205</v>
      </c>
      <c r="J789">
        <v>0.89377942119633602</v>
      </c>
      <c r="K789">
        <v>0.69782946669627399</v>
      </c>
      <c r="L789">
        <v>703.61743534609695</v>
      </c>
      <c r="M789">
        <v>12.954164708802301</v>
      </c>
      <c r="O789">
        <v>53.070422490781603</v>
      </c>
      <c r="P789">
        <v>-1.4315084855243399E-2</v>
      </c>
      <c r="Q789">
        <v>0.76545875334656299</v>
      </c>
      <c r="R789">
        <v>0.75211747586940503</v>
      </c>
      <c r="S789" t="s">
        <v>7074</v>
      </c>
      <c r="T789" t="s">
        <v>12568</v>
      </c>
      <c r="U789" t="s">
        <v>12568</v>
      </c>
      <c r="V789" t="s">
        <v>12568</v>
      </c>
      <c r="W789" t="s">
        <v>13339</v>
      </c>
      <c r="X789">
        <v>5</v>
      </c>
      <c r="Y789" t="s">
        <v>19564</v>
      </c>
      <c r="Z789" t="s">
        <v>25659</v>
      </c>
      <c r="AA789">
        <v>0.88291825870231644</v>
      </c>
      <c r="AB789" t="str">
        <f>HYPERLINK("Melting_Curves/meltCurve_J3KS05_CBX1.pdf", "Melting_Curves/meltCurve_J3KS05_CBX1.pdf")</f>
        <v>Melting_Curves/meltCurve_J3KS05_CBX1.pdf</v>
      </c>
    </row>
    <row r="790" spans="1:28" x14ac:dyDescent="0.25">
      <c r="A790" t="s">
        <v>794</v>
      </c>
      <c r="B790">
        <v>0.99352677808782597</v>
      </c>
      <c r="C790">
        <v>0.853532566861395</v>
      </c>
      <c r="D790">
        <v>0.96514534541919605</v>
      </c>
      <c r="E790">
        <v>1.2782443234410701</v>
      </c>
      <c r="F790">
        <v>1.0949216029940001</v>
      </c>
      <c r="G790">
        <v>1.33155377380371</v>
      </c>
      <c r="H790">
        <v>1.0641809928546</v>
      </c>
      <c r="I790">
        <v>1.19530404827996</v>
      </c>
      <c r="J790">
        <v>1.1703542139727099</v>
      </c>
      <c r="K790">
        <v>1.1148489987371699</v>
      </c>
      <c r="L790">
        <v>11956.5911422994</v>
      </c>
      <c r="M790">
        <v>250</v>
      </c>
      <c r="O790">
        <v>47.823304328590297</v>
      </c>
      <c r="P790">
        <v>0.233263397173127</v>
      </c>
      <c r="Q790">
        <v>1.17848682146885</v>
      </c>
      <c r="R790">
        <v>0.57797141560424303</v>
      </c>
      <c r="S790" t="s">
        <v>7075</v>
      </c>
      <c r="T790" t="s">
        <v>12568</v>
      </c>
      <c r="U790" t="s">
        <v>12568</v>
      </c>
      <c r="V790" t="s">
        <v>12568</v>
      </c>
      <c r="W790" t="s">
        <v>13340</v>
      </c>
      <c r="X790">
        <v>1</v>
      </c>
      <c r="Y790" t="s">
        <v>19565</v>
      </c>
      <c r="Z790" t="s">
        <v>25660</v>
      </c>
      <c r="AA790">
        <v>1.131908409075103</v>
      </c>
      <c r="AB790" t="str">
        <f>HYPERLINK("Melting_Curves/meltCurve_J3KTD6_AURKB.pdf", "Melting_Curves/meltCurve_J3KTD6_AURKB.pdf")</f>
        <v>Melting_Curves/meltCurve_J3KTD6_AURKB.pdf</v>
      </c>
    </row>
    <row r="791" spans="1:28" x14ac:dyDescent="0.25">
      <c r="A791" t="s">
        <v>795</v>
      </c>
      <c r="B791">
        <v>0.99352677808782597</v>
      </c>
      <c r="C791">
        <v>0.93765194555824904</v>
      </c>
      <c r="D791">
        <v>1.01096976785119</v>
      </c>
      <c r="E791">
        <v>1.0578912224871599</v>
      </c>
      <c r="F791">
        <v>0.88441443633081795</v>
      </c>
      <c r="G791">
        <v>0.83362061214856598</v>
      </c>
      <c r="H791">
        <v>0.70531768176712595</v>
      </c>
      <c r="I791">
        <v>0.83647477440999896</v>
      </c>
      <c r="J791">
        <v>0.81430527769114103</v>
      </c>
      <c r="K791">
        <v>0.58434627854807197</v>
      </c>
      <c r="L791">
        <v>399.56183059259303</v>
      </c>
      <c r="M791">
        <v>5.0654906017152204</v>
      </c>
      <c r="O791">
        <v>69.0513246689939</v>
      </c>
      <c r="P791">
        <v>-1.84470638401074E-2</v>
      </c>
      <c r="Q791">
        <v>0</v>
      </c>
      <c r="R791">
        <v>0.72672152916044497</v>
      </c>
      <c r="S791" t="s">
        <v>7076</v>
      </c>
      <c r="T791" t="s">
        <v>12568</v>
      </c>
      <c r="U791" t="s">
        <v>12568</v>
      </c>
      <c r="V791" t="s">
        <v>12568</v>
      </c>
      <c r="W791" t="s">
        <v>13341</v>
      </c>
      <c r="X791">
        <v>1</v>
      </c>
      <c r="Y791" t="s">
        <v>19566</v>
      </c>
      <c r="Z791" t="s">
        <v>25661</v>
      </c>
      <c r="AA791">
        <v>0.87277628136570207</v>
      </c>
      <c r="AB791" t="str">
        <f>HYPERLINK("Melting_Curves/meltCurve_J3KTI7_CDC6.pdf", "Melting_Curves/meltCurve_J3KTI7_CDC6.pdf")</f>
        <v>Melting_Curves/meltCurve_J3KTI7_CDC6.pdf</v>
      </c>
    </row>
    <row r="792" spans="1:28" x14ac:dyDescent="0.25">
      <c r="A792" t="s">
        <v>796</v>
      </c>
      <c r="B792">
        <v>0.99352677808782597</v>
      </c>
      <c r="C792">
        <v>0.95104473007063495</v>
      </c>
      <c r="D792">
        <v>0.93631800671032395</v>
      </c>
      <c r="E792">
        <v>0.50320068456654898</v>
      </c>
      <c r="F792">
        <v>0.52560408012145599</v>
      </c>
      <c r="G792">
        <v>0.37532069923245598</v>
      </c>
      <c r="H792">
        <v>0.46753354550541298</v>
      </c>
      <c r="I792">
        <v>0.349297944902767</v>
      </c>
      <c r="J792">
        <v>0.27452811314320502</v>
      </c>
      <c r="K792">
        <v>0.33758308974161</v>
      </c>
      <c r="L792">
        <v>1223.3930159195099</v>
      </c>
      <c r="M792">
        <v>25.151795145583101</v>
      </c>
      <c r="N792">
        <v>51.301035002206703</v>
      </c>
      <c r="O792">
        <v>48.336027014023898</v>
      </c>
      <c r="P792">
        <v>-8.2692817872402999E-2</v>
      </c>
      <c r="Q792">
        <v>0.364341114800868</v>
      </c>
      <c r="R792">
        <v>0.947686806146946</v>
      </c>
      <c r="S792" t="s">
        <v>7077</v>
      </c>
      <c r="T792" t="s">
        <v>12568</v>
      </c>
      <c r="U792" t="s">
        <v>12568</v>
      </c>
      <c r="V792" t="s">
        <v>12568</v>
      </c>
      <c r="W792" t="s">
        <v>13342</v>
      </c>
      <c r="X792">
        <v>3</v>
      </c>
      <c r="Y792" t="s">
        <v>19567</v>
      </c>
      <c r="Z792" t="s">
        <v>25662</v>
      </c>
      <c r="AA792">
        <v>0.55297086343657098</v>
      </c>
      <c r="AB792" t="str">
        <f>HYPERLINK("Melting_Curves/meltCurve_J3QKZ1_ZNF286B.pdf", "Melting_Curves/meltCurve_J3QKZ1_ZNF286B.pdf")</f>
        <v>Melting_Curves/meltCurve_J3QKZ1_ZNF286B.pdf</v>
      </c>
    </row>
    <row r="793" spans="1:28" x14ac:dyDescent="0.25">
      <c r="A793" t="s">
        <v>797</v>
      </c>
      <c r="B793">
        <v>0.99352677808782597</v>
      </c>
      <c r="C793">
        <v>0.89979632939253595</v>
      </c>
      <c r="D793">
        <v>0.84088305115474804</v>
      </c>
      <c r="E793">
        <v>0.26034375076356098</v>
      </c>
      <c r="F793">
        <v>0.20620063868086</v>
      </c>
      <c r="G793">
        <v>0.158282310460649</v>
      </c>
      <c r="H793">
        <v>0.121211227893175</v>
      </c>
      <c r="I793">
        <v>0.126988963400787</v>
      </c>
      <c r="J793">
        <v>6.4139453020907997E-2</v>
      </c>
      <c r="K793">
        <v>3.79490653483259E-2</v>
      </c>
      <c r="L793">
        <v>1460.42169550833</v>
      </c>
      <c r="M793">
        <v>30.4716320725766</v>
      </c>
      <c r="N793">
        <v>48.300783800870001</v>
      </c>
      <c r="O793">
        <v>47.722269082853799</v>
      </c>
      <c r="P793">
        <v>-0.14287443653350701</v>
      </c>
      <c r="Q793">
        <v>0.10497094035420799</v>
      </c>
      <c r="R793">
        <v>0.98392969249019002</v>
      </c>
      <c r="S793" t="s">
        <v>7078</v>
      </c>
      <c r="T793" t="s">
        <v>12568</v>
      </c>
      <c r="U793" t="s">
        <v>12568</v>
      </c>
      <c r="V793" t="s">
        <v>12568</v>
      </c>
      <c r="W793" t="s">
        <v>13343</v>
      </c>
      <c r="X793">
        <v>2</v>
      </c>
      <c r="Y793" t="s">
        <v>19568</v>
      </c>
      <c r="Z793" t="s">
        <v>25663</v>
      </c>
      <c r="AA793">
        <v>0.34668581236819818</v>
      </c>
      <c r="AB793" t="str">
        <f>HYPERLINK("Melting_Curves/meltCurve_J3QL56_SCO1.pdf", "Melting_Curves/meltCurve_J3QL56_SCO1.pdf")</f>
        <v>Melting_Curves/meltCurve_J3QL56_SCO1.pdf</v>
      </c>
    </row>
    <row r="794" spans="1:28" x14ac:dyDescent="0.25">
      <c r="A794" t="s">
        <v>798</v>
      </c>
      <c r="B794">
        <v>0.99352677808782597</v>
      </c>
      <c r="C794">
        <v>0.98580467904168201</v>
      </c>
      <c r="D794">
        <v>1.0255491756913899</v>
      </c>
      <c r="E794">
        <v>0.95196034870299595</v>
      </c>
      <c r="F794">
        <v>0.82109522605456697</v>
      </c>
      <c r="G794">
        <v>0.69725131544661301</v>
      </c>
      <c r="H794">
        <v>0.61065015070101303</v>
      </c>
      <c r="I794">
        <v>0.63099451705848297</v>
      </c>
      <c r="J794">
        <v>0.66140118736349596</v>
      </c>
      <c r="K794">
        <v>0.56930995250837002</v>
      </c>
      <c r="L794">
        <v>1367.7335545200201</v>
      </c>
      <c r="M794">
        <v>25.537662497394901</v>
      </c>
      <c r="O794">
        <v>53.232340535459599</v>
      </c>
      <c r="P794">
        <v>-4.6292606914932498E-2</v>
      </c>
      <c r="Q794">
        <v>0.61402366881343096</v>
      </c>
      <c r="R794">
        <v>0.97874867114247599</v>
      </c>
      <c r="S794" t="s">
        <v>7079</v>
      </c>
      <c r="T794" t="s">
        <v>12568</v>
      </c>
      <c r="U794" t="s">
        <v>12568</v>
      </c>
      <c r="V794" t="s">
        <v>12568</v>
      </c>
      <c r="W794" t="s">
        <v>13344</v>
      </c>
      <c r="X794">
        <v>11</v>
      </c>
      <c r="Y794" t="s">
        <v>19569</v>
      </c>
      <c r="Z794" t="s">
        <v>25664</v>
      </c>
      <c r="AA794">
        <v>0.79188060300201502</v>
      </c>
      <c r="AB794" t="str">
        <f>HYPERLINK("Melting_Curves/meltCurve_J3QQJ0_SAP30BP.pdf", "Melting_Curves/meltCurve_J3QQJ0_SAP30BP.pdf")</f>
        <v>Melting_Curves/meltCurve_J3QQJ0_SAP30BP.pdf</v>
      </c>
    </row>
    <row r="795" spans="1:28" x14ac:dyDescent="0.25">
      <c r="A795" t="s">
        <v>799</v>
      </c>
      <c r="B795">
        <v>0.99352677808782597</v>
      </c>
      <c r="C795">
        <v>0.920572465968714</v>
      </c>
      <c r="D795">
        <v>0.76647466177832901</v>
      </c>
      <c r="E795">
        <v>0.40582451333845798</v>
      </c>
      <c r="F795">
        <v>0.31504948868586202</v>
      </c>
      <c r="G795">
        <v>0.19099122494957099</v>
      </c>
      <c r="H795">
        <v>0.105531994168741</v>
      </c>
      <c r="I795">
        <v>9.6458349953587499E-2</v>
      </c>
      <c r="J795">
        <v>7.5144455812581903E-2</v>
      </c>
      <c r="K795">
        <v>6.4823720270076698E-2</v>
      </c>
      <c r="L795">
        <v>778.53942884683204</v>
      </c>
      <c r="M795">
        <v>15.9199475356963</v>
      </c>
      <c r="N795">
        <v>49.393129344112303</v>
      </c>
      <c r="O795">
        <v>48.151278352830502</v>
      </c>
      <c r="P795">
        <v>-7.6627304297773494E-2</v>
      </c>
      <c r="Q795">
        <v>7.3010127518010906E-2</v>
      </c>
      <c r="R795">
        <v>0.99531059911491004</v>
      </c>
      <c r="S795" t="s">
        <v>7080</v>
      </c>
      <c r="T795" t="s">
        <v>12568</v>
      </c>
      <c r="U795" t="s">
        <v>12568</v>
      </c>
      <c r="V795" t="s">
        <v>12568</v>
      </c>
      <c r="W795" t="s">
        <v>13345</v>
      </c>
      <c r="X795">
        <v>3</v>
      </c>
      <c r="Y795" t="s">
        <v>19570</v>
      </c>
      <c r="Z795" t="s">
        <v>25665</v>
      </c>
      <c r="AA795">
        <v>0.36861258684573978</v>
      </c>
      <c r="AB795" t="str">
        <f>HYPERLINK("Melting_Curves/meltCurve_J3QQJ5_TRAPPC8.pdf", "Melting_Curves/meltCurve_J3QQJ5_TRAPPC8.pdf")</f>
        <v>Melting_Curves/meltCurve_J3QQJ5_TRAPPC8.pdf</v>
      </c>
    </row>
    <row r="796" spans="1:28" x14ac:dyDescent="0.25">
      <c r="A796" t="s">
        <v>800</v>
      </c>
      <c r="B796">
        <v>0.99352677808782597</v>
      </c>
      <c r="C796">
        <v>0.91220609750405102</v>
      </c>
      <c r="D796">
        <v>1.0199167147572901</v>
      </c>
      <c r="E796">
        <v>0.97899281668080895</v>
      </c>
      <c r="F796">
        <v>0.91912634268865301</v>
      </c>
      <c r="G796">
        <v>0.94547385380121896</v>
      </c>
      <c r="H796">
        <v>0.77798455772740904</v>
      </c>
      <c r="I796">
        <v>0.84325368879416795</v>
      </c>
      <c r="J796">
        <v>0.80382349705941403</v>
      </c>
      <c r="K796">
        <v>0.70743510551051902</v>
      </c>
      <c r="L796">
        <v>378.19433423958702</v>
      </c>
      <c r="M796">
        <v>4.42402614379938</v>
      </c>
      <c r="Q796">
        <v>0</v>
      </c>
      <c r="R796">
        <v>0.80821367493401097</v>
      </c>
      <c r="S796" t="s">
        <v>7081</v>
      </c>
      <c r="T796" t="s">
        <v>12568</v>
      </c>
      <c r="U796" t="s">
        <v>12568</v>
      </c>
      <c r="V796" t="s">
        <v>12568</v>
      </c>
      <c r="W796" t="s">
        <v>13346</v>
      </c>
      <c r="X796">
        <v>3</v>
      </c>
      <c r="Y796" t="s">
        <v>19571</v>
      </c>
      <c r="Z796" t="s">
        <v>25666</v>
      </c>
      <c r="AA796">
        <v>0.8992747629732798</v>
      </c>
      <c r="AB796" t="str">
        <f>HYPERLINK("Melting_Curves/meltCurve_J3QQM5_LIMD2.pdf", "Melting_Curves/meltCurve_J3QQM5_LIMD2.pdf")</f>
        <v>Melting_Curves/meltCurve_J3QQM5_LIMD2.pdf</v>
      </c>
    </row>
    <row r="797" spans="1:28" x14ac:dyDescent="0.25">
      <c r="A797" t="s">
        <v>801</v>
      </c>
      <c r="B797">
        <v>0.99352677808782597</v>
      </c>
      <c r="C797">
        <v>0.80052440366289201</v>
      </c>
      <c r="D797">
        <v>1.14468664842835</v>
      </c>
      <c r="E797">
        <v>0.68744541925710601</v>
      </c>
      <c r="F797">
        <v>0.58395275190521501</v>
      </c>
      <c r="G797">
        <v>0.37284229935941399</v>
      </c>
      <c r="H797">
        <v>0.321176515022979</v>
      </c>
      <c r="I797">
        <v>0.23743702076154699</v>
      </c>
      <c r="J797">
        <v>0.271271261342103</v>
      </c>
      <c r="K797">
        <v>0.244362892150845</v>
      </c>
      <c r="L797">
        <v>1057.64761750414</v>
      </c>
      <c r="M797">
        <v>20.3374730938434</v>
      </c>
      <c r="N797">
        <v>53.894427021088802</v>
      </c>
      <c r="O797">
        <v>51.509895701430999</v>
      </c>
      <c r="P797">
        <v>-7.3546408874856098E-2</v>
      </c>
      <c r="Q797">
        <v>0.25492172369153299</v>
      </c>
      <c r="R797">
        <v>0.91482971142042802</v>
      </c>
      <c r="S797" t="s">
        <v>7082</v>
      </c>
      <c r="T797" t="s">
        <v>12568</v>
      </c>
      <c r="U797" t="s">
        <v>12568</v>
      </c>
      <c r="V797" t="s">
        <v>12568</v>
      </c>
      <c r="W797" t="s">
        <v>13347</v>
      </c>
      <c r="X797">
        <v>5</v>
      </c>
      <c r="Y797" t="s">
        <v>19572</v>
      </c>
      <c r="Z797" t="s">
        <v>25667</v>
      </c>
      <c r="AA797">
        <v>0.56307911890208828</v>
      </c>
      <c r="AB797" t="str">
        <f>HYPERLINK("Melting_Curves/meltCurve_J3QQT2_RPL17.pdf", "Melting_Curves/meltCurve_J3QQT2_RPL17.pdf")</f>
        <v>Melting_Curves/meltCurve_J3QQT2_RPL17.pdf</v>
      </c>
    </row>
    <row r="798" spans="1:28" x14ac:dyDescent="0.25">
      <c r="A798" t="s">
        <v>802</v>
      </c>
      <c r="B798">
        <v>0.99352677808782597</v>
      </c>
      <c r="C798">
        <v>0.66944617878462997</v>
      </c>
      <c r="D798">
        <v>0.40410726797829499</v>
      </c>
      <c r="E798">
        <v>0.24044229879064</v>
      </c>
      <c r="F798">
        <v>0.21357622401064399</v>
      </c>
      <c r="G798">
        <v>0.136980290624794</v>
      </c>
      <c r="H798">
        <v>0.10846544605708799</v>
      </c>
      <c r="I798">
        <v>0.117531536655994</v>
      </c>
      <c r="J798">
        <v>0.10141904118827801</v>
      </c>
      <c r="K798">
        <v>8.7749776003213806E-2</v>
      </c>
      <c r="L798">
        <v>868.81501414597096</v>
      </c>
      <c r="M798">
        <v>19.5429692871638</v>
      </c>
      <c r="N798">
        <v>45.088236158216802</v>
      </c>
      <c r="O798">
        <v>43.999042805369001</v>
      </c>
      <c r="P798">
        <v>-9.7749556389625E-2</v>
      </c>
      <c r="Q798">
        <v>0.119738452913214</v>
      </c>
      <c r="R798">
        <v>0.98196360979578101</v>
      </c>
      <c r="S798" t="s">
        <v>7083</v>
      </c>
      <c r="T798" t="s">
        <v>12568</v>
      </c>
      <c r="U798" t="s">
        <v>12568</v>
      </c>
      <c r="V798" t="s">
        <v>12568</v>
      </c>
      <c r="W798" t="s">
        <v>13348</v>
      </c>
      <c r="X798">
        <v>17</v>
      </c>
      <c r="Y798" t="s">
        <v>19573</v>
      </c>
      <c r="Z798" t="s">
        <v>25668</v>
      </c>
      <c r="AA798">
        <v>0.26734463813401838</v>
      </c>
      <c r="AB798" t="str">
        <f>HYPERLINK("Melting_Curves/meltCurve_J3QQX3_FDXR.pdf", "Melting_Curves/meltCurve_J3QQX3_FDXR.pdf")</f>
        <v>Melting_Curves/meltCurve_J3QQX3_FDXR.pdf</v>
      </c>
    </row>
    <row r="799" spans="1:28" x14ac:dyDescent="0.25">
      <c r="A799" t="s">
        <v>803</v>
      </c>
      <c r="B799">
        <v>0.99352677808782597</v>
      </c>
      <c r="C799">
        <v>0.98997433350611896</v>
      </c>
      <c r="D799">
        <v>0.97503056101003105</v>
      </c>
      <c r="E799">
        <v>0.89568541314124095</v>
      </c>
      <c r="F799">
        <v>0.76756906246814405</v>
      </c>
      <c r="G799">
        <v>0.65444493552926897</v>
      </c>
      <c r="H799">
        <v>0.60251849599389895</v>
      </c>
      <c r="I799">
        <v>0.62890434786140204</v>
      </c>
      <c r="J799">
        <v>0.68488678695833505</v>
      </c>
      <c r="K799">
        <v>0.54226775481013301</v>
      </c>
      <c r="L799">
        <v>1196.6007455909501</v>
      </c>
      <c r="M799">
        <v>22.9646398785382</v>
      </c>
      <c r="O799">
        <v>51.715935348963903</v>
      </c>
      <c r="P799">
        <v>-4.3419728180606701E-2</v>
      </c>
      <c r="Q799">
        <v>0.60888570313662105</v>
      </c>
      <c r="R799">
        <v>0.96105690226684004</v>
      </c>
      <c r="S799" t="s">
        <v>7084</v>
      </c>
      <c r="T799" t="s">
        <v>12568</v>
      </c>
      <c r="U799" t="s">
        <v>12568</v>
      </c>
      <c r="V799" t="s">
        <v>12568</v>
      </c>
      <c r="W799" t="s">
        <v>13349</v>
      </c>
      <c r="X799">
        <v>5</v>
      </c>
      <c r="Y799" t="s">
        <v>19574</v>
      </c>
      <c r="Z799" t="s">
        <v>25669</v>
      </c>
      <c r="AA799">
        <v>0.77091597259324895</v>
      </c>
      <c r="AB799" t="str">
        <f>HYPERLINK("Melting_Curves/meltCurve_J3QQY0_MSL1.pdf", "Melting_Curves/meltCurve_J3QQY0_MSL1.pdf")</f>
        <v>Melting_Curves/meltCurve_J3QQY0_MSL1.pdf</v>
      </c>
    </row>
    <row r="800" spans="1:28" x14ac:dyDescent="0.25">
      <c r="A800" t="s">
        <v>804</v>
      </c>
      <c r="B800">
        <v>0.99352677808782597</v>
      </c>
      <c r="C800">
        <v>1.02353610497506</v>
      </c>
      <c r="D800">
        <v>1.0245884649482</v>
      </c>
      <c r="E800">
        <v>0.83564218958676895</v>
      </c>
      <c r="F800">
        <v>0.76556575317026399</v>
      </c>
      <c r="G800">
        <v>0.46048717037845799</v>
      </c>
      <c r="H800">
        <v>0.33837192130031302</v>
      </c>
      <c r="I800">
        <v>0.30417095058187998</v>
      </c>
      <c r="J800">
        <v>0.31762591534016399</v>
      </c>
      <c r="K800">
        <v>0.22859459161311499</v>
      </c>
      <c r="L800">
        <v>1045.36766420247</v>
      </c>
      <c r="M800">
        <v>19.1786501062378</v>
      </c>
      <c r="N800">
        <v>56.627177556695301</v>
      </c>
      <c r="O800">
        <v>53.924617864575602</v>
      </c>
      <c r="P800">
        <v>-6.6139918176039494E-2</v>
      </c>
      <c r="Q800">
        <v>0.25616612077675299</v>
      </c>
      <c r="R800">
        <v>0.98911483608986595</v>
      </c>
      <c r="S800" t="s">
        <v>7085</v>
      </c>
      <c r="T800" t="s">
        <v>12568</v>
      </c>
      <c r="U800" t="s">
        <v>12568</v>
      </c>
      <c r="V800" t="s">
        <v>12568</v>
      </c>
      <c r="W800" t="s">
        <v>13350</v>
      </c>
      <c r="X800">
        <v>10</v>
      </c>
      <c r="Y800" t="s">
        <v>19575</v>
      </c>
      <c r="Z800" t="s">
        <v>25670</v>
      </c>
      <c r="AA800">
        <v>0.62653681079939216</v>
      </c>
      <c r="AB800" t="str">
        <f>HYPERLINK("Melting_Curves/meltCurve_J3QR09_RPL19.pdf", "Melting_Curves/meltCurve_J3QR09_RPL19.pdf")</f>
        <v>Melting_Curves/meltCurve_J3QR09_RPL19.pdf</v>
      </c>
    </row>
    <row r="801" spans="1:28" x14ac:dyDescent="0.25">
      <c r="A801" t="s">
        <v>805</v>
      </c>
      <c r="B801">
        <v>0.99352677808782597</v>
      </c>
      <c r="C801">
        <v>0.90480481525971101</v>
      </c>
      <c r="D801">
        <v>0.74910208395647204</v>
      </c>
      <c r="E801">
        <v>0.34547622048806897</v>
      </c>
      <c r="F801">
        <v>0.29721641442311397</v>
      </c>
      <c r="G801">
        <v>0.12362201772683901</v>
      </c>
      <c r="H801">
        <v>7.70806187881177E-2</v>
      </c>
      <c r="I801">
        <v>6.6283318565435206E-2</v>
      </c>
      <c r="J801">
        <v>5.1808082821195103E-2</v>
      </c>
      <c r="K801">
        <v>3.89739043089335E-2</v>
      </c>
      <c r="L801">
        <v>809.18059204731105</v>
      </c>
      <c r="M801">
        <v>16.677303998386598</v>
      </c>
      <c r="N801">
        <v>48.815082928589</v>
      </c>
      <c r="O801">
        <v>47.8383502292657</v>
      </c>
      <c r="P801">
        <v>-8.2979264381438406E-2</v>
      </c>
      <c r="Q801">
        <v>4.79692404967407E-2</v>
      </c>
      <c r="R801">
        <v>0.99290943585829305</v>
      </c>
      <c r="S801" t="s">
        <v>7086</v>
      </c>
      <c r="T801" t="s">
        <v>12568</v>
      </c>
      <c r="U801" t="s">
        <v>12568</v>
      </c>
      <c r="V801" t="s">
        <v>12568</v>
      </c>
      <c r="W801" t="s">
        <v>13351</v>
      </c>
      <c r="X801">
        <v>3</v>
      </c>
      <c r="Y801" t="s">
        <v>19576</v>
      </c>
      <c r="Z801" t="s">
        <v>25671</v>
      </c>
      <c r="AA801">
        <v>0.33777832802681179</v>
      </c>
      <c r="AB801" t="str">
        <f>HYPERLINK("Melting_Curves/meltCurve_J3QRD1_ALDH3A2.pdf", "Melting_Curves/meltCurve_J3QRD1_ALDH3A2.pdf")</f>
        <v>Melting_Curves/meltCurve_J3QRD1_ALDH3A2.pdf</v>
      </c>
    </row>
    <row r="802" spans="1:28" x14ac:dyDescent="0.25">
      <c r="A802" t="s">
        <v>806</v>
      </c>
      <c r="B802">
        <v>0.99352677808782597</v>
      </c>
      <c r="C802">
        <v>0.97936438820263205</v>
      </c>
      <c r="D802">
        <v>0.90127705472887099</v>
      </c>
      <c r="E802">
        <v>0.94982684734228295</v>
      </c>
      <c r="F802">
        <v>0.80498923749593199</v>
      </c>
      <c r="G802">
        <v>0.78548794567289104</v>
      </c>
      <c r="H802">
        <v>0.71500445485304398</v>
      </c>
      <c r="I802">
        <v>0.705760898162616</v>
      </c>
      <c r="J802">
        <v>0.838539732075675</v>
      </c>
      <c r="K802">
        <v>0.65420877352347695</v>
      </c>
      <c r="L802">
        <v>607.92338002223698</v>
      </c>
      <c r="M802">
        <v>11.6862294772582</v>
      </c>
      <c r="O802">
        <v>50.567270468146397</v>
      </c>
      <c r="P802">
        <v>-1.7197433868936102E-2</v>
      </c>
      <c r="Q802">
        <v>0.70242067495021399</v>
      </c>
      <c r="R802">
        <v>0.79941320109301595</v>
      </c>
      <c r="S802" t="s">
        <v>7087</v>
      </c>
      <c r="T802" t="s">
        <v>12568</v>
      </c>
      <c r="U802" t="s">
        <v>12568</v>
      </c>
      <c r="V802" t="s">
        <v>12568</v>
      </c>
      <c r="W802" t="s">
        <v>13352</v>
      </c>
      <c r="X802">
        <v>1</v>
      </c>
      <c r="Y802" t="s">
        <v>19577</v>
      </c>
      <c r="Z802" t="s">
        <v>25672</v>
      </c>
      <c r="AA802">
        <v>0.83106018615716215</v>
      </c>
      <c r="AB802" t="str">
        <f>HYPERLINK("Melting_Curves/meltCurve_J3QRK2_hCG_1996301.pdf", "Melting_Curves/meltCurve_J3QRK2_hCG_1996301.pdf")</f>
        <v>Melting_Curves/meltCurve_J3QRK2_hCG_1996301.pdf</v>
      </c>
    </row>
    <row r="803" spans="1:28" x14ac:dyDescent="0.25">
      <c r="A803" t="s">
        <v>807</v>
      </c>
      <c r="B803">
        <v>0.99352677808782597</v>
      </c>
      <c r="C803">
        <v>1.0785309203186599</v>
      </c>
      <c r="D803">
        <v>1.0358603793247101</v>
      </c>
      <c r="E803">
        <v>0.97702945353704995</v>
      </c>
      <c r="F803">
        <v>0.78588159965479698</v>
      </c>
      <c r="G803">
        <v>0.79304797827085005</v>
      </c>
      <c r="H803">
        <v>0.62786592315312395</v>
      </c>
      <c r="I803">
        <v>0.48569683555453702</v>
      </c>
      <c r="J803">
        <v>0.454929147104075</v>
      </c>
      <c r="K803">
        <v>0.31209909737645503</v>
      </c>
      <c r="L803">
        <v>637.86579959135304</v>
      </c>
      <c r="M803">
        <v>10.1425607833679</v>
      </c>
      <c r="N803">
        <v>64.273444735961107</v>
      </c>
      <c r="O803">
        <v>60.5921504620257</v>
      </c>
      <c r="P803">
        <v>-3.7761363393574901E-2</v>
      </c>
      <c r="Q803">
        <v>9.8062697741628901E-2</v>
      </c>
      <c r="R803">
        <v>0.96233968331594</v>
      </c>
      <c r="S803" t="s">
        <v>7088</v>
      </c>
      <c r="T803" t="s">
        <v>12568</v>
      </c>
      <c r="U803" t="s">
        <v>12568</v>
      </c>
      <c r="V803" t="s">
        <v>12568</v>
      </c>
      <c r="W803" t="s">
        <v>13353</v>
      </c>
      <c r="X803">
        <v>2</v>
      </c>
      <c r="Y803" t="s">
        <v>19578</v>
      </c>
      <c r="Z803" t="s">
        <v>25673</v>
      </c>
      <c r="AA803">
        <v>0.75999040247082406</v>
      </c>
      <c r="AB803" t="str">
        <f>HYPERLINK("Melting_Curves/meltCurve_J3QRT4_ZSWIM7.pdf", "Melting_Curves/meltCurve_J3QRT4_ZSWIM7.pdf")</f>
        <v>Melting_Curves/meltCurve_J3QRT4_ZSWIM7.pdf</v>
      </c>
    </row>
    <row r="804" spans="1:28" x14ac:dyDescent="0.25">
      <c r="A804" t="s">
        <v>808</v>
      </c>
      <c r="B804">
        <v>0.99352677808782597</v>
      </c>
      <c r="C804">
        <v>0.98111834988747304</v>
      </c>
      <c r="D804">
        <v>0.96662224332102498</v>
      </c>
      <c r="E804">
        <v>0.53325389480527596</v>
      </c>
      <c r="F804">
        <v>0.45938514626992899</v>
      </c>
      <c r="G804">
        <v>0.24322667339547099</v>
      </c>
      <c r="H804">
        <v>0.16151703564021699</v>
      </c>
      <c r="I804">
        <v>0.13666632536578799</v>
      </c>
      <c r="J804">
        <v>0.106919757056625</v>
      </c>
      <c r="K804">
        <v>9.4069988746862496E-2</v>
      </c>
      <c r="L804">
        <v>896.04401687801999</v>
      </c>
      <c r="M804">
        <v>17.578328858967801</v>
      </c>
      <c r="N804">
        <v>51.678635282396797</v>
      </c>
      <c r="O804">
        <v>50.328388315336703</v>
      </c>
      <c r="P804">
        <v>-7.8021963185236007E-2</v>
      </c>
      <c r="Q804">
        <v>0.106512001134679</v>
      </c>
      <c r="R804">
        <v>0.98505216174992205</v>
      </c>
      <c r="S804" t="s">
        <v>7089</v>
      </c>
      <c r="T804" t="s">
        <v>12568</v>
      </c>
      <c r="U804" t="s">
        <v>12568</v>
      </c>
      <c r="V804" t="s">
        <v>12568</v>
      </c>
      <c r="W804" t="s">
        <v>13354</v>
      </c>
      <c r="X804">
        <v>6</v>
      </c>
      <c r="Y804" t="s">
        <v>19579</v>
      </c>
      <c r="Z804" t="s">
        <v>25674</v>
      </c>
      <c r="AA804">
        <v>0.44907530259276168</v>
      </c>
      <c r="AB804" t="str">
        <f>HYPERLINK("Melting_Curves/meltCurve_J3QRZ6_MIF4GD.pdf", "Melting_Curves/meltCurve_J3QRZ6_MIF4GD.pdf")</f>
        <v>Melting_Curves/meltCurve_J3QRZ6_MIF4GD.pdf</v>
      </c>
    </row>
    <row r="805" spans="1:28" x14ac:dyDescent="0.25">
      <c r="A805" t="s">
        <v>809</v>
      </c>
      <c r="B805">
        <v>0.99352677808782597</v>
      </c>
      <c r="C805">
        <v>0.972330938885962</v>
      </c>
      <c r="D805">
        <v>0.96938576662351505</v>
      </c>
      <c r="E805">
        <v>0.88769051138303801</v>
      </c>
      <c r="F805">
        <v>0.76681974718717105</v>
      </c>
      <c r="G805">
        <v>0.66062006677075702</v>
      </c>
      <c r="H805">
        <v>0.68437272199181498</v>
      </c>
      <c r="I805">
        <v>0.56259539645369205</v>
      </c>
      <c r="J805">
        <v>0.65871263699834903</v>
      </c>
      <c r="K805">
        <v>0.73238582616486603</v>
      </c>
      <c r="L805">
        <v>1343.3965899232301</v>
      </c>
      <c r="M805">
        <v>26.169735470400902</v>
      </c>
      <c r="O805">
        <v>51.037039084635403</v>
      </c>
      <c r="P805">
        <v>-4.4290360331066002E-2</v>
      </c>
      <c r="Q805">
        <v>0.65449807405779803</v>
      </c>
      <c r="R805">
        <v>0.92298770981945</v>
      </c>
      <c r="S805" t="s">
        <v>7090</v>
      </c>
      <c r="T805" t="s">
        <v>12568</v>
      </c>
      <c r="U805" t="s">
        <v>12568</v>
      </c>
      <c r="V805" t="s">
        <v>12568</v>
      </c>
      <c r="W805" t="s">
        <v>13355</v>
      </c>
      <c r="X805">
        <v>3</v>
      </c>
      <c r="Y805" t="s">
        <v>19580</v>
      </c>
      <c r="Z805" t="s">
        <v>25675</v>
      </c>
      <c r="AA805">
        <v>0.78789234316837786</v>
      </c>
      <c r="AB805" t="str">
        <f>HYPERLINK("Melting_Curves/meltCurve_J3QS27_ZNF207.pdf", "Melting_Curves/meltCurve_J3QS27_ZNF207.pdf")</f>
        <v>Melting_Curves/meltCurve_J3QS27_ZNF207.pdf</v>
      </c>
    </row>
    <row r="806" spans="1:28" x14ac:dyDescent="0.25">
      <c r="A806" t="s">
        <v>810</v>
      </c>
      <c r="B806">
        <v>0.99352677808782597</v>
      </c>
      <c r="C806">
        <v>0.72309736390541601</v>
      </c>
      <c r="D806">
        <v>0.71182812293255004</v>
      </c>
      <c r="E806">
        <v>0.44046235811123902</v>
      </c>
      <c r="F806">
        <v>0.38240353466598898</v>
      </c>
      <c r="G806">
        <v>0.28401091091137098</v>
      </c>
      <c r="H806">
        <v>0.21812301712661999</v>
      </c>
      <c r="I806">
        <v>0.17958493294084299</v>
      </c>
      <c r="J806">
        <v>0.15796910575918099</v>
      </c>
      <c r="K806">
        <v>9.2549816763193099E-2</v>
      </c>
      <c r="L806">
        <v>479.14787174794401</v>
      </c>
      <c r="M806">
        <v>9.8521729014550594</v>
      </c>
      <c r="N806">
        <v>49.650105383575401</v>
      </c>
      <c r="O806">
        <v>46.757166712056403</v>
      </c>
      <c r="P806">
        <v>-4.7891346295444497E-2</v>
      </c>
      <c r="Q806">
        <v>9.1322746808031902E-2</v>
      </c>
      <c r="R806">
        <v>0.97276084639096705</v>
      </c>
      <c r="S806" t="s">
        <v>7091</v>
      </c>
      <c r="T806" t="s">
        <v>12568</v>
      </c>
      <c r="U806" t="s">
        <v>12568</v>
      </c>
      <c r="V806" t="s">
        <v>12568</v>
      </c>
      <c r="W806" t="s">
        <v>13356</v>
      </c>
      <c r="X806">
        <v>2</v>
      </c>
      <c r="Y806" t="s">
        <v>19581</v>
      </c>
      <c r="Z806" t="s">
        <v>25676</v>
      </c>
      <c r="AA806">
        <v>0.39963963698329941</v>
      </c>
      <c r="AB806" t="str">
        <f>HYPERLINK("Melting_Curves/meltCurve_J3QSB2_ERAL1.pdf", "Melting_Curves/meltCurve_J3QSB2_ERAL1.pdf")</f>
        <v>Melting_Curves/meltCurve_J3QSB2_ERAL1.pdf</v>
      </c>
    </row>
    <row r="807" spans="1:28" x14ac:dyDescent="0.25">
      <c r="A807" t="s">
        <v>811</v>
      </c>
      <c r="B807">
        <v>0.99352677808782597</v>
      </c>
      <c r="C807">
        <v>1.0161616959516599</v>
      </c>
      <c r="D807">
        <v>0.88012331120829501</v>
      </c>
      <c r="E807">
        <v>0.62019649937749899</v>
      </c>
      <c r="F807">
        <v>0.50859232612581295</v>
      </c>
      <c r="G807">
        <v>0.206564663059771</v>
      </c>
      <c r="H807">
        <v>6.6399532646109302E-2</v>
      </c>
      <c r="I807">
        <v>5.26309834050269E-2</v>
      </c>
      <c r="J807">
        <v>2.8624798258527699E-2</v>
      </c>
      <c r="K807">
        <v>3.33995005711199E-2</v>
      </c>
      <c r="L807">
        <v>810.82046247326502</v>
      </c>
      <c r="M807">
        <v>15.5094733480912</v>
      </c>
      <c r="N807">
        <v>52.2790588348875</v>
      </c>
      <c r="O807">
        <v>51.433047484126803</v>
      </c>
      <c r="P807">
        <v>-7.5393393023225203E-2</v>
      </c>
      <c r="Q807">
        <v>0</v>
      </c>
      <c r="R807">
        <v>0.99350232542609695</v>
      </c>
      <c r="S807" t="s">
        <v>7092</v>
      </c>
      <c r="T807" t="s">
        <v>12568</v>
      </c>
      <c r="U807" t="s">
        <v>12568</v>
      </c>
      <c r="V807" t="s">
        <v>12568</v>
      </c>
      <c r="W807" t="s">
        <v>13357</v>
      </c>
      <c r="X807">
        <v>2</v>
      </c>
      <c r="Y807" t="s">
        <v>19582</v>
      </c>
      <c r="Z807" t="s">
        <v>25677</v>
      </c>
      <c r="AA807">
        <v>0.43034827191748842</v>
      </c>
      <c r="AB807" t="str">
        <f>HYPERLINK("Melting_Curves/meltCurve_J3QT87_CRBN.pdf", "Melting_Curves/meltCurve_J3QT87_CRBN.pdf")</f>
        <v>Melting_Curves/meltCurve_J3QT87_CRBN.pdf</v>
      </c>
    </row>
    <row r="808" spans="1:28" x14ac:dyDescent="0.25">
      <c r="A808" t="s">
        <v>812</v>
      </c>
      <c r="B808">
        <v>0.99352677808782597</v>
      </c>
      <c r="C808">
        <v>0.95916492075690996</v>
      </c>
      <c r="D808">
        <v>0.98351593526473302</v>
      </c>
      <c r="E808">
        <v>1.4187644352558599</v>
      </c>
      <c r="F808">
        <v>1.2399945843905</v>
      </c>
      <c r="G808">
        <v>0.701241470410777</v>
      </c>
      <c r="H808">
        <v>0.24501490207232901</v>
      </c>
      <c r="I808">
        <v>0.19706991077833599</v>
      </c>
      <c r="J808">
        <v>0.155094321850345</v>
      </c>
      <c r="K808">
        <v>0.116122488224981</v>
      </c>
      <c r="L808">
        <v>3389.6873674660801</v>
      </c>
      <c r="M808">
        <v>58.815641829051202</v>
      </c>
      <c r="N808">
        <v>58.038301931330302</v>
      </c>
      <c r="O808">
        <v>57.565900623407401</v>
      </c>
      <c r="P808">
        <v>-0.212359987652809</v>
      </c>
      <c r="Q808">
        <v>0.168609705341075</v>
      </c>
      <c r="R808">
        <v>0.88631549362333495</v>
      </c>
      <c r="S808" t="s">
        <v>7093</v>
      </c>
      <c r="T808" t="s">
        <v>12568</v>
      </c>
      <c r="U808" t="s">
        <v>12568</v>
      </c>
      <c r="V808" t="s">
        <v>12568</v>
      </c>
      <c r="W808" t="s">
        <v>13358</v>
      </c>
      <c r="X808">
        <v>6</v>
      </c>
      <c r="Y808" t="s">
        <v>19583</v>
      </c>
      <c r="Z808" t="s">
        <v>25678</v>
      </c>
      <c r="AA808">
        <v>0.65878073169259144</v>
      </c>
      <c r="AB808" t="str">
        <f>HYPERLINK("Melting_Curves/meltCurve_J9JIC5_C17orf75.pdf", "Melting_Curves/meltCurve_J9JIC5_C17orf75.pdf")</f>
        <v>Melting_Curves/meltCurve_J9JIC5_C17orf75.pdf</v>
      </c>
    </row>
    <row r="809" spans="1:28" x14ac:dyDescent="0.25">
      <c r="A809" t="s">
        <v>813</v>
      </c>
      <c r="B809">
        <v>0.99352677808782597</v>
      </c>
      <c r="C809">
        <v>0.93805540115597796</v>
      </c>
      <c r="D809">
        <v>0.96828870798774702</v>
      </c>
      <c r="E809">
        <v>0.51805313153563803</v>
      </c>
      <c r="F809">
        <v>0.448246142892199</v>
      </c>
      <c r="G809">
        <v>0.29857100787005197</v>
      </c>
      <c r="H809">
        <v>0.26082732694199401</v>
      </c>
      <c r="I809">
        <v>0.28697175793399299</v>
      </c>
      <c r="J809">
        <v>0.32590324649871</v>
      </c>
      <c r="K809">
        <v>0.30539219370813098</v>
      </c>
      <c r="L809">
        <v>1444.7270938592401</v>
      </c>
      <c r="M809">
        <v>29.3917751124897</v>
      </c>
      <c r="N809">
        <v>50.743025858583302</v>
      </c>
      <c r="O809">
        <v>48.928271604143902</v>
      </c>
      <c r="P809">
        <v>-0.105004077968885</v>
      </c>
      <c r="Q809">
        <v>0.30080688046522203</v>
      </c>
      <c r="R809">
        <v>0.98158976715923196</v>
      </c>
      <c r="S809" t="s">
        <v>7094</v>
      </c>
      <c r="T809" t="s">
        <v>12568</v>
      </c>
      <c r="U809" t="s">
        <v>12568</v>
      </c>
      <c r="V809" t="s">
        <v>12568</v>
      </c>
      <c r="W809" t="s">
        <v>13359</v>
      </c>
      <c r="X809">
        <v>4</v>
      </c>
      <c r="Y809" t="s">
        <v>19584</v>
      </c>
      <c r="Z809" t="s">
        <v>25679</v>
      </c>
      <c r="AA809">
        <v>0.51860768685179603</v>
      </c>
      <c r="AB809" t="str">
        <f>HYPERLINK("Melting_Curves/meltCurve_K4DI92_RWDD4.pdf", "Melting_Curves/meltCurve_K4DI92_RWDD4.pdf")</f>
        <v>Melting_Curves/meltCurve_K4DI92_RWDD4.pdf</v>
      </c>
    </row>
    <row r="810" spans="1:28" x14ac:dyDescent="0.25">
      <c r="A810" t="s">
        <v>814</v>
      </c>
      <c r="B810">
        <v>0.99352677808782597</v>
      </c>
      <c r="C810">
        <v>0.93798611703832802</v>
      </c>
      <c r="D810">
        <v>0.62976273400749005</v>
      </c>
      <c r="E810">
        <v>0.88123510744397904</v>
      </c>
      <c r="F810">
        <v>0.76740091216641904</v>
      </c>
      <c r="G810">
        <v>0.45508870503261301</v>
      </c>
      <c r="H810">
        <v>0.18098032432421601</v>
      </c>
      <c r="I810">
        <v>0.19505215804927001</v>
      </c>
      <c r="J810">
        <v>0.120533806960614</v>
      </c>
      <c r="K810">
        <v>9.5102311021213998E-2</v>
      </c>
      <c r="L810">
        <v>637.55097228423801</v>
      </c>
      <c r="M810">
        <v>11.3995458771144</v>
      </c>
      <c r="N810">
        <v>55.927764057443603</v>
      </c>
      <c r="O810">
        <v>54.289638985173902</v>
      </c>
      <c r="P810">
        <v>-5.2509548085628903E-2</v>
      </c>
      <c r="Q810">
        <v>0</v>
      </c>
      <c r="R810">
        <v>0.90004370836119996</v>
      </c>
      <c r="S810" t="s">
        <v>7095</v>
      </c>
      <c r="T810" t="s">
        <v>12568</v>
      </c>
      <c r="U810" t="s">
        <v>12568</v>
      </c>
      <c r="V810" t="s">
        <v>12568</v>
      </c>
      <c r="W810" t="s">
        <v>13360</v>
      </c>
      <c r="X810">
        <v>40</v>
      </c>
      <c r="Y810" t="s">
        <v>19585</v>
      </c>
      <c r="Z810" t="s">
        <v>25680</v>
      </c>
      <c r="AA810">
        <v>0.55193079591908356</v>
      </c>
      <c r="AB810" t="str">
        <f>HYPERLINK("Melting_Curves/meltCurve_K4DI93_CUL4B.pdf", "Melting_Curves/meltCurve_K4DI93_CUL4B.pdf")</f>
        <v>Melting_Curves/meltCurve_K4DI93_CUL4B.pdf</v>
      </c>
    </row>
    <row r="811" spans="1:28" x14ac:dyDescent="0.25">
      <c r="A811" t="s">
        <v>815</v>
      </c>
      <c r="B811">
        <v>0.99352677808782597</v>
      </c>
      <c r="C811">
        <v>0.97777217313944498</v>
      </c>
      <c r="D811">
        <v>0.78845488920436702</v>
      </c>
      <c r="E811">
        <v>0.60416365638034097</v>
      </c>
      <c r="F811">
        <v>0.50412835745743501</v>
      </c>
      <c r="G811">
        <v>0.42249361895050602</v>
      </c>
      <c r="H811">
        <v>0.33642712485453002</v>
      </c>
      <c r="I811">
        <v>0.313903185260484</v>
      </c>
      <c r="J811">
        <v>0.37016584894513499</v>
      </c>
      <c r="K811">
        <v>0.37428254294918001</v>
      </c>
      <c r="L811">
        <v>793.30335673574302</v>
      </c>
      <c r="M811">
        <v>16.2621207604608</v>
      </c>
      <c r="N811">
        <v>52.536009472748901</v>
      </c>
      <c r="O811">
        <v>48.062521226605803</v>
      </c>
      <c r="P811">
        <v>-5.55312755726615E-2</v>
      </c>
      <c r="Q811">
        <v>0.34356014542810498</v>
      </c>
      <c r="R811">
        <v>0.98761932237285099</v>
      </c>
      <c r="S811" t="s">
        <v>7096</v>
      </c>
      <c r="T811" t="s">
        <v>12568</v>
      </c>
      <c r="U811" t="s">
        <v>12568</v>
      </c>
      <c r="V811" t="s">
        <v>12568</v>
      </c>
      <c r="W811" t="s">
        <v>13361</v>
      </c>
      <c r="X811">
        <v>7</v>
      </c>
      <c r="Y811" t="s">
        <v>19586</v>
      </c>
      <c r="Z811" t="s">
        <v>25681</v>
      </c>
      <c r="AA811">
        <v>0.54970275418394787</v>
      </c>
      <c r="AB811" t="str">
        <f>HYPERLINK("Melting_Curves/meltCurve_K7EIE8_MBD3.pdf", "Melting_Curves/meltCurve_K7EIE8_MBD3.pdf")</f>
        <v>Melting_Curves/meltCurve_K7EIE8_MBD3.pdf</v>
      </c>
    </row>
    <row r="812" spans="1:28" x14ac:dyDescent="0.25">
      <c r="A812" t="s">
        <v>816</v>
      </c>
      <c r="B812">
        <v>0.99352677808782597</v>
      </c>
      <c r="C812">
        <v>1.0143188823801601</v>
      </c>
      <c r="D812">
        <v>0.82811033381985599</v>
      </c>
      <c r="E812">
        <v>0.36617659329431801</v>
      </c>
      <c r="F812">
        <v>0.26665934315189199</v>
      </c>
      <c r="G812">
        <v>0.16509111272825799</v>
      </c>
      <c r="H812">
        <v>0.104117967664098</v>
      </c>
      <c r="I812">
        <v>0.100563592163051</v>
      </c>
      <c r="J812">
        <v>8.2287900924604598E-2</v>
      </c>
      <c r="K812">
        <v>6.3135849773188701E-2</v>
      </c>
      <c r="L812">
        <v>1150.8587686344399</v>
      </c>
      <c r="M812">
        <v>23.6443254117635</v>
      </c>
      <c r="N812">
        <v>49.131562843685401</v>
      </c>
      <c r="O812">
        <v>48.329646177269801</v>
      </c>
      <c r="P812">
        <v>-0.11021783350080799</v>
      </c>
      <c r="Q812">
        <v>9.8862538136428105E-2</v>
      </c>
      <c r="R812">
        <v>0.99216939173781205</v>
      </c>
      <c r="S812" t="s">
        <v>7097</v>
      </c>
      <c r="T812" t="s">
        <v>12568</v>
      </c>
      <c r="U812" t="s">
        <v>12568</v>
      </c>
      <c r="V812" t="s">
        <v>12568</v>
      </c>
      <c r="W812" t="s">
        <v>13294</v>
      </c>
      <c r="X812">
        <v>43</v>
      </c>
      <c r="Y812" t="s">
        <v>19519</v>
      </c>
      <c r="Z812" t="s">
        <v>25682</v>
      </c>
      <c r="AA812">
        <v>0.3683565385953918</v>
      </c>
      <c r="AB812" t="str">
        <f>HYPERLINK("Melting_Curves/meltCurve_K7EIG1_CLUH.pdf", "Melting_Curves/meltCurve_K7EIG1_CLUH.pdf")</f>
        <v>Melting_Curves/meltCurve_K7EIG1_CLUH.pdf</v>
      </c>
    </row>
    <row r="813" spans="1:28" x14ac:dyDescent="0.25">
      <c r="A813" t="s">
        <v>817</v>
      </c>
      <c r="B813">
        <v>0.99352677808782597</v>
      </c>
      <c r="C813">
        <v>1.13097687876207</v>
      </c>
      <c r="D813">
        <v>1.30805458434527</v>
      </c>
      <c r="E813">
        <v>0.81798355914154097</v>
      </c>
      <c r="F813">
        <v>0.68417683331065804</v>
      </c>
      <c r="G813">
        <v>0.57884358063788699</v>
      </c>
      <c r="H813">
        <v>0.424653567856907</v>
      </c>
      <c r="I813">
        <v>0.34738891515878301</v>
      </c>
      <c r="J813">
        <v>0.230637304794304</v>
      </c>
      <c r="K813">
        <v>0.17492380957443901</v>
      </c>
      <c r="L813">
        <v>823.526884187875</v>
      </c>
      <c r="M813">
        <v>14.5528084418684</v>
      </c>
      <c r="N813">
        <v>58.250886745932398</v>
      </c>
      <c r="O813">
        <v>55.552530704978203</v>
      </c>
      <c r="P813">
        <v>-5.4370203329881503E-2</v>
      </c>
      <c r="Q813">
        <v>0.16990348591152599</v>
      </c>
      <c r="R813">
        <v>0.88764667764044802</v>
      </c>
      <c r="S813" t="s">
        <v>7098</v>
      </c>
      <c r="T813" t="s">
        <v>12568</v>
      </c>
      <c r="U813" t="s">
        <v>12568</v>
      </c>
      <c r="V813" t="s">
        <v>12568</v>
      </c>
      <c r="W813" t="s">
        <v>13362</v>
      </c>
      <c r="X813">
        <v>3</v>
      </c>
      <c r="Y813" t="s">
        <v>19587</v>
      </c>
      <c r="Z813" t="s">
        <v>25683</v>
      </c>
      <c r="AA813">
        <v>0.64302544568330755</v>
      </c>
      <c r="AB813" t="str">
        <f>HYPERLINK("Melting_Curves/meltCurve_K7EIJ0_WBP2.pdf", "Melting_Curves/meltCurve_K7EIJ0_WBP2.pdf")</f>
        <v>Melting_Curves/meltCurve_K7EIJ0_WBP2.pdf</v>
      </c>
    </row>
    <row r="814" spans="1:28" x14ac:dyDescent="0.25">
      <c r="A814" t="s">
        <v>818</v>
      </c>
      <c r="B814">
        <v>0.99352677808782597</v>
      </c>
      <c r="C814">
        <v>1.0103193189779001</v>
      </c>
      <c r="D814">
        <v>1.0053593605987701</v>
      </c>
      <c r="E814">
        <v>0.26147914350449603</v>
      </c>
      <c r="F814">
        <v>0.16851355925342801</v>
      </c>
      <c r="G814">
        <v>9.8806217415040906E-2</v>
      </c>
      <c r="H814">
        <v>0.14170582764005701</v>
      </c>
      <c r="I814">
        <v>5.8143577857119898E-2</v>
      </c>
      <c r="J814">
        <v>5.5468797863579798E-2</v>
      </c>
      <c r="K814">
        <v>2.6099920932225899E-2</v>
      </c>
      <c r="L814">
        <v>3203.0648381861502</v>
      </c>
      <c r="M814">
        <v>65.485634099202201</v>
      </c>
      <c r="N814">
        <v>49.060781514685502</v>
      </c>
      <c r="O814">
        <v>48.866929928251999</v>
      </c>
      <c r="P814">
        <v>-0.304937421353907</v>
      </c>
      <c r="Q814">
        <v>8.9794209011375997E-2</v>
      </c>
      <c r="R814">
        <v>0.99121055975056005</v>
      </c>
      <c r="S814" t="s">
        <v>7099</v>
      </c>
      <c r="T814" t="s">
        <v>12568</v>
      </c>
      <c r="U814" t="s">
        <v>12568</v>
      </c>
      <c r="V814" t="s">
        <v>12568</v>
      </c>
      <c r="W814" t="s">
        <v>13363</v>
      </c>
      <c r="X814">
        <v>1</v>
      </c>
      <c r="Y814" t="s">
        <v>19588</v>
      </c>
      <c r="Z814" t="s">
        <v>25684</v>
      </c>
      <c r="AA814">
        <v>0.36134278455255431</v>
      </c>
      <c r="AB814" t="str">
        <f>HYPERLINK("Melting_Curves/meltCurve_K7EIN2_NUDT16L1.pdf", "Melting_Curves/meltCurve_K7EIN2_NUDT16L1.pdf")</f>
        <v>Melting_Curves/meltCurve_K7EIN2_NUDT16L1.pdf</v>
      </c>
    </row>
    <row r="815" spans="1:28" x14ac:dyDescent="0.25">
      <c r="A815" t="s">
        <v>819</v>
      </c>
      <c r="B815">
        <v>0.99352677808782597</v>
      </c>
      <c r="C815">
        <v>0.96116693625369398</v>
      </c>
      <c r="D815">
        <v>0.930894894647743</v>
      </c>
      <c r="E815">
        <v>0.63331486931992498</v>
      </c>
      <c r="F815">
        <v>0.55055993173905304</v>
      </c>
      <c r="G815">
        <v>0.23375337720200601</v>
      </c>
      <c r="H815">
        <v>0.11989075141997201</v>
      </c>
      <c r="I815">
        <v>8.9237937892676006E-2</v>
      </c>
      <c r="J815">
        <v>7.8714683442174499E-2</v>
      </c>
      <c r="K815">
        <v>6.6909075172407906E-2</v>
      </c>
      <c r="L815">
        <v>804.52906292154398</v>
      </c>
      <c r="M815">
        <v>15.319307991077601</v>
      </c>
      <c r="N815">
        <v>52.770323903679397</v>
      </c>
      <c r="O815">
        <v>51.646822020821197</v>
      </c>
      <c r="P815">
        <v>-7.1535151587213894E-2</v>
      </c>
      <c r="Q815">
        <v>3.5408232851997103E-2</v>
      </c>
      <c r="R815">
        <v>0.99263579631017196</v>
      </c>
      <c r="S815" t="s">
        <v>7100</v>
      </c>
      <c r="T815" t="s">
        <v>12568</v>
      </c>
      <c r="U815" t="s">
        <v>12568</v>
      </c>
      <c r="V815" t="s">
        <v>12568</v>
      </c>
      <c r="W815" t="s">
        <v>13364</v>
      </c>
      <c r="X815">
        <v>3</v>
      </c>
      <c r="Y815" t="s">
        <v>19589</v>
      </c>
      <c r="Z815" t="s">
        <v>25685</v>
      </c>
      <c r="AA815">
        <v>0.45839509845176002</v>
      </c>
      <c r="AB815" t="str">
        <f>HYPERLINK("Melting_Curves/meltCurve_K7EIR0_WDR18.pdf", "Melting_Curves/meltCurve_K7EIR0_WDR18.pdf")</f>
        <v>Melting_Curves/meltCurve_K7EIR0_WDR18.pdf</v>
      </c>
    </row>
    <row r="816" spans="1:28" x14ac:dyDescent="0.25">
      <c r="A816" t="s">
        <v>820</v>
      </c>
      <c r="B816">
        <v>0.99352677808782597</v>
      </c>
      <c r="C816">
        <v>0.99779411090154202</v>
      </c>
      <c r="D816">
        <v>1.02938075780315</v>
      </c>
      <c r="E816">
        <v>0.84081968381057903</v>
      </c>
      <c r="F816">
        <v>0.78176230498384203</v>
      </c>
      <c r="G816">
        <v>0.543740969072672</v>
      </c>
      <c r="H816">
        <v>0.245609707302962</v>
      </c>
      <c r="I816">
        <v>0.14109674172900299</v>
      </c>
      <c r="J816">
        <v>0.10381962593529399</v>
      </c>
      <c r="K816">
        <v>7.6603612807400107E-2</v>
      </c>
      <c r="L816">
        <v>905.04937500408801</v>
      </c>
      <c r="M816">
        <v>15.870766407467199</v>
      </c>
      <c r="N816">
        <v>57.113437721014201</v>
      </c>
      <c r="O816">
        <v>56.1438480835034</v>
      </c>
      <c r="P816">
        <v>-6.9829398227866601E-2</v>
      </c>
      <c r="Q816">
        <v>1.19761909443708E-2</v>
      </c>
      <c r="R816">
        <v>0.99352795420113704</v>
      </c>
      <c r="S816" t="s">
        <v>7101</v>
      </c>
      <c r="T816" t="s">
        <v>12568</v>
      </c>
      <c r="U816" t="s">
        <v>12568</v>
      </c>
      <c r="V816" t="s">
        <v>12568</v>
      </c>
      <c r="W816" t="s">
        <v>13365</v>
      </c>
      <c r="X816">
        <v>14</v>
      </c>
      <c r="Y816" t="s">
        <v>19590</v>
      </c>
      <c r="Z816" t="s">
        <v>25686</v>
      </c>
      <c r="AA816">
        <v>0.58775023116030922</v>
      </c>
      <c r="AB816" t="str">
        <f>HYPERLINK("Melting_Curves/meltCurve_K7EIU8_SMAD4.pdf", "Melting_Curves/meltCurve_K7EIU8_SMAD4.pdf")</f>
        <v>Melting_Curves/meltCurve_K7EIU8_SMAD4.pdf</v>
      </c>
    </row>
    <row r="817" spans="1:28" x14ac:dyDescent="0.25">
      <c r="A817" t="s">
        <v>821</v>
      </c>
      <c r="B817">
        <v>0.99352677808782597</v>
      </c>
      <c r="C817">
        <v>0.92032634338737795</v>
      </c>
      <c r="D817">
        <v>1.26712751571493</v>
      </c>
      <c r="E817">
        <v>0.61051203904626905</v>
      </c>
      <c r="F817">
        <v>0.52408431410405798</v>
      </c>
      <c r="G817">
        <v>0.31473441209571501</v>
      </c>
      <c r="H817">
        <v>0.18269787866607001</v>
      </c>
      <c r="I817">
        <v>0.16736976474760401</v>
      </c>
      <c r="J817">
        <v>0.20259346494208899</v>
      </c>
      <c r="K817">
        <v>0.15441796986959599</v>
      </c>
      <c r="L817">
        <v>1252.2560875498</v>
      </c>
      <c r="M817">
        <v>24.231964521733801</v>
      </c>
      <c r="N817">
        <v>52.666874501382303</v>
      </c>
      <c r="O817">
        <v>51.3297700015871</v>
      </c>
      <c r="P817">
        <v>-9.6449190409331101E-2</v>
      </c>
      <c r="Q817">
        <v>0.182791903152876</v>
      </c>
      <c r="R817">
        <v>0.91371007896904</v>
      </c>
      <c r="S817" t="s">
        <v>7102</v>
      </c>
      <c r="T817" t="s">
        <v>12568</v>
      </c>
      <c r="U817" t="s">
        <v>12568</v>
      </c>
      <c r="V817" t="s">
        <v>12568</v>
      </c>
      <c r="W817" t="s">
        <v>13366</v>
      </c>
      <c r="X817">
        <v>1</v>
      </c>
      <c r="Y817" t="s">
        <v>19591</v>
      </c>
      <c r="Z817" t="s">
        <v>25687</v>
      </c>
      <c r="AA817">
        <v>0.50879839855925668</v>
      </c>
      <c r="AB817" t="str">
        <f>HYPERLINK("Melting_Curves/meltCurve_K7EJ78_RPS15.pdf", "Melting_Curves/meltCurve_K7EJ78_RPS15.pdf")</f>
        <v>Melting_Curves/meltCurve_K7EJ78_RPS15.pdf</v>
      </c>
    </row>
    <row r="818" spans="1:28" x14ac:dyDescent="0.25">
      <c r="A818" t="s">
        <v>822</v>
      </c>
      <c r="B818">
        <v>0.99352677808782597</v>
      </c>
      <c r="C818">
        <v>1.02152881141041</v>
      </c>
      <c r="D818">
        <v>1.0056809769604</v>
      </c>
      <c r="E818">
        <v>0.53514033008943396</v>
      </c>
      <c r="F818">
        <v>0.38029085673893798</v>
      </c>
      <c r="G818">
        <v>0.28189416205330597</v>
      </c>
      <c r="H818">
        <v>0.19510570651460399</v>
      </c>
      <c r="I818">
        <v>0.18061230479276899</v>
      </c>
      <c r="J818">
        <v>0.18005935671293299</v>
      </c>
      <c r="K818">
        <v>0.15553970981972301</v>
      </c>
      <c r="L818">
        <v>1351.28054615823</v>
      </c>
      <c r="M818">
        <v>27.036592778446501</v>
      </c>
      <c r="N818">
        <v>50.901399256096802</v>
      </c>
      <c r="O818">
        <v>49.708681153913503</v>
      </c>
      <c r="P818">
        <v>-0.109657603382946</v>
      </c>
      <c r="Q818">
        <v>0.193555296420723</v>
      </c>
      <c r="R818">
        <v>0.98565323653405401</v>
      </c>
      <c r="S818" t="s">
        <v>7103</v>
      </c>
      <c r="T818" t="s">
        <v>12568</v>
      </c>
      <c r="U818" t="s">
        <v>12568</v>
      </c>
      <c r="V818" t="s">
        <v>12568</v>
      </c>
      <c r="W818" t="s">
        <v>13367</v>
      </c>
      <c r="X818">
        <v>5</v>
      </c>
      <c r="Y818" t="s">
        <v>19592</v>
      </c>
      <c r="Z818" t="s">
        <v>25688</v>
      </c>
      <c r="AA818">
        <v>0.46797796477182041</v>
      </c>
      <c r="AB818" t="str">
        <f>HYPERLINK("Melting_Curves/meltCurve_K7EJH0_SPC24.pdf", "Melting_Curves/meltCurve_K7EJH0_SPC24.pdf")</f>
        <v>Melting_Curves/meltCurve_K7EJH0_SPC24.pdf</v>
      </c>
    </row>
    <row r="819" spans="1:28" x14ac:dyDescent="0.25">
      <c r="A819" t="s">
        <v>823</v>
      </c>
      <c r="B819">
        <v>0.99352677808782597</v>
      </c>
      <c r="C819">
        <v>0.87798696035511603</v>
      </c>
      <c r="D819">
        <v>0.90951111728536305</v>
      </c>
      <c r="E819">
        <v>0.39877083019571602</v>
      </c>
      <c r="F819">
        <v>0.35391453498963998</v>
      </c>
      <c r="G819">
        <v>0.20813677075644901</v>
      </c>
      <c r="H819">
        <v>0.134047685554051</v>
      </c>
      <c r="I819">
        <v>0.101567496092986</v>
      </c>
      <c r="J819">
        <v>7.2916696367125805E-2</v>
      </c>
      <c r="K819">
        <v>5.7949732834536298E-2</v>
      </c>
      <c r="L819">
        <v>852.03086073470502</v>
      </c>
      <c r="M819">
        <v>17.206488422923599</v>
      </c>
      <c r="N819">
        <v>50.041976867596901</v>
      </c>
      <c r="O819">
        <v>48.863664691305203</v>
      </c>
      <c r="P819">
        <v>-8.0780992408147803E-2</v>
      </c>
      <c r="Q819">
        <v>8.2433899654067805E-2</v>
      </c>
      <c r="R819">
        <v>0.975513231390577</v>
      </c>
      <c r="S819" t="s">
        <v>7104</v>
      </c>
      <c r="T819" t="s">
        <v>12568</v>
      </c>
      <c r="U819" t="s">
        <v>12568</v>
      </c>
      <c r="V819" t="s">
        <v>12568</v>
      </c>
      <c r="W819" t="s">
        <v>13368</v>
      </c>
      <c r="X819">
        <v>5</v>
      </c>
      <c r="Y819" t="s">
        <v>19593</v>
      </c>
      <c r="Z819" t="s">
        <v>25689</v>
      </c>
      <c r="AA819">
        <v>0.39073542189874733</v>
      </c>
      <c r="AB819" t="str">
        <f>HYPERLINK("Melting_Curves/meltCurve_K7EK07_H3F3B.pdf", "Melting_Curves/meltCurve_K7EK07_H3F3B.pdf")</f>
        <v>Melting_Curves/meltCurve_K7EK07_H3F3B.pdf</v>
      </c>
    </row>
    <row r="820" spans="1:28" x14ac:dyDescent="0.25">
      <c r="A820" t="s">
        <v>824</v>
      </c>
      <c r="B820">
        <v>0.99352677808782597</v>
      </c>
      <c r="C820">
        <v>1.2383185283879601</v>
      </c>
      <c r="D820">
        <v>0.84577625924524302</v>
      </c>
      <c r="E820">
        <v>1.09349816316335</v>
      </c>
      <c r="F820">
        <v>2.4400364066926801</v>
      </c>
      <c r="G820">
        <v>1.1710772585370299</v>
      </c>
      <c r="H820">
        <v>1.54973172896069</v>
      </c>
      <c r="I820">
        <v>7.3607069031119998</v>
      </c>
      <c r="J820">
        <v>0.729753231220448</v>
      </c>
      <c r="K820">
        <v>0.82870602146120698</v>
      </c>
      <c r="L820">
        <v>12573.4713582068</v>
      </c>
      <c r="M820">
        <v>250</v>
      </c>
      <c r="O820">
        <v>50.2906578743804</v>
      </c>
      <c r="P820">
        <v>0.62138766318046101</v>
      </c>
      <c r="Q820">
        <v>1.5</v>
      </c>
      <c r="R820">
        <v>-6.05191040571329E-3</v>
      </c>
      <c r="S820" t="s">
        <v>7105</v>
      </c>
      <c r="T820" t="s">
        <v>12568</v>
      </c>
      <c r="U820" t="s">
        <v>12568</v>
      </c>
      <c r="V820" t="s">
        <v>12568</v>
      </c>
      <c r="W820" t="s">
        <v>13369</v>
      </c>
      <c r="X820">
        <v>12</v>
      </c>
      <c r="Y820" t="s">
        <v>19594</v>
      </c>
      <c r="Z820" t="s">
        <v>25690</v>
      </c>
      <c r="AA820">
        <v>1.328391110293119</v>
      </c>
      <c r="AB820" t="str">
        <f>HYPERLINK("Melting_Curves/meltCurve_K7EK35_STAT5A.pdf", "Melting_Curves/meltCurve_K7EK35_STAT5A.pdf")</f>
        <v>Melting_Curves/meltCurve_K7EK35_STAT5A.pdf</v>
      </c>
    </row>
    <row r="821" spans="1:28" x14ac:dyDescent="0.25">
      <c r="A821" t="s">
        <v>825</v>
      </c>
      <c r="B821">
        <v>0.99352677808782597</v>
      </c>
      <c r="C821">
        <v>0.95994657133274097</v>
      </c>
      <c r="D821">
        <v>0.88324772053707001</v>
      </c>
      <c r="E821">
        <v>0.28633777574129798</v>
      </c>
      <c r="F821">
        <v>0.21349659465550599</v>
      </c>
      <c r="G821">
        <v>0.13368273937144301</v>
      </c>
      <c r="H821">
        <v>0.10471853149570599</v>
      </c>
      <c r="I821">
        <v>8.3033478385557594E-2</v>
      </c>
      <c r="J821">
        <v>7.3047315586544301E-2</v>
      </c>
      <c r="K821">
        <v>5.4366336590696299E-2</v>
      </c>
      <c r="L821">
        <v>1608.28130481931</v>
      </c>
      <c r="M821">
        <v>33.2772121067093</v>
      </c>
      <c r="N821">
        <v>48.645989757609001</v>
      </c>
      <c r="O821">
        <v>48.156295793148999</v>
      </c>
      <c r="P821">
        <v>-0.15595665144001</v>
      </c>
      <c r="Q821">
        <v>9.7248956012991897E-2</v>
      </c>
      <c r="R821">
        <v>0.99219148142857505</v>
      </c>
      <c r="S821" t="s">
        <v>7106</v>
      </c>
      <c r="T821" t="s">
        <v>12568</v>
      </c>
      <c r="U821" t="s">
        <v>12568</v>
      </c>
      <c r="V821" t="s">
        <v>12568</v>
      </c>
      <c r="W821" t="s">
        <v>13370</v>
      </c>
      <c r="X821">
        <v>23</v>
      </c>
      <c r="Y821" t="s">
        <v>19595</v>
      </c>
      <c r="Z821" t="s">
        <v>25691</v>
      </c>
      <c r="AA821">
        <v>0.35230774431154083</v>
      </c>
      <c r="AB821" t="str">
        <f>HYPERLINK("Melting_Curves/meltCurve_K7EKE6_LONP1.pdf", "Melting_Curves/meltCurve_K7EKE6_LONP1.pdf")</f>
        <v>Melting_Curves/meltCurve_K7EKE6_LONP1.pdf</v>
      </c>
    </row>
    <row r="822" spans="1:28" x14ac:dyDescent="0.25">
      <c r="A822" t="s">
        <v>826</v>
      </c>
      <c r="B822">
        <v>0.99352677808782597</v>
      </c>
      <c r="C822">
        <v>0.99640533930464503</v>
      </c>
      <c r="D822">
        <v>0.91328563972251897</v>
      </c>
      <c r="E822">
        <v>0.64496776117283094</v>
      </c>
      <c r="F822">
        <v>0.61566373287757403</v>
      </c>
      <c r="G822">
        <v>0.39838905306175199</v>
      </c>
      <c r="H822">
        <v>0.36976641292610701</v>
      </c>
      <c r="I822">
        <v>0.354107330188423</v>
      </c>
      <c r="J822">
        <v>0.43679609165316102</v>
      </c>
      <c r="K822">
        <v>0.34652386232763699</v>
      </c>
      <c r="L822">
        <v>904.98279557532203</v>
      </c>
      <c r="M822">
        <v>17.997653245419301</v>
      </c>
      <c r="N822">
        <v>54.205812570834198</v>
      </c>
      <c r="O822">
        <v>49.674933583420398</v>
      </c>
      <c r="P822">
        <v>-5.7605106823290501E-2</v>
      </c>
      <c r="Q822">
        <v>0.36405315729946403</v>
      </c>
      <c r="R822">
        <v>0.97648462985979001</v>
      </c>
      <c r="S822" t="s">
        <v>7107</v>
      </c>
      <c r="T822" t="s">
        <v>12568</v>
      </c>
      <c r="U822" t="s">
        <v>12568</v>
      </c>
      <c r="V822" t="s">
        <v>12568</v>
      </c>
      <c r="W822" t="s">
        <v>13371</v>
      </c>
      <c r="X822">
        <v>16</v>
      </c>
      <c r="Y822" t="s">
        <v>19596</v>
      </c>
      <c r="Z822" t="s">
        <v>25692</v>
      </c>
      <c r="AA822">
        <v>0.59285154027187648</v>
      </c>
      <c r="AB822" t="str">
        <f>HYPERLINK("Melting_Curves/meltCurve_K7EKI8_PPL.pdf", "Melting_Curves/meltCurve_K7EKI8_PPL.pdf")</f>
        <v>Melting_Curves/meltCurve_K7EKI8_PPL.pdf</v>
      </c>
    </row>
    <row r="823" spans="1:28" x14ac:dyDescent="0.25">
      <c r="A823" t="s">
        <v>827</v>
      </c>
      <c r="B823">
        <v>0.99352677808782597</v>
      </c>
      <c r="C823">
        <v>0.96700294120716301</v>
      </c>
      <c r="D823">
        <v>0.90171225101749497</v>
      </c>
      <c r="E823">
        <v>0.947882114715904</v>
      </c>
      <c r="F823">
        <v>1.00422284028632</v>
      </c>
      <c r="G823">
        <v>0.70025448029051496</v>
      </c>
      <c r="H823">
        <v>1.10718702506055</v>
      </c>
      <c r="I823">
        <v>0.65217123688420597</v>
      </c>
      <c r="J823">
        <v>0.86128021668955901</v>
      </c>
      <c r="K823">
        <v>0.45757155172682401</v>
      </c>
      <c r="L823">
        <v>943.77604418439103</v>
      </c>
      <c r="M823">
        <v>13.291799099735499</v>
      </c>
      <c r="O823">
        <v>69.454941081471304</v>
      </c>
      <c r="P823">
        <v>-4.7851004971487497E-2</v>
      </c>
      <c r="Q823">
        <v>0</v>
      </c>
      <c r="R823">
        <v>0.462204815851192</v>
      </c>
      <c r="S823" t="s">
        <v>7108</v>
      </c>
      <c r="T823" t="s">
        <v>12568</v>
      </c>
      <c r="U823" t="s">
        <v>12568</v>
      </c>
      <c r="V823" t="s">
        <v>12568</v>
      </c>
      <c r="W823" t="s">
        <v>13233</v>
      </c>
      <c r="X823">
        <v>2</v>
      </c>
      <c r="Z823" t="s">
        <v>25693</v>
      </c>
      <c r="AA823">
        <v>0.91036751288956586</v>
      </c>
      <c r="AB823" t="str">
        <f>HYPERLINK("Melting_Curves/meltCurve_K7EKZ2_.pdf", "Melting_Curves/meltCurve_K7EKZ2_.pdf")</f>
        <v>Melting_Curves/meltCurve_K7EKZ2_.pdf</v>
      </c>
    </row>
    <row r="824" spans="1:28" x14ac:dyDescent="0.25">
      <c r="A824" t="s">
        <v>828</v>
      </c>
      <c r="B824">
        <v>0.99352677808782597</v>
      </c>
      <c r="C824">
        <v>0.92154327487919796</v>
      </c>
      <c r="D824">
        <v>1.0956996418312299</v>
      </c>
      <c r="E824">
        <v>0.99902434347451397</v>
      </c>
      <c r="F824">
        <v>0.90055975422040602</v>
      </c>
      <c r="G824">
        <v>0.568762168858439</v>
      </c>
      <c r="H824">
        <v>0.54102238625561905</v>
      </c>
      <c r="I824">
        <v>0.55031889171883597</v>
      </c>
      <c r="J824">
        <v>0.46802965314737099</v>
      </c>
      <c r="K824">
        <v>0.46849135286399501</v>
      </c>
      <c r="L824">
        <v>2414.20499148519</v>
      </c>
      <c r="M824">
        <v>44.174157790535197</v>
      </c>
      <c r="O824">
        <v>54.540337513634903</v>
      </c>
      <c r="P824">
        <v>-0.100346380649025</v>
      </c>
      <c r="Q824">
        <v>0.50442365684781898</v>
      </c>
      <c r="R824">
        <v>0.96282677403774497</v>
      </c>
      <c r="S824" t="s">
        <v>7109</v>
      </c>
      <c r="T824" t="s">
        <v>12568</v>
      </c>
      <c r="U824" t="s">
        <v>12568</v>
      </c>
      <c r="V824" t="s">
        <v>12568</v>
      </c>
      <c r="W824" t="s">
        <v>13372</v>
      </c>
      <c r="X824">
        <v>1</v>
      </c>
      <c r="Y824" t="s">
        <v>19597</v>
      </c>
      <c r="Z824" t="s">
        <v>25694</v>
      </c>
      <c r="AA824">
        <v>0.74799355660224931</v>
      </c>
      <c r="AB824" t="str">
        <f>HYPERLINK("Melting_Curves/meltCurve_K7ELY2_STX10.pdf", "Melting_Curves/meltCurve_K7ELY2_STX10.pdf")</f>
        <v>Melting_Curves/meltCurve_K7ELY2_STX10.pdf</v>
      </c>
    </row>
    <row r="825" spans="1:28" x14ac:dyDescent="0.25">
      <c r="A825" t="s">
        <v>829</v>
      </c>
      <c r="B825">
        <v>0.99352677808782597</v>
      </c>
      <c r="C825">
        <v>1.0388838809524401</v>
      </c>
      <c r="D825">
        <v>0.86087092784596297</v>
      </c>
      <c r="E825">
        <v>1.2854948428072701</v>
      </c>
      <c r="F825">
        <v>0.93110846451714202</v>
      </c>
      <c r="G825">
        <v>1.0391907350320599</v>
      </c>
      <c r="H825">
        <v>1.2721531225749201</v>
      </c>
      <c r="I825">
        <v>1.1245156679852</v>
      </c>
      <c r="J825">
        <v>1.0063920312080299</v>
      </c>
      <c r="K825">
        <v>0.188616589527801</v>
      </c>
      <c r="L825">
        <v>15000</v>
      </c>
      <c r="M825">
        <v>215.74465509922501</v>
      </c>
      <c r="N825">
        <v>69.526635792723198</v>
      </c>
      <c r="O825">
        <v>69.520669748827004</v>
      </c>
      <c r="P825">
        <v>-0.77582926802706997</v>
      </c>
      <c r="Q825">
        <v>0</v>
      </c>
      <c r="R825">
        <v>0.76666886211125995</v>
      </c>
      <c r="S825" t="s">
        <v>7110</v>
      </c>
      <c r="T825" t="s">
        <v>12568</v>
      </c>
      <c r="U825" t="s">
        <v>12568</v>
      </c>
      <c r="V825" t="s">
        <v>12568</v>
      </c>
      <c r="W825" t="s">
        <v>13373</v>
      </c>
      <c r="X825">
        <v>1</v>
      </c>
      <c r="Y825" t="s">
        <v>19598</v>
      </c>
      <c r="Z825" t="s">
        <v>25695</v>
      </c>
      <c r="AA825">
        <v>0.98208622233985376</v>
      </c>
      <c r="AB825" t="str">
        <f>HYPERLINK("Melting_Curves/meltCurve_K7EM02_KATNAL2.pdf", "Melting_Curves/meltCurve_K7EM02_KATNAL2.pdf")</f>
        <v>Melting_Curves/meltCurve_K7EM02_KATNAL2.pdf</v>
      </c>
    </row>
    <row r="826" spans="1:28" x14ac:dyDescent="0.25">
      <c r="A826" t="s">
        <v>830</v>
      </c>
      <c r="B826">
        <v>0.99352677808782597</v>
      </c>
      <c r="C826">
        <v>0.74413097805544703</v>
      </c>
      <c r="D826">
        <v>0.68327169340570504</v>
      </c>
      <c r="E826">
        <v>0.50280892237184804</v>
      </c>
      <c r="F826">
        <v>0.5298828299585</v>
      </c>
      <c r="G826">
        <v>0.337821916489562</v>
      </c>
      <c r="H826">
        <v>0.33636433840970098</v>
      </c>
      <c r="I826">
        <v>0.30351817662527097</v>
      </c>
      <c r="J826">
        <v>0.30164415638696002</v>
      </c>
      <c r="K826">
        <v>0.32778936724408297</v>
      </c>
      <c r="L826">
        <v>517.29460222680802</v>
      </c>
      <c r="M826">
        <v>11.018223065959299</v>
      </c>
      <c r="N826">
        <v>50.884663006042601</v>
      </c>
      <c r="O826">
        <v>45.482010958461899</v>
      </c>
      <c r="P826">
        <v>-4.3210737859976103E-2</v>
      </c>
      <c r="Q826">
        <v>0.286762402450015</v>
      </c>
      <c r="R826">
        <v>0.954892471935192</v>
      </c>
      <c r="S826" t="s">
        <v>7111</v>
      </c>
      <c r="T826" t="s">
        <v>12568</v>
      </c>
      <c r="U826" t="s">
        <v>12568</v>
      </c>
      <c r="V826" t="s">
        <v>12568</v>
      </c>
      <c r="W826" t="s">
        <v>13374</v>
      </c>
      <c r="X826">
        <v>14</v>
      </c>
      <c r="Y826" t="s">
        <v>19599</v>
      </c>
      <c r="Z826" t="s">
        <v>25696</v>
      </c>
      <c r="AA826">
        <v>0.48696828144907778</v>
      </c>
      <c r="AB826" t="str">
        <f>HYPERLINK("Melting_Curves/meltCurve_K7EMS3_KRT19.pdf", "Melting_Curves/meltCurve_K7EMS3_KRT19.pdf")</f>
        <v>Melting_Curves/meltCurve_K7EMS3_KRT19.pdf</v>
      </c>
    </row>
    <row r="827" spans="1:28" x14ac:dyDescent="0.25">
      <c r="A827" t="s">
        <v>831</v>
      </c>
      <c r="B827">
        <v>0.99352677808782597</v>
      </c>
      <c r="C827">
        <v>1.00093182377495</v>
      </c>
      <c r="D827">
        <v>0.94399103848813604</v>
      </c>
      <c r="E827">
        <v>0.57583800863405599</v>
      </c>
      <c r="F827">
        <v>0.45787002171410501</v>
      </c>
      <c r="G827">
        <v>0.24441958842989001</v>
      </c>
      <c r="H827">
        <v>0.16927613237233699</v>
      </c>
      <c r="I827">
        <v>0.120209758069839</v>
      </c>
      <c r="J827">
        <v>0.161525982644392</v>
      </c>
      <c r="K827">
        <v>9.9075272983289303E-2</v>
      </c>
      <c r="L827">
        <v>924.904069217597</v>
      </c>
      <c r="M827">
        <v>18.1203759045701</v>
      </c>
      <c r="N827">
        <v>51.828928446326998</v>
      </c>
      <c r="O827">
        <v>50.432743838241599</v>
      </c>
      <c r="P827">
        <v>-7.9028404505924396E-2</v>
      </c>
      <c r="Q827">
        <v>0.120232899454968</v>
      </c>
      <c r="R827">
        <v>0.99104263063759801</v>
      </c>
      <c r="S827" t="s">
        <v>7112</v>
      </c>
      <c r="T827" t="s">
        <v>12568</v>
      </c>
      <c r="U827" t="s">
        <v>12568</v>
      </c>
      <c r="V827" t="s">
        <v>12568</v>
      </c>
      <c r="W827" t="s">
        <v>13375</v>
      </c>
      <c r="X827">
        <v>2</v>
      </c>
      <c r="Y827" t="s">
        <v>19600</v>
      </c>
      <c r="Z827" t="s">
        <v>25697</v>
      </c>
      <c r="AA827">
        <v>0.45869138832046502</v>
      </c>
      <c r="AB827" t="str">
        <f>HYPERLINK("Melting_Curves/meltCurve_K7EMV5_ZNF444.pdf", "Melting_Curves/meltCurve_K7EMV5_ZNF444.pdf")</f>
        <v>Melting_Curves/meltCurve_K7EMV5_ZNF444.pdf</v>
      </c>
    </row>
    <row r="828" spans="1:28" x14ac:dyDescent="0.25">
      <c r="A828" t="s">
        <v>832</v>
      </c>
      <c r="B828">
        <v>0.99352677808782597</v>
      </c>
      <c r="C828">
        <v>1.0354123967805</v>
      </c>
      <c r="D828">
        <v>0.932435819990033</v>
      </c>
      <c r="E828">
        <v>0.94304851590328198</v>
      </c>
      <c r="F828">
        <v>0.85011375359177199</v>
      </c>
      <c r="G828">
        <v>0.70789279124343696</v>
      </c>
      <c r="H828">
        <v>0.56448660283929297</v>
      </c>
      <c r="I828">
        <v>0.62284693655853596</v>
      </c>
      <c r="J828">
        <v>0.49439000365291802</v>
      </c>
      <c r="K828">
        <v>0.43143866691718502</v>
      </c>
      <c r="L828">
        <v>655.68606062573997</v>
      </c>
      <c r="M828">
        <v>11.2682163108474</v>
      </c>
      <c r="N828">
        <v>66.601976278986996</v>
      </c>
      <c r="O828">
        <v>56.446644769282599</v>
      </c>
      <c r="P828">
        <v>-3.09740281925509E-2</v>
      </c>
      <c r="Q828">
        <v>0.37954951424608302</v>
      </c>
      <c r="R828">
        <v>0.96824277476878395</v>
      </c>
      <c r="S828" t="s">
        <v>7113</v>
      </c>
      <c r="T828" t="s">
        <v>12568</v>
      </c>
      <c r="U828" t="s">
        <v>12568</v>
      </c>
      <c r="V828" t="s">
        <v>12568</v>
      </c>
      <c r="W828" t="s">
        <v>13376</v>
      </c>
      <c r="X828">
        <v>1</v>
      </c>
      <c r="Y828" t="s">
        <v>19601</v>
      </c>
      <c r="Z828" t="s">
        <v>25698</v>
      </c>
      <c r="AA828">
        <v>0.76256470561334311</v>
      </c>
      <c r="AB828" t="str">
        <f>HYPERLINK("Melting_Curves/meltCurve_K7EN05_ELOF1.pdf", "Melting_Curves/meltCurve_K7EN05_ELOF1.pdf")</f>
        <v>Melting_Curves/meltCurve_K7EN05_ELOF1.pdf</v>
      </c>
    </row>
    <row r="829" spans="1:28" x14ac:dyDescent="0.25">
      <c r="A829" t="s">
        <v>833</v>
      </c>
      <c r="B829">
        <v>0.99352677808782597</v>
      </c>
      <c r="C829">
        <v>0.95475224145057702</v>
      </c>
      <c r="D829">
        <v>0.94618646050611699</v>
      </c>
      <c r="E829">
        <v>0.91338881873954503</v>
      </c>
      <c r="F829">
        <v>0.76876599780977795</v>
      </c>
      <c r="G829">
        <v>0.58048958216022795</v>
      </c>
      <c r="H829">
        <v>0.54649708908849504</v>
      </c>
      <c r="I829">
        <v>0.56374320279380896</v>
      </c>
      <c r="J829">
        <v>0.49656559191050698</v>
      </c>
      <c r="K829">
        <v>0.41942988470599302</v>
      </c>
      <c r="L829">
        <v>828.46945456836204</v>
      </c>
      <c r="M829">
        <v>15.3363900512669</v>
      </c>
      <c r="N829">
        <v>64.316321990017201</v>
      </c>
      <c r="O829">
        <v>53.1263832140746</v>
      </c>
      <c r="P829">
        <v>-3.9185964769931303E-2</v>
      </c>
      <c r="Q829">
        <v>0.45707806492492697</v>
      </c>
      <c r="R829">
        <v>0.97296588649938498</v>
      </c>
      <c r="S829" t="s">
        <v>7114</v>
      </c>
      <c r="T829" t="s">
        <v>12568</v>
      </c>
      <c r="U829" t="s">
        <v>12568</v>
      </c>
      <c r="V829" t="s">
        <v>12568</v>
      </c>
      <c r="W829" t="s">
        <v>13377</v>
      </c>
      <c r="X829">
        <v>1</v>
      </c>
      <c r="Y829" t="s">
        <v>19602</v>
      </c>
      <c r="Z829" t="s">
        <v>25699</v>
      </c>
      <c r="AA829">
        <v>0.72162359841484025</v>
      </c>
      <c r="AB829" t="str">
        <f>HYPERLINK("Melting_Curves/meltCurve_K7EN65_MBD1.pdf", "Melting_Curves/meltCurve_K7EN65_MBD1.pdf")</f>
        <v>Melting_Curves/meltCurve_K7EN65_MBD1.pdf</v>
      </c>
    </row>
    <row r="830" spans="1:28" x14ac:dyDescent="0.25">
      <c r="A830" t="s">
        <v>834</v>
      </c>
      <c r="B830">
        <v>0.99352677808782597</v>
      </c>
      <c r="C830">
        <v>1.0715769628051299</v>
      </c>
      <c r="D830">
        <v>1.01930591026162</v>
      </c>
      <c r="E830">
        <v>0.45237796650506001</v>
      </c>
      <c r="F830">
        <v>0.388215247694774</v>
      </c>
      <c r="G830">
        <v>0.23566961116277901</v>
      </c>
      <c r="H830">
        <v>8.0427501931325099E-2</v>
      </c>
      <c r="I830">
        <v>7.7042782985411201E-2</v>
      </c>
      <c r="J830">
        <v>4.3254298494243601E-2</v>
      </c>
      <c r="K830">
        <v>4.7450236951898102E-2</v>
      </c>
      <c r="L830">
        <v>1074.3574807196001</v>
      </c>
      <c r="M830">
        <v>21.275167487132201</v>
      </c>
      <c r="N830">
        <v>50.876967850862698</v>
      </c>
      <c r="O830">
        <v>50.058393919161801</v>
      </c>
      <c r="P830">
        <v>-9.8472104485643003E-2</v>
      </c>
      <c r="Q830">
        <v>7.3242616697746094E-2</v>
      </c>
      <c r="R830">
        <v>0.96648141381683905</v>
      </c>
      <c r="S830" t="s">
        <v>7115</v>
      </c>
      <c r="T830" t="s">
        <v>12568</v>
      </c>
      <c r="U830" t="s">
        <v>12568</v>
      </c>
      <c r="V830" t="s">
        <v>12568</v>
      </c>
      <c r="W830" t="s">
        <v>13378</v>
      </c>
      <c r="X830">
        <v>5</v>
      </c>
      <c r="Y830" t="s">
        <v>19603</v>
      </c>
      <c r="Z830" t="s">
        <v>25700</v>
      </c>
      <c r="AA830">
        <v>0.40898757604448499</v>
      </c>
      <c r="AB830" t="str">
        <f>HYPERLINK("Melting_Curves/meltCurve_K7EN88_hCG_2039718.pdf", "Melting_Curves/meltCurve_K7EN88_hCG_2039718.pdf")</f>
        <v>Melting_Curves/meltCurve_K7EN88_hCG_2039718.pdf</v>
      </c>
    </row>
    <row r="831" spans="1:28" x14ac:dyDescent="0.25">
      <c r="A831" t="s">
        <v>835</v>
      </c>
      <c r="B831">
        <v>0.99352677808782597</v>
      </c>
      <c r="C831">
        <v>1.03147530267876</v>
      </c>
      <c r="D831">
        <v>0.82045167956958698</v>
      </c>
      <c r="E831">
        <v>0.53606512149023999</v>
      </c>
      <c r="F831">
        <v>0.67889942979986695</v>
      </c>
      <c r="G831">
        <v>0.28646638343384501</v>
      </c>
      <c r="H831">
        <v>0.192312723021896</v>
      </c>
      <c r="I831">
        <v>9.7709386756475003E-2</v>
      </c>
      <c r="J831">
        <v>0.102473697029033</v>
      </c>
      <c r="K831">
        <v>4.8775325704309702E-2</v>
      </c>
      <c r="L831">
        <v>603.14951943638903</v>
      </c>
      <c r="M831">
        <v>11.322367038975401</v>
      </c>
      <c r="N831">
        <v>53.270619265341303</v>
      </c>
      <c r="O831">
        <v>51.6900300716852</v>
      </c>
      <c r="P831">
        <v>-5.4777412666453799E-2</v>
      </c>
      <c r="Q831">
        <v>0</v>
      </c>
      <c r="R831">
        <v>0.95473823153952797</v>
      </c>
      <c r="S831" t="s">
        <v>7116</v>
      </c>
      <c r="T831" t="s">
        <v>12568</v>
      </c>
      <c r="U831" t="s">
        <v>12568</v>
      </c>
      <c r="V831" t="s">
        <v>12568</v>
      </c>
      <c r="W831" t="s">
        <v>13379</v>
      </c>
      <c r="X831">
        <v>4</v>
      </c>
      <c r="Y831" t="s">
        <v>19604</v>
      </c>
      <c r="Z831" t="s">
        <v>25701</v>
      </c>
      <c r="AA831">
        <v>0.47193419400526199</v>
      </c>
      <c r="AB831" t="str">
        <f>HYPERLINK("Melting_Curves/meltCurve_K7ENL9_C18orf8.pdf", "Melting_Curves/meltCurve_K7ENL9_C18orf8.pdf")</f>
        <v>Melting_Curves/meltCurve_K7ENL9_C18orf8.pdf</v>
      </c>
    </row>
    <row r="832" spans="1:28" x14ac:dyDescent="0.25">
      <c r="A832" t="s">
        <v>836</v>
      </c>
      <c r="B832">
        <v>0.99352677808782597</v>
      </c>
      <c r="C832">
        <v>1.1316224509120401</v>
      </c>
      <c r="D832">
        <v>1.22674764946832</v>
      </c>
      <c r="E832">
        <v>0.87289742259549796</v>
      </c>
      <c r="F832">
        <v>0.75382504390021499</v>
      </c>
      <c r="G832">
        <v>0.743640701039325</v>
      </c>
      <c r="H832">
        <v>0.58589811269204195</v>
      </c>
      <c r="I832">
        <v>0.529187561302501</v>
      </c>
      <c r="J832">
        <v>0.51817952321095695</v>
      </c>
      <c r="K832">
        <v>0.44807345227325901</v>
      </c>
      <c r="L832">
        <v>878.53773743191698</v>
      </c>
      <c r="M832">
        <v>15.736491280355599</v>
      </c>
      <c r="N832">
        <v>66.9926463802407</v>
      </c>
      <c r="O832">
        <v>54.949811726350397</v>
      </c>
      <c r="P832">
        <v>-3.8400139372228199E-2</v>
      </c>
      <c r="Q832">
        <v>0.463691216105518</v>
      </c>
      <c r="R832">
        <v>0.85844245597416202</v>
      </c>
      <c r="S832" t="s">
        <v>7117</v>
      </c>
      <c r="T832" t="s">
        <v>12568</v>
      </c>
      <c r="U832" t="s">
        <v>12568</v>
      </c>
      <c r="V832" t="s">
        <v>12568</v>
      </c>
      <c r="W832" t="s">
        <v>13380</v>
      </c>
      <c r="X832">
        <v>1</v>
      </c>
      <c r="Y832" t="s">
        <v>19605</v>
      </c>
      <c r="Z832" t="s">
        <v>25702</v>
      </c>
      <c r="AA832">
        <v>0.75589627275127202</v>
      </c>
      <c r="AB832" t="str">
        <f>HYPERLINK("Melting_Curves/meltCurve_K7ENW0_GGNBP2.pdf", "Melting_Curves/meltCurve_K7ENW0_GGNBP2.pdf")</f>
        <v>Melting_Curves/meltCurve_K7ENW0_GGNBP2.pdf</v>
      </c>
    </row>
    <row r="833" spans="1:28" x14ac:dyDescent="0.25">
      <c r="A833" t="s">
        <v>837</v>
      </c>
      <c r="B833">
        <v>0.99352677808782597</v>
      </c>
      <c r="C833">
        <v>0.73096452394593203</v>
      </c>
      <c r="D833">
        <v>0.55836395508824399</v>
      </c>
      <c r="E833">
        <v>0.39725338996008303</v>
      </c>
      <c r="F833">
        <v>0.393025904188256</v>
      </c>
      <c r="G833">
        <v>0.29345343981810401</v>
      </c>
      <c r="H833">
        <v>0.36928169759600599</v>
      </c>
      <c r="I833">
        <v>0.25087302047892901</v>
      </c>
      <c r="J833">
        <v>0.21788587107989599</v>
      </c>
      <c r="K833">
        <v>0.22605270831431601</v>
      </c>
      <c r="L833">
        <v>690.52191705615598</v>
      </c>
      <c r="M833">
        <v>15.3019024024925</v>
      </c>
      <c r="N833">
        <v>47.490052959207901</v>
      </c>
      <c r="O833">
        <v>44.376888510082402</v>
      </c>
      <c r="P833">
        <v>-6.3234148814133306E-2</v>
      </c>
      <c r="Q833">
        <v>0.266529737108545</v>
      </c>
      <c r="R833">
        <v>0.95427585863425801</v>
      </c>
      <c r="S833" t="s">
        <v>7118</v>
      </c>
      <c r="T833" t="s">
        <v>12568</v>
      </c>
      <c r="U833" t="s">
        <v>12568</v>
      </c>
      <c r="V833" t="s">
        <v>12568</v>
      </c>
      <c r="W833" t="s">
        <v>13381</v>
      </c>
      <c r="X833">
        <v>4</v>
      </c>
      <c r="Y833" t="s">
        <v>19606</v>
      </c>
      <c r="Z833" t="s">
        <v>25703</v>
      </c>
      <c r="AA833">
        <v>0.4141555674549392</v>
      </c>
      <c r="AB833" t="str">
        <f>HYPERLINK("Melting_Curves/meltCurve_K7EP32_UBXN6.pdf", "Melting_Curves/meltCurve_K7EP32_UBXN6.pdf")</f>
        <v>Melting_Curves/meltCurve_K7EP32_UBXN6.pdf</v>
      </c>
    </row>
    <row r="834" spans="1:28" x14ac:dyDescent="0.25">
      <c r="A834" t="s">
        <v>838</v>
      </c>
      <c r="B834">
        <v>0.99352677808782597</v>
      </c>
      <c r="C834">
        <v>1.04694461031188</v>
      </c>
      <c r="D834">
        <v>0.99727423050816999</v>
      </c>
      <c r="E834">
        <v>0.805909821011358</v>
      </c>
      <c r="F834">
        <v>0.65040057121163697</v>
      </c>
      <c r="G834">
        <v>0.579340841693324</v>
      </c>
      <c r="H834">
        <v>0.45307661581817898</v>
      </c>
      <c r="I834">
        <v>0.39142462169803699</v>
      </c>
      <c r="J834">
        <v>0.332808711613722</v>
      </c>
      <c r="K834">
        <v>0.22724154018901299</v>
      </c>
      <c r="L834">
        <v>611.60516253245805</v>
      </c>
      <c r="M834">
        <v>10.923385369593399</v>
      </c>
      <c r="N834">
        <v>58.707257043820299</v>
      </c>
      <c r="O834">
        <v>54.212016147674497</v>
      </c>
      <c r="P834">
        <v>-4.0393366126978303E-2</v>
      </c>
      <c r="Q834">
        <v>0.19839974587707301</v>
      </c>
      <c r="R834">
        <v>0.97527817333837497</v>
      </c>
      <c r="S834" t="s">
        <v>7119</v>
      </c>
      <c r="T834" t="s">
        <v>12568</v>
      </c>
      <c r="U834" t="s">
        <v>12568</v>
      </c>
      <c r="V834" t="s">
        <v>12568</v>
      </c>
      <c r="W834" t="s">
        <v>13382</v>
      </c>
      <c r="X834">
        <v>4</v>
      </c>
      <c r="Y834" t="s">
        <v>19607</v>
      </c>
      <c r="Z834" t="s">
        <v>25704</v>
      </c>
      <c r="AA834">
        <v>0.64248319115383845</v>
      </c>
      <c r="AB834" t="str">
        <f>HYPERLINK("Melting_Curves/meltCurve_K7EPS8_C19orf12.pdf", "Melting_Curves/meltCurve_K7EPS8_C19orf12.pdf")</f>
        <v>Melting_Curves/meltCurve_K7EPS8_C19orf12.pdf</v>
      </c>
    </row>
    <row r="835" spans="1:28" x14ac:dyDescent="0.25">
      <c r="A835" t="s">
        <v>839</v>
      </c>
      <c r="B835">
        <v>0.99352677808782597</v>
      </c>
      <c r="C835">
        <v>1.0808008316814099</v>
      </c>
      <c r="D835">
        <v>1.12949934068979</v>
      </c>
      <c r="E835">
        <v>0.92431690126982502</v>
      </c>
      <c r="F835">
        <v>0.90537539609576501</v>
      </c>
      <c r="G835">
        <v>0.47932189191956998</v>
      </c>
      <c r="H835">
        <v>0.26666761173911102</v>
      </c>
      <c r="I835">
        <v>0.33701893248810799</v>
      </c>
      <c r="J835">
        <v>0.33792435316849101</v>
      </c>
      <c r="K835">
        <v>0.25303121880358598</v>
      </c>
      <c r="L835">
        <v>2156.8353407351301</v>
      </c>
      <c r="M835">
        <v>38.911700003555701</v>
      </c>
      <c r="N835">
        <v>56.720338826164699</v>
      </c>
      <c r="O835">
        <v>55.2831922579769</v>
      </c>
      <c r="P835">
        <v>-0.124261424331041</v>
      </c>
      <c r="Q835">
        <v>0.293831894009636</v>
      </c>
      <c r="R835">
        <v>0.97074582669925102</v>
      </c>
      <c r="S835" t="s">
        <v>7120</v>
      </c>
      <c r="T835" t="s">
        <v>12568</v>
      </c>
      <c r="U835" t="s">
        <v>12568</v>
      </c>
      <c r="V835" t="s">
        <v>12568</v>
      </c>
      <c r="W835" t="s">
        <v>13383</v>
      </c>
      <c r="X835">
        <v>3</v>
      </c>
      <c r="Y835" t="s">
        <v>19608</v>
      </c>
      <c r="Z835" t="s">
        <v>25705</v>
      </c>
      <c r="AA835">
        <v>0.65985732770594541</v>
      </c>
      <c r="AB835" t="str">
        <f>HYPERLINK("Melting_Curves/meltCurve_K7EQU4_SAFB2.pdf", "Melting_Curves/meltCurve_K7EQU4_SAFB2.pdf")</f>
        <v>Melting_Curves/meltCurve_K7EQU4_SAFB2.pdf</v>
      </c>
    </row>
    <row r="836" spans="1:28" x14ac:dyDescent="0.25">
      <c r="A836" t="s">
        <v>840</v>
      </c>
      <c r="B836">
        <v>0.99352677808782597</v>
      </c>
      <c r="C836">
        <v>1.02752385089856</v>
      </c>
      <c r="D836">
        <v>0.97785626830786698</v>
      </c>
      <c r="E836">
        <v>0.77929382466039099</v>
      </c>
      <c r="F836">
        <v>0.67615111873455802</v>
      </c>
      <c r="G836">
        <v>0.522341449208794</v>
      </c>
      <c r="H836">
        <v>0.49648039057622501</v>
      </c>
      <c r="I836">
        <v>0.51615450818111397</v>
      </c>
      <c r="J836">
        <v>0.39384107698773402</v>
      </c>
      <c r="K836">
        <v>0.310427303231333</v>
      </c>
      <c r="L836">
        <v>722.19844408455003</v>
      </c>
      <c r="M836">
        <v>13.592577293867601</v>
      </c>
      <c r="N836">
        <v>58.890543486783898</v>
      </c>
      <c r="O836">
        <v>52.021380020198201</v>
      </c>
      <c r="P836">
        <v>-4.1312404879880402E-2</v>
      </c>
      <c r="Q836">
        <v>0.36765216345873902</v>
      </c>
      <c r="R836">
        <v>0.963387497027967</v>
      </c>
      <c r="S836" t="s">
        <v>7121</v>
      </c>
      <c r="T836" t="s">
        <v>12568</v>
      </c>
      <c r="U836" t="s">
        <v>12568</v>
      </c>
      <c r="V836" t="s">
        <v>12568</v>
      </c>
      <c r="W836" t="s">
        <v>13384</v>
      </c>
      <c r="X836">
        <v>7</v>
      </c>
      <c r="Y836" t="s">
        <v>19609</v>
      </c>
      <c r="Z836" t="s">
        <v>25706</v>
      </c>
      <c r="AA836">
        <v>0.65984533353216435</v>
      </c>
      <c r="AB836" t="str">
        <f>HYPERLINK("Melting_Curves/meltCurve_K7EQW8_TPM4.pdf", "Melting_Curves/meltCurve_K7EQW8_TPM4.pdf")</f>
        <v>Melting_Curves/meltCurve_K7EQW8_TPM4.pdf</v>
      </c>
    </row>
    <row r="837" spans="1:28" x14ac:dyDescent="0.25">
      <c r="A837" t="s">
        <v>841</v>
      </c>
      <c r="B837">
        <v>0.99352677808782597</v>
      </c>
      <c r="C837">
        <v>0.85300918285735505</v>
      </c>
      <c r="D837">
        <v>0.89054392022575501</v>
      </c>
      <c r="E837">
        <v>0.95348902870216701</v>
      </c>
      <c r="F837">
        <v>0.95554763554929101</v>
      </c>
      <c r="G837">
        <v>0.94771727644748405</v>
      </c>
      <c r="H837">
        <v>1.10981483212534</v>
      </c>
      <c r="I837">
        <v>1.0272309729228</v>
      </c>
      <c r="J837">
        <v>0.87308357288210703</v>
      </c>
      <c r="K837">
        <v>0.84568340945994402</v>
      </c>
      <c r="L837">
        <v>1.0000000000000001E-5</v>
      </c>
      <c r="M837">
        <v>1.55247825729225</v>
      </c>
      <c r="Q837">
        <v>0.93331246106111099</v>
      </c>
      <c r="R837">
        <v>-6.0307270288717498E-10</v>
      </c>
      <c r="S837" t="s">
        <v>7122</v>
      </c>
      <c r="T837" t="s">
        <v>12568</v>
      </c>
      <c r="U837" t="s">
        <v>12568</v>
      </c>
      <c r="V837" t="s">
        <v>12568</v>
      </c>
      <c r="W837" t="s">
        <v>13233</v>
      </c>
      <c r="X837">
        <v>5</v>
      </c>
      <c r="Z837" t="s">
        <v>25707</v>
      </c>
      <c r="AA837">
        <v>0.9449646844374533</v>
      </c>
      <c r="AB837" t="str">
        <f>HYPERLINK("Melting_Curves/meltCurve_K7EQZ3_.pdf", "Melting_Curves/meltCurve_K7EQZ3_.pdf")</f>
        <v>Melting_Curves/meltCurve_K7EQZ3_.pdf</v>
      </c>
    </row>
    <row r="838" spans="1:28" x14ac:dyDescent="0.25">
      <c r="A838" t="s">
        <v>842</v>
      </c>
      <c r="B838">
        <v>0.99352677808782597</v>
      </c>
      <c r="C838">
        <v>0.98534243675450806</v>
      </c>
      <c r="D838">
        <v>0.97381488240773095</v>
      </c>
      <c r="E838">
        <v>0.51037392244499402</v>
      </c>
      <c r="F838">
        <v>0.41167105429569101</v>
      </c>
      <c r="G838">
        <v>0.171842399245212</v>
      </c>
      <c r="H838">
        <v>0.12265292494961599</v>
      </c>
      <c r="I838">
        <v>0.111994239203641</v>
      </c>
      <c r="J838">
        <v>9.9063216958828207E-2</v>
      </c>
      <c r="K838">
        <v>7.2548138129328102E-2</v>
      </c>
      <c r="L838">
        <v>1040.0486661084601</v>
      </c>
      <c r="M838">
        <v>20.5792491645125</v>
      </c>
      <c r="N838">
        <v>51.055716391942902</v>
      </c>
      <c r="O838">
        <v>50.068752182193997</v>
      </c>
      <c r="P838">
        <v>-9.30929713909526E-2</v>
      </c>
      <c r="Q838">
        <v>9.4055707636539906E-2</v>
      </c>
      <c r="R838">
        <v>0.98680095514681998</v>
      </c>
      <c r="S838" t="s">
        <v>7123</v>
      </c>
      <c r="T838" t="s">
        <v>12568</v>
      </c>
      <c r="U838" t="s">
        <v>12568</v>
      </c>
      <c r="V838" t="s">
        <v>12568</v>
      </c>
      <c r="W838" t="s">
        <v>13385</v>
      </c>
      <c r="X838">
        <v>6</v>
      </c>
      <c r="Y838" t="s">
        <v>19610</v>
      </c>
      <c r="Z838" t="s">
        <v>25708</v>
      </c>
      <c r="AA838">
        <v>0.42422568232489549</v>
      </c>
      <c r="AB838" t="str">
        <f>HYPERLINK("Melting_Curves/meltCurve_K7ERF1_EIF3K.pdf", "Melting_Curves/meltCurve_K7ERF1_EIF3K.pdf")</f>
        <v>Melting_Curves/meltCurve_K7ERF1_EIF3K.pdf</v>
      </c>
    </row>
    <row r="839" spans="1:28" x14ac:dyDescent="0.25">
      <c r="A839" t="s">
        <v>843</v>
      </c>
      <c r="B839">
        <v>0.99352677808782597</v>
      </c>
      <c r="C839">
        <v>1.0084321888096199</v>
      </c>
      <c r="D839">
        <v>1.0151170296244001</v>
      </c>
      <c r="E839">
        <v>0.77887652052247602</v>
      </c>
      <c r="F839">
        <v>0.71828681357655499</v>
      </c>
      <c r="G839">
        <v>0.69159833923213898</v>
      </c>
      <c r="H839">
        <v>0.50821568568589603</v>
      </c>
      <c r="I839">
        <v>0.57269511084365499</v>
      </c>
      <c r="J839">
        <v>0.47339209602187898</v>
      </c>
      <c r="K839">
        <v>0.530713521545914</v>
      </c>
      <c r="L839">
        <v>787.14049653067502</v>
      </c>
      <c r="M839">
        <v>15.004948927611601</v>
      </c>
      <c r="O839">
        <v>51.553419156415202</v>
      </c>
      <c r="P839">
        <v>-3.6173361610799898E-2</v>
      </c>
      <c r="Q839">
        <v>0.50291795273897899</v>
      </c>
      <c r="R839">
        <v>0.94883194326312204</v>
      </c>
      <c r="S839" t="s">
        <v>7124</v>
      </c>
      <c r="T839" t="s">
        <v>12568</v>
      </c>
      <c r="U839" t="s">
        <v>12568</v>
      </c>
      <c r="V839" t="s">
        <v>12568</v>
      </c>
      <c r="W839" t="s">
        <v>13386</v>
      </c>
      <c r="X839">
        <v>1</v>
      </c>
      <c r="Y839" t="s">
        <v>19611</v>
      </c>
      <c r="Z839" t="s">
        <v>25709</v>
      </c>
      <c r="AA839">
        <v>0.72027610324924918</v>
      </c>
      <c r="AB839" t="str">
        <f>HYPERLINK("Melting_Curves/meltCurve_K7ERI9_APOC1.pdf", "Melting_Curves/meltCurve_K7ERI9_APOC1.pdf")</f>
        <v>Melting_Curves/meltCurve_K7ERI9_APOC1.pdf</v>
      </c>
    </row>
    <row r="840" spans="1:28" x14ac:dyDescent="0.25">
      <c r="A840" t="s">
        <v>844</v>
      </c>
      <c r="B840">
        <v>0.99352677808782597</v>
      </c>
      <c r="C840">
        <v>1.0287098459033599</v>
      </c>
      <c r="D840">
        <v>0.88519477413568604</v>
      </c>
      <c r="E840">
        <v>0.69468223496484904</v>
      </c>
      <c r="F840">
        <v>0.63186664066553799</v>
      </c>
      <c r="G840">
        <v>0.42797973608913198</v>
      </c>
      <c r="H840">
        <v>0.36376666472304903</v>
      </c>
      <c r="I840">
        <v>0.30883663368038</v>
      </c>
      <c r="J840">
        <v>0.32042128976786999</v>
      </c>
      <c r="K840">
        <v>0.21087766714579101</v>
      </c>
      <c r="L840">
        <v>661.24631727688097</v>
      </c>
      <c r="M840">
        <v>12.5472998649433</v>
      </c>
      <c r="N840">
        <v>55.401112091604801</v>
      </c>
      <c r="O840">
        <v>51.415404652520003</v>
      </c>
      <c r="P840">
        <v>-4.7061133827874899E-2</v>
      </c>
      <c r="Q840">
        <v>0.22878204978226499</v>
      </c>
      <c r="R840">
        <v>0.98424170928921595</v>
      </c>
      <c r="S840" t="s">
        <v>7125</v>
      </c>
      <c r="T840" t="s">
        <v>12568</v>
      </c>
      <c r="U840" t="s">
        <v>12568</v>
      </c>
      <c r="V840" t="s">
        <v>12568</v>
      </c>
      <c r="W840" t="s">
        <v>13387</v>
      </c>
      <c r="X840">
        <v>27</v>
      </c>
      <c r="Y840" t="s">
        <v>19612</v>
      </c>
      <c r="Z840" t="s">
        <v>25710</v>
      </c>
      <c r="AA840">
        <v>0.57656986197256666</v>
      </c>
      <c r="AB840" t="str">
        <f>HYPERLINK("Melting_Curves/meltCurve_K7ES11_UBE2O.pdf", "Melting_Curves/meltCurve_K7ES11_UBE2O.pdf")</f>
        <v>Melting_Curves/meltCurve_K7ES11_UBE2O.pdf</v>
      </c>
    </row>
    <row r="841" spans="1:28" x14ac:dyDescent="0.25">
      <c r="A841" t="s">
        <v>845</v>
      </c>
      <c r="B841">
        <v>0.99352677808782597</v>
      </c>
      <c r="C841">
        <v>0.89498819266044605</v>
      </c>
      <c r="D841">
        <v>0.98021089504232295</v>
      </c>
      <c r="E841">
        <v>0.81329171884367302</v>
      </c>
      <c r="F841">
        <v>0.778213454859078</v>
      </c>
      <c r="G841">
        <v>0.68533315427073205</v>
      </c>
      <c r="H841">
        <v>0.64038188056769196</v>
      </c>
      <c r="I841">
        <v>0.73848876724118195</v>
      </c>
      <c r="J841">
        <v>0.694201880587063</v>
      </c>
      <c r="K841">
        <v>0.62064961605730895</v>
      </c>
      <c r="L841">
        <v>707.53802739214996</v>
      </c>
      <c r="M841">
        <v>14.1354079644763</v>
      </c>
      <c r="O841">
        <v>49.084453157091303</v>
      </c>
      <c r="P841">
        <v>-2.4728542475535201E-2</v>
      </c>
      <c r="Q841">
        <v>0.65656948758229405</v>
      </c>
      <c r="R841">
        <v>0.88533250519610196</v>
      </c>
      <c r="S841" t="s">
        <v>7126</v>
      </c>
      <c r="T841" t="s">
        <v>12568</v>
      </c>
      <c r="U841" t="s">
        <v>12568</v>
      </c>
      <c r="V841" t="s">
        <v>12568</v>
      </c>
      <c r="W841" t="s">
        <v>13388</v>
      </c>
      <c r="X841">
        <v>1</v>
      </c>
      <c r="Y841" t="s">
        <v>19613</v>
      </c>
      <c r="Z841" t="s">
        <v>25711</v>
      </c>
      <c r="AA841">
        <v>0.78073277244663786</v>
      </c>
      <c r="AB841" t="str">
        <f>HYPERLINK("Melting_Curves/meltCurve_K7ES54_FSTL3.pdf", "Melting_Curves/meltCurve_K7ES54_FSTL3.pdf")</f>
        <v>Melting_Curves/meltCurve_K7ES54_FSTL3.pdf</v>
      </c>
    </row>
    <row r="842" spans="1:28" x14ac:dyDescent="0.25">
      <c r="A842" t="s">
        <v>846</v>
      </c>
      <c r="B842">
        <v>0.99352677808782597</v>
      </c>
      <c r="C842">
        <v>1.0256818512133801</v>
      </c>
      <c r="D842">
        <v>1.0588543114567699</v>
      </c>
      <c r="E842">
        <v>0.96852939684600503</v>
      </c>
      <c r="F842">
        <v>1.0025607601012501</v>
      </c>
      <c r="G842">
        <v>0.75519174016508706</v>
      </c>
      <c r="H842">
        <v>0.73580412978994503</v>
      </c>
      <c r="I842">
        <v>0.76024229209877503</v>
      </c>
      <c r="J842">
        <v>0.79509313360599498</v>
      </c>
      <c r="K842">
        <v>0.68492666680396797</v>
      </c>
      <c r="L842">
        <v>14074.0536330834</v>
      </c>
      <c r="M842">
        <v>250</v>
      </c>
      <c r="O842">
        <v>56.292595200325898</v>
      </c>
      <c r="P842">
        <v>-0.28421074970503302</v>
      </c>
      <c r="Q842">
        <v>0.74401655283194801</v>
      </c>
      <c r="R842">
        <v>0.93729735350910404</v>
      </c>
      <c r="S842" t="s">
        <v>7127</v>
      </c>
      <c r="T842" t="s">
        <v>12568</v>
      </c>
      <c r="U842" t="s">
        <v>12568</v>
      </c>
      <c r="V842" t="s">
        <v>12568</v>
      </c>
      <c r="W842" t="s">
        <v>13389</v>
      </c>
      <c r="X842">
        <v>15</v>
      </c>
      <c r="Y842" t="s">
        <v>19614</v>
      </c>
      <c r="Z842" t="s">
        <v>25712</v>
      </c>
      <c r="AA842">
        <v>0.88309388279474155</v>
      </c>
      <c r="AB842" t="str">
        <f>HYPERLINK("Melting_Curves/meltCurve_K7ESE3_RAD23A.pdf", "Melting_Curves/meltCurve_K7ESE3_RAD23A.pdf")</f>
        <v>Melting_Curves/meltCurve_K7ESE3_RAD23A.pdf</v>
      </c>
    </row>
    <row r="843" spans="1:28" x14ac:dyDescent="0.25">
      <c r="A843" t="s">
        <v>847</v>
      </c>
      <c r="B843">
        <v>0.99352677808782597</v>
      </c>
      <c r="C843">
        <v>0.99541602268485996</v>
      </c>
      <c r="D843">
        <v>0.93982167047974197</v>
      </c>
      <c r="E843">
        <v>0.76426610012094198</v>
      </c>
      <c r="F843">
        <v>0.60912642430800101</v>
      </c>
      <c r="G843">
        <v>0.36881403595583101</v>
      </c>
      <c r="H843">
        <v>0.15265193189354101</v>
      </c>
      <c r="I843">
        <v>0.13943131371818601</v>
      </c>
      <c r="J843">
        <v>0.122659936521711</v>
      </c>
      <c r="K843">
        <v>0.12907113538032999</v>
      </c>
      <c r="L843">
        <v>866.56800230690703</v>
      </c>
      <c r="M843">
        <v>16.127436697643098</v>
      </c>
      <c r="N843">
        <v>54.342660064563603</v>
      </c>
      <c r="O843">
        <v>52.926751302983398</v>
      </c>
      <c r="P843">
        <v>-6.9874994648318201E-2</v>
      </c>
      <c r="Q843">
        <v>8.2811387290314994E-2</v>
      </c>
      <c r="R843">
        <v>0.996493856855444</v>
      </c>
      <c r="S843" t="s">
        <v>7128</v>
      </c>
      <c r="T843" t="s">
        <v>12568</v>
      </c>
      <c r="U843" t="s">
        <v>12568</v>
      </c>
      <c r="V843" t="s">
        <v>12568</v>
      </c>
      <c r="W843" t="s">
        <v>13390</v>
      </c>
      <c r="X843">
        <v>32</v>
      </c>
      <c r="Y843" t="s">
        <v>19615</v>
      </c>
      <c r="Z843" t="s">
        <v>25713</v>
      </c>
      <c r="AA843">
        <v>0.51998357481837509</v>
      </c>
      <c r="AB843" t="str">
        <f>HYPERLINK("Melting_Curves/meltCurve_K7ESI9_DNM2.pdf", "Melting_Curves/meltCurve_K7ESI9_DNM2.pdf")</f>
        <v>Melting_Curves/meltCurve_K7ESI9_DNM2.pdf</v>
      </c>
    </row>
    <row r="844" spans="1:28" x14ac:dyDescent="0.25">
      <c r="A844" t="s">
        <v>848</v>
      </c>
      <c r="B844">
        <v>0.99352677808782597</v>
      </c>
      <c r="C844">
        <v>0.97325836729583703</v>
      </c>
      <c r="D844">
        <v>0.90028380857839396</v>
      </c>
      <c r="E844">
        <v>0.45580865588636399</v>
      </c>
      <c r="F844">
        <v>0.483080896129366</v>
      </c>
      <c r="G844">
        <v>0.34656745739130601</v>
      </c>
      <c r="H844">
        <v>0.16966105771992501</v>
      </c>
      <c r="I844">
        <v>0.15626597163400199</v>
      </c>
      <c r="J844">
        <v>0.154940540751521</v>
      </c>
      <c r="K844">
        <v>0.120194344826237</v>
      </c>
      <c r="L844">
        <v>720.48112135117799</v>
      </c>
      <c r="M844">
        <v>14.2535499820077</v>
      </c>
      <c r="N844">
        <v>51.599476890714698</v>
      </c>
      <c r="O844">
        <v>49.583772457046997</v>
      </c>
      <c r="P844">
        <v>-6.2812129363736702E-2</v>
      </c>
      <c r="Q844">
        <v>0.12609091370905701</v>
      </c>
      <c r="R844">
        <v>0.96733011663169499</v>
      </c>
      <c r="S844" t="s">
        <v>7129</v>
      </c>
      <c r="T844" t="s">
        <v>12568</v>
      </c>
      <c r="U844" t="s">
        <v>12568</v>
      </c>
      <c r="V844" t="s">
        <v>12568</v>
      </c>
      <c r="W844" t="s">
        <v>13391</v>
      </c>
      <c r="X844">
        <v>2</v>
      </c>
      <c r="Y844" t="s">
        <v>19616</v>
      </c>
      <c r="Z844" t="s">
        <v>25714</v>
      </c>
      <c r="AA844">
        <v>0.45566269073744198</v>
      </c>
      <c r="AB844" t="str">
        <f>HYPERLINK("Melting_Curves/meltCurve_K7ESN2_ZCCHC2.pdf", "Melting_Curves/meltCurve_K7ESN2_ZCCHC2.pdf")</f>
        <v>Melting_Curves/meltCurve_K7ESN2_ZCCHC2.pdf</v>
      </c>
    </row>
    <row r="845" spans="1:28" x14ac:dyDescent="0.25">
      <c r="A845" t="s">
        <v>849</v>
      </c>
      <c r="B845">
        <v>0.99352677808782597</v>
      </c>
      <c r="C845">
        <v>0.99085473452505601</v>
      </c>
      <c r="D845">
        <v>0.87495437454102998</v>
      </c>
      <c r="E845">
        <v>0.33250741364520903</v>
      </c>
      <c r="F845">
        <v>0.25894778073567898</v>
      </c>
      <c r="G845">
        <v>0.13409173945749001</v>
      </c>
      <c r="H845">
        <v>0.103959381148353</v>
      </c>
      <c r="I845">
        <v>9.5632033473959002E-2</v>
      </c>
      <c r="J845">
        <v>6.6691151793597706E-2</v>
      </c>
      <c r="K845">
        <v>5.1503621207557998E-2</v>
      </c>
      <c r="L845">
        <v>1327.8543679873501</v>
      </c>
      <c r="M845">
        <v>27.294689062936001</v>
      </c>
      <c r="N845">
        <v>49.021826952024398</v>
      </c>
      <c r="O845">
        <v>48.389946137217898</v>
      </c>
      <c r="P845">
        <v>-0.12779272488124299</v>
      </c>
      <c r="Q845">
        <v>9.3769143424980897E-2</v>
      </c>
      <c r="R845">
        <v>0.99065942838896504</v>
      </c>
      <c r="S845" t="s">
        <v>7130</v>
      </c>
      <c r="T845" t="s">
        <v>12568</v>
      </c>
      <c r="U845" t="s">
        <v>12568</v>
      </c>
      <c r="V845" t="s">
        <v>12568</v>
      </c>
      <c r="W845" t="s">
        <v>13392</v>
      </c>
      <c r="X845">
        <v>13</v>
      </c>
      <c r="Y845" t="s">
        <v>19617</v>
      </c>
      <c r="Z845" t="s">
        <v>25715</v>
      </c>
      <c r="AA845">
        <v>0.36170883204877519</v>
      </c>
      <c r="AB845" t="str">
        <f>HYPERLINK("Melting_Curves/meltCurve_M0QWZ7_SARS2.pdf", "Melting_Curves/meltCurve_M0QWZ7_SARS2.pdf")</f>
        <v>Melting_Curves/meltCurve_M0QWZ7_SARS2.pdf</v>
      </c>
    </row>
    <row r="846" spans="1:28" x14ac:dyDescent="0.25">
      <c r="A846" t="s">
        <v>850</v>
      </c>
      <c r="B846">
        <v>0.99352677808782597</v>
      </c>
      <c r="C846">
        <v>0.95361639986362101</v>
      </c>
      <c r="D846">
        <v>0.75570366549918599</v>
      </c>
      <c r="E846">
        <v>0.43714895231531098</v>
      </c>
      <c r="F846">
        <v>0.36151071134327301</v>
      </c>
      <c r="G846">
        <v>0.27491034797055802</v>
      </c>
      <c r="H846">
        <v>0.295065218329985</v>
      </c>
      <c r="I846">
        <v>0.31455944831103799</v>
      </c>
      <c r="J846">
        <v>0.44699177218420799</v>
      </c>
      <c r="K846">
        <v>0.343707234980904</v>
      </c>
      <c r="L846">
        <v>1341.72039996683</v>
      </c>
      <c r="M846">
        <v>28.619211226107399</v>
      </c>
      <c r="N846">
        <v>48.776172694241602</v>
      </c>
      <c r="O846">
        <v>46.654700954739297</v>
      </c>
      <c r="P846">
        <v>-0.10191095448779899</v>
      </c>
      <c r="Q846">
        <v>0.33546907150564598</v>
      </c>
      <c r="R846">
        <v>0.97261406743588397</v>
      </c>
      <c r="S846" t="s">
        <v>7131</v>
      </c>
      <c r="T846" t="s">
        <v>12568</v>
      </c>
      <c r="U846" t="s">
        <v>12568</v>
      </c>
      <c r="V846" t="s">
        <v>12568</v>
      </c>
      <c r="W846" t="s">
        <v>13393</v>
      </c>
      <c r="X846">
        <v>16</v>
      </c>
      <c r="Y846" t="s">
        <v>19618</v>
      </c>
      <c r="Z846" t="s">
        <v>25716</v>
      </c>
      <c r="AA846">
        <v>0.49232641947024669</v>
      </c>
      <c r="AB846" t="str">
        <f>HYPERLINK("Melting_Curves/meltCurve_M0QX35_PAF1.pdf", "Melting_Curves/meltCurve_M0QX35_PAF1.pdf")</f>
        <v>Melting_Curves/meltCurve_M0QX35_PAF1.pdf</v>
      </c>
    </row>
    <row r="847" spans="1:28" x14ac:dyDescent="0.25">
      <c r="A847" t="s">
        <v>851</v>
      </c>
      <c r="B847">
        <v>0.99352677808782597</v>
      </c>
      <c r="C847">
        <v>0.99150706469060501</v>
      </c>
      <c r="D847">
        <v>1.0419429288652899</v>
      </c>
      <c r="E847">
        <v>1.0138598253236699</v>
      </c>
      <c r="F847">
        <v>0.94293897070799604</v>
      </c>
      <c r="G847">
        <v>0.97990979195191996</v>
      </c>
      <c r="H847">
        <v>0.88986933464089002</v>
      </c>
      <c r="I847">
        <v>1.0394621436406299</v>
      </c>
      <c r="J847">
        <v>0.96497120172198703</v>
      </c>
      <c r="K847">
        <v>0.87573156317295198</v>
      </c>
      <c r="L847">
        <v>571.74529796976901</v>
      </c>
      <c r="M847">
        <v>5.8638623090404502</v>
      </c>
      <c r="Q847">
        <v>0</v>
      </c>
      <c r="R847">
        <v>0.29604149956329301</v>
      </c>
      <c r="S847" t="s">
        <v>7132</v>
      </c>
      <c r="T847" t="s">
        <v>12568</v>
      </c>
      <c r="U847" t="s">
        <v>12568</v>
      </c>
      <c r="V847" t="s">
        <v>12568</v>
      </c>
      <c r="W847" t="s">
        <v>13394</v>
      </c>
      <c r="X847">
        <v>6</v>
      </c>
      <c r="Y847" t="s">
        <v>19619</v>
      </c>
      <c r="Z847" t="s">
        <v>25717</v>
      </c>
      <c r="AA847">
        <v>0.97790363581382544</v>
      </c>
      <c r="AB847" t="str">
        <f>HYPERLINK("Melting_Curves/meltCurve_M0QXZ5_ZNF428.pdf", "Melting_Curves/meltCurve_M0QXZ5_ZNF428.pdf")</f>
        <v>Melting_Curves/meltCurve_M0QXZ5_ZNF428.pdf</v>
      </c>
    </row>
    <row r="848" spans="1:28" x14ac:dyDescent="0.25">
      <c r="A848" t="s">
        <v>852</v>
      </c>
      <c r="B848">
        <v>0.99352677808782597</v>
      </c>
      <c r="C848">
        <v>0.99029810356468195</v>
      </c>
      <c r="D848">
        <v>1.0054413916417599</v>
      </c>
      <c r="E848">
        <v>0.80302660795787395</v>
      </c>
      <c r="F848">
        <v>0.72326417109325203</v>
      </c>
      <c r="G848">
        <v>0.60759417643977398</v>
      </c>
      <c r="H848">
        <v>0.53356685049095698</v>
      </c>
      <c r="I848">
        <v>0.58481416420741705</v>
      </c>
      <c r="J848">
        <v>0.57273214000797501</v>
      </c>
      <c r="K848">
        <v>0.50287766618040297</v>
      </c>
      <c r="L848">
        <v>1040.2560095633501</v>
      </c>
      <c r="M848">
        <v>20.216686816943199</v>
      </c>
      <c r="O848">
        <v>50.959795270991499</v>
      </c>
      <c r="P848">
        <v>-4.5343353333803703E-2</v>
      </c>
      <c r="Q848">
        <v>0.54282993768529897</v>
      </c>
      <c r="R848">
        <v>0.97897143411264098</v>
      </c>
      <c r="S848" t="s">
        <v>7133</v>
      </c>
      <c r="T848" t="s">
        <v>12568</v>
      </c>
      <c r="U848" t="s">
        <v>12568</v>
      </c>
      <c r="V848" t="s">
        <v>12568</v>
      </c>
      <c r="W848" t="s">
        <v>13395</v>
      </c>
      <c r="X848">
        <v>2</v>
      </c>
      <c r="Y848" t="s">
        <v>19620</v>
      </c>
      <c r="Z848" t="s">
        <v>25718</v>
      </c>
      <c r="AA848">
        <v>0.723611755398057</v>
      </c>
      <c r="AB848" t="str">
        <f>HYPERLINK("Melting_Curves/meltCurve_M0QYJ8_GMFG.pdf", "Melting_Curves/meltCurve_M0QYJ8_GMFG.pdf")</f>
        <v>Melting_Curves/meltCurve_M0QYJ8_GMFG.pdf</v>
      </c>
    </row>
    <row r="849" spans="1:28" x14ac:dyDescent="0.25">
      <c r="A849" t="s">
        <v>853</v>
      </c>
      <c r="B849">
        <v>0.99352677808782597</v>
      </c>
      <c r="C849">
        <v>0.95639375026802498</v>
      </c>
      <c r="D849">
        <v>0.82051054207816398</v>
      </c>
      <c r="E849">
        <v>0.81260438156471104</v>
      </c>
      <c r="F849">
        <v>0.63481276393267705</v>
      </c>
      <c r="G849">
        <v>0.43351461220870402</v>
      </c>
      <c r="H849">
        <v>0.38012076418725399</v>
      </c>
      <c r="I849">
        <v>0.41311284745702098</v>
      </c>
      <c r="J849">
        <v>0.39884477612476898</v>
      </c>
      <c r="K849">
        <v>0.304883163750859</v>
      </c>
      <c r="L849">
        <v>651.82626200585196</v>
      </c>
      <c r="M849">
        <v>12.502166604291199</v>
      </c>
      <c r="N849">
        <v>56.580582480641702</v>
      </c>
      <c r="O849">
        <v>50.857069056360302</v>
      </c>
      <c r="P849">
        <v>-4.2248878310766298E-2</v>
      </c>
      <c r="Q849">
        <v>0.312691165271543</v>
      </c>
      <c r="R849">
        <v>0.97011337240676698</v>
      </c>
      <c r="S849" t="s">
        <v>7134</v>
      </c>
      <c r="T849" t="s">
        <v>12568</v>
      </c>
      <c r="U849" t="s">
        <v>12568</v>
      </c>
      <c r="V849" t="s">
        <v>12568</v>
      </c>
      <c r="W849" t="s">
        <v>13396</v>
      </c>
      <c r="X849">
        <v>7</v>
      </c>
      <c r="Y849" t="s">
        <v>19621</v>
      </c>
      <c r="Z849" t="s">
        <v>25719</v>
      </c>
      <c r="AA849">
        <v>0.61052499069171062</v>
      </c>
      <c r="AB849" t="str">
        <f>HYPERLINK("Melting_Curves/meltCurve_M0QYM7_TUBB4A.pdf", "Melting_Curves/meltCurve_M0QYM7_TUBB4A.pdf")</f>
        <v>Melting_Curves/meltCurve_M0QYM7_TUBB4A.pdf</v>
      </c>
    </row>
    <row r="850" spans="1:28" x14ac:dyDescent="0.25">
      <c r="A850" t="s">
        <v>854</v>
      </c>
      <c r="B850">
        <v>0.99352677808782597</v>
      </c>
      <c r="C850">
        <v>0.87620436870599205</v>
      </c>
      <c r="D850">
        <v>0.65181609275889996</v>
      </c>
      <c r="E850">
        <v>0.33255642501905802</v>
      </c>
      <c r="F850">
        <v>0.35551140537881498</v>
      </c>
      <c r="G850">
        <v>0.288508709406745</v>
      </c>
      <c r="H850">
        <v>0.170160334293816</v>
      </c>
      <c r="I850">
        <v>0.1962832502811</v>
      </c>
      <c r="J850">
        <v>0.115009979568187</v>
      </c>
      <c r="K850">
        <v>0.119552477763681</v>
      </c>
      <c r="L850">
        <v>725.95081191454096</v>
      </c>
      <c r="M850">
        <v>15.3697129856678</v>
      </c>
      <c r="N850">
        <v>48.407334098314003</v>
      </c>
      <c r="O850">
        <v>46.454653484826999</v>
      </c>
      <c r="P850">
        <v>-6.9844148499204395E-2</v>
      </c>
      <c r="Q850">
        <v>0.15566759569685701</v>
      </c>
      <c r="R850">
        <v>0.97429949473727095</v>
      </c>
      <c r="S850" t="s">
        <v>7135</v>
      </c>
      <c r="T850" t="s">
        <v>12568</v>
      </c>
      <c r="U850" t="s">
        <v>12568</v>
      </c>
      <c r="V850" t="s">
        <v>12568</v>
      </c>
      <c r="W850" t="s">
        <v>13397</v>
      </c>
      <c r="X850">
        <v>1</v>
      </c>
      <c r="Y850" t="s">
        <v>19622</v>
      </c>
      <c r="Z850" t="s">
        <v>25720</v>
      </c>
      <c r="AA850">
        <v>0.38074186075121519</v>
      </c>
      <c r="AB850" t="str">
        <f>HYPERLINK("Melting_Curves/meltCurve_M0QZ09_SIRT6.pdf", "Melting_Curves/meltCurve_M0QZ09_SIRT6.pdf")</f>
        <v>Melting_Curves/meltCurve_M0QZ09_SIRT6.pdf</v>
      </c>
    </row>
    <row r="851" spans="1:28" x14ac:dyDescent="0.25">
      <c r="A851" t="s">
        <v>855</v>
      </c>
      <c r="B851">
        <v>0.99352677808782597</v>
      </c>
      <c r="C851">
        <v>0.95222680403073201</v>
      </c>
      <c r="D851">
        <v>0.95514530498899697</v>
      </c>
      <c r="E851">
        <v>0.72994213509565598</v>
      </c>
      <c r="F851">
        <v>0.62581211452902696</v>
      </c>
      <c r="G851">
        <v>0.39477187629375798</v>
      </c>
      <c r="H851">
        <v>0.25389287948802902</v>
      </c>
      <c r="I851">
        <v>0.19211593867059601</v>
      </c>
      <c r="J851">
        <v>0.163621698963304</v>
      </c>
      <c r="K851">
        <v>0.14006630708066101</v>
      </c>
      <c r="L851">
        <v>718.35600750517096</v>
      </c>
      <c r="M851">
        <v>13.3100524033553</v>
      </c>
      <c r="N851">
        <v>54.8630663622898</v>
      </c>
      <c r="O851">
        <v>52.796286068313698</v>
      </c>
      <c r="P851">
        <v>-5.6901718171608003E-2</v>
      </c>
      <c r="Q851">
        <v>9.73090693981285E-2</v>
      </c>
      <c r="R851">
        <v>0.99669231579691397</v>
      </c>
      <c r="S851" t="s">
        <v>7136</v>
      </c>
      <c r="T851" t="s">
        <v>12568</v>
      </c>
      <c r="U851" t="s">
        <v>12568</v>
      </c>
      <c r="V851" t="s">
        <v>12568</v>
      </c>
      <c r="W851" t="s">
        <v>13398</v>
      </c>
      <c r="X851">
        <v>4</v>
      </c>
      <c r="Y851" t="s">
        <v>19623</v>
      </c>
      <c r="Z851" t="s">
        <v>25721</v>
      </c>
      <c r="AA851">
        <v>0.53899964619089669</v>
      </c>
      <c r="AB851" t="str">
        <f>HYPERLINK("Melting_Curves/meltCurve_M0QZ22_SAMD4B.pdf", "Melting_Curves/meltCurve_M0QZ22_SAMD4B.pdf")</f>
        <v>Melting_Curves/meltCurve_M0QZ22_SAMD4B.pdf</v>
      </c>
    </row>
    <row r="852" spans="1:28" x14ac:dyDescent="0.25">
      <c r="A852" t="s">
        <v>856</v>
      </c>
      <c r="B852">
        <v>0.99352677808782597</v>
      </c>
      <c r="C852">
        <v>0.95180215136950597</v>
      </c>
      <c r="D852">
        <v>1.0286746028585401</v>
      </c>
      <c r="E852">
        <v>0.50439331816278699</v>
      </c>
      <c r="F852">
        <v>0.44519897239851403</v>
      </c>
      <c r="G852">
        <v>0.29796199182482203</v>
      </c>
      <c r="H852">
        <v>0.236042467006326</v>
      </c>
      <c r="I852">
        <v>0.24632432676622701</v>
      </c>
      <c r="J852">
        <v>0.26475012313797702</v>
      </c>
      <c r="K852">
        <v>0.24895774480570901</v>
      </c>
      <c r="L852">
        <v>1564.43541061323</v>
      </c>
      <c r="M852">
        <v>31.6287170910404</v>
      </c>
      <c r="N852">
        <v>50.6878219395944</v>
      </c>
      <c r="O852">
        <v>49.266031798897998</v>
      </c>
      <c r="P852">
        <v>-0.11760853334799901</v>
      </c>
      <c r="Q852">
        <v>0.26723867198927298</v>
      </c>
      <c r="R852">
        <v>0.97381637866815896</v>
      </c>
      <c r="S852" t="s">
        <v>7137</v>
      </c>
      <c r="T852" t="s">
        <v>12568</v>
      </c>
      <c r="U852" t="s">
        <v>12568</v>
      </c>
      <c r="V852" t="s">
        <v>12568</v>
      </c>
      <c r="W852" t="s">
        <v>13399</v>
      </c>
      <c r="X852">
        <v>19</v>
      </c>
      <c r="Y852" t="s">
        <v>19624</v>
      </c>
      <c r="Z852" t="s">
        <v>25722</v>
      </c>
      <c r="AA852">
        <v>0.50239913733883301</v>
      </c>
      <c r="AB852" t="str">
        <f>HYPERLINK("Melting_Curves/meltCurve_M0QZM1_HNRNPM.pdf", "Melting_Curves/meltCurve_M0QZM1_HNRNPM.pdf")</f>
        <v>Melting_Curves/meltCurve_M0QZM1_HNRNPM.pdf</v>
      </c>
    </row>
    <row r="853" spans="1:28" x14ac:dyDescent="0.25">
      <c r="A853" t="s">
        <v>857</v>
      </c>
      <c r="B853">
        <v>0.99352677808782597</v>
      </c>
      <c r="C853">
        <v>0.97475147720496202</v>
      </c>
      <c r="D853">
        <v>0.79801562683169303</v>
      </c>
      <c r="E853">
        <v>0.33612496283693</v>
      </c>
      <c r="F853">
        <v>0.26566000373742099</v>
      </c>
      <c r="G853">
        <v>0.14482681719182899</v>
      </c>
      <c r="H853">
        <v>9.7430281097791796E-2</v>
      </c>
      <c r="I853">
        <v>8.8210384806719402E-2</v>
      </c>
      <c r="J853">
        <v>7.5415011650887001E-2</v>
      </c>
      <c r="K853">
        <v>5.6797840774659998E-2</v>
      </c>
      <c r="L853">
        <v>1070.24439700779</v>
      </c>
      <c r="M853">
        <v>22.106968104839101</v>
      </c>
      <c r="N853">
        <v>48.835818476219004</v>
      </c>
      <c r="O853">
        <v>48.021172041928601</v>
      </c>
      <c r="P853">
        <v>-0.105048061751598</v>
      </c>
      <c r="Q853">
        <v>8.7270555340907996E-2</v>
      </c>
      <c r="R853">
        <v>0.99300207454846101</v>
      </c>
      <c r="S853" t="s">
        <v>7138</v>
      </c>
      <c r="T853" t="s">
        <v>12568</v>
      </c>
      <c r="U853" t="s">
        <v>12568</v>
      </c>
      <c r="V853" t="s">
        <v>12568</v>
      </c>
      <c r="W853" t="s">
        <v>13400</v>
      </c>
      <c r="X853">
        <v>36</v>
      </c>
      <c r="Y853" t="s">
        <v>19625</v>
      </c>
      <c r="Z853" t="s">
        <v>25723</v>
      </c>
      <c r="AA853">
        <v>0.35364448477560401</v>
      </c>
      <c r="AB853" t="str">
        <f>HYPERLINK("Melting_Curves/meltCurve_M0QZR4_ARHGEF1.pdf", "Melting_Curves/meltCurve_M0QZR4_ARHGEF1.pdf")</f>
        <v>Melting_Curves/meltCurve_M0QZR4_ARHGEF1.pdf</v>
      </c>
    </row>
    <row r="854" spans="1:28" x14ac:dyDescent="0.25">
      <c r="A854" t="s">
        <v>858</v>
      </c>
      <c r="B854">
        <v>0.99352677808782597</v>
      </c>
      <c r="C854">
        <v>0.97474331121119395</v>
      </c>
      <c r="D854">
        <v>0.91275814262990795</v>
      </c>
      <c r="E854">
        <v>0.73245939065603405</v>
      </c>
      <c r="F854">
        <v>0.59296258227224097</v>
      </c>
      <c r="G854">
        <v>0.38297382177112499</v>
      </c>
      <c r="H854">
        <v>0.25623489502157598</v>
      </c>
      <c r="I854">
        <v>0.18915113384972401</v>
      </c>
      <c r="J854">
        <v>0.15546751087437599</v>
      </c>
      <c r="K854">
        <v>0.101552312102014</v>
      </c>
      <c r="L854">
        <v>663.586527265276</v>
      </c>
      <c r="M854">
        <v>12.2777767455635</v>
      </c>
      <c r="N854">
        <v>54.660598397338802</v>
      </c>
      <c r="O854">
        <v>52.673973625131801</v>
      </c>
      <c r="P854">
        <v>-5.4537662156117203E-2</v>
      </c>
      <c r="Q854">
        <v>6.4299047305358195E-2</v>
      </c>
      <c r="R854">
        <v>0.99911205417803195</v>
      </c>
      <c r="S854" t="s">
        <v>7139</v>
      </c>
      <c r="T854" t="s">
        <v>12568</v>
      </c>
      <c r="U854" t="s">
        <v>12568</v>
      </c>
      <c r="V854" t="s">
        <v>12568</v>
      </c>
      <c r="W854" t="s">
        <v>13401</v>
      </c>
      <c r="X854">
        <v>3</v>
      </c>
      <c r="Y854" t="s">
        <v>19626</v>
      </c>
      <c r="Z854" t="s">
        <v>25724</v>
      </c>
      <c r="AA854">
        <v>0.52626398266225438</v>
      </c>
      <c r="AB854" t="str">
        <f>HYPERLINK("Melting_Curves/meltCurve_M0R0B4_KXD1.pdf", "Melting_Curves/meltCurve_M0R0B4_KXD1.pdf")</f>
        <v>Melting_Curves/meltCurve_M0R0B4_KXD1.pdf</v>
      </c>
    </row>
    <row r="855" spans="1:28" x14ac:dyDescent="0.25">
      <c r="A855" t="s">
        <v>859</v>
      </c>
      <c r="B855">
        <v>0.99352677808782597</v>
      </c>
      <c r="C855">
        <v>0.68771463858757298</v>
      </c>
      <c r="D855">
        <v>0.68172583592229996</v>
      </c>
      <c r="E855">
        <v>0.39112441570553602</v>
      </c>
      <c r="F855">
        <v>0.37793625757828903</v>
      </c>
      <c r="G855">
        <v>0.23107273674634701</v>
      </c>
      <c r="H855">
        <v>0.188004014383788</v>
      </c>
      <c r="I855">
        <v>0.150748328721582</v>
      </c>
      <c r="J855">
        <v>0.12960664494658899</v>
      </c>
      <c r="K855">
        <v>0.10630538224029799</v>
      </c>
      <c r="L855">
        <v>498.69048863022601</v>
      </c>
      <c r="M855">
        <v>10.4314353139125</v>
      </c>
      <c r="N855">
        <v>48.731947630526101</v>
      </c>
      <c r="O855">
        <v>46.1497557766154</v>
      </c>
      <c r="P855">
        <v>-5.1452236808565803E-2</v>
      </c>
      <c r="Q855">
        <v>8.9856390065479394E-2</v>
      </c>
      <c r="R855">
        <v>0.96649487772505205</v>
      </c>
      <c r="S855" t="s">
        <v>7140</v>
      </c>
      <c r="T855" t="s">
        <v>12568</v>
      </c>
      <c r="U855" t="s">
        <v>12568</v>
      </c>
      <c r="V855" t="s">
        <v>12568</v>
      </c>
      <c r="W855" t="s">
        <v>13402</v>
      </c>
      <c r="X855">
        <v>6</v>
      </c>
      <c r="Y855" t="s">
        <v>19627</v>
      </c>
      <c r="Z855" t="s">
        <v>25725</v>
      </c>
      <c r="AA855">
        <v>0.37246994616633822</v>
      </c>
      <c r="AB855" t="str">
        <f>HYPERLINK("Melting_Curves/meltCurve_M0R0F0_RPS5.pdf", "Melting_Curves/meltCurve_M0R0F0_RPS5.pdf")</f>
        <v>Melting_Curves/meltCurve_M0R0F0_RPS5.pdf</v>
      </c>
    </row>
    <row r="856" spans="1:28" x14ac:dyDescent="0.25">
      <c r="A856" t="s">
        <v>860</v>
      </c>
      <c r="B856">
        <v>0.99352677808782597</v>
      </c>
      <c r="C856">
        <v>0.88275322141897306</v>
      </c>
      <c r="D856">
        <v>0.72867169756494099</v>
      </c>
      <c r="E856">
        <v>0.388075765114195</v>
      </c>
      <c r="F856">
        <v>0.32174926068236798</v>
      </c>
      <c r="G856">
        <v>0.22918622712435199</v>
      </c>
      <c r="H856">
        <v>0.17318565315984</v>
      </c>
      <c r="I856">
        <v>0.18083490072031799</v>
      </c>
      <c r="J856">
        <v>0.152029667870131</v>
      </c>
      <c r="K856">
        <v>0.12712704481899501</v>
      </c>
      <c r="L856">
        <v>798.72690883163796</v>
      </c>
      <c r="M856">
        <v>16.699694063686</v>
      </c>
      <c r="N856">
        <v>48.896444202069297</v>
      </c>
      <c r="O856">
        <v>47.158771802784202</v>
      </c>
      <c r="P856">
        <v>-7.5009389572714094E-2</v>
      </c>
      <c r="Q856">
        <v>0.15277083621241</v>
      </c>
      <c r="R856">
        <v>0.99452256556388596</v>
      </c>
      <c r="S856" t="s">
        <v>7141</v>
      </c>
      <c r="T856" t="s">
        <v>12568</v>
      </c>
      <c r="U856" t="s">
        <v>12568</v>
      </c>
      <c r="V856" t="s">
        <v>12568</v>
      </c>
      <c r="W856" t="s">
        <v>13403</v>
      </c>
      <c r="X856">
        <v>12</v>
      </c>
      <c r="Y856" t="s">
        <v>19628</v>
      </c>
      <c r="Z856" t="s">
        <v>25726</v>
      </c>
      <c r="AA856">
        <v>0.39153829411249857</v>
      </c>
      <c r="AB856" t="str">
        <f>HYPERLINK("Melting_Curves/meltCurve_M0R0P8_MYO9B.pdf", "Melting_Curves/meltCurve_M0R0P8_MYO9B.pdf")</f>
        <v>Melting_Curves/meltCurve_M0R0P8_MYO9B.pdf</v>
      </c>
    </row>
    <row r="857" spans="1:28" x14ac:dyDescent="0.25">
      <c r="A857" t="s">
        <v>861</v>
      </c>
      <c r="B857">
        <v>0.99352677808782597</v>
      </c>
      <c r="C857">
        <v>1.0184653305726199</v>
      </c>
      <c r="D857">
        <v>0.93329496213368701</v>
      </c>
      <c r="E857">
        <v>0.88072123842741201</v>
      </c>
      <c r="F857">
        <v>0.696013129939135</v>
      </c>
      <c r="G857">
        <v>0.56336995192589201</v>
      </c>
      <c r="H857">
        <v>0.42926251369749402</v>
      </c>
      <c r="I857">
        <v>0.23855535287589899</v>
      </c>
      <c r="J857">
        <v>0.15068590924021399</v>
      </c>
      <c r="K857">
        <v>0.11051546191629601</v>
      </c>
      <c r="L857">
        <v>659.51689750134597</v>
      </c>
      <c r="M857">
        <v>11.3603510017775</v>
      </c>
      <c r="N857">
        <v>58.054257676383898</v>
      </c>
      <c r="O857">
        <v>56.342687880536197</v>
      </c>
      <c r="P857">
        <v>-5.04224072563767E-2</v>
      </c>
      <c r="Q857">
        <v>0</v>
      </c>
      <c r="R857">
        <v>0.99099455851932905</v>
      </c>
      <c r="S857" t="s">
        <v>7142</v>
      </c>
      <c r="T857" t="s">
        <v>12568</v>
      </c>
      <c r="U857" t="s">
        <v>12568</v>
      </c>
      <c r="V857" t="s">
        <v>12568</v>
      </c>
      <c r="W857" t="s">
        <v>13404</v>
      </c>
      <c r="X857">
        <v>1</v>
      </c>
      <c r="Y857" t="s">
        <v>19629</v>
      </c>
      <c r="Z857" t="s">
        <v>25727</v>
      </c>
      <c r="AA857">
        <v>0.61362773954375871</v>
      </c>
      <c r="AB857" t="str">
        <f>HYPERLINK("Melting_Curves/meltCurve_M0R1E0_RAB4B.pdf", "Melting_Curves/meltCurve_M0R1E0_RAB4B.pdf")</f>
        <v>Melting_Curves/meltCurve_M0R1E0_RAB4B.pdf</v>
      </c>
    </row>
    <row r="858" spans="1:28" x14ac:dyDescent="0.25">
      <c r="A858" t="s">
        <v>862</v>
      </c>
      <c r="B858">
        <v>0.99352677808782597</v>
      </c>
      <c r="C858">
        <v>0.76871013805073796</v>
      </c>
      <c r="D858">
        <v>0.91172829275022804</v>
      </c>
      <c r="E858">
        <v>0.74635184570468804</v>
      </c>
      <c r="F858">
        <v>0</v>
      </c>
      <c r="G858">
        <v>1.2891848517092901</v>
      </c>
      <c r="H858">
        <v>1.36028631090508</v>
      </c>
      <c r="I858">
        <v>1.4067441710625701</v>
      </c>
      <c r="J858">
        <v>1.0792293403561499</v>
      </c>
      <c r="K858">
        <v>0.97667134247578802</v>
      </c>
      <c r="L858">
        <v>4008.4331318096501</v>
      </c>
      <c r="M858">
        <v>71.649843158227796</v>
      </c>
      <c r="O858">
        <v>55.901208280012597</v>
      </c>
      <c r="P858">
        <v>7.1466857960226601E-2</v>
      </c>
      <c r="Q858">
        <v>1.22303379162288</v>
      </c>
      <c r="R858">
        <v>0.14013728381392801</v>
      </c>
      <c r="S858" t="s">
        <v>7143</v>
      </c>
      <c r="T858" t="s">
        <v>12568</v>
      </c>
      <c r="U858" t="s">
        <v>12568</v>
      </c>
      <c r="V858" t="s">
        <v>12568</v>
      </c>
      <c r="W858" t="s">
        <v>12866</v>
      </c>
      <c r="X858">
        <v>1</v>
      </c>
      <c r="Z858" t="s">
        <v>25728</v>
      </c>
      <c r="AA858">
        <v>1.104225877920757</v>
      </c>
      <c r="AB858" t="str">
        <f>HYPERLINK("Melting_Curves/meltCurve_M0R1G4_.pdf", "Melting_Curves/meltCurve_M0R1G4_.pdf")</f>
        <v>Melting_Curves/meltCurve_M0R1G4_.pdf</v>
      </c>
    </row>
    <row r="859" spans="1:28" x14ac:dyDescent="0.25">
      <c r="A859" t="s">
        <v>863</v>
      </c>
      <c r="B859">
        <v>0.99352677808782597</v>
      </c>
      <c r="C859">
        <v>0.96534706073676502</v>
      </c>
      <c r="D859">
        <v>0.97172673194914105</v>
      </c>
      <c r="E859">
        <v>0.64232004377896401</v>
      </c>
      <c r="F859">
        <v>0.56201942401238203</v>
      </c>
      <c r="G859">
        <v>0.34588059796478199</v>
      </c>
      <c r="H859">
        <v>0.20350597321569999</v>
      </c>
      <c r="I859">
        <v>0.222878311631312</v>
      </c>
      <c r="J859">
        <v>0.15980887919894399</v>
      </c>
      <c r="K859">
        <v>0.14367625125344199</v>
      </c>
      <c r="L859">
        <v>785.21013497133004</v>
      </c>
      <c r="M859">
        <v>14.9980308618708</v>
      </c>
      <c r="N859">
        <v>53.493795495336499</v>
      </c>
      <c r="O859">
        <v>51.449913623256499</v>
      </c>
      <c r="P859">
        <v>-6.2917712755109698E-2</v>
      </c>
      <c r="Q859">
        <v>0.13674437564633099</v>
      </c>
      <c r="R859">
        <v>0.98840376274588504</v>
      </c>
      <c r="S859" t="s">
        <v>7144</v>
      </c>
      <c r="T859" t="s">
        <v>12568</v>
      </c>
      <c r="U859" t="s">
        <v>12568</v>
      </c>
      <c r="V859" t="s">
        <v>12568</v>
      </c>
      <c r="W859" t="s">
        <v>13405</v>
      </c>
      <c r="X859">
        <v>1</v>
      </c>
      <c r="Y859" t="s">
        <v>19630</v>
      </c>
      <c r="Z859" t="s">
        <v>25729</v>
      </c>
      <c r="AA859">
        <v>0.51129843005248699</v>
      </c>
      <c r="AB859" t="str">
        <f>HYPERLINK("Melting_Curves/meltCurve_M0R2G0_LRRC4B.pdf", "Melting_Curves/meltCurve_M0R2G0_LRRC4B.pdf")</f>
        <v>Melting_Curves/meltCurve_M0R2G0_LRRC4B.pdf</v>
      </c>
    </row>
    <row r="860" spans="1:28" x14ac:dyDescent="0.25">
      <c r="A860" t="s">
        <v>864</v>
      </c>
      <c r="B860">
        <v>0.99352677808782597</v>
      </c>
      <c r="C860">
        <v>0.86407326499366799</v>
      </c>
      <c r="D860">
        <v>0.75886882933158095</v>
      </c>
      <c r="E860">
        <v>1.1419013141152401</v>
      </c>
      <c r="F860">
        <v>0.83544470375538205</v>
      </c>
      <c r="G860">
        <v>0.66938672336898097</v>
      </c>
      <c r="H860">
        <v>0.39025549271960203</v>
      </c>
      <c r="I860">
        <v>0.36901513156614901</v>
      </c>
      <c r="J860">
        <v>0.45024001071520098</v>
      </c>
      <c r="K860">
        <v>0.29205976354903701</v>
      </c>
      <c r="L860">
        <v>1531.7534301839</v>
      </c>
      <c r="M860">
        <v>27.112511161740301</v>
      </c>
      <c r="N860">
        <v>59.1283589444703</v>
      </c>
      <c r="O860">
        <v>56.191536767984402</v>
      </c>
      <c r="P860">
        <v>-7.8353690277602098E-2</v>
      </c>
      <c r="Q860">
        <v>0.35044453733083403</v>
      </c>
      <c r="R860">
        <v>0.84015774138916899</v>
      </c>
      <c r="S860" t="s">
        <v>7145</v>
      </c>
      <c r="T860" t="s">
        <v>12568</v>
      </c>
      <c r="U860" t="s">
        <v>12568</v>
      </c>
      <c r="V860" t="s">
        <v>12568</v>
      </c>
      <c r="W860" t="s">
        <v>13406</v>
      </c>
      <c r="X860">
        <v>5</v>
      </c>
      <c r="Y860" t="s">
        <v>19631</v>
      </c>
      <c r="Z860" t="s">
        <v>25730</v>
      </c>
      <c r="AA860">
        <v>0.71279070470389316</v>
      </c>
      <c r="AB860" t="str">
        <f>HYPERLINK("Melting_Curves/meltCurve_M0R2P6_SHKBP1.pdf", "Melting_Curves/meltCurve_M0R2P6_SHKBP1.pdf")</f>
        <v>Melting_Curves/meltCurve_M0R2P6_SHKBP1.pdf</v>
      </c>
    </row>
    <row r="861" spans="1:28" x14ac:dyDescent="0.25">
      <c r="A861" t="s">
        <v>865</v>
      </c>
      <c r="B861">
        <v>0.99352677808782597</v>
      </c>
      <c r="C861">
        <v>1.06856835656297</v>
      </c>
      <c r="D861">
        <v>0.86406774890037397</v>
      </c>
      <c r="E861">
        <v>0.87019657004030104</v>
      </c>
      <c r="F861">
        <v>0.67420914713849101</v>
      </c>
      <c r="G861">
        <v>0.53473941770009503</v>
      </c>
      <c r="H861">
        <v>0.66564825658716598</v>
      </c>
      <c r="I861">
        <v>0.57785801523693803</v>
      </c>
      <c r="J861">
        <v>0.713331987171125</v>
      </c>
      <c r="K861">
        <v>0.532249450967751</v>
      </c>
      <c r="L861">
        <v>1223.8620906843501</v>
      </c>
      <c r="M861">
        <v>24.327394829110698</v>
      </c>
      <c r="O861">
        <v>49.971741648633497</v>
      </c>
      <c r="P861">
        <v>-4.8640071704318402E-2</v>
      </c>
      <c r="Q861">
        <v>0.60035299744123805</v>
      </c>
      <c r="R861">
        <v>0.85363607799919095</v>
      </c>
      <c r="S861" t="s">
        <v>7146</v>
      </c>
      <c r="T861" t="s">
        <v>12568</v>
      </c>
      <c r="U861" t="s">
        <v>12568</v>
      </c>
      <c r="V861" t="s">
        <v>12568</v>
      </c>
      <c r="W861" t="s">
        <v>13407</v>
      </c>
      <c r="X861">
        <v>2</v>
      </c>
      <c r="Y861" t="s">
        <v>19632</v>
      </c>
      <c r="Z861" t="s">
        <v>25731</v>
      </c>
      <c r="AA861">
        <v>0.74145514661024847</v>
      </c>
      <c r="AB861" t="str">
        <f>HYPERLINK("Melting_Curves/meltCurve_M0R3D4_RABAC1.pdf", "Melting_Curves/meltCurve_M0R3D4_RABAC1.pdf")</f>
        <v>Melting_Curves/meltCurve_M0R3D4_RABAC1.pdf</v>
      </c>
    </row>
    <row r="862" spans="1:28" x14ac:dyDescent="0.25">
      <c r="A862" t="s">
        <v>866</v>
      </c>
      <c r="B862">
        <v>0.99352677808782597</v>
      </c>
      <c r="C862">
        <v>0.87157288005755396</v>
      </c>
      <c r="D862">
        <v>0.70891695596132498</v>
      </c>
      <c r="E862">
        <v>0.32028739792379801</v>
      </c>
      <c r="F862">
        <v>0.26919434588073898</v>
      </c>
      <c r="G862">
        <v>0.19520629486589799</v>
      </c>
      <c r="H862">
        <v>0.14984996531612099</v>
      </c>
      <c r="I862">
        <v>0.16648833293076101</v>
      </c>
      <c r="J862">
        <v>0.15014780854124099</v>
      </c>
      <c r="K862">
        <v>0.13448568900966301</v>
      </c>
      <c r="L862">
        <v>938.80954729609402</v>
      </c>
      <c r="M862">
        <v>19.898290613127902</v>
      </c>
      <c r="N862">
        <v>48.052603181107301</v>
      </c>
      <c r="O862">
        <v>46.711645128088598</v>
      </c>
      <c r="P862">
        <v>-9.0356908921854398E-2</v>
      </c>
      <c r="Q862">
        <v>0.151569395199944</v>
      </c>
      <c r="R862">
        <v>0.99477759026185797</v>
      </c>
      <c r="S862" t="s">
        <v>7147</v>
      </c>
      <c r="T862" t="s">
        <v>12568</v>
      </c>
      <c r="U862" t="s">
        <v>12568</v>
      </c>
      <c r="V862" t="s">
        <v>12568</v>
      </c>
      <c r="W862" t="s">
        <v>13408</v>
      </c>
      <c r="X862">
        <v>16</v>
      </c>
      <c r="Y862" t="s">
        <v>19633</v>
      </c>
      <c r="Z862" t="s">
        <v>25732</v>
      </c>
      <c r="AA862">
        <v>0.36711295943971711</v>
      </c>
      <c r="AB862" t="str">
        <f>HYPERLINK("Melting_Curves/meltCurve_O00139_2_KIF2A.pdf", "Melting_Curves/meltCurve_O00139_2_KIF2A.pdf")</f>
        <v>Melting_Curves/meltCurve_O00139_2_KIF2A.pdf</v>
      </c>
    </row>
    <row r="863" spans="1:28" x14ac:dyDescent="0.25">
      <c r="A863" t="s">
        <v>867</v>
      </c>
      <c r="B863">
        <v>0.99352677808782597</v>
      </c>
      <c r="C863">
        <v>0.75768492734492399</v>
      </c>
      <c r="D863">
        <v>0.55834225442823704</v>
      </c>
      <c r="E863">
        <v>0.37810507437575902</v>
      </c>
      <c r="F863">
        <v>0.32802701204824602</v>
      </c>
      <c r="G863">
        <v>0.213815060864117</v>
      </c>
      <c r="H863">
        <v>0.17075199606661301</v>
      </c>
      <c r="I863">
        <v>0.16873659648463199</v>
      </c>
      <c r="J863">
        <v>0.138613048241299</v>
      </c>
      <c r="K863">
        <v>0.105768054729264</v>
      </c>
      <c r="L863">
        <v>604.46359015299402</v>
      </c>
      <c r="M863">
        <v>12.988366819807499</v>
      </c>
      <c r="N863">
        <v>47.654927349602602</v>
      </c>
      <c r="O863">
        <v>45.4770745957968</v>
      </c>
      <c r="P863">
        <v>-6.2048286081778301E-2</v>
      </c>
      <c r="Q863">
        <v>0.13113806973754</v>
      </c>
      <c r="R863">
        <v>0.98280676619610796</v>
      </c>
      <c r="S863" t="s">
        <v>7148</v>
      </c>
      <c r="T863" t="s">
        <v>12568</v>
      </c>
      <c r="U863" t="s">
        <v>12568</v>
      </c>
      <c r="V863" t="s">
        <v>12568</v>
      </c>
      <c r="W863" t="s">
        <v>13409</v>
      </c>
      <c r="X863">
        <v>18</v>
      </c>
      <c r="Y863" t="s">
        <v>19634</v>
      </c>
      <c r="Z863" t="s">
        <v>25733</v>
      </c>
      <c r="AA863">
        <v>0.35305355297030772</v>
      </c>
      <c r="AB863" t="str">
        <f>HYPERLINK("Melting_Curves/meltCurve_O00148_DDX39A.pdf", "Melting_Curves/meltCurve_O00148_DDX39A.pdf")</f>
        <v>Melting_Curves/meltCurve_O00148_DDX39A.pdf</v>
      </c>
    </row>
    <row r="864" spans="1:28" x14ac:dyDescent="0.25">
      <c r="A864" t="s">
        <v>868</v>
      </c>
      <c r="B864">
        <v>0.99352677808782597</v>
      </c>
      <c r="C864">
        <v>0.99744384971270705</v>
      </c>
      <c r="D864">
        <v>1.0251742944067499</v>
      </c>
      <c r="E864">
        <v>1.01859820841399</v>
      </c>
      <c r="F864">
        <v>0.9264323088641</v>
      </c>
      <c r="G864">
        <v>0.89443161691948303</v>
      </c>
      <c r="H864">
        <v>0.78609746248765699</v>
      </c>
      <c r="I864">
        <v>0.84525508520583104</v>
      </c>
      <c r="J864">
        <v>0.89901450006520101</v>
      </c>
      <c r="K864">
        <v>0.72594761214419201</v>
      </c>
      <c r="L864">
        <v>1340.5909008967701</v>
      </c>
      <c r="M864">
        <v>24.1977511593157</v>
      </c>
      <c r="O864">
        <v>55.027230066032601</v>
      </c>
      <c r="P864">
        <v>-2.0930761611687599E-2</v>
      </c>
      <c r="Q864">
        <v>0.80961129495980699</v>
      </c>
      <c r="R864">
        <v>0.78512550562314998</v>
      </c>
      <c r="S864" t="s">
        <v>7149</v>
      </c>
      <c r="T864" t="s">
        <v>12568</v>
      </c>
      <c r="U864" t="s">
        <v>12568</v>
      </c>
      <c r="V864" t="s">
        <v>12568</v>
      </c>
      <c r="W864" t="s">
        <v>13410</v>
      </c>
      <c r="X864">
        <v>22</v>
      </c>
      <c r="Y864" t="s">
        <v>19635</v>
      </c>
      <c r="Z864" t="s">
        <v>25734</v>
      </c>
      <c r="AA864">
        <v>0.90921154175975993</v>
      </c>
      <c r="AB864" t="str">
        <f>HYPERLINK("Melting_Curves/meltCurve_O00151_PDLIM1.pdf", "Melting_Curves/meltCurve_O00151_PDLIM1.pdf")</f>
        <v>Melting_Curves/meltCurve_O00151_PDLIM1.pdf</v>
      </c>
    </row>
    <row r="865" spans="1:28" x14ac:dyDescent="0.25">
      <c r="A865" t="s">
        <v>869</v>
      </c>
      <c r="B865">
        <v>0.99352677808782597</v>
      </c>
      <c r="C865">
        <v>0.94170834575913398</v>
      </c>
      <c r="D865">
        <v>0.82705260217445997</v>
      </c>
      <c r="E865">
        <v>0.75220982709086404</v>
      </c>
      <c r="F865">
        <v>0.68420796442038201</v>
      </c>
      <c r="G865">
        <v>0.60556063299822005</v>
      </c>
      <c r="H865">
        <v>0.59235138556156497</v>
      </c>
      <c r="I865">
        <v>0.29222994187017998</v>
      </c>
      <c r="J865">
        <v>0.11745367455578699</v>
      </c>
      <c r="K865">
        <v>7.3668853670202206E-2</v>
      </c>
      <c r="L865">
        <v>520.57388677703705</v>
      </c>
      <c r="M865">
        <v>8.9475428960799501</v>
      </c>
      <c r="N865">
        <v>58.180652813012102</v>
      </c>
      <c r="O865">
        <v>55.494743120813503</v>
      </c>
      <c r="P865">
        <v>-4.0337992680198602E-2</v>
      </c>
      <c r="Q865">
        <v>0</v>
      </c>
      <c r="R865">
        <v>0.91737494303460498</v>
      </c>
      <c r="S865" t="s">
        <v>7150</v>
      </c>
      <c r="T865" t="s">
        <v>12568</v>
      </c>
      <c r="U865" t="s">
        <v>12568</v>
      </c>
      <c r="V865" t="s">
        <v>12568</v>
      </c>
      <c r="W865" t="s">
        <v>13411</v>
      </c>
      <c r="X865">
        <v>19</v>
      </c>
      <c r="Y865" t="s">
        <v>19636</v>
      </c>
      <c r="Z865" t="s">
        <v>25735</v>
      </c>
      <c r="AA865">
        <v>0.61182371312611783</v>
      </c>
      <c r="AB865" t="str">
        <f>HYPERLINK("Melting_Curves/meltCurve_O00154_4_ACOT7.pdf", "Melting_Curves/meltCurve_O00154_4_ACOT7.pdf")</f>
        <v>Melting_Curves/meltCurve_O00154_4_ACOT7.pdf</v>
      </c>
    </row>
    <row r="866" spans="1:28" x14ac:dyDescent="0.25">
      <c r="A866" t="s">
        <v>870</v>
      </c>
      <c r="B866">
        <v>0.99352677808782597</v>
      </c>
      <c r="C866">
        <v>0.44748599934944999</v>
      </c>
      <c r="D866">
        <v>0.41070364172756002</v>
      </c>
      <c r="E866">
        <v>0.17514984317849</v>
      </c>
      <c r="F866">
        <v>0.14470314982384599</v>
      </c>
      <c r="G866">
        <v>7.18156328509858E-2</v>
      </c>
      <c r="H866">
        <v>4.7145158282597202E-2</v>
      </c>
      <c r="I866">
        <v>4.3780265362491001E-2</v>
      </c>
      <c r="J866">
        <v>3.36507089036217E-2</v>
      </c>
      <c r="K866">
        <v>2.7335981627342999E-2</v>
      </c>
      <c r="L866">
        <v>733.83087592198501</v>
      </c>
      <c r="M866">
        <v>16.746257136289898</v>
      </c>
      <c r="N866">
        <v>44.097908936140698</v>
      </c>
      <c r="O866">
        <v>43.210021176278097</v>
      </c>
      <c r="P866">
        <v>-9.2052478768560903E-2</v>
      </c>
      <c r="Q866">
        <v>4.9977859661986299E-2</v>
      </c>
      <c r="R866">
        <v>0.93194744821327602</v>
      </c>
      <c r="S866" t="s">
        <v>7151</v>
      </c>
      <c r="T866" t="s">
        <v>12568</v>
      </c>
      <c r="U866" t="s">
        <v>12568</v>
      </c>
      <c r="V866" t="s">
        <v>12568</v>
      </c>
      <c r="W866" t="s">
        <v>13412</v>
      </c>
      <c r="X866">
        <v>39</v>
      </c>
      <c r="Y866" t="s">
        <v>19637</v>
      </c>
      <c r="Z866" t="s">
        <v>25736</v>
      </c>
      <c r="AA866">
        <v>0.1990993946296466</v>
      </c>
      <c r="AB866" t="str">
        <f>HYPERLINK("Melting_Curves/meltCurve_O00159_MYO1C.pdf", "Melting_Curves/meltCurve_O00159_MYO1C.pdf")</f>
        <v>Melting_Curves/meltCurve_O00159_MYO1C.pdf</v>
      </c>
    </row>
    <row r="867" spans="1:28" x14ac:dyDescent="0.25">
      <c r="A867" t="s">
        <v>871</v>
      </c>
      <c r="B867">
        <v>0.99352677808782597</v>
      </c>
      <c r="C867">
        <v>0.95546459706583797</v>
      </c>
      <c r="D867">
        <v>0.973156836603706</v>
      </c>
      <c r="E867">
        <v>0.92598067579486398</v>
      </c>
      <c r="F867">
        <v>0.77963077459718999</v>
      </c>
      <c r="G867">
        <v>0.74569999547583599</v>
      </c>
      <c r="H867">
        <v>0.63298461051011601</v>
      </c>
      <c r="I867">
        <v>0.66785043904385499</v>
      </c>
      <c r="J867">
        <v>0.657534903312049</v>
      </c>
      <c r="K867">
        <v>0.59707748445306696</v>
      </c>
      <c r="L867">
        <v>805.11511043770804</v>
      </c>
      <c r="M867">
        <v>15.111416962773101</v>
      </c>
      <c r="O867">
        <v>52.371695833008403</v>
      </c>
      <c r="P867">
        <v>-2.7736144893634601E-2</v>
      </c>
      <c r="Q867">
        <v>0.61553664608084302</v>
      </c>
      <c r="R867">
        <v>0.96700281528953602</v>
      </c>
      <c r="S867" t="s">
        <v>7152</v>
      </c>
      <c r="T867" t="s">
        <v>12568</v>
      </c>
      <c r="U867" t="s">
        <v>12568</v>
      </c>
      <c r="V867" t="s">
        <v>12568</v>
      </c>
      <c r="W867" t="s">
        <v>13413</v>
      </c>
      <c r="X867">
        <v>7</v>
      </c>
      <c r="Y867" t="s">
        <v>19638</v>
      </c>
      <c r="Z867" t="s">
        <v>25737</v>
      </c>
      <c r="AA867">
        <v>0.7937995837742754</v>
      </c>
      <c r="AB867" t="str">
        <f>HYPERLINK("Melting_Curves/meltCurve_O00161_SNAP23.pdf", "Melting_Curves/meltCurve_O00161_SNAP23.pdf")</f>
        <v>Melting_Curves/meltCurve_O00161_SNAP23.pdf</v>
      </c>
    </row>
    <row r="868" spans="1:28" x14ac:dyDescent="0.25">
      <c r="A868" t="s">
        <v>872</v>
      </c>
      <c r="B868">
        <v>0.99352677808782597</v>
      </c>
      <c r="C868">
        <v>0.87634102711368</v>
      </c>
      <c r="D868">
        <v>0.721344961570064</v>
      </c>
      <c r="E868">
        <v>0.51975682091133502</v>
      </c>
      <c r="F868">
        <v>0.47161951602179197</v>
      </c>
      <c r="G868">
        <v>0.46278720264487699</v>
      </c>
      <c r="H868">
        <v>0.25221294504062503</v>
      </c>
      <c r="I868">
        <v>0.19642539663120201</v>
      </c>
      <c r="J868">
        <v>0.118721459338312</v>
      </c>
      <c r="K868">
        <v>0.118964763042831</v>
      </c>
      <c r="L868">
        <v>409.65144610767101</v>
      </c>
      <c r="M868">
        <v>7.7964007941106104</v>
      </c>
      <c r="N868">
        <v>52.543660736927201</v>
      </c>
      <c r="O868">
        <v>49.422924079359603</v>
      </c>
      <c r="P868">
        <v>-3.9486271320321599E-2</v>
      </c>
      <c r="Q868">
        <v>0</v>
      </c>
      <c r="R868">
        <v>0.96925240037048799</v>
      </c>
      <c r="S868" t="s">
        <v>7153</v>
      </c>
      <c r="T868" t="s">
        <v>12568</v>
      </c>
      <c r="U868" t="s">
        <v>12568</v>
      </c>
      <c r="V868" t="s">
        <v>12568</v>
      </c>
      <c r="W868" t="s">
        <v>13414</v>
      </c>
      <c r="X868">
        <v>1</v>
      </c>
      <c r="Y868" t="s">
        <v>19639</v>
      </c>
      <c r="Z868" t="s">
        <v>25738</v>
      </c>
      <c r="AA868">
        <v>0.46263307601790249</v>
      </c>
      <c r="AB868" t="str">
        <f>HYPERLINK("Melting_Curves/meltCurve_O00165_5_HAX1.pdf", "Melting_Curves/meltCurve_O00165_5_HAX1.pdf")</f>
        <v>Melting_Curves/meltCurve_O00165_5_HAX1.pdf</v>
      </c>
    </row>
    <row r="869" spans="1:28" x14ac:dyDescent="0.25">
      <c r="A869" t="s">
        <v>873</v>
      </c>
      <c r="B869">
        <v>0.99352677808782597</v>
      </c>
      <c r="C869">
        <v>0.99317532750475401</v>
      </c>
      <c r="D869">
        <v>0.97346015331989899</v>
      </c>
      <c r="E869">
        <v>0.55971042768711998</v>
      </c>
      <c r="F869">
        <v>0.487934328032188</v>
      </c>
      <c r="G869">
        <v>0.188213841102568</v>
      </c>
      <c r="H869">
        <v>0.119270053271244</v>
      </c>
      <c r="I869">
        <v>9.6464516672291598E-2</v>
      </c>
      <c r="J869">
        <v>7.76022422535841E-2</v>
      </c>
      <c r="K869">
        <v>6.0908396561782402E-2</v>
      </c>
      <c r="L869">
        <v>914.35797576325604</v>
      </c>
      <c r="M869">
        <v>17.748855099798899</v>
      </c>
      <c r="N869">
        <v>51.904215360088799</v>
      </c>
      <c r="O869">
        <v>50.875830639142897</v>
      </c>
      <c r="P869">
        <v>-8.1805409458704306E-2</v>
      </c>
      <c r="Q869">
        <v>6.2091361701147603E-2</v>
      </c>
      <c r="R869">
        <v>0.98628799850868099</v>
      </c>
      <c r="S869" t="s">
        <v>7154</v>
      </c>
      <c r="T869" t="s">
        <v>12568</v>
      </c>
      <c r="U869" t="s">
        <v>12568</v>
      </c>
      <c r="V869" t="s">
        <v>12568</v>
      </c>
      <c r="W869" t="s">
        <v>13415</v>
      </c>
      <c r="X869">
        <v>14</v>
      </c>
      <c r="Y869" t="s">
        <v>19640</v>
      </c>
      <c r="Z869" t="s">
        <v>25739</v>
      </c>
      <c r="AA869">
        <v>0.4382338419499327</v>
      </c>
      <c r="AB869" t="str">
        <f>HYPERLINK("Melting_Curves/meltCurve_O00170_AIP.pdf", "Melting_Curves/meltCurve_O00170_AIP.pdf")</f>
        <v>Melting_Curves/meltCurve_O00170_AIP.pdf</v>
      </c>
    </row>
    <row r="870" spans="1:28" x14ac:dyDescent="0.25">
      <c r="A870" t="s">
        <v>874</v>
      </c>
      <c r="B870">
        <v>0.99352677808782597</v>
      </c>
      <c r="C870">
        <v>0.97789945286105495</v>
      </c>
      <c r="D870">
        <v>0.88392942017628795</v>
      </c>
      <c r="E870">
        <v>0.49229959998726402</v>
      </c>
      <c r="F870">
        <v>0.418052301388943</v>
      </c>
      <c r="G870">
        <v>0.24811233350929801</v>
      </c>
      <c r="H870">
        <v>0.221038310306055</v>
      </c>
      <c r="I870">
        <v>0.20984767337510399</v>
      </c>
      <c r="J870">
        <v>0.169880797266005</v>
      </c>
      <c r="K870">
        <v>0.12390194456644101</v>
      </c>
      <c r="L870">
        <v>919.09040972677496</v>
      </c>
      <c r="M870">
        <v>18.507335177150299</v>
      </c>
      <c r="N870">
        <v>50.821748398559002</v>
      </c>
      <c r="O870">
        <v>49.091968246934599</v>
      </c>
      <c r="P870">
        <v>-7.8005624242131602E-2</v>
      </c>
      <c r="Q870">
        <v>0.17237565106588201</v>
      </c>
      <c r="R870">
        <v>0.98822282362129199</v>
      </c>
      <c r="S870" t="s">
        <v>7155</v>
      </c>
      <c r="T870" t="s">
        <v>12568</v>
      </c>
      <c r="U870" t="s">
        <v>12568</v>
      </c>
      <c r="V870" t="s">
        <v>12568</v>
      </c>
      <c r="W870" t="s">
        <v>13416</v>
      </c>
      <c r="X870">
        <v>8</v>
      </c>
      <c r="Y870" t="s">
        <v>19641</v>
      </c>
      <c r="Z870" t="s">
        <v>25740</v>
      </c>
      <c r="AA870">
        <v>0.45233089787824121</v>
      </c>
      <c r="AB870" t="str">
        <f>HYPERLINK("Melting_Curves/meltCurve_O00178_GTPBP1.pdf", "Melting_Curves/meltCurve_O00178_GTPBP1.pdf")</f>
        <v>Melting_Curves/meltCurve_O00178_GTPBP1.pdf</v>
      </c>
    </row>
    <row r="871" spans="1:28" x14ac:dyDescent="0.25">
      <c r="A871" t="s">
        <v>875</v>
      </c>
      <c r="B871">
        <v>0.99352677808782597</v>
      </c>
      <c r="C871">
        <v>0.78105475100204902</v>
      </c>
      <c r="D871">
        <v>0.76817331254744103</v>
      </c>
      <c r="E871">
        <v>0.52401359873048903</v>
      </c>
      <c r="F871">
        <v>0.48239274094074103</v>
      </c>
      <c r="G871">
        <v>0.20867342005547901</v>
      </c>
      <c r="H871">
        <v>8.4609634747921103E-2</v>
      </c>
      <c r="I871">
        <v>5.8083205942882701E-2</v>
      </c>
      <c r="J871">
        <v>5.0029489534678499E-2</v>
      </c>
      <c r="K871">
        <v>2.7321447391114199E-2</v>
      </c>
      <c r="L871">
        <v>562.98963246431697</v>
      </c>
      <c r="M871">
        <v>11.1009993528042</v>
      </c>
      <c r="N871">
        <v>50.7152206919571</v>
      </c>
      <c r="O871">
        <v>49.152903653261099</v>
      </c>
      <c r="P871">
        <v>-5.6479954549709201E-2</v>
      </c>
      <c r="Q871">
        <v>0</v>
      </c>
      <c r="R871">
        <v>0.97709961489985797</v>
      </c>
      <c r="S871" t="s">
        <v>7156</v>
      </c>
      <c r="T871" t="s">
        <v>12568</v>
      </c>
      <c r="U871" t="s">
        <v>12568</v>
      </c>
      <c r="V871" t="s">
        <v>12568</v>
      </c>
      <c r="W871" t="s">
        <v>13417</v>
      </c>
      <c r="X871">
        <v>3</v>
      </c>
      <c r="Y871" t="s">
        <v>19642</v>
      </c>
      <c r="Z871" t="s">
        <v>25741</v>
      </c>
      <c r="AA871">
        <v>0.39425868734817737</v>
      </c>
      <c r="AB871" t="str">
        <f>HYPERLINK("Melting_Curves/meltCurve_O00186_STXBP3.pdf", "Melting_Curves/meltCurve_O00186_STXBP3.pdf")</f>
        <v>Melting_Curves/meltCurve_O00186_STXBP3.pdf</v>
      </c>
    </row>
    <row r="872" spans="1:28" x14ac:dyDescent="0.25">
      <c r="A872" t="s">
        <v>876</v>
      </c>
      <c r="B872">
        <v>0.99352677808782597</v>
      </c>
      <c r="C872">
        <v>0.88238870843307105</v>
      </c>
      <c r="D872">
        <v>0.97847432133923795</v>
      </c>
      <c r="E872">
        <v>0.775202212946695</v>
      </c>
      <c r="F872">
        <v>0.68238422885844596</v>
      </c>
      <c r="G872">
        <v>0.49354524760993201</v>
      </c>
      <c r="H872">
        <v>0.37576869598305501</v>
      </c>
      <c r="I872">
        <v>0.35279698400466197</v>
      </c>
      <c r="J872">
        <v>0.31687396834145198</v>
      </c>
      <c r="K872">
        <v>0.13842646745739801</v>
      </c>
      <c r="L872">
        <v>502.12807543627298</v>
      </c>
      <c r="M872">
        <v>8.7869975445853203</v>
      </c>
      <c r="N872">
        <v>57.771278595825002</v>
      </c>
      <c r="O872">
        <v>54.416650762555498</v>
      </c>
      <c r="P872">
        <v>-3.8564127990894502E-2</v>
      </c>
      <c r="Q872">
        <v>4.5469902704725097E-2</v>
      </c>
      <c r="R872">
        <v>0.972092624422774</v>
      </c>
      <c r="S872" t="s">
        <v>7157</v>
      </c>
      <c r="T872" t="s">
        <v>12568</v>
      </c>
      <c r="U872" t="s">
        <v>12568</v>
      </c>
      <c r="V872" t="s">
        <v>12568</v>
      </c>
      <c r="W872" t="s">
        <v>13418</v>
      </c>
      <c r="X872">
        <v>2</v>
      </c>
      <c r="Y872" t="s">
        <v>19643</v>
      </c>
      <c r="Z872" t="s">
        <v>25742</v>
      </c>
      <c r="AA872">
        <v>0.60329290357658238</v>
      </c>
      <c r="AB872" t="str">
        <f>HYPERLINK("Melting_Curves/meltCurve_O00194_RAB27B.pdf", "Melting_Curves/meltCurve_O00194_RAB27B.pdf")</f>
        <v>Melting_Curves/meltCurve_O00194_RAB27B.pdf</v>
      </c>
    </row>
    <row r="873" spans="1:28" x14ac:dyDescent="0.25">
      <c r="A873" t="s">
        <v>877</v>
      </c>
      <c r="B873">
        <v>0.99352677808782597</v>
      </c>
      <c r="C873">
        <v>0.97011534659867604</v>
      </c>
      <c r="D873">
        <v>0.87165161765851995</v>
      </c>
      <c r="E873">
        <v>0.46014565191821899</v>
      </c>
      <c r="F873">
        <v>0.36918241800472301</v>
      </c>
      <c r="G873">
        <v>0.18913816485660401</v>
      </c>
      <c r="H873">
        <v>0.103528664110229</v>
      </c>
      <c r="I873">
        <v>9.1718443301224903E-2</v>
      </c>
      <c r="J873">
        <v>8.1782821636125602E-2</v>
      </c>
      <c r="K873">
        <v>5.6289524480418997E-2</v>
      </c>
      <c r="L873">
        <v>872.73569308995798</v>
      </c>
      <c r="M873">
        <v>17.467187725247399</v>
      </c>
      <c r="N873">
        <v>50.408693900564302</v>
      </c>
      <c r="O873">
        <v>49.323204137204399</v>
      </c>
      <c r="P873">
        <v>-8.2221122330579099E-2</v>
      </c>
      <c r="Q873">
        <v>7.1359569041442097E-2</v>
      </c>
      <c r="R873">
        <v>0.99214901476722095</v>
      </c>
      <c r="S873" t="s">
        <v>7158</v>
      </c>
      <c r="T873" t="s">
        <v>12568</v>
      </c>
      <c r="U873" t="s">
        <v>12568</v>
      </c>
      <c r="V873" t="s">
        <v>12568</v>
      </c>
      <c r="W873" t="s">
        <v>13419</v>
      </c>
      <c r="X873">
        <v>25</v>
      </c>
      <c r="Y873" t="s">
        <v>19644</v>
      </c>
      <c r="Z873" t="s">
        <v>25743</v>
      </c>
      <c r="AA873">
        <v>0.39657272750041261</v>
      </c>
      <c r="AB873" t="str">
        <f>HYPERLINK("Melting_Curves/meltCurve_O00203_AP3B1.pdf", "Melting_Curves/meltCurve_O00203_AP3B1.pdf")</f>
        <v>Melting_Curves/meltCurve_O00203_AP3B1.pdf</v>
      </c>
    </row>
    <row r="874" spans="1:28" x14ac:dyDescent="0.25">
      <c r="A874" t="s">
        <v>878</v>
      </c>
      <c r="B874">
        <v>0.99352677808782597</v>
      </c>
      <c r="C874">
        <v>0.92883891339365099</v>
      </c>
      <c r="D874">
        <v>0.80276911679345497</v>
      </c>
      <c r="E874">
        <v>0.21407805456119999</v>
      </c>
      <c r="F874">
        <v>0.15482559425408701</v>
      </c>
      <c r="G874">
        <v>9.6058807309751595E-2</v>
      </c>
      <c r="H874">
        <v>6.8378495090841304E-2</v>
      </c>
      <c r="I874">
        <v>6.4466625200403804E-2</v>
      </c>
      <c r="J874">
        <v>5.14815153106504E-2</v>
      </c>
      <c r="K874">
        <v>4.7048867851955202E-2</v>
      </c>
      <c r="L874">
        <v>1529.4907188089201</v>
      </c>
      <c r="M874">
        <v>32.063711170118701</v>
      </c>
      <c r="N874">
        <v>47.925767679788102</v>
      </c>
      <c r="O874">
        <v>47.517192214631898</v>
      </c>
      <c r="P874">
        <v>-0.15694946794499801</v>
      </c>
      <c r="Q874">
        <v>6.9631852330899399E-2</v>
      </c>
      <c r="R874">
        <v>0.99495937819204305</v>
      </c>
      <c r="S874" t="s">
        <v>7159</v>
      </c>
      <c r="T874" t="s">
        <v>12568</v>
      </c>
      <c r="U874" t="s">
        <v>12568</v>
      </c>
      <c r="V874" t="s">
        <v>12568</v>
      </c>
      <c r="W874" t="s">
        <v>13420</v>
      </c>
      <c r="X874">
        <v>6</v>
      </c>
      <c r="Y874" t="s">
        <v>19645</v>
      </c>
      <c r="Z874" t="s">
        <v>25744</v>
      </c>
      <c r="AA874">
        <v>0.31333611809952289</v>
      </c>
      <c r="AB874" t="str">
        <f>HYPERLINK("Melting_Curves/meltCurve_O00204_2_SULT2B1.pdf", "Melting_Curves/meltCurve_O00204_2_SULT2B1.pdf")</f>
        <v>Melting_Curves/meltCurve_O00204_2_SULT2B1.pdf</v>
      </c>
    </row>
    <row r="875" spans="1:28" x14ac:dyDescent="0.25">
      <c r="A875" t="s">
        <v>879</v>
      </c>
      <c r="B875">
        <v>0.99352677808782597</v>
      </c>
      <c r="C875">
        <v>0.933513324872838</v>
      </c>
      <c r="D875">
        <v>0.90614312965641497</v>
      </c>
      <c r="E875">
        <v>0.57309877601443804</v>
      </c>
      <c r="F875">
        <v>0.53835897245108899</v>
      </c>
      <c r="G875">
        <v>0.41651627909077299</v>
      </c>
      <c r="H875">
        <v>0.30962343476132898</v>
      </c>
      <c r="I875">
        <v>0.32324077165209503</v>
      </c>
      <c r="J875">
        <v>0.31904973821592397</v>
      </c>
      <c r="K875">
        <v>0.27235731066750402</v>
      </c>
      <c r="L875">
        <v>761.16016727733495</v>
      </c>
      <c r="M875">
        <v>15.2151792300204</v>
      </c>
      <c r="N875">
        <v>53.051117361095301</v>
      </c>
      <c r="O875">
        <v>49.186092809786402</v>
      </c>
      <c r="P875">
        <v>-5.4912873682455697E-2</v>
      </c>
      <c r="Q875">
        <v>0.29000083748279099</v>
      </c>
      <c r="R875">
        <v>0.98290959607823702</v>
      </c>
      <c r="S875" t="s">
        <v>7160</v>
      </c>
      <c r="T875" t="s">
        <v>12568</v>
      </c>
      <c r="U875" t="s">
        <v>12568</v>
      </c>
      <c r="V875" t="s">
        <v>12568</v>
      </c>
      <c r="W875" t="s">
        <v>13421</v>
      </c>
      <c r="X875">
        <v>3</v>
      </c>
      <c r="Y875" t="s">
        <v>19646</v>
      </c>
      <c r="Z875" t="s">
        <v>25745</v>
      </c>
      <c r="AA875">
        <v>0.54378564317178724</v>
      </c>
      <c r="AB875" t="str">
        <f>HYPERLINK("Melting_Curves/meltCurve_O00213_2_APBB1.pdf", "Melting_Curves/meltCurve_O00213_2_APBB1.pdf")</f>
        <v>Melting_Curves/meltCurve_O00213_2_APBB1.pdf</v>
      </c>
    </row>
    <row r="876" spans="1:28" x14ac:dyDescent="0.25">
      <c r="A876" t="s">
        <v>880</v>
      </c>
      <c r="B876">
        <v>0.99352677808782597</v>
      </c>
      <c r="C876">
        <v>0.98115528892122095</v>
      </c>
      <c r="D876">
        <v>0.97585690369304601</v>
      </c>
      <c r="E876">
        <v>0.91756404502323097</v>
      </c>
      <c r="F876">
        <v>0.82849240816629199</v>
      </c>
      <c r="G876">
        <v>0.76972395113042902</v>
      </c>
      <c r="H876">
        <v>0.65604733028071804</v>
      </c>
      <c r="I876">
        <v>0.68637593148716902</v>
      </c>
      <c r="J876">
        <v>0.71623127455281299</v>
      </c>
      <c r="K876">
        <v>0.54945197024089698</v>
      </c>
      <c r="L876">
        <v>604.86999360635798</v>
      </c>
      <c r="M876">
        <v>10.847148605384101</v>
      </c>
      <c r="O876">
        <v>53.968173534999899</v>
      </c>
      <c r="P876">
        <v>-2.1289727614986001E-2</v>
      </c>
      <c r="Q876">
        <v>0.57645689009130896</v>
      </c>
      <c r="R876">
        <v>0.93499348363135404</v>
      </c>
      <c r="S876" t="s">
        <v>7161</v>
      </c>
      <c r="T876" t="s">
        <v>12568</v>
      </c>
      <c r="U876" t="s">
        <v>12568</v>
      </c>
      <c r="V876" t="s">
        <v>12568</v>
      </c>
      <c r="W876" t="s">
        <v>13422</v>
      </c>
      <c r="X876">
        <v>3</v>
      </c>
      <c r="Y876" t="s">
        <v>19647</v>
      </c>
      <c r="Z876" t="s">
        <v>25746</v>
      </c>
      <c r="AA876">
        <v>0.80829783280450285</v>
      </c>
      <c r="AB876" t="str">
        <f>HYPERLINK("Melting_Curves/meltCurve_O00220_TNFRSF10A.pdf", "Melting_Curves/meltCurve_O00220_TNFRSF10A.pdf")</f>
        <v>Melting_Curves/meltCurve_O00220_TNFRSF10A.pdf</v>
      </c>
    </row>
    <row r="877" spans="1:28" x14ac:dyDescent="0.25">
      <c r="A877" t="s">
        <v>881</v>
      </c>
      <c r="B877">
        <v>0.99352677808782597</v>
      </c>
      <c r="C877">
        <v>1.0186894771805599</v>
      </c>
      <c r="D877">
        <v>0.93697530570610899</v>
      </c>
      <c r="E877">
        <v>0.63257080982974401</v>
      </c>
      <c r="F877">
        <v>0.52467298939865903</v>
      </c>
      <c r="G877">
        <v>0.34964599737289398</v>
      </c>
      <c r="H877">
        <v>0.29927599150634598</v>
      </c>
      <c r="I877">
        <v>0.31494253637305702</v>
      </c>
      <c r="J877">
        <v>0.28668870132734298</v>
      </c>
      <c r="K877">
        <v>0.24858162310190701</v>
      </c>
      <c r="L877">
        <v>986.26502397162801</v>
      </c>
      <c r="M877">
        <v>19.496722406402402</v>
      </c>
      <c r="N877">
        <v>52.783527213180797</v>
      </c>
      <c r="O877">
        <v>50.0630321963637</v>
      </c>
      <c r="P877">
        <v>-7.0303592737928702E-2</v>
      </c>
      <c r="Q877">
        <v>0.27793313036199702</v>
      </c>
      <c r="R877">
        <v>0.99143100074120505</v>
      </c>
      <c r="S877" t="s">
        <v>7162</v>
      </c>
      <c r="T877" t="s">
        <v>12568</v>
      </c>
      <c r="U877" t="s">
        <v>12568</v>
      </c>
      <c r="V877" t="s">
        <v>12568</v>
      </c>
      <c r="W877" t="s">
        <v>13423</v>
      </c>
      <c r="X877">
        <v>2</v>
      </c>
      <c r="Y877" t="s">
        <v>19648</v>
      </c>
      <c r="Z877" t="s">
        <v>25747</v>
      </c>
      <c r="AA877">
        <v>0.5432621280501212</v>
      </c>
      <c r="AB877" t="str">
        <f>HYPERLINK("Melting_Curves/meltCurve_O00221_NFKBIE.pdf", "Melting_Curves/meltCurve_O00221_NFKBIE.pdf")</f>
        <v>Melting_Curves/meltCurve_O00221_NFKBIE.pdf</v>
      </c>
    </row>
    <row r="878" spans="1:28" x14ac:dyDescent="0.25">
      <c r="A878" t="s">
        <v>882</v>
      </c>
      <c r="B878">
        <v>0.99352677808782597</v>
      </c>
      <c r="C878">
        <v>0.99147196847956398</v>
      </c>
      <c r="D878">
        <v>0.84370187424157195</v>
      </c>
      <c r="E878">
        <v>0.95296166961764395</v>
      </c>
      <c r="F878">
        <v>0.68939805424423495</v>
      </c>
      <c r="G878">
        <v>0.33348396200452601</v>
      </c>
      <c r="H878">
        <v>0.125190169704123</v>
      </c>
      <c r="I878">
        <v>0.10398582526176001</v>
      </c>
      <c r="J878">
        <v>9.1455377939103896E-2</v>
      </c>
      <c r="K878">
        <v>6.8266280769989904E-2</v>
      </c>
      <c r="L878">
        <v>1292.01257128935</v>
      </c>
      <c r="M878">
        <v>23.624197152456802</v>
      </c>
      <c r="N878">
        <v>55.031900631534299</v>
      </c>
      <c r="O878">
        <v>54.302869437610603</v>
      </c>
      <c r="P878">
        <v>-0.101344029050027</v>
      </c>
      <c r="Q878">
        <v>6.8213201805499196E-2</v>
      </c>
      <c r="R878">
        <v>0.98419694107974698</v>
      </c>
      <c r="S878" t="s">
        <v>7163</v>
      </c>
      <c r="T878" t="s">
        <v>12568</v>
      </c>
      <c r="U878" t="s">
        <v>12568</v>
      </c>
      <c r="V878" t="s">
        <v>12568</v>
      </c>
      <c r="W878" t="s">
        <v>13424</v>
      </c>
      <c r="X878">
        <v>23</v>
      </c>
      <c r="Y878" t="s">
        <v>19649</v>
      </c>
      <c r="Z878" t="s">
        <v>25748</v>
      </c>
      <c r="AA878">
        <v>0.53400985895201969</v>
      </c>
      <c r="AB878" t="str">
        <f>HYPERLINK("Melting_Curves/meltCurve_O00231_PSMD11.pdf", "Melting_Curves/meltCurve_O00231_PSMD11.pdf")</f>
        <v>Melting_Curves/meltCurve_O00231_PSMD11.pdf</v>
      </c>
    </row>
    <row r="879" spans="1:28" x14ac:dyDescent="0.25">
      <c r="A879" t="s">
        <v>883</v>
      </c>
      <c r="B879">
        <v>0.99352677808782597</v>
      </c>
      <c r="C879">
        <v>0.88146202798099704</v>
      </c>
      <c r="D879">
        <v>0.80869784309848602</v>
      </c>
      <c r="E879">
        <v>0.94908890596334605</v>
      </c>
      <c r="F879">
        <v>0.72204643173266403</v>
      </c>
      <c r="G879">
        <v>0.35374757574747201</v>
      </c>
      <c r="H879">
        <v>0.14439850377514099</v>
      </c>
      <c r="I879">
        <v>0.12596448974201299</v>
      </c>
      <c r="J879">
        <v>9.9680753333239405E-2</v>
      </c>
      <c r="K879">
        <v>7.7356774523742303E-2</v>
      </c>
      <c r="L879">
        <v>1236.6586150240501</v>
      </c>
      <c r="M879">
        <v>22.5116759712087</v>
      </c>
      <c r="N879">
        <v>55.332645946405201</v>
      </c>
      <c r="O879">
        <v>54.506121550676198</v>
      </c>
      <c r="P879">
        <v>-9.5527332699447506E-2</v>
      </c>
      <c r="Q879">
        <v>7.4841314468981707E-2</v>
      </c>
      <c r="R879">
        <v>0.96445579703890505</v>
      </c>
      <c r="S879" t="s">
        <v>7164</v>
      </c>
      <c r="T879" t="s">
        <v>12568</v>
      </c>
      <c r="U879" t="s">
        <v>12568</v>
      </c>
      <c r="V879" t="s">
        <v>12568</v>
      </c>
      <c r="W879" t="s">
        <v>13425</v>
      </c>
      <c r="X879">
        <v>31</v>
      </c>
      <c r="Y879" t="s">
        <v>19650</v>
      </c>
      <c r="Z879" t="s">
        <v>25749</v>
      </c>
      <c r="AA879">
        <v>0.54562466172823387</v>
      </c>
      <c r="AB879" t="str">
        <f>HYPERLINK("Melting_Curves/meltCurve_O00232_PSMD12.pdf", "Melting_Curves/meltCurve_O00232_PSMD12.pdf")</f>
        <v>Melting_Curves/meltCurve_O00232_PSMD12.pdf</v>
      </c>
    </row>
    <row r="880" spans="1:28" x14ac:dyDescent="0.25">
      <c r="A880" t="s">
        <v>884</v>
      </c>
      <c r="B880">
        <v>0.99352677808782597</v>
      </c>
      <c r="C880">
        <v>0.95779945390920496</v>
      </c>
      <c r="D880">
        <v>0.83983876406800495</v>
      </c>
      <c r="E880">
        <v>1.0816550028599601</v>
      </c>
      <c r="F880">
        <v>1.02275495364864</v>
      </c>
      <c r="G880">
        <v>1.01718251488496</v>
      </c>
      <c r="H880">
        <v>0.92954329252173395</v>
      </c>
      <c r="I880">
        <v>1.0164801351231001</v>
      </c>
      <c r="J880">
        <v>1.0228821295263699</v>
      </c>
      <c r="K880">
        <v>0.89687489268577203</v>
      </c>
      <c r="L880">
        <v>15000</v>
      </c>
      <c r="M880">
        <v>212.12271984648601</v>
      </c>
      <c r="Q880">
        <v>0</v>
      </c>
      <c r="R880">
        <v>0.12337042094244199</v>
      </c>
      <c r="S880" t="s">
        <v>7165</v>
      </c>
      <c r="T880" t="s">
        <v>12568</v>
      </c>
      <c r="U880" t="s">
        <v>12568</v>
      </c>
      <c r="V880" t="s">
        <v>12568</v>
      </c>
      <c r="W880" t="s">
        <v>13426</v>
      </c>
      <c r="X880">
        <v>14</v>
      </c>
      <c r="Y880" t="s">
        <v>19651</v>
      </c>
      <c r="Z880" t="s">
        <v>25750</v>
      </c>
      <c r="AA880">
        <v>0.99882609611491946</v>
      </c>
      <c r="AB880" t="str">
        <f>HYPERLINK("Melting_Curves/meltCurve_O00233_PSMD9.pdf", "Melting_Curves/meltCurve_O00233_PSMD9.pdf")</f>
        <v>Melting_Curves/meltCurve_O00233_PSMD9.pdf</v>
      </c>
    </row>
    <row r="881" spans="1:28" x14ac:dyDescent="0.25">
      <c r="A881" t="s">
        <v>885</v>
      </c>
      <c r="B881">
        <v>0.99352677808782597</v>
      </c>
      <c r="C881">
        <v>0.98211561251644997</v>
      </c>
      <c r="D881">
        <v>0.98263380544955203</v>
      </c>
      <c r="E881">
        <v>0.88025501479456503</v>
      </c>
      <c r="F881">
        <v>0.739036073799476</v>
      </c>
      <c r="G881">
        <v>0.64034491734930299</v>
      </c>
      <c r="H881">
        <v>0.53772007616121398</v>
      </c>
      <c r="I881">
        <v>0.55683382651381297</v>
      </c>
      <c r="J881">
        <v>0.54234610775883096</v>
      </c>
      <c r="K881">
        <v>0.44708072510225499</v>
      </c>
      <c r="L881">
        <v>827.65961918126004</v>
      </c>
      <c r="M881">
        <v>15.464929147996701</v>
      </c>
      <c r="N881">
        <v>69.614498325791999</v>
      </c>
      <c r="O881">
        <v>52.647571030436403</v>
      </c>
      <c r="P881">
        <v>-3.7749339691695097E-2</v>
      </c>
      <c r="Q881">
        <v>0.48600271054053301</v>
      </c>
      <c r="R881">
        <v>0.98423771923717995</v>
      </c>
      <c r="S881" t="s">
        <v>7166</v>
      </c>
      <c r="T881" t="s">
        <v>12568</v>
      </c>
      <c r="U881" t="s">
        <v>12568</v>
      </c>
      <c r="V881" t="s">
        <v>12568</v>
      </c>
      <c r="W881" t="s">
        <v>13427</v>
      </c>
      <c r="X881">
        <v>7</v>
      </c>
      <c r="Y881" t="s">
        <v>19652</v>
      </c>
      <c r="Z881" t="s">
        <v>25751</v>
      </c>
      <c r="AA881">
        <v>0.72799319350920655</v>
      </c>
      <c r="AB881" t="str">
        <f>HYPERLINK("Melting_Curves/meltCurve_O00244_ATOX1.pdf", "Melting_Curves/meltCurve_O00244_ATOX1.pdf")</f>
        <v>Melting_Curves/meltCurve_O00244_ATOX1.pdf</v>
      </c>
    </row>
    <row r="882" spans="1:28" x14ac:dyDescent="0.25">
      <c r="A882" t="s">
        <v>886</v>
      </c>
      <c r="B882">
        <v>0.99352677808782597</v>
      </c>
      <c r="C882">
        <v>0.99830637111452103</v>
      </c>
      <c r="D882">
        <v>0.97404450942407195</v>
      </c>
      <c r="E882">
        <v>0.59061119145821295</v>
      </c>
      <c r="F882">
        <v>0.48476004873893402</v>
      </c>
      <c r="G882">
        <v>0.35906374125280499</v>
      </c>
      <c r="H882">
        <v>0.26668028547993</v>
      </c>
      <c r="I882">
        <v>0.27448468660418301</v>
      </c>
      <c r="J882">
        <v>0.29002939563477198</v>
      </c>
      <c r="K882">
        <v>0.227012386816621</v>
      </c>
      <c r="L882">
        <v>1083.5824209181701</v>
      </c>
      <c r="M882">
        <v>21.561387408452099</v>
      </c>
      <c r="N882">
        <v>52.109317884105103</v>
      </c>
      <c r="O882">
        <v>49.829384405437402</v>
      </c>
      <c r="P882">
        <v>-7.9209205913233299E-2</v>
      </c>
      <c r="Q882">
        <v>0.26779283513776397</v>
      </c>
      <c r="R882">
        <v>0.98591627789887804</v>
      </c>
      <c r="S882" t="s">
        <v>7167</v>
      </c>
      <c r="T882" t="s">
        <v>12568</v>
      </c>
      <c r="U882" t="s">
        <v>12568</v>
      </c>
      <c r="V882" t="s">
        <v>12568</v>
      </c>
      <c r="W882" t="s">
        <v>13428</v>
      </c>
      <c r="X882">
        <v>31</v>
      </c>
      <c r="Y882" t="s">
        <v>19653</v>
      </c>
      <c r="Z882" t="s">
        <v>25752</v>
      </c>
      <c r="AA882">
        <v>0.52690069454569055</v>
      </c>
      <c r="AB882" t="str">
        <f>HYPERLINK("Melting_Curves/meltCurve_O00267_2_SUPT5H.pdf", "Melting_Curves/meltCurve_O00267_2_SUPT5H.pdf")</f>
        <v>Melting_Curves/meltCurve_O00267_2_SUPT5H.pdf</v>
      </c>
    </row>
    <row r="883" spans="1:28" x14ac:dyDescent="0.25">
      <c r="A883" t="s">
        <v>887</v>
      </c>
      <c r="B883">
        <v>0.99352677808782597</v>
      </c>
      <c r="C883">
        <v>0.93772999488821196</v>
      </c>
      <c r="D883">
        <v>0.888464268546585</v>
      </c>
      <c r="E883">
        <v>0.60171230259920905</v>
      </c>
      <c r="F883">
        <v>0.49776611477586802</v>
      </c>
      <c r="G883">
        <v>0.38623645824819602</v>
      </c>
      <c r="H883">
        <v>0.32981800384468701</v>
      </c>
      <c r="I883">
        <v>0.287252551302767</v>
      </c>
      <c r="J883">
        <v>0.30928243935586802</v>
      </c>
      <c r="K883">
        <v>0.24664609774566601</v>
      </c>
      <c r="L883">
        <v>778.02657889268005</v>
      </c>
      <c r="M883">
        <v>15.5435476814843</v>
      </c>
      <c r="N883">
        <v>52.739720303407502</v>
      </c>
      <c r="O883">
        <v>49.248095209416299</v>
      </c>
      <c r="P883">
        <v>-5.7338136835740898E-2</v>
      </c>
      <c r="Q883">
        <v>0.27338458986929798</v>
      </c>
      <c r="R883">
        <v>0.99297613171314802</v>
      </c>
      <c r="S883" t="s">
        <v>7168</v>
      </c>
      <c r="T883" t="s">
        <v>12568</v>
      </c>
      <c r="U883" t="s">
        <v>12568</v>
      </c>
      <c r="V883" t="s">
        <v>12568</v>
      </c>
      <c r="W883" t="s">
        <v>13429</v>
      </c>
      <c r="X883">
        <v>8</v>
      </c>
      <c r="Y883" t="s">
        <v>19654</v>
      </c>
      <c r="Z883" t="s">
        <v>25753</v>
      </c>
      <c r="AA883">
        <v>0.53314800043932264</v>
      </c>
      <c r="AB883" t="str">
        <f>HYPERLINK("Melting_Curves/meltCurve_O00268_TAF4.pdf", "Melting_Curves/meltCurve_O00268_TAF4.pdf")</f>
        <v>Melting_Curves/meltCurve_O00268_TAF4.pdf</v>
      </c>
    </row>
    <row r="884" spans="1:28" x14ac:dyDescent="0.25">
      <c r="A884" t="s">
        <v>888</v>
      </c>
      <c r="B884">
        <v>0.99352677808782597</v>
      </c>
      <c r="C884">
        <v>0.96168763452322303</v>
      </c>
      <c r="D884">
        <v>0.99739792974306096</v>
      </c>
      <c r="E884">
        <v>0.95351276862733603</v>
      </c>
      <c r="F884">
        <v>0.907470614225103</v>
      </c>
      <c r="G884">
        <v>0.85053885102418003</v>
      </c>
      <c r="H884">
        <v>0.77943916228328203</v>
      </c>
      <c r="I884">
        <v>0.89339663159620597</v>
      </c>
      <c r="J884">
        <v>0.93433561195887704</v>
      </c>
      <c r="K884">
        <v>0.76747046900708205</v>
      </c>
      <c r="L884">
        <v>1453.17816517453</v>
      </c>
      <c r="M884">
        <v>28.020954670122901</v>
      </c>
      <c r="O884">
        <v>51.598433822301899</v>
      </c>
      <c r="P884">
        <v>-2.1308527772351499E-2</v>
      </c>
      <c r="Q884">
        <v>0.84304928394990497</v>
      </c>
      <c r="R884">
        <v>0.62985967945241195</v>
      </c>
      <c r="S884" t="s">
        <v>7169</v>
      </c>
      <c r="T884" t="s">
        <v>12568</v>
      </c>
      <c r="U884" t="s">
        <v>12568</v>
      </c>
      <c r="V884" t="s">
        <v>12568</v>
      </c>
      <c r="W884" t="s">
        <v>13430</v>
      </c>
      <c r="X884">
        <v>17</v>
      </c>
      <c r="Y884" t="s">
        <v>19655</v>
      </c>
      <c r="Z884" t="s">
        <v>25754</v>
      </c>
      <c r="AA884">
        <v>0.90624450927923517</v>
      </c>
      <c r="AB884" t="str">
        <f>HYPERLINK("Melting_Curves/meltCurve_O00273_DFFA.pdf", "Melting_Curves/meltCurve_O00273_DFFA.pdf")</f>
        <v>Melting_Curves/meltCurve_O00273_DFFA.pdf</v>
      </c>
    </row>
    <row r="885" spans="1:28" x14ac:dyDescent="0.25">
      <c r="A885" t="s">
        <v>889</v>
      </c>
      <c r="B885">
        <v>0.99352677808782597</v>
      </c>
      <c r="C885">
        <v>0.96740906599946297</v>
      </c>
      <c r="D885">
        <v>0.94901004894568197</v>
      </c>
      <c r="E885">
        <v>0.84938107177712796</v>
      </c>
      <c r="F885">
        <v>0.78577242120408697</v>
      </c>
      <c r="G885">
        <v>0.63325148232857398</v>
      </c>
      <c r="H885">
        <v>0.54555645655283302</v>
      </c>
      <c r="I885">
        <v>0.60817585914921601</v>
      </c>
      <c r="J885">
        <v>0.62035886109816696</v>
      </c>
      <c r="K885">
        <v>0.48643782789131901</v>
      </c>
      <c r="L885">
        <v>763.418716185481</v>
      </c>
      <c r="M885">
        <v>14.466819056916499</v>
      </c>
      <c r="O885">
        <v>51.792751098677499</v>
      </c>
      <c r="P885">
        <v>-3.2595183215883602E-2</v>
      </c>
      <c r="Q885">
        <v>0.53327743858698096</v>
      </c>
      <c r="R885">
        <v>0.95889239411784299</v>
      </c>
      <c r="S885" t="s">
        <v>7170</v>
      </c>
      <c r="T885" t="s">
        <v>12568</v>
      </c>
      <c r="U885" t="s">
        <v>12568</v>
      </c>
      <c r="V885" t="s">
        <v>12568</v>
      </c>
      <c r="W885" t="s">
        <v>13431</v>
      </c>
      <c r="X885">
        <v>13</v>
      </c>
      <c r="Y885" t="s">
        <v>19655</v>
      </c>
      <c r="Z885" t="s">
        <v>25755</v>
      </c>
      <c r="AA885">
        <v>0.74261745890900388</v>
      </c>
      <c r="AB885" t="str">
        <f>HYPERLINK("Melting_Curves/meltCurve_O00273_2_DFFA.pdf", "Melting_Curves/meltCurve_O00273_2_DFFA.pdf")</f>
        <v>Melting_Curves/meltCurve_O00273_2_DFFA.pdf</v>
      </c>
    </row>
    <row r="886" spans="1:28" x14ac:dyDescent="0.25">
      <c r="A886" t="s">
        <v>890</v>
      </c>
      <c r="B886">
        <v>0.99352677808782597</v>
      </c>
      <c r="C886">
        <v>0.97028092765637097</v>
      </c>
      <c r="D886">
        <v>0.923399118362209</v>
      </c>
      <c r="E886">
        <v>0.54639730291935296</v>
      </c>
      <c r="F886">
        <v>0.47042075932803001</v>
      </c>
      <c r="G886">
        <v>0.32295920827775099</v>
      </c>
      <c r="H886">
        <v>0.21242097128917101</v>
      </c>
      <c r="I886">
        <v>0.198075477252733</v>
      </c>
      <c r="J886">
        <v>0.17635403151058901</v>
      </c>
      <c r="K886">
        <v>0.142671144142622</v>
      </c>
      <c r="L886">
        <v>806.94601044495198</v>
      </c>
      <c r="M886">
        <v>15.9146975622188</v>
      </c>
      <c r="N886">
        <v>51.9779423990243</v>
      </c>
      <c r="O886">
        <v>49.9241388158338</v>
      </c>
      <c r="P886">
        <v>-6.6833652390034803E-2</v>
      </c>
      <c r="Q886">
        <v>0.161443014331136</v>
      </c>
      <c r="R886">
        <v>0.98734001494670898</v>
      </c>
      <c r="S886" t="s">
        <v>7171</v>
      </c>
      <c r="T886" t="s">
        <v>12568</v>
      </c>
      <c r="U886" t="s">
        <v>12568</v>
      </c>
      <c r="V886" t="s">
        <v>12568</v>
      </c>
      <c r="W886" t="s">
        <v>13432</v>
      </c>
      <c r="X886">
        <v>10</v>
      </c>
      <c r="Y886" t="s">
        <v>19656</v>
      </c>
      <c r="Z886" t="s">
        <v>25756</v>
      </c>
      <c r="AA886">
        <v>0.47832087990413169</v>
      </c>
      <c r="AB886" t="str">
        <f>HYPERLINK("Melting_Curves/meltCurve_O00291_HIP1.pdf", "Melting_Curves/meltCurve_O00291_HIP1.pdf")</f>
        <v>Melting_Curves/meltCurve_O00291_HIP1.pdf</v>
      </c>
    </row>
    <row r="887" spans="1:28" x14ac:dyDescent="0.25">
      <c r="A887" t="s">
        <v>891</v>
      </c>
      <c r="B887">
        <v>0.99352677808782597</v>
      </c>
      <c r="C887">
        <v>0.94771921103000201</v>
      </c>
      <c r="D887">
        <v>1.0413117997447201</v>
      </c>
      <c r="E887">
        <v>0.74261877284411304</v>
      </c>
      <c r="F887">
        <v>0.68951619083098603</v>
      </c>
      <c r="G887">
        <v>0.19827644584092899</v>
      </c>
      <c r="H887">
        <v>0.126025245965903</v>
      </c>
      <c r="I887">
        <v>0.112432790388411</v>
      </c>
      <c r="J887">
        <v>9.36613165203284E-2</v>
      </c>
      <c r="K887">
        <v>7.26248976182121E-2</v>
      </c>
      <c r="L887">
        <v>1200.6095950159699</v>
      </c>
      <c r="M887">
        <v>22.396307304371099</v>
      </c>
      <c r="N887">
        <v>53.972070133599502</v>
      </c>
      <c r="O887">
        <v>53.185572874694302</v>
      </c>
      <c r="P887">
        <v>-9.7885999344104899E-2</v>
      </c>
      <c r="Q887">
        <v>7.0201124085452302E-2</v>
      </c>
      <c r="R887">
        <v>0.98011391572068196</v>
      </c>
      <c r="S887" t="s">
        <v>7172</v>
      </c>
      <c r="T887" t="s">
        <v>12568</v>
      </c>
      <c r="U887" t="s">
        <v>12568</v>
      </c>
      <c r="V887" t="s">
        <v>12568</v>
      </c>
      <c r="W887" t="s">
        <v>13433</v>
      </c>
      <c r="X887">
        <v>15</v>
      </c>
      <c r="Y887" t="s">
        <v>19657</v>
      </c>
      <c r="Z887" t="s">
        <v>25757</v>
      </c>
      <c r="AA887">
        <v>0.50241812820521348</v>
      </c>
      <c r="AB887" t="str">
        <f>HYPERLINK("Melting_Curves/meltCurve_O00299_CLIC1.pdf", "Melting_Curves/meltCurve_O00299_CLIC1.pdf")</f>
        <v>Melting_Curves/meltCurve_O00299_CLIC1.pdf</v>
      </c>
    </row>
    <row r="888" spans="1:28" x14ac:dyDescent="0.25">
      <c r="A888" t="s">
        <v>892</v>
      </c>
      <c r="B888">
        <v>0.99352677808782597</v>
      </c>
      <c r="C888">
        <v>0.91151216685709902</v>
      </c>
      <c r="D888">
        <v>0.79685568553389596</v>
      </c>
      <c r="E888">
        <v>0.36087999058104198</v>
      </c>
      <c r="F888">
        <v>0.269256206984122</v>
      </c>
      <c r="G888">
        <v>0.168505239927869</v>
      </c>
      <c r="H888">
        <v>9.3161435677526799E-2</v>
      </c>
      <c r="I888">
        <v>8.9550362024822194E-2</v>
      </c>
      <c r="J888">
        <v>7.3008045909027097E-2</v>
      </c>
      <c r="K888">
        <v>4.9878461069505602E-2</v>
      </c>
      <c r="L888">
        <v>907.43973604665098</v>
      </c>
      <c r="M888">
        <v>18.685580355104801</v>
      </c>
      <c r="N888">
        <v>48.995803473430499</v>
      </c>
      <c r="O888">
        <v>48.017668424537199</v>
      </c>
      <c r="P888">
        <v>-8.9897518927462894E-2</v>
      </c>
      <c r="Q888">
        <v>7.59750717027564E-2</v>
      </c>
      <c r="R888">
        <v>0.99331654922576895</v>
      </c>
      <c r="S888" t="s">
        <v>7173</v>
      </c>
      <c r="T888" t="s">
        <v>12568</v>
      </c>
      <c r="U888" t="s">
        <v>12568</v>
      </c>
      <c r="V888" t="s">
        <v>12568</v>
      </c>
      <c r="W888" t="s">
        <v>13434</v>
      </c>
      <c r="X888">
        <v>8</v>
      </c>
      <c r="Y888" t="s">
        <v>19658</v>
      </c>
      <c r="Z888" t="s">
        <v>25758</v>
      </c>
      <c r="AA888">
        <v>0.35470591599985019</v>
      </c>
      <c r="AB888" t="str">
        <f>HYPERLINK("Melting_Curves/meltCurve_O00303_EIF3F.pdf", "Melting_Curves/meltCurve_O00303_EIF3F.pdf")</f>
        <v>Melting_Curves/meltCurve_O00303_EIF3F.pdf</v>
      </c>
    </row>
    <row r="889" spans="1:28" x14ac:dyDescent="0.25">
      <c r="A889" t="s">
        <v>893</v>
      </c>
      <c r="B889">
        <v>0.99352677808782597</v>
      </c>
      <c r="C889">
        <v>1.05051308048699</v>
      </c>
      <c r="D889">
        <v>1.0303485883818999</v>
      </c>
      <c r="E889">
        <v>0.58275994185139401</v>
      </c>
      <c r="F889">
        <v>0.52355419177451301</v>
      </c>
      <c r="G889">
        <v>0.28644179418388299</v>
      </c>
      <c r="H889">
        <v>0.14691635511103701</v>
      </c>
      <c r="I889">
        <v>0.13523301626216899</v>
      </c>
      <c r="J889">
        <v>0.11031503540610001</v>
      </c>
      <c r="K889">
        <v>7.4397647133212799E-2</v>
      </c>
      <c r="L889">
        <v>907.32142096464895</v>
      </c>
      <c r="M889">
        <v>17.4240278373968</v>
      </c>
      <c r="N889">
        <v>52.679569958238702</v>
      </c>
      <c r="O889">
        <v>51.401620040570599</v>
      </c>
      <c r="P889">
        <v>-7.7046421845409205E-2</v>
      </c>
      <c r="Q889">
        <v>9.0890257303518504E-2</v>
      </c>
      <c r="R889">
        <v>0.975223196981719</v>
      </c>
      <c r="S889" t="s">
        <v>7174</v>
      </c>
      <c r="T889" t="s">
        <v>12568</v>
      </c>
      <c r="U889" t="s">
        <v>12568</v>
      </c>
      <c r="V889" t="s">
        <v>12568</v>
      </c>
      <c r="W889" t="s">
        <v>13435</v>
      </c>
      <c r="X889">
        <v>3</v>
      </c>
      <c r="Y889" t="s">
        <v>19659</v>
      </c>
      <c r="Z889" t="s">
        <v>25759</v>
      </c>
      <c r="AA889">
        <v>0.47270993272330381</v>
      </c>
      <c r="AB889" t="str">
        <f>HYPERLINK("Melting_Curves/meltCurve_O00308_WWP2.pdf", "Melting_Curves/meltCurve_O00308_WWP2.pdf")</f>
        <v>Melting_Curves/meltCurve_O00308_WWP2.pdf</v>
      </c>
    </row>
    <row r="890" spans="1:28" x14ac:dyDescent="0.25">
      <c r="A890" t="s">
        <v>894</v>
      </c>
      <c r="B890">
        <v>0.99352677808782597</v>
      </c>
      <c r="C890">
        <v>1.2616657114771901</v>
      </c>
      <c r="D890">
        <v>0.99894234694349604</v>
      </c>
      <c r="E890">
        <v>0.86393294884661098</v>
      </c>
      <c r="F890">
        <v>0.41491417046413398</v>
      </c>
      <c r="G890">
        <v>0.30971860685314001</v>
      </c>
      <c r="H890">
        <v>0.20891094944987801</v>
      </c>
      <c r="I890">
        <v>0.15391697840016599</v>
      </c>
      <c r="J890">
        <v>9.8285485944758694E-2</v>
      </c>
      <c r="K890">
        <v>4.8569777233933097E-2</v>
      </c>
      <c r="L890">
        <v>1480.25745473394</v>
      </c>
      <c r="M890">
        <v>28.300978182045601</v>
      </c>
      <c r="N890">
        <v>52.896061462127598</v>
      </c>
      <c r="O890">
        <v>52.045030377353498</v>
      </c>
      <c r="P890">
        <v>-0.117493845852884</v>
      </c>
      <c r="Q890">
        <v>0.13572980855598901</v>
      </c>
      <c r="R890">
        <v>0.94475479570157705</v>
      </c>
      <c r="S890" t="s">
        <v>7175</v>
      </c>
      <c r="T890" t="s">
        <v>12568</v>
      </c>
      <c r="U890" t="s">
        <v>12568</v>
      </c>
      <c r="V890" t="s">
        <v>12568</v>
      </c>
      <c r="W890" t="s">
        <v>13436</v>
      </c>
      <c r="X890">
        <v>1</v>
      </c>
      <c r="Y890" t="s">
        <v>19660</v>
      </c>
      <c r="Z890" t="s">
        <v>25760</v>
      </c>
      <c r="AA890">
        <v>0.49642162787102401</v>
      </c>
      <c r="AB890" t="str">
        <f>HYPERLINK("Melting_Curves/meltCurve_O00329_PIK3CD.pdf", "Melting_Curves/meltCurve_O00329_PIK3CD.pdf")</f>
        <v>Melting_Curves/meltCurve_O00329_PIK3CD.pdf</v>
      </c>
    </row>
    <row r="891" spans="1:28" x14ac:dyDescent="0.25">
      <c r="A891" t="s">
        <v>895</v>
      </c>
      <c r="B891">
        <v>0.99352677808782597</v>
      </c>
      <c r="C891">
        <v>0.94163944160009805</v>
      </c>
      <c r="D891">
        <v>0.971907071612929</v>
      </c>
      <c r="E891">
        <v>1.4387360751618701</v>
      </c>
      <c r="F891">
        <v>1.2585636941378699</v>
      </c>
      <c r="G891">
        <v>1.0730728382414101</v>
      </c>
      <c r="H891">
        <v>0.915015726549544</v>
      </c>
      <c r="I891">
        <v>0.80704684445159902</v>
      </c>
      <c r="J891">
        <v>0.39606864969142902</v>
      </c>
      <c r="K891">
        <v>0.29693418224052498</v>
      </c>
      <c r="L891">
        <v>3296.8280217361998</v>
      </c>
      <c r="M891">
        <v>50.615362775904302</v>
      </c>
      <c r="N891">
        <v>66.133593553895295</v>
      </c>
      <c r="O891">
        <v>65.033496955769607</v>
      </c>
      <c r="P891">
        <v>-0.142588771415883</v>
      </c>
      <c r="Q891">
        <v>0.26717596299909302</v>
      </c>
      <c r="R891">
        <v>0.74907699596618105</v>
      </c>
      <c r="S891" t="s">
        <v>7176</v>
      </c>
      <c r="T891" t="s">
        <v>12568</v>
      </c>
      <c r="U891" t="s">
        <v>12568</v>
      </c>
      <c r="V891" t="s">
        <v>12568</v>
      </c>
      <c r="W891" t="s">
        <v>13437</v>
      </c>
      <c r="X891">
        <v>4</v>
      </c>
      <c r="Y891" t="s">
        <v>19661</v>
      </c>
      <c r="Z891" t="s">
        <v>25761</v>
      </c>
      <c r="AA891">
        <v>0.88210305388735832</v>
      </c>
      <c r="AB891" t="str">
        <f>HYPERLINK("Melting_Curves/meltCurve_O00399_DCTN6.pdf", "Melting_Curves/meltCurve_O00399_DCTN6.pdf")</f>
        <v>Melting_Curves/meltCurve_O00399_DCTN6.pdf</v>
      </c>
    </row>
    <row r="892" spans="1:28" x14ac:dyDescent="0.25">
      <c r="A892" t="s">
        <v>896</v>
      </c>
      <c r="B892">
        <v>0.99352677808782597</v>
      </c>
      <c r="C892">
        <v>1.10721059868361</v>
      </c>
      <c r="D892">
        <v>0.60290366659459504</v>
      </c>
      <c r="E892">
        <v>0.55659396883766399</v>
      </c>
      <c r="F892">
        <v>0.49360797124080602</v>
      </c>
      <c r="G892">
        <v>0.248171946418451</v>
      </c>
      <c r="H892">
        <v>0.15833424340732899</v>
      </c>
      <c r="I892">
        <v>0.15529461494729699</v>
      </c>
      <c r="J892">
        <v>0.138566879212007</v>
      </c>
      <c r="K892">
        <v>0.110026905011456</v>
      </c>
      <c r="L892">
        <v>627.50279562300705</v>
      </c>
      <c r="M892">
        <v>12.4667933923728</v>
      </c>
      <c r="N892">
        <v>51.163334463174699</v>
      </c>
      <c r="O892">
        <v>49.091472820261899</v>
      </c>
      <c r="P892">
        <v>-5.7690965454089201E-2</v>
      </c>
      <c r="Q892">
        <v>9.1491873592345493E-2</v>
      </c>
      <c r="R892">
        <v>0.93012664925639799</v>
      </c>
      <c r="S892" t="s">
        <v>7177</v>
      </c>
      <c r="T892" t="s">
        <v>12568</v>
      </c>
      <c r="U892" t="s">
        <v>12568</v>
      </c>
      <c r="V892" t="s">
        <v>12568</v>
      </c>
      <c r="W892" t="s">
        <v>13438</v>
      </c>
      <c r="X892">
        <v>20</v>
      </c>
      <c r="Y892" t="s">
        <v>19662</v>
      </c>
      <c r="Z892" t="s">
        <v>25762</v>
      </c>
      <c r="AA892">
        <v>0.43351758535265028</v>
      </c>
      <c r="AB892" t="str">
        <f>HYPERLINK("Melting_Curves/meltCurve_O00401_WASL.pdf", "Melting_Curves/meltCurve_O00401_WASL.pdf")</f>
        <v>Melting_Curves/meltCurve_O00401_WASL.pdf</v>
      </c>
    </row>
    <row r="893" spans="1:28" x14ac:dyDescent="0.25">
      <c r="A893" t="s">
        <v>897</v>
      </c>
      <c r="B893">
        <v>0.99352677808782597</v>
      </c>
      <c r="C893">
        <v>1.0607305413497801</v>
      </c>
      <c r="D893">
        <v>0.94606649938178899</v>
      </c>
      <c r="E893">
        <v>0.90913406149841403</v>
      </c>
      <c r="F893">
        <v>0.77219529118613395</v>
      </c>
      <c r="G893">
        <v>0.45988907358363701</v>
      </c>
      <c r="H893">
        <v>0.13246751546089799</v>
      </c>
      <c r="I893">
        <v>0.108221939088917</v>
      </c>
      <c r="J893">
        <v>8.2006371839371303E-2</v>
      </c>
      <c r="K893">
        <v>6.2054970831121298E-2</v>
      </c>
      <c r="L893">
        <v>1185.3862232383101</v>
      </c>
      <c r="M893">
        <v>21.1838855205351</v>
      </c>
      <c r="N893">
        <v>56.179932698789898</v>
      </c>
      <c r="O893">
        <v>55.465491592622698</v>
      </c>
      <c r="P893">
        <v>-9.1634937700806093E-2</v>
      </c>
      <c r="Q893">
        <v>4.0318646688550397E-2</v>
      </c>
      <c r="R893">
        <v>0.99384770685739099</v>
      </c>
      <c r="S893" t="s">
        <v>7178</v>
      </c>
      <c r="T893" t="s">
        <v>12568</v>
      </c>
      <c r="U893" t="s">
        <v>12568</v>
      </c>
      <c r="V893" t="s">
        <v>12568</v>
      </c>
      <c r="W893" t="s">
        <v>13439</v>
      </c>
      <c r="X893">
        <v>43</v>
      </c>
      <c r="Y893" t="s">
        <v>19663</v>
      </c>
      <c r="Z893" t="s">
        <v>25763</v>
      </c>
      <c r="AA893">
        <v>0.56219214688925756</v>
      </c>
      <c r="AB893" t="str">
        <f>HYPERLINK("Melting_Curves/meltCurve_O00410_IPO5.pdf", "Melting_Curves/meltCurve_O00410_IPO5.pdf")</f>
        <v>Melting_Curves/meltCurve_O00410_IPO5.pdf</v>
      </c>
    </row>
    <row r="894" spans="1:28" x14ac:dyDescent="0.25">
      <c r="A894" t="s">
        <v>898</v>
      </c>
      <c r="B894">
        <v>0.99352677808782597</v>
      </c>
      <c r="C894">
        <v>0.90812272328404697</v>
      </c>
      <c r="D894">
        <v>1.0517121653033601</v>
      </c>
      <c r="E894">
        <v>0.86974551851991599</v>
      </c>
      <c r="F894">
        <v>0.88316216244675405</v>
      </c>
      <c r="G894">
        <v>0.742688083661452</v>
      </c>
      <c r="H894">
        <v>0.72178300122295302</v>
      </c>
      <c r="I894">
        <v>0.82783412399530099</v>
      </c>
      <c r="J894">
        <v>0.66675375850310004</v>
      </c>
      <c r="K894">
        <v>0.71569445114333796</v>
      </c>
      <c r="L894">
        <v>921.34313666566197</v>
      </c>
      <c r="M894">
        <v>17.592590407170899</v>
      </c>
      <c r="O894">
        <v>51.708467579866799</v>
      </c>
      <c r="P894">
        <v>-2.39000616942447E-2</v>
      </c>
      <c r="Q894">
        <v>0.71902515570154102</v>
      </c>
      <c r="R894">
        <v>0.78751959695649398</v>
      </c>
      <c r="S894" t="s">
        <v>7179</v>
      </c>
      <c r="T894" t="s">
        <v>12568</v>
      </c>
      <c r="U894" t="s">
        <v>12568</v>
      </c>
      <c r="V894" t="s">
        <v>12568</v>
      </c>
      <c r="W894" t="s">
        <v>13440</v>
      </c>
      <c r="X894">
        <v>1</v>
      </c>
      <c r="Y894" t="s">
        <v>19664</v>
      </c>
      <c r="Z894" t="s">
        <v>25764</v>
      </c>
      <c r="AA894">
        <v>0.8397209563448863</v>
      </c>
      <c r="AB894" t="str">
        <f>HYPERLINK("Melting_Curves/meltCurve_O00411_POLRMT.pdf", "Melting_Curves/meltCurve_O00411_POLRMT.pdf")</f>
        <v>Melting_Curves/meltCurve_O00411_POLRMT.pdf</v>
      </c>
    </row>
    <row r="895" spans="1:28" x14ac:dyDescent="0.25">
      <c r="A895" t="s">
        <v>899</v>
      </c>
      <c r="B895">
        <v>0.99352677808782597</v>
      </c>
      <c r="C895">
        <v>0.83157606973235398</v>
      </c>
      <c r="D895">
        <v>0.52394539615332403</v>
      </c>
      <c r="E895">
        <v>0.41271260487969003</v>
      </c>
      <c r="F895">
        <v>0.32908370439116102</v>
      </c>
      <c r="G895">
        <v>0.259347444034631</v>
      </c>
      <c r="H895">
        <v>0.19240960006740801</v>
      </c>
      <c r="I895">
        <v>0.195980820850846</v>
      </c>
      <c r="J895">
        <v>0.16554269353902901</v>
      </c>
      <c r="K895">
        <v>0.15041008023269201</v>
      </c>
      <c r="L895">
        <v>677.23043881443198</v>
      </c>
      <c r="M895">
        <v>14.619926580428</v>
      </c>
      <c r="N895">
        <v>47.750013177105799</v>
      </c>
      <c r="O895">
        <v>45.481643068228699</v>
      </c>
      <c r="P895">
        <v>-6.6141467352898595E-2</v>
      </c>
      <c r="Q895">
        <v>0.17704467928043799</v>
      </c>
      <c r="R895">
        <v>0.977559827448367</v>
      </c>
      <c r="S895" t="s">
        <v>7180</v>
      </c>
      <c r="T895" t="s">
        <v>12568</v>
      </c>
      <c r="U895" t="s">
        <v>12568</v>
      </c>
      <c r="V895" t="s">
        <v>12568</v>
      </c>
      <c r="W895" t="s">
        <v>13441</v>
      </c>
      <c r="X895">
        <v>7</v>
      </c>
      <c r="Y895" t="s">
        <v>19665</v>
      </c>
      <c r="Z895" t="s">
        <v>25765</v>
      </c>
      <c r="AA895">
        <v>0.37519360613762071</v>
      </c>
      <c r="AB895" t="str">
        <f>HYPERLINK("Melting_Curves/meltCurve_O00418_EEF2K.pdf", "Melting_Curves/meltCurve_O00418_EEF2K.pdf")</f>
        <v>Melting_Curves/meltCurve_O00418_EEF2K.pdf</v>
      </c>
    </row>
    <row r="896" spans="1:28" x14ac:dyDescent="0.25">
      <c r="A896" t="s">
        <v>900</v>
      </c>
      <c r="B896">
        <v>0.99352677808782597</v>
      </c>
      <c r="C896">
        <v>0.86369724579223595</v>
      </c>
      <c r="D896">
        <v>0.94034761272238998</v>
      </c>
      <c r="E896">
        <v>0.52223944967627001</v>
      </c>
      <c r="F896">
        <v>0.51231726985335801</v>
      </c>
      <c r="G896">
        <v>0.29940258524576302</v>
      </c>
      <c r="H896">
        <v>0.19556023239494599</v>
      </c>
      <c r="I896">
        <v>0.21521743063364501</v>
      </c>
      <c r="J896">
        <v>0.17555505544074901</v>
      </c>
      <c r="K896">
        <v>0.15398233527867999</v>
      </c>
      <c r="L896">
        <v>707.73599169100396</v>
      </c>
      <c r="M896">
        <v>13.937171971271599</v>
      </c>
      <c r="N896">
        <v>52.071551620952</v>
      </c>
      <c r="O896">
        <v>49.769291466183702</v>
      </c>
      <c r="P896">
        <v>-5.9789355512984303E-2</v>
      </c>
      <c r="Q896">
        <v>0.146089930890034</v>
      </c>
      <c r="R896">
        <v>0.96945265214010801</v>
      </c>
      <c r="S896" t="s">
        <v>7181</v>
      </c>
      <c r="T896" t="s">
        <v>12568</v>
      </c>
      <c r="U896" t="s">
        <v>12568</v>
      </c>
      <c r="V896" t="s">
        <v>12568</v>
      </c>
      <c r="W896" t="s">
        <v>13442</v>
      </c>
      <c r="X896">
        <v>14</v>
      </c>
      <c r="Y896" t="s">
        <v>19666</v>
      </c>
      <c r="Z896" t="s">
        <v>25766</v>
      </c>
      <c r="AA896">
        <v>0.47536279005876908</v>
      </c>
      <c r="AB896" t="str">
        <f>HYPERLINK("Melting_Curves/meltCurve_O00425_IGF2BP3.pdf", "Melting_Curves/meltCurve_O00425_IGF2BP3.pdf")</f>
        <v>Melting_Curves/meltCurve_O00425_IGF2BP3.pdf</v>
      </c>
    </row>
    <row r="897" spans="1:28" x14ac:dyDescent="0.25">
      <c r="A897" t="s">
        <v>901</v>
      </c>
      <c r="B897">
        <v>0.99352677808782597</v>
      </c>
      <c r="C897">
        <v>0.99824941685275004</v>
      </c>
      <c r="D897">
        <v>0.84217664038142304</v>
      </c>
      <c r="E897">
        <v>0.22080631598188499</v>
      </c>
      <c r="F897">
        <v>0.13597622695744299</v>
      </c>
      <c r="G897">
        <v>9.2941045332910505E-2</v>
      </c>
      <c r="H897">
        <v>7.1857599235600506E-2</v>
      </c>
      <c r="I897">
        <v>7.1635872614700793E-2</v>
      </c>
      <c r="J897">
        <v>6.5150261638512397E-2</v>
      </c>
      <c r="K897">
        <v>4.2284366708343402E-2</v>
      </c>
      <c r="L897">
        <v>1804.6651411820301</v>
      </c>
      <c r="M897">
        <v>37.674022145755004</v>
      </c>
      <c r="N897">
        <v>48.106405489968502</v>
      </c>
      <c r="O897">
        <v>47.767760962825399</v>
      </c>
      <c r="P897">
        <v>-0.18259860550991899</v>
      </c>
      <c r="Q897">
        <v>7.3918894344810707E-2</v>
      </c>
      <c r="R897">
        <v>0.99799697128466502</v>
      </c>
      <c r="S897" t="s">
        <v>7182</v>
      </c>
      <c r="T897" t="s">
        <v>12568</v>
      </c>
      <c r="U897" t="s">
        <v>12568</v>
      </c>
      <c r="V897" t="s">
        <v>12568</v>
      </c>
      <c r="W897" t="s">
        <v>13443</v>
      </c>
      <c r="X897">
        <v>33</v>
      </c>
      <c r="Y897" t="s">
        <v>19667</v>
      </c>
      <c r="Z897" t="s">
        <v>25767</v>
      </c>
      <c r="AA897">
        <v>0.32132840762514953</v>
      </c>
      <c r="AB897" t="str">
        <f>HYPERLINK("Melting_Curves/meltCurve_O00429_3_DNM1L.pdf", "Melting_Curves/meltCurve_O00429_3_DNM1L.pdf")</f>
        <v>Melting_Curves/meltCurve_O00429_3_DNM1L.pdf</v>
      </c>
    </row>
    <row r="898" spans="1:28" x14ac:dyDescent="0.25">
      <c r="A898" t="s">
        <v>902</v>
      </c>
      <c r="B898">
        <v>0.99352677808782597</v>
      </c>
      <c r="C898">
        <v>0.968623462660129</v>
      </c>
      <c r="D898">
        <v>0.76729423216186199</v>
      </c>
      <c r="E898">
        <v>0.26671544221294002</v>
      </c>
      <c r="F898">
        <v>0.20053012009750701</v>
      </c>
      <c r="G898">
        <v>0.117634476599261</v>
      </c>
      <c r="H898">
        <v>8.8235127456675694E-2</v>
      </c>
      <c r="I898">
        <v>8.7631680556666799E-2</v>
      </c>
      <c r="J898">
        <v>7.3562994194352999E-2</v>
      </c>
      <c r="K898">
        <v>5.78209750100349E-2</v>
      </c>
      <c r="L898">
        <v>1283.5328991824399</v>
      </c>
      <c r="M898">
        <v>26.877205290779699</v>
      </c>
      <c r="N898">
        <v>48.099754218621101</v>
      </c>
      <c r="O898">
        <v>47.493429790413401</v>
      </c>
      <c r="P898">
        <v>-0.12909922877840299</v>
      </c>
      <c r="Q898">
        <v>8.7508849029573593E-2</v>
      </c>
      <c r="R898">
        <v>0.99598752592560102</v>
      </c>
      <c r="S898" t="s">
        <v>7183</v>
      </c>
      <c r="T898" t="s">
        <v>12568</v>
      </c>
      <c r="U898" t="s">
        <v>12568</v>
      </c>
      <c r="V898" t="s">
        <v>12568</v>
      </c>
      <c r="W898" t="s">
        <v>13444</v>
      </c>
      <c r="X898">
        <v>34</v>
      </c>
      <c r="Y898" t="s">
        <v>19667</v>
      </c>
      <c r="Z898" t="s">
        <v>25768</v>
      </c>
      <c r="AA898">
        <v>0.33031781752032602</v>
      </c>
      <c r="AB898" t="str">
        <f>HYPERLINK("Melting_Curves/meltCurve_O00429_4_DNM1L.pdf", "Melting_Curves/meltCurve_O00429_4_DNM1L.pdf")</f>
        <v>Melting_Curves/meltCurve_O00429_4_DNM1L.pdf</v>
      </c>
    </row>
    <row r="899" spans="1:28" x14ac:dyDescent="0.25">
      <c r="A899" t="s">
        <v>903</v>
      </c>
      <c r="B899">
        <v>0.99352677808782597</v>
      </c>
      <c r="C899">
        <v>0.945892124720632</v>
      </c>
      <c r="D899">
        <v>0.83299665196695105</v>
      </c>
      <c r="E899">
        <v>0.37009568568555901</v>
      </c>
      <c r="F899">
        <v>0.31312211404655799</v>
      </c>
      <c r="G899">
        <v>0.177128578744327</v>
      </c>
      <c r="H899">
        <v>0.12603695597364101</v>
      </c>
      <c r="I899">
        <v>0.117630558329474</v>
      </c>
      <c r="J899">
        <v>0.114940668374464</v>
      </c>
      <c r="K899">
        <v>9.5343470638342795E-2</v>
      </c>
      <c r="L899">
        <v>1025.7970661259601</v>
      </c>
      <c r="M899">
        <v>21.094013049429101</v>
      </c>
      <c r="N899">
        <v>49.2593579542893</v>
      </c>
      <c r="O899">
        <v>48.199060452436399</v>
      </c>
      <c r="P899">
        <v>-9.6485636134494096E-2</v>
      </c>
      <c r="Q899">
        <v>0.11815865122538401</v>
      </c>
      <c r="R899">
        <v>0.99128519951665806</v>
      </c>
      <c r="S899" t="s">
        <v>7184</v>
      </c>
      <c r="T899" t="s">
        <v>12568</v>
      </c>
      <c r="U899" t="s">
        <v>12568</v>
      </c>
      <c r="V899" t="s">
        <v>12568</v>
      </c>
      <c r="W899" t="s">
        <v>13445</v>
      </c>
      <c r="X899">
        <v>6</v>
      </c>
      <c r="Y899" t="s">
        <v>19668</v>
      </c>
      <c r="Z899" t="s">
        <v>25769</v>
      </c>
      <c r="AA899">
        <v>0.38293635349135302</v>
      </c>
      <c r="AB899" t="str">
        <f>HYPERLINK("Melting_Curves/meltCurve_O00442_RTCA.pdf", "Melting_Curves/meltCurve_O00442_RTCA.pdf")</f>
        <v>Melting_Curves/meltCurve_O00442_RTCA.pdf</v>
      </c>
    </row>
    <row r="900" spans="1:28" x14ac:dyDescent="0.25">
      <c r="A900" t="s">
        <v>904</v>
      </c>
      <c r="B900">
        <v>0.99352677808782597</v>
      </c>
      <c r="C900">
        <v>0.93557439793348895</v>
      </c>
      <c r="D900">
        <v>1.00667727356644</v>
      </c>
      <c r="E900">
        <v>0.90100165444842195</v>
      </c>
      <c r="F900">
        <v>0.77531564013820398</v>
      </c>
      <c r="G900">
        <v>0.62481308014635795</v>
      </c>
      <c r="H900">
        <v>0.70272472797600105</v>
      </c>
      <c r="I900">
        <v>0.80809199993820402</v>
      </c>
      <c r="J900">
        <v>0.86324386919546203</v>
      </c>
      <c r="K900">
        <v>0.70969392222628602</v>
      </c>
      <c r="L900">
        <v>2584.9224088579699</v>
      </c>
      <c r="M900">
        <v>51.197361022166803</v>
      </c>
      <c r="O900">
        <v>50.412515038109497</v>
      </c>
      <c r="P900">
        <v>-6.5126699049534595E-2</v>
      </c>
      <c r="Q900">
        <v>0.74348692325351795</v>
      </c>
      <c r="R900">
        <v>0.73611550417966598</v>
      </c>
      <c r="S900" t="s">
        <v>7185</v>
      </c>
      <c r="T900" t="s">
        <v>12568</v>
      </c>
      <c r="U900" t="s">
        <v>12568</v>
      </c>
      <c r="V900" t="s">
        <v>12568</v>
      </c>
      <c r="W900" t="s">
        <v>13446</v>
      </c>
      <c r="X900">
        <v>4</v>
      </c>
      <c r="Y900" t="s">
        <v>19669</v>
      </c>
      <c r="Z900" t="s">
        <v>25770</v>
      </c>
      <c r="AA900">
        <v>0.83372032150031516</v>
      </c>
      <c r="AB900" t="str">
        <f>HYPERLINK("Melting_Curves/meltCurve_O00443_PIK3C2A.pdf", "Melting_Curves/meltCurve_O00443_PIK3C2A.pdf")</f>
        <v>Melting_Curves/meltCurve_O00443_PIK3C2A.pdf</v>
      </c>
    </row>
    <row r="901" spans="1:28" x14ac:dyDescent="0.25">
      <c r="A901" t="s">
        <v>905</v>
      </c>
      <c r="B901">
        <v>0.99352677808782597</v>
      </c>
      <c r="C901">
        <v>0.95337956331775198</v>
      </c>
      <c r="D901">
        <v>0.88921499196323195</v>
      </c>
      <c r="E901">
        <v>0.39050573126777599</v>
      </c>
      <c r="F901">
        <v>0.29673664131574101</v>
      </c>
      <c r="G901">
        <v>0.36284587059188</v>
      </c>
      <c r="H901">
        <v>0.13958855951285201</v>
      </c>
      <c r="I901">
        <v>0.13244194571568599</v>
      </c>
      <c r="J901">
        <v>9.6783622820133003E-2</v>
      </c>
      <c r="K901">
        <v>9.9909718143384701E-2</v>
      </c>
      <c r="L901">
        <v>1052.9549653955</v>
      </c>
      <c r="M901">
        <v>21.546979223034899</v>
      </c>
      <c r="N901">
        <v>49.678677113459102</v>
      </c>
      <c r="O901">
        <v>48.452800139239599</v>
      </c>
      <c r="P901">
        <v>-9.4696452212822094E-2</v>
      </c>
      <c r="Q901">
        <v>0.14824329490076801</v>
      </c>
      <c r="R901">
        <v>0.959990850989761</v>
      </c>
      <c r="S901" t="s">
        <v>7186</v>
      </c>
      <c r="T901" t="s">
        <v>12568</v>
      </c>
      <c r="U901" t="s">
        <v>12568</v>
      </c>
      <c r="V901" t="s">
        <v>12568</v>
      </c>
      <c r="W901" t="s">
        <v>13447</v>
      </c>
      <c r="X901">
        <v>6</v>
      </c>
      <c r="Y901" t="s">
        <v>19670</v>
      </c>
      <c r="Z901" t="s">
        <v>25771</v>
      </c>
      <c r="AA901">
        <v>0.41027153217293538</v>
      </c>
      <c r="AB901" t="str">
        <f>HYPERLINK("Melting_Curves/meltCurve_O00459_PIK3R2.pdf", "Melting_Curves/meltCurve_O00459_PIK3R2.pdf")</f>
        <v>Melting_Curves/meltCurve_O00459_PIK3R2.pdf</v>
      </c>
    </row>
    <row r="902" spans="1:28" x14ac:dyDescent="0.25">
      <c r="A902" t="s">
        <v>906</v>
      </c>
      <c r="B902">
        <v>0.99352677808782597</v>
      </c>
      <c r="C902">
        <v>0.97538770629729799</v>
      </c>
      <c r="D902">
        <v>0.93214445372433896</v>
      </c>
      <c r="E902">
        <v>0.62142562737923202</v>
      </c>
      <c r="F902">
        <v>0.52057334269460898</v>
      </c>
      <c r="G902">
        <v>0.34956212502165002</v>
      </c>
      <c r="H902">
        <v>0.16113285944120501</v>
      </c>
      <c r="I902">
        <v>0.227470961319375</v>
      </c>
      <c r="J902">
        <v>0.16666272534437099</v>
      </c>
      <c r="K902">
        <v>8.5916527780574403E-2</v>
      </c>
      <c r="L902">
        <v>730.26161445469404</v>
      </c>
      <c r="M902">
        <v>14.001700457718099</v>
      </c>
      <c r="N902">
        <v>53.083927813060399</v>
      </c>
      <c r="O902">
        <v>51.125901089940598</v>
      </c>
      <c r="P902">
        <v>-6.1037064368402803E-2</v>
      </c>
      <c r="Q902">
        <v>0.10863334726028601</v>
      </c>
      <c r="R902">
        <v>0.98568253422199004</v>
      </c>
      <c r="S902" t="s">
        <v>7187</v>
      </c>
      <c r="T902" t="s">
        <v>12568</v>
      </c>
      <c r="U902" t="s">
        <v>12568</v>
      </c>
      <c r="V902" t="s">
        <v>12568</v>
      </c>
      <c r="W902" t="s">
        <v>13448</v>
      </c>
      <c r="X902">
        <v>5</v>
      </c>
      <c r="Y902" t="s">
        <v>19671</v>
      </c>
      <c r="Z902" t="s">
        <v>25772</v>
      </c>
      <c r="AA902">
        <v>0.49172275371136848</v>
      </c>
      <c r="AB902" t="str">
        <f>HYPERLINK("Melting_Curves/meltCurve_O00462_MANBA.pdf", "Melting_Curves/meltCurve_O00462_MANBA.pdf")</f>
        <v>Melting_Curves/meltCurve_O00462_MANBA.pdf</v>
      </c>
    </row>
    <row r="903" spans="1:28" x14ac:dyDescent="0.25">
      <c r="A903" t="s">
        <v>907</v>
      </c>
      <c r="B903">
        <v>0.99352677808782597</v>
      </c>
      <c r="C903">
        <v>0.96812648510285704</v>
      </c>
      <c r="D903">
        <v>0.85399811915938595</v>
      </c>
      <c r="E903">
        <v>0.66539092622492502</v>
      </c>
      <c r="F903">
        <v>0.65544052230727601</v>
      </c>
      <c r="G903">
        <v>0.487795252719189</v>
      </c>
      <c r="H903">
        <v>0.45285846532167401</v>
      </c>
      <c r="I903">
        <v>0.480772192503854</v>
      </c>
      <c r="J903">
        <v>0.454299236112021</v>
      </c>
      <c r="K903">
        <v>0.34181436763739298</v>
      </c>
      <c r="L903">
        <v>618.99089835205098</v>
      </c>
      <c r="M903">
        <v>12.2626892243724</v>
      </c>
      <c r="N903">
        <v>57.628323998515803</v>
      </c>
      <c r="O903">
        <v>49.191486915242699</v>
      </c>
      <c r="P903">
        <v>-3.7973295145951803E-2</v>
      </c>
      <c r="Q903">
        <v>0.39081895254268401</v>
      </c>
      <c r="R903">
        <v>0.97033323297087404</v>
      </c>
      <c r="S903" t="s">
        <v>7188</v>
      </c>
      <c r="T903" t="s">
        <v>12568</v>
      </c>
      <c r="U903" t="s">
        <v>12568</v>
      </c>
      <c r="V903" t="s">
        <v>12568</v>
      </c>
      <c r="W903" t="s">
        <v>13449</v>
      </c>
      <c r="X903">
        <v>8</v>
      </c>
      <c r="Y903" t="s">
        <v>19672</v>
      </c>
      <c r="Z903" t="s">
        <v>25773</v>
      </c>
      <c r="AA903">
        <v>0.62341784365188924</v>
      </c>
      <c r="AB903" t="str">
        <f>HYPERLINK("Melting_Curves/meltCurve_O00468_2_AGRN.pdf", "Melting_Curves/meltCurve_O00468_2_AGRN.pdf")</f>
        <v>Melting_Curves/meltCurve_O00468_2_AGRN.pdf</v>
      </c>
    </row>
    <row r="904" spans="1:28" x14ac:dyDescent="0.25">
      <c r="A904" t="s">
        <v>908</v>
      </c>
      <c r="B904">
        <v>0.99352677808782597</v>
      </c>
      <c r="C904">
        <v>0.85594269010871804</v>
      </c>
      <c r="D904">
        <v>0.81598753117466905</v>
      </c>
      <c r="E904">
        <v>0.33016137760978698</v>
      </c>
      <c r="F904">
        <v>0.259576568501733</v>
      </c>
      <c r="G904">
        <v>0.135466282879973</v>
      </c>
      <c r="H904">
        <v>9.4151895306085198E-2</v>
      </c>
      <c r="I904">
        <v>0.100621993587123</v>
      </c>
      <c r="J904">
        <v>7.2580153501709904E-2</v>
      </c>
      <c r="K904">
        <v>5.3819861712015603E-2</v>
      </c>
      <c r="L904">
        <v>931.71985746905602</v>
      </c>
      <c r="M904">
        <v>19.278400812536901</v>
      </c>
      <c r="N904">
        <v>48.750279105173199</v>
      </c>
      <c r="O904">
        <v>47.818719126541602</v>
      </c>
      <c r="P904">
        <v>-9.3071323603053605E-2</v>
      </c>
      <c r="Q904">
        <v>7.6607314910350693E-2</v>
      </c>
      <c r="R904">
        <v>0.98651848473138404</v>
      </c>
      <c r="S904" t="s">
        <v>7189</v>
      </c>
      <c r="T904" t="s">
        <v>12568</v>
      </c>
      <c r="U904" t="s">
        <v>12568</v>
      </c>
      <c r="V904" t="s">
        <v>12568</v>
      </c>
      <c r="W904" t="s">
        <v>13450</v>
      </c>
      <c r="X904">
        <v>19</v>
      </c>
      <c r="Y904" t="s">
        <v>19673</v>
      </c>
      <c r="Z904" t="s">
        <v>25774</v>
      </c>
      <c r="AA904">
        <v>0.34707726344291101</v>
      </c>
      <c r="AB904" t="str">
        <f>HYPERLINK("Melting_Curves/meltCurve_O00471_EXOC5.pdf", "Melting_Curves/meltCurve_O00471_EXOC5.pdf")</f>
        <v>Melting_Curves/meltCurve_O00471_EXOC5.pdf</v>
      </c>
    </row>
    <row r="905" spans="1:28" x14ac:dyDescent="0.25">
      <c r="A905" t="s">
        <v>909</v>
      </c>
      <c r="B905">
        <v>0.99352677808782597</v>
      </c>
      <c r="C905">
        <v>0.96976210781799499</v>
      </c>
      <c r="D905">
        <v>1.0082832488275599</v>
      </c>
      <c r="E905">
        <v>0.80143209014110495</v>
      </c>
      <c r="F905">
        <v>0.74720101960447605</v>
      </c>
      <c r="G905">
        <v>0.56921133440618499</v>
      </c>
      <c r="H905">
        <v>0.45412764453648602</v>
      </c>
      <c r="I905">
        <v>0.29354023322942202</v>
      </c>
      <c r="J905">
        <v>0.292861365346828</v>
      </c>
      <c r="K905">
        <v>0.26316250931851298</v>
      </c>
      <c r="L905">
        <v>663.27549134859805</v>
      </c>
      <c r="M905">
        <v>11.7457034241749</v>
      </c>
      <c r="N905">
        <v>58.629272079666201</v>
      </c>
      <c r="O905">
        <v>54.907329252061402</v>
      </c>
      <c r="P905">
        <v>-4.4099676538364503E-2</v>
      </c>
      <c r="Q905">
        <v>0.175609549442581</v>
      </c>
      <c r="R905">
        <v>0.98770704946772303</v>
      </c>
      <c r="S905" t="s">
        <v>7190</v>
      </c>
      <c r="T905" t="s">
        <v>12568</v>
      </c>
      <c r="U905" t="s">
        <v>12568</v>
      </c>
      <c r="V905" t="s">
        <v>12568</v>
      </c>
      <c r="W905" t="s">
        <v>13451</v>
      </c>
      <c r="X905">
        <v>1</v>
      </c>
      <c r="Y905" t="s">
        <v>19674</v>
      </c>
      <c r="Z905" t="s">
        <v>25775</v>
      </c>
      <c r="AA905">
        <v>0.6437338307527104</v>
      </c>
      <c r="AB905" t="str">
        <f>HYPERLINK("Melting_Curves/meltCurve_O00472_ELL2.pdf", "Melting_Curves/meltCurve_O00472_ELL2.pdf")</f>
        <v>Melting_Curves/meltCurve_O00472_ELL2.pdf</v>
      </c>
    </row>
    <row r="906" spans="1:28" x14ac:dyDescent="0.25">
      <c r="A906" t="s">
        <v>910</v>
      </c>
      <c r="B906">
        <v>0.99352677808782597</v>
      </c>
      <c r="C906">
        <v>0.97308675271311795</v>
      </c>
      <c r="D906">
        <v>1.0524198534901199</v>
      </c>
      <c r="E906">
        <v>1.0461230247957001</v>
      </c>
      <c r="F906">
        <v>1.08413275197267</v>
      </c>
      <c r="G906">
        <v>1.3185373864218199</v>
      </c>
      <c r="H906">
        <v>1.1888294592508399</v>
      </c>
      <c r="I906">
        <v>1.50733145446724</v>
      </c>
      <c r="J906">
        <v>1.4163479006261901</v>
      </c>
      <c r="K906">
        <v>1.38072679004137</v>
      </c>
      <c r="L906">
        <v>903.76381033655196</v>
      </c>
      <c r="M906">
        <v>16.051979072958499</v>
      </c>
      <c r="O906">
        <v>55.450250988494503</v>
      </c>
      <c r="P906">
        <v>3.1658728876086797E-2</v>
      </c>
      <c r="Q906">
        <v>1.4374161289157601</v>
      </c>
      <c r="R906">
        <v>0.854150150241196</v>
      </c>
      <c r="S906" t="s">
        <v>7191</v>
      </c>
      <c r="T906" t="s">
        <v>12568</v>
      </c>
      <c r="U906" t="s">
        <v>12568</v>
      </c>
      <c r="V906" t="s">
        <v>12568</v>
      </c>
      <c r="W906" t="s">
        <v>13452</v>
      </c>
      <c r="X906">
        <v>5</v>
      </c>
      <c r="Y906" t="s">
        <v>19675</v>
      </c>
      <c r="Z906" t="s">
        <v>25776</v>
      </c>
      <c r="AA906">
        <v>1.192611011006363</v>
      </c>
      <c r="AB906" t="str">
        <f>HYPERLINK("Melting_Curves/meltCurve_O00479_HMGN4.pdf", "Melting_Curves/meltCurve_O00479_HMGN4.pdf")</f>
        <v>Melting_Curves/meltCurve_O00479_HMGN4.pdf</v>
      </c>
    </row>
    <row r="907" spans="1:28" x14ac:dyDescent="0.25">
      <c r="A907" t="s">
        <v>911</v>
      </c>
      <c r="B907">
        <v>0.99352677808782597</v>
      </c>
      <c r="C907">
        <v>1.0051132959835301</v>
      </c>
      <c r="D907">
        <v>0.75886439948756002</v>
      </c>
      <c r="E907">
        <v>1.1546525793934801</v>
      </c>
      <c r="F907">
        <v>0.86644333385469596</v>
      </c>
      <c r="G907">
        <v>0.345454719987632</v>
      </c>
      <c r="H907">
        <v>0.12397510431940199</v>
      </c>
      <c r="I907">
        <v>9.3772288959542802E-2</v>
      </c>
      <c r="J907">
        <v>8.4984290399881396E-2</v>
      </c>
      <c r="K907">
        <v>6.54280040727548E-2</v>
      </c>
      <c r="L907">
        <v>2226.51253365503</v>
      </c>
      <c r="M907">
        <v>39.994643904545299</v>
      </c>
      <c r="N907">
        <v>55.926820682697802</v>
      </c>
      <c r="O907">
        <v>55.531634593349096</v>
      </c>
      <c r="P907">
        <v>-0.16496342548124701</v>
      </c>
      <c r="Q907">
        <v>8.38103908956358E-2</v>
      </c>
      <c r="R907">
        <v>0.95191240641971397</v>
      </c>
      <c r="S907" t="s">
        <v>7192</v>
      </c>
      <c r="T907" t="s">
        <v>12568</v>
      </c>
      <c r="U907" t="s">
        <v>12568</v>
      </c>
      <c r="V907" t="s">
        <v>12568</v>
      </c>
      <c r="W907" t="s">
        <v>13453</v>
      </c>
      <c r="X907">
        <v>6</v>
      </c>
      <c r="Y907" t="s">
        <v>19676</v>
      </c>
      <c r="Z907" t="s">
        <v>25777</v>
      </c>
      <c r="AA907">
        <v>0.56588249581014516</v>
      </c>
      <c r="AB907" t="str">
        <f>HYPERLINK("Melting_Curves/meltCurve_O00487_PSMD14.pdf", "Melting_Curves/meltCurve_O00487_PSMD14.pdf")</f>
        <v>Melting_Curves/meltCurve_O00487_PSMD14.pdf</v>
      </c>
    </row>
    <row r="908" spans="1:28" x14ac:dyDescent="0.25">
      <c r="A908" t="s">
        <v>912</v>
      </c>
      <c r="B908">
        <v>0.99352677808782597</v>
      </c>
      <c r="C908">
        <v>1.04044006429225</v>
      </c>
      <c r="D908">
        <v>1.00146108577988</v>
      </c>
      <c r="E908">
        <v>0.82868651194714105</v>
      </c>
      <c r="F908">
        <v>0.74006938971075198</v>
      </c>
      <c r="G908">
        <v>0.56130546867864195</v>
      </c>
      <c r="H908">
        <v>0.44982914648217798</v>
      </c>
      <c r="I908">
        <v>0.48822658783404399</v>
      </c>
      <c r="J908">
        <v>0.54075239814240195</v>
      </c>
      <c r="K908">
        <v>0.47457682327011402</v>
      </c>
      <c r="L908">
        <v>1148.6216023470499</v>
      </c>
      <c r="M908">
        <v>21.9123741380029</v>
      </c>
      <c r="N908">
        <v>61.791305832037501</v>
      </c>
      <c r="O908">
        <v>51.988136119548102</v>
      </c>
      <c r="P908">
        <v>-5.4585053681918502E-2</v>
      </c>
      <c r="Q908">
        <v>0.481989309906182</v>
      </c>
      <c r="R908">
        <v>0.97843976553724499</v>
      </c>
      <c r="S908" t="s">
        <v>7193</v>
      </c>
      <c r="T908" t="s">
        <v>12568</v>
      </c>
      <c r="U908" t="s">
        <v>12568</v>
      </c>
      <c r="V908" t="s">
        <v>12568</v>
      </c>
      <c r="W908" t="s">
        <v>13454</v>
      </c>
      <c r="X908">
        <v>2</v>
      </c>
      <c r="Y908" t="s">
        <v>19677</v>
      </c>
      <c r="Z908" t="s">
        <v>25778</v>
      </c>
      <c r="AA908">
        <v>0.70249936369687871</v>
      </c>
      <c r="AB908" t="str">
        <f>HYPERLINK("Melting_Curves/meltCurve_O00488_ZNF593.pdf", "Melting_Curves/meltCurve_O00488_ZNF593.pdf")</f>
        <v>Melting_Curves/meltCurve_O00488_ZNF593.pdf</v>
      </c>
    </row>
    <row r="909" spans="1:28" x14ac:dyDescent="0.25">
      <c r="A909" t="s">
        <v>913</v>
      </c>
      <c r="B909">
        <v>0.99352677808782597</v>
      </c>
      <c r="C909">
        <v>0.58563672318081905</v>
      </c>
      <c r="D909">
        <v>1.1366099219191801</v>
      </c>
      <c r="E909">
        <v>0.70370793427050704</v>
      </c>
      <c r="F909">
        <v>0.59181534066778396</v>
      </c>
      <c r="G909">
        <v>0.47207489220245302</v>
      </c>
      <c r="H909">
        <v>0.37139988242608202</v>
      </c>
      <c r="I909">
        <v>0.34844209010571198</v>
      </c>
      <c r="J909">
        <v>0.43749812750786699</v>
      </c>
      <c r="K909">
        <v>0.35649990110880803</v>
      </c>
      <c r="S909" t="s">
        <v>7194</v>
      </c>
      <c r="T909" t="s">
        <v>12568</v>
      </c>
      <c r="U909" t="s">
        <v>12569</v>
      </c>
      <c r="V909" t="s">
        <v>12568</v>
      </c>
      <c r="W909" t="s">
        <v>13455</v>
      </c>
      <c r="X909">
        <v>19</v>
      </c>
      <c r="Y909" t="s">
        <v>19678</v>
      </c>
      <c r="Z909" t="s">
        <v>25779</v>
      </c>
      <c r="AB909" t="str">
        <f>HYPERLINK("Melting_Curves/meltCurve_O00499_6_BIN1.pdf", "Melting_Curves/meltCurve_O00499_6_BIN1.pdf")</f>
        <v>Melting_Curves/meltCurve_O00499_6_BIN1.pdf</v>
      </c>
    </row>
    <row r="910" spans="1:28" x14ac:dyDescent="0.25">
      <c r="A910" t="s">
        <v>914</v>
      </c>
      <c r="B910">
        <v>0.99352677808782597</v>
      </c>
      <c r="C910">
        <v>0.97316144771897295</v>
      </c>
      <c r="D910">
        <v>0.873966126488258</v>
      </c>
      <c r="E910">
        <v>0.68082170945522702</v>
      </c>
      <c r="F910">
        <v>0.56220636055425599</v>
      </c>
      <c r="G910">
        <v>0.21746636515155399</v>
      </c>
      <c r="H910">
        <v>0.17060350964736701</v>
      </c>
      <c r="I910">
        <v>0.154479052450923</v>
      </c>
      <c r="J910">
        <v>0.12564222085740401</v>
      </c>
      <c r="K910">
        <v>0.109112008050595</v>
      </c>
      <c r="L910">
        <v>816.52613891922601</v>
      </c>
      <c r="M910">
        <v>15.6282233586494</v>
      </c>
      <c r="N910">
        <v>52.908137456585102</v>
      </c>
      <c r="O910">
        <v>51.413884250576501</v>
      </c>
      <c r="P910">
        <v>-6.9256588371192501E-2</v>
      </c>
      <c r="Q910">
        <v>8.8714421445073896E-2</v>
      </c>
      <c r="R910">
        <v>0.99152897681990404</v>
      </c>
      <c r="S910" t="s">
        <v>7195</v>
      </c>
      <c r="T910" t="s">
        <v>12568</v>
      </c>
      <c r="U910" t="s">
        <v>12568</v>
      </c>
      <c r="V910" t="s">
        <v>12568</v>
      </c>
      <c r="W910" t="s">
        <v>13456</v>
      </c>
      <c r="X910">
        <v>11</v>
      </c>
      <c r="Y910" t="s">
        <v>19679</v>
      </c>
      <c r="Z910" t="s">
        <v>25780</v>
      </c>
      <c r="AA910">
        <v>0.47970418850341368</v>
      </c>
      <c r="AB910" t="str">
        <f>HYPERLINK("Melting_Curves/meltCurve_O00505_KPNA3.pdf", "Melting_Curves/meltCurve_O00505_KPNA3.pdf")</f>
        <v>Melting_Curves/meltCurve_O00505_KPNA3.pdf</v>
      </c>
    </row>
    <row r="911" spans="1:28" x14ac:dyDescent="0.25">
      <c r="A911" t="s">
        <v>915</v>
      </c>
      <c r="B911">
        <v>0.99352677808782597</v>
      </c>
      <c r="C911">
        <v>0.84875339704053798</v>
      </c>
      <c r="D911">
        <v>0.66360098205547502</v>
      </c>
      <c r="E911">
        <v>0.476883769721543</v>
      </c>
      <c r="F911">
        <v>0.42891378772136901</v>
      </c>
      <c r="G911">
        <v>0.29219174855077101</v>
      </c>
      <c r="H911">
        <v>0.31516735295799497</v>
      </c>
      <c r="I911">
        <v>0.21307390047986099</v>
      </c>
      <c r="J911">
        <v>0.20322782505107401</v>
      </c>
      <c r="K911">
        <v>0.16795700985023601</v>
      </c>
      <c r="L911">
        <v>563.10657464123096</v>
      </c>
      <c r="M911">
        <v>11.7010879422378</v>
      </c>
      <c r="N911">
        <v>50.1007331775767</v>
      </c>
      <c r="O911">
        <v>46.783195622785598</v>
      </c>
      <c r="P911">
        <v>-5.0982683962592402E-2</v>
      </c>
      <c r="Q911">
        <v>0.184862861038701</v>
      </c>
      <c r="R911">
        <v>0.98157388325218597</v>
      </c>
      <c r="S911" t="s">
        <v>7196</v>
      </c>
      <c r="T911" t="s">
        <v>12568</v>
      </c>
      <c r="U911" t="s">
        <v>12568</v>
      </c>
      <c r="V911" t="s">
        <v>12568</v>
      </c>
      <c r="W911" t="s">
        <v>13457</v>
      </c>
      <c r="X911">
        <v>8</v>
      </c>
      <c r="Y911" t="s">
        <v>19680</v>
      </c>
      <c r="Z911" t="s">
        <v>25781</v>
      </c>
      <c r="AA911">
        <v>0.43866969793111882</v>
      </c>
      <c r="AB911" t="str">
        <f>HYPERLINK("Melting_Curves/meltCurve_O00506_STK25.pdf", "Melting_Curves/meltCurve_O00506_STK25.pdf")</f>
        <v>Melting_Curves/meltCurve_O00506_STK25.pdf</v>
      </c>
    </row>
    <row r="912" spans="1:28" x14ac:dyDescent="0.25">
      <c r="A912" t="s">
        <v>916</v>
      </c>
      <c r="B912">
        <v>0.99352677808782597</v>
      </c>
      <c r="C912">
        <v>0.95773683307309998</v>
      </c>
      <c r="D912">
        <v>0.89608733609261204</v>
      </c>
      <c r="E912">
        <v>0.94647291850960302</v>
      </c>
      <c r="F912">
        <v>0.97001063420542999</v>
      </c>
      <c r="G912">
        <v>0.892336964111905</v>
      </c>
      <c r="H912">
        <v>0.77501649840285902</v>
      </c>
      <c r="I912">
        <v>0.83474766003897405</v>
      </c>
      <c r="J912">
        <v>0.96397758302150904</v>
      </c>
      <c r="K912">
        <v>0.87587377961658697</v>
      </c>
      <c r="L912">
        <v>393.025660598353</v>
      </c>
      <c r="M912">
        <v>8.1596167610538703</v>
      </c>
      <c r="O912">
        <v>45.533344814648402</v>
      </c>
      <c r="P912">
        <v>-6.2424335185303596E-3</v>
      </c>
      <c r="Q912">
        <v>0.86080689090632101</v>
      </c>
      <c r="R912">
        <v>0.32449304990344102</v>
      </c>
      <c r="S912" t="s">
        <v>7197</v>
      </c>
      <c r="T912" t="s">
        <v>12568</v>
      </c>
      <c r="U912" t="s">
        <v>12568</v>
      </c>
      <c r="V912" t="s">
        <v>12568</v>
      </c>
      <c r="W912" t="s">
        <v>13458</v>
      </c>
      <c r="X912">
        <v>4</v>
      </c>
      <c r="Y912" t="s">
        <v>19681</v>
      </c>
      <c r="Z912" t="s">
        <v>25782</v>
      </c>
      <c r="AA912">
        <v>0.90840472988001963</v>
      </c>
      <c r="AB912" t="str">
        <f>HYPERLINK("Melting_Curves/meltCurve_O00512_BCL9.pdf", "Melting_Curves/meltCurve_O00512_BCL9.pdf")</f>
        <v>Melting_Curves/meltCurve_O00512_BCL9.pdf</v>
      </c>
    </row>
    <row r="913" spans="1:28" x14ac:dyDescent="0.25">
      <c r="A913" t="s">
        <v>917</v>
      </c>
      <c r="B913">
        <v>0.99352677808782597</v>
      </c>
      <c r="C913">
        <v>0.99634380276283996</v>
      </c>
      <c r="D913">
        <v>1.0490654210630099</v>
      </c>
      <c r="E913">
        <v>0.78537086972585601</v>
      </c>
      <c r="F913">
        <v>0.66198634109860799</v>
      </c>
      <c r="G913">
        <v>0.21644019085948399</v>
      </c>
      <c r="H913">
        <v>0.14805169098929799</v>
      </c>
      <c r="I913">
        <v>0.134549417356783</v>
      </c>
      <c r="J913">
        <v>0.109626637571746</v>
      </c>
      <c r="K913">
        <v>9.1448166661828201E-2</v>
      </c>
      <c r="L913">
        <v>1294.9720487206901</v>
      </c>
      <c r="M913">
        <v>24.202324232950801</v>
      </c>
      <c r="N913">
        <v>53.990210895693998</v>
      </c>
      <c r="O913">
        <v>53.144824132977803</v>
      </c>
      <c r="P913">
        <v>-0.102747373144897</v>
      </c>
      <c r="Q913">
        <v>9.7539972954299503E-2</v>
      </c>
      <c r="R913">
        <v>0.98928014492888605</v>
      </c>
      <c r="S913" t="s">
        <v>7198</v>
      </c>
      <c r="T913" t="s">
        <v>12568</v>
      </c>
      <c r="U913" t="s">
        <v>12568</v>
      </c>
      <c r="V913" t="s">
        <v>12568</v>
      </c>
      <c r="W913" t="s">
        <v>13459</v>
      </c>
      <c r="X913">
        <v>5</v>
      </c>
      <c r="Y913" t="s">
        <v>19682</v>
      </c>
      <c r="Z913" t="s">
        <v>25783</v>
      </c>
      <c r="AA913">
        <v>0.51267761515750421</v>
      </c>
      <c r="AB913" t="str">
        <f>HYPERLINK("Melting_Curves/meltCurve_O00560_3_SDCBP.pdf", "Melting_Curves/meltCurve_O00560_3_SDCBP.pdf")</f>
        <v>Melting_Curves/meltCurve_O00560_3_SDCBP.pdf</v>
      </c>
    </row>
    <row r="914" spans="1:28" x14ac:dyDescent="0.25">
      <c r="A914" t="s">
        <v>918</v>
      </c>
      <c r="B914">
        <v>0.99352677808782597</v>
      </c>
      <c r="C914">
        <v>0.88826516815193501</v>
      </c>
      <c r="D914">
        <v>0.872733317065572</v>
      </c>
      <c r="E914">
        <v>0.372577727713652</v>
      </c>
      <c r="F914">
        <v>0.32112926792256202</v>
      </c>
      <c r="G914">
        <v>0.17345298688010599</v>
      </c>
      <c r="H914">
        <v>0.13720573095324901</v>
      </c>
      <c r="I914">
        <v>0.16201119432264599</v>
      </c>
      <c r="J914">
        <v>0.117436666107032</v>
      </c>
      <c r="K914">
        <v>0.104436249369231</v>
      </c>
      <c r="L914">
        <v>1048.71018834489</v>
      </c>
      <c r="M914">
        <v>21.552887479773801</v>
      </c>
      <c r="N914">
        <v>49.357875615202502</v>
      </c>
      <c r="O914">
        <v>48.2444679917472</v>
      </c>
      <c r="P914">
        <v>-9.6974708099422505E-2</v>
      </c>
      <c r="Q914">
        <v>0.13173977076399099</v>
      </c>
      <c r="R914">
        <v>0.983142277655082</v>
      </c>
      <c r="S914" t="s">
        <v>7199</v>
      </c>
      <c r="T914" t="s">
        <v>12568</v>
      </c>
      <c r="U914" t="s">
        <v>12568</v>
      </c>
      <c r="V914" t="s">
        <v>12568</v>
      </c>
      <c r="W914" t="s">
        <v>13460</v>
      </c>
      <c r="X914">
        <v>4</v>
      </c>
      <c r="Y914" t="s">
        <v>19683</v>
      </c>
      <c r="Z914" t="s">
        <v>25784</v>
      </c>
      <c r="AA914">
        <v>0.39276300529126218</v>
      </c>
      <c r="AB914" t="str">
        <f>HYPERLINK("Melting_Curves/meltCurve_O00562_2_PITPNM1.pdf", "Melting_Curves/meltCurve_O00562_2_PITPNM1.pdf")</f>
        <v>Melting_Curves/meltCurve_O00562_2_PITPNM1.pdf</v>
      </c>
    </row>
    <row r="915" spans="1:28" x14ac:dyDescent="0.25">
      <c r="A915" t="s">
        <v>919</v>
      </c>
      <c r="B915">
        <v>0.99352677808782597</v>
      </c>
      <c r="C915">
        <v>0.96290301096270303</v>
      </c>
      <c r="D915">
        <v>0.99140943707287799</v>
      </c>
      <c r="E915">
        <v>0.75755199695713804</v>
      </c>
      <c r="F915">
        <v>0.61547267236221803</v>
      </c>
      <c r="G915">
        <v>0.56465586356161002</v>
      </c>
      <c r="H915">
        <v>0.40383871951841499</v>
      </c>
      <c r="I915">
        <v>0.41132791184262801</v>
      </c>
      <c r="J915">
        <v>0.45154270956318898</v>
      </c>
      <c r="K915">
        <v>0.445872683706101</v>
      </c>
      <c r="L915">
        <v>984.67824452899697</v>
      </c>
      <c r="M915">
        <v>19.205659246603901</v>
      </c>
      <c r="N915">
        <v>57.015421483435198</v>
      </c>
      <c r="O915">
        <v>50.724067217083501</v>
      </c>
      <c r="P915">
        <v>-5.4164376109030701E-2</v>
      </c>
      <c r="Q915">
        <v>0.42780771191278899</v>
      </c>
      <c r="R915">
        <v>0.97886226642393104</v>
      </c>
      <c r="S915" t="s">
        <v>7200</v>
      </c>
      <c r="T915" t="s">
        <v>12568</v>
      </c>
      <c r="U915" t="s">
        <v>12568</v>
      </c>
      <c r="V915" t="s">
        <v>12568</v>
      </c>
      <c r="W915" t="s">
        <v>13461</v>
      </c>
      <c r="X915">
        <v>4</v>
      </c>
      <c r="Y915" t="s">
        <v>19684</v>
      </c>
      <c r="Z915" t="s">
        <v>25785</v>
      </c>
      <c r="AA915">
        <v>0.65131650600075186</v>
      </c>
      <c r="AB915" t="str">
        <f>HYPERLINK("Melting_Curves/meltCurve_O00566_MPHOSPH10.pdf", "Melting_Curves/meltCurve_O00566_MPHOSPH10.pdf")</f>
        <v>Melting_Curves/meltCurve_O00566_MPHOSPH10.pdf</v>
      </c>
    </row>
    <row r="916" spans="1:28" x14ac:dyDescent="0.25">
      <c r="A916" t="s">
        <v>920</v>
      </c>
      <c r="B916">
        <v>0.99352677808782597</v>
      </c>
      <c r="C916">
        <v>0.94099335988506105</v>
      </c>
      <c r="D916">
        <v>1.0182025584726</v>
      </c>
      <c r="E916">
        <v>1.0049041318710401</v>
      </c>
      <c r="F916">
        <v>0.96053487868740095</v>
      </c>
      <c r="G916">
        <v>0.91635184039457696</v>
      </c>
      <c r="H916">
        <v>0.82276657654956697</v>
      </c>
      <c r="I916">
        <v>0.82879001149893095</v>
      </c>
      <c r="J916">
        <v>0.80523231007750296</v>
      </c>
      <c r="K916">
        <v>0.69773535684878196</v>
      </c>
      <c r="L916">
        <v>541.85623115199201</v>
      </c>
      <c r="M916">
        <v>7.7229776148064602</v>
      </c>
      <c r="O916">
        <v>65.922613807717795</v>
      </c>
      <c r="P916">
        <v>-1.6635390726582999E-2</v>
      </c>
      <c r="Q916">
        <v>0.432739051538719</v>
      </c>
      <c r="R916">
        <v>0.91597912300577</v>
      </c>
      <c r="S916" t="s">
        <v>7201</v>
      </c>
      <c r="T916" t="s">
        <v>12568</v>
      </c>
      <c r="U916" t="s">
        <v>12568</v>
      </c>
      <c r="V916" t="s">
        <v>12568</v>
      </c>
      <c r="W916" t="s">
        <v>13462</v>
      </c>
      <c r="X916">
        <v>4</v>
      </c>
      <c r="Y916" t="s">
        <v>19685</v>
      </c>
      <c r="Z916" t="s">
        <v>25786</v>
      </c>
      <c r="AA916">
        <v>0.90883748858307922</v>
      </c>
      <c r="AB916" t="str">
        <f>HYPERLINK("Melting_Curves/meltCurve_O00567_NOP56.pdf", "Melting_Curves/meltCurve_O00567_NOP56.pdf")</f>
        <v>Melting_Curves/meltCurve_O00567_NOP56.pdf</v>
      </c>
    </row>
    <row r="917" spans="1:28" x14ac:dyDescent="0.25">
      <c r="A917" t="s">
        <v>921</v>
      </c>
      <c r="B917">
        <v>0.99352677808782597</v>
      </c>
      <c r="C917">
        <v>0.88570271823234403</v>
      </c>
      <c r="D917">
        <v>0.73340760056874699</v>
      </c>
      <c r="E917">
        <v>0.340672277574395</v>
      </c>
      <c r="F917">
        <v>0.28513194169306399</v>
      </c>
      <c r="G917">
        <v>0.23067058097712601</v>
      </c>
      <c r="H917">
        <v>0.20020671717248301</v>
      </c>
      <c r="I917">
        <v>0.203851563217225</v>
      </c>
      <c r="J917">
        <v>0.188933838938868</v>
      </c>
      <c r="K917">
        <v>0.17526383622463601</v>
      </c>
      <c r="L917">
        <v>1025.0742067792801</v>
      </c>
      <c r="M917">
        <v>21.736050302800798</v>
      </c>
      <c r="N917">
        <v>48.2522013648422</v>
      </c>
      <c r="O917">
        <v>46.766363235396199</v>
      </c>
      <c r="P917">
        <v>-9.3622275827021498E-2</v>
      </c>
      <c r="Q917">
        <v>0.19428400715623001</v>
      </c>
      <c r="R917">
        <v>0.99511893006269103</v>
      </c>
      <c r="S917" t="s">
        <v>7202</v>
      </c>
      <c r="T917" t="s">
        <v>12568</v>
      </c>
      <c r="U917" t="s">
        <v>12568</v>
      </c>
      <c r="V917" t="s">
        <v>12568</v>
      </c>
      <c r="W917" t="s">
        <v>13463</v>
      </c>
      <c r="X917">
        <v>44</v>
      </c>
      <c r="Y917" t="s">
        <v>19686</v>
      </c>
      <c r="Z917" t="s">
        <v>25787</v>
      </c>
      <c r="AA917">
        <v>0.39634381476790059</v>
      </c>
      <c r="AB917" t="str">
        <f>HYPERLINK("Melting_Curves/meltCurve_O00571_DDX3X.pdf", "Melting_Curves/meltCurve_O00571_DDX3X.pdf")</f>
        <v>Melting_Curves/meltCurve_O00571_DDX3X.pdf</v>
      </c>
    </row>
    <row r="918" spans="1:28" x14ac:dyDescent="0.25">
      <c r="A918" t="s">
        <v>922</v>
      </c>
      <c r="B918">
        <v>0.99352677808782597</v>
      </c>
      <c r="C918">
        <v>0.90655239798746301</v>
      </c>
      <c r="D918">
        <v>1.0046492180567299</v>
      </c>
      <c r="E918">
        <v>0.96900683010809896</v>
      </c>
      <c r="F918">
        <v>1.1140682725612401</v>
      </c>
      <c r="G918">
        <v>0.90280320768440603</v>
      </c>
      <c r="H918">
        <v>1.1212442774514899</v>
      </c>
      <c r="I918">
        <v>1.27994924554233</v>
      </c>
      <c r="J918">
        <v>1.39385348757803</v>
      </c>
      <c r="K918">
        <v>1.1483528461554899</v>
      </c>
      <c r="L918">
        <v>15000</v>
      </c>
      <c r="M918">
        <v>245.67026443890401</v>
      </c>
      <c r="O918">
        <v>61.053423178677903</v>
      </c>
      <c r="P918">
        <v>0.27568755604565698</v>
      </c>
      <c r="Q918">
        <v>1.27405292783094</v>
      </c>
      <c r="R918">
        <v>0.73201514268626999</v>
      </c>
      <c r="S918" t="s">
        <v>7203</v>
      </c>
      <c r="T918" t="s">
        <v>12568</v>
      </c>
      <c r="U918" t="s">
        <v>12568</v>
      </c>
      <c r="V918" t="s">
        <v>12568</v>
      </c>
      <c r="W918" t="s">
        <v>13464</v>
      </c>
      <c r="X918">
        <v>3</v>
      </c>
      <c r="Y918" t="s">
        <v>19687</v>
      </c>
      <c r="Z918" t="s">
        <v>25788</v>
      </c>
      <c r="AA918">
        <v>1.0816606522331469</v>
      </c>
      <c r="AB918" t="str">
        <f>HYPERLINK("Melting_Curves/meltCurve_O00592_2_PODXL.pdf", "Melting_Curves/meltCurve_O00592_2_PODXL.pdf")</f>
        <v>Melting_Curves/meltCurve_O00592_2_PODXL.pdf</v>
      </c>
    </row>
    <row r="919" spans="1:28" x14ac:dyDescent="0.25">
      <c r="A919" t="s">
        <v>923</v>
      </c>
      <c r="B919">
        <v>0.99352677808782597</v>
      </c>
      <c r="C919">
        <v>0.98110383768118803</v>
      </c>
      <c r="D919">
        <v>1.0571908158871199</v>
      </c>
      <c r="E919">
        <v>0.62193609925200999</v>
      </c>
      <c r="F919">
        <v>0.54770238947718297</v>
      </c>
      <c r="G919">
        <v>0.39320970792347498</v>
      </c>
      <c r="H919">
        <v>0.27628267087928599</v>
      </c>
      <c r="I919">
        <v>0.21656372729394099</v>
      </c>
      <c r="J919">
        <v>0.16992217460640899</v>
      </c>
      <c r="K919">
        <v>0.140560856823985</v>
      </c>
      <c r="L919">
        <v>801.28311887655502</v>
      </c>
      <c r="M919">
        <v>15.268156711956699</v>
      </c>
      <c r="N919">
        <v>53.806327319346501</v>
      </c>
      <c r="O919">
        <v>51.605099609057802</v>
      </c>
      <c r="P919">
        <v>-6.2377580371060698E-2</v>
      </c>
      <c r="Q919">
        <v>0.15675534519106801</v>
      </c>
      <c r="R919">
        <v>0.96807048954859698</v>
      </c>
      <c r="S919" t="s">
        <v>7204</v>
      </c>
      <c r="T919" t="s">
        <v>12568</v>
      </c>
      <c r="U919" t="s">
        <v>12568</v>
      </c>
      <c r="V919" t="s">
        <v>12568</v>
      </c>
      <c r="W919" t="s">
        <v>13465</v>
      </c>
      <c r="X919">
        <v>14</v>
      </c>
      <c r="Y919" t="s">
        <v>19688</v>
      </c>
      <c r="Z919" t="s">
        <v>25789</v>
      </c>
      <c r="AA919">
        <v>0.52561220482535842</v>
      </c>
      <c r="AB919" t="str">
        <f>HYPERLINK("Melting_Curves/meltCurve_O00625_PIR.pdf", "Melting_Curves/meltCurve_O00625_PIR.pdf")</f>
        <v>Melting_Curves/meltCurve_O00625_PIR.pdf</v>
      </c>
    </row>
    <row r="920" spans="1:28" x14ac:dyDescent="0.25">
      <c r="A920" t="s">
        <v>924</v>
      </c>
      <c r="B920">
        <v>0.99352677808782597</v>
      </c>
      <c r="C920">
        <v>1.0107750500358601</v>
      </c>
      <c r="D920">
        <v>0.89512926069231302</v>
      </c>
      <c r="E920">
        <v>0.91180254725724297</v>
      </c>
      <c r="F920">
        <v>0.85737055779244398</v>
      </c>
      <c r="G920">
        <v>0.62522109876643694</v>
      </c>
      <c r="H920">
        <v>0.20835563692834899</v>
      </c>
      <c r="I920">
        <v>0.204062148675556</v>
      </c>
      <c r="J920">
        <v>0.16679561846273</v>
      </c>
      <c r="K920">
        <v>0.13759519903279099</v>
      </c>
      <c r="L920">
        <v>1320.0212625516399</v>
      </c>
      <c r="M920">
        <v>23.1159371339008</v>
      </c>
      <c r="N920">
        <v>57.790662168270103</v>
      </c>
      <c r="O920">
        <v>56.6821521959465</v>
      </c>
      <c r="P920">
        <v>-8.9718538553328897E-2</v>
      </c>
      <c r="Q920">
        <v>0.12002738841828201</v>
      </c>
      <c r="R920">
        <v>0.98180638113657803</v>
      </c>
      <c r="S920" t="s">
        <v>7205</v>
      </c>
      <c r="T920" t="s">
        <v>12568</v>
      </c>
      <c r="U920" t="s">
        <v>12568</v>
      </c>
      <c r="V920" t="s">
        <v>12568</v>
      </c>
      <c r="W920" t="s">
        <v>13466</v>
      </c>
      <c r="X920">
        <v>12</v>
      </c>
      <c r="Y920" t="s">
        <v>19689</v>
      </c>
      <c r="Z920" t="s">
        <v>25790</v>
      </c>
      <c r="AA920">
        <v>0.63061329156998691</v>
      </c>
      <c r="AB920" t="str">
        <f>HYPERLINK("Melting_Curves/meltCurve_O00629_KPNA4.pdf", "Melting_Curves/meltCurve_O00629_KPNA4.pdf")</f>
        <v>Melting_Curves/meltCurve_O00629_KPNA4.pdf</v>
      </c>
    </row>
    <row r="921" spans="1:28" x14ac:dyDescent="0.25">
      <c r="A921" t="s">
        <v>925</v>
      </c>
      <c r="B921">
        <v>0.99352677808782597</v>
      </c>
      <c r="C921">
        <v>0.89256355870616599</v>
      </c>
      <c r="D921">
        <v>0.64820976768844596</v>
      </c>
      <c r="E921">
        <v>0.33366470251746</v>
      </c>
      <c r="F921">
        <v>0.31648942013729597</v>
      </c>
      <c r="G921">
        <v>0.153209112940217</v>
      </c>
      <c r="H921">
        <v>0.10035005331935</v>
      </c>
      <c r="I921">
        <v>9.48941181403542E-2</v>
      </c>
      <c r="J921">
        <v>6.7249952241430599E-2</v>
      </c>
      <c r="K921">
        <v>6.08141811042835E-2</v>
      </c>
      <c r="L921">
        <v>729.37412760435302</v>
      </c>
      <c r="M921">
        <v>15.254284032771199</v>
      </c>
      <c r="N921">
        <v>48.3010860999009</v>
      </c>
      <c r="O921">
        <v>47.015261392406401</v>
      </c>
      <c r="P921">
        <v>-7.5342058856605096E-2</v>
      </c>
      <c r="Q921">
        <v>7.1240448556678104E-2</v>
      </c>
      <c r="R921">
        <v>0.98937638159656505</v>
      </c>
      <c r="S921" t="s">
        <v>7206</v>
      </c>
      <c r="T921" t="s">
        <v>12568</v>
      </c>
      <c r="U921" t="s">
        <v>12568</v>
      </c>
      <c r="V921" t="s">
        <v>12568</v>
      </c>
      <c r="W921" t="s">
        <v>13467</v>
      </c>
      <c r="X921">
        <v>4</v>
      </c>
      <c r="Y921" t="s">
        <v>19690</v>
      </c>
      <c r="Z921" t="s">
        <v>25791</v>
      </c>
      <c r="AA921">
        <v>0.33648057541764559</v>
      </c>
      <c r="AB921" t="str">
        <f>HYPERLINK("Melting_Curves/meltCurve_O00635_TRIM38.pdf", "Melting_Curves/meltCurve_O00635_TRIM38.pdf")</f>
        <v>Melting_Curves/meltCurve_O00635_TRIM38.pdf</v>
      </c>
    </row>
    <row r="922" spans="1:28" x14ac:dyDescent="0.25">
      <c r="A922" t="s">
        <v>926</v>
      </c>
      <c r="B922">
        <v>0.99352677808782597</v>
      </c>
      <c r="C922">
        <v>1.05739640152321</v>
      </c>
      <c r="D922">
        <v>1.0137566279298</v>
      </c>
      <c r="E922">
        <v>1.2127672898853099</v>
      </c>
      <c r="F922">
        <v>1.1054064955979901</v>
      </c>
      <c r="G922">
        <v>0.98991612637130499</v>
      </c>
      <c r="H922">
        <v>0.89358585077633301</v>
      </c>
      <c r="I922">
        <v>0.97870230570379302</v>
      </c>
      <c r="J922">
        <v>0.86275721671285099</v>
      </c>
      <c r="K922">
        <v>1.34872939638196</v>
      </c>
      <c r="S922" t="s">
        <v>7207</v>
      </c>
      <c r="T922" t="s">
        <v>12568</v>
      </c>
      <c r="U922" t="s">
        <v>12569</v>
      </c>
      <c r="V922" t="s">
        <v>12568</v>
      </c>
      <c r="W922" t="s">
        <v>13468</v>
      </c>
      <c r="X922">
        <v>3</v>
      </c>
      <c r="Y922" t="s">
        <v>19691</v>
      </c>
      <c r="Z922" t="s">
        <v>25792</v>
      </c>
      <c r="AB922" t="str">
        <f>HYPERLINK("Melting_Curves/meltCurve_O00712_NFIB.pdf", "Melting_Curves/meltCurve_O00712_NFIB.pdf")</f>
        <v>Melting_Curves/meltCurve_O00712_NFIB.pdf</v>
      </c>
    </row>
    <row r="923" spans="1:28" x14ac:dyDescent="0.25">
      <c r="A923" t="s">
        <v>927</v>
      </c>
      <c r="B923">
        <v>0.99352677808782597</v>
      </c>
      <c r="C923">
        <v>1.0155387004368801</v>
      </c>
      <c r="D923">
        <v>0.91678200697740797</v>
      </c>
      <c r="E923">
        <v>0.964349565279087</v>
      </c>
      <c r="F923">
        <v>0.874634640582309</v>
      </c>
      <c r="G923">
        <v>0.84150686740097302</v>
      </c>
      <c r="H923">
        <v>0.65746327805906501</v>
      </c>
      <c r="I923">
        <v>0.55532362128718005</v>
      </c>
      <c r="J923">
        <v>0.46996225384772</v>
      </c>
      <c r="K923">
        <v>0.33321938872263401</v>
      </c>
      <c r="L923">
        <v>621.63878400930798</v>
      </c>
      <c r="M923">
        <v>9.4831882374088305</v>
      </c>
      <c r="N923">
        <v>65.551661119316094</v>
      </c>
      <c r="O923">
        <v>62.835239150484803</v>
      </c>
      <c r="P923">
        <v>-3.7752841603017201E-2</v>
      </c>
      <c r="Q923">
        <v>0</v>
      </c>
      <c r="R923">
        <v>0.98434704442346799</v>
      </c>
      <c r="S923" t="s">
        <v>7208</v>
      </c>
      <c r="T923" t="s">
        <v>12568</v>
      </c>
      <c r="U923" t="s">
        <v>12568</v>
      </c>
      <c r="V923" t="s">
        <v>12568</v>
      </c>
      <c r="W923" t="s">
        <v>13469</v>
      </c>
      <c r="X923">
        <v>12</v>
      </c>
      <c r="Y923" t="s">
        <v>19692</v>
      </c>
      <c r="Z923" t="s">
        <v>25793</v>
      </c>
      <c r="AA923">
        <v>0.78526416631560159</v>
      </c>
      <c r="AB923" t="str">
        <f>HYPERLINK("Melting_Curves/meltCurve_O00743_PPP6C.pdf", "Melting_Curves/meltCurve_O00743_PPP6C.pdf")</f>
        <v>Melting_Curves/meltCurve_O00743_PPP6C.pdf</v>
      </c>
    </row>
    <row r="924" spans="1:28" x14ac:dyDescent="0.25">
      <c r="A924" t="s">
        <v>928</v>
      </c>
      <c r="B924">
        <v>0.99352677808782597</v>
      </c>
      <c r="C924">
        <v>1.0136749551458299</v>
      </c>
      <c r="D924">
        <v>0.94800291389146596</v>
      </c>
      <c r="E924">
        <v>0.86970337345307902</v>
      </c>
      <c r="F924">
        <v>0.77526180376478904</v>
      </c>
      <c r="G924">
        <v>0.30418140364345497</v>
      </c>
      <c r="H924">
        <v>0.19670682578502999</v>
      </c>
      <c r="I924">
        <v>0.15049965632769799</v>
      </c>
      <c r="J924">
        <v>0.12303508656275</v>
      </c>
      <c r="K924">
        <v>9.6925600960851496E-2</v>
      </c>
      <c r="L924">
        <v>1389.1860070934299</v>
      </c>
      <c r="M924">
        <v>25.410559104217899</v>
      </c>
      <c r="N924">
        <v>55.228437208453599</v>
      </c>
      <c r="O924">
        <v>54.334441326687397</v>
      </c>
      <c r="P924">
        <v>-0.103665404488731</v>
      </c>
      <c r="Q924">
        <v>0.113356198583386</v>
      </c>
      <c r="R924">
        <v>0.99268334986191198</v>
      </c>
      <c r="S924" t="s">
        <v>7209</v>
      </c>
      <c r="T924" t="s">
        <v>12568</v>
      </c>
      <c r="U924" t="s">
        <v>12568</v>
      </c>
      <c r="V924" t="s">
        <v>12568</v>
      </c>
      <c r="W924" t="s">
        <v>13470</v>
      </c>
      <c r="X924">
        <v>5</v>
      </c>
      <c r="Y924" t="s">
        <v>19693</v>
      </c>
      <c r="Z924" t="s">
        <v>25794</v>
      </c>
      <c r="AA924">
        <v>0.55488866145997207</v>
      </c>
      <c r="AB924" t="str">
        <f>HYPERLINK("Melting_Curves/meltCurve_O00746_NME4.pdf", "Melting_Curves/meltCurve_O00746_NME4.pdf")</f>
        <v>Melting_Curves/meltCurve_O00746_NME4.pdf</v>
      </c>
    </row>
    <row r="925" spans="1:28" x14ac:dyDescent="0.25">
      <c r="A925" t="s">
        <v>929</v>
      </c>
      <c r="B925">
        <v>0.99352677808782597</v>
      </c>
      <c r="C925">
        <v>1.0062189779272599</v>
      </c>
      <c r="D925">
        <v>0.78033231989002805</v>
      </c>
      <c r="E925">
        <v>0.76528533463328197</v>
      </c>
      <c r="F925">
        <v>0.73488069606888395</v>
      </c>
      <c r="G925">
        <v>0.490705325812618</v>
      </c>
      <c r="H925">
        <v>0.72955254476124698</v>
      </c>
      <c r="I925">
        <v>0.63894819601112396</v>
      </c>
      <c r="J925">
        <v>0.80712345570500899</v>
      </c>
      <c r="K925">
        <v>0.59337148979254695</v>
      </c>
      <c r="L925">
        <v>1132.18507343685</v>
      </c>
      <c r="M925">
        <v>24.613284258361599</v>
      </c>
      <c r="O925">
        <v>45.698517708381701</v>
      </c>
      <c r="P925">
        <v>-4.4701703184073599E-2</v>
      </c>
      <c r="Q925">
        <v>0.66802109642757201</v>
      </c>
      <c r="R925">
        <v>0.68414271642448399</v>
      </c>
      <c r="S925" t="s">
        <v>7210</v>
      </c>
      <c r="T925" t="s">
        <v>12568</v>
      </c>
      <c r="U925" t="s">
        <v>12568</v>
      </c>
      <c r="V925" t="s">
        <v>12568</v>
      </c>
      <c r="W925" t="s">
        <v>13471</v>
      </c>
      <c r="X925">
        <v>18</v>
      </c>
      <c r="Y925" t="s">
        <v>19694</v>
      </c>
      <c r="Z925" t="s">
        <v>25795</v>
      </c>
      <c r="AA925">
        <v>0.7375845157770099</v>
      </c>
      <c r="AB925" t="str">
        <f>HYPERLINK("Melting_Curves/meltCurve_O00754_2_MAN2B1.pdf", "Melting_Curves/meltCurve_O00754_2_MAN2B1.pdf")</f>
        <v>Melting_Curves/meltCurve_O00754_2_MAN2B1.pdf</v>
      </c>
    </row>
    <row r="926" spans="1:28" x14ac:dyDescent="0.25">
      <c r="A926" t="s">
        <v>930</v>
      </c>
      <c r="B926">
        <v>0.99352677808782597</v>
      </c>
      <c r="C926">
        <v>0.822834686882151</v>
      </c>
      <c r="D926">
        <v>0.93952332199567901</v>
      </c>
      <c r="E926">
        <v>0.76660834623642704</v>
      </c>
      <c r="F926">
        <v>0.63081461627455104</v>
      </c>
      <c r="G926">
        <v>0.19944854522171801</v>
      </c>
      <c r="H926">
        <v>0.12664001481108</v>
      </c>
      <c r="I926">
        <v>0.112828049881729</v>
      </c>
      <c r="J926">
        <v>9.3300508923927994E-2</v>
      </c>
      <c r="K926">
        <v>7.2465335313013399E-2</v>
      </c>
      <c r="L926">
        <v>1022.49954058975</v>
      </c>
      <c r="M926">
        <v>19.183015008430601</v>
      </c>
      <c r="N926">
        <v>53.654662262003903</v>
      </c>
      <c r="O926">
        <v>52.733227896263898</v>
      </c>
      <c r="P926">
        <v>-8.5565374703781796E-2</v>
      </c>
      <c r="Q926">
        <v>5.9174960184561101E-2</v>
      </c>
      <c r="R926">
        <v>0.96993057663007898</v>
      </c>
      <c r="S926" t="s">
        <v>7211</v>
      </c>
      <c r="T926" t="s">
        <v>12568</v>
      </c>
      <c r="U926" t="s">
        <v>12568</v>
      </c>
      <c r="V926" t="s">
        <v>12568</v>
      </c>
      <c r="W926" t="s">
        <v>13472</v>
      </c>
      <c r="X926">
        <v>14</v>
      </c>
      <c r="Y926" t="s">
        <v>19695</v>
      </c>
      <c r="Z926" t="s">
        <v>25796</v>
      </c>
      <c r="AA926">
        <v>0.49017406645256051</v>
      </c>
      <c r="AB926" t="str">
        <f>HYPERLINK("Melting_Curves/meltCurve_O00764_PDXK.pdf", "Melting_Curves/meltCurve_O00764_PDXK.pdf")</f>
        <v>Melting_Curves/meltCurve_O00764_PDXK.pdf</v>
      </c>
    </row>
    <row r="927" spans="1:28" x14ac:dyDescent="0.25">
      <c r="A927" t="s">
        <v>931</v>
      </c>
      <c r="B927">
        <v>0.99352677808782597</v>
      </c>
      <c r="C927">
        <v>0.98327050406729899</v>
      </c>
      <c r="D927">
        <v>0.923970264047135</v>
      </c>
      <c r="E927">
        <v>0.61852672351652704</v>
      </c>
      <c r="F927">
        <v>0.54814402552463204</v>
      </c>
      <c r="G927">
        <v>0.43098731965463699</v>
      </c>
      <c r="H927">
        <v>0.38464302584666199</v>
      </c>
      <c r="I927">
        <v>0.420354715922935</v>
      </c>
      <c r="J927">
        <v>0.43871370735765702</v>
      </c>
      <c r="K927">
        <v>0.36270967388451603</v>
      </c>
      <c r="L927">
        <v>1099.9040472844099</v>
      </c>
      <c r="M927">
        <v>22.302926982796301</v>
      </c>
      <c r="N927">
        <v>53.212842919672198</v>
      </c>
      <c r="O927">
        <v>48.925216432600301</v>
      </c>
      <c r="P927">
        <v>-6.8114336609619602E-2</v>
      </c>
      <c r="Q927">
        <v>0.40233146814163401</v>
      </c>
      <c r="R927">
        <v>0.98762010953363899</v>
      </c>
      <c r="S927" t="s">
        <v>7212</v>
      </c>
      <c r="T927" t="s">
        <v>12568</v>
      </c>
      <c r="U927" t="s">
        <v>12568</v>
      </c>
      <c r="V927" t="s">
        <v>12568</v>
      </c>
      <c r="W927" t="s">
        <v>13473</v>
      </c>
      <c r="X927">
        <v>25</v>
      </c>
      <c r="Y927" t="s">
        <v>19696</v>
      </c>
      <c r="Z927" t="s">
        <v>25797</v>
      </c>
      <c r="AA927">
        <v>0.59463876332942689</v>
      </c>
      <c r="AB927" t="str">
        <f>HYPERLINK("Melting_Curves/meltCurve_O14497_ARID1A.pdf", "Melting_Curves/meltCurve_O14497_ARID1A.pdf")</f>
        <v>Melting_Curves/meltCurve_O14497_ARID1A.pdf</v>
      </c>
    </row>
    <row r="928" spans="1:28" x14ac:dyDescent="0.25">
      <c r="A928" t="s">
        <v>932</v>
      </c>
      <c r="B928">
        <v>0.99352677808782597</v>
      </c>
      <c r="C928">
        <v>0.92299796541560397</v>
      </c>
      <c r="D928">
        <v>1.0616152509271</v>
      </c>
      <c r="E928">
        <v>0.79261879692397896</v>
      </c>
      <c r="F928">
        <v>0.70291988917892101</v>
      </c>
      <c r="G928">
        <v>0.57973153306326997</v>
      </c>
      <c r="H928">
        <v>0.38251087930781402</v>
      </c>
      <c r="I928">
        <v>0.37929855781002397</v>
      </c>
      <c r="J928">
        <v>0.459494313228962</v>
      </c>
      <c r="K928">
        <v>0.25430014156904002</v>
      </c>
      <c r="L928">
        <v>768.00543736627901</v>
      </c>
      <c r="M928">
        <v>14.1438859013406</v>
      </c>
      <c r="N928">
        <v>58.232094206138299</v>
      </c>
      <c r="O928">
        <v>53.248596444087902</v>
      </c>
      <c r="P928">
        <v>-4.5982639627658597E-2</v>
      </c>
      <c r="Q928">
        <v>0.30763029623827198</v>
      </c>
      <c r="R928">
        <v>0.94444587993017304</v>
      </c>
      <c r="S928" t="s">
        <v>7213</v>
      </c>
      <c r="T928" t="s">
        <v>12568</v>
      </c>
      <c r="U928" t="s">
        <v>12568</v>
      </c>
      <c r="V928" t="s">
        <v>12568</v>
      </c>
      <c r="W928" t="s">
        <v>13474</v>
      </c>
      <c r="X928">
        <v>2</v>
      </c>
      <c r="Y928" t="s">
        <v>19697</v>
      </c>
      <c r="Z928" t="s">
        <v>25798</v>
      </c>
      <c r="AA928">
        <v>0.65258991522841114</v>
      </c>
      <c r="AB928" t="str">
        <f>HYPERLINK("Melting_Curves/meltCurve_O14513_NCKAP5.pdf", "Melting_Curves/meltCurve_O14513_NCKAP5.pdf")</f>
        <v>Melting_Curves/meltCurve_O14513_NCKAP5.pdf</v>
      </c>
    </row>
    <row r="929" spans="1:28" x14ac:dyDescent="0.25">
      <c r="A929" t="s">
        <v>933</v>
      </c>
      <c r="B929">
        <v>0.99352677808782597</v>
      </c>
      <c r="C929">
        <v>0.88407589797492303</v>
      </c>
      <c r="D929">
        <v>0.87989710767518103</v>
      </c>
      <c r="E929">
        <v>1.1385206429605299</v>
      </c>
      <c r="F929">
        <v>1.06746987272417</v>
      </c>
      <c r="G929">
        <v>1.0255702483393301</v>
      </c>
      <c r="H929">
        <v>0.78423250428438596</v>
      </c>
      <c r="I929">
        <v>0.76335703787294995</v>
      </c>
      <c r="J929">
        <v>0.89938516837649396</v>
      </c>
      <c r="K929">
        <v>0.76994310224131801</v>
      </c>
      <c r="L929">
        <v>14742.2358255295</v>
      </c>
      <c r="M929">
        <v>250</v>
      </c>
      <c r="O929">
        <v>58.965193848299997</v>
      </c>
      <c r="P929">
        <v>-0.20751664583823401</v>
      </c>
      <c r="Q929">
        <v>0.80421993198068997</v>
      </c>
      <c r="R929">
        <v>0.58281977054437395</v>
      </c>
      <c r="S929" t="s">
        <v>7214</v>
      </c>
      <c r="T929" t="s">
        <v>12568</v>
      </c>
      <c r="U929" t="s">
        <v>12568</v>
      </c>
      <c r="V929" t="s">
        <v>12568</v>
      </c>
      <c r="W929" t="s">
        <v>13475</v>
      </c>
      <c r="X929">
        <v>2</v>
      </c>
      <c r="Y929" t="s">
        <v>19698</v>
      </c>
      <c r="Z929" t="s">
        <v>25799</v>
      </c>
      <c r="AA929">
        <v>0.92803156017536481</v>
      </c>
      <c r="AB929" t="str">
        <f>HYPERLINK("Melting_Curves/meltCurve_O14519_2_CDK2AP1.pdf", "Melting_Curves/meltCurve_O14519_2_CDK2AP1.pdf")</f>
        <v>Melting_Curves/meltCurve_O14519_2_CDK2AP1.pdf</v>
      </c>
    </row>
    <row r="930" spans="1:28" x14ac:dyDescent="0.25">
      <c r="A930" t="s">
        <v>934</v>
      </c>
      <c r="B930">
        <v>0.99352677808782597</v>
      </c>
      <c r="C930">
        <v>0.86930775338309996</v>
      </c>
      <c r="D930">
        <v>0.79148085413590297</v>
      </c>
      <c r="E930">
        <v>1.6645987045378901</v>
      </c>
      <c r="F930">
        <v>1.4371047120309599</v>
      </c>
      <c r="G930">
        <v>0.62161663158909597</v>
      </c>
      <c r="H930">
        <v>0.40010410129178298</v>
      </c>
      <c r="I930">
        <v>0.30501664814173002</v>
      </c>
      <c r="J930">
        <v>0.25691892279813</v>
      </c>
      <c r="K930">
        <v>0.27208985865702501</v>
      </c>
      <c r="L930">
        <v>12021.713978985499</v>
      </c>
      <c r="M930">
        <v>211.09669437299601</v>
      </c>
      <c r="N930">
        <v>57.208987795822701</v>
      </c>
      <c r="O930">
        <v>56.943723933934898</v>
      </c>
      <c r="P930">
        <v>-0.64083680697112999</v>
      </c>
      <c r="Q930">
        <v>0.30853216213419798</v>
      </c>
      <c r="R930">
        <v>0.67789845115161396</v>
      </c>
      <c r="S930" t="s">
        <v>7215</v>
      </c>
      <c r="T930" t="s">
        <v>12568</v>
      </c>
      <c r="U930" t="s">
        <v>12568</v>
      </c>
      <c r="V930" t="s">
        <v>12568</v>
      </c>
      <c r="W930" t="s">
        <v>13476</v>
      </c>
      <c r="X930">
        <v>5</v>
      </c>
      <c r="Y930" t="s">
        <v>19699</v>
      </c>
      <c r="Z930" t="s">
        <v>25800</v>
      </c>
      <c r="AA930">
        <v>0.69928191999873635</v>
      </c>
      <c r="AB930" t="str">
        <f>HYPERLINK("Melting_Curves/meltCurve_O14530_TXNDC9.pdf", "Melting_Curves/meltCurve_O14530_TXNDC9.pdf")</f>
        <v>Melting_Curves/meltCurve_O14530_TXNDC9.pdf</v>
      </c>
    </row>
    <row r="931" spans="1:28" x14ac:dyDescent="0.25">
      <c r="A931" t="s">
        <v>935</v>
      </c>
      <c r="B931">
        <v>0.99352677808782597</v>
      </c>
      <c r="C931">
        <v>1.07092685617313</v>
      </c>
      <c r="D931">
        <v>0.91326114035402095</v>
      </c>
      <c r="E931">
        <v>0.711670305181347</v>
      </c>
      <c r="F931">
        <v>0.58311274297022597</v>
      </c>
      <c r="G931">
        <v>0.43767223242383502</v>
      </c>
      <c r="H931">
        <v>0.25346796742566802</v>
      </c>
      <c r="I931">
        <v>0.15688088067933101</v>
      </c>
      <c r="J931">
        <v>0.122119179013472</v>
      </c>
      <c r="K931">
        <v>0.107170829967961</v>
      </c>
      <c r="L931">
        <v>664.93767239116903</v>
      </c>
      <c r="M931">
        <v>12.212587137493699</v>
      </c>
      <c r="N931">
        <v>54.846883979537701</v>
      </c>
      <c r="O931">
        <v>53.048778964603002</v>
      </c>
      <c r="P931">
        <v>-5.5113923109458299E-2</v>
      </c>
      <c r="Q931">
        <v>4.26048260873624E-2</v>
      </c>
      <c r="R931">
        <v>0.98720764270658801</v>
      </c>
      <c r="S931" t="s">
        <v>7216</v>
      </c>
      <c r="T931" t="s">
        <v>12568</v>
      </c>
      <c r="U931" t="s">
        <v>12568</v>
      </c>
      <c r="V931" t="s">
        <v>12568</v>
      </c>
      <c r="W931" t="s">
        <v>13477</v>
      </c>
      <c r="X931">
        <v>6</v>
      </c>
      <c r="Y931" t="s">
        <v>19700</v>
      </c>
      <c r="Z931" t="s">
        <v>25801</v>
      </c>
      <c r="AA931">
        <v>0.52720833238811993</v>
      </c>
      <c r="AB931" t="str">
        <f>HYPERLINK("Melting_Curves/meltCurve_O14531_DPYSL4.pdf", "Melting_Curves/meltCurve_O14531_DPYSL4.pdf")</f>
        <v>Melting_Curves/meltCurve_O14531_DPYSL4.pdf</v>
      </c>
    </row>
    <row r="932" spans="1:28" x14ac:dyDescent="0.25">
      <c r="A932" t="s">
        <v>936</v>
      </c>
      <c r="B932">
        <v>0.99352677808782597</v>
      </c>
      <c r="C932">
        <v>1.0272545845013901</v>
      </c>
      <c r="D932">
        <v>0.93124503547688697</v>
      </c>
      <c r="E932">
        <v>0.45244438458387098</v>
      </c>
      <c r="F932">
        <v>0.37707364985165598</v>
      </c>
      <c r="G932">
        <v>0.20550535730435299</v>
      </c>
      <c r="H932">
        <v>0.14320843930253599</v>
      </c>
      <c r="I932">
        <v>0.158457055310088</v>
      </c>
      <c r="J932">
        <v>0.11024506082192401</v>
      </c>
      <c r="K932">
        <v>7.7101015229002007E-2</v>
      </c>
      <c r="L932">
        <v>1096.53502909645</v>
      </c>
      <c r="M932">
        <v>22.047310299788698</v>
      </c>
      <c r="N932">
        <v>50.4096784482511</v>
      </c>
      <c r="O932">
        <v>49.331797236716199</v>
      </c>
      <c r="P932">
        <v>-9.7467070657499003E-2</v>
      </c>
      <c r="Q932">
        <v>0.127672396604394</v>
      </c>
      <c r="R932">
        <v>0.98318506867617494</v>
      </c>
      <c r="S932" t="s">
        <v>7217</v>
      </c>
      <c r="T932" t="s">
        <v>12568</v>
      </c>
      <c r="U932" t="s">
        <v>12568</v>
      </c>
      <c r="V932" t="s">
        <v>12568</v>
      </c>
      <c r="W932" t="s">
        <v>13478</v>
      </c>
      <c r="X932">
        <v>3</v>
      </c>
      <c r="Y932" t="s">
        <v>19701</v>
      </c>
      <c r="Z932" t="s">
        <v>25802</v>
      </c>
      <c r="AA932">
        <v>0.42077496106693352</v>
      </c>
      <c r="AB932" t="str">
        <f>HYPERLINK("Melting_Curves/meltCurve_O14544_SOCS6.pdf", "Melting_Curves/meltCurve_O14544_SOCS6.pdf")</f>
        <v>Melting_Curves/meltCurve_O14544_SOCS6.pdf</v>
      </c>
    </row>
    <row r="933" spans="1:28" x14ac:dyDescent="0.25">
      <c r="A933" t="s">
        <v>937</v>
      </c>
      <c r="B933">
        <v>0.99352677808782597</v>
      </c>
      <c r="C933">
        <v>0.98607848619199201</v>
      </c>
      <c r="D933">
        <v>1.02552216989437</v>
      </c>
      <c r="E933">
        <v>0.96690065462217001</v>
      </c>
      <c r="F933">
        <v>0.89498316008635204</v>
      </c>
      <c r="G933">
        <v>0.81513527830702603</v>
      </c>
      <c r="H933">
        <v>0.78265145995808205</v>
      </c>
      <c r="I933">
        <v>0.79622612734170495</v>
      </c>
      <c r="J933">
        <v>0.83846636091779303</v>
      </c>
      <c r="K933">
        <v>0.69260428439605703</v>
      </c>
      <c r="L933">
        <v>1286.02704923325</v>
      </c>
      <c r="M933">
        <v>24.016788530741799</v>
      </c>
      <c r="O933">
        <v>53.179904420345999</v>
      </c>
      <c r="P933">
        <v>-2.5708287081380898E-2</v>
      </c>
      <c r="Q933">
        <v>0.77230216556228504</v>
      </c>
      <c r="R933">
        <v>0.89022824043565496</v>
      </c>
      <c r="S933" t="s">
        <v>7218</v>
      </c>
      <c r="T933" t="s">
        <v>12568</v>
      </c>
      <c r="U933" t="s">
        <v>12568</v>
      </c>
      <c r="V933" t="s">
        <v>12568</v>
      </c>
      <c r="W933" t="s">
        <v>13479</v>
      </c>
      <c r="X933">
        <v>12</v>
      </c>
      <c r="Y933" t="s">
        <v>19702</v>
      </c>
      <c r="Z933" t="s">
        <v>25803</v>
      </c>
      <c r="AA933">
        <v>0.87738693165678561</v>
      </c>
      <c r="AB933" t="str">
        <f>HYPERLINK("Melting_Curves/meltCurve_O14545_TRAFD1.pdf", "Melting_Curves/meltCurve_O14545_TRAFD1.pdf")</f>
        <v>Melting_Curves/meltCurve_O14545_TRAFD1.pdf</v>
      </c>
    </row>
    <row r="934" spans="1:28" x14ac:dyDescent="0.25">
      <c r="A934" t="s">
        <v>938</v>
      </c>
      <c r="B934">
        <v>0.99352677808782597</v>
      </c>
      <c r="C934">
        <v>1.18512937359019</v>
      </c>
      <c r="D934">
        <v>1.1536660825779399</v>
      </c>
      <c r="E934">
        <v>1.02917915808139</v>
      </c>
      <c r="F934">
        <v>0.91397920740022998</v>
      </c>
      <c r="G934">
        <v>0.777618630046362</v>
      </c>
      <c r="H934">
        <v>0.69314048108327297</v>
      </c>
      <c r="I934">
        <v>0.76223331056469801</v>
      </c>
      <c r="J934">
        <v>0.66916741087654097</v>
      </c>
      <c r="K934">
        <v>0.56245950795835697</v>
      </c>
      <c r="L934">
        <v>1290.7471401610401</v>
      </c>
      <c r="M934">
        <v>22.9400485693542</v>
      </c>
      <c r="O934">
        <v>55.8437633391177</v>
      </c>
      <c r="P934">
        <v>-3.6270734637853901E-2</v>
      </c>
      <c r="Q934">
        <v>0.64682619828508903</v>
      </c>
      <c r="R934">
        <v>0.80753843398357605</v>
      </c>
      <c r="S934" t="s">
        <v>7219</v>
      </c>
      <c r="T934" t="s">
        <v>12568</v>
      </c>
      <c r="U934" t="s">
        <v>12568</v>
      </c>
      <c r="V934" t="s">
        <v>12568</v>
      </c>
      <c r="W934" t="s">
        <v>13480</v>
      </c>
      <c r="X934">
        <v>2</v>
      </c>
      <c r="Y934" t="s">
        <v>19703</v>
      </c>
      <c r="Z934" t="s">
        <v>25804</v>
      </c>
      <c r="AA934">
        <v>0.84201805208032354</v>
      </c>
      <c r="AB934" t="str">
        <f>HYPERLINK("Melting_Curves/meltCurve_O14561_NDUFAB1.pdf", "Melting_Curves/meltCurve_O14561_NDUFAB1.pdf")</f>
        <v>Melting_Curves/meltCurve_O14561_NDUFAB1.pdf</v>
      </c>
    </row>
    <row r="935" spans="1:28" x14ac:dyDescent="0.25">
      <c r="A935" t="s">
        <v>939</v>
      </c>
      <c r="B935">
        <v>0.99352677808782597</v>
      </c>
      <c r="C935">
        <v>0.99477238767082299</v>
      </c>
      <c r="D935">
        <v>0.92268970959847596</v>
      </c>
      <c r="E935">
        <v>0.681405829073506</v>
      </c>
      <c r="F935">
        <v>0.59562836129082797</v>
      </c>
      <c r="G935">
        <v>0.26908431076729</v>
      </c>
      <c r="H935">
        <v>0.166724896749952</v>
      </c>
      <c r="I935">
        <v>0.16378993528849101</v>
      </c>
      <c r="J935">
        <v>0.14124332431452699</v>
      </c>
      <c r="K935">
        <v>0.116847262944053</v>
      </c>
      <c r="L935">
        <v>846.55184664602405</v>
      </c>
      <c r="M935">
        <v>16.0747697851046</v>
      </c>
      <c r="N935">
        <v>53.404948141991397</v>
      </c>
      <c r="O935">
        <v>51.868587790161101</v>
      </c>
      <c r="P935">
        <v>-6.9733901489977698E-2</v>
      </c>
      <c r="Q935">
        <v>0.100025574547671</v>
      </c>
      <c r="R935">
        <v>0.99228375991082596</v>
      </c>
      <c r="S935" t="s">
        <v>7220</v>
      </c>
      <c r="T935" t="s">
        <v>12568</v>
      </c>
      <c r="U935" t="s">
        <v>12568</v>
      </c>
      <c r="V935" t="s">
        <v>12568</v>
      </c>
      <c r="W935" t="s">
        <v>13481</v>
      </c>
      <c r="X935">
        <v>38</v>
      </c>
      <c r="Y935" t="s">
        <v>19704</v>
      </c>
      <c r="Z935" t="s">
        <v>25805</v>
      </c>
      <c r="AA935">
        <v>0.49764024547906438</v>
      </c>
      <c r="AB935" t="str">
        <f>HYPERLINK("Melting_Curves/meltCurve_O14578_4_CIT.pdf", "Melting_Curves/meltCurve_O14578_4_CIT.pdf")</f>
        <v>Melting_Curves/meltCurve_O14578_4_CIT.pdf</v>
      </c>
    </row>
    <row r="936" spans="1:28" x14ac:dyDescent="0.25">
      <c r="A936" t="s">
        <v>940</v>
      </c>
      <c r="B936">
        <v>0.99352677808782597</v>
      </c>
      <c r="C936">
        <v>0.924513753171883</v>
      </c>
      <c r="D936">
        <v>0.90368565456056305</v>
      </c>
      <c r="E936">
        <v>0.80339428728682105</v>
      </c>
      <c r="F936">
        <v>0.65911619163353097</v>
      </c>
      <c r="G936">
        <v>0.34069629152262798</v>
      </c>
      <c r="H936">
        <v>0.23235708674564201</v>
      </c>
      <c r="I936">
        <v>0.20537421365738101</v>
      </c>
      <c r="J936">
        <v>0.16194883249106501</v>
      </c>
      <c r="K936">
        <v>0.115392684981273</v>
      </c>
      <c r="L936">
        <v>794.36125997528404</v>
      </c>
      <c r="M936">
        <v>14.6837718349356</v>
      </c>
      <c r="N936">
        <v>54.908029464361597</v>
      </c>
      <c r="O936">
        <v>53.124282079178002</v>
      </c>
      <c r="P936">
        <v>-6.2377838948948501E-2</v>
      </c>
      <c r="Q936">
        <v>9.7394699868916204E-2</v>
      </c>
      <c r="R936">
        <v>0.99175139118492395</v>
      </c>
      <c r="S936" t="s">
        <v>7221</v>
      </c>
      <c r="T936" t="s">
        <v>12568</v>
      </c>
      <c r="U936" t="s">
        <v>12568</v>
      </c>
      <c r="V936" t="s">
        <v>12568</v>
      </c>
      <c r="W936" t="s">
        <v>13482</v>
      </c>
      <c r="X936">
        <v>14</v>
      </c>
      <c r="Y936" t="s">
        <v>19705</v>
      </c>
      <c r="Z936" t="s">
        <v>25806</v>
      </c>
      <c r="AA936">
        <v>0.54045697549271876</v>
      </c>
      <c r="AB936" t="str">
        <f>HYPERLINK("Melting_Curves/meltCurve_O14579_COPE.pdf", "Melting_Curves/meltCurve_O14579_COPE.pdf")</f>
        <v>Melting_Curves/meltCurve_O14579_COPE.pdf</v>
      </c>
    </row>
    <row r="937" spans="1:28" x14ac:dyDescent="0.25">
      <c r="A937" t="s">
        <v>941</v>
      </c>
      <c r="B937">
        <v>0.99352677808782597</v>
      </c>
      <c r="C937">
        <v>0.96375497857146097</v>
      </c>
      <c r="D937">
        <v>1.0729538813026001</v>
      </c>
      <c r="E937">
        <v>0.96231204034239104</v>
      </c>
      <c r="F937">
        <v>0.87553309831484405</v>
      </c>
      <c r="G937">
        <v>0.76939876794109896</v>
      </c>
      <c r="H937">
        <v>0.45180777387547699</v>
      </c>
      <c r="I937">
        <v>0.33956214081832897</v>
      </c>
      <c r="J937">
        <v>0.24591857391077199</v>
      </c>
      <c r="K937">
        <v>0.17958585489103299</v>
      </c>
      <c r="L937">
        <v>1038.2306815365801</v>
      </c>
      <c r="M937">
        <v>17.391571899006301</v>
      </c>
      <c r="N937">
        <v>60.677164580895997</v>
      </c>
      <c r="O937">
        <v>58.924840426612597</v>
      </c>
      <c r="P937">
        <v>-6.4757387120789697E-2</v>
      </c>
      <c r="Q937">
        <v>0.122424740379874</v>
      </c>
      <c r="R937">
        <v>0.989506299857289</v>
      </c>
      <c r="S937" t="s">
        <v>7222</v>
      </c>
      <c r="T937" t="s">
        <v>12568</v>
      </c>
      <c r="U937" t="s">
        <v>12568</v>
      </c>
      <c r="V937" t="s">
        <v>12568</v>
      </c>
      <c r="W937" t="s">
        <v>13483</v>
      </c>
      <c r="X937">
        <v>7</v>
      </c>
      <c r="Y937" t="s">
        <v>19706</v>
      </c>
      <c r="Z937" t="s">
        <v>25807</v>
      </c>
      <c r="AA937">
        <v>0.70649459490183741</v>
      </c>
      <c r="AB937" t="str">
        <f>HYPERLINK("Melting_Curves/meltCurve_O14602_EIF1AY.pdf", "Melting_Curves/meltCurve_O14602_EIF1AY.pdf")</f>
        <v>Melting_Curves/meltCurve_O14602_EIF1AY.pdf</v>
      </c>
    </row>
    <row r="938" spans="1:28" x14ac:dyDescent="0.25">
      <c r="A938" t="s">
        <v>942</v>
      </c>
      <c r="B938">
        <v>0.99352677808782597</v>
      </c>
      <c r="C938">
        <v>1.0436680201187201</v>
      </c>
      <c r="D938">
        <v>0.91234142519140304</v>
      </c>
      <c r="E938">
        <v>0.51298953907202904</v>
      </c>
      <c r="F938">
        <v>0.399849012645205</v>
      </c>
      <c r="G938">
        <v>0.21442631869923301</v>
      </c>
      <c r="H938">
        <v>0.158702960185367</v>
      </c>
      <c r="I938">
        <v>0.143708861001312</v>
      </c>
      <c r="J938">
        <v>0.116833853965203</v>
      </c>
      <c r="K938">
        <v>8.9857322271444801E-2</v>
      </c>
      <c r="L938">
        <v>998.34199555775695</v>
      </c>
      <c r="M938">
        <v>19.872302574097599</v>
      </c>
      <c r="N938">
        <v>50.953279218803502</v>
      </c>
      <c r="O938">
        <v>49.737432985608599</v>
      </c>
      <c r="P938">
        <v>-8.7729201884572394E-2</v>
      </c>
      <c r="Q938">
        <v>0.12173647724424599</v>
      </c>
      <c r="R938">
        <v>0.98867561096883005</v>
      </c>
      <c r="S938" t="s">
        <v>7223</v>
      </c>
      <c r="T938" t="s">
        <v>12568</v>
      </c>
      <c r="U938" t="s">
        <v>12568</v>
      </c>
      <c r="V938" t="s">
        <v>12568</v>
      </c>
      <c r="W938" t="s">
        <v>13484</v>
      </c>
      <c r="X938">
        <v>22</v>
      </c>
      <c r="Y938" t="s">
        <v>19707</v>
      </c>
      <c r="Z938" t="s">
        <v>25808</v>
      </c>
      <c r="AA938">
        <v>0.43382290944252438</v>
      </c>
      <c r="AB938" t="str">
        <f>HYPERLINK("Melting_Curves/meltCurve_O14617_4_AP3D1.pdf", "Melting_Curves/meltCurve_O14617_4_AP3D1.pdf")</f>
        <v>Melting_Curves/meltCurve_O14617_4_AP3D1.pdf</v>
      </c>
    </row>
    <row r="939" spans="1:28" x14ac:dyDescent="0.25">
      <c r="A939" t="s">
        <v>943</v>
      </c>
      <c r="B939">
        <v>0.99352677808782597</v>
      </c>
      <c r="C939">
        <v>0.95590473153563804</v>
      </c>
      <c r="D939">
        <v>0.87689087529699905</v>
      </c>
      <c r="E939">
        <v>0.59384040248423198</v>
      </c>
      <c r="F939">
        <v>0.52919225582862095</v>
      </c>
      <c r="G939">
        <v>0.42096856586740899</v>
      </c>
      <c r="H939">
        <v>0.35110355817861999</v>
      </c>
      <c r="I939">
        <v>0.36413863971730698</v>
      </c>
      <c r="J939">
        <v>0.37747140047900801</v>
      </c>
      <c r="K939">
        <v>0.31522242278639401</v>
      </c>
      <c r="L939">
        <v>845.125458913535</v>
      </c>
      <c r="M939">
        <v>17.123639868944601</v>
      </c>
      <c r="N939">
        <v>52.976340945831097</v>
      </c>
      <c r="O939">
        <v>48.695942042922198</v>
      </c>
      <c r="P939">
        <v>-5.7590997798648201E-2</v>
      </c>
      <c r="Q939">
        <v>0.34493363533013199</v>
      </c>
      <c r="R939">
        <v>0.99109546554211703</v>
      </c>
      <c r="S939" t="s">
        <v>7224</v>
      </c>
      <c r="T939" t="s">
        <v>12568</v>
      </c>
      <c r="U939" t="s">
        <v>12568</v>
      </c>
      <c r="V939" t="s">
        <v>12568</v>
      </c>
      <c r="W939" t="s">
        <v>13485</v>
      </c>
      <c r="X939">
        <v>3</v>
      </c>
      <c r="Y939" t="s">
        <v>19708</v>
      </c>
      <c r="Z939" t="s">
        <v>25809</v>
      </c>
      <c r="AA939">
        <v>0.56161725187377309</v>
      </c>
      <c r="AB939" t="str">
        <f>HYPERLINK("Melting_Curves/meltCurve_O14640_2_DVL1.pdf", "Melting_Curves/meltCurve_O14640_2_DVL1.pdf")</f>
        <v>Melting_Curves/meltCurve_O14640_2_DVL1.pdf</v>
      </c>
    </row>
    <row r="940" spans="1:28" x14ac:dyDescent="0.25">
      <c r="A940" t="s">
        <v>944</v>
      </c>
      <c r="B940">
        <v>0.99352677808782597</v>
      </c>
      <c r="C940">
        <v>1.0106785674661201</v>
      </c>
      <c r="D940">
        <v>0.87115548452923197</v>
      </c>
      <c r="E940">
        <v>0.76128875338754398</v>
      </c>
      <c r="F940">
        <v>0.65244121327997395</v>
      </c>
      <c r="G940">
        <v>0.56216404996429803</v>
      </c>
      <c r="H940">
        <v>0.54337897083462805</v>
      </c>
      <c r="I940">
        <v>0.43377594257207103</v>
      </c>
      <c r="J940">
        <v>0.28166332481053602</v>
      </c>
      <c r="K940">
        <v>0.14261471111250501</v>
      </c>
      <c r="L940">
        <v>437.54150358143499</v>
      </c>
      <c r="M940">
        <v>7.3840346938713299</v>
      </c>
      <c r="N940">
        <v>59.2550716346827</v>
      </c>
      <c r="O940">
        <v>55.374403481011697</v>
      </c>
      <c r="P940">
        <v>-3.3387641365328902E-2</v>
      </c>
      <c r="Q940">
        <v>0</v>
      </c>
      <c r="R940">
        <v>0.95561524823657695</v>
      </c>
      <c r="S940" t="s">
        <v>7225</v>
      </c>
      <c r="T940" t="s">
        <v>12568</v>
      </c>
      <c r="U940" t="s">
        <v>12568</v>
      </c>
      <c r="V940" t="s">
        <v>12568</v>
      </c>
      <c r="W940" t="s">
        <v>13486</v>
      </c>
      <c r="X940">
        <v>1</v>
      </c>
      <c r="Y940" t="s">
        <v>19709</v>
      </c>
      <c r="Z940" t="s">
        <v>25810</v>
      </c>
      <c r="AA940">
        <v>0.62985630320957264</v>
      </c>
      <c r="AB940" t="str">
        <f>HYPERLINK("Melting_Curves/meltCurve_O14646_2_CHD1.pdf", "Melting_Curves/meltCurve_O14646_2_CHD1.pdf")</f>
        <v>Melting_Curves/meltCurve_O14646_2_CHD1.pdf</v>
      </c>
    </row>
    <row r="941" spans="1:28" x14ac:dyDescent="0.25">
      <c r="A941" t="s">
        <v>945</v>
      </c>
      <c r="B941">
        <v>0.99352677808782597</v>
      </c>
      <c r="C941">
        <v>0.95313740470655495</v>
      </c>
      <c r="D941">
        <v>1.0245527868803199</v>
      </c>
      <c r="E941">
        <v>1.0081266049808399</v>
      </c>
      <c r="F941">
        <v>0.95999891330894205</v>
      </c>
      <c r="G941">
        <v>0.86015761799020896</v>
      </c>
      <c r="H941">
        <v>0.77901896435566498</v>
      </c>
      <c r="I941">
        <v>0.87863116755623605</v>
      </c>
      <c r="J941">
        <v>0.76658320679471803</v>
      </c>
      <c r="K941">
        <v>0.72294037071781703</v>
      </c>
      <c r="L941">
        <v>1182.3400339648299</v>
      </c>
      <c r="M941">
        <v>20.889442875426301</v>
      </c>
      <c r="O941">
        <v>56.088856630470403</v>
      </c>
      <c r="P941">
        <v>-2.1731721291212699E-2</v>
      </c>
      <c r="Q941">
        <v>0.76660482653916295</v>
      </c>
      <c r="R941">
        <v>0.85609733537862498</v>
      </c>
      <c r="S941" t="s">
        <v>7226</v>
      </c>
      <c r="T941" t="s">
        <v>12568</v>
      </c>
      <c r="U941" t="s">
        <v>12568</v>
      </c>
      <c r="V941" t="s">
        <v>12568</v>
      </c>
      <c r="W941" t="s">
        <v>13487</v>
      </c>
      <c r="X941">
        <v>2</v>
      </c>
      <c r="Y941" t="s">
        <v>19710</v>
      </c>
      <c r="Z941" t="s">
        <v>25811</v>
      </c>
      <c r="AA941">
        <v>0.89851232956621374</v>
      </c>
      <c r="AB941" t="str">
        <f>HYPERLINK("Melting_Curves/meltCurve_O14653_3_GOSR2.pdf", "Melting_Curves/meltCurve_O14653_3_GOSR2.pdf")</f>
        <v>Melting_Curves/meltCurve_O14653_3_GOSR2.pdf</v>
      </c>
    </row>
    <row r="942" spans="1:28" x14ac:dyDescent="0.25">
      <c r="A942" t="s">
        <v>946</v>
      </c>
      <c r="B942">
        <v>0.99352677808782597</v>
      </c>
      <c r="C942">
        <v>0.95878383194864303</v>
      </c>
      <c r="D942">
        <v>0.852373807708659</v>
      </c>
      <c r="E942">
        <v>0.33119836161632898</v>
      </c>
      <c r="F942">
        <v>0.26965818489188798</v>
      </c>
      <c r="G942">
        <v>0.122012443426901</v>
      </c>
      <c r="H942">
        <v>9.7713389989797603E-2</v>
      </c>
      <c r="I942">
        <v>7.7870714353474396E-2</v>
      </c>
      <c r="J942">
        <v>6.8558863599146397E-2</v>
      </c>
      <c r="K942">
        <v>5.7138407805033903E-2</v>
      </c>
      <c r="L942">
        <v>1172.33484771486</v>
      </c>
      <c r="M942">
        <v>24.112946905631301</v>
      </c>
      <c r="N942">
        <v>48.990542753080803</v>
      </c>
      <c r="O942">
        <v>48.287818146736299</v>
      </c>
      <c r="P942">
        <v>-0.11439633920204501</v>
      </c>
      <c r="Q942">
        <v>8.3668859082204297E-2</v>
      </c>
      <c r="R942">
        <v>0.990950843417433</v>
      </c>
      <c r="S942" t="s">
        <v>7227</v>
      </c>
      <c r="T942" t="s">
        <v>12568</v>
      </c>
      <c r="U942" t="s">
        <v>12568</v>
      </c>
      <c r="V942" t="s">
        <v>12568</v>
      </c>
      <c r="W942" t="s">
        <v>13488</v>
      </c>
      <c r="X942">
        <v>2</v>
      </c>
      <c r="Y942" t="s">
        <v>19711</v>
      </c>
      <c r="Z942" t="s">
        <v>25812</v>
      </c>
      <c r="AA942">
        <v>0.35565244964710152</v>
      </c>
      <c r="AB942" t="str">
        <f>HYPERLINK("Melting_Curves/meltCurve_O14656_TOR1A.pdf", "Melting_Curves/meltCurve_O14656_TOR1A.pdf")</f>
        <v>Melting_Curves/meltCurve_O14656_TOR1A.pdf</v>
      </c>
    </row>
    <row r="943" spans="1:28" x14ac:dyDescent="0.25">
      <c r="A943" t="s">
        <v>947</v>
      </c>
      <c r="B943">
        <v>0.99352677808782597</v>
      </c>
      <c r="C943">
        <v>0.86462043340667105</v>
      </c>
      <c r="D943">
        <v>0.80329843058321204</v>
      </c>
      <c r="E943">
        <v>0.34447577311504002</v>
      </c>
      <c r="F943">
        <v>0.28008015234088901</v>
      </c>
      <c r="G943">
        <v>0.17989027266920399</v>
      </c>
      <c r="H943">
        <v>0.16454555029397699</v>
      </c>
      <c r="I943">
        <v>0.153293361949289</v>
      </c>
      <c r="J943">
        <v>0.13154353126510601</v>
      </c>
      <c r="K943">
        <v>0.118273649938357</v>
      </c>
      <c r="L943">
        <v>984.97685289136803</v>
      </c>
      <c r="M943">
        <v>20.544455518963701</v>
      </c>
      <c r="N943">
        <v>48.7227765344076</v>
      </c>
      <c r="O943">
        <v>47.496369088305002</v>
      </c>
      <c r="P943">
        <v>-9.3000227397474697E-2</v>
      </c>
      <c r="Q943">
        <v>0.14000274818901201</v>
      </c>
      <c r="R943">
        <v>0.98813587345041598</v>
      </c>
      <c r="S943" t="s">
        <v>7228</v>
      </c>
      <c r="T943" t="s">
        <v>12568</v>
      </c>
      <c r="U943" t="s">
        <v>12568</v>
      </c>
      <c r="V943" t="s">
        <v>12568</v>
      </c>
      <c r="W943" t="s">
        <v>13489</v>
      </c>
      <c r="X943">
        <v>4</v>
      </c>
      <c r="Y943" t="s">
        <v>19712</v>
      </c>
      <c r="Z943" t="s">
        <v>25813</v>
      </c>
      <c r="AA943">
        <v>0.37927744199481311</v>
      </c>
      <c r="AB943" t="str">
        <f>HYPERLINK("Melting_Curves/meltCurve_O14657_TOR1B.pdf", "Melting_Curves/meltCurve_O14657_TOR1B.pdf")</f>
        <v>Melting_Curves/meltCurve_O14657_TOR1B.pdf</v>
      </c>
    </row>
    <row r="944" spans="1:28" x14ac:dyDescent="0.25">
      <c r="A944" t="s">
        <v>948</v>
      </c>
      <c r="B944">
        <v>0.99352677808782597</v>
      </c>
      <c r="C944">
        <v>0.908192640894529</v>
      </c>
      <c r="D944">
        <v>0.93554402406832604</v>
      </c>
      <c r="E944">
        <v>0.74110165103675896</v>
      </c>
      <c r="F944">
        <v>0.71355268383364401</v>
      </c>
      <c r="G944">
        <v>0.604356407082836</v>
      </c>
      <c r="H944">
        <v>0.61647373913829295</v>
      </c>
      <c r="I944">
        <v>0.58509968984471405</v>
      </c>
      <c r="J944">
        <v>0.63663278535351597</v>
      </c>
      <c r="K944">
        <v>0.55812528523051697</v>
      </c>
      <c r="L944">
        <v>730.73096897152698</v>
      </c>
      <c r="M944">
        <v>14.843899317401499</v>
      </c>
      <c r="O944">
        <v>48.360163487755997</v>
      </c>
      <c r="P944">
        <v>-3.2004949168025501E-2</v>
      </c>
      <c r="Q944">
        <v>0.58296626309031196</v>
      </c>
      <c r="R944">
        <v>0.95817756164377699</v>
      </c>
      <c r="S944" t="s">
        <v>7229</v>
      </c>
      <c r="T944" t="s">
        <v>12568</v>
      </c>
      <c r="U944" t="s">
        <v>12568</v>
      </c>
      <c r="V944" t="s">
        <v>12568</v>
      </c>
      <c r="W944" t="s">
        <v>13490</v>
      </c>
      <c r="X944">
        <v>1</v>
      </c>
      <c r="Y944" t="s">
        <v>19713</v>
      </c>
      <c r="Z944" t="s">
        <v>25814</v>
      </c>
      <c r="AA944">
        <v>0.72164884696014198</v>
      </c>
      <c r="AB944" t="str">
        <f>HYPERLINK("Melting_Curves/meltCurve_O14672_ADAM10.pdf", "Melting_Curves/meltCurve_O14672_ADAM10.pdf")</f>
        <v>Melting_Curves/meltCurve_O14672_ADAM10.pdf</v>
      </c>
    </row>
    <row r="945" spans="1:28" x14ac:dyDescent="0.25">
      <c r="A945" t="s">
        <v>949</v>
      </c>
      <c r="B945">
        <v>0.99352677808782597</v>
      </c>
      <c r="C945">
        <v>0.98280200312009902</v>
      </c>
      <c r="D945">
        <v>0.848645009340951</v>
      </c>
      <c r="E945">
        <v>0.63362274815692099</v>
      </c>
      <c r="F945">
        <v>0.59963810790860395</v>
      </c>
      <c r="G945">
        <v>0.42303850020206002</v>
      </c>
      <c r="H945">
        <v>0.38274009248087698</v>
      </c>
      <c r="I945">
        <v>0.39569539482870297</v>
      </c>
      <c r="J945">
        <v>0.40890521842212402</v>
      </c>
      <c r="K945">
        <v>0.32569928645045398</v>
      </c>
      <c r="L945">
        <v>742.82038112499902</v>
      </c>
      <c r="M945">
        <v>14.8888171010103</v>
      </c>
      <c r="N945">
        <v>54.467361834935701</v>
      </c>
      <c r="O945">
        <v>49.017080911803802</v>
      </c>
      <c r="P945">
        <v>-4.8841709486143699E-2</v>
      </c>
      <c r="Q945">
        <v>0.35687865259253798</v>
      </c>
      <c r="R945">
        <v>0.98369696187774203</v>
      </c>
      <c r="S945" t="s">
        <v>7230</v>
      </c>
      <c r="T945" t="s">
        <v>12568</v>
      </c>
      <c r="U945" t="s">
        <v>12568</v>
      </c>
      <c r="V945" t="s">
        <v>12568</v>
      </c>
      <c r="W945" t="s">
        <v>13491</v>
      </c>
      <c r="X945">
        <v>17</v>
      </c>
      <c r="Y945" t="s">
        <v>19714</v>
      </c>
      <c r="Z945" t="s">
        <v>25815</v>
      </c>
      <c r="AA945">
        <v>0.58451472286330874</v>
      </c>
      <c r="AB945" t="str">
        <f>HYPERLINK("Melting_Curves/meltCurve_O14686_MLL2.pdf", "Melting_Curves/meltCurve_O14686_MLL2.pdf")</f>
        <v>Melting_Curves/meltCurve_O14686_MLL2.pdf</v>
      </c>
    </row>
    <row r="946" spans="1:28" x14ac:dyDescent="0.25">
      <c r="A946" t="s">
        <v>950</v>
      </c>
      <c r="B946">
        <v>0.99352677808782597</v>
      </c>
      <c r="C946">
        <v>0.91151412248228203</v>
      </c>
      <c r="D946">
        <v>0.78563666501135399</v>
      </c>
      <c r="E946">
        <v>0.59856889456555196</v>
      </c>
      <c r="F946">
        <v>0.57676887036097402</v>
      </c>
      <c r="G946">
        <v>0.3792805709632</v>
      </c>
      <c r="H946">
        <v>0.29638579766913598</v>
      </c>
      <c r="I946">
        <v>0.292214788555969</v>
      </c>
      <c r="J946">
        <v>0.270314162038225</v>
      </c>
      <c r="K946">
        <v>0.22999438974490699</v>
      </c>
      <c r="L946">
        <v>539.25187608697797</v>
      </c>
      <c r="M946">
        <v>10.592866504286899</v>
      </c>
      <c r="N946">
        <v>53.463990798659601</v>
      </c>
      <c r="O946">
        <v>49.193305855058298</v>
      </c>
      <c r="P946">
        <v>-4.31515242407964E-2</v>
      </c>
      <c r="Q946">
        <v>0.19872950125931199</v>
      </c>
      <c r="R946">
        <v>0.98907032663920902</v>
      </c>
      <c r="S946" t="s">
        <v>7231</v>
      </c>
      <c r="T946" t="s">
        <v>12568</v>
      </c>
      <c r="U946" t="s">
        <v>12568</v>
      </c>
      <c r="V946" t="s">
        <v>12568</v>
      </c>
      <c r="W946" t="s">
        <v>13492</v>
      </c>
      <c r="X946">
        <v>2</v>
      </c>
      <c r="Y946" t="s">
        <v>19715</v>
      </c>
      <c r="Z946" t="s">
        <v>25816</v>
      </c>
      <c r="AA946">
        <v>0.52125376777758181</v>
      </c>
      <c r="AB946" t="str">
        <f>HYPERLINK("Melting_Curves/meltCurve_O14713_2_ITGB1BP1.pdf", "Melting_Curves/meltCurve_O14713_2_ITGB1BP1.pdf")</f>
        <v>Melting_Curves/meltCurve_O14713_2_ITGB1BP1.pdf</v>
      </c>
    </row>
    <row r="947" spans="1:28" x14ac:dyDescent="0.25">
      <c r="A947" t="s">
        <v>951</v>
      </c>
      <c r="B947">
        <v>0.99352677808782597</v>
      </c>
      <c r="C947">
        <v>1.0203676933777801</v>
      </c>
      <c r="D947">
        <v>0.99576909138157799</v>
      </c>
      <c r="E947">
        <v>0.60932468639245696</v>
      </c>
      <c r="F947">
        <v>0.49902827410606998</v>
      </c>
      <c r="G947">
        <v>0.25640158990876599</v>
      </c>
      <c r="H947">
        <v>0.13701767823917599</v>
      </c>
      <c r="I947">
        <v>0.113167395277366</v>
      </c>
      <c r="J947">
        <v>0.110389603445984</v>
      </c>
      <c r="K947">
        <v>7.1569931204224696E-2</v>
      </c>
      <c r="L947">
        <v>923.68266625761805</v>
      </c>
      <c r="M947">
        <v>17.783788171152601</v>
      </c>
      <c r="N947">
        <v>52.474008546472902</v>
      </c>
      <c r="O947">
        <v>51.296173922175001</v>
      </c>
      <c r="P947">
        <v>-7.9497032324521905E-2</v>
      </c>
      <c r="Q947">
        <v>8.2831148517939795E-2</v>
      </c>
      <c r="R947">
        <v>0.98787724979243297</v>
      </c>
      <c r="S947" t="s">
        <v>7232</v>
      </c>
      <c r="T947" t="s">
        <v>12568</v>
      </c>
      <c r="U947" t="s">
        <v>12568</v>
      </c>
      <c r="V947" t="s">
        <v>12568</v>
      </c>
      <c r="W947" t="s">
        <v>13493</v>
      </c>
      <c r="X947">
        <v>4</v>
      </c>
      <c r="Y947" t="s">
        <v>19716</v>
      </c>
      <c r="Z947" t="s">
        <v>25817</v>
      </c>
      <c r="AA947">
        <v>0.46344519613112201</v>
      </c>
      <c r="AB947" t="str">
        <f>HYPERLINK("Melting_Curves/meltCurve_O14732_2_IMPA2.pdf", "Melting_Curves/meltCurve_O14732_2_IMPA2.pdf")</f>
        <v>Melting_Curves/meltCurve_O14732_2_IMPA2.pdf</v>
      </c>
    </row>
    <row r="948" spans="1:28" x14ac:dyDescent="0.25">
      <c r="A948" t="s">
        <v>952</v>
      </c>
      <c r="B948">
        <v>0.99352677808782597</v>
      </c>
      <c r="C948">
        <v>0.89640100852162596</v>
      </c>
      <c r="D948">
        <v>0.82513728026801003</v>
      </c>
      <c r="E948">
        <v>0.24456350621863099</v>
      </c>
      <c r="F948">
        <v>0.18386394963404501</v>
      </c>
      <c r="G948">
        <v>0.11851258025752399</v>
      </c>
      <c r="H948">
        <v>8.0981145885289096E-2</v>
      </c>
      <c r="I948">
        <v>8.4234992297467601E-2</v>
      </c>
      <c r="J948">
        <v>6.2087812289852398E-2</v>
      </c>
      <c r="K948">
        <v>5.2536520640727002E-2</v>
      </c>
      <c r="L948">
        <v>1419.64626978672</v>
      </c>
      <c r="M948">
        <v>29.652453049928301</v>
      </c>
      <c r="N948">
        <v>48.168372906783397</v>
      </c>
      <c r="O948">
        <v>47.660015186183003</v>
      </c>
      <c r="P948">
        <v>-0.14274042715309701</v>
      </c>
      <c r="Q948">
        <v>8.2306591136993304E-2</v>
      </c>
      <c r="R948">
        <v>0.99000908759414197</v>
      </c>
      <c r="S948" t="s">
        <v>7233</v>
      </c>
      <c r="T948" t="s">
        <v>12568</v>
      </c>
      <c r="U948" t="s">
        <v>12568</v>
      </c>
      <c r="V948" t="s">
        <v>12568</v>
      </c>
      <c r="W948" t="s">
        <v>13494</v>
      </c>
      <c r="X948">
        <v>5</v>
      </c>
      <c r="Y948" t="s">
        <v>19717</v>
      </c>
      <c r="Z948" t="s">
        <v>25818</v>
      </c>
      <c r="AA948">
        <v>0.32889135283141713</v>
      </c>
      <c r="AB948" t="str">
        <f>HYPERLINK("Melting_Curves/meltCurve_O14733_MAP2K7.pdf", "Melting_Curves/meltCurve_O14733_MAP2K7.pdf")</f>
        <v>Melting_Curves/meltCurve_O14733_MAP2K7.pdf</v>
      </c>
    </row>
    <row r="949" spans="1:28" x14ac:dyDescent="0.25">
      <c r="A949" t="s">
        <v>953</v>
      </c>
      <c r="B949">
        <v>0.99352677808782597</v>
      </c>
      <c r="C949">
        <v>0.99356191276014405</v>
      </c>
      <c r="D949">
        <v>0.98662637884689497</v>
      </c>
      <c r="E949">
        <v>0.94712784542967199</v>
      </c>
      <c r="F949">
        <v>0.90871087435097098</v>
      </c>
      <c r="G949">
        <v>0.84827882580032299</v>
      </c>
      <c r="H949">
        <v>0.79685884639818505</v>
      </c>
      <c r="I949">
        <v>0.85770773732154804</v>
      </c>
      <c r="J949">
        <v>0.91112359683224398</v>
      </c>
      <c r="K949">
        <v>0.74629938635573301</v>
      </c>
      <c r="L949">
        <v>1034.6931510837301</v>
      </c>
      <c r="M949">
        <v>19.776026943099701</v>
      </c>
      <c r="O949">
        <v>51.794378212662103</v>
      </c>
      <c r="P949">
        <v>-1.6836123350073701E-2</v>
      </c>
      <c r="Q949">
        <v>0.82362741850605703</v>
      </c>
      <c r="R949">
        <v>0.76123407373032004</v>
      </c>
      <c r="S949" t="s">
        <v>7234</v>
      </c>
      <c r="T949" t="s">
        <v>12568</v>
      </c>
      <c r="U949" t="s">
        <v>12568</v>
      </c>
      <c r="V949" t="s">
        <v>12568</v>
      </c>
      <c r="W949" t="s">
        <v>13495</v>
      </c>
      <c r="X949">
        <v>13</v>
      </c>
      <c r="Y949" t="s">
        <v>19718</v>
      </c>
      <c r="Z949" t="s">
        <v>25819</v>
      </c>
      <c r="AA949">
        <v>0.89854705515311983</v>
      </c>
      <c r="AB949" t="str">
        <f>HYPERLINK("Melting_Curves/meltCurve_O14737_PDCD5.pdf", "Melting_Curves/meltCurve_O14737_PDCD5.pdf")</f>
        <v>Melting_Curves/meltCurve_O14737_PDCD5.pdf</v>
      </c>
    </row>
    <row r="950" spans="1:28" x14ac:dyDescent="0.25">
      <c r="A950" t="s">
        <v>954</v>
      </c>
      <c r="B950">
        <v>0.99352677808782597</v>
      </c>
      <c r="C950">
        <v>1.0259236792361099</v>
      </c>
      <c r="D950">
        <v>0.86346078540841598</v>
      </c>
      <c r="E950">
        <v>0.68496510633488406</v>
      </c>
      <c r="F950">
        <v>0.562781936613024</v>
      </c>
      <c r="G950">
        <v>0.20885095592433001</v>
      </c>
      <c r="H950">
        <v>0.122078023873363</v>
      </c>
      <c r="I950">
        <v>0.124958442167605</v>
      </c>
      <c r="J950">
        <v>9.0070777952937095E-2</v>
      </c>
      <c r="K950">
        <v>6.50953588522004E-2</v>
      </c>
      <c r="L950">
        <v>838.710277446899</v>
      </c>
      <c r="M950">
        <v>15.9553867906841</v>
      </c>
      <c r="N950">
        <v>52.9051059952236</v>
      </c>
      <c r="O950">
        <v>51.761018111585102</v>
      </c>
      <c r="P950">
        <v>-7.3322412470701606E-2</v>
      </c>
      <c r="Q950">
        <v>4.8611777266873497E-2</v>
      </c>
      <c r="R950">
        <v>0.98982449812316597</v>
      </c>
      <c r="S950" t="s">
        <v>7235</v>
      </c>
      <c r="T950" t="s">
        <v>12568</v>
      </c>
      <c r="U950" t="s">
        <v>12568</v>
      </c>
      <c r="V950" t="s">
        <v>12568</v>
      </c>
      <c r="W950" t="s">
        <v>13496</v>
      </c>
      <c r="X950">
        <v>15</v>
      </c>
      <c r="Y950" t="s">
        <v>19719</v>
      </c>
      <c r="Z950" t="s">
        <v>25820</v>
      </c>
      <c r="AA950">
        <v>0.46612111881020762</v>
      </c>
      <c r="AB950" t="str">
        <f>HYPERLINK("Melting_Curves/meltCurve_O14744_PRMT5.pdf", "Melting_Curves/meltCurve_O14744_PRMT5.pdf")</f>
        <v>Melting_Curves/meltCurve_O14744_PRMT5.pdf</v>
      </c>
    </row>
    <row r="951" spans="1:28" x14ac:dyDescent="0.25">
      <c r="A951" t="s">
        <v>955</v>
      </c>
      <c r="B951">
        <v>0.99352677808782597</v>
      </c>
      <c r="C951">
        <v>0.86511838040084899</v>
      </c>
      <c r="D951">
        <v>0.70041119518082795</v>
      </c>
      <c r="E951">
        <v>0.56201988287370497</v>
      </c>
      <c r="F951">
        <v>0.61147957881798498</v>
      </c>
      <c r="G951">
        <v>0.56431156320328502</v>
      </c>
      <c r="H951">
        <v>0.49081167680307403</v>
      </c>
      <c r="I951">
        <v>0.62866537708134795</v>
      </c>
      <c r="J951">
        <v>0.45646838260820499</v>
      </c>
      <c r="K951">
        <v>0.490384296285725</v>
      </c>
      <c r="L951">
        <v>941.026319379965</v>
      </c>
      <c r="M951">
        <v>20.974511197715501</v>
      </c>
      <c r="O951">
        <v>44.463380097074698</v>
      </c>
      <c r="P951">
        <v>-5.5183190831490897E-2</v>
      </c>
      <c r="Q951">
        <v>0.53208637573053996</v>
      </c>
      <c r="R951">
        <v>0.91035541324055003</v>
      </c>
      <c r="S951" t="s">
        <v>7236</v>
      </c>
      <c r="T951" t="s">
        <v>12568</v>
      </c>
      <c r="U951" t="s">
        <v>12568</v>
      </c>
      <c r="V951" t="s">
        <v>12568</v>
      </c>
      <c r="W951" t="s">
        <v>13497</v>
      </c>
      <c r="X951">
        <v>15</v>
      </c>
      <c r="Y951" t="s">
        <v>19719</v>
      </c>
      <c r="Z951" t="s">
        <v>25821</v>
      </c>
      <c r="AA951">
        <v>0.61516692044396537</v>
      </c>
      <c r="AB951" t="str">
        <f>HYPERLINK("Melting_Curves/meltCurve_O14744_2_PRMT5.pdf", "Melting_Curves/meltCurve_O14744_2_PRMT5.pdf")</f>
        <v>Melting_Curves/meltCurve_O14744_2_PRMT5.pdf</v>
      </c>
    </row>
    <row r="952" spans="1:28" x14ac:dyDescent="0.25">
      <c r="A952" t="s">
        <v>956</v>
      </c>
      <c r="B952">
        <v>0.99352677808782597</v>
      </c>
      <c r="C952">
        <v>0.98300455843854795</v>
      </c>
      <c r="D952">
        <v>1.0148736348596801</v>
      </c>
      <c r="E952">
        <v>1.0010832428427201</v>
      </c>
      <c r="F952">
        <v>0.91905386770178699</v>
      </c>
      <c r="G952">
        <v>0.84217449380355003</v>
      </c>
      <c r="H952">
        <v>0.77066419116973806</v>
      </c>
      <c r="I952">
        <v>0.84318464325328901</v>
      </c>
      <c r="J952">
        <v>0.92485590485899905</v>
      </c>
      <c r="K952">
        <v>0.75035778889633098</v>
      </c>
      <c r="L952">
        <v>2720.1447307325402</v>
      </c>
      <c r="M952">
        <v>51.120185292544697</v>
      </c>
      <c r="O952">
        <v>53.129530804973001</v>
      </c>
      <c r="P952">
        <v>-4.2131936125164297E-2</v>
      </c>
      <c r="Q952">
        <v>0.82484817109937003</v>
      </c>
      <c r="R952">
        <v>0.77089344207111399</v>
      </c>
      <c r="S952" t="s">
        <v>7237</v>
      </c>
      <c r="T952" t="s">
        <v>12568</v>
      </c>
      <c r="U952" t="s">
        <v>12568</v>
      </c>
      <c r="V952" t="s">
        <v>12568</v>
      </c>
      <c r="W952" t="s">
        <v>13498</v>
      </c>
      <c r="X952">
        <v>26</v>
      </c>
      <c r="Y952" t="s">
        <v>19720</v>
      </c>
      <c r="Z952" t="s">
        <v>25822</v>
      </c>
      <c r="AA952">
        <v>0.90237103030751153</v>
      </c>
      <c r="AB952" t="str">
        <f>HYPERLINK("Melting_Curves/meltCurve_O14745_SLC9A3R1.pdf", "Melting_Curves/meltCurve_O14745_SLC9A3R1.pdf")</f>
        <v>Melting_Curves/meltCurve_O14745_SLC9A3R1.pdf</v>
      </c>
    </row>
    <row r="953" spans="1:28" x14ac:dyDescent="0.25">
      <c r="A953" t="s">
        <v>957</v>
      </c>
      <c r="B953">
        <v>0.99352677808782597</v>
      </c>
      <c r="C953">
        <v>0.97380430513652705</v>
      </c>
      <c r="D953">
        <v>1.02216621937512</v>
      </c>
      <c r="E953">
        <v>0.75362593238404496</v>
      </c>
      <c r="F953">
        <v>0.63541994519386003</v>
      </c>
      <c r="G953">
        <v>0.23992303021244199</v>
      </c>
      <c r="H953">
        <v>0.10439683941953</v>
      </c>
      <c r="I953">
        <v>8.4084631791407696E-2</v>
      </c>
      <c r="J953">
        <v>7.4200111757297904E-2</v>
      </c>
      <c r="K953">
        <v>6.0804858799068599E-2</v>
      </c>
      <c r="L953">
        <v>1094.20606824377</v>
      </c>
      <c r="M953">
        <v>20.4131381628737</v>
      </c>
      <c r="N953">
        <v>53.863698487266497</v>
      </c>
      <c r="O953">
        <v>53.096567166534101</v>
      </c>
      <c r="P953">
        <v>-9.1595599117226395E-2</v>
      </c>
      <c r="Q953">
        <v>4.7032298047332298E-2</v>
      </c>
      <c r="R953">
        <v>0.99228085280101497</v>
      </c>
      <c r="S953" t="s">
        <v>7238</v>
      </c>
      <c r="T953" t="s">
        <v>12568</v>
      </c>
      <c r="U953" t="s">
        <v>12568</v>
      </c>
      <c r="V953" t="s">
        <v>12568</v>
      </c>
      <c r="W953" t="s">
        <v>13499</v>
      </c>
      <c r="X953">
        <v>9</v>
      </c>
      <c r="Y953" t="s">
        <v>19721</v>
      </c>
      <c r="Z953" t="s">
        <v>25823</v>
      </c>
      <c r="AA953">
        <v>0.49173033512474679</v>
      </c>
      <c r="AB953" t="str">
        <f>HYPERLINK("Melting_Curves/meltCurve_O14757_CHEK1.pdf", "Melting_Curves/meltCurve_O14757_CHEK1.pdf")</f>
        <v>Melting_Curves/meltCurve_O14757_CHEK1.pdf</v>
      </c>
    </row>
    <row r="954" spans="1:28" x14ac:dyDescent="0.25">
      <c r="A954" t="s">
        <v>958</v>
      </c>
      <c r="B954">
        <v>0.99352677808782597</v>
      </c>
      <c r="C954">
        <v>1.02359442907565</v>
      </c>
      <c r="D954">
        <v>0.92231615883749996</v>
      </c>
      <c r="E954">
        <v>0.790559974481022</v>
      </c>
      <c r="F954">
        <v>0.68526423836587003</v>
      </c>
      <c r="G954">
        <v>0.66215871883843902</v>
      </c>
      <c r="H954">
        <v>0.582044560957792</v>
      </c>
      <c r="I954">
        <v>0.63395426873676497</v>
      </c>
      <c r="J954">
        <v>0.65225088922599295</v>
      </c>
      <c r="K954">
        <v>0.49401313858992801</v>
      </c>
      <c r="L954">
        <v>895.31364943062704</v>
      </c>
      <c r="M954">
        <v>17.885023459995399</v>
      </c>
      <c r="O954">
        <v>49.446156735533499</v>
      </c>
      <c r="P954">
        <v>-3.7326953159695503E-2</v>
      </c>
      <c r="Q954">
        <v>0.58723430436449897</v>
      </c>
      <c r="R954">
        <v>0.93871056046640799</v>
      </c>
      <c r="S954" t="s">
        <v>7239</v>
      </c>
      <c r="T954" t="s">
        <v>12568</v>
      </c>
      <c r="U954" t="s">
        <v>12568</v>
      </c>
      <c r="V954" t="s">
        <v>12568</v>
      </c>
      <c r="W954" t="s">
        <v>13500</v>
      </c>
      <c r="X954">
        <v>3</v>
      </c>
      <c r="Y954" t="s">
        <v>19722</v>
      </c>
      <c r="Z954" t="s">
        <v>25824</v>
      </c>
      <c r="AA954">
        <v>0.73275969017569198</v>
      </c>
      <c r="AB954" t="str">
        <f>HYPERLINK("Melting_Curves/meltCurve_O14763_2_TNFRSF10B.pdf", "Melting_Curves/meltCurve_O14763_2_TNFRSF10B.pdf")</f>
        <v>Melting_Curves/meltCurve_O14763_2_TNFRSF10B.pdf</v>
      </c>
    </row>
    <row r="955" spans="1:28" x14ac:dyDescent="0.25">
      <c r="A955" t="s">
        <v>959</v>
      </c>
      <c r="B955">
        <v>0.99352677808782597</v>
      </c>
      <c r="C955">
        <v>0.98898704805120696</v>
      </c>
      <c r="D955">
        <v>0.98983602867972698</v>
      </c>
      <c r="E955">
        <v>0.35529503833715098</v>
      </c>
      <c r="F955">
        <v>0.265245198444236</v>
      </c>
      <c r="G955">
        <v>0.13134160708770401</v>
      </c>
      <c r="H955">
        <v>8.8310648023729899E-2</v>
      </c>
      <c r="I955">
        <v>7.9482392857515405E-2</v>
      </c>
      <c r="J955">
        <v>7.04579072974377E-2</v>
      </c>
      <c r="K955">
        <v>6.4999111892872496E-2</v>
      </c>
      <c r="L955">
        <v>1808.05934882471</v>
      </c>
      <c r="M955">
        <v>36.839510676719797</v>
      </c>
      <c r="N955">
        <v>49.380779587319502</v>
      </c>
      <c r="O955">
        <v>48.935387964322402</v>
      </c>
      <c r="P955">
        <v>-0.169253937176295</v>
      </c>
      <c r="Q955">
        <v>0.100695306965709</v>
      </c>
      <c r="R955">
        <v>0.98626982346782299</v>
      </c>
      <c r="S955" t="s">
        <v>7240</v>
      </c>
      <c r="T955" t="s">
        <v>12568</v>
      </c>
      <c r="U955" t="s">
        <v>12568</v>
      </c>
      <c r="V955" t="s">
        <v>12568</v>
      </c>
      <c r="W955" t="s">
        <v>13501</v>
      </c>
      <c r="X955">
        <v>8</v>
      </c>
      <c r="Y955" t="s">
        <v>19723</v>
      </c>
      <c r="Z955" t="s">
        <v>25825</v>
      </c>
      <c r="AA955">
        <v>0.3764735681607192</v>
      </c>
      <c r="AB955" t="str">
        <f>HYPERLINK("Melting_Curves/meltCurve_O14772_FPGT.pdf", "Melting_Curves/meltCurve_O14772_FPGT.pdf")</f>
        <v>Melting_Curves/meltCurve_O14772_FPGT.pdf</v>
      </c>
    </row>
    <row r="956" spans="1:28" x14ac:dyDescent="0.25">
      <c r="A956" t="s">
        <v>960</v>
      </c>
      <c r="B956">
        <v>0.99352677808782597</v>
      </c>
      <c r="C956">
        <v>0.95653952604539405</v>
      </c>
      <c r="D956">
        <v>0.92366542203816504</v>
      </c>
      <c r="E956">
        <v>0.34374113536819301</v>
      </c>
      <c r="F956">
        <v>0.272006178038048</v>
      </c>
      <c r="G956">
        <v>0.17800334499640499</v>
      </c>
      <c r="H956">
        <v>0.13926219086194699</v>
      </c>
      <c r="I956">
        <v>0.130655547968167</v>
      </c>
      <c r="J956">
        <v>0.111945319473361</v>
      </c>
      <c r="K956">
        <v>9.5578837148242696E-2</v>
      </c>
      <c r="L956">
        <v>1622.2343260226901</v>
      </c>
      <c r="M956">
        <v>33.364248479535803</v>
      </c>
      <c r="N956">
        <v>49.104079644080699</v>
      </c>
      <c r="O956">
        <v>48.448251688249698</v>
      </c>
      <c r="P956">
        <v>-0.148118137525246</v>
      </c>
      <c r="Q956">
        <v>0.13967367064755001</v>
      </c>
      <c r="R956">
        <v>0.989014309518223</v>
      </c>
      <c r="S956" t="s">
        <v>7241</v>
      </c>
      <c r="T956" t="s">
        <v>12568</v>
      </c>
      <c r="U956" t="s">
        <v>12568</v>
      </c>
      <c r="V956" t="s">
        <v>12568</v>
      </c>
      <c r="W956" t="s">
        <v>13502</v>
      </c>
      <c r="X956">
        <v>44</v>
      </c>
      <c r="Y956" t="s">
        <v>19724</v>
      </c>
      <c r="Z956" t="s">
        <v>25826</v>
      </c>
      <c r="AA956">
        <v>0.39111987230239331</v>
      </c>
      <c r="AB956" t="str">
        <f>HYPERLINK("Melting_Curves/meltCurve_O14776_2_TCERG1.pdf", "Melting_Curves/meltCurve_O14776_2_TCERG1.pdf")</f>
        <v>Melting_Curves/meltCurve_O14776_2_TCERG1.pdf</v>
      </c>
    </row>
    <row r="957" spans="1:28" x14ac:dyDescent="0.25">
      <c r="A957" t="s">
        <v>961</v>
      </c>
      <c r="B957">
        <v>0.99352677808782597</v>
      </c>
      <c r="C957">
        <v>0.96518839203788598</v>
      </c>
      <c r="D957">
        <v>0.78507313224379804</v>
      </c>
      <c r="E957">
        <v>0.38425913537367801</v>
      </c>
      <c r="F957">
        <v>0.30805242453466503</v>
      </c>
      <c r="G957">
        <v>0.23934693436648699</v>
      </c>
      <c r="H957">
        <v>0.181644940116612</v>
      </c>
      <c r="I957">
        <v>0.174900137786871</v>
      </c>
      <c r="J957">
        <v>0.16396125912646201</v>
      </c>
      <c r="K957">
        <v>0.13090754623921699</v>
      </c>
      <c r="L957">
        <v>1048.57713847797</v>
      </c>
      <c r="M957">
        <v>21.801013779446698</v>
      </c>
      <c r="N957">
        <v>49.045047670659201</v>
      </c>
      <c r="O957">
        <v>47.698428893994901</v>
      </c>
      <c r="P957">
        <v>-9.4630690182392202E-2</v>
      </c>
      <c r="Q957">
        <v>0.171849370185677</v>
      </c>
      <c r="R957">
        <v>0.99339927212000201</v>
      </c>
      <c r="S957" t="s">
        <v>7242</v>
      </c>
      <c r="T957" t="s">
        <v>12568</v>
      </c>
      <c r="U957" t="s">
        <v>12568</v>
      </c>
      <c r="V957" t="s">
        <v>12568</v>
      </c>
      <c r="W957" t="s">
        <v>13503</v>
      </c>
      <c r="X957">
        <v>10</v>
      </c>
      <c r="Y957" t="s">
        <v>19725</v>
      </c>
      <c r="Z957" t="s">
        <v>25827</v>
      </c>
      <c r="AA957">
        <v>0.40517006672114042</v>
      </c>
      <c r="AB957" t="str">
        <f>HYPERLINK("Melting_Curves/meltCurve_O14777_NDC80.pdf", "Melting_Curves/meltCurve_O14777_NDC80.pdf")</f>
        <v>Melting_Curves/meltCurve_O14777_NDC80.pdf</v>
      </c>
    </row>
    <row r="958" spans="1:28" x14ac:dyDescent="0.25">
      <c r="A958" t="s">
        <v>962</v>
      </c>
      <c r="B958">
        <v>0.99352677808782597</v>
      </c>
      <c r="C958">
        <v>0.77199665824910302</v>
      </c>
      <c r="D958">
        <v>0.66149575678412897</v>
      </c>
      <c r="E958">
        <v>0.37491849455658</v>
      </c>
      <c r="F958">
        <v>0.29447890919252101</v>
      </c>
      <c r="G958">
        <v>0.23582879115467201</v>
      </c>
      <c r="H958">
        <v>0.20243900452526201</v>
      </c>
      <c r="I958">
        <v>0.180916177036063</v>
      </c>
      <c r="J958">
        <v>0.118069343573581</v>
      </c>
      <c r="K958">
        <v>7.1427294517728904E-2</v>
      </c>
      <c r="L958">
        <v>618.21473515390096</v>
      </c>
      <c r="M958">
        <v>13.0735268223572</v>
      </c>
      <c r="N958">
        <v>48.298673354210301</v>
      </c>
      <c r="O958">
        <v>46.222163653242703</v>
      </c>
      <c r="P958">
        <v>-6.2255644508044397E-2</v>
      </c>
      <c r="Q958">
        <v>0.119719300099508</v>
      </c>
      <c r="R958">
        <v>0.98168541248734598</v>
      </c>
      <c r="S958" t="s">
        <v>7243</v>
      </c>
      <c r="T958" t="s">
        <v>12568</v>
      </c>
      <c r="U958" t="s">
        <v>12568</v>
      </c>
      <c r="V958" t="s">
        <v>12568</v>
      </c>
      <c r="W958" t="s">
        <v>13504</v>
      </c>
      <c r="X958">
        <v>5</v>
      </c>
      <c r="Y958" t="s">
        <v>19726</v>
      </c>
      <c r="Z958" t="s">
        <v>25828</v>
      </c>
      <c r="AA958">
        <v>0.36440043296661961</v>
      </c>
      <c r="AB958" t="str">
        <f>HYPERLINK("Melting_Curves/meltCurve_O14782_KIF3C.pdf", "Melting_Curves/meltCurve_O14782_KIF3C.pdf")</f>
        <v>Melting_Curves/meltCurve_O14782_KIF3C.pdf</v>
      </c>
    </row>
    <row r="959" spans="1:28" x14ac:dyDescent="0.25">
      <c r="A959" t="s">
        <v>963</v>
      </c>
      <c r="B959">
        <v>0.99352677808782597</v>
      </c>
      <c r="C959">
        <v>1.107888672217</v>
      </c>
      <c r="D959">
        <v>1.00886598302581</v>
      </c>
      <c r="E959">
        <v>0.77328011545138797</v>
      </c>
      <c r="F959">
        <v>0.55888584533903496</v>
      </c>
      <c r="G959">
        <v>0.36124835380916198</v>
      </c>
      <c r="H959">
        <v>0.26899787242673101</v>
      </c>
      <c r="I959">
        <v>0.27547876460666199</v>
      </c>
      <c r="J959">
        <v>0.25037725709061898</v>
      </c>
      <c r="K959">
        <v>0.19969770570940301</v>
      </c>
      <c r="L959">
        <v>1168.30584360855</v>
      </c>
      <c r="M959">
        <v>22.3518985615232</v>
      </c>
      <c r="N959">
        <v>53.833579035364501</v>
      </c>
      <c r="O959">
        <v>51.855775289029403</v>
      </c>
      <c r="P959">
        <v>-8.2017391631556205E-2</v>
      </c>
      <c r="Q959">
        <v>0.23890383132749801</v>
      </c>
      <c r="R959">
        <v>0.98437183368728398</v>
      </c>
      <c r="S959" t="s">
        <v>7244</v>
      </c>
      <c r="T959" t="s">
        <v>12568</v>
      </c>
      <c r="U959" t="s">
        <v>12568</v>
      </c>
      <c r="V959" t="s">
        <v>12568</v>
      </c>
      <c r="W959" t="s">
        <v>13505</v>
      </c>
      <c r="X959">
        <v>11</v>
      </c>
      <c r="Y959" t="s">
        <v>19727</v>
      </c>
      <c r="Z959" t="s">
        <v>25829</v>
      </c>
      <c r="AA959">
        <v>0.55876111156859809</v>
      </c>
      <c r="AB959" t="str">
        <f>HYPERLINK("Melting_Curves/meltCurve_O14787_2_TNPO2.pdf", "Melting_Curves/meltCurve_O14787_2_TNPO2.pdf")</f>
        <v>Melting_Curves/meltCurve_O14787_2_TNPO2.pdf</v>
      </c>
    </row>
    <row r="960" spans="1:28" x14ac:dyDescent="0.25">
      <c r="A960" t="s">
        <v>964</v>
      </c>
      <c r="B960">
        <v>0.99352677808782597</v>
      </c>
      <c r="C960">
        <v>0.93472632815245005</v>
      </c>
      <c r="D960">
        <v>0.66285371324218001</v>
      </c>
      <c r="E960">
        <v>0.31650020296479098</v>
      </c>
      <c r="F960">
        <v>0.25938895821320002</v>
      </c>
      <c r="G960">
        <v>0.17387377538873999</v>
      </c>
      <c r="H960">
        <v>0.134836554758965</v>
      </c>
      <c r="I960">
        <v>0.126499205650382</v>
      </c>
      <c r="J960">
        <v>0.12670938737701501</v>
      </c>
      <c r="K960">
        <v>9.1022003239816601E-2</v>
      </c>
      <c r="L960">
        <v>963.49895778189898</v>
      </c>
      <c r="M960">
        <v>20.3973125596379</v>
      </c>
      <c r="N960">
        <v>47.922323292244002</v>
      </c>
      <c r="O960">
        <v>46.789566432415299</v>
      </c>
      <c r="P960">
        <v>-9.5192854806168695E-2</v>
      </c>
      <c r="Q960">
        <v>0.126571549680846</v>
      </c>
      <c r="R960">
        <v>0.994311461682994</v>
      </c>
      <c r="S960" t="s">
        <v>7245</v>
      </c>
      <c r="T960" t="s">
        <v>12568</v>
      </c>
      <c r="U960" t="s">
        <v>12568</v>
      </c>
      <c r="V960" t="s">
        <v>12568</v>
      </c>
      <c r="W960" t="s">
        <v>13506</v>
      </c>
      <c r="X960">
        <v>4</v>
      </c>
      <c r="Y960" t="s">
        <v>19728</v>
      </c>
      <c r="Z960" t="s">
        <v>25830</v>
      </c>
      <c r="AA960">
        <v>0.34939791688386418</v>
      </c>
      <c r="AB960" t="str">
        <f>HYPERLINK("Melting_Curves/meltCurve_O14795_UNC13B.pdf", "Melting_Curves/meltCurve_O14795_UNC13B.pdf")</f>
        <v>Melting_Curves/meltCurve_O14795_UNC13B.pdf</v>
      </c>
    </row>
    <row r="961" spans="1:28" x14ac:dyDescent="0.25">
      <c r="A961" t="s">
        <v>965</v>
      </c>
      <c r="B961">
        <v>0.99352677808782597</v>
      </c>
      <c r="C961">
        <v>0.87475755798770805</v>
      </c>
      <c r="D961">
        <v>0.90591237134802105</v>
      </c>
      <c r="E961">
        <v>0.79422092130105004</v>
      </c>
      <c r="F961">
        <v>0.65342798199707597</v>
      </c>
      <c r="G961">
        <v>0.369204413086552</v>
      </c>
      <c r="H961">
        <v>0.25067459284986898</v>
      </c>
      <c r="I961">
        <v>0.156843495791785</v>
      </c>
      <c r="J961">
        <v>0.13659586966787099</v>
      </c>
      <c r="K961">
        <v>0.119515257427434</v>
      </c>
      <c r="L961">
        <v>685.277159617488</v>
      </c>
      <c r="M961">
        <v>12.5295429027317</v>
      </c>
      <c r="N961">
        <v>55.096166271197497</v>
      </c>
      <c r="O961">
        <v>53.355802108545298</v>
      </c>
      <c r="P961">
        <v>-5.61467968643585E-2</v>
      </c>
      <c r="Q961">
        <v>4.3813107984551701E-2</v>
      </c>
      <c r="R961">
        <v>0.988476325083124</v>
      </c>
      <c r="S961" t="s">
        <v>7246</v>
      </c>
      <c r="T961" t="s">
        <v>12568</v>
      </c>
      <c r="U961" t="s">
        <v>12568</v>
      </c>
      <c r="V961" t="s">
        <v>12568</v>
      </c>
      <c r="W961" t="s">
        <v>13507</v>
      </c>
      <c r="X961">
        <v>1</v>
      </c>
      <c r="Y961" t="s">
        <v>19729</v>
      </c>
      <c r="Z961" t="s">
        <v>25831</v>
      </c>
      <c r="AA961">
        <v>0.53457185330104173</v>
      </c>
      <c r="AB961" t="str">
        <f>HYPERLINK("Melting_Curves/meltCurve_O14802_POLR3A.pdf", "Melting_Curves/meltCurve_O14802_POLR3A.pdf")</f>
        <v>Melting_Curves/meltCurve_O14802_POLR3A.pdf</v>
      </c>
    </row>
    <row r="962" spans="1:28" x14ac:dyDescent="0.25">
      <c r="A962" t="s">
        <v>966</v>
      </c>
      <c r="B962">
        <v>0.99352677808782597</v>
      </c>
      <c r="C962">
        <v>1.00423681532812</v>
      </c>
      <c r="D962">
        <v>0.85581220392908197</v>
      </c>
      <c r="E962">
        <v>1.26578830449584</v>
      </c>
      <c r="F962">
        <v>0.95066624251085297</v>
      </c>
      <c r="G962">
        <v>0.95455697018922803</v>
      </c>
      <c r="H962">
        <v>1.3886416046541501</v>
      </c>
      <c r="I962">
        <v>1.2939383003612399</v>
      </c>
      <c r="J962">
        <v>1.71833043927562</v>
      </c>
      <c r="K962">
        <v>1.3528528587577899</v>
      </c>
      <c r="L962">
        <v>6884.2681940073198</v>
      </c>
      <c r="M962">
        <v>114.58179704033</v>
      </c>
      <c r="O962">
        <v>60.063394947444799</v>
      </c>
      <c r="P962">
        <v>0.21734040654512801</v>
      </c>
      <c r="Q962">
        <v>1.4557164508337199</v>
      </c>
      <c r="R962">
        <v>0.69336437504477799</v>
      </c>
      <c r="S962" t="s">
        <v>7247</v>
      </c>
      <c r="T962" t="s">
        <v>12568</v>
      </c>
      <c r="U962" t="s">
        <v>12568</v>
      </c>
      <c r="V962" t="s">
        <v>12568</v>
      </c>
      <c r="W962" t="s">
        <v>13508</v>
      </c>
      <c r="X962">
        <v>20</v>
      </c>
      <c r="Y962" t="s">
        <v>19730</v>
      </c>
      <c r="Z962" t="s">
        <v>25832</v>
      </c>
      <c r="AA962">
        <v>1.1504356047135991</v>
      </c>
      <c r="AB962" t="str">
        <f>HYPERLINK("Melting_Curves/meltCurve_O14818_PSMA7.pdf", "Melting_Curves/meltCurve_O14818_PSMA7.pdf")</f>
        <v>Melting_Curves/meltCurve_O14818_PSMA7.pdf</v>
      </c>
    </row>
    <row r="963" spans="1:28" x14ac:dyDescent="0.25">
      <c r="A963" t="s">
        <v>967</v>
      </c>
      <c r="B963">
        <v>0.99352677808782597</v>
      </c>
      <c r="C963">
        <v>1.0287037357589</v>
      </c>
      <c r="D963">
        <v>0.87708587202988297</v>
      </c>
      <c r="E963">
        <v>0.75367929578993298</v>
      </c>
      <c r="F963">
        <v>0.59984697604834203</v>
      </c>
      <c r="G963">
        <v>0.52984130325918</v>
      </c>
      <c r="H963">
        <v>0.411904929794984</v>
      </c>
      <c r="I963">
        <v>0.41343949445740902</v>
      </c>
      <c r="J963">
        <v>0.37670571578911</v>
      </c>
      <c r="K963">
        <v>0.29417382476114701</v>
      </c>
      <c r="L963">
        <v>650.65304035357201</v>
      </c>
      <c r="M963">
        <v>12.4194270616954</v>
      </c>
      <c r="N963">
        <v>56.963036020482697</v>
      </c>
      <c r="O963">
        <v>51.087240254836203</v>
      </c>
      <c r="P963">
        <v>-4.1608588157015299E-2</v>
      </c>
      <c r="Q963">
        <v>0.31551761828405001</v>
      </c>
      <c r="R963">
        <v>0.98250775279964897</v>
      </c>
      <c r="S963" t="s">
        <v>7248</v>
      </c>
      <c r="T963" t="s">
        <v>12568</v>
      </c>
      <c r="U963" t="s">
        <v>12568</v>
      </c>
      <c r="V963" t="s">
        <v>12568</v>
      </c>
      <c r="W963" t="s">
        <v>13509</v>
      </c>
      <c r="X963">
        <v>2</v>
      </c>
      <c r="Y963" t="s">
        <v>19731</v>
      </c>
      <c r="Z963" t="s">
        <v>25833</v>
      </c>
      <c r="AA963">
        <v>0.61774844510034765</v>
      </c>
      <c r="AB963" t="str">
        <f>HYPERLINK("Melting_Curves/meltCurve_O14828_SCAMP3.pdf", "Melting_Curves/meltCurve_O14828_SCAMP3.pdf")</f>
        <v>Melting_Curves/meltCurve_O14828_SCAMP3.pdf</v>
      </c>
    </row>
    <row r="964" spans="1:28" x14ac:dyDescent="0.25">
      <c r="A964" t="s">
        <v>968</v>
      </c>
      <c r="B964">
        <v>0.99352677808782597</v>
      </c>
      <c r="C964">
        <v>1.0399104334106</v>
      </c>
      <c r="D964">
        <v>0.88778522946883598</v>
      </c>
      <c r="E964">
        <v>0.471741372507614</v>
      </c>
      <c r="F964">
        <v>0.39229512065418398</v>
      </c>
      <c r="G964">
        <v>0.20851519213435099</v>
      </c>
      <c r="H964">
        <v>0.12914319139489899</v>
      </c>
      <c r="I964">
        <v>0.13487101550608199</v>
      </c>
      <c r="J964">
        <v>0.117347213444017</v>
      </c>
      <c r="K964">
        <v>0.105264246430362</v>
      </c>
      <c r="L964">
        <v>992.89619909764303</v>
      </c>
      <c r="M964">
        <v>19.9143431303897</v>
      </c>
      <c r="N964">
        <v>50.559406361928403</v>
      </c>
      <c r="O964">
        <v>49.3637724045862</v>
      </c>
      <c r="P964">
        <v>-8.8690524266673704E-2</v>
      </c>
      <c r="Q964">
        <v>0.120643346015456</v>
      </c>
      <c r="R964">
        <v>0.98705730660288904</v>
      </c>
      <c r="S964" t="s">
        <v>7249</v>
      </c>
      <c r="T964" t="s">
        <v>12568</v>
      </c>
      <c r="U964" t="s">
        <v>12568</v>
      </c>
      <c r="V964" t="s">
        <v>12568</v>
      </c>
      <c r="W964" t="s">
        <v>13510</v>
      </c>
      <c r="X964">
        <v>15</v>
      </c>
      <c r="Y964" t="s">
        <v>19732</v>
      </c>
      <c r="Z964" t="s">
        <v>25834</v>
      </c>
      <c r="AA964">
        <v>0.42196249297271321</v>
      </c>
      <c r="AB964" t="str">
        <f>HYPERLINK("Melting_Curves/meltCurve_O14841_OPLAH.pdf", "Melting_Curves/meltCurve_O14841_OPLAH.pdf")</f>
        <v>Melting_Curves/meltCurve_O14841_OPLAH.pdf</v>
      </c>
    </row>
    <row r="965" spans="1:28" x14ac:dyDescent="0.25">
      <c r="A965" t="s">
        <v>969</v>
      </c>
      <c r="B965">
        <v>0.99352677808782597</v>
      </c>
      <c r="C965">
        <v>0.975553390692246</v>
      </c>
      <c r="D965">
        <v>0.98235614846489205</v>
      </c>
      <c r="E965">
        <v>0.91947520585308395</v>
      </c>
      <c r="F965">
        <v>0.84318930996766395</v>
      </c>
      <c r="G965">
        <v>0.70847459786900202</v>
      </c>
      <c r="H965">
        <v>0.74493507446446205</v>
      </c>
      <c r="I965">
        <v>0.72075920636813195</v>
      </c>
      <c r="J965">
        <v>0.57741070571990905</v>
      </c>
      <c r="K965">
        <v>0.41674294837546899</v>
      </c>
      <c r="L965">
        <v>422.351092208956</v>
      </c>
      <c r="M965">
        <v>6.0654768998433699</v>
      </c>
      <c r="N965">
        <v>69.631968783943194</v>
      </c>
      <c r="O965">
        <v>63.198646541976899</v>
      </c>
      <c r="P965">
        <v>-2.40684435587478E-2</v>
      </c>
      <c r="Q965">
        <v>0</v>
      </c>
      <c r="R965">
        <v>0.92569247655304998</v>
      </c>
      <c r="S965" t="s">
        <v>7250</v>
      </c>
      <c r="T965" t="s">
        <v>12568</v>
      </c>
      <c r="U965" t="s">
        <v>12568</v>
      </c>
      <c r="V965" t="s">
        <v>12568</v>
      </c>
      <c r="W965" t="s">
        <v>13511</v>
      </c>
      <c r="X965">
        <v>5</v>
      </c>
      <c r="Y965" t="s">
        <v>19733</v>
      </c>
      <c r="Z965" t="s">
        <v>25835</v>
      </c>
      <c r="AA965">
        <v>0.79916374037918181</v>
      </c>
      <c r="AB965" t="str">
        <f>HYPERLINK("Melting_Curves/meltCurve_O14867_BACH1.pdf", "Melting_Curves/meltCurve_O14867_BACH1.pdf")</f>
        <v>Melting_Curves/meltCurve_O14867_BACH1.pdf</v>
      </c>
    </row>
    <row r="966" spans="1:28" x14ac:dyDescent="0.25">
      <c r="A966" t="s">
        <v>970</v>
      </c>
      <c r="B966">
        <v>0.99352677808782597</v>
      </c>
      <c r="C966">
        <v>1.04835938214851</v>
      </c>
      <c r="D966">
        <v>1.12788070604585</v>
      </c>
      <c r="E966">
        <v>0.55394632472359795</v>
      </c>
      <c r="F966">
        <v>0.477226043151801</v>
      </c>
      <c r="G966">
        <v>0.23637418519148601</v>
      </c>
      <c r="H966">
        <v>0.13492229373570699</v>
      </c>
      <c r="I966">
        <v>0.13517548853210601</v>
      </c>
      <c r="J966">
        <v>0.132702439814576</v>
      </c>
      <c r="K966">
        <v>9.7642338042652599E-2</v>
      </c>
      <c r="L966">
        <v>1180.7493952304301</v>
      </c>
      <c r="M966">
        <v>23.042314108059202</v>
      </c>
      <c r="N966">
        <v>51.904554444103702</v>
      </c>
      <c r="O966">
        <v>50.8613668805312</v>
      </c>
      <c r="P966">
        <v>-9.8843884732848997E-2</v>
      </c>
      <c r="Q966">
        <v>0.12730226612405601</v>
      </c>
      <c r="R966">
        <v>0.95999060994349505</v>
      </c>
      <c r="S966" t="s">
        <v>7251</v>
      </c>
      <c r="T966" t="s">
        <v>12568</v>
      </c>
      <c r="U966" t="s">
        <v>12568</v>
      </c>
      <c r="V966" t="s">
        <v>12568</v>
      </c>
      <c r="W966" t="s">
        <v>13512</v>
      </c>
      <c r="X966">
        <v>1</v>
      </c>
      <c r="Y966" t="s">
        <v>19734</v>
      </c>
      <c r="Z966" t="s">
        <v>25836</v>
      </c>
      <c r="AA966">
        <v>0.46361188646233709</v>
      </c>
      <c r="AB966" t="str">
        <f>HYPERLINK("Melting_Curves/meltCurve_O14893_3_GEMIN2.pdf", "Melting_Curves/meltCurve_O14893_3_GEMIN2.pdf")</f>
        <v>Melting_Curves/meltCurve_O14893_3_GEMIN2.pdf</v>
      </c>
    </row>
    <row r="967" spans="1:28" x14ac:dyDescent="0.25">
      <c r="A967" t="s">
        <v>971</v>
      </c>
      <c r="B967">
        <v>0.99352677808782597</v>
      </c>
      <c r="C967">
        <v>0.941955990112332</v>
      </c>
      <c r="D967">
        <v>0.94516144332294505</v>
      </c>
      <c r="E967">
        <v>0.49196142523681702</v>
      </c>
      <c r="F967">
        <v>0.42477815529895802</v>
      </c>
      <c r="G967">
        <v>0.26520717794147203</v>
      </c>
      <c r="H967">
        <v>0.181662015502008</v>
      </c>
      <c r="I967">
        <v>0.18887386123019301</v>
      </c>
      <c r="J967">
        <v>0.174019090587097</v>
      </c>
      <c r="K967">
        <v>0.17749842922782899</v>
      </c>
      <c r="L967">
        <v>1014.04107292453</v>
      </c>
      <c r="M967">
        <v>20.366954640994599</v>
      </c>
      <c r="N967">
        <v>50.916060205506597</v>
      </c>
      <c r="O967">
        <v>49.3160331541077</v>
      </c>
      <c r="P967">
        <v>-8.4509254376750401E-2</v>
      </c>
      <c r="Q967">
        <v>0.18151071424844201</v>
      </c>
      <c r="R967">
        <v>0.98410442720581504</v>
      </c>
      <c r="S967" t="s">
        <v>7252</v>
      </c>
      <c r="T967" t="s">
        <v>12568</v>
      </c>
      <c r="U967" t="s">
        <v>12568</v>
      </c>
      <c r="V967" t="s">
        <v>12568</v>
      </c>
      <c r="W967" t="s">
        <v>13513</v>
      </c>
      <c r="X967">
        <v>5</v>
      </c>
      <c r="Y967" t="s">
        <v>19735</v>
      </c>
      <c r="Z967" t="s">
        <v>25837</v>
      </c>
      <c r="AA967">
        <v>0.45957452840879992</v>
      </c>
      <c r="AB967" t="str">
        <f>HYPERLINK("Melting_Curves/meltCurve_O14907_TAX1BP3.pdf", "Melting_Curves/meltCurve_O14907_TAX1BP3.pdf")</f>
        <v>Melting_Curves/meltCurve_O14907_TAX1BP3.pdf</v>
      </c>
    </row>
    <row r="968" spans="1:28" x14ac:dyDescent="0.25">
      <c r="A968" t="s">
        <v>972</v>
      </c>
      <c r="B968">
        <v>0.99352677808782597</v>
      </c>
      <c r="C968">
        <v>0.93157765899523703</v>
      </c>
      <c r="D968">
        <v>0.94913287230284604</v>
      </c>
      <c r="E968">
        <v>0.32733277459201598</v>
      </c>
      <c r="F968">
        <v>0.26716139631902502</v>
      </c>
      <c r="G968">
        <v>0.156947927891291</v>
      </c>
      <c r="H968">
        <v>0.13638404225547099</v>
      </c>
      <c r="I968">
        <v>0.147115938753478</v>
      </c>
      <c r="J968">
        <v>9.8107015545638096E-2</v>
      </c>
      <c r="K968">
        <v>9.1773595877542996E-2</v>
      </c>
      <c r="L968">
        <v>1877.76262616128</v>
      </c>
      <c r="M968">
        <v>38.615298066831301</v>
      </c>
      <c r="N968">
        <v>49.041392001797</v>
      </c>
      <c r="O968">
        <v>48.497566013049202</v>
      </c>
      <c r="P968">
        <v>-0.17137302055153</v>
      </c>
      <c r="Q968">
        <v>0.139081684531246</v>
      </c>
      <c r="R968">
        <v>0.98548782769923704</v>
      </c>
      <c r="S968" t="s">
        <v>7253</v>
      </c>
      <c r="T968" t="s">
        <v>12568</v>
      </c>
      <c r="U968" t="s">
        <v>12568</v>
      </c>
      <c r="V968" t="s">
        <v>12568</v>
      </c>
      <c r="W968" t="s">
        <v>13514</v>
      </c>
      <c r="X968">
        <v>12</v>
      </c>
      <c r="Y968" t="s">
        <v>19736</v>
      </c>
      <c r="Z968" t="s">
        <v>25838</v>
      </c>
      <c r="AA968">
        <v>0.38977838094614908</v>
      </c>
      <c r="AB968" t="str">
        <f>HYPERLINK("Melting_Curves/meltCurve_O14908_GIPC1.pdf", "Melting_Curves/meltCurve_O14908_GIPC1.pdf")</f>
        <v>Melting_Curves/meltCurve_O14908_GIPC1.pdf</v>
      </c>
    </row>
    <row r="969" spans="1:28" x14ac:dyDescent="0.25">
      <c r="A969" t="s">
        <v>973</v>
      </c>
      <c r="B969">
        <v>0.99352677808782597</v>
      </c>
      <c r="C969">
        <v>0.60515087925979905</v>
      </c>
      <c r="D969">
        <v>0.409992430544107</v>
      </c>
      <c r="E969">
        <v>0.24058317975478899</v>
      </c>
      <c r="F969">
        <v>0.22052785271862099</v>
      </c>
      <c r="G969">
        <v>0.122710713227847</v>
      </c>
      <c r="H969">
        <v>7.1472708828857701E-2</v>
      </c>
      <c r="I969">
        <v>6.0955975931607301E-2</v>
      </c>
      <c r="J969">
        <v>4.9234633564638898E-2</v>
      </c>
      <c r="K969">
        <v>3.5942142299835597E-2</v>
      </c>
      <c r="L969">
        <v>690.38955044833995</v>
      </c>
      <c r="M969">
        <v>15.4346140843097</v>
      </c>
      <c r="N969">
        <v>45.153218974476601</v>
      </c>
      <c r="O969">
        <v>43.999263021878498</v>
      </c>
      <c r="P969">
        <v>-8.1798832973228999E-2</v>
      </c>
      <c r="Q969">
        <v>6.7352456369402694E-2</v>
      </c>
      <c r="R969">
        <v>0.96472821646159901</v>
      </c>
      <c r="S969" t="s">
        <v>7254</v>
      </c>
      <c r="T969" t="s">
        <v>12568</v>
      </c>
      <c r="U969" t="s">
        <v>12568</v>
      </c>
      <c r="V969" t="s">
        <v>12568</v>
      </c>
      <c r="W969" t="s">
        <v>13515</v>
      </c>
      <c r="X969">
        <v>11</v>
      </c>
      <c r="Y969" t="s">
        <v>19737</v>
      </c>
      <c r="Z969" t="s">
        <v>25839</v>
      </c>
      <c r="AA969">
        <v>0.24347383047138441</v>
      </c>
      <c r="AB969" t="str">
        <f>HYPERLINK("Melting_Curves/meltCurve_O14920_IKBKB.pdf", "Melting_Curves/meltCurve_O14920_IKBKB.pdf")</f>
        <v>Melting_Curves/meltCurve_O14920_IKBKB.pdf</v>
      </c>
    </row>
    <row r="970" spans="1:28" x14ac:dyDescent="0.25">
      <c r="A970" t="s">
        <v>974</v>
      </c>
      <c r="B970">
        <v>0.99352677808782597</v>
      </c>
      <c r="C970">
        <v>0.93010609629466301</v>
      </c>
      <c r="D970">
        <v>0.91550943288501696</v>
      </c>
      <c r="E970">
        <v>0.81667256602764604</v>
      </c>
      <c r="F970">
        <v>0.80169603606884698</v>
      </c>
      <c r="G970">
        <v>0.7319893792569</v>
      </c>
      <c r="H970">
        <v>0.73901231531288303</v>
      </c>
      <c r="I970">
        <v>0.78536239033475497</v>
      </c>
      <c r="J970">
        <v>0.68580117612046299</v>
      </c>
      <c r="K970">
        <v>0.65542056790622305</v>
      </c>
      <c r="L970">
        <v>464.244944294258</v>
      </c>
      <c r="M970">
        <v>9.2733228788569004</v>
      </c>
      <c r="O970">
        <v>47.899587121022698</v>
      </c>
      <c r="P970">
        <v>-1.5748819787871501E-2</v>
      </c>
      <c r="Q970">
        <v>0.67482069206919904</v>
      </c>
      <c r="R970">
        <v>0.91586667579189296</v>
      </c>
      <c r="S970" t="s">
        <v>7255</v>
      </c>
      <c r="T970" t="s">
        <v>12568</v>
      </c>
      <c r="U970" t="s">
        <v>12568</v>
      </c>
      <c r="V970" t="s">
        <v>12568</v>
      </c>
      <c r="W970" t="s">
        <v>13516</v>
      </c>
      <c r="X970">
        <v>3</v>
      </c>
      <c r="Y970" t="s">
        <v>19738</v>
      </c>
      <c r="Z970" t="s">
        <v>25840</v>
      </c>
      <c r="AA970">
        <v>0.80004249745024092</v>
      </c>
      <c r="AB970" t="str">
        <f>HYPERLINK("Melting_Curves/meltCurve_O14924_2_RGS12.pdf", "Melting_Curves/meltCurve_O14924_2_RGS12.pdf")</f>
        <v>Melting_Curves/meltCurve_O14924_2_RGS12.pdf</v>
      </c>
    </row>
    <row r="971" spans="1:28" x14ac:dyDescent="0.25">
      <c r="A971" t="s">
        <v>975</v>
      </c>
      <c r="B971">
        <v>0.99352677808782597</v>
      </c>
      <c r="C971">
        <v>1.0225824994884201</v>
      </c>
      <c r="D971">
        <v>0.95613871178156196</v>
      </c>
      <c r="E971">
        <v>0.45967022410493102</v>
      </c>
      <c r="F971">
        <v>0.32250610213323799</v>
      </c>
      <c r="G971">
        <v>0.23324213247911799</v>
      </c>
      <c r="H971">
        <v>0.158632365423655</v>
      </c>
      <c r="I971">
        <v>0.11969273416130501</v>
      </c>
      <c r="J971">
        <v>0.106144438215463</v>
      </c>
      <c r="K971">
        <v>8.0914240166547802E-2</v>
      </c>
      <c r="L971">
        <v>1263.8387799726399</v>
      </c>
      <c r="M971">
        <v>25.475773838300999</v>
      </c>
      <c r="N971">
        <v>50.219833741595501</v>
      </c>
      <c r="O971">
        <v>49.306790282745098</v>
      </c>
      <c r="P971">
        <v>-0.111972273168899</v>
      </c>
      <c r="Q971">
        <v>0.133149115993387</v>
      </c>
      <c r="R971">
        <v>0.98537267974932796</v>
      </c>
      <c r="S971" t="s">
        <v>7256</v>
      </c>
      <c r="T971" t="s">
        <v>12568</v>
      </c>
      <c r="U971" t="s">
        <v>12568</v>
      </c>
      <c r="V971" t="s">
        <v>12568</v>
      </c>
      <c r="W971" t="s">
        <v>13517</v>
      </c>
      <c r="X971">
        <v>16</v>
      </c>
      <c r="Y971" t="s">
        <v>19739</v>
      </c>
      <c r="Z971" t="s">
        <v>25841</v>
      </c>
      <c r="AA971">
        <v>0.41824279735080577</v>
      </c>
      <c r="AB971" t="str">
        <f>HYPERLINK("Melting_Curves/meltCurve_O14929_HAT1.pdf", "Melting_Curves/meltCurve_O14929_HAT1.pdf")</f>
        <v>Melting_Curves/meltCurve_O14929_HAT1.pdf</v>
      </c>
    </row>
    <row r="972" spans="1:28" x14ac:dyDescent="0.25">
      <c r="A972" t="s">
        <v>976</v>
      </c>
      <c r="B972">
        <v>0.99352677808782597</v>
      </c>
      <c r="C972">
        <v>0.894922269380241</v>
      </c>
      <c r="D972">
        <v>1.0424298942769299</v>
      </c>
      <c r="E972">
        <v>0.70717550159045395</v>
      </c>
      <c r="F972">
        <v>0.68784273056231604</v>
      </c>
      <c r="G972">
        <v>0.25302867695116699</v>
      </c>
      <c r="H972">
        <v>0.124371951587688</v>
      </c>
      <c r="I972">
        <v>0.104154081087069</v>
      </c>
      <c r="J972">
        <v>8.4236475534957E-2</v>
      </c>
      <c r="K972">
        <v>7.0000797511562102E-2</v>
      </c>
      <c r="L972">
        <v>991.76663704469399</v>
      </c>
      <c r="M972">
        <v>18.432905205716899</v>
      </c>
      <c r="N972">
        <v>54.100438779551503</v>
      </c>
      <c r="O972">
        <v>53.1828813184678</v>
      </c>
      <c r="P972">
        <v>-8.2492288696467603E-2</v>
      </c>
      <c r="Q972">
        <v>4.80110651072094E-2</v>
      </c>
      <c r="R972">
        <v>0.97355076589983902</v>
      </c>
      <c r="S972" t="s">
        <v>7257</v>
      </c>
      <c r="T972" t="s">
        <v>12568</v>
      </c>
      <c r="U972" t="s">
        <v>12568</v>
      </c>
      <c r="V972" t="s">
        <v>12568</v>
      </c>
      <c r="W972" t="s">
        <v>13518</v>
      </c>
      <c r="X972">
        <v>7</v>
      </c>
      <c r="Y972" t="s">
        <v>19740</v>
      </c>
      <c r="Z972" t="s">
        <v>25842</v>
      </c>
      <c r="AA972">
        <v>0.500824825716914</v>
      </c>
      <c r="AB972" t="str">
        <f>HYPERLINK("Melting_Curves/meltCurve_O14933_UBE2L6.pdf", "Melting_Curves/meltCurve_O14933_UBE2L6.pdf")</f>
        <v>Melting_Curves/meltCurve_O14933_UBE2L6.pdf</v>
      </c>
    </row>
    <row r="973" spans="1:28" x14ac:dyDescent="0.25">
      <c r="A973" t="s">
        <v>977</v>
      </c>
      <c r="B973">
        <v>0.99352677808782597</v>
      </c>
      <c r="C973">
        <v>1.0142433982449199</v>
      </c>
      <c r="D973">
        <v>0.90896372616094701</v>
      </c>
      <c r="E973">
        <v>0.81020778467314802</v>
      </c>
      <c r="F973">
        <v>0.70385116278087001</v>
      </c>
      <c r="G973">
        <v>0.35359758419982301</v>
      </c>
      <c r="H973">
        <v>0.18194773076544499</v>
      </c>
      <c r="I973">
        <v>0.13616807316367699</v>
      </c>
      <c r="J973">
        <v>0.106887108141636</v>
      </c>
      <c r="K973">
        <v>8.1060693054962399E-2</v>
      </c>
      <c r="L973">
        <v>905.57123454601594</v>
      </c>
      <c r="M973">
        <v>16.543584836414801</v>
      </c>
      <c r="N973">
        <v>55.109927712005899</v>
      </c>
      <c r="O973">
        <v>53.957462178502603</v>
      </c>
      <c r="P973">
        <v>-7.2612519576374004E-2</v>
      </c>
      <c r="Q973">
        <v>5.2752388393372603E-2</v>
      </c>
      <c r="R973">
        <v>0.99450448352490595</v>
      </c>
      <c r="S973" t="s">
        <v>7258</v>
      </c>
      <c r="T973" t="s">
        <v>12568</v>
      </c>
      <c r="U973" t="s">
        <v>12568</v>
      </c>
      <c r="V973" t="s">
        <v>12568</v>
      </c>
      <c r="W973" t="s">
        <v>13519</v>
      </c>
      <c r="X973">
        <v>21</v>
      </c>
      <c r="Y973" t="s">
        <v>19741</v>
      </c>
      <c r="Z973" t="s">
        <v>25843</v>
      </c>
      <c r="AA973">
        <v>0.53467323675718492</v>
      </c>
      <c r="AB973" t="str">
        <f>HYPERLINK("Melting_Curves/meltCurve_O14936_3_CASK.pdf", "Melting_Curves/meltCurve_O14936_3_CASK.pdf")</f>
        <v>Melting_Curves/meltCurve_O14936_3_CASK.pdf</v>
      </c>
    </row>
    <row r="974" spans="1:28" x14ac:dyDescent="0.25">
      <c r="A974" t="s">
        <v>978</v>
      </c>
      <c r="B974">
        <v>0.99352677808782597</v>
      </c>
      <c r="C974">
        <v>0.98174799944798397</v>
      </c>
      <c r="D974">
        <v>0.98999632894773204</v>
      </c>
      <c r="E974">
        <v>0.71809012834576502</v>
      </c>
      <c r="F974">
        <v>0.623739405262979</v>
      </c>
      <c r="G974">
        <v>0.385597473855741</v>
      </c>
      <c r="H974">
        <v>0.28155305145082399</v>
      </c>
      <c r="I974">
        <v>0.24113467190378901</v>
      </c>
      <c r="J974">
        <v>0.206557395672787</v>
      </c>
      <c r="K974">
        <v>0.155491975681428</v>
      </c>
      <c r="L974">
        <v>788.99269028497702</v>
      </c>
      <c r="M974">
        <v>14.783978989121801</v>
      </c>
      <c r="N974">
        <v>54.777928995908702</v>
      </c>
      <c r="O974">
        <v>52.4201689050334</v>
      </c>
      <c r="P974">
        <v>-5.9356393016605197E-2</v>
      </c>
      <c r="Q974">
        <v>0.15824019499585501</v>
      </c>
      <c r="R974">
        <v>0.99197983925620903</v>
      </c>
      <c r="S974" t="s">
        <v>7259</v>
      </c>
      <c r="T974" t="s">
        <v>12568</v>
      </c>
      <c r="U974" t="s">
        <v>12568</v>
      </c>
      <c r="V974" t="s">
        <v>12568</v>
      </c>
      <c r="W974" t="s">
        <v>13520</v>
      </c>
      <c r="X974">
        <v>21</v>
      </c>
      <c r="Y974" t="s">
        <v>19742</v>
      </c>
      <c r="Z974" t="s">
        <v>25844</v>
      </c>
      <c r="AA974">
        <v>0.55150023247530844</v>
      </c>
      <c r="AB974" t="str">
        <f>HYPERLINK("Melting_Curves/meltCurve_O14964_HGS.pdf", "Melting_Curves/meltCurve_O14964_HGS.pdf")</f>
        <v>Melting_Curves/meltCurve_O14964_HGS.pdf</v>
      </c>
    </row>
    <row r="975" spans="1:28" x14ac:dyDescent="0.25">
      <c r="A975" t="s">
        <v>979</v>
      </c>
      <c r="B975">
        <v>0.99352677808782597</v>
      </c>
      <c r="C975">
        <v>0.88441389287183603</v>
      </c>
      <c r="D975">
        <v>0.792303460965878</v>
      </c>
      <c r="E975">
        <v>0.60660175623825796</v>
      </c>
      <c r="F975">
        <v>0.63278607414462196</v>
      </c>
      <c r="G975">
        <v>0.63749436780768598</v>
      </c>
      <c r="H975">
        <v>0.51875730236760698</v>
      </c>
      <c r="I975">
        <v>0.66939806745476405</v>
      </c>
      <c r="J975">
        <v>0.57393219936963003</v>
      </c>
      <c r="K975">
        <v>0.59921647364256603</v>
      </c>
      <c r="L975">
        <v>975.85391295705597</v>
      </c>
      <c r="M975">
        <v>21.534590711446501</v>
      </c>
      <c r="O975">
        <v>44.9302867871167</v>
      </c>
      <c r="P975">
        <v>-4.8272209335384203E-2</v>
      </c>
      <c r="Q975">
        <v>0.59714446396433096</v>
      </c>
      <c r="R975">
        <v>0.91922664519279695</v>
      </c>
      <c r="S975" t="s">
        <v>7260</v>
      </c>
      <c r="T975" t="s">
        <v>12568</v>
      </c>
      <c r="U975" t="s">
        <v>12568</v>
      </c>
      <c r="V975" t="s">
        <v>12568</v>
      </c>
      <c r="W975" t="s">
        <v>13521</v>
      </c>
      <c r="X975">
        <v>5</v>
      </c>
      <c r="Y975" t="s">
        <v>19743</v>
      </c>
      <c r="Z975" t="s">
        <v>25845</v>
      </c>
      <c r="AA975">
        <v>0.67407414239771868</v>
      </c>
      <c r="AB975" t="str">
        <f>HYPERLINK("Melting_Curves/meltCurve_O14965_AURKA.pdf", "Melting_Curves/meltCurve_O14965_AURKA.pdf")</f>
        <v>Melting_Curves/meltCurve_O14965_AURKA.pdf</v>
      </c>
    </row>
    <row r="976" spans="1:28" x14ac:dyDescent="0.25">
      <c r="A976" t="s">
        <v>980</v>
      </c>
      <c r="B976">
        <v>0.99352677808782597</v>
      </c>
      <c r="C976">
        <v>0.88852762758974302</v>
      </c>
      <c r="D976">
        <v>0.93707329937341599</v>
      </c>
      <c r="E976">
        <v>0.60973271682501295</v>
      </c>
      <c r="F976">
        <v>0.51016230975156596</v>
      </c>
      <c r="G976">
        <v>0.27852172781775297</v>
      </c>
      <c r="H976">
        <v>0.182747576945993</v>
      </c>
      <c r="I976">
        <v>0.182685317360719</v>
      </c>
      <c r="J976">
        <v>0.17661480159419801</v>
      </c>
      <c r="K976">
        <v>0.12322537201386</v>
      </c>
      <c r="L976">
        <v>763.33964809108795</v>
      </c>
      <c r="M976">
        <v>14.823337056213299</v>
      </c>
      <c r="N976">
        <v>52.504859155839902</v>
      </c>
      <c r="O976">
        <v>50.585854538344599</v>
      </c>
      <c r="P976">
        <v>-6.4184996235183103E-2</v>
      </c>
      <c r="Q976">
        <v>0.123946437374833</v>
      </c>
      <c r="R976">
        <v>0.98677758620787703</v>
      </c>
      <c r="S976" t="s">
        <v>7261</v>
      </c>
      <c r="T976" t="s">
        <v>12568</v>
      </c>
      <c r="U976" t="s">
        <v>12568</v>
      </c>
      <c r="V976" t="s">
        <v>12568</v>
      </c>
      <c r="W976" t="s">
        <v>13522</v>
      </c>
      <c r="X976">
        <v>3</v>
      </c>
      <c r="Y976" t="s">
        <v>19744</v>
      </c>
      <c r="Z976" t="s">
        <v>25846</v>
      </c>
      <c r="AA976">
        <v>0.47994403808097053</v>
      </c>
      <c r="AB976" t="str">
        <f>HYPERLINK("Melting_Curves/meltCurve_O14972_DSCR3.pdf", "Melting_Curves/meltCurve_O14972_DSCR3.pdf")</f>
        <v>Melting_Curves/meltCurve_O14972_DSCR3.pdf</v>
      </c>
    </row>
    <row r="977" spans="1:28" x14ac:dyDescent="0.25">
      <c r="A977" t="s">
        <v>981</v>
      </c>
      <c r="B977">
        <v>0.99352677808782597</v>
      </c>
      <c r="C977">
        <v>0.97695479305681798</v>
      </c>
      <c r="D977">
        <v>0.96267676045595896</v>
      </c>
      <c r="E977">
        <v>0.910372037443269</v>
      </c>
      <c r="F977">
        <v>0.84262062201237697</v>
      </c>
      <c r="G977">
        <v>0.71331241580099902</v>
      </c>
      <c r="H977">
        <v>0.71996655969221501</v>
      </c>
      <c r="I977">
        <v>0.77505072471087799</v>
      </c>
      <c r="J977">
        <v>0.90393064416517699</v>
      </c>
      <c r="K977">
        <v>0.68679496878647395</v>
      </c>
      <c r="L977">
        <v>1426.5771312546501</v>
      </c>
      <c r="M977">
        <v>28.018213287147301</v>
      </c>
      <c r="O977">
        <v>50.658808715482003</v>
      </c>
      <c r="P977">
        <v>-3.3113103056344399E-2</v>
      </c>
      <c r="Q977">
        <v>0.76051920947294505</v>
      </c>
      <c r="R977">
        <v>0.73280166690905102</v>
      </c>
      <c r="S977" t="s">
        <v>7262</v>
      </c>
      <c r="T977" t="s">
        <v>12568</v>
      </c>
      <c r="U977" t="s">
        <v>12568</v>
      </c>
      <c r="V977" t="s">
        <v>12568</v>
      </c>
      <c r="W977" t="s">
        <v>13523</v>
      </c>
      <c r="X977">
        <v>55</v>
      </c>
      <c r="Y977" t="s">
        <v>19745</v>
      </c>
      <c r="Z977" t="s">
        <v>25847</v>
      </c>
      <c r="AA977">
        <v>0.8493827266859465</v>
      </c>
      <c r="AB977" t="str">
        <f>HYPERLINK("Melting_Curves/meltCurve_O14974_PPP1R12A.pdf", "Melting_Curves/meltCurve_O14974_PPP1R12A.pdf")</f>
        <v>Melting_Curves/meltCurve_O14974_PPP1R12A.pdf</v>
      </c>
    </row>
    <row r="978" spans="1:28" x14ac:dyDescent="0.25">
      <c r="A978" t="s">
        <v>982</v>
      </c>
      <c r="B978">
        <v>0.99352677808782597</v>
      </c>
      <c r="C978">
        <v>0.96711143717456705</v>
      </c>
      <c r="D978">
        <v>0.99797219795804104</v>
      </c>
      <c r="E978">
        <v>0.875041302990895</v>
      </c>
      <c r="F978">
        <v>0.74974763299671499</v>
      </c>
      <c r="G978">
        <v>0.68845333094689298</v>
      </c>
      <c r="H978">
        <v>0.498725252894481</v>
      </c>
      <c r="I978">
        <v>0.44634726177929002</v>
      </c>
      <c r="J978">
        <v>0.37727273559837898</v>
      </c>
      <c r="K978">
        <v>0.37406963123139397</v>
      </c>
      <c r="L978">
        <v>650.27932849630895</v>
      </c>
      <c r="M978">
        <v>11.3931576832106</v>
      </c>
      <c r="N978">
        <v>61.569611085638201</v>
      </c>
      <c r="O978">
        <v>55.402763131358803</v>
      </c>
      <c r="P978">
        <v>-3.6908542214107297E-2</v>
      </c>
      <c r="Q978">
        <v>0.28229451637650099</v>
      </c>
      <c r="R978">
        <v>0.98939544776759702</v>
      </c>
      <c r="S978" t="s">
        <v>7263</v>
      </c>
      <c r="T978" t="s">
        <v>12568</v>
      </c>
      <c r="U978" t="s">
        <v>12568</v>
      </c>
      <c r="V978" t="s">
        <v>12568</v>
      </c>
      <c r="W978" t="s">
        <v>13524</v>
      </c>
      <c r="X978">
        <v>7</v>
      </c>
      <c r="Y978" t="s">
        <v>19746</v>
      </c>
      <c r="Z978" t="s">
        <v>25848</v>
      </c>
      <c r="AA978">
        <v>0.70258816454621553</v>
      </c>
      <c r="AB978" t="str">
        <f>HYPERLINK("Melting_Curves/meltCurve_O14976_GAK.pdf", "Melting_Curves/meltCurve_O14976_GAK.pdf")</f>
        <v>Melting_Curves/meltCurve_O14976_GAK.pdf</v>
      </c>
    </row>
    <row r="979" spans="1:28" x14ac:dyDescent="0.25">
      <c r="A979" t="s">
        <v>983</v>
      </c>
      <c r="B979">
        <v>0.99352677808782597</v>
      </c>
      <c r="C979">
        <v>1.07924238654782</v>
      </c>
      <c r="D979">
        <v>1.1744437129682599</v>
      </c>
      <c r="E979">
        <v>1.1606227725171301</v>
      </c>
      <c r="F979">
        <v>0.99256440463473505</v>
      </c>
      <c r="G979">
        <v>0.89326853931383698</v>
      </c>
      <c r="H979">
        <v>0.83151924206652095</v>
      </c>
      <c r="I979">
        <v>0.86276278955305796</v>
      </c>
      <c r="J979">
        <v>0.97385865232018798</v>
      </c>
      <c r="K979">
        <v>0.760755089292382</v>
      </c>
      <c r="L979">
        <v>5188.3855582649103</v>
      </c>
      <c r="M979">
        <v>92.118556657368302</v>
      </c>
      <c r="O979">
        <v>56.296385842265899</v>
      </c>
      <c r="P979">
        <v>-5.84019214778344E-2</v>
      </c>
      <c r="Q979">
        <v>0.857235415730352</v>
      </c>
      <c r="R979">
        <v>0.49715867388118301</v>
      </c>
      <c r="S979" t="s">
        <v>7264</v>
      </c>
      <c r="T979" t="s">
        <v>12568</v>
      </c>
      <c r="U979" t="s">
        <v>12568</v>
      </c>
      <c r="V979" t="s">
        <v>12568</v>
      </c>
      <c r="W979" t="s">
        <v>13525</v>
      </c>
      <c r="X979">
        <v>8</v>
      </c>
      <c r="Y979" t="s">
        <v>19747</v>
      </c>
      <c r="Z979" t="s">
        <v>25849</v>
      </c>
      <c r="AA979">
        <v>0.93501729993558658</v>
      </c>
      <c r="AB979" t="str">
        <f>HYPERLINK("Melting_Curves/meltCurve_O14979_HNRPDL.pdf", "Melting_Curves/meltCurve_O14979_HNRPDL.pdf")</f>
        <v>Melting_Curves/meltCurve_O14979_HNRPDL.pdf</v>
      </c>
    </row>
    <row r="980" spans="1:28" x14ac:dyDescent="0.25">
      <c r="A980" t="s">
        <v>984</v>
      </c>
      <c r="B980">
        <v>0.99352677808782597</v>
      </c>
      <c r="C980">
        <v>0.90650260448262998</v>
      </c>
      <c r="D980">
        <v>1.0038113196435401</v>
      </c>
      <c r="E980">
        <v>0.341064083577023</v>
      </c>
      <c r="F980">
        <v>0.23097439024153299</v>
      </c>
      <c r="G980">
        <v>0.13320080776159701</v>
      </c>
      <c r="H980">
        <v>8.9340317513197307E-2</v>
      </c>
      <c r="I980">
        <v>7.7500966748621794E-2</v>
      </c>
      <c r="J980">
        <v>6.2763622902759594E-2</v>
      </c>
      <c r="K980">
        <v>5.0715828432149598E-2</v>
      </c>
      <c r="L980">
        <v>2099.2414272138199</v>
      </c>
      <c r="M980">
        <v>42.814340119895498</v>
      </c>
      <c r="N980">
        <v>49.280696406937302</v>
      </c>
      <c r="O980">
        <v>48.924663733517598</v>
      </c>
      <c r="P980">
        <v>-0.197463457362624</v>
      </c>
      <c r="Q980">
        <v>9.7422222670354303E-2</v>
      </c>
      <c r="R980">
        <v>0.98215370984175898</v>
      </c>
      <c r="S980" t="s">
        <v>7265</v>
      </c>
      <c r="T980" t="s">
        <v>12568</v>
      </c>
      <c r="U980" t="s">
        <v>12568</v>
      </c>
      <c r="V980" t="s">
        <v>12568</v>
      </c>
      <c r="W980" t="s">
        <v>13526</v>
      </c>
      <c r="X980">
        <v>38</v>
      </c>
      <c r="Y980" t="s">
        <v>19748</v>
      </c>
      <c r="Z980" t="s">
        <v>25850</v>
      </c>
      <c r="AA980">
        <v>0.37180532050638199</v>
      </c>
      <c r="AB980" t="str">
        <f>HYPERLINK("Melting_Curves/meltCurve_O14980_XPO1.pdf", "Melting_Curves/meltCurve_O14980_XPO1.pdf")</f>
        <v>Melting_Curves/meltCurve_O14980_XPO1.pdf</v>
      </c>
    </row>
    <row r="981" spans="1:28" x14ac:dyDescent="0.25">
      <c r="A981" t="s">
        <v>985</v>
      </c>
      <c r="B981">
        <v>0.99352677808782597</v>
      </c>
      <c r="C981">
        <v>0.99879345057442004</v>
      </c>
      <c r="D981">
        <v>0.83929847263809498</v>
      </c>
      <c r="E981">
        <v>0.295610559955167</v>
      </c>
      <c r="F981">
        <v>0.23884571868808399</v>
      </c>
      <c r="G981">
        <v>0.122731047489453</v>
      </c>
      <c r="H981">
        <v>7.4489870499614905E-2</v>
      </c>
      <c r="I981">
        <v>6.6646886858722706E-2</v>
      </c>
      <c r="J981">
        <v>5.9984208372714301E-2</v>
      </c>
      <c r="K981">
        <v>4.03226697029248E-2</v>
      </c>
      <c r="L981">
        <v>1312.5585421420501</v>
      </c>
      <c r="M981">
        <v>27.127391261087901</v>
      </c>
      <c r="N981">
        <v>48.686038672067497</v>
      </c>
      <c r="O981">
        <v>48.124348187164301</v>
      </c>
      <c r="P981">
        <v>-0.130043438429463</v>
      </c>
      <c r="Q981">
        <v>7.7213902940464901E-2</v>
      </c>
      <c r="R981">
        <v>0.99082885625314998</v>
      </c>
      <c r="S981" t="s">
        <v>7266</v>
      </c>
      <c r="T981" t="s">
        <v>12568</v>
      </c>
      <c r="U981" t="s">
        <v>12568</v>
      </c>
      <c r="V981" t="s">
        <v>12568</v>
      </c>
      <c r="W981" t="s">
        <v>13527</v>
      </c>
      <c r="X981">
        <v>21</v>
      </c>
      <c r="Y981" t="s">
        <v>19749</v>
      </c>
      <c r="Z981" t="s">
        <v>25851</v>
      </c>
      <c r="AA981">
        <v>0.34200652824358502</v>
      </c>
      <c r="AB981" t="str">
        <f>HYPERLINK("Melting_Curves/meltCurve_O14981_BTAF1.pdf", "Melting_Curves/meltCurve_O14981_BTAF1.pdf")</f>
        <v>Melting_Curves/meltCurve_O14981_BTAF1.pdf</v>
      </c>
    </row>
    <row r="982" spans="1:28" x14ac:dyDescent="0.25">
      <c r="A982" t="s">
        <v>986</v>
      </c>
      <c r="B982">
        <v>0.99352677808782597</v>
      </c>
      <c r="C982">
        <v>0.97258144278441205</v>
      </c>
      <c r="D982">
        <v>1.00855296652408</v>
      </c>
      <c r="E982">
        <v>0.87631216759646202</v>
      </c>
      <c r="F982">
        <v>0.78796048247001604</v>
      </c>
      <c r="G982">
        <v>0.67143571385523604</v>
      </c>
      <c r="H982">
        <v>0.590844021802164</v>
      </c>
      <c r="I982">
        <v>0.60207874965701602</v>
      </c>
      <c r="J982">
        <v>0.65944227537523203</v>
      </c>
      <c r="K982">
        <v>0.52721961143348695</v>
      </c>
      <c r="L982">
        <v>994.09183729062704</v>
      </c>
      <c r="M982">
        <v>18.828769715476099</v>
      </c>
      <c r="O982">
        <v>52.211704901924101</v>
      </c>
      <c r="P982">
        <v>-3.7692230122608299E-2</v>
      </c>
      <c r="Q982">
        <v>0.58193884682168495</v>
      </c>
      <c r="R982">
        <v>0.964254936675915</v>
      </c>
      <c r="S982" t="s">
        <v>7267</v>
      </c>
      <c r="T982" t="s">
        <v>12568</v>
      </c>
      <c r="U982" t="s">
        <v>12568</v>
      </c>
      <c r="V982" t="s">
        <v>12568</v>
      </c>
      <c r="W982" t="s">
        <v>13528</v>
      </c>
      <c r="X982">
        <v>26</v>
      </c>
      <c r="Y982" t="s">
        <v>19750</v>
      </c>
      <c r="Z982" t="s">
        <v>25852</v>
      </c>
      <c r="AA982">
        <v>0.76664220535239025</v>
      </c>
      <c r="AB982" t="str">
        <f>HYPERLINK("Melting_Curves/meltCurve_O15014_ZNF609.pdf", "Melting_Curves/meltCurve_O15014_ZNF609.pdf")</f>
        <v>Melting_Curves/meltCurve_O15014_ZNF609.pdf</v>
      </c>
    </row>
    <row r="983" spans="1:28" x14ac:dyDescent="0.25">
      <c r="A983" t="s">
        <v>987</v>
      </c>
      <c r="B983">
        <v>0.99352677808782597</v>
      </c>
      <c r="C983">
        <v>0.93643786972045295</v>
      </c>
      <c r="D983">
        <v>0.79154137409388303</v>
      </c>
      <c r="E983">
        <v>0.53830585306865297</v>
      </c>
      <c r="F983">
        <v>0.54013192213692696</v>
      </c>
      <c r="G983">
        <v>0.29584998068044599</v>
      </c>
      <c r="H983">
        <v>0.213985255741616</v>
      </c>
      <c r="I983">
        <v>0.26141322798933198</v>
      </c>
      <c r="J983">
        <v>0.17006205958009901</v>
      </c>
      <c r="K983">
        <v>0.17632422572284701</v>
      </c>
      <c r="L983">
        <v>612.46979190596596</v>
      </c>
      <c r="M983">
        <v>12.125642254749</v>
      </c>
      <c r="N983">
        <v>52.049584658201603</v>
      </c>
      <c r="O983">
        <v>49.195367538705902</v>
      </c>
      <c r="P983">
        <v>-5.23475536405471E-2</v>
      </c>
      <c r="Q983">
        <v>0.15067202784622699</v>
      </c>
      <c r="R983">
        <v>0.98165032303688704</v>
      </c>
      <c r="S983" t="s">
        <v>7268</v>
      </c>
      <c r="T983" t="s">
        <v>12568</v>
      </c>
      <c r="U983" t="s">
        <v>12568</v>
      </c>
      <c r="V983" t="s">
        <v>12568</v>
      </c>
      <c r="W983" t="s">
        <v>13529</v>
      </c>
      <c r="X983">
        <v>8</v>
      </c>
      <c r="Y983" t="s">
        <v>19751</v>
      </c>
      <c r="Z983" t="s">
        <v>25853</v>
      </c>
      <c r="AA983">
        <v>0.47631306904027171</v>
      </c>
      <c r="AB983" t="str">
        <f>HYPERLINK("Melting_Curves/meltCurve_O15020_2_SPTBN2.pdf", "Melting_Curves/meltCurve_O15020_2_SPTBN2.pdf")</f>
        <v>Melting_Curves/meltCurve_O15020_2_SPTBN2.pdf</v>
      </c>
    </row>
    <row r="984" spans="1:28" x14ac:dyDescent="0.25">
      <c r="A984" t="s">
        <v>988</v>
      </c>
      <c r="B984">
        <v>0.99352677808782597</v>
      </c>
      <c r="C984">
        <v>0.96646013688677301</v>
      </c>
      <c r="D984">
        <v>0.98094582686753495</v>
      </c>
      <c r="E984">
        <v>0.87432253361489198</v>
      </c>
      <c r="F984">
        <v>0.81134569008447399</v>
      </c>
      <c r="G984">
        <v>0.73016275560036403</v>
      </c>
      <c r="H984">
        <v>0.642221742136594</v>
      </c>
      <c r="I984">
        <v>0.73089478778290695</v>
      </c>
      <c r="J984">
        <v>0.75876966510452004</v>
      </c>
      <c r="K984">
        <v>0.59340483403215905</v>
      </c>
      <c r="L984">
        <v>864.59115369439598</v>
      </c>
      <c r="M984">
        <v>16.700195979826798</v>
      </c>
      <c r="O984">
        <v>51.046075488503597</v>
      </c>
      <c r="P984">
        <v>-2.6962829885076998E-2</v>
      </c>
      <c r="Q984">
        <v>0.670361849059529</v>
      </c>
      <c r="R984">
        <v>0.89451877362893994</v>
      </c>
      <c r="S984" t="s">
        <v>7269</v>
      </c>
      <c r="T984" t="s">
        <v>12568</v>
      </c>
      <c r="U984" t="s">
        <v>12568</v>
      </c>
      <c r="V984" t="s">
        <v>12568</v>
      </c>
      <c r="W984" t="s">
        <v>13530</v>
      </c>
      <c r="X984">
        <v>19</v>
      </c>
      <c r="Y984" t="s">
        <v>19752</v>
      </c>
      <c r="Z984" t="s">
        <v>25854</v>
      </c>
      <c r="AA984">
        <v>0.80595242016456958</v>
      </c>
      <c r="AB984" t="str">
        <f>HYPERLINK("Melting_Curves/meltCurve_O15021_2_MAST4.pdf", "Melting_Curves/meltCurve_O15021_2_MAST4.pdf")</f>
        <v>Melting_Curves/meltCurve_O15021_2_MAST4.pdf</v>
      </c>
    </row>
    <row r="985" spans="1:28" x14ac:dyDescent="0.25">
      <c r="A985" t="s">
        <v>989</v>
      </c>
      <c r="B985">
        <v>0.99352677808782597</v>
      </c>
      <c r="C985">
        <v>0.95843370049620003</v>
      </c>
      <c r="D985">
        <v>0.88241050151404798</v>
      </c>
      <c r="E985">
        <v>0.73061613606207898</v>
      </c>
      <c r="F985">
        <v>0.70657401943123799</v>
      </c>
      <c r="G985">
        <v>0.54687051872636105</v>
      </c>
      <c r="H985">
        <v>0.48717167243239301</v>
      </c>
      <c r="I985">
        <v>0.46688629811793497</v>
      </c>
      <c r="J985">
        <v>0.46491693258254402</v>
      </c>
      <c r="K985">
        <v>0.33740736227822299</v>
      </c>
      <c r="L985">
        <v>503.20590554018298</v>
      </c>
      <c r="M985">
        <v>9.41392709603074</v>
      </c>
      <c r="N985">
        <v>60.2821373388987</v>
      </c>
      <c r="O985">
        <v>51.207797378116801</v>
      </c>
      <c r="P985">
        <v>-3.0909179398385798E-2</v>
      </c>
      <c r="Q985">
        <v>0.32787990831508601</v>
      </c>
      <c r="R985">
        <v>0.97977415737360796</v>
      </c>
      <c r="S985" t="s">
        <v>7270</v>
      </c>
      <c r="T985" t="s">
        <v>12568</v>
      </c>
      <c r="U985" t="s">
        <v>12568</v>
      </c>
      <c r="V985" t="s">
        <v>12568</v>
      </c>
      <c r="W985" t="s">
        <v>13531</v>
      </c>
      <c r="X985">
        <v>2</v>
      </c>
      <c r="Y985" t="s">
        <v>19753</v>
      </c>
      <c r="Z985" t="s">
        <v>25855</v>
      </c>
      <c r="AA985">
        <v>0.65212534681970025</v>
      </c>
      <c r="AB985" t="str">
        <f>HYPERLINK("Melting_Curves/meltCurve_O15031_PLXNB2.pdf", "Melting_Curves/meltCurve_O15031_PLXNB2.pdf")</f>
        <v>Melting_Curves/meltCurve_O15031_PLXNB2.pdf</v>
      </c>
    </row>
    <row r="986" spans="1:28" x14ac:dyDescent="0.25">
      <c r="A986" t="s">
        <v>990</v>
      </c>
      <c r="B986">
        <v>0.99352677808782597</v>
      </c>
      <c r="C986">
        <v>0.93896613901262205</v>
      </c>
      <c r="D986">
        <v>0.870126956591182</v>
      </c>
      <c r="E986">
        <v>0.32422269217135102</v>
      </c>
      <c r="F986">
        <v>0.286372133074074</v>
      </c>
      <c r="G986">
        <v>0.15807808303625701</v>
      </c>
      <c r="H986">
        <v>8.4920209530594898E-2</v>
      </c>
      <c r="I986">
        <v>8.3701972433972704E-2</v>
      </c>
      <c r="J986">
        <v>8.0315153878892903E-2</v>
      </c>
      <c r="K986">
        <v>7.81403754424536E-2</v>
      </c>
      <c r="L986">
        <v>1182.5609052397399</v>
      </c>
      <c r="M986">
        <v>24.3326455114616</v>
      </c>
      <c r="N986">
        <v>49.032123078272598</v>
      </c>
      <c r="O986">
        <v>48.275059472285498</v>
      </c>
      <c r="P986">
        <v>-0.113845530254472</v>
      </c>
      <c r="Q986">
        <v>9.6551972234062602E-2</v>
      </c>
      <c r="R986">
        <v>0.98596135997997203</v>
      </c>
      <c r="S986" t="s">
        <v>7271</v>
      </c>
      <c r="T986" t="s">
        <v>12568</v>
      </c>
      <c r="U986" t="s">
        <v>12568</v>
      </c>
      <c r="V986" t="s">
        <v>12568</v>
      </c>
      <c r="W986" t="s">
        <v>13532</v>
      </c>
      <c r="X986">
        <v>1</v>
      </c>
      <c r="Y986" t="s">
        <v>19754</v>
      </c>
      <c r="Z986" t="s">
        <v>25856</v>
      </c>
      <c r="AA986">
        <v>0.36398643075796322</v>
      </c>
      <c r="AB986" t="str">
        <f>HYPERLINK("Melting_Curves/meltCurve_O15037_KHNYN.pdf", "Melting_Curves/meltCurve_O15037_KHNYN.pdf")</f>
        <v>Melting_Curves/meltCurve_O15037_KHNYN.pdf</v>
      </c>
    </row>
    <row r="987" spans="1:28" x14ac:dyDescent="0.25">
      <c r="A987" t="s">
        <v>991</v>
      </c>
      <c r="B987">
        <v>0.99352677808782597</v>
      </c>
      <c r="C987">
        <v>1.00378021797943</v>
      </c>
      <c r="D987">
        <v>0.98842930476065904</v>
      </c>
      <c r="E987">
        <v>0.87137298568345001</v>
      </c>
      <c r="F987">
        <v>0.73262184027736799</v>
      </c>
      <c r="G987">
        <v>0.48423018825859998</v>
      </c>
      <c r="H987">
        <v>0.27006544233568902</v>
      </c>
      <c r="I987">
        <v>0.234585926197623</v>
      </c>
      <c r="J987">
        <v>0.169731180713487</v>
      </c>
      <c r="K987">
        <v>9.84660867775079E-2</v>
      </c>
      <c r="L987">
        <v>858.23045123519398</v>
      </c>
      <c r="M987">
        <v>15.307730379257601</v>
      </c>
      <c r="N987">
        <v>56.748731147711403</v>
      </c>
      <c r="O987">
        <v>55.134489456750501</v>
      </c>
      <c r="P987">
        <v>-6.3572796347519805E-2</v>
      </c>
      <c r="Q987">
        <v>8.4194303584489497E-2</v>
      </c>
      <c r="R987">
        <v>0.99765907390600095</v>
      </c>
      <c r="S987" t="s">
        <v>7272</v>
      </c>
      <c r="T987" t="s">
        <v>12568</v>
      </c>
      <c r="U987" t="s">
        <v>12568</v>
      </c>
      <c r="V987" t="s">
        <v>12568</v>
      </c>
      <c r="W987" t="s">
        <v>13533</v>
      </c>
      <c r="X987">
        <v>10</v>
      </c>
      <c r="Y987" t="s">
        <v>19755</v>
      </c>
      <c r="Z987" t="s">
        <v>25857</v>
      </c>
      <c r="AA987">
        <v>0.59048140173284835</v>
      </c>
      <c r="AB987" t="str">
        <f>HYPERLINK("Melting_Curves/meltCurve_O15040_TECPR2.pdf", "Melting_Curves/meltCurve_O15040_TECPR2.pdf")</f>
        <v>Melting_Curves/meltCurve_O15040_TECPR2.pdf</v>
      </c>
    </row>
    <row r="988" spans="1:28" x14ac:dyDescent="0.25">
      <c r="A988" t="s">
        <v>992</v>
      </c>
      <c r="B988">
        <v>0.99352677808782597</v>
      </c>
      <c r="C988">
        <v>0.85816651005786504</v>
      </c>
      <c r="D988">
        <v>0.55443446678487895</v>
      </c>
      <c r="E988">
        <v>0.29848489578061399</v>
      </c>
      <c r="F988">
        <v>0.23230878051617301</v>
      </c>
      <c r="G988">
        <v>0.15692550002710501</v>
      </c>
      <c r="H988">
        <v>0.108946454532085</v>
      </c>
      <c r="I988">
        <v>0.106695817898888</v>
      </c>
      <c r="J988">
        <v>9.4332921431052402E-2</v>
      </c>
      <c r="K988">
        <v>7.8387072457639498E-2</v>
      </c>
      <c r="L988">
        <v>833.29089419993204</v>
      </c>
      <c r="M988">
        <v>17.932032593482202</v>
      </c>
      <c r="N988">
        <v>47.072634797654601</v>
      </c>
      <c r="O988">
        <v>45.903061918431497</v>
      </c>
      <c r="P988">
        <v>-8.7641616292557706E-2</v>
      </c>
      <c r="Q988">
        <v>0.10265238666607999</v>
      </c>
      <c r="R988">
        <v>0.99349714341024398</v>
      </c>
      <c r="S988" t="s">
        <v>7273</v>
      </c>
      <c r="T988" t="s">
        <v>12568</v>
      </c>
      <c r="U988" t="s">
        <v>12568</v>
      </c>
      <c r="V988" t="s">
        <v>12568</v>
      </c>
      <c r="W988" t="s">
        <v>13534</v>
      </c>
      <c r="X988">
        <v>7</v>
      </c>
      <c r="Y988" t="s">
        <v>19756</v>
      </c>
      <c r="Z988" t="s">
        <v>25858</v>
      </c>
      <c r="AA988">
        <v>0.31335795384478432</v>
      </c>
      <c r="AB988" t="str">
        <f>HYPERLINK("Melting_Curves/meltCurve_O15047_SETD1A.pdf", "Melting_Curves/meltCurve_O15047_SETD1A.pdf")</f>
        <v>Melting_Curves/meltCurve_O15047_SETD1A.pdf</v>
      </c>
    </row>
    <row r="989" spans="1:28" x14ac:dyDescent="0.25">
      <c r="A989" t="s">
        <v>993</v>
      </c>
      <c r="B989">
        <v>0.99352677808782597</v>
      </c>
      <c r="C989">
        <v>0.96947996142817205</v>
      </c>
      <c r="D989">
        <v>0.920327670421483</v>
      </c>
      <c r="E989">
        <v>0.84783473351720495</v>
      </c>
      <c r="F989">
        <v>0.82414294218924999</v>
      </c>
      <c r="G989">
        <v>0.63420228999351802</v>
      </c>
      <c r="H989">
        <v>0.83066572641049496</v>
      </c>
      <c r="I989">
        <v>0.75993262175259502</v>
      </c>
      <c r="J989">
        <v>0.68128489654865898</v>
      </c>
      <c r="K989">
        <v>0.232886558431949</v>
      </c>
      <c r="L989">
        <v>394.03178277992703</v>
      </c>
      <c r="M989">
        <v>5.6801421856761598</v>
      </c>
      <c r="N989">
        <v>69.3700588379142</v>
      </c>
      <c r="O989">
        <v>62.209042148672999</v>
      </c>
      <c r="P989">
        <v>-2.2916613868567502E-2</v>
      </c>
      <c r="Q989">
        <v>0</v>
      </c>
      <c r="R989">
        <v>0.66496975845135697</v>
      </c>
      <c r="S989" t="s">
        <v>7274</v>
      </c>
      <c r="T989" t="s">
        <v>12568</v>
      </c>
      <c r="U989" t="s">
        <v>12568</v>
      </c>
      <c r="V989" t="s">
        <v>12568</v>
      </c>
      <c r="W989" t="s">
        <v>13535</v>
      </c>
      <c r="X989">
        <v>1</v>
      </c>
      <c r="Y989" t="s">
        <v>19757</v>
      </c>
      <c r="Z989" t="s">
        <v>25859</v>
      </c>
      <c r="AA989">
        <v>0.78614181863301569</v>
      </c>
      <c r="AB989" t="str">
        <f>HYPERLINK("Melting_Curves/meltCurve_O15054_KDM6B.pdf", "Melting_Curves/meltCurve_O15054_KDM6B.pdf")</f>
        <v>Melting_Curves/meltCurve_O15054_KDM6B.pdf</v>
      </c>
    </row>
    <row r="990" spans="1:28" x14ac:dyDescent="0.25">
      <c r="A990" t="s">
        <v>994</v>
      </c>
      <c r="B990">
        <v>0.99352677808782597</v>
      </c>
      <c r="C990">
        <v>0.96509932697730105</v>
      </c>
      <c r="D990">
        <v>0.88549982922443005</v>
      </c>
      <c r="E990">
        <v>0.44601238024969098</v>
      </c>
      <c r="F990">
        <v>0.37425346525855702</v>
      </c>
      <c r="G990">
        <v>0.29031288343608203</v>
      </c>
      <c r="H990">
        <v>0.25832682078602498</v>
      </c>
      <c r="I990">
        <v>0.25593552693397698</v>
      </c>
      <c r="J990">
        <v>0.23929666579806999</v>
      </c>
      <c r="K990">
        <v>0.21113103878292899</v>
      </c>
      <c r="L990">
        <v>1284.7615530758801</v>
      </c>
      <c r="M990">
        <v>26.477369973168798</v>
      </c>
      <c r="N990">
        <v>49.839273356397598</v>
      </c>
      <c r="O990">
        <v>48.248750593322796</v>
      </c>
      <c r="P990">
        <v>-0.102685404249216</v>
      </c>
      <c r="Q990">
        <v>0.25152846692820602</v>
      </c>
      <c r="R990">
        <v>0.99198110951529705</v>
      </c>
      <c r="S990" t="s">
        <v>7275</v>
      </c>
      <c r="T990" t="s">
        <v>12568</v>
      </c>
      <c r="U990" t="s">
        <v>12568</v>
      </c>
      <c r="V990" t="s">
        <v>12568</v>
      </c>
      <c r="W990" t="s">
        <v>13536</v>
      </c>
      <c r="X990">
        <v>14</v>
      </c>
      <c r="Y990" t="s">
        <v>19758</v>
      </c>
      <c r="Z990" t="s">
        <v>25860</v>
      </c>
      <c r="AA990">
        <v>0.47003964313430419</v>
      </c>
      <c r="AB990" t="str">
        <f>HYPERLINK("Melting_Curves/meltCurve_O15056_SYNJ2.pdf", "Melting_Curves/meltCurve_O15056_SYNJ2.pdf")</f>
        <v>Melting_Curves/meltCurve_O15056_SYNJ2.pdf</v>
      </c>
    </row>
    <row r="991" spans="1:28" x14ac:dyDescent="0.25">
      <c r="A991" t="s">
        <v>995</v>
      </c>
      <c r="B991">
        <v>0.99352677808782597</v>
      </c>
      <c r="C991">
        <v>0.96074730759583904</v>
      </c>
      <c r="D991">
        <v>1.0028013023156701</v>
      </c>
      <c r="E991">
        <v>0.928686296368329</v>
      </c>
      <c r="F991">
        <v>0.881431349912005</v>
      </c>
      <c r="G991">
        <v>0.76213675572471196</v>
      </c>
      <c r="H991">
        <v>0.71550223729036899</v>
      </c>
      <c r="I991">
        <v>0.758572975372518</v>
      </c>
      <c r="J991">
        <v>0.807566997164612</v>
      </c>
      <c r="K991">
        <v>0.724184055941543</v>
      </c>
      <c r="L991">
        <v>1381.13942324697</v>
      </c>
      <c r="M991">
        <v>26.279109522990801</v>
      </c>
      <c r="O991">
        <v>52.255041540542202</v>
      </c>
      <c r="P991">
        <v>-3.1694304273157899E-2</v>
      </c>
      <c r="Q991">
        <v>0.74791093557386101</v>
      </c>
      <c r="R991">
        <v>0.928282127068078</v>
      </c>
      <c r="S991" t="s">
        <v>7276</v>
      </c>
      <c r="T991" t="s">
        <v>12568</v>
      </c>
      <c r="U991" t="s">
        <v>12568</v>
      </c>
      <c r="V991" t="s">
        <v>12568</v>
      </c>
      <c r="W991" t="s">
        <v>13537</v>
      </c>
      <c r="X991">
        <v>23</v>
      </c>
      <c r="Y991" t="s">
        <v>19759</v>
      </c>
      <c r="Z991" t="s">
        <v>25861</v>
      </c>
      <c r="AA991">
        <v>0.8555258755097922</v>
      </c>
      <c r="AB991" t="str">
        <f>HYPERLINK("Melting_Curves/meltCurve_O15061_SYNM.pdf", "Melting_Curves/meltCurve_O15061_SYNM.pdf")</f>
        <v>Melting_Curves/meltCurve_O15061_SYNM.pdf</v>
      </c>
    </row>
    <row r="992" spans="1:28" x14ac:dyDescent="0.25">
      <c r="A992" t="s">
        <v>996</v>
      </c>
      <c r="B992">
        <v>0.99352677808782597</v>
      </c>
      <c r="C992">
        <v>0.88898695563138497</v>
      </c>
      <c r="D992">
        <v>0.60654437206112899</v>
      </c>
      <c r="E992">
        <v>0.29457885167009101</v>
      </c>
      <c r="F992">
        <v>0.25281441974854302</v>
      </c>
      <c r="G992">
        <v>0.16157900763066799</v>
      </c>
      <c r="H992">
        <v>0.112234134909865</v>
      </c>
      <c r="I992">
        <v>0.11348245991564999</v>
      </c>
      <c r="J992">
        <v>9.9479648055682698E-2</v>
      </c>
      <c r="K992">
        <v>8.5461058407526699E-2</v>
      </c>
      <c r="L992">
        <v>876.02004278883703</v>
      </c>
      <c r="M992">
        <v>18.704437309674798</v>
      </c>
      <c r="N992">
        <v>47.4577604233424</v>
      </c>
      <c r="O992">
        <v>46.309386957009899</v>
      </c>
      <c r="P992">
        <v>-8.9988903804767206E-2</v>
      </c>
      <c r="Q992">
        <v>0.108841569525578</v>
      </c>
      <c r="R992">
        <v>0.99373718651934095</v>
      </c>
      <c r="S992" t="s">
        <v>7277</v>
      </c>
      <c r="T992" t="s">
        <v>12568</v>
      </c>
      <c r="U992" t="s">
        <v>12568</v>
      </c>
      <c r="V992" t="s">
        <v>12568</v>
      </c>
      <c r="W992" t="s">
        <v>13538</v>
      </c>
      <c r="X992">
        <v>9</v>
      </c>
      <c r="Y992" t="s">
        <v>19760</v>
      </c>
      <c r="Z992" t="s">
        <v>25862</v>
      </c>
      <c r="AA992">
        <v>0.32711289997635012</v>
      </c>
      <c r="AB992" t="str">
        <f>HYPERLINK("Melting_Curves/meltCurve_O15066_KIF3B.pdf", "Melting_Curves/meltCurve_O15066_KIF3B.pdf")</f>
        <v>Melting_Curves/meltCurve_O15066_KIF3B.pdf</v>
      </c>
    </row>
    <row r="993" spans="1:28" x14ac:dyDescent="0.25">
      <c r="A993" t="s">
        <v>997</v>
      </c>
      <c r="B993">
        <v>0.99352677808782597</v>
      </c>
      <c r="C993">
        <v>1.01317409207785</v>
      </c>
      <c r="D993">
        <v>0.79775568938158803</v>
      </c>
      <c r="E993">
        <v>0.24773490395138101</v>
      </c>
      <c r="F993">
        <v>0.18840518525293501</v>
      </c>
      <c r="G993">
        <v>0.11456650606027199</v>
      </c>
      <c r="H993">
        <v>8.5300770100891904E-2</v>
      </c>
      <c r="I993">
        <v>7.8504112619378896E-2</v>
      </c>
      <c r="J993">
        <v>6.2829639466248297E-2</v>
      </c>
      <c r="K993">
        <v>5.3392977236760598E-2</v>
      </c>
      <c r="L993">
        <v>1507.4245693657001</v>
      </c>
      <c r="M993">
        <v>31.516376109668599</v>
      </c>
      <c r="N993">
        <v>48.117329038757099</v>
      </c>
      <c r="O993">
        <v>47.6385521271824</v>
      </c>
      <c r="P993">
        <v>-0.15120223705431901</v>
      </c>
      <c r="Q993">
        <v>8.5806434730437101E-2</v>
      </c>
      <c r="R993">
        <v>0.994519081536404</v>
      </c>
      <c r="S993" t="s">
        <v>7278</v>
      </c>
      <c r="T993" t="s">
        <v>12568</v>
      </c>
      <c r="U993" t="s">
        <v>12568</v>
      </c>
      <c r="V993" t="s">
        <v>12568</v>
      </c>
      <c r="W993" t="s">
        <v>13539</v>
      </c>
      <c r="X993">
        <v>48</v>
      </c>
      <c r="Y993" t="s">
        <v>19761</v>
      </c>
      <c r="Z993" t="s">
        <v>25863</v>
      </c>
      <c r="AA993">
        <v>0.32936348536519372</v>
      </c>
      <c r="AB993" t="str">
        <f>HYPERLINK("Melting_Curves/meltCurve_O15067_PFAS.pdf", "Melting_Curves/meltCurve_O15067_PFAS.pdf")</f>
        <v>Melting_Curves/meltCurve_O15067_PFAS.pdf</v>
      </c>
    </row>
    <row r="994" spans="1:28" x14ac:dyDescent="0.25">
      <c r="A994" t="s">
        <v>998</v>
      </c>
      <c r="B994">
        <v>0.99352677808782597</v>
      </c>
      <c r="C994">
        <v>0.91013931541705195</v>
      </c>
      <c r="D994">
        <v>0.81551921268602601</v>
      </c>
      <c r="E994">
        <v>0.70177700000106902</v>
      </c>
      <c r="F994">
        <v>0.49297912262337101</v>
      </c>
      <c r="G994">
        <v>0.24745957849245201</v>
      </c>
      <c r="H994">
        <v>0.10888671359643699</v>
      </c>
      <c r="I994">
        <v>0.105480723274145</v>
      </c>
      <c r="J994">
        <v>7.9430268821385305E-2</v>
      </c>
      <c r="K994">
        <v>5.1748597929367701E-2</v>
      </c>
      <c r="L994">
        <v>664.69538363917604</v>
      </c>
      <c r="M994">
        <v>12.644136084081699</v>
      </c>
      <c r="N994">
        <v>52.573991449351396</v>
      </c>
      <c r="O994">
        <v>51.306519623344798</v>
      </c>
      <c r="P994">
        <v>-6.1589423234628397E-2</v>
      </c>
      <c r="Q994">
        <v>5.42974102623754E-4</v>
      </c>
      <c r="R994">
        <v>0.99347583438475096</v>
      </c>
      <c r="S994" t="s">
        <v>7279</v>
      </c>
      <c r="T994" t="s">
        <v>12568</v>
      </c>
      <c r="U994" t="s">
        <v>12568</v>
      </c>
      <c r="V994" t="s">
        <v>12568</v>
      </c>
      <c r="W994" t="s">
        <v>13540</v>
      </c>
      <c r="X994">
        <v>3</v>
      </c>
      <c r="Y994" t="s">
        <v>19762</v>
      </c>
      <c r="Z994" t="s">
        <v>25864</v>
      </c>
      <c r="AA994">
        <v>0.44687247833317179</v>
      </c>
      <c r="AB994" t="str">
        <f>HYPERLINK("Melting_Curves/meltCurve_O15084_ANKRD28.pdf", "Melting_Curves/meltCurve_O15084_ANKRD28.pdf")</f>
        <v>Melting_Curves/meltCurve_O15084_ANKRD28.pdf</v>
      </c>
    </row>
    <row r="995" spans="1:28" x14ac:dyDescent="0.25">
      <c r="A995" t="s">
        <v>999</v>
      </c>
      <c r="B995">
        <v>0.99352677808782597</v>
      </c>
      <c r="C995">
        <v>0.998116575431374</v>
      </c>
      <c r="D995">
        <v>0.95689524518559899</v>
      </c>
      <c r="E995">
        <v>0.491312124032657</v>
      </c>
      <c r="F995">
        <v>0.39218976503367697</v>
      </c>
      <c r="G995">
        <v>0.23994775996355699</v>
      </c>
      <c r="H995">
        <v>0.16789741645839401</v>
      </c>
      <c r="I995">
        <v>0.150960593777546</v>
      </c>
      <c r="J995">
        <v>0.14275171018711499</v>
      </c>
      <c r="K995">
        <v>0.109434229359374</v>
      </c>
      <c r="L995">
        <v>1086.35760627337</v>
      </c>
      <c r="M995">
        <v>21.736155257298801</v>
      </c>
      <c r="N995">
        <v>50.793902776401097</v>
      </c>
      <c r="O995">
        <v>49.562027638044498</v>
      </c>
      <c r="P995">
        <v>-9.3508166465715706E-2</v>
      </c>
      <c r="Q995">
        <v>0.14716370245647201</v>
      </c>
      <c r="R995">
        <v>0.98615162667061396</v>
      </c>
      <c r="S995" t="s">
        <v>7280</v>
      </c>
      <c r="T995" t="s">
        <v>12568</v>
      </c>
      <c r="U995" t="s">
        <v>12568</v>
      </c>
      <c r="V995" t="s">
        <v>12568</v>
      </c>
      <c r="W995" t="s">
        <v>13541</v>
      </c>
      <c r="X995">
        <v>17</v>
      </c>
      <c r="Y995" t="s">
        <v>19763</v>
      </c>
      <c r="Z995" t="s">
        <v>25865</v>
      </c>
      <c r="AA995">
        <v>0.4409331598568238</v>
      </c>
      <c r="AB995" t="str">
        <f>HYPERLINK("Melting_Curves/meltCurve_O15085_2_ARHGEF11.pdf", "Melting_Curves/meltCurve_O15085_2_ARHGEF11.pdf")</f>
        <v>Melting_Curves/meltCurve_O15085_2_ARHGEF11.pdf</v>
      </c>
    </row>
    <row r="996" spans="1:28" x14ac:dyDescent="0.25">
      <c r="A996" t="s">
        <v>1000</v>
      </c>
      <c r="B996">
        <v>0.99352677808782597</v>
      </c>
      <c r="C996">
        <v>0.51496421616421295</v>
      </c>
      <c r="D996">
        <v>0.33096039054735998</v>
      </c>
      <c r="E996">
        <v>0.175476891104694</v>
      </c>
      <c r="F996">
        <v>0.14030898076891801</v>
      </c>
      <c r="G996">
        <v>6.8927391410098293E-2</v>
      </c>
      <c r="H996">
        <v>4.7005895204356801E-2</v>
      </c>
      <c r="I996">
        <v>4.6057431838905698E-2</v>
      </c>
      <c r="J996">
        <v>3.0181265282786199E-2</v>
      </c>
      <c r="K996">
        <v>2.6210045274856299E-2</v>
      </c>
      <c r="L996">
        <v>886.34522071975505</v>
      </c>
      <c r="M996">
        <v>20.305934759516401</v>
      </c>
      <c r="N996">
        <v>43.925208912167498</v>
      </c>
      <c r="O996">
        <v>43.232844454419499</v>
      </c>
      <c r="P996">
        <v>-0.11040105261524701</v>
      </c>
      <c r="Q996">
        <v>5.9820634464987602E-2</v>
      </c>
      <c r="R996">
        <v>0.96183585332614996</v>
      </c>
      <c r="S996" t="s">
        <v>7281</v>
      </c>
      <c r="T996" t="s">
        <v>12568</v>
      </c>
      <c r="U996" t="s">
        <v>12568</v>
      </c>
      <c r="V996" t="s">
        <v>12568</v>
      </c>
      <c r="W996" t="s">
        <v>13542</v>
      </c>
      <c r="X996">
        <v>5</v>
      </c>
      <c r="Y996" t="s">
        <v>19764</v>
      </c>
      <c r="Z996" t="s">
        <v>25866</v>
      </c>
      <c r="AA996">
        <v>0.19296756920018079</v>
      </c>
      <c r="AB996" t="str">
        <f>HYPERLINK("Melting_Curves/meltCurve_O15111_CHUK.pdf", "Melting_Curves/meltCurve_O15111_CHUK.pdf")</f>
        <v>Melting_Curves/meltCurve_O15111_CHUK.pdf</v>
      </c>
    </row>
    <row r="997" spans="1:28" x14ac:dyDescent="0.25">
      <c r="A997" t="s">
        <v>1001</v>
      </c>
      <c r="B997">
        <v>0.99352677808782597</v>
      </c>
      <c r="C997">
        <v>1.0436026439783599</v>
      </c>
      <c r="D997">
        <v>1.0603065184688001</v>
      </c>
      <c r="E997">
        <v>1.1762836005992701</v>
      </c>
      <c r="F997">
        <v>1.0421652110864601</v>
      </c>
      <c r="G997">
        <v>0.89602506421680606</v>
      </c>
      <c r="H997">
        <v>0.87672918275814404</v>
      </c>
      <c r="I997">
        <v>0.84822720712984301</v>
      </c>
      <c r="J997">
        <v>0.752841110428908</v>
      </c>
      <c r="K997">
        <v>0.41559954911469499</v>
      </c>
      <c r="L997">
        <v>1401.69999813866</v>
      </c>
      <c r="M997">
        <v>20.1746425830747</v>
      </c>
      <c r="N997">
        <v>69.478323581784494</v>
      </c>
      <c r="O997">
        <v>68.806479208746396</v>
      </c>
      <c r="P997">
        <v>-7.3304425463342093E-2</v>
      </c>
      <c r="Q997">
        <v>0</v>
      </c>
      <c r="R997">
        <v>0.85530070795020097</v>
      </c>
      <c r="S997" t="s">
        <v>7282</v>
      </c>
      <c r="T997" t="s">
        <v>12568</v>
      </c>
      <c r="U997" t="s">
        <v>12568</v>
      </c>
      <c r="V997" t="s">
        <v>12568</v>
      </c>
      <c r="W997" t="s">
        <v>13543</v>
      </c>
      <c r="X997">
        <v>4</v>
      </c>
      <c r="Y997" t="s">
        <v>19765</v>
      </c>
      <c r="Z997" t="s">
        <v>25867</v>
      </c>
      <c r="AA997">
        <v>0.91949737297932876</v>
      </c>
      <c r="AB997" t="str">
        <f>HYPERLINK("Melting_Curves/meltCurve_O15116_LSM1.pdf", "Melting_Curves/meltCurve_O15116_LSM1.pdf")</f>
        <v>Melting_Curves/meltCurve_O15116_LSM1.pdf</v>
      </c>
    </row>
    <row r="998" spans="1:28" x14ac:dyDescent="0.25">
      <c r="A998" t="s">
        <v>1002</v>
      </c>
      <c r="B998">
        <v>0.99352677808782597</v>
      </c>
      <c r="C998">
        <v>0.94635782680580405</v>
      </c>
      <c r="D998">
        <v>0.87400477521338604</v>
      </c>
      <c r="E998">
        <v>0.77262765314455595</v>
      </c>
      <c r="F998">
        <v>0.65500515254741698</v>
      </c>
      <c r="G998">
        <v>0.629160090459848</v>
      </c>
      <c r="H998">
        <v>0.52947595743400699</v>
      </c>
      <c r="I998">
        <v>0.579587805610707</v>
      </c>
      <c r="J998">
        <v>0.67913746857984103</v>
      </c>
      <c r="K998">
        <v>0.475629830987358</v>
      </c>
      <c r="L998">
        <v>698.96491885865305</v>
      </c>
      <c r="M998">
        <v>14.18306143079</v>
      </c>
      <c r="O998">
        <v>48.332999728863399</v>
      </c>
      <c r="P998">
        <v>-3.27477947560669E-2</v>
      </c>
      <c r="Q998">
        <v>0.55366474308918701</v>
      </c>
      <c r="R998">
        <v>0.91342081883750303</v>
      </c>
      <c r="S998" t="s">
        <v>7283</v>
      </c>
      <c r="T998" t="s">
        <v>12568</v>
      </c>
      <c r="U998" t="s">
        <v>12568</v>
      </c>
      <c r="V998" t="s">
        <v>12568</v>
      </c>
      <c r="W998" t="s">
        <v>13544</v>
      </c>
      <c r="X998">
        <v>2</v>
      </c>
      <c r="Y998" t="s">
        <v>19766</v>
      </c>
      <c r="Z998" t="s">
        <v>25868</v>
      </c>
      <c r="AA998">
        <v>0.70383520033895741</v>
      </c>
      <c r="AB998" t="str">
        <f>HYPERLINK("Melting_Curves/meltCurve_O15118_NPC1.pdf", "Melting_Curves/meltCurve_O15118_NPC1.pdf")</f>
        <v>Melting_Curves/meltCurve_O15118_NPC1.pdf</v>
      </c>
    </row>
    <row r="999" spans="1:28" x14ac:dyDescent="0.25">
      <c r="A999" t="s">
        <v>1003</v>
      </c>
      <c r="B999">
        <v>0.99352677808782597</v>
      </c>
      <c r="C999">
        <v>0.90642744607145798</v>
      </c>
      <c r="D999">
        <v>0.91142289326496995</v>
      </c>
      <c r="E999">
        <v>0.85352051380657201</v>
      </c>
      <c r="F999">
        <v>0.86637798604376803</v>
      </c>
      <c r="G999">
        <v>0.69734292267064701</v>
      </c>
      <c r="H999">
        <v>0.66759909991490896</v>
      </c>
      <c r="I999">
        <v>0.68098440419400696</v>
      </c>
      <c r="J999">
        <v>0.68013991069426705</v>
      </c>
      <c r="K999">
        <v>0.66707817681341397</v>
      </c>
      <c r="L999">
        <v>458.38324129327799</v>
      </c>
      <c r="M999">
        <v>8.7226667341413204</v>
      </c>
      <c r="O999">
        <v>50.008064157322799</v>
      </c>
      <c r="P999">
        <v>-1.6862981864719299E-2</v>
      </c>
      <c r="Q999">
        <v>0.61360595837476595</v>
      </c>
      <c r="R999">
        <v>0.92504617471112105</v>
      </c>
      <c r="S999" t="s">
        <v>7284</v>
      </c>
      <c r="T999" t="s">
        <v>12568</v>
      </c>
      <c r="U999" t="s">
        <v>12568</v>
      </c>
      <c r="V999" t="s">
        <v>12568</v>
      </c>
      <c r="W999" t="s">
        <v>13545</v>
      </c>
      <c r="X999">
        <v>4</v>
      </c>
      <c r="Y999" t="s">
        <v>19767</v>
      </c>
      <c r="Z999" t="s">
        <v>25869</v>
      </c>
      <c r="AA999">
        <v>0.79098301845197128</v>
      </c>
      <c r="AB999" t="str">
        <f>HYPERLINK("Melting_Curves/meltCurve_O15119_2_TBX3.pdf", "Melting_Curves/meltCurve_O15119_2_TBX3.pdf")</f>
        <v>Melting_Curves/meltCurve_O15119_2_TBX3.pdf</v>
      </c>
    </row>
    <row r="1000" spans="1:28" x14ac:dyDescent="0.25">
      <c r="A1000" t="s">
        <v>1004</v>
      </c>
      <c r="B1000">
        <v>0.99352677808782597</v>
      </c>
      <c r="C1000">
        <v>1.0399855151889901</v>
      </c>
      <c r="D1000">
        <v>0.92392730098028197</v>
      </c>
      <c r="E1000">
        <v>0.94831762235955197</v>
      </c>
      <c r="F1000">
        <v>0.818323192606495</v>
      </c>
      <c r="G1000">
        <v>0.72556114176883002</v>
      </c>
      <c r="H1000">
        <v>0.416536669913533</v>
      </c>
      <c r="I1000">
        <v>0.17559297558408099</v>
      </c>
      <c r="J1000">
        <v>0.136159857739339</v>
      </c>
      <c r="K1000">
        <v>0.117599865008505</v>
      </c>
      <c r="L1000">
        <v>964.97036868955104</v>
      </c>
      <c r="M1000">
        <v>16.238745255230601</v>
      </c>
      <c r="N1000">
        <v>59.4519355034559</v>
      </c>
      <c r="O1000">
        <v>58.544695698719202</v>
      </c>
      <c r="P1000">
        <v>-6.9084452757637596E-2</v>
      </c>
      <c r="Q1000">
        <v>3.8075099402850401E-3</v>
      </c>
      <c r="R1000">
        <v>0.98512667840409696</v>
      </c>
      <c r="S1000" t="s">
        <v>7285</v>
      </c>
      <c r="T1000" t="s">
        <v>12568</v>
      </c>
      <c r="U1000" t="s">
        <v>12568</v>
      </c>
      <c r="V1000" t="s">
        <v>12568</v>
      </c>
      <c r="W1000" t="s">
        <v>13546</v>
      </c>
      <c r="X1000">
        <v>16</v>
      </c>
      <c r="Y1000" t="s">
        <v>19768</v>
      </c>
      <c r="Z1000" t="s">
        <v>25870</v>
      </c>
      <c r="AA1000">
        <v>0.65828762472842162</v>
      </c>
      <c r="AB1000" t="str">
        <f>HYPERLINK("Melting_Curves/meltCurve_O15143_ARPC1B.pdf", "Melting_Curves/meltCurve_O15143_ARPC1B.pdf")</f>
        <v>Melting_Curves/meltCurve_O15143_ARPC1B.pdf</v>
      </c>
    </row>
    <row r="1001" spans="1:28" x14ac:dyDescent="0.25">
      <c r="A1001" t="s">
        <v>1005</v>
      </c>
      <c r="B1001">
        <v>0.99352677808782597</v>
      </c>
      <c r="C1001">
        <v>0.98059967673825899</v>
      </c>
      <c r="D1001">
        <v>0.85778071202856598</v>
      </c>
      <c r="E1001">
        <v>0.99094324790356803</v>
      </c>
      <c r="F1001">
        <v>0.800354650192309</v>
      </c>
      <c r="G1001">
        <v>0.69510526415521001</v>
      </c>
      <c r="H1001">
        <v>0.42452265145873702</v>
      </c>
      <c r="I1001">
        <v>0.147680276303783</v>
      </c>
      <c r="J1001">
        <v>9.5682307649418805E-2</v>
      </c>
      <c r="K1001">
        <v>7.3574638701306497E-2</v>
      </c>
      <c r="L1001">
        <v>1011.70895203594</v>
      </c>
      <c r="M1001">
        <v>17.107141259386601</v>
      </c>
      <c r="N1001">
        <v>59.139568944709701</v>
      </c>
      <c r="O1001">
        <v>58.3491920848181</v>
      </c>
      <c r="P1001">
        <v>-7.3300812043700606E-2</v>
      </c>
      <c r="Q1001">
        <v>0</v>
      </c>
      <c r="R1001">
        <v>0.97371718510625804</v>
      </c>
      <c r="S1001" t="s">
        <v>7286</v>
      </c>
      <c r="T1001" t="s">
        <v>12568</v>
      </c>
      <c r="U1001" t="s">
        <v>12568</v>
      </c>
      <c r="V1001" t="s">
        <v>12568</v>
      </c>
      <c r="W1001" t="s">
        <v>13547</v>
      </c>
      <c r="X1001">
        <v>23</v>
      </c>
      <c r="Y1001" t="s">
        <v>19769</v>
      </c>
      <c r="Z1001" t="s">
        <v>25871</v>
      </c>
      <c r="AA1001">
        <v>0.6483558282949583</v>
      </c>
      <c r="AB1001" t="str">
        <f>HYPERLINK("Melting_Curves/meltCurve_O15144_ARPC2.pdf", "Melting_Curves/meltCurve_O15144_ARPC2.pdf")</f>
        <v>Melting_Curves/meltCurve_O15144_ARPC2.pdf</v>
      </c>
    </row>
    <row r="1002" spans="1:28" x14ac:dyDescent="0.25">
      <c r="A1002" t="s">
        <v>1006</v>
      </c>
      <c r="B1002">
        <v>0.99352677808782597</v>
      </c>
      <c r="C1002">
        <v>1.0184966402709299</v>
      </c>
      <c r="D1002">
        <v>0.91492327097626902</v>
      </c>
      <c r="E1002">
        <v>0.92541946304055001</v>
      </c>
      <c r="F1002">
        <v>0.80856051160672004</v>
      </c>
      <c r="G1002">
        <v>0.59778622997568998</v>
      </c>
      <c r="H1002">
        <v>0.30882680904427301</v>
      </c>
      <c r="I1002">
        <v>0.17088246924082301</v>
      </c>
      <c r="J1002">
        <v>0.12529724415427901</v>
      </c>
      <c r="K1002">
        <v>9.8184862911958104E-2</v>
      </c>
      <c r="L1002">
        <v>929.04241295351903</v>
      </c>
      <c r="M1002">
        <v>16.0673024419009</v>
      </c>
      <c r="N1002">
        <v>58.010108148029602</v>
      </c>
      <c r="O1002">
        <v>56.948482837046498</v>
      </c>
      <c r="P1002">
        <v>-6.8748605965880893E-2</v>
      </c>
      <c r="Q1002">
        <v>2.5392895362084299E-2</v>
      </c>
      <c r="R1002">
        <v>0.99448370833780098</v>
      </c>
      <c r="S1002" t="s">
        <v>7287</v>
      </c>
      <c r="T1002" t="s">
        <v>12568</v>
      </c>
      <c r="U1002" t="s">
        <v>12568</v>
      </c>
      <c r="V1002" t="s">
        <v>12568</v>
      </c>
      <c r="W1002" t="s">
        <v>13548</v>
      </c>
      <c r="X1002">
        <v>10</v>
      </c>
      <c r="Y1002" t="s">
        <v>19770</v>
      </c>
      <c r="Z1002" t="s">
        <v>25872</v>
      </c>
      <c r="AA1002">
        <v>0.61758128104671361</v>
      </c>
      <c r="AB1002" t="str">
        <f>HYPERLINK("Melting_Curves/meltCurve_O15145_ARPC3.pdf", "Melting_Curves/meltCurve_O15145_ARPC3.pdf")</f>
        <v>Melting_Curves/meltCurve_O15145_ARPC3.pdf</v>
      </c>
    </row>
    <row r="1003" spans="1:28" x14ac:dyDescent="0.25">
      <c r="A1003" t="s">
        <v>1007</v>
      </c>
      <c r="B1003">
        <v>0.99352677808782597</v>
      </c>
      <c r="C1003">
        <v>0.894213506901258</v>
      </c>
      <c r="D1003">
        <v>0.67149945251630605</v>
      </c>
      <c r="E1003">
        <v>0.35797723612376497</v>
      </c>
      <c r="F1003">
        <v>0.29968650673089398</v>
      </c>
      <c r="G1003">
        <v>0.22849275375474301</v>
      </c>
      <c r="H1003">
        <v>0.178157460439402</v>
      </c>
      <c r="I1003">
        <v>0.167248259933474</v>
      </c>
      <c r="J1003">
        <v>0.160918058051847</v>
      </c>
      <c r="K1003">
        <v>0.15285609682663401</v>
      </c>
      <c r="L1003">
        <v>864.87051962225598</v>
      </c>
      <c r="M1003">
        <v>18.342861844280399</v>
      </c>
      <c r="N1003">
        <v>48.225744233941398</v>
      </c>
      <c r="O1003">
        <v>46.600564959426002</v>
      </c>
      <c r="P1003">
        <v>-8.1889691711297494E-2</v>
      </c>
      <c r="Q1003">
        <v>0.16786570155212599</v>
      </c>
      <c r="R1003">
        <v>0.99591417264618598</v>
      </c>
      <c r="S1003" t="s">
        <v>7288</v>
      </c>
      <c r="T1003" t="s">
        <v>12568</v>
      </c>
      <c r="U1003" t="s">
        <v>12568</v>
      </c>
      <c r="V1003" t="s">
        <v>12568</v>
      </c>
      <c r="W1003" t="s">
        <v>13549</v>
      </c>
      <c r="X1003">
        <v>5</v>
      </c>
      <c r="Y1003" t="s">
        <v>19771</v>
      </c>
      <c r="Z1003" t="s">
        <v>25873</v>
      </c>
      <c r="AA1003">
        <v>0.38083038437309358</v>
      </c>
      <c r="AB1003" t="str">
        <f>HYPERLINK("Melting_Curves/meltCurve_O15160_2_POLR1C.pdf", "Melting_Curves/meltCurve_O15160_2_POLR1C.pdf")</f>
        <v>Melting_Curves/meltCurve_O15160_2_POLR1C.pdf</v>
      </c>
    </row>
    <row r="1004" spans="1:28" x14ac:dyDescent="0.25">
      <c r="A1004" t="s">
        <v>1008</v>
      </c>
      <c r="B1004">
        <v>0.99352677808782597</v>
      </c>
      <c r="C1004">
        <v>0.90293833803984702</v>
      </c>
      <c r="D1004">
        <v>0.79757709705451196</v>
      </c>
      <c r="E1004">
        <v>0.57883280235356704</v>
      </c>
      <c r="F1004">
        <v>0.51472666238170794</v>
      </c>
      <c r="G1004">
        <v>0.32133328554895502</v>
      </c>
      <c r="H1004">
        <v>0.26134376831790801</v>
      </c>
      <c r="I1004">
        <v>0.23837374385120799</v>
      </c>
      <c r="J1004">
        <v>0.22832341532957001</v>
      </c>
      <c r="K1004">
        <v>0.188507104157355</v>
      </c>
      <c r="L1004">
        <v>594.88952937905901</v>
      </c>
      <c r="M1004">
        <v>11.7890450564998</v>
      </c>
      <c r="N1004">
        <v>52.316387883406499</v>
      </c>
      <c r="O1004">
        <v>49.074929880650402</v>
      </c>
      <c r="P1004">
        <v>-4.9809536419617599E-2</v>
      </c>
      <c r="Q1004">
        <v>0.170834108571462</v>
      </c>
      <c r="R1004">
        <v>0.99463693054233204</v>
      </c>
      <c r="S1004" t="s">
        <v>7289</v>
      </c>
      <c r="T1004" t="s">
        <v>12568</v>
      </c>
      <c r="U1004" t="s">
        <v>12568</v>
      </c>
      <c r="V1004" t="s">
        <v>12568</v>
      </c>
      <c r="W1004" t="s">
        <v>13550</v>
      </c>
      <c r="X1004">
        <v>13</v>
      </c>
      <c r="Y1004" t="s">
        <v>19772</v>
      </c>
      <c r="Z1004" t="s">
        <v>25874</v>
      </c>
      <c r="AA1004">
        <v>0.48865182996459638</v>
      </c>
      <c r="AB1004" t="str">
        <f>HYPERLINK("Melting_Curves/meltCurve_O15164_TRIM24.pdf", "Melting_Curves/meltCurve_O15164_TRIM24.pdf")</f>
        <v>Melting_Curves/meltCurve_O15164_TRIM24.pdf</v>
      </c>
    </row>
    <row r="1005" spans="1:28" x14ac:dyDescent="0.25">
      <c r="A1005" t="s">
        <v>1009</v>
      </c>
      <c r="B1005">
        <v>0.99352677808782597</v>
      </c>
      <c r="C1005">
        <v>1.0572776111698701</v>
      </c>
      <c r="D1005">
        <v>0.969703362821563</v>
      </c>
      <c r="E1005">
        <v>0.82876607273096503</v>
      </c>
      <c r="F1005">
        <v>0.75706459702690598</v>
      </c>
      <c r="G1005">
        <v>0.685805885875438</v>
      </c>
      <c r="H1005">
        <v>0.50867305858001899</v>
      </c>
      <c r="I1005">
        <v>0.51770448857538098</v>
      </c>
      <c r="J1005">
        <v>0.57405832512419896</v>
      </c>
      <c r="K1005">
        <v>0.49975653600690101</v>
      </c>
      <c r="L1005">
        <v>823.89384141167102</v>
      </c>
      <c r="M1005">
        <v>15.498182599196999</v>
      </c>
      <c r="O1005">
        <v>52.299189377883202</v>
      </c>
      <c r="P1005">
        <v>-3.6788150904006202E-2</v>
      </c>
      <c r="Q1005">
        <v>0.50347223571192401</v>
      </c>
      <c r="R1005">
        <v>0.96358409463679195</v>
      </c>
      <c r="S1005" t="s">
        <v>7290</v>
      </c>
      <c r="T1005" t="s">
        <v>12568</v>
      </c>
      <c r="U1005" t="s">
        <v>12568</v>
      </c>
      <c r="V1005" t="s">
        <v>12568</v>
      </c>
      <c r="W1005" t="s">
        <v>13551</v>
      </c>
      <c r="X1005">
        <v>2</v>
      </c>
      <c r="Y1005" t="s">
        <v>19773</v>
      </c>
      <c r="Z1005" t="s">
        <v>25875</v>
      </c>
      <c r="AA1005">
        <v>0.73143401682162168</v>
      </c>
      <c r="AB1005" t="str">
        <f>HYPERLINK("Melting_Curves/meltCurve_O15169_2_AXIN1.pdf", "Melting_Curves/meltCurve_O15169_2_AXIN1.pdf")</f>
        <v>Melting_Curves/meltCurve_O15169_2_AXIN1.pdf</v>
      </c>
    </row>
    <row r="1006" spans="1:28" x14ac:dyDescent="0.25">
      <c r="A1006" t="s">
        <v>1010</v>
      </c>
      <c r="B1006">
        <v>0.99352677808782597</v>
      </c>
      <c r="C1006">
        <v>0.93126701763549902</v>
      </c>
      <c r="D1006">
        <v>0.99611767047617905</v>
      </c>
      <c r="E1006">
        <v>0.95799980009281205</v>
      </c>
      <c r="F1006">
        <v>0.98562065805007804</v>
      </c>
      <c r="G1006">
        <v>1.03119950414405</v>
      </c>
      <c r="H1006">
        <v>0.84450729790242096</v>
      </c>
      <c r="I1006">
        <v>0.837614971123115</v>
      </c>
      <c r="J1006">
        <v>0.87566265050118797</v>
      </c>
      <c r="K1006">
        <v>0.87287931416883102</v>
      </c>
      <c r="L1006">
        <v>8332.4442214565097</v>
      </c>
      <c r="M1006">
        <v>140.963110805924</v>
      </c>
      <c r="O1006">
        <v>59.098934489212802</v>
      </c>
      <c r="P1006">
        <v>-8.5089054359274996E-2</v>
      </c>
      <c r="Q1006">
        <v>0.85730533267987996</v>
      </c>
      <c r="R1006">
        <v>0.79886419636121697</v>
      </c>
      <c r="S1006" t="s">
        <v>7291</v>
      </c>
      <c r="T1006" t="s">
        <v>12568</v>
      </c>
      <c r="U1006" t="s">
        <v>12568</v>
      </c>
      <c r="V1006" t="s">
        <v>12568</v>
      </c>
      <c r="W1006" t="s">
        <v>13552</v>
      </c>
      <c r="X1006">
        <v>2</v>
      </c>
      <c r="Y1006" t="s">
        <v>19774</v>
      </c>
      <c r="Z1006" t="s">
        <v>25876</v>
      </c>
      <c r="AA1006">
        <v>0.9482522900260425</v>
      </c>
      <c r="AB1006" t="str">
        <f>HYPERLINK("Melting_Curves/meltCurve_O15173_PGRMC2.pdf", "Melting_Curves/meltCurve_O15173_PGRMC2.pdf")</f>
        <v>Melting_Curves/meltCurve_O15173_PGRMC2.pdf</v>
      </c>
    </row>
    <row r="1007" spans="1:28" x14ac:dyDescent="0.25">
      <c r="A1007" t="s">
        <v>1011</v>
      </c>
      <c r="B1007">
        <v>0.99352677808782597</v>
      </c>
      <c r="C1007">
        <v>1.0387685988765301</v>
      </c>
      <c r="D1007">
        <v>0.95486225713435202</v>
      </c>
      <c r="E1007">
        <v>0.98950068609410002</v>
      </c>
      <c r="F1007">
        <v>0.83902065777828505</v>
      </c>
      <c r="G1007">
        <v>0.74487635824425802</v>
      </c>
      <c r="H1007">
        <v>0.73394773393205404</v>
      </c>
      <c r="I1007">
        <v>0.56385742273992601</v>
      </c>
      <c r="J1007">
        <v>0.64943148869874401</v>
      </c>
      <c r="K1007">
        <v>0.63525079633644399</v>
      </c>
      <c r="L1007">
        <v>1004.21834259866</v>
      </c>
      <c r="M1007">
        <v>18.2767225982947</v>
      </c>
      <c r="O1007">
        <v>54.300108079551897</v>
      </c>
      <c r="P1007">
        <v>-3.2195196642494303E-2</v>
      </c>
      <c r="Q1007">
        <v>0.61741039464716296</v>
      </c>
      <c r="R1007">
        <v>0.93756919192603605</v>
      </c>
      <c r="S1007" t="s">
        <v>7292</v>
      </c>
      <c r="T1007" t="s">
        <v>12568</v>
      </c>
      <c r="U1007" t="s">
        <v>12568</v>
      </c>
      <c r="V1007" t="s">
        <v>12568</v>
      </c>
      <c r="W1007" t="s">
        <v>13553</v>
      </c>
      <c r="X1007">
        <v>15</v>
      </c>
      <c r="Y1007" t="s">
        <v>19775</v>
      </c>
      <c r="Z1007" t="s">
        <v>25877</v>
      </c>
      <c r="AA1007">
        <v>0.81381561370719546</v>
      </c>
      <c r="AB1007" t="str">
        <f>HYPERLINK("Melting_Curves/meltCurve_O15212_PFDN6.pdf", "Melting_Curves/meltCurve_O15212_PFDN6.pdf")</f>
        <v>Melting_Curves/meltCurve_O15212_PFDN6.pdf</v>
      </c>
    </row>
    <row r="1008" spans="1:28" x14ac:dyDescent="0.25">
      <c r="A1008" t="s">
        <v>1012</v>
      </c>
      <c r="B1008">
        <v>0.99352677808782597</v>
      </c>
      <c r="C1008">
        <v>0.955412892024608</v>
      </c>
      <c r="D1008">
        <v>1.0808239165709199</v>
      </c>
      <c r="E1008">
        <v>0.76125119312878997</v>
      </c>
      <c r="F1008">
        <v>0.72959333939641402</v>
      </c>
      <c r="G1008">
        <v>0.58747609548184698</v>
      </c>
      <c r="H1008">
        <v>0.54407073509711601</v>
      </c>
      <c r="I1008">
        <v>0.58915356857259005</v>
      </c>
      <c r="J1008">
        <v>0.56037455188906005</v>
      </c>
      <c r="K1008">
        <v>0.416263189520029</v>
      </c>
      <c r="L1008">
        <v>1013.03092968184</v>
      </c>
      <c r="M1008">
        <v>19.600759063024</v>
      </c>
      <c r="O1008">
        <v>51.154303124101197</v>
      </c>
      <c r="P1008">
        <v>-4.6210511369678402E-2</v>
      </c>
      <c r="Q1008">
        <v>0.51761394916202297</v>
      </c>
      <c r="R1008">
        <v>0.91459972499726705</v>
      </c>
      <c r="S1008" t="s">
        <v>7293</v>
      </c>
      <c r="T1008" t="s">
        <v>12568</v>
      </c>
      <c r="U1008" t="s">
        <v>12568</v>
      </c>
      <c r="V1008" t="s">
        <v>12568</v>
      </c>
      <c r="W1008" t="s">
        <v>13554</v>
      </c>
      <c r="X1008">
        <v>4</v>
      </c>
      <c r="Y1008" t="s">
        <v>19776</v>
      </c>
      <c r="Z1008" t="s">
        <v>25878</v>
      </c>
      <c r="AA1008">
        <v>0.71240722045015026</v>
      </c>
      <c r="AB1008" t="str">
        <f>HYPERLINK("Melting_Curves/meltCurve_O15226_NKRF.pdf", "Melting_Curves/meltCurve_O15226_NKRF.pdf")</f>
        <v>Melting_Curves/meltCurve_O15226_NKRF.pdf</v>
      </c>
    </row>
    <row r="1009" spans="1:28" x14ac:dyDescent="0.25">
      <c r="A1009" t="s">
        <v>1013</v>
      </c>
      <c r="B1009">
        <v>0.99352677808782597</v>
      </c>
      <c r="C1009">
        <v>0.96124458804999302</v>
      </c>
      <c r="D1009">
        <v>0.89571736061584994</v>
      </c>
      <c r="E1009">
        <v>0.73526656202017804</v>
      </c>
      <c r="F1009">
        <v>0.71713514170544601</v>
      </c>
      <c r="G1009">
        <v>0.53614061661250501</v>
      </c>
      <c r="H1009">
        <v>0.54312445637712403</v>
      </c>
      <c r="I1009">
        <v>0.494162949017043</v>
      </c>
      <c r="J1009">
        <v>0.46456947148273597</v>
      </c>
      <c r="K1009">
        <v>0.35569887050510102</v>
      </c>
      <c r="L1009">
        <v>499.014495985753</v>
      </c>
      <c r="M1009">
        <v>9.3195303402842402</v>
      </c>
      <c r="N1009">
        <v>61.366030954896303</v>
      </c>
      <c r="O1009">
        <v>51.253037853104203</v>
      </c>
      <c r="P1009">
        <v>-2.9678312323978901E-2</v>
      </c>
      <c r="Q1009">
        <v>0.34754819441270302</v>
      </c>
      <c r="R1009">
        <v>0.97282474145153397</v>
      </c>
      <c r="S1009" t="s">
        <v>7294</v>
      </c>
      <c r="T1009" t="s">
        <v>12568</v>
      </c>
      <c r="U1009" t="s">
        <v>12568</v>
      </c>
      <c r="V1009" t="s">
        <v>12568</v>
      </c>
      <c r="W1009" t="s">
        <v>13555</v>
      </c>
      <c r="X1009">
        <v>19</v>
      </c>
      <c r="Y1009" t="s">
        <v>19777</v>
      </c>
      <c r="Z1009" t="s">
        <v>25879</v>
      </c>
      <c r="AA1009">
        <v>0.66417824590561481</v>
      </c>
      <c r="AB1009" t="str">
        <f>HYPERLINK("Melting_Curves/meltCurve_O15230_LAMA5.pdf", "Melting_Curves/meltCurve_O15230_LAMA5.pdf")</f>
        <v>Melting_Curves/meltCurve_O15230_LAMA5.pdf</v>
      </c>
    </row>
    <row r="1010" spans="1:28" x14ac:dyDescent="0.25">
      <c r="A1010" t="s">
        <v>1014</v>
      </c>
      <c r="B1010">
        <v>0.99352677808782597</v>
      </c>
      <c r="C1010">
        <v>0.97042813583810705</v>
      </c>
      <c r="D1010">
        <v>1.00527840363853</v>
      </c>
      <c r="E1010">
        <v>0.96634525667733995</v>
      </c>
      <c r="F1010">
        <v>0.86688899027722099</v>
      </c>
      <c r="G1010">
        <v>0.82237773166207395</v>
      </c>
      <c r="H1010">
        <v>0.73999966593400401</v>
      </c>
      <c r="I1010">
        <v>0.78695787526208405</v>
      </c>
      <c r="J1010">
        <v>0.81581628169435805</v>
      </c>
      <c r="K1010">
        <v>0.73205556146557504</v>
      </c>
      <c r="L1010">
        <v>1393.16475989129</v>
      </c>
      <c r="M1010">
        <v>26.3775024131618</v>
      </c>
      <c r="O1010">
        <v>52.515638783700602</v>
      </c>
      <c r="P1010">
        <v>-2.8854029723707899E-2</v>
      </c>
      <c r="Q1010">
        <v>0.77021762331077703</v>
      </c>
      <c r="R1010">
        <v>0.93259189924772001</v>
      </c>
      <c r="S1010" t="s">
        <v>7295</v>
      </c>
      <c r="T1010" t="s">
        <v>12568</v>
      </c>
      <c r="U1010" t="s">
        <v>12568</v>
      </c>
      <c r="V1010" t="s">
        <v>12568</v>
      </c>
      <c r="W1010" t="s">
        <v>13556</v>
      </c>
      <c r="X1010">
        <v>32</v>
      </c>
      <c r="Y1010" t="s">
        <v>19778</v>
      </c>
      <c r="Z1010" t="s">
        <v>25880</v>
      </c>
      <c r="AA1010">
        <v>0.87029172567180313</v>
      </c>
      <c r="AB1010" t="str">
        <f>HYPERLINK("Melting_Curves/meltCurve_O15231_ZNF185.pdf", "Melting_Curves/meltCurve_O15231_ZNF185.pdf")</f>
        <v>Melting_Curves/meltCurve_O15231_ZNF185.pdf</v>
      </c>
    </row>
    <row r="1011" spans="1:28" x14ac:dyDescent="0.25">
      <c r="A1011" t="s">
        <v>1015</v>
      </c>
      <c r="B1011">
        <v>0.99352677808782597</v>
      </c>
      <c r="C1011">
        <v>0.96848789714447003</v>
      </c>
      <c r="D1011">
        <v>1.08535278864208</v>
      </c>
      <c r="E1011">
        <v>0.95205916050649297</v>
      </c>
      <c r="F1011">
        <v>0.87861143820966603</v>
      </c>
      <c r="G1011">
        <v>0.90544355183160896</v>
      </c>
      <c r="H1011">
        <v>1.00379909043337</v>
      </c>
      <c r="I1011">
        <v>1.0262902466364501</v>
      </c>
      <c r="J1011">
        <v>1.0585132576949601</v>
      </c>
      <c r="K1011">
        <v>0.86044559520720398</v>
      </c>
      <c r="L1011">
        <v>15000</v>
      </c>
      <c r="M1011">
        <v>212.46667360623999</v>
      </c>
      <c r="Q1011">
        <v>0</v>
      </c>
      <c r="R1011">
        <v>0.24278346845947801</v>
      </c>
      <c r="S1011" t="s">
        <v>7296</v>
      </c>
      <c r="T1011" t="s">
        <v>12568</v>
      </c>
      <c r="U1011" t="s">
        <v>12568</v>
      </c>
      <c r="V1011" t="s">
        <v>12568</v>
      </c>
      <c r="W1011" t="s">
        <v>13557</v>
      </c>
      <c r="X1011">
        <v>22</v>
      </c>
      <c r="Y1011" t="s">
        <v>19778</v>
      </c>
      <c r="Z1011" t="s">
        <v>25881</v>
      </c>
      <c r="AA1011">
        <v>0.99837905105564606</v>
      </c>
      <c r="AB1011" t="str">
        <f>HYPERLINK("Melting_Curves/meltCurve_O15231_2_ZNF185.pdf", "Melting_Curves/meltCurve_O15231_2_ZNF185.pdf")</f>
        <v>Melting_Curves/meltCurve_O15231_2_ZNF185.pdf</v>
      </c>
    </row>
    <row r="1012" spans="1:28" x14ac:dyDescent="0.25">
      <c r="A1012" t="s">
        <v>1016</v>
      </c>
      <c r="B1012">
        <v>0.99352677808782597</v>
      </c>
      <c r="C1012">
        <v>0.94858817316739796</v>
      </c>
      <c r="D1012">
        <v>0.90753687853143905</v>
      </c>
      <c r="E1012">
        <v>0.81356495252824101</v>
      </c>
      <c r="F1012">
        <v>0.73618740592098297</v>
      </c>
      <c r="G1012">
        <v>0.62864278393334205</v>
      </c>
      <c r="H1012">
        <v>0.46787321786426</v>
      </c>
      <c r="I1012">
        <v>0.53370170733196198</v>
      </c>
      <c r="J1012">
        <v>0.54900379274974498</v>
      </c>
      <c r="K1012">
        <v>0.53595238008747204</v>
      </c>
      <c r="L1012">
        <v>702.54349883829002</v>
      </c>
      <c r="M1012">
        <v>13.5589977053246</v>
      </c>
      <c r="O1012">
        <v>50.725738266741999</v>
      </c>
      <c r="P1012">
        <v>-3.3568539877283497E-2</v>
      </c>
      <c r="Q1012">
        <v>0.49774054532855599</v>
      </c>
      <c r="R1012">
        <v>0.96818222896159201</v>
      </c>
      <c r="S1012" t="s">
        <v>7297</v>
      </c>
      <c r="T1012" t="s">
        <v>12568</v>
      </c>
      <c r="U1012" t="s">
        <v>12568</v>
      </c>
      <c r="V1012" t="s">
        <v>12568</v>
      </c>
      <c r="W1012" t="s">
        <v>13558</v>
      </c>
      <c r="X1012">
        <v>31</v>
      </c>
      <c r="Y1012" t="s">
        <v>19778</v>
      </c>
      <c r="Z1012" t="s">
        <v>25882</v>
      </c>
      <c r="AA1012">
        <v>0.70867629786522268</v>
      </c>
      <c r="AB1012" t="str">
        <f>HYPERLINK("Melting_Curves/meltCurve_O15231_3_ZNF185.pdf", "Melting_Curves/meltCurve_O15231_3_ZNF185.pdf")</f>
        <v>Melting_Curves/meltCurve_O15231_3_ZNF185.pdf</v>
      </c>
    </row>
    <row r="1013" spans="1:28" x14ac:dyDescent="0.25">
      <c r="A1013" t="s">
        <v>1017</v>
      </c>
      <c r="B1013">
        <v>0.99352677808782597</v>
      </c>
      <c r="C1013">
        <v>0.94779216634272101</v>
      </c>
      <c r="D1013">
        <v>0.98134088580849799</v>
      </c>
      <c r="E1013">
        <v>0.98991977680107901</v>
      </c>
      <c r="F1013">
        <v>0.98443740253509704</v>
      </c>
      <c r="G1013">
        <v>0.92141896102791698</v>
      </c>
      <c r="H1013">
        <v>0.91124247254590895</v>
      </c>
      <c r="I1013">
        <v>0.97873144992994499</v>
      </c>
      <c r="J1013">
        <v>0.93518602183502997</v>
      </c>
      <c r="K1013">
        <v>0.80289641951631996</v>
      </c>
      <c r="L1013">
        <v>468.24163343249302</v>
      </c>
      <c r="M1013">
        <v>4.92383633089048</v>
      </c>
      <c r="Q1013">
        <v>0</v>
      </c>
      <c r="R1013">
        <v>0.53468981281083905</v>
      </c>
      <c r="S1013" t="s">
        <v>7298</v>
      </c>
      <c r="T1013" t="s">
        <v>12568</v>
      </c>
      <c r="U1013" t="s">
        <v>12568</v>
      </c>
      <c r="V1013" t="s">
        <v>12568</v>
      </c>
      <c r="W1013" t="s">
        <v>13559</v>
      </c>
      <c r="X1013">
        <v>13</v>
      </c>
      <c r="Y1013" t="s">
        <v>19779</v>
      </c>
      <c r="Z1013" t="s">
        <v>25883</v>
      </c>
      <c r="AA1013">
        <v>0.95710094182242611</v>
      </c>
      <c r="AB1013" t="str">
        <f>HYPERLINK("Melting_Curves/meltCurve_O15234_CASC3.pdf", "Melting_Curves/meltCurve_O15234_CASC3.pdf")</f>
        <v>Melting_Curves/meltCurve_O15234_CASC3.pdf</v>
      </c>
    </row>
    <row r="1014" spans="1:28" x14ac:dyDescent="0.25">
      <c r="A1014" t="s">
        <v>1018</v>
      </c>
      <c r="B1014">
        <v>0.99352677808782597</v>
      </c>
      <c r="C1014">
        <v>0.68151509989418901</v>
      </c>
      <c r="D1014">
        <v>0.58201088938243295</v>
      </c>
      <c r="E1014">
        <v>0.328943721761569</v>
      </c>
      <c r="F1014">
        <v>0.29350310199889701</v>
      </c>
      <c r="G1014">
        <v>0.180822382342684</v>
      </c>
      <c r="H1014">
        <v>0.132755763865127</v>
      </c>
      <c r="I1014">
        <v>0.13943639536364399</v>
      </c>
      <c r="J1014">
        <v>9.7182208124441699E-2</v>
      </c>
      <c r="K1014">
        <v>7.0999189883412306E-2</v>
      </c>
      <c r="L1014">
        <v>578.68620653936398</v>
      </c>
      <c r="M1014">
        <v>12.464366089063301</v>
      </c>
      <c r="N1014">
        <v>47.173695799055999</v>
      </c>
      <c r="O1014">
        <v>45.280779244239</v>
      </c>
      <c r="P1014">
        <v>-6.2671081968762601E-2</v>
      </c>
      <c r="Q1014">
        <v>8.9498587231985893E-2</v>
      </c>
      <c r="R1014">
        <v>0.97527438677760903</v>
      </c>
      <c r="S1014" t="s">
        <v>7299</v>
      </c>
      <c r="T1014" t="s">
        <v>12568</v>
      </c>
      <c r="U1014" t="s">
        <v>12568</v>
      </c>
      <c r="V1014" t="s">
        <v>12568</v>
      </c>
      <c r="W1014" t="s">
        <v>13560</v>
      </c>
      <c r="X1014">
        <v>2</v>
      </c>
      <c r="Y1014" t="s">
        <v>19780</v>
      </c>
      <c r="Z1014" t="s">
        <v>25884</v>
      </c>
      <c r="AA1014">
        <v>0.3217913742410789</v>
      </c>
      <c r="AB1014" t="str">
        <f>HYPERLINK("Melting_Curves/meltCurve_O15287_FANCG.pdf", "Melting_Curves/meltCurve_O15287_FANCG.pdf")</f>
        <v>Melting_Curves/meltCurve_O15287_FANCG.pdf</v>
      </c>
    </row>
    <row r="1015" spans="1:28" x14ac:dyDescent="0.25">
      <c r="A1015" t="s">
        <v>1019</v>
      </c>
      <c r="B1015">
        <v>0.99352677808782597</v>
      </c>
      <c r="C1015">
        <v>1.0169253498765101</v>
      </c>
      <c r="D1015">
        <v>0.85486817908586199</v>
      </c>
      <c r="E1015">
        <v>0.26793347562855102</v>
      </c>
      <c r="F1015">
        <v>0.19747981361209499</v>
      </c>
      <c r="G1015">
        <v>0.12388806142730199</v>
      </c>
      <c r="H1015">
        <v>0.104881645475605</v>
      </c>
      <c r="I1015">
        <v>9.8117304175568701E-2</v>
      </c>
      <c r="J1015">
        <v>8.5391742052951705E-2</v>
      </c>
      <c r="K1015">
        <v>8.4617843242523194E-2</v>
      </c>
      <c r="L1015">
        <v>1713.46581086887</v>
      </c>
      <c r="M1015">
        <v>35.647096187366103</v>
      </c>
      <c r="N1015">
        <v>48.394973109219897</v>
      </c>
      <c r="O1015">
        <v>47.916953020214599</v>
      </c>
      <c r="P1015">
        <v>-0.16605229258863899</v>
      </c>
      <c r="Q1015">
        <v>0.107170605745502</v>
      </c>
      <c r="R1015">
        <v>0.99585578890815496</v>
      </c>
      <c r="S1015" t="s">
        <v>7300</v>
      </c>
      <c r="T1015" t="s">
        <v>12568</v>
      </c>
      <c r="U1015" t="s">
        <v>12568</v>
      </c>
      <c r="V1015" t="s">
        <v>12568</v>
      </c>
      <c r="W1015" t="s">
        <v>13561</v>
      </c>
      <c r="X1015">
        <v>19</v>
      </c>
      <c r="Y1015" t="s">
        <v>19781</v>
      </c>
      <c r="Z1015" t="s">
        <v>25885</v>
      </c>
      <c r="AA1015">
        <v>0.35103016566863982</v>
      </c>
      <c r="AB1015" t="str">
        <f>HYPERLINK("Melting_Curves/meltCurve_O15294_OGT.pdf", "Melting_Curves/meltCurve_O15294_OGT.pdf")</f>
        <v>Melting_Curves/meltCurve_O15294_OGT.pdf</v>
      </c>
    </row>
    <row r="1016" spans="1:28" x14ac:dyDescent="0.25">
      <c r="A1016" t="s">
        <v>1020</v>
      </c>
      <c r="B1016">
        <v>0.99352677808782597</v>
      </c>
      <c r="C1016">
        <v>0.74476818937452205</v>
      </c>
      <c r="D1016">
        <v>0.91586992939260203</v>
      </c>
      <c r="E1016">
        <v>0.47822117033748401</v>
      </c>
      <c r="F1016">
        <v>0.40237082440270799</v>
      </c>
      <c r="G1016">
        <v>0.16566891137842699</v>
      </c>
      <c r="H1016">
        <v>0.106126294466953</v>
      </c>
      <c r="I1016">
        <v>8.1563978176761795E-2</v>
      </c>
      <c r="J1016">
        <v>7.1717486696553798E-2</v>
      </c>
      <c r="K1016">
        <v>5.6496448928785102E-2</v>
      </c>
      <c r="L1016">
        <v>653.807030881061</v>
      </c>
      <c r="M1016">
        <v>12.970881514265299</v>
      </c>
      <c r="N1016">
        <v>50.581723389164999</v>
      </c>
      <c r="O1016">
        <v>49.2527811892801</v>
      </c>
      <c r="P1016">
        <v>-6.4397339873913301E-2</v>
      </c>
      <c r="Q1016">
        <v>2.2061095552747999E-2</v>
      </c>
      <c r="R1016">
        <v>0.95682946007403502</v>
      </c>
      <c r="S1016" t="s">
        <v>7301</v>
      </c>
      <c r="T1016" t="s">
        <v>12568</v>
      </c>
      <c r="U1016" t="s">
        <v>12568</v>
      </c>
      <c r="V1016" t="s">
        <v>12568</v>
      </c>
      <c r="W1016" t="s">
        <v>13562</v>
      </c>
      <c r="X1016">
        <v>16</v>
      </c>
      <c r="Y1016" t="s">
        <v>19782</v>
      </c>
      <c r="Z1016" t="s">
        <v>25886</v>
      </c>
      <c r="AA1016">
        <v>0.39056393763914871</v>
      </c>
      <c r="AB1016" t="str">
        <f>HYPERLINK("Melting_Curves/meltCurve_O15305_PMM2.pdf", "Melting_Curves/meltCurve_O15305_PMM2.pdf")</f>
        <v>Melting_Curves/meltCurve_O15305_PMM2.pdf</v>
      </c>
    </row>
    <row r="1017" spans="1:28" x14ac:dyDescent="0.25">
      <c r="A1017" t="s">
        <v>1021</v>
      </c>
      <c r="B1017">
        <v>0.99352677808782597</v>
      </c>
      <c r="C1017">
        <v>0.97041038108767996</v>
      </c>
      <c r="D1017">
        <v>0.96518292407664397</v>
      </c>
      <c r="E1017">
        <v>0.50544028002170305</v>
      </c>
      <c r="F1017">
        <v>0.38876498408809901</v>
      </c>
      <c r="G1017">
        <v>0.24053096077507499</v>
      </c>
      <c r="H1017">
        <v>0.171328027091465</v>
      </c>
      <c r="I1017">
        <v>0.15796019668910299</v>
      </c>
      <c r="J1017">
        <v>0.136033855425992</v>
      </c>
      <c r="K1017">
        <v>0.112422407037034</v>
      </c>
      <c r="L1017">
        <v>1078.464716537</v>
      </c>
      <c r="M1017">
        <v>21.541736886459699</v>
      </c>
      <c r="N1017">
        <v>50.884638184074298</v>
      </c>
      <c r="O1017">
        <v>49.638519050557001</v>
      </c>
      <c r="P1017">
        <v>-9.2573777808174801E-2</v>
      </c>
      <c r="Q1017">
        <v>0.146751487581021</v>
      </c>
      <c r="R1017">
        <v>0.98724131683258198</v>
      </c>
      <c r="S1017" t="s">
        <v>7302</v>
      </c>
      <c r="T1017" t="s">
        <v>12568</v>
      </c>
      <c r="U1017" t="s">
        <v>12568</v>
      </c>
      <c r="V1017" t="s">
        <v>12568</v>
      </c>
      <c r="W1017" t="s">
        <v>13563</v>
      </c>
      <c r="X1017">
        <v>19</v>
      </c>
      <c r="Y1017" t="s">
        <v>19783</v>
      </c>
      <c r="Z1017" t="s">
        <v>25887</v>
      </c>
      <c r="AA1017">
        <v>0.44325372442786848</v>
      </c>
      <c r="AB1017" t="str">
        <f>HYPERLINK("Melting_Curves/meltCurve_O15327_INPP4B.pdf", "Melting_Curves/meltCurve_O15327_INPP4B.pdf")</f>
        <v>Melting_Curves/meltCurve_O15327_INPP4B.pdf</v>
      </c>
    </row>
    <row r="1018" spans="1:28" x14ac:dyDescent="0.25">
      <c r="A1018" t="s">
        <v>1022</v>
      </c>
      <c r="B1018">
        <v>0.99352677808782597</v>
      </c>
      <c r="C1018">
        <v>0.94428764102440998</v>
      </c>
      <c r="D1018">
        <v>0.93422282596821604</v>
      </c>
      <c r="E1018">
        <v>0.33017291828058298</v>
      </c>
      <c r="F1018">
        <v>0.25447379868867898</v>
      </c>
      <c r="G1018">
        <v>0.15132450268549</v>
      </c>
      <c r="H1018">
        <v>9.5562614950434999E-2</v>
      </c>
      <c r="I1018">
        <v>8.5810319884303002E-2</v>
      </c>
      <c r="J1018">
        <v>7.0648326820313606E-2</v>
      </c>
      <c r="K1018">
        <v>5.9299709838282401E-2</v>
      </c>
      <c r="L1018">
        <v>1556.2351563280599</v>
      </c>
      <c r="M1018">
        <v>31.909115235003998</v>
      </c>
      <c r="N1018">
        <v>49.116700655836901</v>
      </c>
      <c r="O1018">
        <v>48.580504316092501</v>
      </c>
      <c r="P1018">
        <v>-0.14768677733522201</v>
      </c>
      <c r="Q1018">
        <v>0.100612764316436</v>
      </c>
      <c r="R1018">
        <v>0.98635043637175202</v>
      </c>
      <c r="S1018" t="s">
        <v>7303</v>
      </c>
      <c r="T1018" t="s">
        <v>12568</v>
      </c>
      <c r="U1018" t="s">
        <v>12568</v>
      </c>
      <c r="V1018" t="s">
        <v>12568</v>
      </c>
      <c r="W1018" t="s">
        <v>13564</v>
      </c>
      <c r="X1018">
        <v>26</v>
      </c>
      <c r="Y1018" t="s">
        <v>19784</v>
      </c>
      <c r="Z1018" t="s">
        <v>25888</v>
      </c>
      <c r="AA1018">
        <v>0.36837033702046551</v>
      </c>
      <c r="AB1018" t="str">
        <f>HYPERLINK("Melting_Curves/meltCurve_O15344_MID1.pdf", "Melting_Curves/meltCurve_O15344_MID1.pdf")</f>
        <v>Melting_Curves/meltCurve_O15344_MID1.pdf</v>
      </c>
    </row>
    <row r="1019" spans="1:28" x14ac:dyDescent="0.25">
      <c r="A1019" t="s">
        <v>1023</v>
      </c>
      <c r="B1019">
        <v>0.99352677808782597</v>
      </c>
      <c r="C1019">
        <v>0.90339187499458196</v>
      </c>
      <c r="D1019">
        <v>0.77541874172338499</v>
      </c>
      <c r="E1019">
        <v>0.60036394486294498</v>
      </c>
      <c r="F1019">
        <v>0.52361073853227602</v>
      </c>
      <c r="G1019">
        <v>0.42309167279299498</v>
      </c>
      <c r="H1019">
        <v>0.42867712969761501</v>
      </c>
      <c r="I1019">
        <v>0.47850516831020601</v>
      </c>
      <c r="J1019">
        <v>0.60674041021387404</v>
      </c>
      <c r="K1019">
        <v>0.49342492711515401</v>
      </c>
      <c r="L1019">
        <v>963.17300253808401</v>
      </c>
      <c r="M1019">
        <v>20.7213165300052</v>
      </c>
      <c r="N1019">
        <v>56.117500970949898</v>
      </c>
      <c r="O1019">
        <v>46.055811475852799</v>
      </c>
      <c r="P1019">
        <v>-5.7844222418517097E-2</v>
      </c>
      <c r="Q1019">
        <v>0.485749430718875</v>
      </c>
      <c r="R1019">
        <v>0.93295026824906502</v>
      </c>
      <c r="S1019" t="s">
        <v>7304</v>
      </c>
      <c r="T1019" t="s">
        <v>12568</v>
      </c>
      <c r="U1019" t="s">
        <v>12568</v>
      </c>
      <c r="V1019" t="s">
        <v>12568</v>
      </c>
      <c r="W1019" t="s">
        <v>13565</v>
      </c>
      <c r="X1019">
        <v>26</v>
      </c>
      <c r="Y1019" t="s">
        <v>19785</v>
      </c>
      <c r="Z1019" t="s">
        <v>25889</v>
      </c>
      <c r="AA1019">
        <v>0.60398687837961851</v>
      </c>
      <c r="AB1019" t="str">
        <f>HYPERLINK("Melting_Curves/meltCurve_O15355_PPM1G.pdf", "Melting_Curves/meltCurve_O15355_PPM1G.pdf")</f>
        <v>Melting_Curves/meltCurve_O15355_PPM1G.pdf</v>
      </c>
    </row>
    <row r="1020" spans="1:28" x14ac:dyDescent="0.25">
      <c r="A1020" t="s">
        <v>1024</v>
      </c>
      <c r="B1020">
        <v>0.99352677808782597</v>
      </c>
      <c r="C1020">
        <v>0.99209663841328199</v>
      </c>
      <c r="D1020">
        <v>0.86523426153137195</v>
      </c>
      <c r="E1020">
        <v>0.325995257548716</v>
      </c>
      <c r="F1020">
        <v>0.26458336064128801</v>
      </c>
      <c r="G1020">
        <v>0.178365020942747</v>
      </c>
      <c r="H1020">
        <v>0.145829282133035</v>
      </c>
      <c r="I1020">
        <v>0.13577043762536301</v>
      </c>
      <c r="J1020">
        <v>0.12052982829314</v>
      </c>
      <c r="K1020">
        <v>0.101922846145189</v>
      </c>
      <c r="L1020">
        <v>1495.27053154493</v>
      </c>
      <c r="M1020">
        <v>30.973438585163699</v>
      </c>
      <c r="N1020">
        <v>48.8071063130675</v>
      </c>
      <c r="O1020">
        <v>48.076000880273703</v>
      </c>
      <c r="P1020">
        <v>-0.138019905632592</v>
      </c>
      <c r="Q1020">
        <v>0.143084246927596</v>
      </c>
      <c r="R1020">
        <v>0.99244521630229698</v>
      </c>
      <c r="S1020" t="s">
        <v>7305</v>
      </c>
      <c r="T1020" t="s">
        <v>12568</v>
      </c>
      <c r="U1020" t="s">
        <v>12568</v>
      </c>
      <c r="V1020" t="s">
        <v>12568</v>
      </c>
      <c r="W1020" t="s">
        <v>13566</v>
      </c>
      <c r="X1020">
        <v>31</v>
      </c>
      <c r="Y1020" t="s">
        <v>19786</v>
      </c>
      <c r="Z1020" t="s">
        <v>25890</v>
      </c>
      <c r="AA1020">
        <v>0.38431589696035517</v>
      </c>
      <c r="AB1020" t="str">
        <f>HYPERLINK("Melting_Curves/meltCurve_O15357_INPPL1.pdf", "Melting_Curves/meltCurve_O15357_INPPL1.pdf")</f>
        <v>Melting_Curves/meltCurve_O15357_INPPL1.pdf</v>
      </c>
    </row>
    <row r="1021" spans="1:28" x14ac:dyDescent="0.25">
      <c r="A1021" t="s">
        <v>1025</v>
      </c>
      <c r="B1021">
        <v>0.99352677808782597</v>
      </c>
      <c r="C1021">
        <v>0.88694011003858397</v>
      </c>
      <c r="D1021">
        <v>0.88272391124365901</v>
      </c>
      <c r="E1021">
        <v>0.85710431168614898</v>
      </c>
      <c r="F1021">
        <v>0.89009538231964702</v>
      </c>
      <c r="G1021">
        <v>0.84944976415053497</v>
      </c>
      <c r="H1021">
        <v>0.907877830043469</v>
      </c>
      <c r="I1021">
        <v>0.80438960504463697</v>
      </c>
      <c r="J1021">
        <v>0.83880929937760795</v>
      </c>
      <c r="K1021">
        <v>0.65748527096098996</v>
      </c>
      <c r="L1021">
        <v>168.04098703176899</v>
      </c>
      <c r="M1021">
        <v>1.2394592936581701</v>
      </c>
      <c r="O1021">
        <v>57.588582688883299</v>
      </c>
      <c r="P1021">
        <v>-6.71632830190426E-3</v>
      </c>
      <c r="Q1021">
        <v>0</v>
      </c>
      <c r="R1021">
        <v>0.566085554515393</v>
      </c>
      <c r="S1021" t="s">
        <v>7306</v>
      </c>
      <c r="T1021" t="s">
        <v>12568</v>
      </c>
      <c r="U1021" t="s">
        <v>12568</v>
      </c>
      <c r="V1021" t="s">
        <v>12568</v>
      </c>
      <c r="W1021" t="s">
        <v>13567</v>
      </c>
      <c r="X1021">
        <v>3</v>
      </c>
      <c r="Y1021" t="s">
        <v>19787</v>
      </c>
      <c r="Z1021" t="s">
        <v>25891</v>
      </c>
      <c r="AA1021">
        <v>0.85891501641197621</v>
      </c>
      <c r="AB1021" t="str">
        <f>HYPERLINK("Melting_Curves/meltCurve_O15370_SOX12.pdf", "Melting_Curves/meltCurve_O15370_SOX12.pdf")</f>
        <v>Melting_Curves/meltCurve_O15370_SOX12.pdf</v>
      </c>
    </row>
    <row r="1022" spans="1:28" x14ac:dyDescent="0.25">
      <c r="A1022" t="s">
        <v>1026</v>
      </c>
      <c r="B1022">
        <v>0.99352677808782597</v>
      </c>
      <c r="C1022">
        <v>0.98386183951093598</v>
      </c>
      <c r="D1022">
        <v>0.99406392764065399</v>
      </c>
      <c r="E1022">
        <v>1.37651272006564</v>
      </c>
      <c r="F1022">
        <v>1.11962664464671</v>
      </c>
      <c r="G1022">
        <v>0.83409281489226395</v>
      </c>
      <c r="H1022">
        <v>0.405658498208333</v>
      </c>
      <c r="I1022">
        <v>0.27048440837146698</v>
      </c>
      <c r="J1022">
        <v>0.16112392892283001</v>
      </c>
      <c r="K1022">
        <v>0.113323088745771</v>
      </c>
      <c r="L1022">
        <v>2028.6861149342001</v>
      </c>
      <c r="M1022">
        <v>33.990002197455198</v>
      </c>
      <c r="N1022">
        <v>60.274598650650098</v>
      </c>
      <c r="O1022">
        <v>59.479321661674597</v>
      </c>
      <c r="P1022">
        <v>-0.12265310034261299</v>
      </c>
      <c r="Q1022">
        <v>0.14147750472845899</v>
      </c>
      <c r="R1022">
        <v>0.90878655760014504</v>
      </c>
      <c r="S1022" t="s">
        <v>7307</v>
      </c>
      <c r="T1022" t="s">
        <v>12568</v>
      </c>
      <c r="U1022" t="s">
        <v>12568</v>
      </c>
      <c r="V1022" t="s">
        <v>12568</v>
      </c>
      <c r="W1022" t="s">
        <v>13568</v>
      </c>
      <c r="X1022">
        <v>15</v>
      </c>
      <c r="Y1022" t="s">
        <v>19788</v>
      </c>
      <c r="Z1022" t="s">
        <v>25892</v>
      </c>
      <c r="AA1022">
        <v>0.70923308976471666</v>
      </c>
      <c r="AB1022" t="str">
        <f>HYPERLINK("Melting_Curves/meltCurve_O15372_EIF3H.pdf", "Melting_Curves/meltCurve_O15372_EIF3H.pdf")</f>
        <v>Melting_Curves/meltCurve_O15372_EIF3H.pdf</v>
      </c>
    </row>
    <row r="1023" spans="1:28" x14ac:dyDescent="0.25">
      <c r="A1023" t="s">
        <v>1027</v>
      </c>
      <c r="B1023">
        <v>0.99352677808782597</v>
      </c>
      <c r="C1023">
        <v>0.98885264269814399</v>
      </c>
      <c r="D1023">
        <v>0.90133489783602705</v>
      </c>
      <c r="E1023">
        <v>0.87166607743477698</v>
      </c>
      <c r="F1023">
        <v>0.74012185521958695</v>
      </c>
      <c r="G1023">
        <v>0.50996676808942298</v>
      </c>
      <c r="H1023">
        <v>0.29283902659234401</v>
      </c>
      <c r="I1023">
        <v>0.19608918406690701</v>
      </c>
      <c r="J1023">
        <v>0.13324655524195</v>
      </c>
      <c r="K1023">
        <v>9.1574887420122306E-2</v>
      </c>
      <c r="L1023">
        <v>729.51804826071304</v>
      </c>
      <c r="M1023">
        <v>12.779329179864</v>
      </c>
      <c r="N1023">
        <v>57.085775648390502</v>
      </c>
      <c r="O1023">
        <v>55.7420991194995</v>
      </c>
      <c r="P1023">
        <v>-5.7325354399178102E-2</v>
      </c>
      <c r="Q1023">
        <v>0</v>
      </c>
      <c r="R1023">
        <v>0.99710146529969501</v>
      </c>
      <c r="S1023" t="s">
        <v>7308</v>
      </c>
      <c r="T1023" t="s">
        <v>12568</v>
      </c>
      <c r="U1023" t="s">
        <v>12568</v>
      </c>
      <c r="V1023" t="s">
        <v>12568</v>
      </c>
      <c r="W1023" t="s">
        <v>13569</v>
      </c>
      <c r="X1023">
        <v>6</v>
      </c>
      <c r="Y1023" t="s">
        <v>19789</v>
      </c>
      <c r="Z1023" t="s">
        <v>25893</v>
      </c>
      <c r="AA1023">
        <v>0.58601277815501829</v>
      </c>
      <c r="AB1023" t="str">
        <f>HYPERLINK("Melting_Curves/meltCurve_O15379_HDAC3.pdf", "Melting_Curves/meltCurve_O15379_HDAC3.pdf")</f>
        <v>Melting_Curves/meltCurve_O15379_HDAC3.pdf</v>
      </c>
    </row>
    <row r="1024" spans="1:28" x14ac:dyDescent="0.25">
      <c r="A1024" t="s">
        <v>1028</v>
      </c>
      <c r="B1024">
        <v>0.99352677808782597</v>
      </c>
      <c r="C1024">
        <v>0.81962663668959501</v>
      </c>
      <c r="D1024">
        <v>0.82703292243793902</v>
      </c>
      <c r="E1024">
        <v>0.21856510773538201</v>
      </c>
      <c r="F1024">
        <v>0.124360944679238</v>
      </c>
      <c r="G1024">
        <v>8.2010180691147794E-2</v>
      </c>
      <c r="H1024">
        <v>5.21502252757199E-2</v>
      </c>
      <c r="I1024">
        <v>5.5866274641712503E-2</v>
      </c>
      <c r="J1024">
        <v>4.3948846457107699E-2</v>
      </c>
      <c r="K1024">
        <v>4.1895178279609098E-2</v>
      </c>
      <c r="L1024">
        <v>1396.0493666408599</v>
      </c>
      <c r="M1024">
        <v>29.2065619327429</v>
      </c>
      <c r="N1024">
        <v>47.981247541207601</v>
      </c>
      <c r="O1024">
        <v>47.576756857417699</v>
      </c>
      <c r="P1024">
        <v>-0.145421388673274</v>
      </c>
      <c r="Q1024">
        <v>5.2455540721236399E-2</v>
      </c>
      <c r="R1024">
        <v>0.97968534560929799</v>
      </c>
      <c r="S1024" t="s">
        <v>7309</v>
      </c>
      <c r="T1024" t="s">
        <v>12568</v>
      </c>
      <c r="U1024" t="s">
        <v>12568</v>
      </c>
      <c r="V1024" t="s">
        <v>12568</v>
      </c>
      <c r="W1024" t="s">
        <v>13570</v>
      </c>
      <c r="X1024">
        <v>2</v>
      </c>
      <c r="Y1024" t="s">
        <v>19790</v>
      </c>
      <c r="Z1024" t="s">
        <v>25894</v>
      </c>
      <c r="AA1024">
        <v>0.30481480197701072</v>
      </c>
      <c r="AB1024" t="str">
        <f>HYPERLINK("Melting_Curves/meltCurve_O15381_NVL.pdf", "Melting_Curves/meltCurve_O15381_NVL.pdf")</f>
        <v>Melting_Curves/meltCurve_O15381_NVL.pdf</v>
      </c>
    </row>
    <row r="1025" spans="1:28" x14ac:dyDescent="0.25">
      <c r="A1025" t="s">
        <v>1029</v>
      </c>
      <c r="B1025">
        <v>0.99352677808782597</v>
      </c>
      <c r="C1025">
        <v>1.00976026855221</v>
      </c>
      <c r="D1025">
        <v>1.0066479092117999</v>
      </c>
      <c r="E1025">
        <v>0.86491813090893499</v>
      </c>
      <c r="F1025">
        <v>0.80963634578961696</v>
      </c>
      <c r="G1025">
        <v>0.63130969155773398</v>
      </c>
      <c r="H1025">
        <v>0.51786739815438598</v>
      </c>
      <c r="I1025">
        <v>0.38161026196324199</v>
      </c>
      <c r="J1025">
        <v>0.26917163380426201</v>
      </c>
      <c r="K1025">
        <v>0.19360130583820001</v>
      </c>
      <c r="L1025">
        <v>610.68041624895602</v>
      </c>
      <c r="M1025">
        <v>10.0684020627269</v>
      </c>
      <c r="N1025">
        <v>60.653182649144</v>
      </c>
      <c r="O1025">
        <v>58.406228422586999</v>
      </c>
      <c r="P1025">
        <v>-4.3116848980086601E-2</v>
      </c>
      <c r="Q1025">
        <v>0</v>
      </c>
      <c r="R1025">
        <v>0.993656114384733</v>
      </c>
      <c r="S1025" t="s">
        <v>7310</v>
      </c>
      <c r="T1025" t="s">
        <v>12568</v>
      </c>
      <c r="U1025" t="s">
        <v>12568</v>
      </c>
      <c r="V1025" t="s">
        <v>12568</v>
      </c>
      <c r="W1025" t="s">
        <v>13571</v>
      </c>
      <c r="X1025">
        <v>9</v>
      </c>
      <c r="Y1025" t="s">
        <v>19791</v>
      </c>
      <c r="Z1025" t="s">
        <v>25895</v>
      </c>
      <c r="AA1025">
        <v>0.6795433215582537</v>
      </c>
      <c r="AB1025" t="str">
        <f>HYPERLINK("Melting_Curves/meltCurve_O15382_BCAT2.pdf", "Melting_Curves/meltCurve_O15382_BCAT2.pdf")</f>
        <v>Melting_Curves/meltCurve_O15382_BCAT2.pdf</v>
      </c>
    </row>
    <row r="1026" spans="1:28" x14ac:dyDescent="0.25">
      <c r="A1026" t="s">
        <v>1030</v>
      </c>
      <c r="B1026">
        <v>0.99352677808782597</v>
      </c>
      <c r="C1026">
        <v>1.0068187657263701</v>
      </c>
      <c r="D1026">
        <v>0.88687995780468698</v>
      </c>
      <c r="E1026">
        <v>0.49832199792222298</v>
      </c>
      <c r="F1026">
        <v>0.40204971015078</v>
      </c>
      <c r="G1026">
        <v>0.20929922919008101</v>
      </c>
      <c r="H1026">
        <v>0.14594728550556299</v>
      </c>
      <c r="I1026">
        <v>0.13571351898838799</v>
      </c>
      <c r="J1026">
        <v>0.113173431736962</v>
      </c>
      <c r="K1026">
        <v>9.2078449785812005E-2</v>
      </c>
      <c r="L1026">
        <v>919.98361698767599</v>
      </c>
      <c r="M1026">
        <v>18.3517005582029</v>
      </c>
      <c r="N1026">
        <v>50.827041255222298</v>
      </c>
      <c r="O1026">
        <v>49.546829850130699</v>
      </c>
      <c r="P1026">
        <v>-8.2309068518231707E-2</v>
      </c>
      <c r="Q1026">
        <v>0.111152386466711</v>
      </c>
      <c r="R1026">
        <v>0.99151157144577295</v>
      </c>
      <c r="S1026" t="s">
        <v>7311</v>
      </c>
      <c r="T1026" t="s">
        <v>12568</v>
      </c>
      <c r="U1026" t="s">
        <v>12568</v>
      </c>
      <c r="V1026" t="s">
        <v>12568</v>
      </c>
      <c r="W1026" t="s">
        <v>13572</v>
      </c>
      <c r="X1026">
        <v>15</v>
      </c>
      <c r="Y1026" t="s">
        <v>19792</v>
      </c>
      <c r="Z1026" t="s">
        <v>25896</v>
      </c>
      <c r="AA1026">
        <v>0.4258959155290763</v>
      </c>
      <c r="AB1026" t="str">
        <f>HYPERLINK("Melting_Curves/meltCurve_O15397_IPO8.pdf", "Melting_Curves/meltCurve_O15397_IPO8.pdf")</f>
        <v>Melting_Curves/meltCurve_O15397_IPO8.pdf</v>
      </c>
    </row>
    <row r="1027" spans="1:28" x14ac:dyDescent="0.25">
      <c r="A1027" t="s">
        <v>1031</v>
      </c>
      <c r="B1027">
        <v>0.99352677808782597</v>
      </c>
      <c r="C1027">
        <v>0.97643356151244698</v>
      </c>
      <c r="D1027">
        <v>0.98161652702727997</v>
      </c>
      <c r="E1027">
        <v>0.96376783409622602</v>
      </c>
      <c r="F1027">
        <v>0.91243125523554403</v>
      </c>
      <c r="G1027">
        <v>0.89180920263274999</v>
      </c>
      <c r="H1027">
        <v>0.78904512752959799</v>
      </c>
      <c r="I1027">
        <v>0.89760115184107803</v>
      </c>
      <c r="J1027">
        <v>0.84706084823672601</v>
      </c>
      <c r="K1027">
        <v>0.78222264553335397</v>
      </c>
      <c r="L1027">
        <v>583.94119765852497</v>
      </c>
      <c r="M1027">
        <v>10.5781683248167</v>
      </c>
      <c r="O1027">
        <v>53.339214129244198</v>
      </c>
      <c r="P1027">
        <v>-1.0077432873193E-2</v>
      </c>
      <c r="Q1027">
        <v>0.79682242424262095</v>
      </c>
      <c r="R1027">
        <v>0.81531102325426497</v>
      </c>
      <c r="S1027" t="s">
        <v>7312</v>
      </c>
      <c r="T1027" t="s">
        <v>12568</v>
      </c>
      <c r="U1027" t="s">
        <v>12568</v>
      </c>
      <c r="V1027" t="s">
        <v>12568</v>
      </c>
      <c r="W1027" t="s">
        <v>13573</v>
      </c>
      <c r="X1027">
        <v>6</v>
      </c>
      <c r="Y1027" t="s">
        <v>19793</v>
      </c>
      <c r="Z1027" t="s">
        <v>25897</v>
      </c>
      <c r="AA1027">
        <v>0.90474667844250989</v>
      </c>
      <c r="AB1027" t="str">
        <f>HYPERLINK("Melting_Curves/meltCurve_O15400_2_STX7.pdf", "Melting_Curves/meltCurve_O15400_2_STX7.pdf")</f>
        <v>Melting_Curves/meltCurve_O15400_2_STX7.pdf</v>
      </c>
    </row>
    <row r="1028" spans="1:28" x14ac:dyDescent="0.25">
      <c r="A1028" t="s">
        <v>1032</v>
      </c>
      <c r="B1028">
        <v>0.99352677808782597</v>
      </c>
      <c r="C1028">
        <v>0.97535092261929202</v>
      </c>
      <c r="D1028">
        <v>0.89187990188851196</v>
      </c>
      <c r="E1028">
        <v>0.76354677104787805</v>
      </c>
      <c r="F1028">
        <v>0.72011271344985395</v>
      </c>
      <c r="G1028">
        <v>0.73862680366075095</v>
      </c>
      <c r="H1028">
        <v>0.68457155202000097</v>
      </c>
      <c r="I1028">
        <v>0.71238280680917698</v>
      </c>
      <c r="J1028">
        <v>0.68879379302158095</v>
      </c>
      <c r="K1028">
        <v>0.52490127652277796</v>
      </c>
      <c r="L1028">
        <v>564.72451271642694</v>
      </c>
      <c r="M1028">
        <v>11.426607844073301</v>
      </c>
      <c r="O1028">
        <v>47.980850347686797</v>
      </c>
      <c r="P1028">
        <v>-2.20903980807306E-2</v>
      </c>
      <c r="Q1028">
        <v>0.62907369616022402</v>
      </c>
      <c r="R1028">
        <v>0.87059581915228101</v>
      </c>
      <c r="S1028" t="s">
        <v>7313</v>
      </c>
      <c r="T1028" t="s">
        <v>12568</v>
      </c>
      <c r="U1028" t="s">
        <v>12568</v>
      </c>
      <c r="V1028" t="s">
        <v>12568</v>
      </c>
      <c r="W1028" t="s">
        <v>13574</v>
      </c>
      <c r="X1028">
        <v>1</v>
      </c>
      <c r="Y1028" t="s">
        <v>19794</v>
      </c>
      <c r="Z1028" t="s">
        <v>25898</v>
      </c>
      <c r="AA1028">
        <v>0.7599387847010679</v>
      </c>
      <c r="AB1028" t="str">
        <f>HYPERLINK("Melting_Curves/meltCurve_O15427_SLC16A3.pdf", "Melting_Curves/meltCurve_O15427_SLC16A3.pdf")</f>
        <v>Melting_Curves/meltCurve_O15427_SLC16A3.pdf</v>
      </c>
    </row>
    <row r="1029" spans="1:28" x14ac:dyDescent="0.25">
      <c r="A1029" t="s">
        <v>1033</v>
      </c>
      <c r="B1029">
        <v>0.99352677808782597</v>
      </c>
      <c r="C1029">
        <v>0.97410299832861702</v>
      </c>
      <c r="D1029">
        <v>1.0514544177958101</v>
      </c>
      <c r="E1029">
        <v>1.06359675178779</v>
      </c>
      <c r="F1029">
        <v>0.92011998699395603</v>
      </c>
      <c r="G1029">
        <v>0.81656023927337895</v>
      </c>
      <c r="H1029">
        <v>0.81320784517371703</v>
      </c>
      <c r="I1029">
        <v>0.81917781180576499</v>
      </c>
      <c r="J1029">
        <v>0.91637748134990704</v>
      </c>
      <c r="K1029">
        <v>0.70014875958405498</v>
      </c>
      <c r="L1029">
        <v>13265.504800336599</v>
      </c>
      <c r="M1029">
        <v>250</v>
      </c>
      <c r="O1029">
        <v>53.058613644844499</v>
      </c>
      <c r="P1029">
        <v>-0.22016399462448599</v>
      </c>
      <c r="Q1029">
        <v>0.81309442383564201</v>
      </c>
      <c r="R1029">
        <v>0.75320570282869603</v>
      </c>
      <c r="S1029" t="s">
        <v>7314</v>
      </c>
      <c r="T1029" t="s">
        <v>12568</v>
      </c>
      <c r="U1029" t="s">
        <v>12568</v>
      </c>
      <c r="V1029" t="s">
        <v>12568</v>
      </c>
      <c r="W1029" t="s">
        <v>13575</v>
      </c>
      <c r="X1029">
        <v>8</v>
      </c>
      <c r="Y1029" t="s">
        <v>19795</v>
      </c>
      <c r="Z1029" t="s">
        <v>25899</v>
      </c>
      <c r="AA1029">
        <v>0.89449063653686978</v>
      </c>
      <c r="AB1029" t="str">
        <f>HYPERLINK("Melting_Curves/meltCurve_O15446_CD3EAP.pdf", "Melting_Curves/meltCurve_O15446_CD3EAP.pdf")</f>
        <v>Melting_Curves/meltCurve_O15446_CD3EAP.pdf</v>
      </c>
    </row>
    <row r="1030" spans="1:28" x14ac:dyDescent="0.25">
      <c r="A1030" t="s">
        <v>1034</v>
      </c>
      <c r="B1030">
        <v>0.99352677808782597</v>
      </c>
      <c r="C1030">
        <v>0.92191767554250004</v>
      </c>
      <c r="D1030">
        <v>0.77177670486854799</v>
      </c>
      <c r="E1030">
        <v>0.50317107897266</v>
      </c>
      <c r="F1030">
        <v>0.419300321282158</v>
      </c>
      <c r="G1030">
        <v>0.26771626262347498</v>
      </c>
      <c r="H1030">
        <v>0.21000488014907701</v>
      </c>
      <c r="I1030">
        <v>0.165665970528242</v>
      </c>
      <c r="J1030">
        <v>0.12707643185813</v>
      </c>
      <c r="K1030">
        <v>8.4659321455059805E-2</v>
      </c>
      <c r="L1030">
        <v>619.57956805431297</v>
      </c>
      <c r="M1030">
        <v>12.3778641405359</v>
      </c>
      <c r="N1030">
        <v>50.917230971758002</v>
      </c>
      <c r="O1030">
        <v>48.802777818845399</v>
      </c>
      <c r="P1030">
        <v>-5.74275932349236E-2</v>
      </c>
      <c r="Q1030">
        <v>9.4503867751762005E-2</v>
      </c>
      <c r="R1030">
        <v>0.99361179468981398</v>
      </c>
      <c r="S1030" t="s">
        <v>7315</v>
      </c>
      <c r="T1030" t="s">
        <v>12568</v>
      </c>
      <c r="U1030" t="s">
        <v>12568</v>
      </c>
      <c r="V1030" t="s">
        <v>12568</v>
      </c>
      <c r="W1030" t="s">
        <v>13576</v>
      </c>
      <c r="X1030">
        <v>7</v>
      </c>
      <c r="Y1030" t="s">
        <v>19796</v>
      </c>
      <c r="Z1030" t="s">
        <v>25900</v>
      </c>
      <c r="AA1030">
        <v>0.42776765445042231</v>
      </c>
      <c r="AB1030" t="str">
        <f>HYPERLINK("Melting_Curves/meltCurve_O15460_2_P4HA2.pdf", "Melting_Curves/meltCurve_O15460_2_P4HA2.pdf")</f>
        <v>Melting_Curves/meltCurve_O15460_2_P4HA2.pdf</v>
      </c>
    </row>
    <row r="1031" spans="1:28" x14ac:dyDescent="0.25">
      <c r="A1031" t="s">
        <v>1035</v>
      </c>
      <c r="B1031">
        <v>0.99352677808782597</v>
      </c>
      <c r="C1031">
        <v>0.98032186871124105</v>
      </c>
      <c r="D1031">
        <v>1.00596483017292</v>
      </c>
      <c r="E1031">
        <v>0.96243336277203595</v>
      </c>
      <c r="F1031">
        <v>0.78691538293428298</v>
      </c>
      <c r="G1031">
        <v>0.729444122145532</v>
      </c>
      <c r="H1031">
        <v>0.49499684431359597</v>
      </c>
      <c r="I1031">
        <v>0.26505878952298001</v>
      </c>
      <c r="J1031">
        <v>0.116532399507596</v>
      </c>
      <c r="K1031">
        <v>8.60142912894164E-2</v>
      </c>
      <c r="L1031">
        <v>926.85655323199796</v>
      </c>
      <c r="M1031">
        <v>15.435431239139501</v>
      </c>
      <c r="N1031">
        <v>60.047337917149903</v>
      </c>
      <c r="O1031">
        <v>59.066537233947699</v>
      </c>
      <c r="P1031">
        <v>-6.5336591559974594E-2</v>
      </c>
      <c r="Q1031">
        <v>0</v>
      </c>
      <c r="R1031">
        <v>0.98590066765600204</v>
      </c>
      <c r="S1031" t="s">
        <v>7316</v>
      </c>
      <c r="T1031" t="s">
        <v>12568</v>
      </c>
      <c r="U1031" t="s">
        <v>12568</v>
      </c>
      <c r="V1031" t="s">
        <v>12568</v>
      </c>
      <c r="W1031" t="s">
        <v>13577</v>
      </c>
      <c r="X1031">
        <v>10</v>
      </c>
      <c r="Y1031" t="s">
        <v>19797</v>
      </c>
      <c r="Z1031" t="s">
        <v>25901</v>
      </c>
      <c r="AA1031">
        <v>0.67527882994639288</v>
      </c>
      <c r="AB1031" t="str">
        <f>HYPERLINK("Melting_Curves/meltCurve_O15498_YKT6.pdf", "Melting_Curves/meltCurve_O15498_YKT6.pdf")</f>
        <v>Melting_Curves/meltCurve_O15498_YKT6.pdf</v>
      </c>
    </row>
    <row r="1032" spans="1:28" x14ac:dyDescent="0.25">
      <c r="A1032" t="s">
        <v>1036</v>
      </c>
      <c r="B1032">
        <v>0.99352677808782597</v>
      </c>
      <c r="C1032">
        <v>1.0391431075823001</v>
      </c>
      <c r="D1032">
        <v>0.93674177953743598</v>
      </c>
      <c r="E1032">
        <v>0.97399063220806903</v>
      </c>
      <c r="F1032">
        <v>0.82693055047047304</v>
      </c>
      <c r="G1032">
        <v>0.68670607323702904</v>
      </c>
      <c r="H1032">
        <v>0.52837044565646296</v>
      </c>
      <c r="I1032">
        <v>0.29001053853860298</v>
      </c>
      <c r="J1032">
        <v>0.19167997002902801</v>
      </c>
      <c r="K1032">
        <v>0.12307752743497601</v>
      </c>
      <c r="L1032">
        <v>824.340858295928</v>
      </c>
      <c r="M1032">
        <v>13.644866854229001</v>
      </c>
      <c r="N1032">
        <v>60.413990754131802</v>
      </c>
      <c r="O1032">
        <v>59.160677878030199</v>
      </c>
      <c r="P1032">
        <v>-5.7668638902302997E-2</v>
      </c>
      <c r="Q1032">
        <v>0</v>
      </c>
      <c r="R1032">
        <v>0.98928335840220705</v>
      </c>
      <c r="S1032" t="s">
        <v>7317</v>
      </c>
      <c r="T1032" t="s">
        <v>12568</v>
      </c>
      <c r="U1032" t="s">
        <v>12568</v>
      </c>
      <c r="V1032" t="s">
        <v>12568</v>
      </c>
      <c r="W1032" t="s">
        <v>13578</v>
      </c>
      <c r="X1032">
        <v>10</v>
      </c>
      <c r="Y1032" t="s">
        <v>19798</v>
      </c>
      <c r="Z1032" t="s">
        <v>25902</v>
      </c>
      <c r="AA1032">
        <v>0.68379309118121934</v>
      </c>
      <c r="AB1032" t="str">
        <f>HYPERLINK("Melting_Curves/meltCurve_O15511_ARPC5.pdf", "Melting_Curves/meltCurve_O15511_ARPC5.pdf")</f>
        <v>Melting_Curves/meltCurve_O15511_ARPC5.pdf</v>
      </c>
    </row>
    <row r="1033" spans="1:28" x14ac:dyDescent="0.25">
      <c r="A1033" t="s">
        <v>1037</v>
      </c>
      <c r="B1033">
        <v>0.99352677808782597</v>
      </c>
      <c r="C1033">
        <v>0.90135145670994599</v>
      </c>
      <c r="D1033">
        <v>0.90872274029142197</v>
      </c>
      <c r="E1033">
        <v>0.86084833283270501</v>
      </c>
      <c r="F1033">
        <v>0.817213809615842</v>
      </c>
      <c r="G1033">
        <v>0.80766756133735595</v>
      </c>
      <c r="H1033">
        <v>0.59975310884687605</v>
      </c>
      <c r="I1033">
        <v>0.52991735837435106</v>
      </c>
      <c r="J1033">
        <v>0.34349357942895697</v>
      </c>
      <c r="K1033">
        <v>0.30147978136856202</v>
      </c>
      <c r="L1033">
        <v>523.30430247572303</v>
      </c>
      <c r="M1033">
        <v>8.2140865009578992</v>
      </c>
      <c r="N1033">
        <v>63.708153047322703</v>
      </c>
      <c r="O1033">
        <v>60.266545827418298</v>
      </c>
      <c r="P1033">
        <v>-3.4108900402613197E-2</v>
      </c>
      <c r="Q1033">
        <v>0</v>
      </c>
      <c r="R1033">
        <v>0.95645741303862497</v>
      </c>
      <c r="S1033" t="s">
        <v>7318</v>
      </c>
      <c r="T1033" t="s">
        <v>12568</v>
      </c>
      <c r="U1033" t="s">
        <v>12568</v>
      </c>
      <c r="V1033" t="s">
        <v>12568</v>
      </c>
      <c r="W1033" t="s">
        <v>13579</v>
      </c>
      <c r="X1033">
        <v>8</v>
      </c>
      <c r="Y1033" t="s">
        <v>19799</v>
      </c>
      <c r="Z1033" t="s">
        <v>25903</v>
      </c>
      <c r="AA1033">
        <v>0.73484135036990395</v>
      </c>
      <c r="AB1033" t="str">
        <f>HYPERLINK("Melting_Curves/meltCurve_O15514_POLR2D.pdf", "Melting_Curves/meltCurve_O15514_POLR2D.pdf")</f>
        <v>Melting_Curves/meltCurve_O15514_POLR2D.pdf</v>
      </c>
    </row>
    <row r="1034" spans="1:28" x14ac:dyDescent="0.25">
      <c r="A1034" t="s">
        <v>1038</v>
      </c>
      <c r="B1034">
        <v>0.99352677808782597</v>
      </c>
      <c r="C1034">
        <v>0.93104486731023195</v>
      </c>
      <c r="D1034">
        <v>0.92650237928211399</v>
      </c>
      <c r="E1034">
        <v>0.315860688168562</v>
      </c>
      <c r="F1034">
        <v>0.26893359613511802</v>
      </c>
      <c r="G1034">
        <v>0.146641367234503</v>
      </c>
      <c r="H1034">
        <v>7.0575026012077796E-2</v>
      </c>
      <c r="I1034">
        <v>6.1576702872832699E-2</v>
      </c>
      <c r="J1034">
        <v>7.40314814869351E-2</v>
      </c>
      <c r="K1034">
        <v>3.0397796332635601E-2</v>
      </c>
      <c r="L1034">
        <v>1382.94325925422</v>
      </c>
      <c r="M1034">
        <v>28.339976401163199</v>
      </c>
      <c r="N1034">
        <v>49.1096376234673</v>
      </c>
      <c r="O1034">
        <v>48.557289693685703</v>
      </c>
      <c r="P1034">
        <v>-0.13391446276653299</v>
      </c>
      <c r="Q1034">
        <v>8.2219462565859394E-2</v>
      </c>
      <c r="R1034">
        <v>0.98076762082188695</v>
      </c>
      <c r="S1034" t="s">
        <v>7319</v>
      </c>
      <c r="T1034" t="s">
        <v>12568</v>
      </c>
      <c r="U1034" t="s">
        <v>12568</v>
      </c>
      <c r="V1034" t="s">
        <v>12568</v>
      </c>
      <c r="W1034" t="s">
        <v>13580</v>
      </c>
      <c r="X1034">
        <v>1</v>
      </c>
      <c r="Y1034" t="s">
        <v>19800</v>
      </c>
      <c r="Z1034" t="s">
        <v>25904</v>
      </c>
      <c r="AA1034">
        <v>0.35765136370505413</v>
      </c>
      <c r="AB1034" t="str">
        <f>HYPERLINK("Melting_Curves/meltCurve_O15519_13_CFLAR.pdf", "Melting_Curves/meltCurve_O15519_13_CFLAR.pdf")</f>
        <v>Melting_Curves/meltCurve_O15519_13_CFLAR.pdf</v>
      </c>
    </row>
    <row r="1035" spans="1:28" x14ac:dyDescent="0.25">
      <c r="A1035" t="s">
        <v>1039</v>
      </c>
      <c r="B1035">
        <v>0.99352677808782597</v>
      </c>
      <c r="C1035">
        <v>0.981877854371067</v>
      </c>
      <c r="D1035">
        <v>1.0052445040075799</v>
      </c>
      <c r="E1035">
        <v>0.92105898167170897</v>
      </c>
      <c r="F1035">
        <v>0.84348136618809699</v>
      </c>
      <c r="G1035">
        <v>0.76243084398753502</v>
      </c>
      <c r="H1035">
        <v>0.69839939623451397</v>
      </c>
      <c r="I1035">
        <v>0.77250607431862195</v>
      </c>
      <c r="J1035">
        <v>0.81496800803268299</v>
      </c>
      <c r="K1035">
        <v>0.71011546176507001</v>
      </c>
      <c r="L1035">
        <v>1455.4950377282</v>
      </c>
      <c r="M1035">
        <v>28.141812381381602</v>
      </c>
      <c r="O1035">
        <v>51.4609704584364</v>
      </c>
      <c r="P1035">
        <v>-3.4414094561768603E-2</v>
      </c>
      <c r="Q1035">
        <v>0.74827949063235799</v>
      </c>
      <c r="R1035">
        <v>0.92014275149027402</v>
      </c>
      <c r="S1035" t="s">
        <v>7320</v>
      </c>
      <c r="T1035" t="s">
        <v>12568</v>
      </c>
      <c r="U1035" t="s">
        <v>12568</v>
      </c>
      <c r="V1035" t="s">
        <v>12568</v>
      </c>
      <c r="W1035" t="s">
        <v>13581</v>
      </c>
      <c r="X1035">
        <v>15</v>
      </c>
      <c r="Y1035" t="s">
        <v>19801</v>
      </c>
      <c r="Z1035" t="s">
        <v>25905</v>
      </c>
      <c r="AA1035">
        <v>0.84843604290800012</v>
      </c>
      <c r="AB1035" t="str">
        <f>HYPERLINK("Melting_Curves/meltCurve_O15541_RNF113A.pdf", "Melting_Curves/meltCurve_O15541_RNF113A.pdf")</f>
        <v>Melting_Curves/meltCurve_O15541_RNF113A.pdf</v>
      </c>
    </row>
    <row r="1036" spans="1:28" x14ac:dyDescent="0.25">
      <c r="A1036" t="s">
        <v>1040</v>
      </c>
      <c r="B1036">
        <v>0.99352677808782597</v>
      </c>
      <c r="C1036">
        <v>1.0195918674295901</v>
      </c>
      <c r="D1036">
        <v>0.96132042595970302</v>
      </c>
      <c r="E1036">
        <v>0.89535211727446495</v>
      </c>
      <c r="F1036">
        <v>0.77237054103158698</v>
      </c>
      <c r="G1036">
        <v>0.48411491124777001</v>
      </c>
      <c r="H1036">
        <v>0.186163486421731</v>
      </c>
      <c r="I1036">
        <v>0.145491001638234</v>
      </c>
      <c r="J1036">
        <v>0.12029576984192</v>
      </c>
      <c r="K1036">
        <v>9.3068944070471199E-2</v>
      </c>
      <c r="L1036">
        <v>1088.14972675425</v>
      </c>
      <c r="M1036">
        <v>19.424233244618399</v>
      </c>
      <c r="N1036">
        <v>56.450624822878602</v>
      </c>
      <c r="O1036">
        <v>55.436594855533698</v>
      </c>
      <c r="P1036">
        <v>-8.1570648167491294E-2</v>
      </c>
      <c r="Q1036">
        <v>6.8826298689260698E-2</v>
      </c>
      <c r="R1036">
        <v>0.99701012327757199</v>
      </c>
      <c r="S1036" t="s">
        <v>7321</v>
      </c>
      <c r="T1036" t="s">
        <v>12568</v>
      </c>
      <c r="U1036" t="s">
        <v>12568</v>
      </c>
      <c r="V1036" t="s">
        <v>12568</v>
      </c>
      <c r="W1036" t="s">
        <v>13582</v>
      </c>
      <c r="X1036">
        <v>41</v>
      </c>
      <c r="Y1036" t="s">
        <v>19802</v>
      </c>
      <c r="Z1036" t="s">
        <v>25906</v>
      </c>
      <c r="AA1036">
        <v>0.57854044681818162</v>
      </c>
      <c r="AB1036" t="str">
        <f>HYPERLINK("Melting_Curves/meltCurve_O43143_DHX15.pdf", "Melting_Curves/meltCurve_O43143_DHX15.pdf")</f>
        <v>Melting_Curves/meltCurve_O43143_DHX15.pdf</v>
      </c>
    </row>
    <row r="1037" spans="1:28" x14ac:dyDescent="0.25">
      <c r="A1037" t="s">
        <v>1041</v>
      </c>
      <c r="B1037">
        <v>0.99352677808782597</v>
      </c>
      <c r="C1037">
        <v>0.98793224280122005</v>
      </c>
      <c r="D1037">
        <v>0.99254077404598295</v>
      </c>
      <c r="E1037">
        <v>0.72965218121616204</v>
      </c>
      <c r="F1037">
        <v>0.63777535562021004</v>
      </c>
      <c r="G1037">
        <v>0.347765256188867</v>
      </c>
      <c r="H1037">
        <v>0.18241166337628201</v>
      </c>
      <c r="I1037">
        <v>0.17600460849402999</v>
      </c>
      <c r="J1037">
        <v>0.15397454153727499</v>
      </c>
      <c r="K1037">
        <v>0.126568891106913</v>
      </c>
      <c r="L1037">
        <v>891.52148091954405</v>
      </c>
      <c r="M1037">
        <v>16.6469767162015</v>
      </c>
      <c r="N1037">
        <v>54.372569949314801</v>
      </c>
      <c r="O1037">
        <v>52.799645318446302</v>
      </c>
      <c r="P1037">
        <v>-7.0094826035974403E-2</v>
      </c>
      <c r="Q1037">
        <v>0.110773458906021</v>
      </c>
      <c r="R1037">
        <v>0.99277072871268202</v>
      </c>
      <c r="S1037" t="s">
        <v>7322</v>
      </c>
      <c r="T1037" t="s">
        <v>12568</v>
      </c>
      <c r="U1037" t="s">
        <v>12568</v>
      </c>
      <c r="V1037" t="s">
        <v>12568</v>
      </c>
      <c r="W1037" t="s">
        <v>13583</v>
      </c>
      <c r="X1037">
        <v>13</v>
      </c>
      <c r="Y1037" t="s">
        <v>19803</v>
      </c>
      <c r="Z1037" t="s">
        <v>25907</v>
      </c>
      <c r="AA1037">
        <v>0.52871130622395468</v>
      </c>
      <c r="AB1037" t="str">
        <f>HYPERLINK("Melting_Curves/meltCurve_O43148_RNMT.pdf", "Melting_Curves/meltCurve_O43148_RNMT.pdf")</f>
        <v>Melting_Curves/meltCurve_O43148_RNMT.pdf</v>
      </c>
    </row>
    <row r="1038" spans="1:28" x14ac:dyDescent="0.25">
      <c r="A1038" t="s">
        <v>1042</v>
      </c>
      <c r="B1038">
        <v>0.99352677808782597</v>
      </c>
      <c r="C1038">
        <v>0.91066644831565402</v>
      </c>
      <c r="D1038">
        <v>0.76861106351862396</v>
      </c>
      <c r="E1038">
        <v>1.70112995973815</v>
      </c>
      <c r="F1038">
        <v>1.2417460752645</v>
      </c>
      <c r="G1038">
        <v>0.55067780900315899</v>
      </c>
      <c r="H1038">
        <v>0.24975759478072301</v>
      </c>
      <c r="I1038">
        <v>0.223631819692934</v>
      </c>
      <c r="J1038">
        <v>0.16823792656636299</v>
      </c>
      <c r="K1038">
        <v>0.12474390396094399</v>
      </c>
      <c r="L1038">
        <v>11631.925775755501</v>
      </c>
      <c r="M1038">
        <v>204.29305133198201</v>
      </c>
      <c r="N1038">
        <v>57.072440579979002</v>
      </c>
      <c r="O1038">
        <v>56.931996210547503</v>
      </c>
      <c r="P1038">
        <v>-0.72521630248727498</v>
      </c>
      <c r="Q1038">
        <v>0.191592448763405</v>
      </c>
      <c r="R1038">
        <v>0.75121484678723904</v>
      </c>
      <c r="S1038" t="s">
        <v>7323</v>
      </c>
      <c r="T1038" t="s">
        <v>12568</v>
      </c>
      <c r="U1038" t="s">
        <v>12568</v>
      </c>
      <c r="V1038" t="s">
        <v>12568</v>
      </c>
      <c r="W1038" t="s">
        <v>13584</v>
      </c>
      <c r="X1038">
        <v>19</v>
      </c>
      <c r="Y1038" t="s">
        <v>19804</v>
      </c>
      <c r="Z1038" t="s">
        <v>25908</v>
      </c>
      <c r="AA1038">
        <v>0.64812556396440657</v>
      </c>
      <c r="AB1038" t="str">
        <f>HYPERLINK("Melting_Curves/meltCurve_O43149_ZZEF1.pdf", "Melting_Curves/meltCurve_O43149_ZZEF1.pdf")</f>
        <v>Melting_Curves/meltCurve_O43149_ZZEF1.pdf</v>
      </c>
    </row>
    <row r="1039" spans="1:28" x14ac:dyDescent="0.25">
      <c r="A1039" t="s">
        <v>1043</v>
      </c>
      <c r="B1039">
        <v>0.99352677808782597</v>
      </c>
      <c r="C1039">
        <v>0.98299103025587797</v>
      </c>
      <c r="D1039">
        <v>0.90102013643331702</v>
      </c>
      <c r="E1039">
        <v>0.399927361624763</v>
      </c>
      <c r="F1039">
        <v>0.34074874328544003</v>
      </c>
      <c r="G1039">
        <v>0.21685392209129001</v>
      </c>
      <c r="H1039">
        <v>0.14634235638822601</v>
      </c>
      <c r="I1039">
        <v>0.15357974293903201</v>
      </c>
      <c r="J1039">
        <v>0.12962470129693801</v>
      </c>
      <c r="K1039">
        <v>0.112465403799719</v>
      </c>
      <c r="L1039">
        <v>1189.49794040044</v>
      </c>
      <c r="M1039">
        <v>24.284243319902998</v>
      </c>
      <c r="N1039">
        <v>49.709210664209699</v>
      </c>
      <c r="O1039">
        <v>48.653762922173499</v>
      </c>
      <c r="P1039">
        <v>-0.106133369014092</v>
      </c>
      <c r="Q1039">
        <v>0.149455095764574</v>
      </c>
      <c r="R1039">
        <v>0.98665461147370104</v>
      </c>
      <c r="S1039" t="s">
        <v>7324</v>
      </c>
      <c r="T1039" t="s">
        <v>12568</v>
      </c>
      <c r="U1039" t="s">
        <v>12568</v>
      </c>
      <c r="V1039" t="s">
        <v>12568</v>
      </c>
      <c r="W1039" t="s">
        <v>13585</v>
      </c>
      <c r="X1039">
        <v>13</v>
      </c>
      <c r="Y1039" t="s">
        <v>19805</v>
      </c>
      <c r="Z1039" t="s">
        <v>25909</v>
      </c>
      <c r="AA1039">
        <v>0.41211783500406279</v>
      </c>
      <c r="AB1039" t="str">
        <f>HYPERLINK("Melting_Curves/meltCurve_O43150_ASAP2.pdf", "Melting_Curves/meltCurve_O43150_ASAP2.pdf")</f>
        <v>Melting_Curves/meltCurve_O43150_ASAP2.pdf</v>
      </c>
    </row>
    <row r="1040" spans="1:28" x14ac:dyDescent="0.25">
      <c r="A1040" t="s">
        <v>1044</v>
      </c>
      <c r="B1040">
        <v>0.99352677808782597</v>
      </c>
      <c r="C1040">
        <v>0.83475367262728395</v>
      </c>
      <c r="D1040">
        <v>0.72088257832060199</v>
      </c>
      <c r="E1040">
        <v>0.38059926686256901</v>
      </c>
      <c r="F1040">
        <v>0.33013805188707801</v>
      </c>
      <c r="G1040">
        <v>0.191200646775741</v>
      </c>
      <c r="H1040">
        <v>0.14278945731979001</v>
      </c>
      <c r="I1040">
        <v>0.14600625265679801</v>
      </c>
      <c r="J1040">
        <v>0.11066092330477301</v>
      </c>
      <c r="K1040">
        <v>0.101690639409227</v>
      </c>
      <c r="L1040">
        <v>696.61270591161701</v>
      </c>
      <c r="M1040">
        <v>14.500900678976199</v>
      </c>
      <c r="N1040">
        <v>48.844131499305</v>
      </c>
      <c r="O1040">
        <v>47.153392164611702</v>
      </c>
      <c r="P1040">
        <v>-6.8718890287865195E-2</v>
      </c>
      <c r="Q1040">
        <v>0.106274778038022</v>
      </c>
      <c r="R1040">
        <v>0.99195344399201202</v>
      </c>
      <c r="S1040" t="s">
        <v>7325</v>
      </c>
      <c r="T1040" t="s">
        <v>12568</v>
      </c>
      <c r="U1040" t="s">
        <v>12568</v>
      </c>
      <c r="V1040" t="s">
        <v>12568</v>
      </c>
      <c r="W1040" t="s">
        <v>13586</v>
      </c>
      <c r="X1040">
        <v>6</v>
      </c>
      <c r="Y1040" t="s">
        <v>19806</v>
      </c>
      <c r="Z1040" t="s">
        <v>25910</v>
      </c>
      <c r="AA1040">
        <v>0.37030365717385738</v>
      </c>
      <c r="AB1040" t="str">
        <f>HYPERLINK("Melting_Curves/meltCurve_O43156_TTI1.pdf", "Melting_Curves/meltCurve_O43156_TTI1.pdf")</f>
        <v>Melting_Curves/meltCurve_O43156_TTI1.pdf</v>
      </c>
    </row>
    <row r="1041" spans="1:28" x14ac:dyDescent="0.25">
      <c r="A1041" t="s">
        <v>1045</v>
      </c>
      <c r="B1041">
        <v>0.99352677808782597</v>
      </c>
      <c r="C1041">
        <v>0.82096392200465895</v>
      </c>
      <c r="D1041">
        <v>1.13661952392764</v>
      </c>
      <c r="E1041">
        <v>0.83347659194340296</v>
      </c>
      <c r="F1041">
        <v>0.75278299067105803</v>
      </c>
      <c r="G1041">
        <v>0.63950215615161099</v>
      </c>
      <c r="H1041">
        <v>0.51666929800364902</v>
      </c>
      <c r="I1041">
        <v>0.49134383991069103</v>
      </c>
      <c r="J1041">
        <v>0.53361663005653404</v>
      </c>
      <c r="K1041">
        <v>0.53539632164177398</v>
      </c>
      <c r="L1041">
        <v>1090.2958791490501</v>
      </c>
      <c r="M1041">
        <v>20.624483742737599</v>
      </c>
      <c r="O1041">
        <v>52.374694698385603</v>
      </c>
      <c r="P1041">
        <v>-4.7929183543324601E-2</v>
      </c>
      <c r="Q1041">
        <v>0.513160379810784</v>
      </c>
      <c r="R1041">
        <v>0.85895836995209995</v>
      </c>
      <c r="S1041" t="s">
        <v>7326</v>
      </c>
      <c r="T1041" t="s">
        <v>12568</v>
      </c>
      <c r="U1041" t="s">
        <v>12568</v>
      </c>
      <c r="V1041" t="s">
        <v>12568</v>
      </c>
      <c r="W1041" t="s">
        <v>13587</v>
      </c>
      <c r="X1041">
        <v>1</v>
      </c>
      <c r="Y1041" t="s">
        <v>19807</v>
      </c>
      <c r="Z1041" t="s">
        <v>25911</v>
      </c>
      <c r="AA1041">
        <v>0.72827532174865672</v>
      </c>
      <c r="AB1041" t="str">
        <f>HYPERLINK("Melting_Curves/meltCurve_O43159_RRP8.pdf", "Melting_Curves/meltCurve_O43159_RRP8.pdf")</f>
        <v>Melting_Curves/meltCurve_O43159_RRP8.pdf</v>
      </c>
    </row>
    <row r="1042" spans="1:28" x14ac:dyDescent="0.25">
      <c r="A1042" t="s">
        <v>1046</v>
      </c>
      <c r="B1042">
        <v>0.99352677808782597</v>
      </c>
      <c r="C1042">
        <v>0.957628029638117</v>
      </c>
      <c r="D1042">
        <v>0.93249946904308301</v>
      </c>
      <c r="E1042">
        <v>0.93644871597478196</v>
      </c>
      <c r="F1042">
        <v>0.96510823450382499</v>
      </c>
      <c r="G1042">
        <v>0.811139966441769</v>
      </c>
      <c r="H1042">
        <v>0.77286257348310305</v>
      </c>
      <c r="I1042">
        <v>0.84799210775733602</v>
      </c>
      <c r="J1042">
        <v>0.86562288575511104</v>
      </c>
      <c r="K1042">
        <v>0.68052337024781595</v>
      </c>
      <c r="L1042">
        <v>258.54373313568698</v>
      </c>
      <c r="M1042">
        <v>2.6227855293893998</v>
      </c>
      <c r="O1042">
        <v>68.130370565952603</v>
      </c>
      <c r="P1042">
        <v>-1.00570964088364E-2</v>
      </c>
      <c r="Q1042">
        <v>0</v>
      </c>
      <c r="R1042">
        <v>0.708548175391436</v>
      </c>
      <c r="S1042" t="s">
        <v>7327</v>
      </c>
      <c r="T1042" t="s">
        <v>12568</v>
      </c>
      <c r="U1042" t="s">
        <v>12568</v>
      </c>
      <c r="V1042" t="s">
        <v>12568</v>
      </c>
      <c r="W1042" t="s">
        <v>13588</v>
      </c>
      <c r="X1042">
        <v>4</v>
      </c>
      <c r="Y1042" t="s">
        <v>19808</v>
      </c>
      <c r="Z1042" t="s">
        <v>25912</v>
      </c>
      <c r="AA1042">
        <v>0.8795513842151329</v>
      </c>
      <c r="AB1042" t="str">
        <f>HYPERLINK("Melting_Curves/meltCurve_O43164_2_PJA2.pdf", "Melting_Curves/meltCurve_O43164_2_PJA2.pdf")</f>
        <v>Melting_Curves/meltCurve_O43164_2_PJA2.pdf</v>
      </c>
    </row>
    <row r="1043" spans="1:28" x14ac:dyDescent="0.25">
      <c r="A1043" t="s">
        <v>1047</v>
      </c>
      <c r="B1043">
        <v>0.99352677808782597</v>
      </c>
      <c r="C1043">
        <v>1.0027274892873299</v>
      </c>
      <c r="D1043">
        <v>1.1168292751240501</v>
      </c>
      <c r="E1043">
        <v>0.70508563943343106</v>
      </c>
      <c r="F1043">
        <v>0.56877201652558596</v>
      </c>
      <c r="G1043">
        <v>0.246239719634715</v>
      </c>
      <c r="H1043">
        <v>0.12216296703750799</v>
      </c>
      <c r="I1043">
        <v>0.107029184676168</v>
      </c>
      <c r="J1043">
        <v>8.87872910704261E-2</v>
      </c>
      <c r="K1043">
        <v>7.2286136264715195E-2</v>
      </c>
      <c r="L1043">
        <v>1117.41631591808</v>
      </c>
      <c r="M1043">
        <v>21.109512322716</v>
      </c>
      <c r="N1043">
        <v>53.351881125747397</v>
      </c>
      <c r="O1043">
        <v>52.4660784189116</v>
      </c>
      <c r="P1043">
        <v>-9.2929107980284198E-2</v>
      </c>
      <c r="Q1043">
        <v>7.6151442184646603E-2</v>
      </c>
      <c r="R1043">
        <v>0.97989759407841803</v>
      </c>
      <c r="S1043" t="s">
        <v>7328</v>
      </c>
      <c r="T1043" t="s">
        <v>12568</v>
      </c>
      <c r="U1043" t="s">
        <v>12568</v>
      </c>
      <c r="V1043" t="s">
        <v>12568</v>
      </c>
      <c r="W1043" t="s">
        <v>13589</v>
      </c>
      <c r="X1043">
        <v>8</v>
      </c>
      <c r="Y1043" t="s">
        <v>19809</v>
      </c>
      <c r="Z1043" t="s">
        <v>25913</v>
      </c>
      <c r="AA1043">
        <v>0.48603671724219499</v>
      </c>
      <c r="AB1043" t="str">
        <f>HYPERLINK("Melting_Curves/meltCurve_O43172_2_PRPF4.pdf", "Melting_Curves/meltCurve_O43172_2_PRPF4.pdf")</f>
        <v>Melting_Curves/meltCurve_O43172_2_PRPF4.pdf</v>
      </c>
    </row>
    <row r="1044" spans="1:28" x14ac:dyDescent="0.25">
      <c r="A1044" t="s">
        <v>1048</v>
      </c>
      <c r="B1044">
        <v>0.99352677808782597</v>
      </c>
      <c r="C1044">
        <v>1.0670358310683501</v>
      </c>
      <c r="D1044">
        <v>0.87749386533700002</v>
      </c>
      <c r="E1044">
        <v>0.49637093940235999</v>
      </c>
      <c r="F1044">
        <v>0.40873401459876102</v>
      </c>
      <c r="G1044">
        <v>0.20904215367639301</v>
      </c>
      <c r="H1044">
        <v>8.7957658581362605E-2</v>
      </c>
      <c r="I1044">
        <v>8.0913933476313399E-2</v>
      </c>
      <c r="J1044">
        <v>6.2487357940762302E-2</v>
      </c>
      <c r="K1044">
        <v>4.79022437608378E-2</v>
      </c>
      <c r="L1044">
        <v>873.94037091998496</v>
      </c>
      <c r="M1044">
        <v>17.251347988247399</v>
      </c>
      <c r="N1044">
        <v>51.003385712909399</v>
      </c>
      <c r="O1044">
        <v>49.9932374951822</v>
      </c>
      <c r="P1044">
        <v>-8.1533546530701398E-2</v>
      </c>
      <c r="Q1044">
        <v>5.49403602516376E-2</v>
      </c>
      <c r="R1044">
        <v>0.98441144393306801</v>
      </c>
      <c r="S1044" t="s">
        <v>7329</v>
      </c>
      <c r="T1044" t="s">
        <v>12568</v>
      </c>
      <c r="U1044" t="s">
        <v>12568</v>
      </c>
      <c r="V1044" t="s">
        <v>12568</v>
      </c>
      <c r="W1044" t="s">
        <v>13590</v>
      </c>
      <c r="X1044">
        <v>21</v>
      </c>
      <c r="Y1044" t="s">
        <v>19810</v>
      </c>
      <c r="Z1044" t="s">
        <v>25914</v>
      </c>
      <c r="AA1044">
        <v>0.40800132601892281</v>
      </c>
      <c r="AB1044" t="str">
        <f>HYPERLINK("Melting_Curves/meltCurve_O43175_PHGDH.pdf", "Melting_Curves/meltCurve_O43175_PHGDH.pdf")</f>
        <v>Melting_Curves/meltCurve_O43175_PHGDH.pdf</v>
      </c>
    </row>
    <row r="1045" spans="1:28" x14ac:dyDescent="0.25">
      <c r="A1045" t="s">
        <v>1049</v>
      </c>
      <c r="B1045">
        <v>0.99352677808782597</v>
      </c>
      <c r="C1045">
        <v>0.93207685912986504</v>
      </c>
      <c r="D1045">
        <v>1.0347995856538801</v>
      </c>
      <c r="E1045">
        <v>1.43432436448319</v>
      </c>
      <c r="F1045">
        <v>1.3084827744265699</v>
      </c>
      <c r="G1045">
        <v>0.76614011404085103</v>
      </c>
      <c r="H1045">
        <v>0.49458799235850698</v>
      </c>
      <c r="I1045">
        <v>0.49117136320688498</v>
      </c>
      <c r="J1045">
        <v>0.40682279867861798</v>
      </c>
      <c r="K1045">
        <v>0.36262255393999099</v>
      </c>
      <c r="L1045">
        <v>6745.2671412257996</v>
      </c>
      <c r="M1045">
        <v>117.999519831832</v>
      </c>
      <c r="N1045">
        <v>58.198580300627803</v>
      </c>
      <c r="O1045">
        <v>57.147097872146603</v>
      </c>
      <c r="P1045">
        <v>-0.28975414285437001</v>
      </c>
      <c r="Q1045">
        <v>0.43868895622241799</v>
      </c>
      <c r="R1045">
        <v>0.76771421644095605</v>
      </c>
      <c r="S1045" t="s">
        <v>7330</v>
      </c>
      <c r="T1045" t="s">
        <v>12568</v>
      </c>
      <c r="U1045" t="s">
        <v>12568</v>
      </c>
      <c r="V1045" t="s">
        <v>12568</v>
      </c>
      <c r="W1045" t="s">
        <v>13591</v>
      </c>
      <c r="X1045">
        <v>13</v>
      </c>
      <c r="Y1045" t="s">
        <v>19811</v>
      </c>
      <c r="Z1045" t="s">
        <v>25915</v>
      </c>
      <c r="AA1045">
        <v>0.76007757104933649</v>
      </c>
      <c r="AB1045" t="str">
        <f>HYPERLINK("Melting_Curves/meltCurve_O43237_DYNC1LI2.pdf", "Melting_Curves/meltCurve_O43237_DYNC1LI2.pdf")</f>
        <v>Melting_Curves/meltCurve_O43237_DYNC1LI2.pdf</v>
      </c>
    </row>
    <row r="1046" spans="1:28" x14ac:dyDescent="0.25">
      <c r="A1046" t="s">
        <v>1050</v>
      </c>
      <c r="B1046">
        <v>0.99352677808782597</v>
      </c>
      <c r="C1046">
        <v>0.98396253871193895</v>
      </c>
      <c r="D1046">
        <v>0.83825995862463498</v>
      </c>
      <c r="E1046">
        <v>1.16373235643934</v>
      </c>
      <c r="F1046">
        <v>0.91087631286705095</v>
      </c>
      <c r="G1046">
        <v>0.41212670056398898</v>
      </c>
      <c r="H1046">
        <v>0.18738290300782701</v>
      </c>
      <c r="I1046">
        <v>0.16322570179186</v>
      </c>
      <c r="J1046">
        <v>0.135895140894116</v>
      </c>
      <c r="K1046">
        <v>0.101733333352411</v>
      </c>
      <c r="L1046">
        <v>2360.4848223946901</v>
      </c>
      <c r="M1046">
        <v>42.162232097385598</v>
      </c>
      <c r="N1046">
        <v>56.419643531540501</v>
      </c>
      <c r="O1046">
        <v>55.860274997441302</v>
      </c>
      <c r="P1046">
        <v>-0.16256858994095399</v>
      </c>
      <c r="Q1046">
        <v>0.138460389319642</v>
      </c>
      <c r="R1046">
        <v>0.96468905863823495</v>
      </c>
      <c r="S1046" t="s">
        <v>7331</v>
      </c>
      <c r="T1046" t="s">
        <v>12568</v>
      </c>
      <c r="U1046" t="s">
        <v>12568</v>
      </c>
      <c r="V1046" t="s">
        <v>12568</v>
      </c>
      <c r="W1046" t="s">
        <v>13592</v>
      </c>
      <c r="X1046">
        <v>34</v>
      </c>
      <c r="Y1046" t="s">
        <v>19812</v>
      </c>
      <c r="Z1046" t="s">
        <v>25916</v>
      </c>
      <c r="AA1046">
        <v>0.60052474780205878</v>
      </c>
      <c r="AB1046" t="str">
        <f>HYPERLINK("Melting_Curves/meltCurve_O43242_PSMD3.pdf", "Melting_Curves/meltCurve_O43242_PSMD3.pdf")</f>
        <v>Melting_Curves/meltCurve_O43242_PSMD3.pdf</v>
      </c>
    </row>
    <row r="1047" spans="1:28" x14ac:dyDescent="0.25">
      <c r="A1047" t="s">
        <v>1051</v>
      </c>
      <c r="B1047">
        <v>0.99352677808782597</v>
      </c>
      <c r="C1047">
        <v>0.91576647461903304</v>
      </c>
      <c r="D1047">
        <v>1.0204034607808401</v>
      </c>
      <c r="E1047">
        <v>0.89677407911356699</v>
      </c>
      <c r="F1047">
        <v>0.81903771372806999</v>
      </c>
      <c r="G1047">
        <v>0.70124321638464804</v>
      </c>
      <c r="H1047">
        <v>0.65945740634507399</v>
      </c>
      <c r="I1047">
        <v>0.73205121682302499</v>
      </c>
      <c r="J1047">
        <v>0.66466403648938299</v>
      </c>
      <c r="K1047">
        <v>0.57101685448365502</v>
      </c>
      <c r="L1047">
        <v>845.38100355818597</v>
      </c>
      <c r="M1047">
        <v>15.9254717371585</v>
      </c>
      <c r="O1047">
        <v>52.267724881223302</v>
      </c>
      <c r="P1047">
        <v>-2.80964383495323E-2</v>
      </c>
      <c r="Q1047">
        <v>0.63117710679001604</v>
      </c>
      <c r="R1047">
        <v>0.90627199794456104</v>
      </c>
      <c r="S1047" t="s">
        <v>7332</v>
      </c>
      <c r="T1047" t="s">
        <v>12568</v>
      </c>
      <c r="U1047" t="s">
        <v>12568</v>
      </c>
      <c r="V1047" t="s">
        <v>12568</v>
      </c>
      <c r="W1047" t="s">
        <v>13593</v>
      </c>
      <c r="X1047">
        <v>3</v>
      </c>
      <c r="Y1047" t="s">
        <v>19813</v>
      </c>
      <c r="Z1047" t="s">
        <v>25917</v>
      </c>
      <c r="AA1047">
        <v>0.79929338723735244</v>
      </c>
      <c r="AB1047" t="str">
        <f>HYPERLINK("Melting_Curves/meltCurve_O43251_6_RBFOX2.pdf", "Melting_Curves/meltCurve_O43251_6_RBFOX2.pdf")</f>
        <v>Melting_Curves/meltCurve_O43251_6_RBFOX2.pdf</v>
      </c>
    </row>
    <row r="1048" spans="1:28" x14ac:dyDescent="0.25">
      <c r="A1048" t="s">
        <v>1052</v>
      </c>
      <c r="B1048">
        <v>0.99352677808782597</v>
      </c>
      <c r="C1048">
        <v>0.96535867008207199</v>
      </c>
      <c r="D1048">
        <v>0.85397166621851095</v>
      </c>
      <c r="E1048">
        <v>0.42653684882258203</v>
      </c>
      <c r="F1048">
        <v>0.33384123847892699</v>
      </c>
      <c r="G1048">
        <v>0.151883285423449</v>
      </c>
      <c r="H1048">
        <v>0.11055130733151899</v>
      </c>
      <c r="I1048">
        <v>0.11175036806245001</v>
      </c>
      <c r="J1048">
        <v>9.1331775299239498E-2</v>
      </c>
      <c r="K1048">
        <v>7.4056401838369507E-2</v>
      </c>
      <c r="L1048">
        <v>969.336424074776</v>
      </c>
      <c r="M1048">
        <v>19.652890510193298</v>
      </c>
      <c r="N1048">
        <v>49.8379406736492</v>
      </c>
      <c r="O1048">
        <v>48.820680980905003</v>
      </c>
      <c r="P1048">
        <v>-9.1391641394015205E-2</v>
      </c>
      <c r="Q1048">
        <v>9.1910337298571607E-2</v>
      </c>
      <c r="R1048">
        <v>0.99359596552055296</v>
      </c>
      <c r="S1048" t="s">
        <v>7333</v>
      </c>
      <c r="T1048" t="s">
        <v>12568</v>
      </c>
      <c r="U1048" t="s">
        <v>12568</v>
      </c>
      <c r="V1048" t="s">
        <v>12568</v>
      </c>
      <c r="W1048" t="s">
        <v>13594</v>
      </c>
      <c r="X1048">
        <v>16</v>
      </c>
      <c r="Y1048" t="s">
        <v>19814</v>
      </c>
      <c r="Z1048" t="s">
        <v>25918</v>
      </c>
      <c r="AA1048">
        <v>0.38724924438859393</v>
      </c>
      <c r="AB1048" t="str">
        <f>HYPERLINK("Melting_Curves/meltCurve_O43252_PAPSS1.pdf", "Melting_Curves/meltCurve_O43252_PAPSS1.pdf")</f>
        <v>Melting_Curves/meltCurve_O43252_PAPSS1.pdf</v>
      </c>
    </row>
    <row r="1049" spans="1:28" x14ac:dyDescent="0.25">
      <c r="A1049" t="s">
        <v>1053</v>
      </c>
      <c r="B1049">
        <v>0.99352677808782597</v>
      </c>
      <c r="C1049">
        <v>0.93551835891225998</v>
      </c>
      <c r="D1049">
        <v>0.82694665450980798</v>
      </c>
      <c r="E1049">
        <v>0.45534540651265099</v>
      </c>
      <c r="F1049">
        <v>0.35406996899783499</v>
      </c>
      <c r="G1049">
        <v>0.19562752478242501</v>
      </c>
      <c r="H1049">
        <v>0.13074103060584999</v>
      </c>
      <c r="I1049">
        <v>0.110868522197051</v>
      </c>
      <c r="J1049">
        <v>8.3332234009885403E-2</v>
      </c>
      <c r="K1049">
        <v>6.5824519030280207E-2</v>
      </c>
      <c r="L1049">
        <v>798.60149393835604</v>
      </c>
      <c r="M1049">
        <v>16.097902486128199</v>
      </c>
      <c r="N1049">
        <v>50.1448853182535</v>
      </c>
      <c r="O1049">
        <v>48.862432297216301</v>
      </c>
      <c r="P1049">
        <v>-7.5860905939320905E-2</v>
      </c>
      <c r="Q1049">
        <v>7.9019256474033905E-2</v>
      </c>
      <c r="R1049">
        <v>0.995052672614545</v>
      </c>
      <c r="S1049" t="s">
        <v>7334</v>
      </c>
      <c r="T1049" t="s">
        <v>12568</v>
      </c>
      <c r="U1049" t="s">
        <v>12568</v>
      </c>
      <c r="V1049" t="s">
        <v>12568</v>
      </c>
      <c r="W1049" t="s">
        <v>13595</v>
      </c>
      <c r="X1049">
        <v>6</v>
      </c>
      <c r="Y1049" t="s">
        <v>19815</v>
      </c>
      <c r="Z1049" t="s">
        <v>25919</v>
      </c>
      <c r="AA1049">
        <v>0.39354260964951437</v>
      </c>
      <c r="AB1049" t="str">
        <f>HYPERLINK("Melting_Curves/meltCurve_O43264_ZW10.pdf", "Melting_Curves/meltCurve_O43264_ZW10.pdf")</f>
        <v>Melting_Curves/meltCurve_O43264_ZW10.pdf</v>
      </c>
    </row>
    <row r="1050" spans="1:28" x14ac:dyDescent="0.25">
      <c r="A1050" t="s">
        <v>1054</v>
      </c>
      <c r="B1050">
        <v>0.99352677808782597</v>
      </c>
      <c r="C1050">
        <v>1.0031214121148899</v>
      </c>
      <c r="D1050">
        <v>1.0847634593451201</v>
      </c>
      <c r="E1050">
        <v>1.0764978159425</v>
      </c>
      <c r="F1050">
        <v>0.96728396894597901</v>
      </c>
      <c r="G1050">
        <v>0.83135752294137699</v>
      </c>
      <c r="H1050">
        <v>0.820722331364799</v>
      </c>
      <c r="I1050">
        <v>0.83238813517819499</v>
      </c>
      <c r="J1050">
        <v>0.99719471935885495</v>
      </c>
      <c r="K1050">
        <v>0.86078569007291905</v>
      </c>
      <c r="L1050">
        <v>13308.5743164531</v>
      </c>
      <c r="M1050">
        <v>250</v>
      </c>
      <c r="O1050">
        <v>53.230890636748001</v>
      </c>
      <c r="P1050">
        <v>-0.154410249476676</v>
      </c>
      <c r="Q1050">
        <v>0.86848967853655801</v>
      </c>
      <c r="R1050">
        <v>0.630633424858836</v>
      </c>
      <c r="S1050" t="s">
        <v>7335</v>
      </c>
      <c r="T1050" t="s">
        <v>12568</v>
      </c>
      <c r="U1050" t="s">
        <v>12568</v>
      </c>
      <c r="V1050" t="s">
        <v>12568</v>
      </c>
      <c r="W1050" t="s">
        <v>13596</v>
      </c>
      <c r="X1050">
        <v>29</v>
      </c>
      <c r="Y1050" t="s">
        <v>19816</v>
      </c>
      <c r="Z1050" t="s">
        <v>25920</v>
      </c>
      <c r="AA1050">
        <v>0.92651685452842902</v>
      </c>
      <c r="AB1050" t="str">
        <f>HYPERLINK("Melting_Curves/meltCurve_O43290_SART1.pdf", "Melting_Curves/meltCurve_O43290_SART1.pdf")</f>
        <v>Melting_Curves/meltCurve_O43290_SART1.pdf</v>
      </c>
    </row>
    <row r="1051" spans="1:28" x14ac:dyDescent="0.25">
      <c r="A1051" t="s">
        <v>1055</v>
      </c>
      <c r="B1051">
        <v>0.99352677808782597</v>
      </c>
      <c r="C1051">
        <v>1.30651443173299</v>
      </c>
      <c r="D1051">
        <v>1.24872445634184</v>
      </c>
      <c r="E1051">
        <v>1.1708151504689901</v>
      </c>
      <c r="F1051">
        <v>1.12376516999193</v>
      </c>
      <c r="G1051">
        <v>0.89474324041424402</v>
      </c>
      <c r="H1051">
        <v>0.49669040412627702</v>
      </c>
      <c r="I1051">
        <v>0.79754160943737995</v>
      </c>
      <c r="J1051">
        <v>0.61905024824352295</v>
      </c>
      <c r="K1051">
        <v>0.59749589360870903</v>
      </c>
      <c r="L1051">
        <v>14303.0685351596</v>
      </c>
      <c r="M1051">
        <v>250</v>
      </c>
      <c r="O1051">
        <v>57.2086129769663</v>
      </c>
      <c r="P1051">
        <v>-0.406741054286819</v>
      </c>
      <c r="Q1051">
        <v>0.62769453580766799</v>
      </c>
      <c r="R1051">
        <v>0.67301461039932298</v>
      </c>
      <c r="S1051" t="s">
        <v>7336</v>
      </c>
      <c r="T1051" t="s">
        <v>12568</v>
      </c>
      <c r="U1051" t="s">
        <v>12568</v>
      </c>
      <c r="V1051" t="s">
        <v>12568</v>
      </c>
      <c r="W1051" t="s">
        <v>13597</v>
      </c>
      <c r="X1051">
        <v>1</v>
      </c>
      <c r="Y1051" t="s">
        <v>19817</v>
      </c>
      <c r="Z1051" t="s">
        <v>25921</v>
      </c>
      <c r="AA1051">
        <v>0.84133937487689903</v>
      </c>
      <c r="AB1051" t="str">
        <f>HYPERLINK("Melting_Curves/meltCurve_O43291_SPINT2.pdf", "Melting_Curves/meltCurve_O43291_SPINT2.pdf")</f>
        <v>Melting_Curves/meltCurve_O43291_SPINT2.pdf</v>
      </c>
    </row>
    <row r="1052" spans="1:28" x14ac:dyDescent="0.25">
      <c r="A1052" t="s">
        <v>1056</v>
      </c>
      <c r="B1052">
        <v>0.99352677808782597</v>
      </c>
      <c r="C1052">
        <v>0.81273108753491297</v>
      </c>
      <c r="D1052">
        <v>0.70570862876420504</v>
      </c>
      <c r="E1052">
        <v>0.38642904432415198</v>
      </c>
      <c r="F1052">
        <v>0.30891415333038202</v>
      </c>
      <c r="G1052">
        <v>0.22372521857427899</v>
      </c>
      <c r="H1052">
        <v>0.126613092058634</v>
      </c>
      <c r="I1052">
        <v>0.111153318949874</v>
      </c>
      <c r="J1052">
        <v>0.102557017350676</v>
      </c>
      <c r="K1052">
        <v>8.6432265245937098E-2</v>
      </c>
      <c r="L1052">
        <v>642.70221903359902</v>
      </c>
      <c r="M1052">
        <v>13.3570711172313</v>
      </c>
      <c r="N1052">
        <v>48.7907329699119</v>
      </c>
      <c r="O1052">
        <v>47.076864825640598</v>
      </c>
      <c r="P1052">
        <v>-6.4969118553071706E-2</v>
      </c>
      <c r="Q1052">
        <v>8.4213503072334606E-2</v>
      </c>
      <c r="R1052">
        <v>0.99151263005076595</v>
      </c>
      <c r="S1052" t="s">
        <v>7337</v>
      </c>
      <c r="T1052" t="s">
        <v>12568</v>
      </c>
      <c r="U1052" t="s">
        <v>12568</v>
      </c>
      <c r="V1052" t="s">
        <v>12568</v>
      </c>
      <c r="W1052" t="s">
        <v>13598</v>
      </c>
      <c r="X1052">
        <v>3</v>
      </c>
      <c r="Y1052" t="s">
        <v>19818</v>
      </c>
      <c r="Z1052" t="s">
        <v>25922</v>
      </c>
      <c r="AA1052">
        <v>0.36127962109698142</v>
      </c>
      <c r="AB1052" t="str">
        <f>HYPERLINK("Melting_Curves/meltCurve_O43293_DAPK3.pdf", "Melting_Curves/meltCurve_O43293_DAPK3.pdf")</f>
        <v>Melting_Curves/meltCurve_O43293_DAPK3.pdf</v>
      </c>
    </row>
    <row r="1053" spans="1:28" x14ac:dyDescent="0.25">
      <c r="A1053" t="s">
        <v>1057</v>
      </c>
      <c r="B1053">
        <v>0.99352677808782597</v>
      </c>
      <c r="C1053">
        <v>1.02498557489623</v>
      </c>
      <c r="D1053">
        <v>1.0443992002853799</v>
      </c>
      <c r="E1053">
        <v>0.87155862387747696</v>
      </c>
      <c r="F1053">
        <v>0.70473395355374402</v>
      </c>
      <c r="G1053">
        <v>0.60410830700613904</v>
      </c>
      <c r="H1053">
        <v>0.417612783578934</v>
      </c>
      <c r="I1053">
        <v>0.41632801090251098</v>
      </c>
      <c r="J1053">
        <v>0.39362555050276599</v>
      </c>
      <c r="K1053">
        <v>0.31028083273729201</v>
      </c>
      <c r="L1053">
        <v>867.42363509624795</v>
      </c>
      <c r="M1053">
        <v>15.8445429199554</v>
      </c>
      <c r="N1053">
        <v>58.768958745737898</v>
      </c>
      <c r="O1053">
        <v>53.896099775935099</v>
      </c>
      <c r="P1053">
        <v>-4.9173444545396801E-2</v>
      </c>
      <c r="Q1053">
        <v>0.33098966179915601</v>
      </c>
      <c r="R1053">
        <v>0.98101963914261803</v>
      </c>
      <c r="S1053" t="s">
        <v>7338</v>
      </c>
      <c r="T1053" t="s">
        <v>12568</v>
      </c>
      <c r="U1053" t="s">
        <v>12568</v>
      </c>
      <c r="V1053" t="s">
        <v>12568</v>
      </c>
      <c r="W1053" t="s">
        <v>13599</v>
      </c>
      <c r="X1053">
        <v>11</v>
      </c>
      <c r="Y1053" t="s">
        <v>19819</v>
      </c>
      <c r="Z1053" t="s">
        <v>25923</v>
      </c>
      <c r="AA1053">
        <v>0.67215193964140918</v>
      </c>
      <c r="AB1053" t="str">
        <f>HYPERLINK("Melting_Curves/meltCurve_O43294_2_TGFB1I1.pdf", "Melting_Curves/meltCurve_O43294_2_TGFB1I1.pdf")</f>
        <v>Melting_Curves/meltCurve_O43294_2_TGFB1I1.pdf</v>
      </c>
    </row>
    <row r="1054" spans="1:28" x14ac:dyDescent="0.25">
      <c r="A1054" t="s">
        <v>1058</v>
      </c>
      <c r="B1054">
        <v>0.99352677808782597</v>
      </c>
      <c r="C1054">
        <v>0.97067025302844401</v>
      </c>
      <c r="D1054">
        <v>0.867333243155606</v>
      </c>
      <c r="E1054">
        <v>0.35850528958470201</v>
      </c>
      <c r="F1054">
        <v>0.27682013394160898</v>
      </c>
      <c r="G1054">
        <v>0.17873879839669099</v>
      </c>
      <c r="H1054">
        <v>0.16322796967251699</v>
      </c>
      <c r="I1054">
        <v>0.13937260402729901</v>
      </c>
      <c r="J1054">
        <v>0.16296393598673001</v>
      </c>
      <c r="K1054">
        <v>0.123051821650592</v>
      </c>
      <c r="L1054">
        <v>1405.2708726338899</v>
      </c>
      <c r="M1054">
        <v>29.049977749271601</v>
      </c>
      <c r="N1054">
        <v>49.011115811393303</v>
      </c>
      <c r="O1054">
        <v>48.1467562631276</v>
      </c>
      <c r="P1054">
        <v>-0.12712899719742701</v>
      </c>
      <c r="Q1054">
        <v>0.15720369603386999</v>
      </c>
      <c r="R1054">
        <v>0.99441479448916803</v>
      </c>
      <c r="S1054" t="s">
        <v>7339</v>
      </c>
      <c r="T1054" t="s">
        <v>12568</v>
      </c>
      <c r="U1054" t="s">
        <v>12568</v>
      </c>
      <c r="V1054" t="s">
        <v>12568</v>
      </c>
      <c r="W1054" t="s">
        <v>13600</v>
      </c>
      <c r="X1054">
        <v>9</v>
      </c>
      <c r="Y1054" t="s">
        <v>19820</v>
      </c>
      <c r="Z1054" t="s">
        <v>25924</v>
      </c>
      <c r="AA1054">
        <v>0.39790659830304442</v>
      </c>
      <c r="AB1054" t="str">
        <f>HYPERLINK("Melting_Curves/meltCurve_O43301_HSPA12A.pdf", "Melting_Curves/meltCurve_O43301_HSPA12A.pdf")</f>
        <v>Melting_Curves/meltCurve_O43301_HSPA12A.pdf</v>
      </c>
    </row>
    <row r="1055" spans="1:28" x14ac:dyDescent="0.25">
      <c r="A1055" t="s">
        <v>1059</v>
      </c>
      <c r="B1055">
        <v>0.99352677808782597</v>
      </c>
      <c r="C1055">
        <v>1.0110850505304201</v>
      </c>
      <c r="D1055">
        <v>0.92724563954675199</v>
      </c>
      <c r="E1055">
        <v>0.66876924435959595</v>
      </c>
      <c r="F1055">
        <v>0.55862049101460298</v>
      </c>
      <c r="G1055">
        <v>0.46264511497903799</v>
      </c>
      <c r="H1055">
        <v>0.39323525696332401</v>
      </c>
      <c r="I1055">
        <v>0.33809254210402001</v>
      </c>
      <c r="J1055">
        <v>0.36783037842783201</v>
      </c>
      <c r="K1055">
        <v>0.36922411377244002</v>
      </c>
      <c r="L1055">
        <v>930.27687954030603</v>
      </c>
      <c r="M1055">
        <v>18.4530835442396</v>
      </c>
      <c r="N1055">
        <v>54.1893760460487</v>
      </c>
      <c r="O1055">
        <v>49.832228438357703</v>
      </c>
      <c r="P1055">
        <v>-5.9084265062239398E-2</v>
      </c>
      <c r="Q1055">
        <v>0.36180446288040502</v>
      </c>
      <c r="R1055">
        <v>0.991689123524505</v>
      </c>
      <c r="S1055" t="s">
        <v>7340</v>
      </c>
      <c r="T1055" t="s">
        <v>12568</v>
      </c>
      <c r="U1055" t="s">
        <v>12568</v>
      </c>
      <c r="V1055" t="s">
        <v>12568</v>
      </c>
      <c r="W1055" t="s">
        <v>13601</v>
      </c>
      <c r="X1055">
        <v>4</v>
      </c>
      <c r="Y1055" t="s">
        <v>19821</v>
      </c>
      <c r="Z1055" t="s">
        <v>25925</v>
      </c>
      <c r="AA1055">
        <v>0.59366033875997448</v>
      </c>
      <c r="AB1055" t="str">
        <f>HYPERLINK("Melting_Curves/meltCurve_O43303_2_CCP110.pdf", "Melting_Curves/meltCurve_O43303_2_CCP110.pdf")</f>
        <v>Melting_Curves/meltCurve_O43303_2_CCP110.pdf</v>
      </c>
    </row>
    <row r="1056" spans="1:28" x14ac:dyDescent="0.25">
      <c r="A1056" t="s">
        <v>1060</v>
      </c>
      <c r="B1056">
        <v>0.99352677808782597</v>
      </c>
      <c r="C1056">
        <v>0.85562554565456295</v>
      </c>
      <c r="D1056">
        <v>0.87793849653328704</v>
      </c>
      <c r="E1056">
        <v>0.67974320620107898</v>
      </c>
      <c r="F1056">
        <v>0.63507888031820003</v>
      </c>
      <c r="G1056">
        <v>0.41730265411119999</v>
      </c>
      <c r="H1056">
        <v>0.187579346608574</v>
      </c>
      <c r="I1056">
        <v>0.15533934667312299</v>
      </c>
      <c r="J1056">
        <v>0.12304446614106899</v>
      </c>
      <c r="K1056">
        <v>0.12536806167277201</v>
      </c>
      <c r="L1056">
        <v>554.58638026263395</v>
      </c>
      <c r="M1056">
        <v>10.1855781149994</v>
      </c>
      <c r="N1056">
        <v>54.448198536374299</v>
      </c>
      <c r="O1056">
        <v>52.474553634289499</v>
      </c>
      <c r="P1056">
        <v>-4.8548272368084198E-2</v>
      </c>
      <c r="Q1056">
        <v>0</v>
      </c>
      <c r="R1056">
        <v>0.98190198882346902</v>
      </c>
      <c r="S1056" t="s">
        <v>7341</v>
      </c>
      <c r="T1056" t="s">
        <v>12568</v>
      </c>
      <c r="U1056" t="s">
        <v>12568</v>
      </c>
      <c r="V1056" t="s">
        <v>12568</v>
      </c>
      <c r="W1056" t="s">
        <v>13602</v>
      </c>
      <c r="X1056">
        <v>5</v>
      </c>
      <c r="Y1056" t="s">
        <v>19822</v>
      </c>
      <c r="Z1056" t="s">
        <v>25926</v>
      </c>
      <c r="AA1056">
        <v>0.50962437207369216</v>
      </c>
      <c r="AB1056" t="str">
        <f>HYPERLINK("Melting_Curves/meltCurve_O43310_CTIF.pdf", "Melting_Curves/meltCurve_O43310_CTIF.pdf")</f>
        <v>Melting_Curves/meltCurve_O43310_CTIF.pdf</v>
      </c>
    </row>
    <row r="1057" spans="1:28" x14ac:dyDescent="0.25">
      <c r="A1057" t="s">
        <v>1061</v>
      </c>
      <c r="B1057">
        <v>0.99352677808782597</v>
      </c>
      <c r="C1057">
        <v>0.93880799997823405</v>
      </c>
      <c r="D1057">
        <v>0.79999588653979903</v>
      </c>
      <c r="E1057">
        <v>0.37762120349224598</v>
      </c>
      <c r="F1057">
        <v>0.315237159589143</v>
      </c>
      <c r="G1057">
        <v>0.278094215364104</v>
      </c>
      <c r="H1057">
        <v>0.21066523868367201</v>
      </c>
      <c r="I1057">
        <v>0.21680158329298599</v>
      </c>
      <c r="J1057">
        <v>0.20421655244353501</v>
      </c>
      <c r="K1057">
        <v>0.180776755501588</v>
      </c>
      <c r="L1057">
        <v>1157.6065928053999</v>
      </c>
      <c r="M1057">
        <v>24.230817401129801</v>
      </c>
      <c r="N1057">
        <v>48.910885290488501</v>
      </c>
      <c r="O1057">
        <v>47.452319133642597</v>
      </c>
      <c r="P1057">
        <v>-0.100176239509084</v>
      </c>
      <c r="Q1057">
        <v>0.21529308202382899</v>
      </c>
      <c r="R1057">
        <v>0.99281142573548598</v>
      </c>
      <c r="S1057" t="s">
        <v>7342</v>
      </c>
      <c r="T1057" t="s">
        <v>12568</v>
      </c>
      <c r="U1057" t="s">
        <v>12568</v>
      </c>
      <c r="V1057" t="s">
        <v>12568</v>
      </c>
      <c r="W1057" t="s">
        <v>13603</v>
      </c>
      <c r="X1057">
        <v>15</v>
      </c>
      <c r="Y1057" t="s">
        <v>19408</v>
      </c>
      <c r="Z1057" t="s">
        <v>25927</v>
      </c>
      <c r="AA1057">
        <v>0.42606299443402329</v>
      </c>
      <c r="AB1057" t="str">
        <f>HYPERLINK("Melting_Curves/meltCurve_O43314_2_PPIP5K2.pdf", "Melting_Curves/meltCurve_O43314_2_PPIP5K2.pdf")</f>
        <v>Melting_Curves/meltCurve_O43314_2_PPIP5K2.pdf</v>
      </c>
    </row>
    <row r="1058" spans="1:28" x14ac:dyDescent="0.25">
      <c r="A1058" t="s">
        <v>1062</v>
      </c>
      <c r="B1058">
        <v>0.99352677808782597</v>
      </c>
      <c r="C1058">
        <v>0.41720337671774399</v>
      </c>
      <c r="D1058">
        <v>1.1614035885613001</v>
      </c>
      <c r="E1058">
        <v>0.39043822809741502</v>
      </c>
      <c r="F1058">
        <v>0.34271767537549502</v>
      </c>
      <c r="G1058">
        <v>0.27606190395117602</v>
      </c>
      <c r="H1058">
        <v>0.23483857400675801</v>
      </c>
      <c r="I1058">
        <v>0.24621170133819201</v>
      </c>
      <c r="J1058">
        <v>0.24433174072901601</v>
      </c>
      <c r="K1058">
        <v>0.23089732498847901</v>
      </c>
      <c r="L1058">
        <v>558.17633723923802</v>
      </c>
      <c r="M1058">
        <v>11.548121557487701</v>
      </c>
      <c r="N1058">
        <v>50.328224648163001</v>
      </c>
      <c r="O1058">
        <v>46.953594195683898</v>
      </c>
      <c r="P1058">
        <v>-5.0215848979499399E-2</v>
      </c>
      <c r="Q1058">
        <v>0.183536345259349</v>
      </c>
      <c r="R1058">
        <v>0.59547895465184697</v>
      </c>
      <c r="S1058" t="s">
        <v>7343</v>
      </c>
      <c r="T1058" t="s">
        <v>12568</v>
      </c>
      <c r="U1058" t="s">
        <v>12568</v>
      </c>
      <c r="V1058" t="s">
        <v>12568</v>
      </c>
      <c r="W1058" t="s">
        <v>13604</v>
      </c>
      <c r="X1058">
        <v>10</v>
      </c>
      <c r="Y1058" t="s">
        <v>19823</v>
      </c>
      <c r="Z1058" t="s">
        <v>25928</v>
      </c>
      <c r="AA1058">
        <v>0.4437635393581551</v>
      </c>
      <c r="AB1058" t="str">
        <f>HYPERLINK("Melting_Curves/meltCurve_O43318_2_MAP3K7.pdf", "Melting_Curves/meltCurve_O43318_2_MAP3K7.pdf")</f>
        <v>Melting_Curves/meltCurve_O43318_2_MAP3K7.pdf</v>
      </c>
    </row>
    <row r="1059" spans="1:28" x14ac:dyDescent="0.25">
      <c r="A1059" t="s">
        <v>1063</v>
      </c>
      <c r="B1059">
        <v>0.99352677808782597</v>
      </c>
      <c r="C1059">
        <v>0.75938790257195599</v>
      </c>
      <c r="D1059">
        <v>0.88693908140326105</v>
      </c>
      <c r="E1059">
        <v>0.48112923835907401</v>
      </c>
      <c r="F1059">
        <v>0.40608562700311301</v>
      </c>
      <c r="G1059">
        <v>0.188087940654485</v>
      </c>
      <c r="H1059">
        <v>0.12831807001732901</v>
      </c>
      <c r="I1059">
        <v>0.116163946365628</v>
      </c>
      <c r="J1059">
        <v>9.4313949427854205E-2</v>
      </c>
      <c r="K1059">
        <v>5.9273930685458998E-2</v>
      </c>
      <c r="L1059">
        <v>621.08727122507196</v>
      </c>
      <c r="M1059">
        <v>12.3539010111562</v>
      </c>
      <c r="N1059">
        <v>50.596498574686699</v>
      </c>
      <c r="O1059">
        <v>49.011744921465599</v>
      </c>
      <c r="P1059">
        <v>-6.06464100885779E-2</v>
      </c>
      <c r="Q1059">
        <v>3.7794996269789903E-2</v>
      </c>
      <c r="R1059">
        <v>0.96485934585872901</v>
      </c>
      <c r="S1059" t="s">
        <v>7344</v>
      </c>
      <c r="T1059" t="s">
        <v>12568</v>
      </c>
      <c r="U1059" t="s">
        <v>12568</v>
      </c>
      <c r="V1059" t="s">
        <v>12568</v>
      </c>
      <c r="W1059" t="s">
        <v>13605</v>
      </c>
      <c r="X1059">
        <v>2</v>
      </c>
      <c r="Y1059" t="s">
        <v>19824</v>
      </c>
      <c r="Z1059" t="s">
        <v>25929</v>
      </c>
      <c r="AA1059">
        <v>0.39867370095471338</v>
      </c>
      <c r="AB1059" t="str">
        <f>HYPERLINK("Melting_Curves/meltCurve_O43324_EEF1E1.pdf", "Melting_Curves/meltCurve_O43324_EEF1E1.pdf")</f>
        <v>Melting_Curves/meltCurve_O43324_EEF1E1.pdf</v>
      </c>
    </row>
    <row r="1060" spans="1:28" x14ac:dyDescent="0.25">
      <c r="A1060" t="s">
        <v>1064</v>
      </c>
      <c r="B1060">
        <v>0.99352677808782597</v>
      </c>
      <c r="C1060">
        <v>1.0020967817316699</v>
      </c>
      <c r="D1060">
        <v>0.94945888744973905</v>
      </c>
      <c r="E1060">
        <v>0.87541185439609404</v>
      </c>
      <c r="F1060">
        <v>0.76280534834234404</v>
      </c>
      <c r="G1060">
        <v>0.63015564452845496</v>
      </c>
      <c r="H1060">
        <v>0.64210037294974598</v>
      </c>
      <c r="I1060">
        <v>0.59261979277782195</v>
      </c>
      <c r="J1060">
        <v>0.55030225521938902</v>
      </c>
      <c r="K1060">
        <v>0.27576150010593098</v>
      </c>
      <c r="L1060">
        <v>405.21973435855801</v>
      </c>
      <c r="M1060">
        <v>6.2170190562998897</v>
      </c>
      <c r="N1060">
        <v>65.179104424374998</v>
      </c>
      <c r="O1060">
        <v>59.406296050340799</v>
      </c>
      <c r="P1060">
        <v>-2.6237738212568001E-2</v>
      </c>
      <c r="Q1060">
        <v>0</v>
      </c>
      <c r="R1060">
        <v>0.92119281368420602</v>
      </c>
      <c r="S1060" t="s">
        <v>7345</v>
      </c>
      <c r="T1060" t="s">
        <v>12568</v>
      </c>
      <c r="U1060" t="s">
        <v>12568</v>
      </c>
      <c r="V1060" t="s">
        <v>12568</v>
      </c>
      <c r="W1060" t="s">
        <v>13606</v>
      </c>
      <c r="X1060">
        <v>14</v>
      </c>
      <c r="Y1060" t="s">
        <v>19825</v>
      </c>
      <c r="Z1060" t="s">
        <v>25930</v>
      </c>
      <c r="AA1060">
        <v>0.73318801619350826</v>
      </c>
      <c r="AB1060" t="str">
        <f>HYPERLINK("Melting_Curves/meltCurve_O43353_RIPK2.pdf", "Melting_Curves/meltCurve_O43353_RIPK2.pdf")</f>
        <v>Melting_Curves/meltCurve_O43353_RIPK2.pdf</v>
      </c>
    </row>
    <row r="1061" spans="1:28" x14ac:dyDescent="0.25">
      <c r="A1061" t="s">
        <v>1065</v>
      </c>
      <c r="B1061">
        <v>0.99352677808782597</v>
      </c>
      <c r="C1061">
        <v>0.97817889464503704</v>
      </c>
      <c r="D1061">
        <v>0.88589573321950699</v>
      </c>
      <c r="E1061">
        <v>0.68607877280505403</v>
      </c>
      <c r="F1061">
        <v>0.57330441453076497</v>
      </c>
      <c r="G1061">
        <v>0.35582624452697498</v>
      </c>
      <c r="H1061">
        <v>0.21675727775633599</v>
      </c>
      <c r="I1061">
        <v>0.164781144499002</v>
      </c>
      <c r="J1061">
        <v>0.136348574351874</v>
      </c>
      <c r="K1061">
        <v>0.11280588160030799</v>
      </c>
      <c r="L1061">
        <v>664.80381531990702</v>
      </c>
      <c r="M1061">
        <v>12.4709695820966</v>
      </c>
      <c r="N1061">
        <v>53.910570305996401</v>
      </c>
      <c r="O1061">
        <v>51.993075115689699</v>
      </c>
      <c r="P1061">
        <v>-5.60757223071695E-2</v>
      </c>
      <c r="Q1061">
        <v>6.5046552830236706E-2</v>
      </c>
      <c r="R1061">
        <v>0.998220253830574</v>
      </c>
      <c r="S1061" t="s">
        <v>7346</v>
      </c>
      <c r="T1061" t="s">
        <v>12568</v>
      </c>
      <c r="U1061" t="s">
        <v>12568</v>
      </c>
      <c r="V1061" t="s">
        <v>12568</v>
      </c>
      <c r="W1061" t="s">
        <v>13607</v>
      </c>
      <c r="X1061">
        <v>20</v>
      </c>
      <c r="Y1061" t="s">
        <v>19826</v>
      </c>
      <c r="Z1061" t="s">
        <v>25931</v>
      </c>
      <c r="AA1061">
        <v>0.50470016172821508</v>
      </c>
      <c r="AB1061" t="str">
        <f>HYPERLINK("Melting_Curves/meltCurve_O43379_WDR62.pdf", "Melting_Curves/meltCurve_O43379_WDR62.pdf")</f>
        <v>Melting_Curves/meltCurve_O43379_WDR62.pdf</v>
      </c>
    </row>
    <row r="1062" spans="1:28" x14ac:dyDescent="0.25">
      <c r="A1062" t="s">
        <v>1066</v>
      </c>
      <c r="B1062">
        <v>0.99352677808782597</v>
      </c>
      <c r="C1062">
        <v>0.91077112445739306</v>
      </c>
      <c r="D1062">
        <v>0.96587331441205504</v>
      </c>
      <c r="E1062">
        <v>0.50554452131713801</v>
      </c>
      <c r="F1062">
        <v>0.42149811850718</v>
      </c>
      <c r="G1062">
        <v>0.26008345104659603</v>
      </c>
      <c r="H1062">
        <v>0.177349713054549</v>
      </c>
      <c r="I1062">
        <v>0.16489957286147799</v>
      </c>
      <c r="J1062">
        <v>0.15540790346698199</v>
      </c>
      <c r="K1062">
        <v>0.117635836022114</v>
      </c>
      <c r="L1062">
        <v>932.34647684130005</v>
      </c>
      <c r="M1062">
        <v>18.564144058855199</v>
      </c>
      <c r="N1062">
        <v>51.176066917728299</v>
      </c>
      <c r="O1062">
        <v>49.651095935708803</v>
      </c>
      <c r="P1062">
        <v>-7.9815562841498405E-2</v>
      </c>
      <c r="Q1062">
        <v>0.14614849504153099</v>
      </c>
      <c r="R1062">
        <v>0.97991494594692397</v>
      </c>
      <c r="S1062" t="s">
        <v>7347</v>
      </c>
      <c r="T1062" t="s">
        <v>12568</v>
      </c>
      <c r="U1062" t="s">
        <v>12568</v>
      </c>
      <c r="V1062" t="s">
        <v>12568</v>
      </c>
      <c r="W1062" t="s">
        <v>13608</v>
      </c>
      <c r="X1062">
        <v>17</v>
      </c>
      <c r="Y1062" t="s">
        <v>19827</v>
      </c>
      <c r="Z1062" t="s">
        <v>25932</v>
      </c>
      <c r="AA1062">
        <v>0.45081048468077528</v>
      </c>
      <c r="AB1062" t="str">
        <f>HYPERLINK("Melting_Curves/meltCurve_O43390_HNRNPR.pdf", "Melting_Curves/meltCurve_O43390_HNRNPR.pdf")</f>
        <v>Melting_Curves/meltCurve_O43390_HNRNPR.pdf</v>
      </c>
    </row>
    <row r="1063" spans="1:28" x14ac:dyDescent="0.25">
      <c r="A1063" t="s">
        <v>1067</v>
      </c>
      <c r="B1063">
        <v>0.99352677808782597</v>
      </c>
      <c r="C1063">
        <v>0.97967598000419898</v>
      </c>
      <c r="D1063">
        <v>1.0250274180124801</v>
      </c>
      <c r="E1063">
        <v>0.71782079844009905</v>
      </c>
      <c r="F1063">
        <v>0.59606616407282997</v>
      </c>
      <c r="G1063">
        <v>0.470603336176526</v>
      </c>
      <c r="H1063">
        <v>0.351559165445338</v>
      </c>
      <c r="I1063">
        <v>0.33827293956570798</v>
      </c>
      <c r="J1063">
        <v>0.39262073983377599</v>
      </c>
      <c r="K1063">
        <v>0.29958706332827501</v>
      </c>
      <c r="L1063">
        <v>997.96779408704901</v>
      </c>
      <c r="M1063">
        <v>19.325178306431201</v>
      </c>
      <c r="N1063">
        <v>54.834478354162101</v>
      </c>
      <c r="O1063">
        <v>51.097377984624202</v>
      </c>
      <c r="P1063">
        <v>-6.2617509647621805E-2</v>
      </c>
      <c r="Q1063">
        <v>0.33776107936453797</v>
      </c>
      <c r="R1063">
        <v>0.97954255283370095</v>
      </c>
      <c r="S1063" t="s">
        <v>7348</v>
      </c>
      <c r="T1063" t="s">
        <v>12568</v>
      </c>
      <c r="U1063" t="s">
        <v>12568</v>
      </c>
      <c r="V1063" t="s">
        <v>12568</v>
      </c>
      <c r="W1063" t="s">
        <v>13609</v>
      </c>
      <c r="X1063">
        <v>13</v>
      </c>
      <c r="Y1063" t="s">
        <v>19828</v>
      </c>
      <c r="Z1063" t="s">
        <v>25933</v>
      </c>
      <c r="AA1063">
        <v>0.6044921480287323</v>
      </c>
      <c r="AB1063" t="str">
        <f>HYPERLINK("Melting_Curves/meltCurve_O43395_PRPF3.pdf", "Melting_Curves/meltCurve_O43395_PRPF3.pdf")</f>
        <v>Melting_Curves/meltCurve_O43395_PRPF3.pdf</v>
      </c>
    </row>
    <row r="1064" spans="1:28" x14ac:dyDescent="0.25">
      <c r="A1064" t="s">
        <v>1068</v>
      </c>
      <c r="B1064">
        <v>0.99352677808782597</v>
      </c>
      <c r="C1064">
        <v>0.751577720210727</v>
      </c>
      <c r="D1064">
        <v>1.06407902252458</v>
      </c>
      <c r="E1064">
        <v>0.46861495999128</v>
      </c>
      <c r="F1064">
        <v>0.37707215068153299</v>
      </c>
      <c r="G1064">
        <v>0.22699164705564401</v>
      </c>
      <c r="H1064">
        <v>0.154028133438086</v>
      </c>
      <c r="I1064">
        <v>0.13660420030505599</v>
      </c>
      <c r="J1064">
        <v>0.11977075997373</v>
      </c>
      <c r="K1064">
        <v>8.8764180307057503E-2</v>
      </c>
      <c r="L1064">
        <v>1070.47889602493</v>
      </c>
      <c r="M1064">
        <v>21.3808638769701</v>
      </c>
      <c r="N1064">
        <v>50.760099842686003</v>
      </c>
      <c r="O1064">
        <v>49.635343269602998</v>
      </c>
      <c r="P1064">
        <v>-9.4061891699390804E-2</v>
      </c>
      <c r="Q1064">
        <v>0.126568951103499</v>
      </c>
      <c r="R1064">
        <v>0.92113429467029395</v>
      </c>
      <c r="S1064" t="s">
        <v>7349</v>
      </c>
      <c r="T1064" t="s">
        <v>12568</v>
      </c>
      <c r="U1064" t="s">
        <v>12568</v>
      </c>
      <c r="V1064" t="s">
        <v>12568</v>
      </c>
      <c r="W1064" t="s">
        <v>13610</v>
      </c>
      <c r="X1064">
        <v>14</v>
      </c>
      <c r="Y1064" t="s">
        <v>19829</v>
      </c>
      <c r="Z1064" t="s">
        <v>25934</v>
      </c>
      <c r="AA1064">
        <v>0.43033390311662989</v>
      </c>
      <c r="AB1064" t="str">
        <f>HYPERLINK("Melting_Curves/meltCurve_O43396_TXNL1.pdf", "Melting_Curves/meltCurve_O43396_TXNL1.pdf")</f>
        <v>Melting_Curves/meltCurve_O43396_TXNL1.pdf</v>
      </c>
    </row>
    <row r="1065" spans="1:28" x14ac:dyDescent="0.25">
      <c r="A1065" t="s">
        <v>1069</v>
      </c>
      <c r="B1065">
        <v>0.99352677808782597</v>
      </c>
      <c r="C1065">
        <v>0.98509097435396098</v>
      </c>
      <c r="D1065">
        <v>1.03350634504052</v>
      </c>
      <c r="E1065">
        <v>1.0577524071845901</v>
      </c>
      <c r="F1065">
        <v>0.91350807047646498</v>
      </c>
      <c r="G1065">
        <v>0.87818918348056896</v>
      </c>
      <c r="H1065">
        <v>0.79759378875385101</v>
      </c>
      <c r="I1065">
        <v>0.84922674141089405</v>
      </c>
      <c r="J1065">
        <v>1.00201251381782</v>
      </c>
      <c r="K1065">
        <v>0.84967207158875002</v>
      </c>
      <c r="L1065">
        <v>13206.6452874553</v>
      </c>
      <c r="M1065">
        <v>250</v>
      </c>
      <c r="O1065">
        <v>52.823217233994598</v>
      </c>
      <c r="P1065">
        <v>-0.14749811599716001</v>
      </c>
      <c r="Q1065">
        <v>0.87533883884443497</v>
      </c>
      <c r="R1065">
        <v>0.61099937801847903</v>
      </c>
      <c r="S1065" t="s">
        <v>7350</v>
      </c>
      <c r="T1065" t="s">
        <v>12568</v>
      </c>
      <c r="U1065" t="s">
        <v>12568</v>
      </c>
      <c r="V1065" t="s">
        <v>12568</v>
      </c>
      <c r="W1065" t="s">
        <v>13611</v>
      </c>
      <c r="X1065">
        <v>18</v>
      </c>
      <c r="Y1065" t="s">
        <v>19830</v>
      </c>
      <c r="Z1065" t="s">
        <v>25935</v>
      </c>
      <c r="AA1065">
        <v>0.9286496128189724</v>
      </c>
      <c r="AB1065" t="str">
        <f>HYPERLINK("Melting_Curves/meltCurve_O43399_5_TPD52L2.pdf", "Melting_Curves/meltCurve_O43399_5_TPD52L2.pdf")</f>
        <v>Melting_Curves/meltCurve_O43399_5_TPD52L2.pdf</v>
      </c>
    </row>
    <row r="1066" spans="1:28" x14ac:dyDescent="0.25">
      <c r="A1066" t="s">
        <v>1070</v>
      </c>
      <c r="B1066">
        <v>0.99352677808782597</v>
      </c>
      <c r="C1066">
        <v>0.94673438050296799</v>
      </c>
      <c r="D1066">
        <v>0.94689154366214601</v>
      </c>
      <c r="E1066">
        <v>0.25298820076337503</v>
      </c>
      <c r="F1066">
        <v>0.186676874142019</v>
      </c>
      <c r="G1066">
        <v>0.10247059791374601</v>
      </c>
      <c r="H1066">
        <v>6.6381296524199204E-2</v>
      </c>
      <c r="I1066">
        <v>5.6444633642488203E-2</v>
      </c>
      <c r="J1066">
        <v>4.1166273521062197E-2</v>
      </c>
      <c r="K1066">
        <v>3.2104459796206797E-2</v>
      </c>
      <c r="L1066">
        <v>2120.4988666848499</v>
      </c>
      <c r="M1066">
        <v>43.689684393203997</v>
      </c>
      <c r="N1066">
        <v>48.713568599045502</v>
      </c>
      <c r="O1066">
        <v>48.434098316698098</v>
      </c>
      <c r="P1066">
        <v>-0.20886430418640201</v>
      </c>
      <c r="Q1066">
        <v>7.3818855611045495E-2</v>
      </c>
      <c r="R1066">
        <v>0.99013517494991798</v>
      </c>
      <c r="S1066" t="s">
        <v>7351</v>
      </c>
      <c r="T1066" t="s">
        <v>12568</v>
      </c>
      <c r="U1066" t="s">
        <v>12568</v>
      </c>
      <c r="V1066" t="s">
        <v>12568</v>
      </c>
      <c r="W1066" t="s">
        <v>13612</v>
      </c>
      <c r="X1066">
        <v>6</v>
      </c>
      <c r="Y1066" t="s">
        <v>19831</v>
      </c>
      <c r="Z1066" t="s">
        <v>25936</v>
      </c>
      <c r="AA1066">
        <v>0.33993503369896488</v>
      </c>
      <c r="AB1066" t="str">
        <f>HYPERLINK("Melting_Curves/meltCurve_O43414_3_ERI3.pdf", "Melting_Curves/meltCurve_O43414_3_ERI3.pdf")</f>
        <v>Melting_Curves/meltCurve_O43414_3_ERI3.pdf</v>
      </c>
    </row>
    <row r="1067" spans="1:28" x14ac:dyDescent="0.25">
      <c r="A1067" t="s">
        <v>1071</v>
      </c>
      <c r="B1067">
        <v>0.99352677808782597</v>
      </c>
      <c r="C1067">
        <v>0.89824892649104904</v>
      </c>
      <c r="D1067">
        <v>0.73033300506827803</v>
      </c>
      <c r="E1067">
        <v>0.305655496039964</v>
      </c>
      <c r="F1067">
        <v>0.214272756498016</v>
      </c>
      <c r="G1067">
        <v>0.117388132180233</v>
      </c>
      <c r="H1067">
        <v>6.8481319895489196E-2</v>
      </c>
      <c r="I1067">
        <v>7.1030552353863796E-2</v>
      </c>
      <c r="J1067">
        <v>6.5820477113592804E-2</v>
      </c>
      <c r="K1067">
        <v>6.0830269246060102E-2</v>
      </c>
      <c r="L1067">
        <v>958.22899953564695</v>
      </c>
      <c r="M1067">
        <v>20.040445032110298</v>
      </c>
      <c r="N1067">
        <v>48.1591520894859</v>
      </c>
      <c r="O1067">
        <v>47.346316288329398</v>
      </c>
      <c r="P1067">
        <v>-9.8757307641120007E-2</v>
      </c>
      <c r="Q1067">
        <v>6.6758944712444299E-2</v>
      </c>
      <c r="R1067">
        <v>0.99714030923874397</v>
      </c>
      <c r="S1067" t="s">
        <v>7352</v>
      </c>
      <c r="T1067" t="s">
        <v>12568</v>
      </c>
      <c r="U1067" t="s">
        <v>12568</v>
      </c>
      <c r="V1067" t="s">
        <v>12568</v>
      </c>
      <c r="W1067" t="s">
        <v>13613</v>
      </c>
      <c r="X1067">
        <v>2</v>
      </c>
      <c r="Y1067" t="s">
        <v>19832</v>
      </c>
      <c r="Z1067" t="s">
        <v>25937</v>
      </c>
      <c r="AA1067">
        <v>0.32312036866200933</v>
      </c>
      <c r="AB1067" t="str">
        <f>HYPERLINK("Melting_Curves/meltCurve_O43427_2_FIBP.pdf", "Melting_Curves/meltCurve_O43427_2_FIBP.pdf")</f>
        <v>Melting_Curves/meltCurve_O43427_2_FIBP.pdf</v>
      </c>
    </row>
    <row r="1068" spans="1:28" x14ac:dyDescent="0.25">
      <c r="A1068" t="s">
        <v>1072</v>
      </c>
      <c r="B1068">
        <v>0.99352677808782597</v>
      </c>
      <c r="C1068">
        <v>0.88871964647681201</v>
      </c>
      <c r="D1068">
        <v>0.74525152484168899</v>
      </c>
      <c r="E1068">
        <v>0.44743482010899399</v>
      </c>
      <c r="F1068">
        <v>0.38792921611159997</v>
      </c>
      <c r="G1068">
        <v>0.28319821229131698</v>
      </c>
      <c r="H1068">
        <v>0.23540706092743199</v>
      </c>
      <c r="I1068">
        <v>0.24214908704982399</v>
      </c>
      <c r="J1068">
        <v>0.21944057565594799</v>
      </c>
      <c r="K1068">
        <v>0.18320169491713101</v>
      </c>
      <c r="L1068">
        <v>752.30663929271805</v>
      </c>
      <c r="M1068">
        <v>15.6729456137118</v>
      </c>
      <c r="N1068">
        <v>49.726148476505699</v>
      </c>
      <c r="O1068">
        <v>47.239273048465897</v>
      </c>
      <c r="P1068">
        <v>-6.5550257286326893E-2</v>
      </c>
      <c r="Q1068">
        <v>0.209776327327104</v>
      </c>
      <c r="R1068">
        <v>0.99424067215788503</v>
      </c>
      <c r="S1068" t="s">
        <v>7353</v>
      </c>
      <c r="T1068" t="s">
        <v>12568</v>
      </c>
      <c r="U1068" t="s">
        <v>12568</v>
      </c>
      <c r="V1068" t="s">
        <v>12568</v>
      </c>
      <c r="W1068" t="s">
        <v>12648</v>
      </c>
      <c r="X1068">
        <v>27</v>
      </c>
      <c r="Y1068" t="s">
        <v>18876</v>
      </c>
      <c r="Z1068" t="s">
        <v>25938</v>
      </c>
      <c r="AA1068">
        <v>0.43914115879102178</v>
      </c>
      <c r="AB1068" t="str">
        <f>HYPERLINK("Melting_Curves/meltCurve_O43432_EIF4G3.pdf", "Melting_Curves/meltCurve_O43432_EIF4G3.pdf")</f>
        <v>Melting_Curves/meltCurve_O43432_EIF4G3.pdf</v>
      </c>
    </row>
    <row r="1069" spans="1:28" x14ac:dyDescent="0.25">
      <c r="A1069" t="s">
        <v>1073</v>
      </c>
      <c r="B1069">
        <v>0.99352677808782597</v>
      </c>
      <c r="C1069">
        <v>0.65473409180918196</v>
      </c>
      <c r="D1069">
        <v>0.90479187012705398</v>
      </c>
      <c r="E1069">
        <v>0.37821066682895199</v>
      </c>
      <c r="F1069">
        <v>0.31132659256717798</v>
      </c>
      <c r="G1069">
        <v>0.15207602570004899</v>
      </c>
      <c r="H1069">
        <v>0.108991623917015</v>
      </c>
      <c r="I1069">
        <v>0.109309762227362</v>
      </c>
      <c r="J1069">
        <v>8.2912654496036006E-2</v>
      </c>
      <c r="K1069">
        <v>5.7647384678992802E-2</v>
      </c>
      <c r="L1069">
        <v>632.45402983981603</v>
      </c>
      <c r="M1069">
        <v>12.9306344056903</v>
      </c>
      <c r="N1069">
        <v>49.260690688896901</v>
      </c>
      <c r="O1069">
        <v>47.785785859911101</v>
      </c>
      <c r="P1069">
        <v>-6.4696416746259894E-2</v>
      </c>
      <c r="Q1069">
        <v>4.38175010720602E-2</v>
      </c>
      <c r="R1069">
        <v>0.91744041960566503</v>
      </c>
      <c r="S1069" t="s">
        <v>7354</v>
      </c>
      <c r="T1069" t="s">
        <v>12568</v>
      </c>
      <c r="U1069" t="s">
        <v>12568</v>
      </c>
      <c r="V1069" t="s">
        <v>12568</v>
      </c>
      <c r="W1069" t="s">
        <v>13614</v>
      </c>
      <c r="X1069">
        <v>10</v>
      </c>
      <c r="Y1069" t="s">
        <v>19833</v>
      </c>
      <c r="Z1069" t="s">
        <v>25939</v>
      </c>
      <c r="AA1069">
        <v>0.35890144540785018</v>
      </c>
      <c r="AB1069" t="str">
        <f>HYPERLINK("Melting_Curves/meltCurve_O43447_PPIH.pdf", "Melting_Curves/meltCurve_O43447_PPIH.pdf")</f>
        <v>Melting_Curves/meltCurve_O43447_PPIH.pdf</v>
      </c>
    </row>
    <row r="1070" spans="1:28" x14ac:dyDescent="0.25">
      <c r="A1070" t="s">
        <v>1074</v>
      </c>
      <c r="B1070">
        <v>0.99352677808782597</v>
      </c>
      <c r="C1070">
        <v>1.07875766259302</v>
      </c>
      <c r="D1070">
        <v>1.0170958289971199</v>
      </c>
      <c r="E1070">
        <v>0.90625314611021202</v>
      </c>
      <c r="F1070">
        <v>0.76682843886181395</v>
      </c>
      <c r="G1070">
        <v>0.65131998342409103</v>
      </c>
      <c r="H1070">
        <v>0.47313889732307102</v>
      </c>
      <c r="I1070">
        <v>0.58773983347926895</v>
      </c>
      <c r="J1070">
        <v>0.63356449519343405</v>
      </c>
      <c r="K1070">
        <v>0.44782533303046801</v>
      </c>
      <c r="L1070">
        <v>1239.81787736824</v>
      </c>
      <c r="M1070">
        <v>23.3022006584435</v>
      </c>
      <c r="O1070">
        <v>52.8188414165244</v>
      </c>
      <c r="P1070">
        <v>-5.1494138372772301E-2</v>
      </c>
      <c r="Q1070">
        <v>0.53312351991430496</v>
      </c>
      <c r="R1070">
        <v>0.92786368731009905</v>
      </c>
      <c r="S1070" t="s">
        <v>7355</v>
      </c>
      <c r="T1070" t="s">
        <v>12568</v>
      </c>
      <c r="U1070" t="s">
        <v>12568</v>
      </c>
      <c r="V1070" t="s">
        <v>12568</v>
      </c>
      <c r="W1070" t="s">
        <v>13615</v>
      </c>
      <c r="X1070">
        <v>2</v>
      </c>
      <c r="Y1070" t="s">
        <v>19834</v>
      </c>
      <c r="Z1070" t="s">
        <v>25940</v>
      </c>
      <c r="AA1070">
        <v>0.74354364294112307</v>
      </c>
      <c r="AB1070" t="str">
        <f>HYPERLINK("Melting_Curves/meltCurve_O43464_3_HTRA2.pdf", "Melting_Curves/meltCurve_O43464_3_HTRA2.pdf")</f>
        <v>Melting_Curves/meltCurve_O43464_3_HTRA2.pdf</v>
      </c>
    </row>
    <row r="1071" spans="1:28" x14ac:dyDescent="0.25">
      <c r="A1071" t="s">
        <v>1075</v>
      </c>
      <c r="B1071">
        <v>0.99352677808782597</v>
      </c>
      <c r="C1071">
        <v>0.99356923647901796</v>
      </c>
      <c r="D1071">
        <v>1.0069950650080399</v>
      </c>
      <c r="E1071">
        <v>0.71436371467678905</v>
      </c>
      <c r="F1071">
        <v>0.56753944742005502</v>
      </c>
      <c r="G1071">
        <v>0.39612952383318101</v>
      </c>
      <c r="H1071">
        <v>0.20880723195258799</v>
      </c>
      <c r="I1071">
        <v>0.15230920280102</v>
      </c>
      <c r="J1071">
        <v>0.13081264580016</v>
      </c>
      <c r="K1071">
        <v>8.9296522160651801E-2</v>
      </c>
      <c r="L1071">
        <v>776.59374844968397</v>
      </c>
      <c r="M1071">
        <v>14.4443245431025</v>
      </c>
      <c r="N1071">
        <v>54.352356611562698</v>
      </c>
      <c r="O1071">
        <v>52.765622752057403</v>
      </c>
      <c r="P1071">
        <v>-6.34954286228539E-2</v>
      </c>
      <c r="Q1071">
        <v>7.2304474553981493E-2</v>
      </c>
      <c r="R1071">
        <v>0.990979902848938</v>
      </c>
      <c r="S1071" t="s">
        <v>7356</v>
      </c>
      <c r="T1071" t="s">
        <v>12568</v>
      </c>
      <c r="U1071" t="s">
        <v>12568</v>
      </c>
      <c r="V1071" t="s">
        <v>12568</v>
      </c>
      <c r="W1071" t="s">
        <v>13616</v>
      </c>
      <c r="X1071">
        <v>1</v>
      </c>
      <c r="Y1071" t="s">
        <v>19835</v>
      </c>
      <c r="Z1071" t="s">
        <v>25941</v>
      </c>
      <c r="AA1071">
        <v>0.51815265688943557</v>
      </c>
      <c r="AB1071" t="str">
        <f>HYPERLINK("Melting_Curves/meltCurve_O43482_OIP5.pdf", "Melting_Curves/meltCurve_O43482_OIP5.pdf")</f>
        <v>Melting_Curves/meltCurve_O43482_OIP5.pdf</v>
      </c>
    </row>
    <row r="1072" spans="1:28" x14ac:dyDescent="0.25">
      <c r="A1072" t="s">
        <v>1076</v>
      </c>
      <c r="B1072">
        <v>0.99352677808782597</v>
      </c>
      <c r="C1072">
        <v>0.792896955031822</v>
      </c>
      <c r="D1072">
        <v>1.0266664110328001</v>
      </c>
      <c r="E1072">
        <v>0.82656934962569195</v>
      </c>
      <c r="F1072">
        <v>0.76149595257165603</v>
      </c>
      <c r="G1072">
        <v>0.45177885335380702</v>
      </c>
      <c r="H1072">
        <v>0.32725766963999098</v>
      </c>
      <c r="I1072">
        <v>0.34909285911541599</v>
      </c>
      <c r="J1072">
        <v>0.31529327383686301</v>
      </c>
      <c r="K1072">
        <v>0.27416589250057999</v>
      </c>
      <c r="L1072">
        <v>998.64731143382801</v>
      </c>
      <c r="M1072">
        <v>18.457609877204401</v>
      </c>
      <c r="N1072">
        <v>56.589427857862702</v>
      </c>
      <c r="O1072">
        <v>53.4818151891157</v>
      </c>
      <c r="P1072">
        <v>-6.2326783160036203E-2</v>
      </c>
      <c r="Q1072">
        <v>0.27765283574375299</v>
      </c>
      <c r="R1072">
        <v>0.93532403367865302</v>
      </c>
      <c r="S1072" t="s">
        <v>7357</v>
      </c>
      <c r="T1072" t="s">
        <v>12568</v>
      </c>
      <c r="U1072" t="s">
        <v>12568</v>
      </c>
      <c r="V1072" t="s">
        <v>12568</v>
      </c>
      <c r="W1072" t="s">
        <v>13617</v>
      </c>
      <c r="X1072">
        <v>40</v>
      </c>
      <c r="Y1072" t="s">
        <v>19401</v>
      </c>
      <c r="Z1072" t="s">
        <v>25942</v>
      </c>
      <c r="AA1072">
        <v>0.62837520474284314</v>
      </c>
      <c r="AB1072" t="str">
        <f>HYPERLINK("Melting_Curves/meltCurve_O43491_EPB41L2.pdf", "Melting_Curves/meltCurve_O43491_EPB41L2.pdf")</f>
        <v>Melting_Curves/meltCurve_O43491_EPB41L2.pdf</v>
      </c>
    </row>
    <row r="1073" spans="1:28" x14ac:dyDescent="0.25">
      <c r="A1073" t="s">
        <v>1077</v>
      </c>
      <c r="B1073">
        <v>0.99352677808782597</v>
      </c>
      <c r="C1073">
        <v>0.904822633079997</v>
      </c>
      <c r="D1073">
        <v>0.90462906583097302</v>
      </c>
      <c r="E1073">
        <v>0.90916549734844898</v>
      </c>
      <c r="F1073">
        <v>0.99215782276583997</v>
      </c>
      <c r="G1073">
        <v>0.94842043755011196</v>
      </c>
      <c r="H1073">
        <v>0.89762045382503297</v>
      </c>
      <c r="I1073">
        <v>1.01935028880183</v>
      </c>
      <c r="J1073">
        <v>1.03031933031505</v>
      </c>
      <c r="K1073">
        <v>1.01778474528582</v>
      </c>
      <c r="L1073">
        <v>1.0000000000000001E-5</v>
      </c>
      <c r="M1073">
        <v>1.0000000000000001E-5</v>
      </c>
      <c r="Q1073">
        <v>0.92355978631943803</v>
      </c>
      <c r="R1073">
        <v>-1.17456715464925E-8</v>
      </c>
      <c r="S1073" t="s">
        <v>7358</v>
      </c>
      <c r="T1073" t="s">
        <v>12568</v>
      </c>
      <c r="U1073" t="s">
        <v>12568</v>
      </c>
      <c r="V1073" t="s">
        <v>12568</v>
      </c>
      <c r="W1073" t="s">
        <v>13618</v>
      </c>
      <c r="X1073">
        <v>6</v>
      </c>
      <c r="Y1073" t="s">
        <v>19836</v>
      </c>
      <c r="Z1073" t="s">
        <v>25943</v>
      </c>
      <c r="AA1073">
        <v>0.96177970562394732</v>
      </c>
      <c r="AB1073" t="str">
        <f>HYPERLINK("Melting_Curves/meltCurve_O43493_4_TGOLN2.pdf", "Melting_Curves/meltCurve_O43493_4_TGOLN2.pdf")</f>
        <v>Melting_Curves/meltCurve_O43493_4_TGOLN2.pdf</v>
      </c>
    </row>
    <row r="1074" spans="1:28" x14ac:dyDescent="0.25">
      <c r="A1074" t="s">
        <v>1078</v>
      </c>
      <c r="B1074">
        <v>0.99352677808782597</v>
      </c>
      <c r="C1074">
        <v>0.93638283419937596</v>
      </c>
      <c r="D1074">
        <v>0.89277852833942495</v>
      </c>
      <c r="E1074">
        <v>0.49290983680789902</v>
      </c>
      <c r="F1074">
        <v>0.37756920489677498</v>
      </c>
      <c r="G1074">
        <v>0.18665159528373201</v>
      </c>
      <c r="H1074">
        <v>0.111551949331002</v>
      </c>
      <c r="I1074">
        <v>0.10089563194317799</v>
      </c>
      <c r="J1074">
        <v>9.7933361306971695E-2</v>
      </c>
      <c r="K1074">
        <v>8.01516045722349E-2</v>
      </c>
      <c r="L1074">
        <v>886.32081633217604</v>
      </c>
      <c r="M1074">
        <v>17.684904006103999</v>
      </c>
      <c r="N1074">
        <v>50.637446034893401</v>
      </c>
      <c r="O1074">
        <v>49.489727127121299</v>
      </c>
      <c r="P1074">
        <v>-8.1921444767251994E-2</v>
      </c>
      <c r="Q1074">
        <v>8.3047252671260702E-2</v>
      </c>
      <c r="R1074">
        <v>0.99377824014592997</v>
      </c>
      <c r="S1074" t="s">
        <v>7359</v>
      </c>
      <c r="T1074" t="s">
        <v>12568</v>
      </c>
      <c r="U1074" t="s">
        <v>12568</v>
      </c>
      <c r="V1074" t="s">
        <v>12568</v>
      </c>
      <c r="W1074" t="s">
        <v>13619</v>
      </c>
      <c r="X1074">
        <v>4</v>
      </c>
      <c r="Y1074" t="s">
        <v>19837</v>
      </c>
      <c r="Z1074" t="s">
        <v>25944</v>
      </c>
      <c r="AA1074">
        <v>0.40842696016396512</v>
      </c>
      <c r="AB1074" t="str">
        <f>HYPERLINK("Melting_Curves/meltCurve_O43502_RAD51C.pdf", "Melting_Curves/meltCurve_O43502_RAD51C.pdf")</f>
        <v>Melting_Curves/meltCurve_O43502_RAD51C.pdf</v>
      </c>
    </row>
    <row r="1075" spans="1:28" x14ac:dyDescent="0.25">
      <c r="A1075" t="s">
        <v>1079</v>
      </c>
      <c r="B1075">
        <v>0.99352677808782597</v>
      </c>
      <c r="C1075">
        <v>0.96460795262821397</v>
      </c>
      <c r="D1075">
        <v>0.97319394351107902</v>
      </c>
      <c r="E1075">
        <v>1.63972487598929</v>
      </c>
      <c r="F1075">
        <v>1.6354855932594099</v>
      </c>
      <c r="G1075">
        <v>1.5073283523382399</v>
      </c>
      <c r="H1075">
        <v>0.99234301083398202</v>
      </c>
      <c r="I1075">
        <v>0.71741984412055204</v>
      </c>
      <c r="J1075">
        <v>0.74101309195828802</v>
      </c>
      <c r="K1075">
        <v>0.63253597945504902</v>
      </c>
      <c r="L1075">
        <v>7504.8091561208303</v>
      </c>
      <c r="M1075">
        <v>119.449762585049</v>
      </c>
      <c r="O1075">
        <v>62.810557828090502</v>
      </c>
      <c r="P1075">
        <v>-0.14909802788329901</v>
      </c>
      <c r="Q1075">
        <v>0.68639770047841697</v>
      </c>
      <c r="R1075">
        <v>0.164683441500556</v>
      </c>
      <c r="S1075" t="s">
        <v>7360</v>
      </c>
      <c r="T1075" t="s">
        <v>12568</v>
      </c>
      <c r="U1075" t="s">
        <v>12568</v>
      </c>
      <c r="V1075" t="s">
        <v>12568</v>
      </c>
      <c r="W1075" t="s">
        <v>13620</v>
      </c>
      <c r="X1075">
        <v>2</v>
      </c>
      <c r="Y1075" t="s">
        <v>19838</v>
      </c>
      <c r="Z1075" t="s">
        <v>25945</v>
      </c>
      <c r="AA1075">
        <v>0.92518139388011944</v>
      </c>
      <c r="AB1075" t="str">
        <f>HYPERLINK("Melting_Curves/meltCurve_O43513_MED7.pdf", "Melting_Curves/meltCurve_O43513_MED7.pdf")</f>
        <v>Melting_Curves/meltCurve_O43513_MED7.pdf</v>
      </c>
    </row>
    <row r="1076" spans="1:28" x14ac:dyDescent="0.25">
      <c r="A1076" t="s">
        <v>1080</v>
      </c>
      <c r="B1076">
        <v>0.99352677808782597</v>
      </c>
      <c r="C1076">
        <v>0.97600871005383905</v>
      </c>
      <c r="D1076">
        <v>0.94877141599546899</v>
      </c>
      <c r="E1076">
        <v>0.95488955076002902</v>
      </c>
      <c r="F1076">
        <v>0.86660911767772897</v>
      </c>
      <c r="G1076">
        <v>0.83370253444281806</v>
      </c>
      <c r="H1076">
        <v>0.78056296275063897</v>
      </c>
      <c r="I1076">
        <v>0.91969527396544604</v>
      </c>
      <c r="J1076">
        <v>0.888770795145161</v>
      </c>
      <c r="K1076">
        <v>0.78567942196182305</v>
      </c>
      <c r="L1076">
        <v>875.53224591453295</v>
      </c>
      <c r="M1076">
        <v>17.524506125496799</v>
      </c>
      <c r="O1076">
        <v>49.323509297002197</v>
      </c>
      <c r="P1076">
        <v>-1.4480342959185599E-2</v>
      </c>
      <c r="Q1076">
        <v>0.83698662531106305</v>
      </c>
      <c r="R1076">
        <v>0.65696613118171798</v>
      </c>
      <c r="S1076" t="s">
        <v>7361</v>
      </c>
      <c r="T1076" t="s">
        <v>12568</v>
      </c>
      <c r="U1076" t="s">
        <v>12568</v>
      </c>
      <c r="V1076" t="s">
        <v>12568</v>
      </c>
      <c r="W1076" t="s">
        <v>13621</v>
      </c>
      <c r="X1076">
        <v>15</v>
      </c>
      <c r="Y1076" t="s">
        <v>19839</v>
      </c>
      <c r="Z1076" t="s">
        <v>25946</v>
      </c>
      <c r="AA1076">
        <v>0.89403565780133032</v>
      </c>
      <c r="AB1076" t="str">
        <f>HYPERLINK("Melting_Curves/meltCurve_O43516_WIPF1.pdf", "Melting_Curves/meltCurve_O43516_WIPF1.pdf")</f>
        <v>Melting_Curves/meltCurve_O43516_WIPF1.pdf</v>
      </c>
    </row>
    <row r="1077" spans="1:28" x14ac:dyDescent="0.25">
      <c r="A1077" t="s">
        <v>1081</v>
      </c>
      <c r="B1077">
        <v>0.99352677808782597</v>
      </c>
      <c r="C1077">
        <v>0.93535041338731095</v>
      </c>
      <c r="D1077">
        <v>0.89836313813035495</v>
      </c>
      <c r="E1077">
        <v>0.52781703236243704</v>
      </c>
      <c r="F1077">
        <v>0.44960420619047697</v>
      </c>
      <c r="G1077">
        <v>0.21398015303094101</v>
      </c>
      <c r="H1077">
        <v>0.170656558571642</v>
      </c>
      <c r="I1077">
        <v>0.16005800599667599</v>
      </c>
      <c r="J1077">
        <v>0.14330632805419799</v>
      </c>
      <c r="K1077">
        <v>0.118791866118255</v>
      </c>
      <c r="L1077">
        <v>837.16228711435099</v>
      </c>
      <c r="M1077">
        <v>16.612039637248898</v>
      </c>
      <c r="N1077">
        <v>51.2771572536017</v>
      </c>
      <c r="O1077">
        <v>49.681631290008099</v>
      </c>
      <c r="P1077">
        <v>-7.3206940104920196E-2</v>
      </c>
      <c r="Q1077">
        <v>0.124299487210017</v>
      </c>
      <c r="R1077">
        <v>0.99083275369490698</v>
      </c>
      <c r="S1077" t="s">
        <v>7362</v>
      </c>
      <c r="T1077" t="s">
        <v>12568</v>
      </c>
      <c r="U1077" t="s">
        <v>12568</v>
      </c>
      <c r="V1077" t="s">
        <v>12568</v>
      </c>
      <c r="W1077" t="s">
        <v>13622</v>
      </c>
      <c r="X1077">
        <v>4</v>
      </c>
      <c r="Y1077" t="s">
        <v>19840</v>
      </c>
      <c r="Z1077" t="s">
        <v>25947</v>
      </c>
      <c r="AA1077">
        <v>0.44494459527530539</v>
      </c>
      <c r="AB1077" t="str">
        <f>HYPERLINK("Melting_Curves/meltCurve_O43542_XRCC3.pdf", "Melting_Curves/meltCurve_O43542_XRCC3.pdf")</f>
        <v>Melting_Curves/meltCurve_O43542_XRCC3.pdf</v>
      </c>
    </row>
    <row r="1078" spans="1:28" x14ac:dyDescent="0.25">
      <c r="A1078" t="s">
        <v>1082</v>
      </c>
      <c r="B1078">
        <v>0.99352677808782597</v>
      </c>
      <c r="C1078">
        <v>0.82802883853542097</v>
      </c>
      <c r="D1078">
        <v>0.80729617722457703</v>
      </c>
      <c r="E1078">
        <v>0.506471588452027</v>
      </c>
      <c r="F1078">
        <v>0.41543729624451398</v>
      </c>
      <c r="G1078">
        <v>0.28421802869430202</v>
      </c>
      <c r="H1078">
        <v>0.27305711662119703</v>
      </c>
      <c r="I1078">
        <v>0.167030101896707</v>
      </c>
      <c r="J1078">
        <v>9.98723175197479E-2</v>
      </c>
      <c r="K1078">
        <v>7.2998491145234906E-2</v>
      </c>
      <c r="L1078">
        <v>510.720738860197</v>
      </c>
      <c r="M1078">
        <v>10.060919684728001</v>
      </c>
      <c r="N1078">
        <v>51.290193641104999</v>
      </c>
      <c r="O1078">
        <v>48.879675224116397</v>
      </c>
      <c r="P1078">
        <v>-4.8952323979140303E-2</v>
      </c>
      <c r="Q1078">
        <v>4.9137767269035203E-2</v>
      </c>
      <c r="R1078">
        <v>0.98121407509179703</v>
      </c>
      <c r="S1078" t="s">
        <v>7363</v>
      </c>
      <c r="T1078" t="s">
        <v>12568</v>
      </c>
      <c r="U1078" t="s">
        <v>12568</v>
      </c>
      <c r="V1078" t="s">
        <v>12568</v>
      </c>
      <c r="W1078" t="s">
        <v>13623</v>
      </c>
      <c r="X1078">
        <v>1</v>
      </c>
      <c r="Y1078" t="s">
        <v>19841</v>
      </c>
      <c r="Z1078" t="s">
        <v>25948</v>
      </c>
      <c r="AA1078">
        <v>0.43031862395433218</v>
      </c>
      <c r="AB1078" t="str">
        <f>HYPERLINK("Melting_Curves/meltCurve_O43543_XRCC2.pdf", "Melting_Curves/meltCurve_O43543_XRCC2.pdf")</f>
        <v>Melting_Curves/meltCurve_O43543_XRCC2.pdf</v>
      </c>
    </row>
    <row r="1079" spans="1:28" x14ac:dyDescent="0.25">
      <c r="A1079" t="s">
        <v>1083</v>
      </c>
      <c r="B1079">
        <v>0.99352677808782597</v>
      </c>
      <c r="C1079">
        <v>0.85599910173156302</v>
      </c>
      <c r="D1079">
        <v>0.59372047707319697</v>
      </c>
      <c r="E1079">
        <v>0.36699499474277397</v>
      </c>
      <c r="F1079">
        <v>0.30516223652073399</v>
      </c>
      <c r="G1079">
        <v>0.156167255746369</v>
      </c>
      <c r="H1079">
        <v>4.9318326504364601E-2</v>
      </c>
      <c r="I1079">
        <v>4.4763605776263302E-2</v>
      </c>
      <c r="J1079">
        <v>4.4973675697651198E-2</v>
      </c>
      <c r="K1079">
        <v>5.7279891862053602E-2</v>
      </c>
      <c r="L1079">
        <v>632.60579549417605</v>
      </c>
      <c r="M1079">
        <v>13.185152722721501</v>
      </c>
      <c r="N1079">
        <v>48.190525861455299</v>
      </c>
      <c r="O1079">
        <v>46.9152860031244</v>
      </c>
      <c r="P1079">
        <v>-6.8293266525536994E-2</v>
      </c>
      <c r="Q1079">
        <v>2.8160912351845299E-2</v>
      </c>
      <c r="R1079">
        <v>0.98829340133189603</v>
      </c>
      <c r="S1079" t="s">
        <v>7364</v>
      </c>
      <c r="T1079" t="s">
        <v>12568</v>
      </c>
      <c r="U1079" t="s">
        <v>12568</v>
      </c>
      <c r="V1079" t="s">
        <v>12568</v>
      </c>
      <c r="W1079" t="s">
        <v>13624</v>
      </c>
      <c r="X1079">
        <v>6</v>
      </c>
      <c r="Y1079" t="s">
        <v>19842</v>
      </c>
      <c r="Z1079" t="s">
        <v>25949</v>
      </c>
      <c r="AA1079">
        <v>0.31871812582045589</v>
      </c>
      <c r="AB1079" t="str">
        <f>HYPERLINK("Melting_Curves/meltCurve_O43572_AKAP10.pdf", "Melting_Curves/meltCurve_O43572_AKAP10.pdf")</f>
        <v>Melting_Curves/meltCurve_O43572_AKAP10.pdf</v>
      </c>
    </row>
    <row r="1080" spans="1:28" x14ac:dyDescent="0.25">
      <c r="A1080" t="s">
        <v>1084</v>
      </c>
      <c r="B1080">
        <v>0.99352677808782597</v>
      </c>
      <c r="C1080">
        <v>0.95802957759215701</v>
      </c>
      <c r="D1080">
        <v>0.97926414788715999</v>
      </c>
      <c r="E1080">
        <v>0.74653583578790905</v>
      </c>
      <c r="F1080">
        <v>0.88324011241608302</v>
      </c>
      <c r="G1080">
        <v>0.83496546216381395</v>
      </c>
      <c r="H1080">
        <v>0.69946273438883799</v>
      </c>
      <c r="I1080">
        <v>0.72935050422349801</v>
      </c>
      <c r="J1080">
        <v>0.79136809992285595</v>
      </c>
      <c r="K1080">
        <v>0.60716302120360799</v>
      </c>
      <c r="L1080">
        <v>334.15290525672202</v>
      </c>
      <c r="M1080">
        <v>5.68561620242152</v>
      </c>
      <c r="O1080">
        <v>52.714458505718</v>
      </c>
      <c r="P1080">
        <v>-1.22650138053178E-2</v>
      </c>
      <c r="Q1080">
        <v>0.54691340342791295</v>
      </c>
      <c r="R1080">
        <v>0.73316773614708297</v>
      </c>
      <c r="S1080" t="s">
        <v>7365</v>
      </c>
      <c r="T1080" t="s">
        <v>12568</v>
      </c>
      <c r="U1080" t="s">
        <v>12568</v>
      </c>
      <c r="V1080" t="s">
        <v>12568</v>
      </c>
      <c r="W1080" t="s">
        <v>13625</v>
      </c>
      <c r="X1080">
        <v>11</v>
      </c>
      <c r="Y1080" t="s">
        <v>19843</v>
      </c>
      <c r="Z1080" t="s">
        <v>25950</v>
      </c>
      <c r="AA1080">
        <v>0.82079623584732253</v>
      </c>
      <c r="AB1080" t="str">
        <f>HYPERLINK("Melting_Curves/meltCurve_O43583_DENR.pdf", "Melting_Curves/meltCurve_O43583_DENR.pdf")</f>
        <v>Melting_Curves/meltCurve_O43583_DENR.pdf</v>
      </c>
    </row>
    <row r="1081" spans="1:28" x14ac:dyDescent="0.25">
      <c r="A1081" t="s">
        <v>1085</v>
      </c>
      <c r="B1081">
        <v>0.99352677808782597</v>
      </c>
      <c r="C1081">
        <v>1.04975775524908</v>
      </c>
      <c r="D1081">
        <v>0.94879096373266403</v>
      </c>
      <c r="E1081">
        <v>0.31497397693259699</v>
      </c>
      <c r="F1081">
        <v>0.22716862208567901</v>
      </c>
      <c r="G1081">
        <v>0.12394678120581901</v>
      </c>
      <c r="H1081">
        <v>7.6363709315462103E-2</v>
      </c>
      <c r="I1081">
        <v>7.4035128006126605E-2</v>
      </c>
      <c r="J1081">
        <v>5.7694041527873503E-2</v>
      </c>
      <c r="K1081">
        <v>4.3807031551012302E-2</v>
      </c>
      <c r="L1081">
        <v>1862.1718295799001</v>
      </c>
      <c r="M1081">
        <v>38.154850126200003</v>
      </c>
      <c r="N1081">
        <v>49.055450520032899</v>
      </c>
      <c r="O1081">
        <v>48.672149056177801</v>
      </c>
      <c r="P1081">
        <v>-0.178675003761848</v>
      </c>
      <c r="Q1081">
        <v>8.8296807023566806E-2</v>
      </c>
      <c r="R1081">
        <v>0.98861984624814503</v>
      </c>
      <c r="S1081" t="s">
        <v>7366</v>
      </c>
      <c r="T1081" t="s">
        <v>12568</v>
      </c>
      <c r="U1081" t="s">
        <v>12568</v>
      </c>
      <c r="V1081" t="s">
        <v>12568</v>
      </c>
      <c r="W1081" t="s">
        <v>13626</v>
      </c>
      <c r="X1081">
        <v>21</v>
      </c>
      <c r="Y1081" t="s">
        <v>19844</v>
      </c>
      <c r="Z1081" t="s">
        <v>25951</v>
      </c>
      <c r="AA1081">
        <v>0.35929025463396108</v>
      </c>
      <c r="AB1081" t="str">
        <f>HYPERLINK("Melting_Curves/meltCurve_O43592_XPOT.pdf", "Melting_Curves/meltCurve_O43592_XPOT.pdf")</f>
        <v>Melting_Curves/meltCurve_O43592_XPOT.pdf</v>
      </c>
    </row>
    <row r="1082" spans="1:28" x14ac:dyDescent="0.25">
      <c r="A1082" t="s">
        <v>1086</v>
      </c>
      <c r="B1082">
        <v>0.99352677808782597</v>
      </c>
      <c r="C1082">
        <v>1.00362711282451</v>
      </c>
      <c r="D1082">
        <v>1.0153443116124401</v>
      </c>
      <c r="E1082">
        <v>0.76500209305636402</v>
      </c>
      <c r="F1082">
        <v>0.69456916412469205</v>
      </c>
      <c r="G1082">
        <v>0.53290862721429799</v>
      </c>
      <c r="H1082">
        <v>0.27577422956162501</v>
      </c>
      <c r="I1082">
        <v>0.19805587787000301</v>
      </c>
      <c r="J1082">
        <v>0.16944182490074799</v>
      </c>
      <c r="K1082">
        <v>0.13899289678955601</v>
      </c>
      <c r="L1082">
        <v>720.86765265529698</v>
      </c>
      <c r="M1082">
        <v>12.8656531877874</v>
      </c>
      <c r="N1082">
        <v>56.599774109473401</v>
      </c>
      <c r="O1082">
        <v>54.728515432798801</v>
      </c>
      <c r="P1082">
        <v>-5.5213152992017803E-2</v>
      </c>
      <c r="Q1082">
        <v>6.0699649205537401E-2</v>
      </c>
      <c r="R1082">
        <v>0.98780568702942095</v>
      </c>
      <c r="S1082" t="s">
        <v>7367</v>
      </c>
      <c r="T1082" t="s">
        <v>12568</v>
      </c>
      <c r="U1082" t="s">
        <v>12568</v>
      </c>
      <c r="V1082" t="s">
        <v>12568</v>
      </c>
      <c r="W1082" t="s">
        <v>13627</v>
      </c>
      <c r="X1082">
        <v>5</v>
      </c>
      <c r="Y1082" t="s">
        <v>19845</v>
      </c>
      <c r="Z1082" t="s">
        <v>25952</v>
      </c>
      <c r="AA1082">
        <v>0.58107227211320744</v>
      </c>
      <c r="AB1082" t="str">
        <f>HYPERLINK("Melting_Curves/meltCurve_O43598_DNPH1.pdf", "Melting_Curves/meltCurve_O43598_DNPH1.pdf")</f>
        <v>Melting_Curves/meltCurve_O43598_DNPH1.pdf</v>
      </c>
    </row>
    <row r="1083" spans="1:28" x14ac:dyDescent="0.25">
      <c r="A1083" t="s">
        <v>1087</v>
      </c>
      <c r="B1083">
        <v>0.99352677808782597</v>
      </c>
      <c r="C1083">
        <v>1.0213647532497401</v>
      </c>
      <c r="D1083">
        <v>0.98861190957882294</v>
      </c>
      <c r="E1083">
        <v>0.73710697702319306</v>
      </c>
      <c r="F1083">
        <v>0.58227961892313196</v>
      </c>
      <c r="G1083">
        <v>0.38898782478274202</v>
      </c>
      <c r="H1083">
        <v>0.22821627630544</v>
      </c>
      <c r="I1083">
        <v>0.20367259365217399</v>
      </c>
      <c r="J1083">
        <v>0.18903681952826501</v>
      </c>
      <c r="K1083">
        <v>0.21649301748779601</v>
      </c>
      <c r="L1083">
        <v>934.34079397598305</v>
      </c>
      <c r="M1083">
        <v>17.699848295686699</v>
      </c>
      <c r="N1083">
        <v>54.172831665987601</v>
      </c>
      <c r="O1083">
        <v>52.128063768883699</v>
      </c>
      <c r="P1083">
        <v>-6.9443773903338502E-2</v>
      </c>
      <c r="Q1083">
        <v>0.181963776586687</v>
      </c>
      <c r="R1083">
        <v>0.99347619130500697</v>
      </c>
      <c r="S1083" t="s">
        <v>7368</v>
      </c>
      <c r="T1083" t="s">
        <v>12568</v>
      </c>
      <c r="U1083" t="s">
        <v>12568</v>
      </c>
      <c r="V1083" t="s">
        <v>12568</v>
      </c>
      <c r="W1083" t="s">
        <v>13628</v>
      </c>
      <c r="X1083">
        <v>10</v>
      </c>
      <c r="Y1083" t="s">
        <v>19846</v>
      </c>
      <c r="Z1083" t="s">
        <v>25953</v>
      </c>
      <c r="AA1083">
        <v>0.54448421206853082</v>
      </c>
      <c r="AB1083" t="str">
        <f>HYPERLINK("Melting_Curves/meltCurve_O43615_TIMM44.pdf", "Melting_Curves/meltCurve_O43615_TIMM44.pdf")</f>
        <v>Melting_Curves/meltCurve_O43615_TIMM44.pdf</v>
      </c>
    </row>
    <row r="1084" spans="1:28" x14ac:dyDescent="0.25">
      <c r="A1084" t="s">
        <v>1088</v>
      </c>
      <c r="B1084">
        <v>0.99352677808782597</v>
      </c>
      <c r="C1084">
        <v>0.99725178091053002</v>
      </c>
      <c r="D1084">
        <v>0.99657655189130701</v>
      </c>
      <c r="E1084">
        <v>1.1989652277174601</v>
      </c>
      <c r="F1084">
        <v>1.2530663013761201</v>
      </c>
      <c r="G1084">
        <v>0.84072504411791404</v>
      </c>
      <c r="H1084">
        <v>0.67221195111411403</v>
      </c>
      <c r="I1084">
        <v>0.63700754157486394</v>
      </c>
      <c r="J1084">
        <v>0.50212753037043401</v>
      </c>
      <c r="K1084">
        <v>0.27499945596890701</v>
      </c>
      <c r="L1084">
        <v>1115.2864583560099</v>
      </c>
      <c r="M1084">
        <v>17.347300352824298</v>
      </c>
      <c r="N1084">
        <v>65.730755881559006</v>
      </c>
      <c r="O1084">
        <v>63.455516861888498</v>
      </c>
      <c r="P1084">
        <v>-5.7549107689923697E-2</v>
      </c>
      <c r="Q1084">
        <v>0.158001387778544</v>
      </c>
      <c r="R1084">
        <v>0.84102446388984498</v>
      </c>
      <c r="S1084" t="s">
        <v>7369</v>
      </c>
      <c r="T1084" t="s">
        <v>12568</v>
      </c>
      <c r="U1084" t="s">
        <v>12568</v>
      </c>
      <c r="V1084" t="s">
        <v>12568</v>
      </c>
      <c r="W1084" t="s">
        <v>13629</v>
      </c>
      <c r="X1084">
        <v>8</v>
      </c>
      <c r="Y1084" t="s">
        <v>19847</v>
      </c>
      <c r="Z1084" t="s">
        <v>25954</v>
      </c>
      <c r="AA1084">
        <v>0.8291998395826774</v>
      </c>
      <c r="AB1084" t="str">
        <f>HYPERLINK("Melting_Curves/meltCurve_O43617_TRAPPC3.pdf", "Melting_Curves/meltCurve_O43617_TRAPPC3.pdf")</f>
        <v>Melting_Curves/meltCurve_O43617_TRAPPC3.pdf</v>
      </c>
    </row>
    <row r="1085" spans="1:28" x14ac:dyDescent="0.25">
      <c r="A1085" t="s">
        <v>1089</v>
      </c>
      <c r="B1085">
        <v>0.99352677808782597</v>
      </c>
      <c r="C1085">
        <v>0.94440508288411096</v>
      </c>
      <c r="D1085">
        <v>1.0425833676535401</v>
      </c>
      <c r="E1085">
        <v>0.95792930052288305</v>
      </c>
      <c r="F1085">
        <v>0.87460099363486998</v>
      </c>
      <c r="G1085">
        <v>0.71914558403191298</v>
      </c>
      <c r="H1085">
        <v>0.46956130145444003</v>
      </c>
      <c r="I1085">
        <v>0.24903496425053001</v>
      </c>
      <c r="J1085">
        <v>0.12873498406032799</v>
      </c>
      <c r="K1085">
        <v>8.4111718810542205E-2</v>
      </c>
      <c r="L1085">
        <v>1016.62446673055</v>
      </c>
      <c r="M1085">
        <v>16.9120682757145</v>
      </c>
      <c r="N1085">
        <v>60.112367703216201</v>
      </c>
      <c r="O1085">
        <v>59.290779787097399</v>
      </c>
      <c r="P1085">
        <v>-7.1314364964204402E-2</v>
      </c>
      <c r="Q1085">
        <v>0</v>
      </c>
      <c r="R1085">
        <v>0.993787336351179</v>
      </c>
      <c r="S1085" t="s">
        <v>7370</v>
      </c>
      <c r="T1085" t="s">
        <v>12568</v>
      </c>
      <c r="U1085" t="s">
        <v>12568</v>
      </c>
      <c r="V1085" t="s">
        <v>12568</v>
      </c>
      <c r="W1085" t="s">
        <v>13630</v>
      </c>
      <c r="X1085">
        <v>12</v>
      </c>
      <c r="Y1085" t="s">
        <v>19848</v>
      </c>
      <c r="Z1085" t="s">
        <v>25955</v>
      </c>
      <c r="AA1085">
        <v>0.67805136406496236</v>
      </c>
      <c r="AB1085" t="str">
        <f>HYPERLINK("Melting_Curves/meltCurve_O43633_CHMP2A.pdf", "Melting_Curves/meltCurve_O43633_CHMP2A.pdf")</f>
        <v>Melting_Curves/meltCurve_O43633_CHMP2A.pdf</v>
      </c>
    </row>
    <row r="1086" spans="1:28" x14ac:dyDescent="0.25">
      <c r="A1086" t="s">
        <v>1090</v>
      </c>
      <c r="B1086">
        <v>0.99352677808782597</v>
      </c>
      <c r="C1086">
        <v>0.87152596322870901</v>
      </c>
      <c r="D1086">
        <v>0.96372013398629397</v>
      </c>
      <c r="E1086">
        <v>0.42757402010395001</v>
      </c>
      <c r="F1086">
        <v>0.41943120594697297</v>
      </c>
      <c r="G1086">
        <v>0.242563538925848</v>
      </c>
      <c r="H1086">
        <v>0.21434903362117</v>
      </c>
      <c r="I1086">
        <v>0.15892978385257001</v>
      </c>
      <c r="J1086">
        <v>0.14943072822547801</v>
      </c>
      <c r="K1086">
        <v>0.126105541746759</v>
      </c>
      <c r="L1086">
        <v>941.03867974073296</v>
      </c>
      <c r="M1086">
        <v>18.990647371959401</v>
      </c>
      <c r="N1086">
        <v>50.5665225551597</v>
      </c>
      <c r="O1086">
        <v>49.013086954516197</v>
      </c>
      <c r="P1086">
        <v>-8.1532911653777698E-2</v>
      </c>
      <c r="Q1086">
        <v>0.15831825141397701</v>
      </c>
      <c r="R1086">
        <v>0.96074468415297498</v>
      </c>
      <c r="S1086" t="s">
        <v>7371</v>
      </c>
      <c r="T1086" t="s">
        <v>12568</v>
      </c>
      <c r="U1086" t="s">
        <v>12568</v>
      </c>
      <c r="V1086" t="s">
        <v>12568</v>
      </c>
      <c r="W1086" t="s">
        <v>13631</v>
      </c>
      <c r="X1086">
        <v>7</v>
      </c>
      <c r="Y1086" t="s">
        <v>19849</v>
      </c>
      <c r="Z1086" t="s">
        <v>25956</v>
      </c>
      <c r="AA1086">
        <v>0.43933845591908971</v>
      </c>
      <c r="AB1086" t="str">
        <f>HYPERLINK("Melting_Curves/meltCurve_O43639_NCK2.pdf", "Melting_Curves/meltCurve_O43639_NCK2.pdf")</f>
        <v>Melting_Curves/meltCurve_O43639_NCK2.pdf</v>
      </c>
    </row>
    <row r="1087" spans="1:28" x14ac:dyDescent="0.25">
      <c r="A1087" t="s">
        <v>1091</v>
      </c>
      <c r="B1087">
        <v>0.99352677808782597</v>
      </c>
      <c r="C1087">
        <v>0.92712327139331396</v>
      </c>
      <c r="D1087">
        <v>0.71709169319765298</v>
      </c>
      <c r="E1087">
        <v>0.618371405434048</v>
      </c>
      <c r="F1087">
        <v>0.58457612588222496</v>
      </c>
      <c r="G1087">
        <v>0.43674418152092898</v>
      </c>
      <c r="H1087">
        <v>0.39749612028709602</v>
      </c>
      <c r="I1087">
        <v>0.41191241908181297</v>
      </c>
      <c r="J1087">
        <v>0.45025558328526599</v>
      </c>
      <c r="K1087">
        <v>0.339690129257541</v>
      </c>
      <c r="L1087">
        <v>601.72095096333703</v>
      </c>
      <c r="M1087">
        <v>12.473520831692699</v>
      </c>
      <c r="N1087">
        <v>54.343629640023998</v>
      </c>
      <c r="O1087">
        <v>47.050322677674203</v>
      </c>
      <c r="P1087">
        <v>-4.1311096710075497E-2</v>
      </c>
      <c r="Q1087">
        <v>0.37682478243166101</v>
      </c>
      <c r="R1087">
        <v>0.96550878062772705</v>
      </c>
      <c r="S1087" t="s">
        <v>7372</v>
      </c>
      <c r="T1087" t="s">
        <v>12568</v>
      </c>
      <c r="U1087" t="s">
        <v>12568</v>
      </c>
      <c r="V1087" t="s">
        <v>12568</v>
      </c>
      <c r="W1087" t="s">
        <v>13632</v>
      </c>
      <c r="X1087">
        <v>1</v>
      </c>
      <c r="Y1087" t="s">
        <v>19850</v>
      </c>
      <c r="Z1087" t="s">
        <v>25957</v>
      </c>
      <c r="AA1087">
        <v>0.57040803437083321</v>
      </c>
      <c r="AB1087" t="str">
        <f>HYPERLINK("Melting_Curves/meltCurve_O43657_TSPAN6.pdf", "Melting_Curves/meltCurve_O43657_TSPAN6.pdf")</f>
        <v>Melting_Curves/meltCurve_O43657_TSPAN6.pdf</v>
      </c>
    </row>
    <row r="1088" spans="1:28" x14ac:dyDescent="0.25">
      <c r="A1088" t="s">
        <v>1092</v>
      </c>
      <c r="B1088">
        <v>0.99352677808782597</v>
      </c>
      <c r="C1088">
        <v>0.93964585556278302</v>
      </c>
      <c r="D1088">
        <v>1.01709604106364</v>
      </c>
      <c r="E1088">
        <v>1.04909840366102</v>
      </c>
      <c r="F1088">
        <v>0.99848151694662701</v>
      </c>
      <c r="G1088">
        <v>0.74437417870445599</v>
      </c>
      <c r="H1088">
        <v>0.500044260308382</v>
      </c>
      <c r="I1088">
        <v>0.52851020563233297</v>
      </c>
      <c r="J1088">
        <v>0.50029577882963805</v>
      </c>
      <c r="K1088">
        <v>0.48699415941346103</v>
      </c>
      <c r="L1088">
        <v>14246.502701634799</v>
      </c>
      <c r="M1088">
        <v>250</v>
      </c>
      <c r="O1088">
        <v>56.982364923882699</v>
      </c>
      <c r="P1088">
        <v>-0.54407064824154405</v>
      </c>
      <c r="Q1088">
        <v>0.50396109236780895</v>
      </c>
      <c r="R1088">
        <v>0.986812579683089</v>
      </c>
      <c r="S1088" t="s">
        <v>7373</v>
      </c>
      <c r="T1088" t="s">
        <v>12568</v>
      </c>
      <c r="U1088" t="s">
        <v>12568</v>
      </c>
      <c r="V1088" t="s">
        <v>12568</v>
      </c>
      <c r="W1088" t="s">
        <v>13633</v>
      </c>
      <c r="X1088">
        <v>3</v>
      </c>
      <c r="Y1088" t="s">
        <v>19851</v>
      </c>
      <c r="Z1088" t="s">
        <v>25958</v>
      </c>
      <c r="AA1088">
        <v>0.784868109185206</v>
      </c>
      <c r="AB1088" t="str">
        <f>HYPERLINK("Melting_Curves/meltCurve_O43660_2_PLRG1.pdf", "Melting_Curves/meltCurve_O43660_2_PLRG1.pdf")</f>
        <v>Melting_Curves/meltCurve_O43660_2_PLRG1.pdf</v>
      </c>
    </row>
    <row r="1089" spans="1:28" x14ac:dyDescent="0.25">
      <c r="A1089" t="s">
        <v>1093</v>
      </c>
      <c r="B1089">
        <v>0.99352677808782597</v>
      </c>
      <c r="C1089">
        <v>0.908451696444873</v>
      </c>
      <c r="D1089">
        <v>0.78185922051902601</v>
      </c>
      <c r="E1089">
        <v>0.53310050286805499</v>
      </c>
      <c r="F1089">
        <v>0.46208821786068899</v>
      </c>
      <c r="G1089">
        <v>0.35767615927864399</v>
      </c>
      <c r="H1089">
        <v>0.26966480544971799</v>
      </c>
      <c r="I1089">
        <v>0.23545682881056301</v>
      </c>
      <c r="J1089">
        <v>0.198220032713535</v>
      </c>
      <c r="K1089">
        <v>0.15051840089794499</v>
      </c>
      <c r="L1089">
        <v>571.03113129630503</v>
      </c>
      <c r="M1089">
        <v>11.3855655298208</v>
      </c>
      <c r="N1089">
        <v>51.845271591196699</v>
      </c>
      <c r="O1089">
        <v>48.6815196230989</v>
      </c>
      <c r="P1089">
        <v>-4.9414179577896497E-2</v>
      </c>
      <c r="Q1089">
        <v>0.15512431289131801</v>
      </c>
      <c r="R1089">
        <v>0.99141024639397302</v>
      </c>
      <c r="S1089" t="s">
        <v>7374</v>
      </c>
      <c r="T1089" t="s">
        <v>12568</v>
      </c>
      <c r="U1089" t="s">
        <v>12568</v>
      </c>
      <c r="V1089" t="s">
        <v>12568</v>
      </c>
      <c r="W1089" t="s">
        <v>13634</v>
      </c>
      <c r="X1089">
        <v>12</v>
      </c>
      <c r="Y1089" t="s">
        <v>19852</v>
      </c>
      <c r="Z1089" t="s">
        <v>25959</v>
      </c>
      <c r="AA1089">
        <v>0.47246946985907051</v>
      </c>
      <c r="AB1089" t="str">
        <f>HYPERLINK("Melting_Curves/meltCurve_O43663_PRC1.pdf", "Melting_Curves/meltCurve_O43663_PRC1.pdf")</f>
        <v>Melting_Curves/meltCurve_O43663_PRC1.pdf</v>
      </c>
    </row>
    <row r="1090" spans="1:28" x14ac:dyDescent="0.25">
      <c r="A1090" t="s">
        <v>1094</v>
      </c>
      <c r="B1090">
        <v>0.99352677808782597</v>
      </c>
      <c r="C1090">
        <v>0.96343776652504298</v>
      </c>
      <c r="D1090">
        <v>0.93969732111820603</v>
      </c>
      <c r="E1090">
        <v>0.84766387452842995</v>
      </c>
      <c r="F1090">
        <v>0.771615821315908</v>
      </c>
      <c r="G1090">
        <v>0.62996460063411397</v>
      </c>
      <c r="H1090">
        <v>0.44994992000817402</v>
      </c>
      <c r="I1090">
        <v>0.403555065929316</v>
      </c>
      <c r="J1090">
        <v>0.37679099261555599</v>
      </c>
      <c r="K1090">
        <v>0.27846242634028201</v>
      </c>
      <c r="L1090">
        <v>569.32162263954399</v>
      </c>
      <c r="M1090">
        <v>9.8322815589325696</v>
      </c>
      <c r="N1090">
        <v>60.429180376401398</v>
      </c>
      <c r="O1090">
        <v>55.660603516639299</v>
      </c>
      <c r="P1090">
        <v>-3.6739586648848903E-2</v>
      </c>
      <c r="Q1090">
        <v>0.16849940315335499</v>
      </c>
      <c r="R1090">
        <v>0.99533301469826896</v>
      </c>
      <c r="S1090" t="s">
        <v>7375</v>
      </c>
      <c r="T1090" t="s">
        <v>12568</v>
      </c>
      <c r="U1090" t="s">
        <v>12568</v>
      </c>
      <c r="V1090" t="s">
        <v>12568</v>
      </c>
      <c r="W1090" t="s">
        <v>13635</v>
      </c>
      <c r="X1090">
        <v>10</v>
      </c>
      <c r="Y1090" t="s">
        <v>19853</v>
      </c>
      <c r="Z1090" t="s">
        <v>25960</v>
      </c>
      <c r="AA1090">
        <v>0.67316825967292326</v>
      </c>
      <c r="AB1090" t="str">
        <f>HYPERLINK("Melting_Curves/meltCurve_O43665_2_RGS10.pdf", "Melting_Curves/meltCurve_O43665_2_RGS10.pdf")</f>
        <v>Melting_Curves/meltCurve_O43665_2_RGS10.pdf</v>
      </c>
    </row>
    <row r="1091" spans="1:28" x14ac:dyDescent="0.25">
      <c r="A1091" t="s">
        <v>1095</v>
      </c>
      <c r="B1091">
        <v>0.99352677808782597</v>
      </c>
      <c r="C1091">
        <v>0.96778372543054103</v>
      </c>
      <c r="D1091">
        <v>0.95113568894418699</v>
      </c>
      <c r="E1091">
        <v>0.87876038933829004</v>
      </c>
      <c r="F1091">
        <v>0.84026699279085604</v>
      </c>
      <c r="G1091">
        <v>0.69523880520729098</v>
      </c>
      <c r="H1091">
        <v>0.56417334691785803</v>
      </c>
      <c r="I1091">
        <v>0.49845242434466303</v>
      </c>
      <c r="J1091">
        <v>0.384245132900148</v>
      </c>
      <c r="K1091">
        <v>0.27852201107637198</v>
      </c>
      <c r="L1091">
        <v>518.88507100709398</v>
      </c>
      <c r="M1091">
        <v>8.2335722935590407</v>
      </c>
      <c r="N1091">
        <v>63.020646119532202</v>
      </c>
      <c r="O1091">
        <v>59.630869793820501</v>
      </c>
      <c r="P1091">
        <v>-3.4553971546819703E-2</v>
      </c>
      <c r="Q1091">
        <v>0</v>
      </c>
      <c r="R1091">
        <v>0.99610416509086797</v>
      </c>
      <c r="S1091" t="s">
        <v>7376</v>
      </c>
      <c r="T1091" t="s">
        <v>12568</v>
      </c>
      <c r="U1091" t="s">
        <v>12568</v>
      </c>
      <c r="V1091" t="s">
        <v>12568</v>
      </c>
      <c r="W1091" t="s">
        <v>13636</v>
      </c>
      <c r="X1091">
        <v>7</v>
      </c>
      <c r="Y1091" t="s">
        <v>19580</v>
      </c>
      <c r="Z1091" t="s">
        <v>25961</v>
      </c>
      <c r="AA1091">
        <v>0.72076363981561753</v>
      </c>
      <c r="AB1091" t="str">
        <f>HYPERLINK("Melting_Curves/meltCurve_O43670_2_ZNF207.pdf", "Melting_Curves/meltCurve_O43670_2_ZNF207.pdf")</f>
        <v>Melting_Curves/meltCurve_O43670_2_ZNF207.pdf</v>
      </c>
    </row>
    <row r="1092" spans="1:28" x14ac:dyDescent="0.25">
      <c r="A1092" t="s">
        <v>1096</v>
      </c>
      <c r="B1092">
        <v>0.99352677808782597</v>
      </c>
      <c r="C1092">
        <v>0.96853363306036899</v>
      </c>
      <c r="D1092">
        <v>1.0362998003289601</v>
      </c>
      <c r="E1092">
        <v>0.75324125511015205</v>
      </c>
      <c r="F1092">
        <v>0.65348801693967895</v>
      </c>
      <c r="G1092">
        <v>0.44123047056395198</v>
      </c>
      <c r="H1092">
        <v>0.30354104056700798</v>
      </c>
      <c r="I1092">
        <v>0.27157816059555701</v>
      </c>
      <c r="J1092">
        <v>0.28656223929174302</v>
      </c>
      <c r="K1092">
        <v>0.238800907454077</v>
      </c>
      <c r="L1092">
        <v>909.89505605024999</v>
      </c>
      <c r="M1092">
        <v>17.089146864443201</v>
      </c>
      <c r="N1092">
        <v>55.362163497975203</v>
      </c>
      <c r="O1092">
        <v>52.530987952952103</v>
      </c>
      <c r="P1092">
        <v>-6.1815881112711898E-2</v>
      </c>
      <c r="Q1092">
        <v>0.23997324673874401</v>
      </c>
      <c r="R1092">
        <v>0.98686454659127099</v>
      </c>
      <c r="S1092" t="s">
        <v>7377</v>
      </c>
      <c r="T1092" t="s">
        <v>12568</v>
      </c>
      <c r="U1092" t="s">
        <v>12568</v>
      </c>
      <c r="V1092" t="s">
        <v>12568</v>
      </c>
      <c r="W1092" t="s">
        <v>13637</v>
      </c>
      <c r="X1092">
        <v>4</v>
      </c>
      <c r="Y1092" t="s">
        <v>19854</v>
      </c>
      <c r="Z1092" t="s">
        <v>25962</v>
      </c>
      <c r="AA1092">
        <v>0.58891882869430723</v>
      </c>
      <c r="AB1092" t="str">
        <f>HYPERLINK("Melting_Curves/meltCurve_O43678_NDUFA2.pdf", "Melting_Curves/meltCurve_O43678_NDUFA2.pdf")</f>
        <v>Melting_Curves/meltCurve_O43678_NDUFA2.pdf</v>
      </c>
    </row>
    <row r="1093" spans="1:28" x14ac:dyDescent="0.25">
      <c r="A1093" t="s">
        <v>1097</v>
      </c>
      <c r="B1093">
        <v>0.99352677808782597</v>
      </c>
      <c r="C1093">
        <v>1.0412695883094401</v>
      </c>
      <c r="D1093">
        <v>1.01655381200658</v>
      </c>
      <c r="E1093">
        <v>0.55154781109813</v>
      </c>
      <c r="F1093">
        <v>0.43339266831482798</v>
      </c>
      <c r="G1093">
        <v>0.18044867535895201</v>
      </c>
      <c r="H1093">
        <v>8.1053920445210495E-2</v>
      </c>
      <c r="I1093">
        <v>6.7815740279289397E-2</v>
      </c>
      <c r="J1093">
        <v>6.2127523068357303E-2</v>
      </c>
      <c r="K1093">
        <v>4.2484271922718898E-2</v>
      </c>
      <c r="L1093">
        <v>1046.9294503224501</v>
      </c>
      <c r="M1093">
        <v>20.408414683996899</v>
      </c>
      <c r="N1093">
        <v>51.588056943419403</v>
      </c>
      <c r="O1093">
        <v>50.813987948936699</v>
      </c>
      <c r="P1093">
        <v>-9.4984001061873505E-2</v>
      </c>
      <c r="Q1093">
        <v>5.40428994959921E-2</v>
      </c>
      <c r="R1093">
        <v>0.983883789848496</v>
      </c>
      <c r="S1093" t="s">
        <v>7378</v>
      </c>
      <c r="T1093" t="s">
        <v>12568</v>
      </c>
      <c r="U1093" t="s">
        <v>12568</v>
      </c>
      <c r="V1093" t="s">
        <v>12568</v>
      </c>
      <c r="W1093" t="s">
        <v>13638</v>
      </c>
      <c r="X1093">
        <v>8</v>
      </c>
      <c r="Y1093" t="s">
        <v>19855</v>
      </c>
      <c r="Z1093" t="s">
        <v>25963</v>
      </c>
      <c r="AA1093">
        <v>0.42295761570591661</v>
      </c>
      <c r="AB1093" t="str">
        <f>HYPERLINK("Melting_Curves/meltCurve_O43681_ASNA1.pdf", "Melting_Curves/meltCurve_O43681_ASNA1.pdf")</f>
        <v>Melting_Curves/meltCurve_O43681_ASNA1.pdf</v>
      </c>
    </row>
    <row r="1094" spans="1:28" x14ac:dyDescent="0.25">
      <c r="A1094" t="s">
        <v>1098</v>
      </c>
      <c r="B1094">
        <v>0.99352677808782597</v>
      </c>
      <c r="C1094">
        <v>0.97453093116841305</v>
      </c>
      <c r="D1094">
        <v>0.99875008757663297</v>
      </c>
      <c r="E1094">
        <v>0.65084886141346798</v>
      </c>
      <c r="F1094">
        <v>0.55607937337653601</v>
      </c>
      <c r="G1094">
        <v>0.234967830940852</v>
      </c>
      <c r="H1094">
        <v>0.126826599417969</v>
      </c>
      <c r="I1094">
        <v>0.120340837412288</v>
      </c>
      <c r="J1094">
        <v>0.101144031085311</v>
      </c>
      <c r="K1094">
        <v>7.4845312352268697E-2</v>
      </c>
      <c r="L1094">
        <v>930.513356632566</v>
      </c>
      <c r="M1094">
        <v>17.727716158798</v>
      </c>
      <c r="N1094">
        <v>52.946437043295298</v>
      </c>
      <c r="O1094">
        <v>51.834941191886401</v>
      </c>
      <c r="P1094">
        <v>-7.9436315300423305E-2</v>
      </c>
      <c r="Q1094">
        <v>7.0977612451187402E-2</v>
      </c>
      <c r="R1094">
        <v>0.98925164284233102</v>
      </c>
      <c r="S1094" t="s">
        <v>7379</v>
      </c>
      <c r="T1094" t="s">
        <v>12568</v>
      </c>
      <c r="U1094" t="s">
        <v>12568</v>
      </c>
      <c r="V1094" t="s">
        <v>12568</v>
      </c>
      <c r="W1094" t="s">
        <v>13639</v>
      </c>
      <c r="X1094">
        <v>18</v>
      </c>
      <c r="Y1094" t="s">
        <v>19856</v>
      </c>
      <c r="Z1094" t="s">
        <v>25964</v>
      </c>
      <c r="AA1094">
        <v>0.4734738732841528</v>
      </c>
      <c r="AB1094" t="str">
        <f>HYPERLINK("Melting_Curves/meltCurve_O43684_2_BUB3.pdf", "Melting_Curves/meltCurve_O43684_2_BUB3.pdf")</f>
        <v>Melting_Curves/meltCurve_O43684_2_BUB3.pdf</v>
      </c>
    </row>
    <row r="1095" spans="1:28" x14ac:dyDescent="0.25">
      <c r="A1095" t="s">
        <v>1099</v>
      </c>
      <c r="B1095">
        <v>0.99352677808782597</v>
      </c>
      <c r="C1095">
        <v>0.99829912189310499</v>
      </c>
      <c r="D1095">
        <v>0.91232502889523504</v>
      </c>
      <c r="E1095">
        <v>1.1555927095196601</v>
      </c>
      <c r="F1095">
        <v>0.99368059130267306</v>
      </c>
      <c r="G1095">
        <v>0.86991365995519099</v>
      </c>
      <c r="H1095">
        <v>0.69363361816697</v>
      </c>
      <c r="I1095">
        <v>0.20552769154004399</v>
      </c>
      <c r="J1095">
        <v>0.159264174446311</v>
      </c>
      <c r="K1095">
        <v>0.115377060494974</v>
      </c>
      <c r="L1095">
        <v>3111.61560279476</v>
      </c>
      <c r="M1095">
        <v>50.485008409640798</v>
      </c>
      <c r="N1095">
        <v>61.965323880791701</v>
      </c>
      <c r="O1095">
        <v>61.537970652031902</v>
      </c>
      <c r="P1095">
        <v>-0.180865347692412</v>
      </c>
      <c r="Q1095">
        <v>0.118147929116698</v>
      </c>
      <c r="R1095">
        <v>0.96657603537745695</v>
      </c>
      <c r="S1095" t="s">
        <v>7380</v>
      </c>
      <c r="T1095" t="s">
        <v>12568</v>
      </c>
      <c r="U1095" t="s">
        <v>12568</v>
      </c>
      <c r="V1095" t="s">
        <v>12568</v>
      </c>
      <c r="W1095" t="s">
        <v>13640</v>
      </c>
      <c r="X1095">
        <v>67</v>
      </c>
      <c r="Y1095" t="s">
        <v>19857</v>
      </c>
      <c r="Z1095" t="s">
        <v>25965</v>
      </c>
      <c r="AA1095">
        <v>0.75632921690914423</v>
      </c>
      <c r="AB1095" t="str">
        <f>HYPERLINK("Melting_Curves/meltCurve_O43707_ACTN4.pdf", "Melting_Curves/meltCurve_O43707_ACTN4.pdf")</f>
        <v>Melting_Curves/meltCurve_O43707_ACTN4.pdf</v>
      </c>
    </row>
    <row r="1096" spans="1:28" x14ac:dyDescent="0.25">
      <c r="A1096" t="s">
        <v>1100</v>
      </c>
      <c r="B1096">
        <v>0.99352677808782597</v>
      </c>
      <c r="C1096">
        <v>0.91506598444297105</v>
      </c>
      <c r="D1096">
        <v>0.92394341983052997</v>
      </c>
      <c r="E1096">
        <v>0.48615834302477701</v>
      </c>
      <c r="F1096">
        <v>0.44718588546515597</v>
      </c>
      <c r="G1096">
        <v>0.26487823516400899</v>
      </c>
      <c r="H1096">
        <v>0.20873923945686501</v>
      </c>
      <c r="I1096">
        <v>0.18007961926841301</v>
      </c>
      <c r="J1096">
        <v>0.137505038010412</v>
      </c>
      <c r="K1096">
        <v>0.124652476562232</v>
      </c>
      <c r="L1096">
        <v>805.16512659640296</v>
      </c>
      <c r="M1096">
        <v>16.047622651413199</v>
      </c>
      <c r="N1096">
        <v>51.238228932262302</v>
      </c>
      <c r="O1096">
        <v>49.413759991164</v>
      </c>
      <c r="P1096">
        <v>-6.9683982547065995E-2</v>
      </c>
      <c r="Q1096">
        <v>0.141784239800581</v>
      </c>
      <c r="R1096">
        <v>0.97997096352237401</v>
      </c>
      <c r="S1096" t="s">
        <v>7381</v>
      </c>
      <c r="T1096" t="s">
        <v>12568</v>
      </c>
      <c r="U1096" t="s">
        <v>12568</v>
      </c>
      <c r="V1096" t="s">
        <v>12568</v>
      </c>
      <c r="W1096" t="s">
        <v>13641</v>
      </c>
      <c r="X1096">
        <v>6</v>
      </c>
      <c r="Y1096" t="s">
        <v>19858</v>
      </c>
      <c r="Z1096" t="s">
        <v>25966</v>
      </c>
      <c r="AA1096">
        <v>0.45086802402668708</v>
      </c>
      <c r="AB1096" t="str">
        <f>HYPERLINK("Melting_Curves/meltCurve_O43709_WBSCR22.pdf", "Melting_Curves/meltCurve_O43709_WBSCR22.pdf")</f>
        <v>Melting_Curves/meltCurve_O43709_WBSCR22.pdf</v>
      </c>
    </row>
    <row r="1097" spans="1:28" x14ac:dyDescent="0.25">
      <c r="A1097" t="s">
        <v>1101</v>
      </c>
      <c r="B1097">
        <v>0.99352677808782597</v>
      </c>
      <c r="C1097">
        <v>0.99166100459781303</v>
      </c>
      <c r="D1097">
        <v>1.0156904214896401</v>
      </c>
      <c r="E1097">
        <v>0.98693012766115495</v>
      </c>
      <c r="F1097">
        <v>0.87878557575901095</v>
      </c>
      <c r="G1097">
        <v>0.813817057488742</v>
      </c>
      <c r="H1097">
        <v>0.691723548698846</v>
      </c>
      <c r="I1097">
        <v>0.72139053395536801</v>
      </c>
      <c r="J1097">
        <v>0.76910304283547604</v>
      </c>
      <c r="K1097">
        <v>0.66538878410279501</v>
      </c>
      <c r="L1097">
        <v>1264.1291190347599</v>
      </c>
      <c r="M1097">
        <v>23.1544654256268</v>
      </c>
      <c r="O1097">
        <v>54.193142505106998</v>
      </c>
      <c r="P1097">
        <v>-3.1374635558754298E-2</v>
      </c>
      <c r="Q1097">
        <v>0.70627539228703395</v>
      </c>
      <c r="R1097">
        <v>0.94805278490590605</v>
      </c>
      <c r="S1097" t="s">
        <v>7382</v>
      </c>
      <c r="T1097" t="s">
        <v>12568</v>
      </c>
      <c r="U1097" t="s">
        <v>12568</v>
      </c>
      <c r="V1097" t="s">
        <v>12568</v>
      </c>
      <c r="W1097" t="s">
        <v>13642</v>
      </c>
      <c r="X1097">
        <v>8</v>
      </c>
      <c r="Y1097" t="s">
        <v>19859</v>
      </c>
      <c r="Z1097" t="s">
        <v>25967</v>
      </c>
      <c r="AA1097">
        <v>0.85228672651945925</v>
      </c>
      <c r="AB1097" t="str">
        <f>HYPERLINK("Melting_Curves/meltCurve_O43715_TRIAP1.pdf", "Melting_Curves/meltCurve_O43715_TRIAP1.pdf")</f>
        <v>Melting_Curves/meltCurve_O43715_TRIAP1.pdf</v>
      </c>
    </row>
    <row r="1098" spans="1:28" x14ac:dyDescent="0.25">
      <c r="A1098" t="s">
        <v>1102</v>
      </c>
      <c r="B1098">
        <v>0.99352677808782597</v>
      </c>
      <c r="C1098">
        <v>0.96713145674574097</v>
      </c>
      <c r="D1098">
        <v>0.98230413343829703</v>
      </c>
      <c r="E1098">
        <v>0.82847913156001995</v>
      </c>
      <c r="F1098">
        <v>0.75937182513633406</v>
      </c>
      <c r="G1098">
        <v>0.60887929155583298</v>
      </c>
      <c r="H1098">
        <v>0.50591291909404301</v>
      </c>
      <c r="I1098">
        <v>0.57674419123575704</v>
      </c>
      <c r="J1098">
        <v>0.52873998988777904</v>
      </c>
      <c r="K1098">
        <v>0.49633863070801199</v>
      </c>
      <c r="L1098">
        <v>884.40256955982397</v>
      </c>
      <c r="M1098">
        <v>16.828994565025599</v>
      </c>
      <c r="O1098">
        <v>51.827099479618397</v>
      </c>
      <c r="P1098">
        <v>-4.0038556202459698E-2</v>
      </c>
      <c r="Q1098">
        <v>0.506815756407198</v>
      </c>
      <c r="R1098">
        <v>0.98226422815079795</v>
      </c>
      <c r="S1098" t="s">
        <v>7383</v>
      </c>
      <c r="T1098" t="s">
        <v>12568</v>
      </c>
      <c r="U1098" t="s">
        <v>12568</v>
      </c>
      <c r="V1098" t="s">
        <v>12568</v>
      </c>
      <c r="W1098" t="s">
        <v>13643</v>
      </c>
      <c r="X1098">
        <v>7</v>
      </c>
      <c r="Y1098" t="s">
        <v>19860</v>
      </c>
      <c r="Z1098" t="s">
        <v>25968</v>
      </c>
      <c r="AA1098">
        <v>0.72224280037722033</v>
      </c>
      <c r="AB1098" t="str">
        <f>HYPERLINK("Melting_Curves/meltCurve_O43716_GATC.pdf", "Melting_Curves/meltCurve_O43716_GATC.pdf")</f>
        <v>Melting_Curves/meltCurve_O43716_GATC.pdf</v>
      </c>
    </row>
    <row r="1099" spans="1:28" x14ac:dyDescent="0.25">
      <c r="A1099" t="s">
        <v>1103</v>
      </c>
      <c r="B1099">
        <v>0.99352677808782597</v>
      </c>
      <c r="C1099">
        <v>1.00008210693486</v>
      </c>
      <c r="D1099">
        <v>0.95216793340496597</v>
      </c>
      <c r="E1099">
        <v>0.79336263058193102</v>
      </c>
      <c r="F1099">
        <v>0.68476565394977396</v>
      </c>
      <c r="G1099">
        <v>0.45379991736130998</v>
      </c>
      <c r="H1099">
        <v>0.34863715543373103</v>
      </c>
      <c r="I1099">
        <v>0.33493993342634298</v>
      </c>
      <c r="J1099">
        <v>0.34392253832157199</v>
      </c>
      <c r="K1099">
        <v>0.27304272015472703</v>
      </c>
      <c r="L1099">
        <v>870.89270998142001</v>
      </c>
      <c r="M1099">
        <v>16.351635717281201</v>
      </c>
      <c r="N1099">
        <v>56.150759132996598</v>
      </c>
      <c r="O1099">
        <v>52.482803042499</v>
      </c>
      <c r="P1099">
        <v>-5.5733150343564797E-2</v>
      </c>
      <c r="Q1099">
        <v>0.284518877325518</v>
      </c>
      <c r="R1099">
        <v>0.99516582916644702</v>
      </c>
      <c r="S1099" t="s">
        <v>7384</v>
      </c>
      <c r="T1099" t="s">
        <v>12568</v>
      </c>
      <c r="U1099" t="s">
        <v>12568</v>
      </c>
      <c r="V1099" t="s">
        <v>12568</v>
      </c>
      <c r="W1099" t="s">
        <v>13644</v>
      </c>
      <c r="X1099">
        <v>29</v>
      </c>
      <c r="Y1099" t="s">
        <v>19861</v>
      </c>
      <c r="Z1099" t="s">
        <v>25969</v>
      </c>
      <c r="AA1099">
        <v>0.61425043470032781</v>
      </c>
      <c r="AB1099" t="str">
        <f>HYPERLINK("Melting_Curves/meltCurve_O43719_HTATSF1.pdf", "Melting_Curves/meltCurve_O43719_HTATSF1.pdf")</f>
        <v>Melting_Curves/meltCurve_O43719_HTATSF1.pdf</v>
      </c>
    </row>
    <row r="1100" spans="1:28" x14ac:dyDescent="0.25">
      <c r="A1100" t="s">
        <v>1104</v>
      </c>
      <c r="B1100">
        <v>0.99352677808782597</v>
      </c>
      <c r="C1100">
        <v>0.96155449507229196</v>
      </c>
      <c r="D1100">
        <v>0.94582556505357396</v>
      </c>
      <c r="E1100">
        <v>0.34911579625016897</v>
      </c>
      <c r="F1100">
        <v>0.30094063409229799</v>
      </c>
      <c r="G1100">
        <v>0.17442963708558801</v>
      </c>
      <c r="H1100">
        <v>0.12467152939529801</v>
      </c>
      <c r="I1100">
        <v>0.120226166934988</v>
      </c>
      <c r="J1100">
        <v>9.3598933889623107E-2</v>
      </c>
      <c r="K1100">
        <v>8.2859785236352498E-2</v>
      </c>
      <c r="L1100">
        <v>1545.0257747575799</v>
      </c>
      <c r="M1100">
        <v>31.6406686293615</v>
      </c>
      <c r="N1100">
        <v>49.296016871809897</v>
      </c>
      <c r="O1100">
        <v>48.6365425942261</v>
      </c>
      <c r="P1100">
        <v>-0.14163051202983901</v>
      </c>
      <c r="Q1100">
        <v>0.12917322238103199</v>
      </c>
      <c r="R1100">
        <v>0.98297073661951295</v>
      </c>
      <c r="S1100" t="s">
        <v>7385</v>
      </c>
      <c r="T1100" t="s">
        <v>12568</v>
      </c>
      <c r="U1100" t="s">
        <v>12568</v>
      </c>
      <c r="V1100" t="s">
        <v>12568</v>
      </c>
      <c r="W1100" t="s">
        <v>13645</v>
      </c>
      <c r="X1100">
        <v>6</v>
      </c>
      <c r="Y1100" t="s">
        <v>19862</v>
      </c>
      <c r="Z1100" t="s">
        <v>25970</v>
      </c>
      <c r="AA1100">
        <v>0.39024116467558329</v>
      </c>
      <c r="AB1100" t="str">
        <f>HYPERLINK("Melting_Curves/meltCurve_O43739_2_CYTH3.pdf", "Melting_Curves/meltCurve_O43739_2_CYTH3.pdf")</f>
        <v>Melting_Curves/meltCurve_O43739_2_CYTH3.pdf</v>
      </c>
    </row>
    <row r="1101" spans="1:28" x14ac:dyDescent="0.25">
      <c r="A1101" t="s">
        <v>1105</v>
      </c>
      <c r="B1101">
        <v>0.99352677808782597</v>
      </c>
      <c r="C1101">
        <v>0.90699633081851305</v>
      </c>
      <c r="D1101">
        <v>0.77582350979791204</v>
      </c>
      <c r="E1101">
        <v>0.57746214779890603</v>
      </c>
      <c r="F1101">
        <v>0.43876943293828002</v>
      </c>
      <c r="G1101">
        <v>0.214266139363677</v>
      </c>
      <c r="H1101">
        <v>9.6581086316350706E-2</v>
      </c>
      <c r="I1101">
        <v>7.4054613695641799E-2</v>
      </c>
      <c r="J1101">
        <v>5.4564393691767799E-2</v>
      </c>
      <c r="K1101">
        <v>3.9790134919167101E-2</v>
      </c>
      <c r="L1101">
        <v>628.293574482493</v>
      </c>
      <c r="M1101">
        <v>12.2569883699291</v>
      </c>
      <c r="N1101">
        <v>51.260028639823297</v>
      </c>
      <c r="O1101">
        <v>49.952849460398397</v>
      </c>
      <c r="P1101">
        <v>-6.1356410678582697E-2</v>
      </c>
      <c r="Q1101">
        <v>0</v>
      </c>
      <c r="R1101">
        <v>0.99703610237847695</v>
      </c>
      <c r="S1101" t="s">
        <v>7386</v>
      </c>
      <c r="T1101" t="s">
        <v>12568</v>
      </c>
      <c r="U1101" t="s">
        <v>12568</v>
      </c>
      <c r="V1101" t="s">
        <v>12568</v>
      </c>
      <c r="W1101" t="s">
        <v>13646</v>
      </c>
      <c r="X1101">
        <v>20</v>
      </c>
      <c r="Y1101" t="s">
        <v>19863</v>
      </c>
      <c r="Z1101" t="s">
        <v>25971</v>
      </c>
      <c r="AA1101">
        <v>0.40648973608727401</v>
      </c>
      <c r="AB1101" t="str">
        <f>HYPERLINK("Melting_Curves/meltCurve_O43747_AP1G1.pdf", "Melting_Curves/meltCurve_O43747_AP1G1.pdf")</f>
        <v>Melting_Curves/meltCurve_O43747_AP1G1.pdf</v>
      </c>
    </row>
    <row r="1102" spans="1:28" x14ac:dyDescent="0.25">
      <c r="A1102" t="s">
        <v>1106</v>
      </c>
      <c r="B1102">
        <v>0.99352677808782597</v>
      </c>
      <c r="C1102">
        <v>0.999181619644956</v>
      </c>
      <c r="D1102">
        <v>1.00111929851458</v>
      </c>
      <c r="E1102">
        <v>0.92217376196002099</v>
      </c>
      <c r="F1102">
        <v>0.83449243288421604</v>
      </c>
      <c r="G1102">
        <v>0.73224276123763499</v>
      </c>
      <c r="H1102">
        <v>0.65413302750712099</v>
      </c>
      <c r="I1102">
        <v>0.72961644419157901</v>
      </c>
      <c r="J1102">
        <v>0.774905332156552</v>
      </c>
      <c r="K1102">
        <v>0.59493062364657601</v>
      </c>
      <c r="L1102">
        <v>1241.3419886224201</v>
      </c>
      <c r="M1102">
        <v>23.5829546473934</v>
      </c>
      <c r="O1102">
        <v>52.26315713396</v>
      </c>
      <c r="P1102">
        <v>-3.5572630830657898E-2</v>
      </c>
      <c r="Q1102">
        <v>0.68466948825884499</v>
      </c>
      <c r="R1102">
        <v>0.90238735543470505</v>
      </c>
      <c r="S1102" t="s">
        <v>7387</v>
      </c>
      <c r="T1102" t="s">
        <v>12568</v>
      </c>
      <c r="U1102" t="s">
        <v>12568</v>
      </c>
      <c r="V1102" t="s">
        <v>12568</v>
      </c>
      <c r="W1102" t="s">
        <v>13647</v>
      </c>
      <c r="X1102">
        <v>4</v>
      </c>
      <c r="Y1102" t="s">
        <v>19864</v>
      </c>
      <c r="Z1102" t="s">
        <v>25972</v>
      </c>
      <c r="AA1102">
        <v>0.82073066453944987</v>
      </c>
      <c r="AB1102" t="str">
        <f>HYPERLINK("Melting_Curves/meltCurve_O43752_STX6.pdf", "Melting_Curves/meltCurve_O43752_STX6.pdf")</f>
        <v>Melting_Curves/meltCurve_O43752_STX6.pdf</v>
      </c>
    </row>
    <row r="1103" spans="1:28" x14ac:dyDescent="0.25">
      <c r="A1103" t="s">
        <v>1107</v>
      </c>
      <c r="B1103">
        <v>0.99352677808782597</v>
      </c>
      <c r="C1103">
        <v>0.90928297732386998</v>
      </c>
      <c r="D1103">
        <v>0.94028157305572901</v>
      </c>
      <c r="E1103">
        <v>0.86119195015060102</v>
      </c>
      <c r="F1103">
        <v>0.76522823236864901</v>
      </c>
      <c r="G1103">
        <v>0.54313223764602103</v>
      </c>
      <c r="H1103">
        <v>0.39686991611596001</v>
      </c>
      <c r="I1103">
        <v>0.38263419879195498</v>
      </c>
      <c r="J1103">
        <v>0.44691142271502499</v>
      </c>
      <c r="K1103">
        <v>0.34163621463701199</v>
      </c>
      <c r="L1103">
        <v>872.29333466474702</v>
      </c>
      <c r="M1103">
        <v>16.106411460528498</v>
      </c>
      <c r="N1103">
        <v>58.480231373308897</v>
      </c>
      <c r="O1103">
        <v>53.343910167032199</v>
      </c>
      <c r="P1103">
        <v>-4.9223285248657503E-2</v>
      </c>
      <c r="Q1103">
        <v>0.34794614578398297</v>
      </c>
      <c r="R1103">
        <v>0.97366260968314</v>
      </c>
      <c r="S1103" t="s">
        <v>7388</v>
      </c>
      <c r="T1103" t="s">
        <v>12568</v>
      </c>
      <c r="U1103" t="s">
        <v>12568</v>
      </c>
      <c r="V1103" t="s">
        <v>12568</v>
      </c>
      <c r="W1103" t="s">
        <v>13648</v>
      </c>
      <c r="X1103">
        <v>14</v>
      </c>
      <c r="Y1103" t="s">
        <v>19865</v>
      </c>
      <c r="Z1103" t="s">
        <v>25973</v>
      </c>
      <c r="AA1103">
        <v>0.66779659317702167</v>
      </c>
      <c r="AB1103" t="str">
        <f>HYPERLINK("Melting_Curves/meltCurve_O43765_SGTA.pdf", "Melting_Curves/meltCurve_O43765_SGTA.pdf")</f>
        <v>Melting_Curves/meltCurve_O43765_SGTA.pdf</v>
      </c>
    </row>
    <row r="1104" spans="1:28" x14ac:dyDescent="0.25">
      <c r="A1104" t="s">
        <v>1108</v>
      </c>
      <c r="B1104">
        <v>0.99352677808782597</v>
      </c>
      <c r="C1104">
        <v>0.88962465202515495</v>
      </c>
      <c r="D1104">
        <v>0.84038313126744901</v>
      </c>
      <c r="E1104">
        <v>0.64186155282796298</v>
      </c>
      <c r="F1104">
        <v>0.59864961599244704</v>
      </c>
      <c r="G1104">
        <v>0.4987879047639</v>
      </c>
      <c r="H1104">
        <v>0.46317187823264999</v>
      </c>
      <c r="I1104">
        <v>0.40789558624675698</v>
      </c>
      <c r="J1104">
        <v>0.213716502258188</v>
      </c>
      <c r="K1104">
        <v>0.163517865171003</v>
      </c>
      <c r="L1104">
        <v>372.19542166336203</v>
      </c>
      <c r="M1104">
        <v>6.54504533509047</v>
      </c>
      <c r="N1104">
        <v>56.866744629196198</v>
      </c>
      <c r="O1104">
        <v>52.258683687740401</v>
      </c>
      <c r="P1104">
        <v>-3.1384970580193197E-2</v>
      </c>
      <c r="Q1104">
        <v>0</v>
      </c>
      <c r="R1104">
        <v>0.96050803451162603</v>
      </c>
      <c r="S1104" t="s">
        <v>7389</v>
      </c>
      <c r="T1104" t="s">
        <v>12568</v>
      </c>
      <c r="U1104" t="s">
        <v>12568</v>
      </c>
      <c r="V1104" t="s">
        <v>12568</v>
      </c>
      <c r="W1104" t="s">
        <v>13649</v>
      </c>
      <c r="X1104">
        <v>3</v>
      </c>
      <c r="Y1104" t="s">
        <v>19866</v>
      </c>
      <c r="Z1104" t="s">
        <v>25974</v>
      </c>
      <c r="AA1104">
        <v>0.56998512948684932</v>
      </c>
      <c r="AB1104" t="str">
        <f>HYPERLINK("Melting_Curves/meltCurve_O43766_2_LIAS.pdf", "Melting_Curves/meltCurve_O43766_2_LIAS.pdf")</f>
        <v>Melting_Curves/meltCurve_O43766_2_LIAS.pdf</v>
      </c>
    </row>
    <row r="1105" spans="1:28" x14ac:dyDescent="0.25">
      <c r="A1105" t="s">
        <v>1109</v>
      </c>
      <c r="B1105">
        <v>0.99352677808782597</v>
      </c>
      <c r="C1105">
        <v>0.972506954065815</v>
      </c>
      <c r="D1105">
        <v>1.0045512209288401</v>
      </c>
      <c r="E1105">
        <v>0.941875928298472</v>
      </c>
      <c r="F1105">
        <v>0.85498666290827097</v>
      </c>
      <c r="G1105">
        <v>0.912813419092662</v>
      </c>
      <c r="H1105">
        <v>0.75618082751775995</v>
      </c>
      <c r="I1105">
        <v>0.78945880103400001</v>
      </c>
      <c r="J1105">
        <v>0.88229740206143603</v>
      </c>
      <c r="K1105">
        <v>0.78774776819374104</v>
      </c>
      <c r="L1105">
        <v>904.43351304364205</v>
      </c>
      <c r="M1105">
        <v>17.371563229426201</v>
      </c>
      <c r="O1105">
        <v>51.388793063194299</v>
      </c>
      <c r="P1105">
        <v>-1.62029438121414E-2</v>
      </c>
      <c r="Q1105">
        <v>0.80828385641062905</v>
      </c>
      <c r="R1105">
        <v>0.76099807449785595</v>
      </c>
      <c r="S1105" t="s">
        <v>7390</v>
      </c>
      <c r="T1105" t="s">
        <v>12568</v>
      </c>
      <c r="U1105" t="s">
        <v>12568</v>
      </c>
      <c r="V1105" t="s">
        <v>12568</v>
      </c>
      <c r="W1105" t="s">
        <v>13650</v>
      </c>
      <c r="X1105">
        <v>13</v>
      </c>
      <c r="Y1105" t="s">
        <v>19867</v>
      </c>
      <c r="Z1105" t="s">
        <v>25975</v>
      </c>
      <c r="AA1105">
        <v>0.8887634323118706</v>
      </c>
      <c r="AB1105" t="str">
        <f>HYPERLINK("Melting_Curves/meltCurve_O43768_2_ENSA.pdf", "Melting_Curves/meltCurve_O43768_2_ENSA.pdf")</f>
        <v>Melting_Curves/meltCurve_O43768_2_ENSA.pdf</v>
      </c>
    </row>
    <row r="1106" spans="1:28" x14ac:dyDescent="0.25">
      <c r="A1106" t="s">
        <v>1110</v>
      </c>
      <c r="B1106">
        <v>0.99352677808782597</v>
      </c>
      <c r="C1106">
        <v>0.98477639937462302</v>
      </c>
      <c r="D1106">
        <v>0.79409762072235701</v>
      </c>
      <c r="E1106">
        <v>0.27766868496436597</v>
      </c>
      <c r="F1106">
        <v>0.20581104417870399</v>
      </c>
      <c r="G1106">
        <v>0.13601828327686299</v>
      </c>
      <c r="H1106">
        <v>0.10148707356890201</v>
      </c>
      <c r="I1106">
        <v>9.6566774400341907E-2</v>
      </c>
      <c r="J1106">
        <v>7.3706566006598598E-2</v>
      </c>
      <c r="K1106">
        <v>5.56096207165893E-2</v>
      </c>
      <c r="L1106">
        <v>1354.8883341236501</v>
      </c>
      <c r="M1106">
        <v>28.281373612716202</v>
      </c>
      <c r="N1106">
        <v>48.2711768171187</v>
      </c>
      <c r="O1106">
        <v>47.669856332067198</v>
      </c>
      <c r="P1106">
        <v>-0.13408676005339501</v>
      </c>
      <c r="Q1106">
        <v>9.5964530539498397E-2</v>
      </c>
      <c r="R1106">
        <v>0.994717012089813</v>
      </c>
      <c r="S1106" t="s">
        <v>7391</v>
      </c>
      <c r="T1106" t="s">
        <v>12568</v>
      </c>
      <c r="U1106" t="s">
        <v>12568</v>
      </c>
      <c r="V1106" t="s">
        <v>12568</v>
      </c>
      <c r="W1106" t="s">
        <v>13651</v>
      </c>
      <c r="X1106">
        <v>21</v>
      </c>
      <c r="Y1106" t="s">
        <v>19868</v>
      </c>
      <c r="Z1106" t="s">
        <v>25976</v>
      </c>
      <c r="AA1106">
        <v>0.34040557412932132</v>
      </c>
      <c r="AB1106" t="str">
        <f>HYPERLINK("Melting_Curves/meltCurve_O43776_NARS.pdf", "Melting_Curves/meltCurve_O43776_NARS.pdf")</f>
        <v>Melting_Curves/meltCurve_O43776_NARS.pdf</v>
      </c>
    </row>
    <row r="1107" spans="1:28" x14ac:dyDescent="0.25">
      <c r="A1107" t="s">
        <v>1111</v>
      </c>
      <c r="B1107">
        <v>0.99352677808782597</v>
      </c>
      <c r="C1107">
        <v>0.58903476247929798</v>
      </c>
      <c r="D1107">
        <v>0.81093276087341204</v>
      </c>
      <c r="E1107">
        <v>0.36979318406957101</v>
      </c>
      <c r="F1107">
        <v>0.30957355949537002</v>
      </c>
      <c r="G1107">
        <v>0.169886690264023</v>
      </c>
      <c r="H1107">
        <v>0.1137721070214</v>
      </c>
      <c r="I1107">
        <v>9.6921432135952806E-2</v>
      </c>
      <c r="J1107">
        <v>7.8463833844547901E-2</v>
      </c>
      <c r="K1107">
        <v>6.7352146118484502E-2</v>
      </c>
      <c r="L1107">
        <v>507.38883436790701</v>
      </c>
      <c r="M1107">
        <v>10.495093517642999</v>
      </c>
      <c r="N1107">
        <v>48.555070771381502</v>
      </c>
      <c r="O1107">
        <v>46.689029613324003</v>
      </c>
      <c r="P1107">
        <v>-5.4973635202023502E-2</v>
      </c>
      <c r="Q1107">
        <v>2.2160575164866799E-2</v>
      </c>
      <c r="R1107">
        <v>0.914506606716325</v>
      </c>
      <c r="S1107" t="s">
        <v>7392</v>
      </c>
      <c r="T1107" t="s">
        <v>12568</v>
      </c>
      <c r="U1107" t="s">
        <v>12568</v>
      </c>
      <c r="V1107" t="s">
        <v>12568</v>
      </c>
      <c r="W1107" t="s">
        <v>13652</v>
      </c>
      <c r="X1107">
        <v>30</v>
      </c>
      <c r="Y1107" t="s">
        <v>19869</v>
      </c>
      <c r="Z1107" t="s">
        <v>25977</v>
      </c>
      <c r="AA1107">
        <v>0.34092027723691032</v>
      </c>
      <c r="AB1107" t="str">
        <f>HYPERLINK("Melting_Curves/meltCurve_O43795_2_MYO1B.pdf", "Melting_Curves/meltCurve_O43795_2_MYO1B.pdf")</f>
        <v>Melting_Curves/meltCurve_O43795_2_MYO1B.pdf</v>
      </c>
    </row>
    <row r="1108" spans="1:28" x14ac:dyDescent="0.25">
      <c r="A1108" t="s">
        <v>1112</v>
      </c>
      <c r="B1108">
        <v>0.99352677808782597</v>
      </c>
      <c r="C1108">
        <v>1.0433614140862999</v>
      </c>
      <c r="D1108">
        <v>1.05083331573144</v>
      </c>
      <c r="E1108">
        <v>0.96002650156088098</v>
      </c>
      <c r="F1108">
        <v>0.81107104731068502</v>
      </c>
      <c r="G1108">
        <v>0.73559579878291703</v>
      </c>
      <c r="H1108">
        <v>0.54286257003141203</v>
      </c>
      <c r="I1108">
        <v>0.50686985587892897</v>
      </c>
      <c r="J1108">
        <v>0.60899026718479699</v>
      </c>
      <c r="K1108">
        <v>0.50944381400668304</v>
      </c>
      <c r="L1108">
        <v>1143.9242157178401</v>
      </c>
      <c r="M1108">
        <v>20.765458079479401</v>
      </c>
      <c r="O1108">
        <v>54.584587831999201</v>
      </c>
      <c r="P1108">
        <v>-4.5191469285645901E-2</v>
      </c>
      <c r="Q1108">
        <v>0.52484775371807901</v>
      </c>
      <c r="R1108">
        <v>0.95783888597137801</v>
      </c>
      <c r="S1108" t="s">
        <v>7393</v>
      </c>
      <c r="T1108" t="s">
        <v>12568</v>
      </c>
      <c r="U1108" t="s">
        <v>12568</v>
      </c>
      <c r="V1108" t="s">
        <v>12568</v>
      </c>
      <c r="W1108" t="s">
        <v>13653</v>
      </c>
      <c r="X1108">
        <v>5</v>
      </c>
      <c r="Y1108" t="s">
        <v>19870</v>
      </c>
      <c r="Z1108" t="s">
        <v>25978</v>
      </c>
      <c r="AA1108">
        <v>0.7697785954036408</v>
      </c>
      <c r="AB1108" t="str">
        <f>HYPERLINK("Melting_Curves/meltCurve_O43805_SSNA1.pdf", "Melting_Curves/meltCurve_O43805_SSNA1.pdf")</f>
        <v>Melting_Curves/meltCurve_O43805_SSNA1.pdf</v>
      </c>
    </row>
    <row r="1109" spans="1:28" x14ac:dyDescent="0.25">
      <c r="A1109" t="s">
        <v>1113</v>
      </c>
      <c r="B1109">
        <v>0.99352677808782597</v>
      </c>
      <c r="C1109">
        <v>1.0155504065068099</v>
      </c>
      <c r="D1109">
        <v>0.98982122662744698</v>
      </c>
      <c r="E1109">
        <v>1.01626290096773</v>
      </c>
      <c r="F1109">
        <v>0.86969684656785495</v>
      </c>
      <c r="G1109">
        <v>0.27367742311759202</v>
      </c>
      <c r="H1109">
        <v>0.10833526694682299</v>
      </c>
      <c r="I1109">
        <v>9.0715942336919306E-2</v>
      </c>
      <c r="J1109">
        <v>7.6900620090289903E-2</v>
      </c>
      <c r="K1109">
        <v>6.2509461442271805E-2</v>
      </c>
      <c r="L1109">
        <v>2368.3606054494899</v>
      </c>
      <c r="M1109">
        <v>42.860709273771597</v>
      </c>
      <c r="N1109">
        <v>55.481207363040802</v>
      </c>
      <c r="O1109">
        <v>55.137268253722297</v>
      </c>
      <c r="P1109">
        <v>-0.178892866073567</v>
      </c>
      <c r="Q1109">
        <v>7.9469449737213593E-2</v>
      </c>
      <c r="R1109">
        <v>0.99913099815323003</v>
      </c>
      <c r="S1109" t="s">
        <v>7394</v>
      </c>
      <c r="T1109" t="s">
        <v>12568</v>
      </c>
      <c r="U1109" t="s">
        <v>12568</v>
      </c>
      <c r="V1109" t="s">
        <v>12568</v>
      </c>
      <c r="W1109" t="s">
        <v>13654</v>
      </c>
      <c r="X1109">
        <v>8</v>
      </c>
      <c r="Y1109" t="s">
        <v>19871</v>
      </c>
      <c r="Z1109" t="s">
        <v>25979</v>
      </c>
      <c r="AA1109">
        <v>0.55067674301542413</v>
      </c>
      <c r="AB1109" t="str">
        <f>HYPERLINK("Melting_Curves/meltCurve_O43809_NUDT21.pdf", "Melting_Curves/meltCurve_O43809_NUDT21.pdf")</f>
        <v>Melting_Curves/meltCurve_O43809_NUDT21.pdf</v>
      </c>
    </row>
    <row r="1110" spans="1:28" x14ac:dyDescent="0.25">
      <c r="A1110" t="s">
        <v>1114</v>
      </c>
      <c r="B1110">
        <v>0.99352677808782597</v>
      </c>
      <c r="C1110">
        <v>0.91473166905020198</v>
      </c>
      <c r="D1110">
        <v>0.99255643155119699</v>
      </c>
      <c r="E1110">
        <v>0.87713892762455303</v>
      </c>
      <c r="F1110">
        <v>0.85003521483209499</v>
      </c>
      <c r="G1110">
        <v>0.59861058179349202</v>
      </c>
      <c r="H1110">
        <v>0.16557600866137501</v>
      </c>
      <c r="I1110">
        <v>0.10965534147806499</v>
      </c>
      <c r="J1110">
        <v>6.9212148790003605E-2</v>
      </c>
      <c r="K1110">
        <v>5.9577050247981801E-2</v>
      </c>
      <c r="L1110">
        <v>1263.9306857812701</v>
      </c>
      <c r="M1110">
        <v>22.047378480481601</v>
      </c>
      <c r="N1110">
        <v>57.443653731410002</v>
      </c>
      <c r="O1110">
        <v>56.862543331881803</v>
      </c>
      <c r="P1110">
        <v>-9.4828952319149395E-2</v>
      </c>
      <c r="Q1110">
        <v>2.1725490010994199E-2</v>
      </c>
      <c r="R1110">
        <v>0.98559345411964505</v>
      </c>
      <c r="S1110" t="s">
        <v>7395</v>
      </c>
      <c r="T1110" t="s">
        <v>12568</v>
      </c>
      <c r="U1110" t="s">
        <v>12568</v>
      </c>
      <c r="V1110" t="s">
        <v>12568</v>
      </c>
      <c r="W1110" t="s">
        <v>13655</v>
      </c>
      <c r="X1110">
        <v>13</v>
      </c>
      <c r="Y1110" t="s">
        <v>19872</v>
      </c>
      <c r="Z1110" t="s">
        <v>25980</v>
      </c>
      <c r="AA1110">
        <v>0.59718732937279895</v>
      </c>
      <c r="AB1110" t="str">
        <f>HYPERLINK("Melting_Curves/meltCurve_O43813_LANCL1.pdf", "Melting_Curves/meltCurve_O43813_LANCL1.pdf")</f>
        <v>Melting_Curves/meltCurve_O43813_LANCL1.pdf</v>
      </c>
    </row>
    <row r="1111" spans="1:28" x14ac:dyDescent="0.25">
      <c r="A1111" t="s">
        <v>1115</v>
      </c>
      <c r="B1111">
        <v>0.99352677808782597</v>
      </c>
      <c r="C1111">
        <v>1.0445200907738601</v>
      </c>
      <c r="D1111">
        <v>0.89387324680580005</v>
      </c>
      <c r="E1111">
        <v>0.80989710592324604</v>
      </c>
      <c r="F1111">
        <v>0.67482326419003802</v>
      </c>
      <c r="G1111">
        <v>0.377391002295966</v>
      </c>
      <c r="H1111">
        <v>0.19844394299488499</v>
      </c>
      <c r="I1111">
        <v>0.17036598845725001</v>
      </c>
      <c r="J1111">
        <v>0.14756011282395701</v>
      </c>
      <c r="K1111">
        <v>0.119769071992588</v>
      </c>
      <c r="L1111">
        <v>876.76285561444297</v>
      </c>
      <c r="M1111">
        <v>16.123405636914399</v>
      </c>
      <c r="N1111">
        <v>55.075361536809901</v>
      </c>
      <c r="O1111">
        <v>53.562405424479202</v>
      </c>
      <c r="P1111">
        <v>-6.8314572871311693E-2</v>
      </c>
      <c r="Q1111">
        <v>9.2297373917534606E-2</v>
      </c>
      <c r="R1111">
        <v>0.99277518380748797</v>
      </c>
      <c r="S1111" t="s">
        <v>7396</v>
      </c>
      <c r="T1111" t="s">
        <v>12568</v>
      </c>
      <c r="U1111" t="s">
        <v>12568</v>
      </c>
      <c r="V1111" t="s">
        <v>12568</v>
      </c>
      <c r="W1111" t="s">
        <v>13656</v>
      </c>
      <c r="X1111">
        <v>18</v>
      </c>
      <c r="Y1111" t="s">
        <v>19873</v>
      </c>
      <c r="Z1111" t="s">
        <v>25981</v>
      </c>
      <c r="AA1111">
        <v>0.5440165821162708</v>
      </c>
      <c r="AB1111" t="str">
        <f>HYPERLINK("Melting_Curves/meltCurve_O43815_STRN.pdf", "Melting_Curves/meltCurve_O43815_STRN.pdf")</f>
        <v>Melting_Curves/meltCurve_O43815_STRN.pdf</v>
      </c>
    </row>
    <row r="1112" spans="1:28" x14ac:dyDescent="0.25">
      <c r="A1112" t="s">
        <v>1116</v>
      </c>
      <c r="B1112">
        <v>0.99352677808782597</v>
      </c>
      <c r="C1112">
        <v>0.87508585970430097</v>
      </c>
      <c r="D1112">
        <v>0.98829901760161099</v>
      </c>
      <c r="E1112">
        <v>0.82136192545478404</v>
      </c>
      <c r="F1112">
        <v>0.85617325371817399</v>
      </c>
      <c r="G1112">
        <v>0.52409779827875003</v>
      </c>
      <c r="H1112">
        <v>0.468194456896254</v>
      </c>
      <c r="I1112">
        <v>0.52210884687348902</v>
      </c>
      <c r="J1112">
        <v>0.32336048193972899</v>
      </c>
      <c r="K1112">
        <v>0.213699000719312</v>
      </c>
      <c r="L1112">
        <v>482.50052002761697</v>
      </c>
      <c r="M1112">
        <v>7.9248600030743797</v>
      </c>
      <c r="N1112">
        <v>60.884421439277702</v>
      </c>
      <c r="O1112">
        <v>57.373737848217203</v>
      </c>
      <c r="P1112">
        <v>-3.4572197138004801E-2</v>
      </c>
      <c r="Q1112">
        <v>0</v>
      </c>
      <c r="R1112">
        <v>0.93096667811643996</v>
      </c>
      <c r="S1112" t="s">
        <v>7397</v>
      </c>
      <c r="T1112" t="s">
        <v>12568</v>
      </c>
      <c r="U1112" t="s">
        <v>12568</v>
      </c>
      <c r="V1112" t="s">
        <v>12568</v>
      </c>
      <c r="W1112" t="s">
        <v>13657</v>
      </c>
      <c r="X1112">
        <v>6</v>
      </c>
      <c r="Y1112" t="s">
        <v>19874</v>
      </c>
      <c r="Z1112" t="s">
        <v>25982</v>
      </c>
      <c r="AA1112">
        <v>0.67121012798096125</v>
      </c>
      <c r="AB1112" t="str">
        <f>HYPERLINK("Melting_Curves/meltCurve_O43818_RRP9.pdf", "Melting_Curves/meltCurve_O43818_RRP9.pdf")</f>
        <v>Melting_Curves/meltCurve_O43818_RRP9.pdf</v>
      </c>
    </row>
    <row r="1113" spans="1:28" x14ac:dyDescent="0.25">
      <c r="A1113" t="s">
        <v>1117</v>
      </c>
      <c r="B1113">
        <v>0.99352677808782597</v>
      </c>
      <c r="C1113">
        <v>0.96120089032402001</v>
      </c>
      <c r="D1113">
        <v>0.99544863444158405</v>
      </c>
      <c r="E1113">
        <v>0.96458287837183798</v>
      </c>
      <c r="F1113">
        <v>0.96509923354524696</v>
      </c>
      <c r="G1113">
        <v>0.98077034004724795</v>
      </c>
      <c r="H1113">
        <v>0.841374171827318</v>
      </c>
      <c r="I1113">
        <v>0.94344779699723602</v>
      </c>
      <c r="J1113">
        <v>0.98087233209005897</v>
      </c>
      <c r="K1113">
        <v>0.85722917741147997</v>
      </c>
      <c r="L1113">
        <v>217.63008587631401</v>
      </c>
      <c r="M1113">
        <v>0.94237459484001196</v>
      </c>
      <c r="Q1113">
        <v>0</v>
      </c>
      <c r="R1113">
        <v>0.34536414637775198</v>
      </c>
      <c r="S1113" t="s">
        <v>7398</v>
      </c>
      <c r="T1113" t="s">
        <v>12568</v>
      </c>
      <c r="U1113" t="s">
        <v>12568</v>
      </c>
      <c r="V1113" t="s">
        <v>12568</v>
      </c>
      <c r="W1113" t="s">
        <v>13658</v>
      </c>
      <c r="X1113">
        <v>1</v>
      </c>
      <c r="Y1113" t="s">
        <v>19875</v>
      </c>
      <c r="Z1113" t="s">
        <v>25983</v>
      </c>
      <c r="AA1113">
        <v>0.94981231808576738</v>
      </c>
      <c r="AB1113" t="str">
        <f>HYPERLINK("Melting_Curves/meltCurve_O43820_4_HYAL3.pdf", "Melting_Curves/meltCurve_O43820_4_HYAL3.pdf")</f>
        <v>Melting_Curves/meltCurve_O43820_4_HYAL3.pdf</v>
      </c>
    </row>
    <row r="1114" spans="1:28" x14ac:dyDescent="0.25">
      <c r="A1114" t="s">
        <v>1118</v>
      </c>
      <c r="B1114">
        <v>0.99352677808782597</v>
      </c>
      <c r="C1114">
        <v>0.97395520452585904</v>
      </c>
      <c r="D1114">
        <v>0.96036513607001595</v>
      </c>
      <c r="E1114">
        <v>0.68604461122109694</v>
      </c>
      <c r="F1114">
        <v>0.70381611287601098</v>
      </c>
      <c r="G1114">
        <v>0.41226442199399999</v>
      </c>
      <c r="H1114">
        <v>0.30032446675965901</v>
      </c>
      <c r="I1114">
        <v>0.32270470781709698</v>
      </c>
      <c r="J1114">
        <v>0.38931455377755397</v>
      </c>
      <c r="K1114">
        <v>0.29811635273904702</v>
      </c>
      <c r="L1114">
        <v>844.62524394869797</v>
      </c>
      <c r="M1114">
        <v>16.182462917782601</v>
      </c>
      <c r="N1114">
        <v>55.306784221271798</v>
      </c>
      <c r="O1114">
        <v>51.416324984971901</v>
      </c>
      <c r="P1114">
        <v>-5.5168845295893998E-2</v>
      </c>
      <c r="Q1114">
        <v>0.298903434354296</v>
      </c>
      <c r="R1114">
        <v>0.96512141280933506</v>
      </c>
      <c r="S1114" t="s">
        <v>7399</v>
      </c>
      <c r="T1114" t="s">
        <v>12568</v>
      </c>
      <c r="U1114" t="s">
        <v>12568</v>
      </c>
      <c r="V1114" t="s">
        <v>12568</v>
      </c>
      <c r="W1114" t="s">
        <v>13659</v>
      </c>
      <c r="X1114">
        <v>1</v>
      </c>
      <c r="Y1114" t="s">
        <v>19876</v>
      </c>
      <c r="Z1114" t="s">
        <v>25984</v>
      </c>
      <c r="AA1114">
        <v>0.59771959703495459</v>
      </c>
      <c r="AB1114" t="str">
        <f>HYPERLINK("Melting_Curves/meltCurve_O43823_AKAP8.pdf", "Melting_Curves/meltCurve_O43823_AKAP8.pdf")</f>
        <v>Melting_Curves/meltCurve_O43823_AKAP8.pdf</v>
      </c>
    </row>
    <row r="1115" spans="1:28" x14ac:dyDescent="0.25">
      <c r="A1115" t="s">
        <v>1119</v>
      </c>
      <c r="B1115">
        <v>0.99352677808782597</v>
      </c>
      <c r="C1115">
        <v>0.67307548760938496</v>
      </c>
      <c r="D1115">
        <v>0.58251063614021503</v>
      </c>
      <c r="E1115">
        <v>0.332469286896729</v>
      </c>
      <c r="F1115">
        <v>0.26365385818459702</v>
      </c>
      <c r="G1115">
        <v>0.168954729728619</v>
      </c>
      <c r="H1115">
        <v>0.105871151415125</v>
      </c>
      <c r="I1115">
        <v>0.105525261188256</v>
      </c>
      <c r="J1115">
        <v>8.6063902411746496E-2</v>
      </c>
      <c r="K1115">
        <v>6.2438268502220701E-2</v>
      </c>
      <c r="L1115">
        <v>576.74921130769098</v>
      </c>
      <c r="M1115">
        <v>12.394208564186</v>
      </c>
      <c r="N1115">
        <v>47.087674552370203</v>
      </c>
      <c r="O1115">
        <v>45.372168612889197</v>
      </c>
      <c r="P1115">
        <v>-6.3672972031368999E-2</v>
      </c>
      <c r="Q1115">
        <v>6.7833485011040306E-2</v>
      </c>
      <c r="R1115">
        <v>0.97780960979098397</v>
      </c>
      <c r="S1115" t="s">
        <v>7400</v>
      </c>
      <c r="T1115" t="s">
        <v>12568</v>
      </c>
      <c r="U1115" t="s">
        <v>12568</v>
      </c>
      <c r="V1115" t="s">
        <v>12568</v>
      </c>
      <c r="W1115" t="s">
        <v>13660</v>
      </c>
      <c r="X1115">
        <v>6</v>
      </c>
      <c r="Y1115" t="s">
        <v>19877</v>
      </c>
      <c r="Z1115" t="s">
        <v>25985</v>
      </c>
      <c r="AA1115">
        <v>0.30904746473837369</v>
      </c>
      <c r="AB1115" t="str">
        <f>HYPERLINK("Melting_Curves/meltCurve_O43837_IDH3B.pdf", "Melting_Curves/meltCurve_O43837_IDH3B.pdf")</f>
        <v>Melting_Curves/meltCurve_O43837_IDH3B.pdf</v>
      </c>
    </row>
    <row r="1116" spans="1:28" x14ac:dyDescent="0.25">
      <c r="A1116" t="s">
        <v>1120</v>
      </c>
      <c r="B1116">
        <v>0.99352677808782597</v>
      </c>
      <c r="C1116">
        <v>1.05767125230362</v>
      </c>
      <c r="D1116">
        <v>0.968300158691766</v>
      </c>
      <c r="E1116">
        <v>0.59418783405431297</v>
      </c>
      <c r="F1116">
        <v>0.46321461386863599</v>
      </c>
      <c r="G1116">
        <v>0.26863891715576999</v>
      </c>
      <c r="H1116">
        <v>0.168374800602964</v>
      </c>
      <c r="I1116">
        <v>0.14506168394854899</v>
      </c>
      <c r="J1116">
        <v>0.129490554190686</v>
      </c>
      <c r="K1116">
        <v>0.10239063782504799</v>
      </c>
      <c r="L1116">
        <v>964.58806061457096</v>
      </c>
      <c r="M1116">
        <v>18.797371123919099</v>
      </c>
      <c r="N1116">
        <v>52.094641248029902</v>
      </c>
      <c r="O1116">
        <v>50.744866113753602</v>
      </c>
      <c r="P1116">
        <v>-8.1257055919543006E-2</v>
      </c>
      <c r="Q1116">
        <v>0.122599228441826</v>
      </c>
      <c r="R1116">
        <v>0.98724788892653503</v>
      </c>
      <c r="S1116" t="s">
        <v>7401</v>
      </c>
      <c r="T1116" t="s">
        <v>12568</v>
      </c>
      <c r="U1116" t="s">
        <v>12568</v>
      </c>
      <c r="V1116" t="s">
        <v>12568</v>
      </c>
      <c r="W1116" t="s">
        <v>13661</v>
      </c>
      <c r="X1116">
        <v>27</v>
      </c>
      <c r="Y1116" t="s">
        <v>19878</v>
      </c>
      <c r="Z1116" t="s">
        <v>25986</v>
      </c>
      <c r="AA1116">
        <v>0.46715660945865639</v>
      </c>
      <c r="AB1116" t="str">
        <f>HYPERLINK("Melting_Curves/meltCurve_O43847_2_NRD1.pdf", "Melting_Curves/meltCurve_O43847_2_NRD1.pdf")</f>
        <v>Melting_Curves/meltCurve_O43847_2_NRD1.pdf</v>
      </c>
    </row>
    <row r="1117" spans="1:28" x14ac:dyDescent="0.25">
      <c r="A1117" t="s">
        <v>1121</v>
      </c>
      <c r="B1117">
        <v>0.99352677808782597</v>
      </c>
      <c r="C1117">
        <v>0.97234182808581804</v>
      </c>
      <c r="D1117">
        <v>0.98530468680929495</v>
      </c>
      <c r="E1117">
        <v>0.96101478184184497</v>
      </c>
      <c r="F1117">
        <v>0.86526761749556502</v>
      </c>
      <c r="G1117">
        <v>0.82162485613835801</v>
      </c>
      <c r="H1117">
        <v>0.73471485328741803</v>
      </c>
      <c r="I1117">
        <v>0.80361422622849299</v>
      </c>
      <c r="J1117">
        <v>0.83694487132166295</v>
      </c>
      <c r="K1117">
        <v>0.74544810362200198</v>
      </c>
      <c r="L1117">
        <v>1463.7107107933</v>
      </c>
      <c r="M1117">
        <v>27.961463177656601</v>
      </c>
      <c r="O1117">
        <v>52.081877939808003</v>
      </c>
      <c r="P1117">
        <v>-2.9204578255874601E-2</v>
      </c>
      <c r="Q1117">
        <v>0.78241251857020999</v>
      </c>
      <c r="R1117">
        <v>0.90187006849248097</v>
      </c>
      <c r="S1117" t="s">
        <v>7402</v>
      </c>
      <c r="T1117" t="s">
        <v>12568</v>
      </c>
      <c r="U1117" t="s">
        <v>12568</v>
      </c>
      <c r="V1117" t="s">
        <v>12568</v>
      </c>
      <c r="W1117" t="s">
        <v>13662</v>
      </c>
      <c r="X1117">
        <v>26</v>
      </c>
      <c r="Y1117" t="s">
        <v>19879</v>
      </c>
      <c r="Z1117" t="s">
        <v>25987</v>
      </c>
      <c r="AA1117">
        <v>0.87357237933405119</v>
      </c>
      <c r="AB1117" t="str">
        <f>HYPERLINK("Melting_Curves/meltCurve_O43852_CALU.pdf", "Melting_Curves/meltCurve_O43852_CALU.pdf")</f>
        <v>Melting_Curves/meltCurve_O43852_CALU.pdf</v>
      </c>
    </row>
    <row r="1118" spans="1:28" x14ac:dyDescent="0.25">
      <c r="A1118" t="s">
        <v>1122</v>
      </c>
      <c r="B1118">
        <v>0.99352677808782597</v>
      </c>
      <c r="C1118">
        <v>1.07099115952216</v>
      </c>
      <c r="D1118">
        <v>0.83033523552270205</v>
      </c>
      <c r="E1118">
        <v>0.38135086884579</v>
      </c>
      <c r="F1118">
        <v>0.31805892105188199</v>
      </c>
      <c r="G1118">
        <v>0.226234183326815</v>
      </c>
      <c r="H1118">
        <v>0.17335961349009901</v>
      </c>
      <c r="I1118">
        <v>0.18056995581670399</v>
      </c>
      <c r="J1118">
        <v>0.159313793606254</v>
      </c>
      <c r="K1118">
        <v>0.13388953748888899</v>
      </c>
      <c r="L1118">
        <v>1317.4700919844399</v>
      </c>
      <c r="M1118">
        <v>27.2404000765553</v>
      </c>
      <c r="N1118">
        <v>49.164075893497703</v>
      </c>
      <c r="O1118">
        <v>48.106171409731999</v>
      </c>
      <c r="P1118">
        <v>-0.116233372704305</v>
      </c>
      <c r="Q1118">
        <v>0.17894170826087999</v>
      </c>
      <c r="R1118">
        <v>0.984470550778205</v>
      </c>
      <c r="S1118" t="s">
        <v>7403</v>
      </c>
      <c r="T1118" t="s">
        <v>12568</v>
      </c>
      <c r="U1118" t="s">
        <v>12568</v>
      </c>
      <c r="V1118" t="s">
        <v>12568</v>
      </c>
      <c r="W1118" t="s">
        <v>13663</v>
      </c>
      <c r="X1118">
        <v>10</v>
      </c>
      <c r="Y1118" t="s">
        <v>19880</v>
      </c>
      <c r="Z1118" t="s">
        <v>25988</v>
      </c>
      <c r="AA1118">
        <v>0.41393093929406621</v>
      </c>
      <c r="AB1118" t="str">
        <f>HYPERLINK("Melting_Curves/meltCurve_O43865_AHCYL1.pdf", "Melting_Curves/meltCurve_O43865_AHCYL1.pdf")</f>
        <v>Melting_Curves/meltCurve_O43865_AHCYL1.pdf</v>
      </c>
    </row>
    <row r="1119" spans="1:28" x14ac:dyDescent="0.25">
      <c r="A1119" t="s">
        <v>1123</v>
      </c>
      <c r="B1119">
        <v>0.99352677808782597</v>
      </c>
      <c r="C1119">
        <v>0.72954399916046397</v>
      </c>
      <c r="D1119">
        <v>0.66325016091435995</v>
      </c>
      <c r="E1119">
        <v>0.40405363418343998</v>
      </c>
      <c r="F1119">
        <v>0.36237817972795699</v>
      </c>
      <c r="G1119">
        <v>0.26464567593468002</v>
      </c>
      <c r="H1119">
        <v>0.214004447746108</v>
      </c>
      <c r="I1119">
        <v>0.22541428579498801</v>
      </c>
      <c r="J1119">
        <v>0.203852899289761</v>
      </c>
      <c r="K1119">
        <v>0.16260334837377</v>
      </c>
      <c r="L1119">
        <v>589.90421209966803</v>
      </c>
      <c r="M1119">
        <v>12.605739529710499</v>
      </c>
      <c r="N1119">
        <v>48.517650469256502</v>
      </c>
      <c r="O1119">
        <v>45.665644042093703</v>
      </c>
      <c r="P1119">
        <v>-5.6580384453996199E-2</v>
      </c>
      <c r="Q1119">
        <v>0.18028905837854001</v>
      </c>
      <c r="R1119">
        <v>0.97798341979028403</v>
      </c>
      <c r="S1119" t="s">
        <v>7404</v>
      </c>
      <c r="T1119" t="s">
        <v>12568</v>
      </c>
      <c r="U1119" t="s">
        <v>12568</v>
      </c>
      <c r="V1119" t="s">
        <v>12568</v>
      </c>
      <c r="W1119" t="s">
        <v>13664</v>
      </c>
      <c r="X1119">
        <v>11</v>
      </c>
      <c r="Y1119" t="s">
        <v>19881</v>
      </c>
      <c r="Z1119" t="s">
        <v>25989</v>
      </c>
      <c r="AA1119">
        <v>0.39787178190986111</v>
      </c>
      <c r="AB1119" t="str">
        <f>HYPERLINK("Melting_Curves/meltCurve_O43896_KIF1C.pdf", "Melting_Curves/meltCurve_O43896_KIF1C.pdf")</f>
        <v>Melting_Curves/meltCurve_O43896_KIF1C.pdf</v>
      </c>
    </row>
    <row r="1120" spans="1:28" x14ac:dyDescent="0.25">
      <c r="A1120" t="s">
        <v>1124</v>
      </c>
      <c r="B1120">
        <v>0.99352677808782597</v>
      </c>
      <c r="C1120">
        <v>0.83289780433738603</v>
      </c>
      <c r="D1120">
        <v>0.71671262043885997</v>
      </c>
      <c r="E1120">
        <v>0.295076100322331</v>
      </c>
      <c r="F1120">
        <v>0.26043724314566302</v>
      </c>
      <c r="G1120">
        <v>0.16948970222399801</v>
      </c>
      <c r="H1120">
        <v>0.121195206408318</v>
      </c>
      <c r="I1120">
        <v>0.13712617414900699</v>
      </c>
      <c r="J1120">
        <v>0.10615672844548001</v>
      </c>
      <c r="K1120">
        <v>9.5524674687377506E-2</v>
      </c>
      <c r="L1120">
        <v>858.58859858722201</v>
      </c>
      <c r="M1120">
        <v>18.1554437908731</v>
      </c>
      <c r="N1120">
        <v>47.966674061691002</v>
      </c>
      <c r="O1120">
        <v>46.728431410047698</v>
      </c>
      <c r="P1120">
        <v>-8.6177322888482205E-2</v>
      </c>
      <c r="Q1120">
        <v>0.112830485724942</v>
      </c>
      <c r="R1120">
        <v>0.98905142675206803</v>
      </c>
      <c r="S1120" t="s">
        <v>7405</v>
      </c>
      <c r="T1120" t="s">
        <v>12568</v>
      </c>
      <c r="U1120" t="s">
        <v>12568</v>
      </c>
      <c r="V1120" t="s">
        <v>12568</v>
      </c>
      <c r="W1120" t="s">
        <v>13665</v>
      </c>
      <c r="X1120">
        <v>5</v>
      </c>
      <c r="Y1120" t="s">
        <v>19882</v>
      </c>
      <c r="Z1120" t="s">
        <v>25990</v>
      </c>
      <c r="AA1120">
        <v>0.34429561136233561</v>
      </c>
      <c r="AB1120" t="str">
        <f>HYPERLINK("Melting_Curves/meltCurve_O43913_ORC5.pdf", "Melting_Curves/meltCurve_O43913_ORC5.pdf")</f>
        <v>Melting_Curves/meltCurve_O43913_ORC5.pdf</v>
      </c>
    </row>
    <row r="1121" spans="1:28" x14ac:dyDescent="0.25">
      <c r="A1121" t="s">
        <v>1125</v>
      </c>
      <c r="B1121">
        <v>0.99352677808782597</v>
      </c>
      <c r="C1121">
        <v>1.04304442830966</v>
      </c>
      <c r="D1121">
        <v>0.90937184812112704</v>
      </c>
      <c r="E1121">
        <v>0.67259652155326699</v>
      </c>
      <c r="F1121">
        <v>0.58715560500989195</v>
      </c>
      <c r="G1121">
        <v>0.299762898765985</v>
      </c>
      <c r="H1121">
        <v>0.20612048689682999</v>
      </c>
      <c r="I1121">
        <v>0.19829220499851</v>
      </c>
      <c r="J1121">
        <v>0.16730154262856101</v>
      </c>
      <c r="K1121">
        <v>0.11178440547044199</v>
      </c>
      <c r="L1121">
        <v>803.04576426577603</v>
      </c>
      <c r="M1121">
        <v>15.2701356437153</v>
      </c>
      <c r="N1121">
        <v>53.542076095295201</v>
      </c>
      <c r="O1121">
        <v>51.712138191490503</v>
      </c>
      <c r="P1121">
        <v>-6.5046227668587003E-2</v>
      </c>
      <c r="Q1121">
        <v>0.118969799474168</v>
      </c>
      <c r="R1121">
        <v>0.98939738933502897</v>
      </c>
      <c r="S1121" t="s">
        <v>7406</v>
      </c>
      <c r="T1121" t="s">
        <v>12568</v>
      </c>
      <c r="U1121" t="s">
        <v>12568</v>
      </c>
      <c r="V1121" t="s">
        <v>12568</v>
      </c>
      <c r="W1121" t="s">
        <v>13666</v>
      </c>
      <c r="X1121">
        <v>4</v>
      </c>
      <c r="Y1121" t="s">
        <v>19883</v>
      </c>
      <c r="Z1121" t="s">
        <v>25991</v>
      </c>
      <c r="AA1121">
        <v>0.50746827171858144</v>
      </c>
      <c r="AB1121" t="str">
        <f>HYPERLINK("Melting_Curves/meltCurve_O43924_PDE6D.pdf", "Melting_Curves/meltCurve_O43924_PDE6D.pdf")</f>
        <v>Melting_Curves/meltCurve_O43924_PDE6D.pdf</v>
      </c>
    </row>
    <row r="1122" spans="1:28" x14ac:dyDescent="0.25">
      <c r="A1122" t="s">
        <v>1126</v>
      </c>
      <c r="B1122">
        <v>0.99352677808782597</v>
      </c>
      <c r="C1122">
        <v>0.89855701849593295</v>
      </c>
      <c r="D1122">
        <v>0.74968550598015304</v>
      </c>
      <c r="E1122">
        <v>0.23092912043908201</v>
      </c>
      <c r="F1122">
        <v>0.17789605663710101</v>
      </c>
      <c r="G1122">
        <v>0.109865745259929</v>
      </c>
      <c r="H1122">
        <v>8.5905755634268097E-2</v>
      </c>
      <c r="I1122">
        <v>7.5697491755423202E-2</v>
      </c>
      <c r="J1122">
        <v>6.8391153056857598E-2</v>
      </c>
      <c r="K1122">
        <v>6.0468321744356797E-2</v>
      </c>
      <c r="L1122">
        <v>1232.1520885139801</v>
      </c>
      <c r="M1122">
        <v>25.970580466688599</v>
      </c>
      <c r="N1122">
        <v>47.7623297623391</v>
      </c>
      <c r="O1122">
        <v>47.1655148997948</v>
      </c>
      <c r="P1122">
        <v>-0.12672255458101001</v>
      </c>
      <c r="Q1122">
        <v>7.9440354477643194E-2</v>
      </c>
      <c r="R1122">
        <v>0.99415581421361399</v>
      </c>
      <c r="S1122" t="s">
        <v>7407</v>
      </c>
      <c r="T1122" t="s">
        <v>12568</v>
      </c>
      <c r="U1122" t="s">
        <v>12568</v>
      </c>
      <c r="V1122" t="s">
        <v>12568</v>
      </c>
      <c r="W1122" t="s">
        <v>13667</v>
      </c>
      <c r="X1122">
        <v>5</v>
      </c>
      <c r="Y1122" t="s">
        <v>19884</v>
      </c>
      <c r="Z1122" t="s">
        <v>25992</v>
      </c>
      <c r="AA1122">
        <v>0.31538539014058059</v>
      </c>
      <c r="AB1122" t="str">
        <f>HYPERLINK("Melting_Curves/meltCurve_O43929_2_ORC4.pdf", "Melting_Curves/meltCurve_O43929_2_ORC4.pdf")</f>
        <v>Melting_Curves/meltCurve_O43929_2_ORC4.pdf</v>
      </c>
    </row>
    <row r="1123" spans="1:28" x14ac:dyDescent="0.25">
      <c r="A1123" t="s">
        <v>1127</v>
      </c>
      <c r="B1123">
        <v>0.99352677808782597</v>
      </c>
      <c r="C1123">
        <v>0.996722717849861</v>
      </c>
      <c r="D1123">
        <v>0.94385815387392002</v>
      </c>
      <c r="E1123">
        <v>0.89914354862800405</v>
      </c>
      <c r="F1123">
        <v>0.74819044319292405</v>
      </c>
      <c r="G1123">
        <v>0.47521741876166701</v>
      </c>
      <c r="H1123">
        <v>0.32218722458999499</v>
      </c>
      <c r="I1123">
        <v>0.34069108023737699</v>
      </c>
      <c r="J1123">
        <v>0.35347022524161298</v>
      </c>
      <c r="K1123">
        <v>0.285160846439107</v>
      </c>
      <c r="L1123">
        <v>1212.68119461531</v>
      </c>
      <c r="M1123">
        <v>22.399161411432001</v>
      </c>
      <c r="N1123">
        <v>56.5146602229104</v>
      </c>
      <c r="O1123">
        <v>53.713600127510603</v>
      </c>
      <c r="P1123">
        <v>-7.2462547590678605E-2</v>
      </c>
      <c r="Q1123">
        <v>0.30494838374453798</v>
      </c>
      <c r="R1123">
        <v>0.99333759098121899</v>
      </c>
      <c r="S1123" t="s">
        <v>7408</v>
      </c>
      <c r="T1123" t="s">
        <v>12568</v>
      </c>
      <c r="U1123" t="s">
        <v>12568</v>
      </c>
      <c r="V1123" t="s">
        <v>12568</v>
      </c>
      <c r="W1123" t="s">
        <v>13668</v>
      </c>
      <c r="X1123">
        <v>8</v>
      </c>
      <c r="Y1123" t="s">
        <v>19885</v>
      </c>
      <c r="Z1123" t="s">
        <v>25993</v>
      </c>
      <c r="AA1123">
        <v>0.64035112801665861</v>
      </c>
      <c r="AB1123" t="str">
        <f>HYPERLINK("Melting_Curves/meltCurve_O60216_RAD21.pdf", "Melting_Curves/meltCurve_O60216_RAD21.pdf")</f>
        <v>Melting_Curves/meltCurve_O60216_RAD21.pdf</v>
      </c>
    </row>
    <row r="1124" spans="1:28" x14ac:dyDescent="0.25">
      <c r="A1124" t="s">
        <v>1128</v>
      </c>
      <c r="B1124">
        <v>0.99352677808782597</v>
      </c>
      <c r="C1124">
        <v>0.76407841634139695</v>
      </c>
      <c r="D1124">
        <v>1.0036799662232401</v>
      </c>
      <c r="E1124">
        <v>0.77866705040836304</v>
      </c>
      <c r="F1124">
        <v>0.74823654982926102</v>
      </c>
      <c r="G1124">
        <v>0.22259884348130199</v>
      </c>
      <c r="H1124">
        <v>9.2254380333815403E-2</v>
      </c>
      <c r="I1124">
        <v>7.6470585220409698E-2</v>
      </c>
      <c r="J1124">
        <v>6.0713440856506297E-2</v>
      </c>
      <c r="K1124">
        <v>4.5885799031842797E-2</v>
      </c>
      <c r="L1124">
        <v>1255.33375677654</v>
      </c>
      <c r="M1124">
        <v>23.111918229756299</v>
      </c>
      <c r="N1124">
        <v>54.485583055012199</v>
      </c>
      <c r="O1124">
        <v>53.913681337412598</v>
      </c>
      <c r="P1124">
        <v>-0.10344146271719599</v>
      </c>
      <c r="Q1124">
        <v>3.4816683505596698E-2</v>
      </c>
      <c r="R1124">
        <v>0.94805880879079996</v>
      </c>
      <c r="S1124" t="s">
        <v>7409</v>
      </c>
      <c r="T1124" t="s">
        <v>12568</v>
      </c>
      <c r="U1124" t="s">
        <v>12568</v>
      </c>
      <c r="V1124" t="s">
        <v>12568</v>
      </c>
      <c r="W1124" t="s">
        <v>13669</v>
      </c>
      <c r="X1124">
        <v>31</v>
      </c>
      <c r="Y1124" t="s">
        <v>19886</v>
      </c>
      <c r="Z1124" t="s">
        <v>25994</v>
      </c>
      <c r="AA1124">
        <v>0.50565103805615041</v>
      </c>
      <c r="AB1124" t="str">
        <f>HYPERLINK("Melting_Curves/meltCurve_O60218_AKR1B10.pdf", "Melting_Curves/meltCurve_O60218_AKR1B10.pdf")</f>
        <v>Melting_Curves/meltCurve_O60218_AKR1B10.pdf</v>
      </c>
    </row>
    <row r="1125" spans="1:28" x14ac:dyDescent="0.25">
      <c r="A1125" t="s">
        <v>1129</v>
      </c>
      <c r="B1125">
        <v>0.99352677808782597</v>
      </c>
      <c r="C1125">
        <v>1.0384739876632201</v>
      </c>
      <c r="D1125">
        <v>0.99167022204003197</v>
      </c>
      <c r="E1125">
        <v>0.99743839252430599</v>
      </c>
      <c r="F1125">
        <v>0.89313046157498099</v>
      </c>
      <c r="G1125">
        <v>0.77489771115412398</v>
      </c>
      <c r="H1125">
        <v>0.69348081853744103</v>
      </c>
      <c r="I1125">
        <v>0.79794096030692396</v>
      </c>
      <c r="J1125">
        <v>0.77085425909423699</v>
      </c>
      <c r="K1125">
        <v>0.68278407009713105</v>
      </c>
      <c r="L1125">
        <v>2072.3677140599102</v>
      </c>
      <c r="M1125">
        <v>38.635202762501301</v>
      </c>
      <c r="O1125">
        <v>53.496263019612002</v>
      </c>
      <c r="P1125">
        <v>-4.7301743961444702E-2</v>
      </c>
      <c r="Q1125">
        <v>0.73801503912730404</v>
      </c>
      <c r="R1125">
        <v>0.92856422052976895</v>
      </c>
      <c r="S1125" t="s">
        <v>7410</v>
      </c>
      <c r="T1125" t="s">
        <v>12568</v>
      </c>
      <c r="U1125" t="s">
        <v>12568</v>
      </c>
      <c r="V1125" t="s">
        <v>12568</v>
      </c>
      <c r="W1125" t="s">
        <v>13670</v>
      </c>
      <c r="X1125">
        <v>6</v>
      </c>
      <c r="Y1125" t="s">
        <v>19887</v>
      </c>
      <c r="Z1125" t="s">
        <v>25995</v>
      </c>
      <c r="AA1125">
        <v>0.8581648403515636</v>
      </c>
      <c r="AB1125" t="str">
        <f>HYPERLINK("Melting_Curves/meltCurve_O60220_TIMM8A.pdf", "Melting_Curves/meltCurve_O60220_TIMM8A.pdf")</f>
        <v>Melting_Curves/meltCurve_O60220_TIMM8A.pdf</v>
      </c>
    </row>
    <row r="1126" spans="1:28" x14ac:dyDescent="0.25">
      <c r="A1126" t="s">
        <v>1130</v>
      </c>
      <c r="B1126">
        <v>0.99352677808782597</v>
      </c>
      <c r="C1126">
        <v>0.94171090837600702</v>
      </c>
      <c r="D1126">
        <v>0.91593616033718706</v>
      </c>
      <c r="E1126">
        <v>0.450156676913056</v>
      </c>
      <c r="F1126">
        <v>0.37568043645812699</v>
      </c>
      <c r="G1126">
        <v>0.261670023166856</v>
      </c>
      <c r="H1126">
        <v>0.20274869193648801</v>
      </c>
      <c r="I1126">
        <v>0.20623605073986701</v>
      </c>
      <c r="J1126">
        <v>0.19323271713121401</v>
      </c>
      <c r="K1126">
        <v>0.150207393798407</v>
      </c>
      <c r="L1126">
        <v>1129.2897116489601</v>
      </c>
      <c r="M1126">
        <v>23.0036194412376</v>
      </c>
      <c r="N1126">
        <v>50.179790864533302</v>
      </c>
      <c r="O1126">
        <v>48.725349879582197</v>
      </c>
      <c r="P1126">
        <v>-9.4853474655390596E-2</v>
      </c>
      <c r="Q1126">
        <v>0.19635567256113701</v>
      </c>
      <c r="R1126">
        <v>0.986100123027288</v>
      </c>
      <c r="S1126" t="s">
        <v>7411</v>
      </c>
      <c r="T1126" t="s">
        <v>12568</v>
      </c>
      <c r="U1126" t="s">
        <v>12568</v>
      </c>
      <c r="V1126" t="s">
        <v>12568</v>
      </c>
      <c r="W1126" t="s">
        <v>13671</v>
      </c>
      <c r="X1126">
        <v>12</v>
      </c>
      <c r="Y1126" t="s">
        <v>19888</v>
      </c>
      <c r="Z1126" t="s">
        <v>25996</v>
      </c>
      <c r="AA1126">
        <v>0.44836310679781999</v>
      </c>
      <c r="AB1126" t="str">
        <f>HYPERLINK("Melting_Curves/meltCurve_O60231_DHX16.pdf", "Melting_Curves/meltCurve_O60231_DHX16.pdf")</f>
        <v>Melting_Curves/meltCurve_O60231_DHX16.pdf</v>
      </c>
    </row>
    <row r="1127" spans="1:28" x14ac:dyDescent="0.25">
      <c r="A1127" t="s">
        <v>1131</v>
      </c>
      <c r="B1127">
        <v>0.99352677808782597</v>
      </c>
      <c r="C1127">
        <v>0.94610061471058704</v>
      </c>
      <c r="D1127">
        <v>0.94024407938579402</v>
      </c>
      <c r="E1127">
        <v>0.815657191424351</v>
      </c>
      <c r="F1127">
        <v>0.75880802277316795</v>
      </c>
      <c r="G1127">
        <v>0.66262717309909402</v>
      </c>
      <c r="H1127">
        <v>0.54527827801822504</v>
      </c>
      <c r="I1127">
        <v>0.51561108573963099</v>
      </c>
      <c r="J1127">
        <v>0.50614009170343899</v>
      </c>
      <c r="K1127">
        <v>0.425496440381675</v>
      </c>
      <c r="L1127">
        <v>497.55001779448799</v>
      </c>
      <c r="M1127">
        <v>8.8829848223975407</v>
      </c>
      <c r="N1127">
        <v>64.966871733888397</v>
      </c>
      <c r="O1127">
        <v>53.390957315022703</v>
      </c>
      <c r="P1127">
        <v>-2.69301236230262E-2</v>
      </c>
      <c r="Q1127">
        <v>0.35304235227831199</v>
      </c>
      <c r="R1127">
        <v>0.99224052147453901</v>
      </c>
      <c r="S1127" t="s">
        <v>7412</v>
      </c>
      <c r="T1127" t="s">
        <v>12568</v>
      </c>
      <c r="U1127" t="s">
        <v>12568</v>
      </c>
      <c r="V1127" t="s">
        <v>12568</v>
      </c>
      <c r="W1127" t="s">
        <v>13672</v>
      </c>
      <c r="X1127">
        <v>4</v>
      </c>
      <c r="Y1127" t="s">
        <v>19889</v>
      </c>
      <c r="Z1127" t="s">
        <v>25997</v>
      </c>
      <c r="AA1127">
        <v>0.71169179975911045</v>
      </c>
      <c r="AB1127" t="str">
        <f>HYPERLINK("Melting_Curves/meltCurve_O60239_SH3BP5.pdf", "Melting_Curves/meltCurve_O60239_SH3BP5.pdf")</f>
        <v>Melting_Curves/meltCurve_O60239_SH3BP5.pdf</v>
      </c>
    </row>
    <row r="1128" spans="1:28" x14ac:dyDescent="0.25">
      <c r="A1128" t="s">
        <v>1132</v>
      </c>
      <c r="B1128">
        <v>0.99352677808782597</v>
      </c>
      <c r="C1128">
        <v>1.02188697760049</v>
      </c>
      <c r="D1128">
        <v>0.94809448770056004</v>
      </c>
      <c r="E1128">
        <v>1.8014382922529699</v>
      </c>
      <c r="F1128">
        <v>1.49956671641688</v>
      </c>
      <c r="G1128">
        <v>1.1110990690735301</v>
      </c>
      <c r="H1128">
        <v>0.48496992055418497</v>
      </c>
      <c r="I1128">
        <v>0.30235503244179301</v>
      </c>
      <c r="J1128">
        <v>0.22884964252114701</v>
      </c>
      <c r="K1128">
        <v>0.15298943567447301</v>
      </c>
      <c r="L1128">
        <v>5767.0637205959401</v>
      </c>
      <c r="M1128">
        <v>95.210007734981602</v>
      </c>
      <c r="N1128">
        <v>60.9564707818055</v>
      </c>
      <c r="O1128">
        <v>60.545311829637598</v>
      </c>
      <c r="P1128">
        <v>-0.30439692321154099</v>
      </c>
      <c r="Q1128">
        <v>0.225719659510732</v>
      </c>
      <c r="R1128">
        <v>0.66722839010828205</v>
      </c>
      <c r="S1128" t="s">
        <v>7413</v>
      </c>
      <c r="T1128" t="s">
        <v>12568</v>
      </c>
      <c r="U1128" t="s">
        <v>12568</v>
      </c>
      <c r="V1128" t="s">
        <v>12568</v>
      </c>
      <c r="W1128" t="s">
        <v>13673</v>
      </c>
      <c r="X1128">
        <v>9</v>
      </c>
      <c r="Y1128" t="s">
        <v>19890</v>
      </c>
      <c r="Z1128" t="s">
        <v>25998</v>
      </c>
      <c r="AA1128">
        <v>0.75723851938628406</v>
      </c>
      <c r="AB1128" t="str">
        <f>HYPERLINK("Melting_Curves/meltCurve_O60256_PRPSAP2.pdf", "Melting_Curves/meltCurve_O60256_PRPSAP2.pdf")</f>
        <v>Melting_Curves/meltCurve_O60256_PRPSAP2.pdf</v>
      </c>
    </row>
    <row r="1129" spans="1:28" x14ac:dyDescent="0.25">
      <c r="A1129" t="s">
        <v>1133</v>
      </c>
      <c r="B1129">
        <v>0.99352677808782597</v>
      </c>
      <c r="C1129">
        <v>0.91180347366529502</v>
      </c>
      <c r="D1129">
        <v>0.79541780029764997</v>
      </c>
      <c r="E1129">
        <v>0.43670074454883701</v>
      </c>
      <c r="F1129">
        <v>0.36234258274008102</v>
      </c>
      <c r="G1129">
        <v>0.26689331045276299</v>
      </c>
      <c r="H1129">
        <v>0.20817649258183299</v>
      </c>
      <c r="I1129">
        <v>0.184649720832405</v>
      </c>
      <c r="J1129">
        <v>0.18817224290426299</v>
      </c>
      <c r="K1129">
        <v>0.16405072008344701</v>
      </c>
      <c r="L1129">
        <v>838.43163453235798</v>
      </c>
      <c r="M1129">
        <v>17.300056123976599</v>
      </c>
      <c r="N1129">
        <v>49.762556571283</v>
      </c>
      <c r="O1129">
        <v>47.8304498375146</v>
      </c>
      <c r="P1129">
        <v>-7.4003941932271694E-2</v>
      </c>
      <c r="Q1129">
        <v>0.18163556775408701</v>
      </c>
      <c r="R1129">
        <v>0.994159877918942</v>
      </c>
      <c r="S1129" t="s">
        <v>7414</v>
      </c>
      <c r="T1129" t="s">
        <v>12568</v>
      </c>
      <c r="U1129" t="s">
        <v>12568</v>
      </c>
      <c r="V1129" t="s">
        <v>12568</v>
      </c>
      <c r="W1129" t="s">
        <v>13674</v>
      </c>
      <c r="X1129">
        <v>10</v>
      </c>
      <c r="Y1129" t="s">
        <v>19891</v>
      </c>
      <c r="Z1129" t="s">
        <v>25999</v>
      </c>
      <c r="AA1129">
        <v>0.42807005237121559</v>
      </c>
      <c r="AB1129" t="str">
        <f>HYPERLINK("Melting_Curves/meltCurve_O60264_SMARCA5.pdf", "Melting_Curves/meltCurve_O60264_SMARCA5.pdf")</f>
        <v>Melting_Curves/meltCurve_O60264_SMARCA5.pdf</v>
      </c>
    </row>
    <row r="1130" spans="1:28" x14ac:dyDescent="0.25">
      <c r="A1130" t="s">
        <v>1134</v>
      </c>
      <c r="B1130">
        <v>0.99352677808782597</v>
      </c>
      <c r="C1130">
        <v>0.92213275733477595</v>
      </c>
      <c r="D1130">
        <v>0.89650878091670605</v>
      </c>
      <c r="E1130">
        <v>0.82392919913551299</v>
      </c>
      <c r="F1130">
        <v>0.722272348946706</v>
      </c>
      <c r="G1130">
        <v>0.61772180028700396</v>
      </c>
      <c r="H1130">
        <v>0.570029833380302</v>
      </c>
      <c r="I1130">
        <v>0.59695472690263596</v>
      </c>
      <c r="J1130">
        <v>0.68263796842376001</v>
      </c>
      <c r="K1130">
        <v>0.53870522778649699</v>
      </c>
      <c r="L1130">
        <v>654.69646047286096</v>
      </c>
      <c r="M1130">
        <v>13.0343902043965</v>
      </c>
      <c r="O1130">
        <v>49.090222170781601</v>
      </c>
      <c r="P1130">
        <v>-2.8373555448370801E-2</v>
      </c>
      <c r="Q1130">
        <v>0.57263190483189197</v>
      </c>
      <c r="R1130">
        <v>0.93306551299473595</v>
      </c>
      <c r="S1130" t="s">
        <v>7415</v>
      </c>
      <c r="T1130" t="s">
        <v>12568</v>
      </c>
      <c r="U1130" t="s">
        <v>12568</v>
      </c>
      <c r="V1130" t="s">
        <v>12568</v>
      </c>
      <c r="W1130" t="s">
        <v>13675</v>
      </c>
      <c r="X1130">
        <v>4</v>
      </c>
      <c r="Y1130" t="s">
        <v>19892</v>
      </c>
      <c r="Z1130" t="s">
        <v>26000</v>
      </c>
      <c r="AA1130">
        <v>0.73115529274487134</v>
      </c>
      <c r="AB1130" t="str">
        <f>HYPERLINK("Melting_Curves/meltCurve_O60269_GPRIN2.pdf", "Melting_Curves/meltCurve_O60269_GPRIN2.pdf")</f>
        <v>Melting_Curves/meltCurve_O60269_GPRIN2.pdf</v>
      </c>
    </row>
    <row r="1131" spans="1:28" x14ac:dyDescent="0.25">
      <c r="A1131" t="s">
        <v>1135</v>
      </c>
      <c r="B1131">
        <v>0.99352677808782597</v>
      </c>
      <c r="C1131">
        <v>1.0299651355261801</v>
      </c>
      <c r="D1131">
        <v>0.94617268810982103</v>
      </c>
      <c r="E1131">
        <v>0.80868129617791196</v>
      </c>
      <c r="F1131">
        <v>0.69911188768530697</v>
      </c>
      <c r="G1131">
        <v>0.53058827387950103</v>
      </c>
      <c r="H1131">
        <v>0.50948680710571004</v>
      </c>
      <c r="I1131">
        <v>0.44007924490929101</v>
      </c>
      <c r="J1131">
        <v>0.42745954248098</v>
      </c>
      <c r="K1131">
        <v>0.304174970082491</v>
      </c>
      <c r="L1131">
        <v>670.89629149836696</v>
      </c>
      <c r="M1131">
        <v>12.414754107469401</v>
      </c>
      <c r="N1131">
        <v>59.329238017585297</v>
      </c>
      <c r="O1131">
        <v>52.695540046160097</v>
      </c>
      <c r="P1131">
        <v>-3.9194559554272798E-2</v>
      </c>
      <c r="Q1131">
        <v>0.33468125772512802</v>
      </c>
      <c r="R1131">
        <v>0.97898775155314199</v>
      </c>
      <c r="S1131" t="s">
        <v>7416</v>
      </c>
      <c r="T1131" t="s">
        <v>12568</v>
      </c>
      <c r="U1131" t="s">
        <v>12568</v>
      </c>
      <c r="V1131" t="s">
        <v>12568</v>
      </c>
      <c r="W1131" t="s">
        <v>13676</v>
      </c>
      <c r="X1131">
        <v>51</v>
      </c>
      <c r="Y1131" t="s">
        <v>19893</v>
      </c>
      <c r="Z1131" t="s">
        <v>26001</v>
      </c>
      <c r="AA1131">
        <v>0.6628217434400111</v>
      </c>
      <c r="AB1131" t="str">
        <f>HYPERLINK("Melting_Curves/meltCurve_O60271_SPAG9.pdf", "Melting_Curves/meltCurve_O60271_SPAG9.pdf")</f>
        <v>Melting_Curves/meltCurve_O60271_SPAG9.pdf</v>
      </c>
    </row>
    <row r="1132" spans="1:28" x14ac:dyDescent="0.25">
      <c r="A1132" t="s">
        <v>1136</v>
      </c>
      <c r="B1132">
        <v>0.99352677808782597</v>
      </c>
      <c r="C1132">
        <v>1.03552546318128</v>
      </c>
      <c r="D1132">
        <v>0.92904499433375998</v>
      </c>
      <c r="E1132">
        <v>0.80648094764121003</v>
      </c>
      <c r="F1132">
        <v>0.73367786181599803</v>
      </c>
      <c r="G1132">
        <v>0.51741527355036099</v>
      </c>
      <c r="H1132">
        <v>0.44432270082333802</v>
      </c>
      <c r="I1132">
        <v>0.44292595877969698</v>
      </c>
      <c r="J1132">
        <v>0.45310196681105103</v>
      </c>
      <c r="K1132">
        <v>0.31323494730764101</v>
      </c>
      <c r="L1132">
        <v>762.13505037177003</v>
      </c>
      <c r="M1132">
        <v>14.238770466786599</v>
      </c>
      <c r="N1132">
        <v>58.706453617794601</v>
      </c>
      <c r="O1132">
        <v>52.502769626358798</v>
      </c>
      <c r="P1132">
        <v>-4.3553719643842401E-2</v>
      </c>
      <c r="Q1132">
        <v>0.35769510882574901</v>
      </c>
      <c r="R1132">
        <v>0.97698920486820295</v>
      </c>
      <c r="S1132" t="s">
        <v>7417</v>
      </c>
      <c r="T1132" t="s">
        <v>12568</v>
      </c>
      <c r="U1132" t="s">
        <v>12568</v>
      </c>
      <c r="V1132" t="s">
        <v>12568</v>
      </c>
      <c r="W1132" t="s">
        <v>13677</v>
      </c>
      <c r="X1132">
        <v>52</v>
      </c>
      <c r="Y1132" t="s">
        <v>19893</v>
      </c>
      <c r="Z1132" t="s">
        <v>26002</v>
      </c>
      <c r="AA1132">
        <v>0.66170529693544788</v>
      </c>
      <c r="AB1132" t="str">
        <f>HYPERLINK("Melting_Curves/meltCurve_O60271_4_SPAG9.pdf", "Melting_Curves/meltCurve_O60271_4_SPAG9.pdf")</f>
        <v>Melting_Curves/meltCurve_O60271_4_SPAG9.pdf</v>
      </c>
    </row>
    <row r="1133" spans="1:28" x14ac:dyDescent="0.25">
      <c r="A1133" t="s">
        <v>1137</v>
      </c>
      <c r="B1133">
        <v>0.99352677808782597</v>
      </c>
      <c r="C1133">
        <v>0.97703755093058098</v>
      </c>
      <c r="D1133">
        <v>0.85918966664239005</v>
      </c>
      <c r="E1133">
        <v>0.732376272632005</v>
      </c>
      <c r="F1133">
        <v>0.712121172143518</v>
      </c>
      <c r="G1133">
        <v>0.58259532150755999</v>
      </c>
      <c r="H1133">
        <v>0.432611048265161</v>
      </c>
      <c r="I1133">
        <v>0.34540766968784498</v>
      </c>
      <c r="J1133">
        <v>0.33122560101020299</v>
      </c>
      <c r="K1133">
        <v>0</v>
      </c>
      <c r="L1133">
        <v>497.98200845417801</v>
      </c>
      <c r="M1133">
        <v>8.5620761774718108</v>
      </c>
      <c r="N1133">
        <v>58.161347663227197</v>
      </c>
      <c r="O1133">
        <v>55.249260581079199</v>
      </c>
      <c r="P1133">
        <v>-3.8776903791234003E-2</v>
      </c>
      <c r="Q1133">
        <v>0</v>
      </c>
      <c r="R1133">
        <v>0.94002436279374002</v>
      </c>
      <c r="S1133" t="s">
        <v>7418</v>
      </c>
      <c r="T1133" t="s">
        <v>12568</v>
      </c>
      <c r="U1133" t="s">
        <v>12568</v>
      </c>
      <c r="V1133" t="s">
        <v>12568</v>
      </c>
      <c r="W1133" t="s">
        <v>13678</v>
      </c>
      <c r="X1133">
        <v>40</v>
      </c>
      <c r="Y1133" t="s">
        <v>19893</v>
      </c>
      <c r="Z1133" t="s">
        <v>26003</v>
      </c>
      <c r="AA1133">
        <v>0.60993575506635167</v>
      </c>
      <c r="AB1133" t="str">
        <f>HYPERLINK("Melting_Curves/meltCurve_O60271_9_SPAG9.pdf", "Melting_Curves/meltCurve_O60271_9_SPAG9.pdf")</f>
        <v>Melting_Curves/meltCurve_O60271_9_SPAG9.pdf</v>
      </c>
    </row>
    <row r="1134" spans="1:28" x14ac:dyDescent="0.25">
      <c r="A1134" t="s">
        <v>1138</v>
      </c>
      <c r="B1134">
        <v>0.99352677808782597</v>
      </c>
      <c r="C1134">
        <v>1.0057253428647299</v>
      </c>
      <c r="D1134">
        <v>0.94112333881865795</v>
      </c>
      <c r="E1134">
        <v>0.35237812068223301</v>
      </c>
      <c r="F1134">
        <v>0.17537585579183301</v>
      </c>
      <c r="G1134">
        <v>0.136393491086332</v>
      </c>
      <c r="H1134">
        <v>7.7921587197814002E-2</v>
      </c>
      <c r="I1134">
        <v>5.9857566301223901E-2</v>
      </c>
      <c r="J1134">
        <v>4.7290574098163701E-2</v>
      </c>
      <c r="K1134">
        <v>4.0400846759085299E-2</v>
      </c>
      <c r="L1134">
        <v>1762.2275090600499</v>
      </c>
      <c r="M1134">
        <v>35.987499795163501</v>
      </c>
      <c r="N1134">
        <v>49.194649983108498</v>
      </c>
      <c r="O1134">
        <v>48.817302414329497</v>
      </c>
      <c r="P1134">
        <v>-0.17020496788887601</v>
      </c>
      <c r="Q1134">
        <v>7.6465888040982199E-2</v>
      </c>
      <c r="R1134">
        <v>0.99476129121120205</v>
      </c>
      <c r="S1134" t="s">
        <v>7419</v>
      </c>
      <c r="T1134" t="s">
        <v>12568</v>
      </c>
      <c r="U1134" t="s">
        <v>12568</v>
      </c>
      <c r="V1134" t="s">
        <v>12568</v>
      </c>
      <c r="W1134" t="s">
        <v>13679</v>
      </c>
      <c r="X1134">
        <v>2</v>
      </c>
      <c r="Y1134" t="s">
        <v>19894</v>
      </c>
      <c r="Z1134" t="s">
        <v>26004</v>
      </c>
      <c r="AA1134">
        <v>0.35641151908806629</v>
      </c>
      <c r="AB1134" t="str">
        <f>HYPERLINK("Melting_Curves/meltCurve_O60281_2_ZNF292.pdf", "Melting_Curves/meltCurve_O60281_2_ZNF292.pdf")</f>
        <v>Melting_Curves/meltCurve_O60281_2_ZNF292.pdf</v>
      </c>
    </row>
    <row r="1135" spans="1:28" x14ac:dyDescent="0.25">
      <c r="A1135" t="s">
        <v>1139</v>
      </c>
      <c r="B1135">
        <v>0.99352677808782597</v>
      </c>
      <c r="C1135">
        <v>0.94876281887726199</v>
      </c>
      <c r="D1135">
        <v>0.96337736065914803</v>
      </c>
      <c r="E1135">
        <v>0.78860280944574301</v>
      </c>
      <c r="F1135">
        <v>0.67490165067062602</v>
      </c>
      <c r="G1135">
        <v>0.578289973917547</v>
      </c>
      <c r="H1135">
        <v>0.52076463803066597</v>
      </c>
      <c r="I1135">
        <v>0.53247259138987602</v>
      </c>
      <c r="J1135">
        <v>0.51492573226094396</v>
      </c>
      <c r="K1135">
        <v>0.43364235860976902</v>
      </c>
      <c r="L1135">
        <v>781.48390283599201</v>
      </c>
      <c r="M1135">
        <v>15.1520686345978</v>
      </c>
      <c r="N1135">
        <v>64.241495535321206</v>
      </c>
      <c r="O1135">
        <v>50.702684512692102</v>
      </c>
      <c r="P1135">
        <v>-3.9242595918536398E-2</v>
      </c>
      <c r="Q1135">
        <v>0.47478783425397397</v>
      </c>
      <c r="R1135">
        <v>0.98421346298901302</v>
      </c>
      <c r="S1135" t="s">
        <v>7420</v>
      </c>
      <c r="T1135" t="s">
        <v>12568</v>
      </c>
      <c r="U1135" t="s">
        <v>12568</v>
      </c>
      <c r="V1135" t="s">
        <v>12568</v>
      </c>
      <c r="W1135" t="s">
        <v>13680</v>
      </c>
      <c r="X1135">
        <v>34</v>
      </c>
      <c r="Y1135" t="s">
        <v>19895</v>
      </c>
      <c r="Z1135" t="s">
        <v>26005</v>
      </c>
      <c r="AA1135">
        <v>0.68917335525676049</v>
      </c>
      <c r="AB1135" t="str">
        <f>HYPERLINK("Melting_Curves/meltCurve_O60292_SIPA1L3.pdf", "Melting_Curves/meltCurve_O60292_SIPA1L3.pdf")</f>
        <v>Melting_Curves/meltCurve_O60292_SIPA1L3.pdf</v>
      </c>
    </row>
    <row r="1136" spans="1:28" x14ac:dyDescent="0.25">
      <c r="A1136" t="s">
        <v>1140</v>
      </c>
      <c r="B1136">
        <v>0.99352677808782597</v>
      </c>
      <c r="C1136">
        <v>0.84611187438987501</v>
      </c>
      <c r="D1136">
        <v>0.47567861065718597</v>
      </c>
      <c r="E1136">
        <v>0.21454901722912101</v>
      </c>
      <c r="F1136">
        <v>0.19999202333334901</v>
      </c>
      <c r="G1136">
        <v>0.106188260171646</v>
      </c>
      <c r="H1136">
        <v>9.3467694538665796E-2</v>
      </c>
      <c r="I1136">
        <v>9.1276481153509698E-2</v>
      </c>
      <c r="J1136">
        <v>8.0443449962622995E-2</v>
      </c>
      <c r="K1136">
        <v>5.9528765187194001E-2</v>
      </c>
      <c r="L1136">
        <v>1022.40309086491</v>
      </c>
      <c r="M1136">
        <v>22.401665179167001</v>
      </c>
      <c r="N1136">
        <v>46.071141897993897</v>
      </c>
      <c r="O1136">
        <v>45.280580158996997</v>
      </c>
      <c r="P1136">
        <v>-0.111979557196471</v>
      </c>
      <c r="Q1136">
        <v>9.4639809216724505E-2</v>
      </c>
      <c r="R1136">
        <v>0.99201485552311097</v>
      </c>
      <c r="S1136" t="s">
        <v>7421</v>
      </c>
      <c r="T1136" t="s">
        <v>12568</v>
      </c>
      <c r="U1136" t="s">
        <v>12568</v>
      </c>
      <c r="V1136" t="s">
        <v>12568</v>
      </c>
      <c r="W1136" t="s">
        <v>13681</v>
      </c>
      <c r="X1136">
        <v>3</v>
      </c>
      <c r="Y1136" t="s">
        <v>19896</v>
      </c>
      <c r="Z1136" t="s">
        <v>26006</v>
      </c>
      <c r="AA1136">
        <v>0.27588707006520019</v>
      </c>
      <c r="AB1136" t="str">
        <f>HYPERLINK("Melting_Curves/meltCurve_O60294_LCMT2.pdf", "Melting_Curves/meltCurve_O60294_LCMT2.pdf")</f>
        <v>Melting_Curves/meltCurve_O60294_LCMT2.pdf</v>
      </c>
    </row>
    <row r="1137" spans="1:28" x14ac:dyDescent="0.25">
      <c r="A1137" t="s">
        <v>1141</v>
      </c>
      <c r="B1137">
        <v>0.99352677808782597</v>
      </c>
      <c r="C1137">
        <v>0.92692970326986701</v>
      </c>
      <c r="D1137">
        <v>0.86355759037804103</v>
      </c>
      <c r="E1137">
        <v>0.550597305731785</v>
      </c>
      <c r="F1137">
        <v>0.463445294269277</v>
      </c>
      <c r="G1137">
        <v>0.26222251737714503</v>
      </c>
      <c r="H1137">
        <v>0.13893538159694399</v>
      </c>
      <c r="I1137">
        <v>0.117647763548137</v>
      </c>
      <c r="J1137">
        <v>9.2627213910628406E-2</v>
      </c>
      <c r="K1137">
        <v>7.6968980426907294E-2</v>
      </c>
      <c r="L1137">
        <v>675.78517879227297</v>
      </c>
      <c r="M1137">
        <v>13.166699962264801</v>
      </c>
      <c r="N1137">
        <v>51.741125169039002</v>
      </c>
      <c r="O1137">
        <v>50.1846814368376</v>
      </c>
      <c r="P1137">
        <v>-6.2308871583297502E-2</v>
      </c>
      <c r="Q1137">
        <v>5.02018640833208E-2</v>
      </c>
      <c r="R1137">
        <v>0.99484864891648705</v>
      </c>
      <c r="S1137" t="s">
        <v>7422</v>
      </c>
      <c r="T1137" t="s">
        <v>12568</v>
      </c>
      <c r="U1137" t="s">
        <v>12568</v>
      </c>
      <c r="V1137" t="s">
        <v>12568</v>
      </c>
      <c r="W1137" t="s">
        <v>13682</v>
      </c>
      <c r="X1137">
        <v>1</v>
      </c>
      <c r="Y1137" t="s">
        <v>19897</v>
      </c>
      <c r="Z1137" t="s">
        <v>26007</v>
      </c>
      <c r="AA1137">
        <v>0.43534021955545571</v>
      </c>
      <c r="AB1137" t="str">
        <f>HYPERLINK("Melting_Curves/meltCurve_O60303_KIAA0556.pdf", "Melting_Curves/meltCurve_O60303_KIAA0556.pdf")</f>
        <v>Melting_Curves/meltCurve_O60303_KIAA0556.pdf</v>
      </c>
    </row>
    <row r="1138" spans="1:28" x14ac:dyDescent="0.25">
      <c r="A1138" t="s">
        <v>1142</v>
      </c>
      <c r="B1138">
        <v>0.99352677808782597</v>
      </c>
      <c r="C1138">
        <v>0.65065184868124704</v>
      </c>
      <c r="D1138">
        <v>0.45669238920385002</v>
      </c>
      <c r="E1138">
        <v>0.242603342707404</v>
      </c>
      <c r="F1138">
        <v>0.20299214146536801</v>
      </c>
      <c r="G1138">
        <v>0.105761345586074</v>
      </c>
      <c r="H1138">
        <v>5.0416706971225599E-2</v>
      </c>
      <c r="I1138">
        <v>5.1544715905991502E-2</v>
      </c>
      <c r="J1138">
        <v>3.2101942114922198E-2</v>
      </c>
      <c r="K1138">
        <v>2.00601687852488E-2</v>
      </c>
      <c r="L1138">
        <v>664.74577307879599</v>
      </c>
      <c r="M1138">
        <v>14.635421089216999</v>
      </c>
      <c r="N1138">
        <v>45.681344136041197</v>
      </c>
      <c r="O1138">
        <v>44.597622825241899</v>
      </c>
      <c r="P1138">
        <v>-7.8759541968540306E-2</v>
      </c>
      <c r="Q1138">
        <v>4.0110260364361702E-2</v>
      </c>
      <c r="R1138">
        <v>0.97763261896151599</v>
      </c>
      <c r="S1138" t="s">
        <v>7423</v>
      </c>
      <c r="T1138" t="s">
        <v>12568</v>
      </c>
      <c r="U1138" t="s">
        <v>12568</v>
      </c>
      <c r="V1138" t="s">
        <v>12568</v>
      </c>
      <c r="W1138" t="s">
        <v>13683</v>
      </c>
      <c r="X1138">
        <v>5</v>
      </c>
      <c r="Y1138" t="s">
        <v>19898</v>
      </c>
      <c r="Z1138" t="s">
        <v>26008</v>
      </c>
      <c r="AA1138">
        <v>0.24463796973596849</v>
      </c>
      <c r="AB1138" t="str">
        <f>HYPERLINK("Melting_Curves/meltCurve_O60306_AQR.pdf", "Melting_Curves/meltCurve_O60306_AQR.pdf")</f>
        <v>Melting_Curves/meltCurve_O60306_AQR.pdf</v>
      </c>
    </row>
    <row r="1139" spans="1:28" x14ac:dyDescent="0.25">
      <c r="A1139" t="s">
        <v>1143</v>
      </c>
      <c r="B1139">
        <v>0.99352677808782597</v>
      </c>
      <c r="C1139">
        <v>0.96480241333648498</v>
      </c>
      <c r="D1139">
        <v>0.93556269430344496</v>
      </c>
      <c r="E1139">
        <v>0.60119368338448098</v>
      </c>
      <c r="F1139">
        <v>0.54000377609022499</v>
      </c>
      <c r="G1139">
        <v>0.40357850934182699</v>
      </c>
      <c r="H1139">
        <v>0.34190446280727099</v>
      </c>
      <c r="I1139">
        <v>0.404289904557802</v>
      </c>
      <c r="J1139">
        <v>0.31504767135096501</v>
      </c>
      <c r="K1139">
        <v>0.26691666541553699</v>
      </c>
      <c r="L1139">
        <v>895.05246937791901</v>
      </c>
      <c r="M1139">
        <v>17.8835339940232</v>
      </c>
      <c r="N1139">
        <v>53.1269797124531</v>
      </c>
      <c r="O1139">
        <v>49.435748626396801</v>
      </c>
      <c r="P1139">
        <v>-6.1267380731920999E-2</v>
      </c>
      <c r="Q1139">
        <v>0.32258452857728398</v>
      </c>
      <c r="R1139">
        <v>0.97750282566618296</v>
      </c>
      <c r="S1139" t="s">
        <v>7424</v>
      </c>
      <c r="T1139" t="s">
        <v>12568</v>
      </c>
      <c r="U1139" t="s">
        <v>12568</v>
      </c>
      <c r="V1139" t="s">
        <v>12568</v>
      </c>
      <c r="W1139" t="s">
        <v>13684</v>
      </c>
      <c r="X1139">
        <v>3</v>
      </c>
      <c r="Y1139" t="s">
        <v>19899</v>
      </c>
      <c r="Z1139" t="s">
        <v>26009</v>
      </c>
      <c r="AA1139">
        <v>0.56118315027768451</v>
      </c>
      <c r="AB1139" t="str">
        <f>HYPERLINK("Melting_Curves/meltCurve_O60318_MCM3AP.pdf", "Melting_Curves/meltCurve_O60318_MCM3AP.pdf")</f>
        <v>Melting_Curves/meltCurve_O60318_MCM3AP.pdf</v>
      </c>
    </row>
    <row r="1140" spans="1:28" x14ac:dyDescent="0.25">
      <c r="A1140" t="s">
        <v>1144</v>
      </c>
      <c r="B1140">
        <v>0.99352677808782597</v>
      </c>
      <c r="C1140">
        <v>0.86935014960977897</v>
      </c>
      <c r="D1140">
        <v>0.60735617399031605</v>
      </c>
      <c r="E1140">
        <v>0.60465767611446497</v>
      </c>
      <c r="F1140">
        <v>0.47133052122036101</v>
      </c>
      <c r="G1140">
        <v>0.34331611654083</v>
      </c>
      <c r="H1140">
        <v>0.20575110313325401</v>
      </c>
      <c r="I1140">
        <v>0.13731862289230601</v>
      </c>
      <c r="J1140">
        <v>9.3200472422610398E-2</v>
      </c>
      <c r="K1140">
        <v>7.9490399959031399E-2</v>
      </c>
      <c r="L1140">
        <v>441.44984607084598</v>
      </c>
      <c r="M1140">
        <v>8.5658753180351592</v>
      </c>
      <c r="N1140">
        <v>51.535865339887899</v>
      </c>
      <c r="O1140">
        <v>48.957618320633102</v>
      </c>
      <c r="P1140">
        <v>-4.37795657373291E-2</v>
      </c>
      <c r="Q1140">
        <v>0</v>
      </c>
      <c r="R1140">
        <v>0.97087664334495505</v>
      </c>
      <c r="S1140" t="s">
        <v>7425</v>
      </c>
      <c r="T1140" t="s">
        <v>12568</v>
      </c>
      <c r="U1140" t="s">
        <v>12568</v>
      </c>
      <c r="V1140" t="s">
        <v>12568</v>
      </c>
      <c r="W1140" t="s">
        <v>13685</v>
      </c>
      <c r="X1140">
        <v>1</v>
      </c>
      <c r="Y1140" t="s">
        <v>19900</v>
      </c>
      <c r="Z1140" t="s">
        <v>26010</v>
      </c>
      <c r="AA1140">
        <v>0.43137409617035821</v>
      </c>
      <c r="AB1140" t="str">
        <f>HYPERLINK("Melting_Curves/meltCurve_O60331_4_PIP5K1C.pdf", "Melting_Curves/meltCurve_O60331_4_PIP5K1C.pdf")</f>
        <v>Melting_Curves/meltCurve_O60331_4_PIP5K1C.pdf</v>
      </c>
    </row>
    <row r="1141" spans="1:28" x14ac:dyDescent="0.25">
      <c r="A1141" t="s">
        <v>1145</v>
      </c>
      <c r="B1141">
        <v>0.99352677808782597</v>
      </c>
      <c r="C1141">
        <v>0.94239720031788299</v>
      </c>
      <c r="D1141">
        <v>0.837675673078073</v>
      </c>
      <c r="E1141">
        <v>0.40190153767353198</v>
      </c>
      <c r="F1141">
        <v>0.343732167487311</v>
      </c>
      <c r="G1141">
        <v>0.210740224657709</v>
      </c>
      <c r="H1141">
        <v>0.15883333958901499</v>
      </c>
      <c r="I1141">
        <v>0.16098194624154999</v>
      </c>
      <c r="J1141">
        <v>0.12099020429907301</v>
      </c>
      <c r="K1141">
        <v>0.101485860749756</v>
      </c>
      <c r="L1141">
        <v>946.90195588329198</v>
      </c>
      <c r="M1141">
        <v>19.396148526029702</v>
      </c>
      <c r="N1141">
        <v>49.630792550228101</v>
      </c>
      <c r="O1141">
        <v>48.309043989267302</v>
      </c>
      <c r="P1141">
        <v>-8.6735809830651101E-2</v>
      </c>
      <c r="Q1141">
        <v>0.135917444125908</v>
      </c>
      <c r="R1141">
        <v>0.98969101563228901</v>
      </c>
      <c r="S1141" t="s">
        <v>7426</v>
      </c>
      <c r="T1141" t="s">
        <v>12568</v>
      </c>
      <c r="U1141" t="s">
        <v>12568</v>
      </c>
      <c r="V1141" t="s">
        <v>12568</v>
      </c>
      <c r="W1141" t="s">
        <v>13686</v>
      </c>
      <c r="X1141">
        <v>16</v>
      </c>
      <c r="Y1141" t="s">
        <v>19901</v>
      </c>
      <c r="Z1141" t="s">
        <v>26011</v>
      </c>
      <c r="AA1141">
        <v>0.40284112970813912</v>
      </c>
      <c r="AB1141" t="str">
        <f>HYPERLINK("Melting_Curves/meltCurve_O60333_2_KIF1B.pdf", "Melting_Curves/meltCurve_O60333_2_KIF1B.pdf")</f>
        <v>Melting_Curves/meltCurve_O60333_2_KIF1B.pdf</v>
      </c>
    </row>
    <row r="1142" spans="1:28" x14ac:dyDescent="0.25">
      <c r="A1142" t="s">
        <v>1146</v>
      </c>
      <c r="B1142">
        <v>0.99352677808782597</v>
      </c>
      <c r="C1142">
        <v>0.95959281303197697</v>
      </c>
      <c r="D1142">
        <v>0.78525119329493698</v>
      </c>
      <c r="E1142">
        <v>0.34725235267258597</v>
      </c>
      <c r="F1142">
        <v>0.26871538826763602</v>
      </c>
      <c r="G1142">
        <v>0.152187203280717</v>
      </c>
      <c r="H1142">
        <v>9.9702621081999898E-2</v>
      </c>
      <c r="I1142">
        <v>8.8388367648098806E-2</v>
      </c>
      <c r="J1142">
        <v>6.2910724857670602E-2</v>
      </c>
      <c r="K1142">
        <v>6.5735742243667405E-2</v>
      </c>
      <c r="L1142">
        <v>995.33308220975005</v>
      </c>
      <c r="M1142">
        <v>20.549107261796099</v>
      </c>
      <c r="N1142">
        <v>48.873013303655398</v>
      </c>
      <c r="O1142">
        <v>47.985087516558103</v>
      </c>
      <c r="P1142">
        <v>-9.8092622989230605E-2</v>
      </c>
      <c r="Q1142">
        <v>8.3785832711056801E-2</v>
      </c>
      <c r="R1142">
        <v>0.99398061696160001</v>
      </c>
      <c r="S1142" t="s">
        <v>7427</v>
      </c>
      <c r="T1142" t="s">
        <v>12568</v>
      </c>
      <c r="U1142" t="s">
        <v>12568</v>
      </c>
      <c r="V1142" t="s">
        <v>12568</v>
      </c>
      <c r="W1142" t="s">
        <v>13687</v>
      </c>
      <c r="X1142">
        <v>17</v>
      </c>
      <c r="Y1142" t="s">
        <v>19902</v>
      </c>
      <c r="Z1142" t="s">
        <v>26012</v>
      </c>
      <c r="AA1142">
        <v>0.3536611917020564</v>
      </c>
      <c r="AB1142" t="str">
        <f>HYPERLINK("Melting_Curves/meltCurve_O60341_KDM1A.pdf", "Melting_Curves/meltCurve_O60341_KDM1A.pdf")</f>
        <v>Melting_Curves/meltCurve_O60341_KDM1A.pdf</v>
      </c>
    </row>
    <row r="1143" spans="1:28" x14ac:dyDescent="0.25">
      <c r="A1143" t="s">
        <v>1147</v>
      </c>
      <c r="B1143">
        <v>0.99352677808782597</v>
      </c>
      <c r="C1143">
        <v>0.99092294041212603</v>
      </c>
      <c r="D1143">
        <v>0.92145980705859798</v>
      </c>
      <c r="E1143">
        <v>0.67450749814005895</v>
      </c>
      <c r="F1143">
        <v>0.55872904127294798</v>
      </c>
      <c r="G1143">
        <v>0.32454789737960499</v>
      </c>
      <c r="H1143">
        <v>0.19424614518528599</v>
      </c>
      <c r="I1143">
        <v>0.15593041594780099</v>
      </c>
      <c r="J1143">
        <v>0.132286824752198</v>
      </c>
      <c r="K1143">
        <v>9.3645003367358801E-2</v>
      </c>
      <c r="L1143">
        <v>742.632883153379</v>
      </c>
      <c r="M1143">
        <v>14.0333444365576</v>
      </c>
      <c r="N1143">
        <v>53.551788225829</v>
      </c>
      <c r="O1143">
        <v>51.879333256605499</v>
      </c>
      <c r="P1143">
        <v>-6.2467679520006501E-2</v>
      </c>
      <c r="Q1143">
        <v>7.6383613619080595E-2</v>
      </c>
      <c r="R1143">
        <v>0.99688091602303197</v>
      </c>
      <c r="S1143" t="s">
        <v>7428</v>
      </c>
      <c r="T1143" t="s">
        <v>12568</v>
      </c>
      <c r="U1143" t="s">
        <v>12568</v>
      </c>
      <c r="V1143" t="s">
        <v>12568</v>
      </c>
      <c r="W1143" t="s">
        <v>13688</v>
      </c>
      <c r="X1143">
        <v>20</v>
      </c>
      <c r="Y1143" t="s">
        <v>19903</v>
      </c>
      <c r="Z1143" t="s">
        <v>26013</v>
      </c>
      <c r="AA1143">
        <v>0.49596678698227847</v>
      </c>
      <c r="AB1143" t="str">
        <f>HYPERLINK("Melting_Curves/meltCurve_O60343_2_TBC1D4.pdf", "Melting_Curves/meltCurve_O60343_2_TBC1D4.pdf")</f>
        <v>Melting_Curves/meltCurve_O60343_2_TBC1D4.pdf</v>
      </c>
    </row>
    <row r="1144" spans="1:28" x14ac:dyDescent="0.25">
      <c r="A1144" t="s">
        <v>1148</v>
      </c>
      <c r="B1144">
        <v>0.99352677808782597</v>
      </c>
      <c r="C1144">
        <v>0.93702355953632499</v>
      </c>
      <c r="D1144">
        <v>0.86861055044711699</v>
      </c>
      <c r="E1144">
        <v>0.29265376280197097</v>
      </c>
      <c r="F1144">
        <v>0.236036673417653</v>
      </c>
      <c r="G1144">
        <v>8.3607105752762798E-2</v>
      </c>
      <c r="H1144">
        <v>7.5699084495414196E-2</v>
      </c>
      <c r="I1144">
        <v>6.0991505335629803E-2</v>
      </c>
      <c r="J1144">
        <v>6.7493776159360697E-2</v>
      </c>
      <c r="K1144">
        <v>3.5446128473844103E-2</v>
      </c>
      <c r="L1144">
        <v>1332.83805640895</v>
      </c>
      <c r="M1144">
        <v>27.497964606861601</v>
      </c>
      <c r="N1144">
        <v>48.736021301059701</v>
      </c>
      <c r="O1144">
        <v>48.216253409106997</v>
      </c>
      <c r="P1144">
        <v>-0.13265647368827799</v>
      </c>
      <c r="Q1144">
        <v>6.9583609843690497E-2</v>
      </c>
      <c r="R1144">
        <v>0.989642883467303</v>
      </c>
      <c r="S1144" t="s">
        <v>7429</v>
      </c>
      <c r="T1144" t="s">
        <v>12568</v>
      </c>
      <c r="U1144" t="s">
        <v>12568</v>
      </c>
      <c r="V1144" t="s">
        <v>12568</v>
      </c>
      <c r="W1144" t="s">
        <v>13689</v>
      </c>
      <c r="X1144">
        <v>1</v>
      </c>
      <c r="Y1144" t="s">
        <v>19904</v>
      </c>
      <c r="Z1144" t="s">
        <v>26014</v>
      </c>
      <c r="AA1144">
        <v>0.33902640064944389</v>
      </c>
      <c r="AB1144" t="str">
        <f>HYPERLINK("Melting_Curves/meltCurve_O60344_4_ECE2.pdf", "Melting_Curves/meltCurve_O60344_4_ECE2.pdf")</f>
        <v>Melting_Curves/meltCurve_O60344_4_ECE2.pdf</v>
      </c>
    </row>
    <row r="1145" spans="1:28" x14ac:dyDescent="0.25">
      <c r="A1145" t="s">
        <v>1149</v>
      </c>
      <c r="B1145">
        <v>0.99352677808782597</v>
      </c>
      <c r="C1145">
        <v>0.92002164091790095</v>
      </c>
      <c r="D1145">
        <v>0.87822259871766595</v>
      </c>
      <c r="E1145">
        <v>0.866759073412947</v>
      </c>
      <c r="F1145">
        <v>0.83018362914980304</v>
      </c>
      <c r="G1145">
        <v>0.69958228116652099</v>
      </c>
      <c r="H1145">
        <v>0.71819046390896502</v>
      </c>
      <c r="I1145">
        <v>0.63610983960988698</v>
      </c>
      <c r="J1145">
        <v>0.53040821163436103</v>
      </c>
      <c r="K1145">
        <v>0.545671005113879</v>
      </c>
      <c r="L1145">
        <v>288.71306295260803</v>
      </c>
      <c r="M1145">
        <v>4.0057464806230003</v>
      </c>
      <c r="O1145">
        <v>59.1970790289392</v>
      </c>
      <c r="P1145">
        <v>-1.7133444396406801E-2</v>
      </c>
      <c r="Q1145">
        <v>0</v>
      </c>
      <c r="R1145">
        <v>0.96085046800437401</v>
      </c>
      <c r="S1145" t="s">
        <v>7430</v>
      </c>
      <c r="T1145" t="s">
        <v>12568</v>
      </c>
      <c r="U1145" t="s">
        <v>12568</v>
      </c>
      <c r="V1145" t="s">
        <v>12568</v>
      </c>
      <c r="W1145" t="s">
        <v>13690</v>
      </c>
      <c r="X1145">
        <v>7</v>
      </c>
      <c r="Y1145" t="s">
        <v>19905</v>
      </c>
      <c r="Z1145" t="s">
        <v>26015</v>
      </c>
      <c r="AA1145">
        <v>0.76590583301863957</v>
      </c>
      <c r="AB1145" t="str">
        <f>HYPERLINK("Melting_Curves/meltCurve_O60347_TBC1D12.pdf", "Melting_Curves/meltCurve_O60347_TBC1D12.pdf")</f>
        <v>Melting_Curves/meltCurve_O60347_TBC1D12.pdf</v>
      </c>
    </row>
    <row r="1146" spans="1:28" x14ac:dyDescent="0.25">
      <c r="A1146" t="s">
        <v>1150</v>
      </c>
      <c r="B1146">
        <v>0.99352677808782597</v>
      </c>
      <c r="C1146">
        <v>0.89800937101856304</v>
      </c>
      <c r="D1146">
        <v>1.0277699933751601</v>
      </c>
      <c r="E1146">
        <v>0.90131274600040401</v>
      </c>
      <c r="F1146">
        <v>0.76575538273364396</v>
      </c>
      <c r="G1146">
        <v>0.93390733271996196</v>
      </c>
      <c r="H1146">
        <v>0.81301418445857099</v>
      </c>
      <c r="I1146">
        <v>0.96734356024071</v>
      </c>
      <c r="J1146">
        <v>0.97017049771999897</v>
      </c>
      <c r="K1146">
        <v>0.858659726232049</v>
      </c>
      <c r="L1146">
        <v>12410.582784690199</v>
      </c>
      <c r="M1146">
        <v>250</v>
      </c>
      <c r="O1146">
        <v>49.639153844803502</v>
      </c>
      <c r="P1146">
        <v>-0.145036132946193</v>
      </c>
      <c r="Q1146">
        <v>0.88480846428001902</v>
      </c>
      <c r="R1146">
        <v>0.22136513161138499</v>
      </c>
      <c r="S1146" t="s">
        <v>7431</v>
      </c>
      <c r="T1146" t="s">
        <v>12568</v>
      </c>
      <c r="U1146" t="s">
        <v>12568</v>
      </c>
      <c r="V1146" t="s">
        <v>12568</v>
      </c>
      <c r="W1146" t="s">
        <v>13691</v>
      </c>
      <c r="X1146">
        <v>3</v>
      </c>
      <c r="Y1146" t="s">
        <v>19906</v>
      </c>
      <c r="Z1146" t="s">
        <v>26016</v>
      </c>
      <c r="AA1146">
        <v>0.92184233100134916</v>
      </c>
      <c r="AB1146" t="str">
        <f>HYPERLINK("Melting_Curves/meltCurve_O60353_2_FZD6.pdf", "Melting_Curves/meltCurve_O60353_2_FZD6.pdf")</f>
        <v>Melting_Curves/meltCurve_O60353_2_FZD6.pdf</v>
      </c>
    </row>
    <row r="1147" spans="1:28" x14ac:dyDescent="0.25">
      <c r="A1147" t="s">
        <v>1151</v>
      </c>
      <c r="B1147">
        <v>0.99352677808782597</v>
      </c>
      <c r="C1147">
        <v>0.98919568224493704</v>
      </c>
      <c r="D1147">
        <v>1.01571633848593</v>
      </c>
      <c r="E1147">
        <v>0.93319061020289495</v>
      </c>
      <c r="F1147">
        <v>0.829735983952814</v>
      </c>
      <c r="G1147">
        <v>0.62561416300945005</v>
      </c>
      <c r="H1147">
        <v>0.20372067579636199</v>
      </c>
      <c r="I1147">
        <v>0.12636315276822699</v>
      </c>
      <c r="J1147">
        <v>9.6993188571061595E-2</v>
      </c>
      <c r="K1147">
        <v>7.9397340192563406E-2</v>
      </c>
      <c r="L1147">
        <v>1272.8972972460101</v>
      </c>
      <c r="M1147">
        <v>22.145085203475102</v>
      </c>
      <c r="N1147">
        <v>57.727708194673497</v>
      </c>
      <c r="O1147">
        <v>57.017318310392803</v>
      </c>
      <c r="P1147">
        <v>-9.26974125806352E-2</v>
      </c>
      <c r="Q1147">
        <v>4.5342142934474999E-2</v>
      </c>
      <c r="R1147">
        <v>0.99361612068401095</v>
      </c>
      <c r="S1147" t="s">
        <v>7432</v>
      </c>
      <c r="T1147" t="s">
        <v>12568</v>
      </c>
      <c r="U1147" t="s">
        <v>12568</v>
      </c>
      <c r="V1147" t="s">
        <v>12568</v>
      </c>
      <c r="W1147" t="s">
        <v>13692</v>
      </c>
      <c r="X1147">
        <v>15</v>
      </c>
      <c r="Y1147" t="s">
        <v>19907</v>
      </c>
      <c r="Z1147" t="s">
        <v>26017</v>
      </c>
      <c r="AA1147">
        <v>0.61160793858339202</v>
      </c>
      <c r="AB1147" t="str">
        <f>HYPERLINK("Melting_Curves/meltCurve_O60443_DFNA5.pdf", "Melting_Curves/meltCurve_O60443_DFNA5.pdf")</f>
        <v>Melting_Curves/meltCurve_O60443_DFNA5.pdf</v>
      </c>
    </row>
    <row r="1148" spans="1:28" x14ac:dyDescent="0.25">
      <c r="A1148" t="s">
        <v>1152</v>
      </c>
      <c r="B1148">
        <v>0.99352677808782597</v>
      </c>
      <c r="C1148">
        <v>1.01665453439861</v>
      </c>
      <c r="D1148">
        <v>0.95468139162136501</v>
      </c>
      <c r="E1148">
        <v>0.46706597892322199</v>
      </c>
      <c r="F1148">
        <v>0.38464917435331097</v>
      </c>
      <c r="G1148">
        <v>0.25444955935093</v>
      </c>
      <c r="H1148">
        <v>0.176819466051931</v>
      </c>
      <c r="I1148">
        <v>0.153184325962228</v>
      </c>
      <c r="J1148">
        <v>0.16213644202355901</v>
      </c>
      <c r="K1148">
        <v>0.13974635051890899</v>
      </c>
      <c r="L1148">
        <v>1197.4094767720201</v>
      </c>
      <c r="M1148">
        <v>24.1399837705208</v>
      </c>
      <c r="N1148">
        <v>50.480227522917197</v>
      </c>
      <c r="O1148">
        <v>49.266110495535102</v>
      </c>
      <c r="P1148">
        <v>-0.101509350449842</v>
      </c>
      <c r="Q1148">
        <v>0.17135096343692299</v>
      </c>
      <c r="R1148">
        <v>0.98392040596774999</v>
      </c>
      <c r="S1148" t="s">
        <v>7433</v>
      </c>
      <c r="T1148" t="s">
        <v>12568</v>
      </c>
      <c r="U1148" t="s">
        <v>12568</v>
      </c>
      <c r="V1148" t="s">
        <v>12568</v>
      </c>
      <c r="W1148" t="s">
        <v>13693</v>
      </c>
      <c r="X1148">
        <v>6</v>
      </c>
      <c r="Y1148" t="s">
        <v>19908</v>
      </c>
      <c r="Z1148" t="s">
        <v>26018</v>
      </c>
      <c r="AA1148">
        <v>0.44451518000347218</v>
      </c>
      <c r="AB1148" t="str">
        <f>HYPERLINK("Melting_Curves/meltCurve_O60447_EVI5.pdf", "Melting_Curves/meltCurve_O60447_EVI5.pdf")</f>
        <v>Melting_Curves/meltCurve_O60447_EVI5.pdf</v>
      </c>
    </row>
    <row r="1149" spans="1:28" x14ac:dyDescent="0.25">
      <c r="A1149" t="s">
        <v>1153</v>
      </c>
      <c r="B1149">
        <v>0.99352677808782597</v>
      </c>
      <c r="C1149">
        <v>0.99237791817182097</v>
      </c>
      <c r="D1149">
        <v>0.84629890697897403</v>
      </c>
      <c r="E1149">
        <v>0.57890060324449799</v>
      </c>
      <c r="F1149">
        <v>0.52980920214056904</v>
      </c>
      <c r="G1149">
        <v>0.30882838453839401</v>
      </c>
      <c r="H1149">
        <v>0.24541023763164199</v>
      </c>
      <c r="I1149">
        <v>0.22364216910089099</v>
      </c>
      <c r="J1149">
        <v>0.24068955867297301</v>
      </c>
      <c r="K1149">
        <v>0.118587995123753</v>
      </c>
      <c r="L1149">
        <v>692.37506709108095</v>
      </c>
      <c r="M1149">
        <v>13.5593040421289</v>
      </c>
      <c r="N1149">
        <v>52.551195023494103</v>
      </c>
      <c r="O1149">
        <v>49.990473926199002</v>
      </c>
      <c r="P1149">
        <v>-5.7005606511526502E-2</v>
      </c>
      <c r="Q1149">
        <v>0.15945256042408801</v>
      </c>
      <c r="R1149">
        <v>0.98413760118602001</v>
      </c>
      <c r="S1149" t="s">
        <v>7434</v>
      </c>
      <c r="T1149" t="s">
        <v>12568</v>
      </c>
      <c r="U1149" t="s">
        <v>12568</v>
      </c>
      <c r="V1149" t="s">
        <v>12568</v>
      </c>
      <c r="W1149" t="s">
        <v>13694</v>
      </c>
      <c r="X1149">
        <v>1</v>
      </c>
      <c r="Y1149" t="s">
        <v>19909</v>
      </c>
      <c r="Z1149" t="s">
        <v>26019</v>
      </c>
      <c r="AA1149">
        <v>0.49218679207733701</v>
      </c>
      <c r="AB1149" t="str">
        <f>HYPERLINK("Melting_Curves/meltCurve_O60462_4_NRP2.pdf", "Melting_Curves/meltCurve_O60462_4_NRP2.pdf")</f>
        <v>Melting_Curves/meltCurve_O60462_4_NRP2.pdf</v>
      </c>
    </row>
    <row r="1150" spans="1:28" x14ac:dyDescent="0.25">
      <c r="A1150" t="s">
        <v>1154</v>
      </c>
      <c r="B1150">
        <v>0.99352677808782597</v>
      </c>
      <c r="C1150">
        <v>0.60101842777202397</v>
      </c>
      <c r="D1150">
        <v>0.50447979575370505</v>
      </c>
      <c r="E1150">
        <v>0.242774000467157</v>
      </c>
      <c r="F1150">
        <v>0.186546920814808</v>
      </c>
      <c r="G1150">
        <v>0.108862740285442</v>
      </c>
      <c r="H1150">
        <v>9.7254710913610196E-2</v>
      </c>
      <c r="I1150">
        <v>6.6872368506406502E-2</v>
      </c>
      <c r="J1150">
        <v>5.9919535914417801E-2</v>
      </c>
      <c r="K1150">
        <v>5.1155078924896499E-2</v>
      </c>
      <c r="L1150">
        <v>664.43858819141099</v>
      </c>
      <c r="M1150">
        <v>14.700654355456701</v>
      </c>
      <c r="N1150">
        <v>45.617894198610401</v>
      </c>
      <c r="O1150">
        <v>44.386246861954398</v>
      </c>
      <c r="P1150">
        <v>-7.7567354435117503E-2</v>
      </c>
      <c r="Q1150">
        <v>6.3294241523964803E-2</v>
      </c>
      <c r="R1150">
        <v>0.96956058338282103</v>
      </c>
      <c r="S1150" t="s">
        <v>7435</v>
      </c>
      <c r="T1150" t="s">
        <v>12568</v>
      </c>
      <c r="U1150" t="s">
        <v>12568</v>
      </c>
      <c r="V1150" t="s">
        <v>12568</v>
      </c>
      <c r="W1150" t="s">
        <v>13695</v>
      </c>
      <c r="X1150">
        <v>4</v>
      </c>
      <c r="Y1150" t="s">
        <v>19910</v>
      </c>
      <c r="Z1150" t="s">
        <v>26020</v>
      </c>
      <c r="AA1150">
        <v>0.25632986596548801</v>
      </c>
      <c r="AB1150" t="str">
        <f>HYPERLINK("Melting_Curves/meltCurve_O60488_2_ACSL4.pdf", "Melting_Curves/meltCurve_O60488_2_ACSL4.pdf")</f>
        <v>Melting_Curves/meltCurve_O60488_2_ACSL4.pdf</v>
      </c>
    </row>
    <row r="1151" spans="1:28" x14ac:dyDescent="0.25">
      <c r="A1151" t="s">
        <v>1155</v>
      </c>
      <c r="B1151">
        <v>0.99352677808782597</v>
      </c>
      <c r="C1151">
        <v>0.953328376962708</v>
      </c>
      <c r="D1151">
        <v>0.95637727229928604</v>
      </c>
      <c r="E1151">
        <v>0.324759345226736</v>
      </c>
      <c r="F1151">
        <v>0.26058198523360099</v>
      </c>
      <c r="G1151">
        <v>0.15476109555933301</v>
      </c>
      <c r="H1151">
        <v>0.127973051406369</v>
      </c>
      <c r="I1151">
        <v>0.11971516360526201</v>
      </c>
      <c r="J1151">
        <v>0.118098078758196</v>
      </c>
      <c r="K1151">
        <v>9.7425362523540601E-2</v>
      </c>
      <c r="L1151">
        <v>1993.6312587268701</v>
      </c>
      <c r="M1151">
        <v>40.972230404613903</v>
      </c>
      <c r="N1151">
        <v>49.043111611121198</v>
      </c>
      <c r="O1151">
        <v>48.542639602846002</v>
      </c>
      <c r="P1151">
        <v>-0.18199320729160101</v>
      </c>
      <c r="Q1151">
        <v>0.13752201217655899</v>
      </c>
      <c r="R1151">
        <v>0.98903691734694799</v>
      </c>
      <c r="S1151" t="s">
        <v>7436</v>
      </c>
      <c r="T1151" t="s">
        <v>12568</v>
      </c>
      <c r="U1151" t="s">
        <v>12568</v>
      </c>
      <c r="V1151" t="s">
        <v>12568</v>
      </c>
      <c r="W1151" t="s">
        <v>13696</v>
      </c>
      <c r="X1151">
        <v>11</v>
      </c>
      <c r="Y1151" t="s">
        <v>19911</v>
      </c>
      <c r="Z1151" t="s">
        <v>26021</v>
      </c>
      <c r="AA1151">
        <v>0.38920359015198092</v>
      </c>
      <c r="AB1151" t="str">
        <f>HYPERLINK("Melting_Curves/meltCurve_O60493_SNX3.pdf", "Melting_Curves/meltCurve_O60493_SNX3.pdf")</f>
        <v>Melting_Curves/meltCurve_O60493_SNX3.pdf</v>
      </c>
    </row>
    <row r="1152" spans="1:28" x14ac:dyDescent="0.25">
      <c r="A1152" t="s">
        <v>1156</v>
      </c>
      <c r="B1152">
        <v>0.99352677808782597</v>
      </c>
      <c r="C1152">
        <v>0.930791442339159</v>
      </c>
      <c r="D1152">
        <v>0.82072526062941698</v>
      </c>
      <c r="E1152">
        <v>0.664818544589724</v>
      </c>
      <c r="F1152">
        <v>0.58214356766096098</v>
      </c>
      <c r="G1152">
        <v>0.29626209675169302</v>
      </c>
      <c r="H1152">
        <v>0.133874574880886</v>
      </c>
      <c r="I1152">
        <v>0.128328848789488</v>
      </c>
      <c r="J1152">
        <v>0.114071317579638</v>
      </c>
      <c r="K1152">
        <v>8.6405619430070205E-2</v>
      </c>
      <c r="L1152">
        <v>618.464332507162</v>
      </c>
      <c r="M1152">
        <v>11.653002506130401</v>
      </c>
      <c r="N1152">
        <v>53.185954076869002</v>
      </c>
      <c r="O1152">
        <v>51.5826740518891</v>
      </c>
      <c r="P1152">
        <v>-5.5804418349549599E-2</v>
      </c>
      <c r="Q1152">
        <v>1.21810154048833E-2</v>
      </c>
      <c r="R1152">
        <v>0.99030929618927799</v>
      </c>
      <c r="S1152" t="s">
        <v>7437</v>
      </c>
      <c r="T1152" t="s">
        <v>12568</v>
      </c>
      <c r="U1152" t="s">
        <v>12568</v>
      </c>
      <c r="V1152" t="s">
        <v>12568</v>
      </c>
      <c r="W1152" t="s">
        <v>13697</v>
      </c>
      <c r="X1152">
        <v>18</v>
      </c>
      <c r="Y1152" t="s">
        <v>19912</v>
      </c>
      <c r="Z1152" t="s">
        <v>26022</v>
      </c>
      <c r="AA1152">
        <v>0.47151943467314078</v>
      </c>
      <c r="AB1152" t="str">
        <f>HYPERLINK("Melting_Curves/meltCurve_O60502_MGEA5.pdf", "Melting_Curves/meltCurve_O60502_MGEA5.pdf")</f>
        <v>Melting_Curves/meltCurve_O60502_MGEA5.pdf</v>
      </c>
    </row>
    <row r="1153" spans="1:28" x14ac:dyDescent="0.25">
      <c r="A1153" t="s">
        <v>1157</v>
      </c>
      <c r="B1153">
        <v>0.99352677808782597</v>
      </c>
      <c r="C1153">
        <v>0.99008837290085605</v>
      </c>
      <c r="D1153">
        <v>1.0368118640369599</v>
      </c>
      <c r="E1153">
        <v>0.91109105346108998</v>
      </c>
      <c r="F1153">
        <v>0.80008336113840395</v>
      </c>
      <c r="G1153">
        <v>0.62129601016715297</v>
      </c>
      <c r="H1153">
        <v>0.34353725459837697</v>
      </c>
      <c r="I1153">
        <v>0.228875616358511</v>
      </c>
      <c r="J1153">
        <v>0.170487909642005</v>
      </c>
      <c r="K1153">
        <v>0.118208857534529</v>
      </c>
      <c r="L1153">
        <v>893.64522642842303</v>
      </c>
      <c r="M1153">
        <v>15.3996920037041</v>
      </c>
      <c r="N1153">
        <v>58.470755651438402</v>
      </c>
      <c r="O1153">
        <v>57.0779364852539</v>
      </c>
      <c r="P1153">
        <v>-6.3760408747174799E-2</v>
      </c>
      <c r="Q1153">
        <v>5.4791244441571803E-2</v>
      </c>
      <c r="R1153">
        <v>0.99616382842158602</v>
      </c>
      <c r="S1153" t="s">
        <v>7438</v>
      </c>
      <c r="T1153" t="s">
        <v>12568</v>
      </c>
      <c r="U1153" t="s">
        <v>12568</v>
      </c>
      <c r="V1153" t="s">
        <v>12568</v>
      </c>
      <c r="W1153" t="s">
        <v>13698</v>
      </c>
      <c r="X1153">
        <v>14</v>
      </c>
      <c r="Y1153" t="s">
        <v>19913</v>
      </c>
      <c r="Z1153" t="s">
        <v>26023</v>
      </c>
      <c r="AA1153">
        <v>0.63541600235531215</v>
      </c>
      <c r="AB1153" t="str">
        <f>HYPERLINK("Melting_Curves/meltCurve_O60504_SORBS3.pdf", "Melting_Curves/meltCurve_O60504_SORBS3.pdf")</f>
        <v>Melting_Curves/meltCurve_O60504_SORBS3.pdf</v>
      </c>
    </row>
    <row r="1154" spans="1:28" x14ac:dyDescent="0.25">
      <c r="A1154" t="s">
        <v>1158</v>
      </c>
      <c r="B1154">
        <v>0.99352677808782597</v>
      </c>
      <c r="C1154">
        <v>0.96090364882600698</v>
      </c>
      <c r="D1154">
        <v>1.0160508946481901</v>
      </c>
      <c r="E1154">
        <v>0.72195086668064901</v>
      </c>
      <c r="F1154">
        <v>0.59826185483592198</v>
      </c>
      <c r="G1154">
        <v>0.283072658172217</v>
      </c>
      <c r="H1154">
        <v>0.15833926914118299</v>
      </c>
      <c r="I1154">
        <v>0.13174854581325099</v>
      </c>
      <c r="J1154">
        <v>0.10939088094541299</v>
      </c>
      <c r="K1154">
        <v>8.4419809357953998E-2</v>
      </c>
      <c r="L1154">
        <v>950.62789353182495</v>
      </c>
      <c r="M1154">
        <v>17.8527428006931</v>
      </c>
      <c r="N1154">
        <v>53.767399038524701</v>
      </c>
      <c r="O1154">
        <v>52.593655454474202</v>
      </c>
      <c r="P1154">
        <v>-7.8147908732914301E-2</v>
      </c>
      <c r="Q1154">
        <v>7.9161140323397106E-2</v>
      </c>
      <c r="R1154">
        <v>0.99235201956119501</v>
      </c>
      <c r="S1154" t="s">
        <v>7439</v>
      </c>
      <c r="T1154" t="s">
        <v>12568</v>
      </c>
      <c r="U1154" t="s">
        <v>12568</v>
      </c>
      <c r="V1154" t="s">
        <v>12568</v>
      </c>
      <c r="W1154" t="s">
        <v>13699</v>
      </c>
      <c r="X1154">
        <v>18</v>
      </c>
      <c r="Y1154" t="s">
        <v>19914</v>
      </c>
      <c r="Z1154" t="s">
        <v>26024</v>
      </c>
      <c r="AA1154">
        <v>0.50100999563324644</v>
      </c>
      <c r="AB1154" t="str">
        <f>HYPERLINK("Melting_Curves/meltCurve_O60506_2_SYNCRIP.pdf", "Melting_Curves/meltCurve_O60506_2_SYNCRIP.pdf")</f>
        <v>Melting_Curves/meltCurve_O60506_2_SYNCRIP.pdf</v>
      </c>
    </row>
    <row r="1155" spans="1:28" x14ac:dyDescent="0.25">
      <c r="A1155" t="s">
        <v>1159</v>
      </c>
      <c r="B1155">
        <v>0.99352677808782597</v>
      </c>
      <c r="C1155">
        <v>1.0246893089946101</v>
      </c>
      <c r="D1155">
        <v>0.77436107758728701</v>
      </c>
      <c r="E1155">
        <v>0.26948507633791302</v>
      </c>
      <c r="F1155">
        <v>0.21114032858465201</v>
      </c>
      <c r="G1155">
        <v>0.10151085097302601</v>
      </c>
      <c r="H1155">
        <v>9.7911314505171598E-2</v>
      </c>
      <c r="I1155">
        <v>8.5124379441279097E-2</v>
      </c>
      <c r="J1155">
        <v>5.0302950820161098E-2</v>
      </c>
      <c r="K1155">
        <v>4.1283037458071603E-2</v>
      </c>
      <c r="L1155">
        <v>1334.1170839736601</v>
      </c>
      <c r="M1155">
        <v>27.8467169938098</v>
      </c>
      <c r="N1155">
        <v>48.215877745150699</v>
      </c>
      <c r="O1155">
        <v>47.6642943737276</v>
      </c>
      <c r="P1155">
        <v>-0.134207783915721</v>
      </c>
      <c r="Q1155">
        <v>8.1132358686619596E-2</v>
      </c>
      <c r="R1155">
        <v>0.99152745708178702</v>
      </c>
      <c r="S1155" t="s">
        <v>7440</v>
      </c>
      <c r="T1155" t="s">
        <v>12568</v>
      </c>
      <c r="U1155" t="s">
        <v>12568</v>
      </c>
      <c r="V1155" t="s">
        <v>12568</v>
      </c>
      <c r="W1155" t="s">
        <v>13700</v>
      </c>
      <c r="X1155">
        <v>9</v>
      </c>
      <c r="Y1155" t="s">
        <v>19915</v>
      </c>
      <c r="Z1155" t="s">
        <v>26025</v>
      </c>
      <c r="AA1155">
        <v>0.32984881574436309</v>
      </c>
      <c r="AB1155" t="str">
        <f>HYPERLINK("Melting_Curves/meltCurve_O60518_RANBP6.pdf", "Melting_Curves/meltCurve_O60518_RANBP6.pdf")</f>
        <v>Melting_Curves/meltCurve_O60518_RANBP6.pdf</v>
      </c>
    </row>
    <row r="1156" spans="1:28" x14ac:dyDescent="0.25">
      <c r="A1156" t="s">
        <v>1160</v>
      </c>
      <c r="B1156">
        <v>0.99352677808782597</v>
      </c>
      <c r="C1156">
        <v>0.90995546706473596</v>
      </c>
      <c r="D1156">
        <v>0.78508553161017003</v>
      </c>
      <c r="E1156">
        <v>0.32157475406865799</v>
      </c>
      <c r="F1156">
        <v>0.24161602802655499</v>
      </c>
      <c r="G1156">
        <v>0.14186264772971199</v>
      </c>
      <c r="H1156">
        <v>9.0170946324775805E-2</v>
      </c>
      <c r="I1156">
        <v>7.8586742309334795E-2</v>
      </c>
      <c r="J1156">
        <v>6.2008805454062101E-2</v>
      </c>
      <c r="K1156">
        <v>4.8818261925286002E-2</v>
      </c>
      <c r="L1156">
        <v>984.48800801459902</v>
      </c>
      <c r="M1156">
        <v>20.4143596003974</v>
      </c>
      <c r="N1156">
        <v>48.6022485218489</v>
      </c>
      <c r="O1156">
        <v>47.769666272612596</v>
      </c>
      <c r="P1156">
        <v>-9.9017766794076895E-2</v>
      </c>
      <c r="Q1156">
        <v>7.3220257294475205E-2</v>
      </c>
      <c r="R1156">
        <v>0.99352125724237705</v>
      </c>
      <c r="S1156" t="s">
        <v>7441</v>
      </c>
      <c r="T1156" t="s">
        <v>12568</v>
      </c>
      <c r="U1156" t="s">
        <v>12568</v>
      </c>
      <c r="V1156" t="s">
        <v>12568</v>
      </c>
      <c r="W1156" t="s">
        <v>13701</v>
      </c>
      <c r="X1156">
        <v>12</v>
      </c>
      <c r="Y1156" t="s">
        <v>19916</v>
      </c>
      <c r="Z1156" t="s">
        <v>26026</v>
      </c>
      <c r="AA1156">
        <v>0.33988172848049381</v>
      </c>
      <c r="AB1156" t="str">
        <f>HYPERLINK("Melting_Curves/meltCurve_O60524_4_NEMF.pdf", "Melting_Curves/meltCurve_O60524_4_NEMF.pdf")</f>
        <v>Melting_Curves/meltCurve_O60524_4_NEMF.pdf</v>
      </c>
    </row>
    <row r="1157" spans="1:28" x14ac:dyDescent="0.25">
      <c r="A1157" t="s">
        <v>1161</v>
      </c>
      <c r="B1157">
        <v>0.99352677808782597</v>
      </c>
      <c r="C1157">
        <v>0.94994900252095604</v>
      </c>
      <c r="D1157">
        <v>0.89401458523507404</v>
      </c>
      <c r="E1157">
        <v>0.31702124552477501</v>
      </c>
      <c r="F1157">
        <v>0.24534134610154101</v>
      </c>
      <c r="G1157">
        <v>0.152833653049992</v>
      </c>
      <c r="H1157">
        <v>0.116280968340746</v>
      </c>
      <c r="I1157">
        <v>0.10423696718518401</v>
      </c>
      <c r="J1157">
        <v>9.4584009636060007E-2</v>
      </c>
      <c r="K1157">
        <v>6.4942019656996294E-2</v>
      </c>
      <c r="L1157">
        <v>1510.3433128072199</v>
      </c>
      <c r="M1157">
        <v>31.157009731628399</v>
      </c>
      <c r="N1157">
        <v>48.877164124788202</v>
      </c>
      <c r="O1157">
        <v>48.276852648637799</v>
      </c>
      <c r="P1157">
        <v>-0.143112396740841</v>
      </c>
      <c r="Q1157">
        <v>0.113011494954914</v>
      </c>
      <c r="R1157">
        <v>0.99007904166651195</v>
      </c>
      <c r="S1157" t="s">
        <v>7442</v>
      </c>
      <c r="T1157" t="s">
        <v>12568</v>
      </c>
      <c r="U1157" t="s">
        <v>12568</v>
      </c>
      <c r="V1157" t="s">
        <v>12568</v>
      </c>
      <c r="W1157" t="s">
        <v>13702</v>
      </c>
      <c r="X1157">
        <v>11</v>
      </c>
      <c r="Y1157" t="s">
        <v>19917</v>
      </c>
      <c r="Z1157" t="s">
        <v>26027</v>
      </c>
      <c r="AA1157">
        <v>0.3685543973222819</v>
      </c>
      <c r="AB1157" t="str">
        <f>HYPERLINK("Melting_Curves/meltCurve_O60547_2_GMDS.pdf", "Melting_Curves/meltCurve_O60547_2_GMDS.pdf")</f>
        <v>Melting_Curves/meltCurve_O60547_2_GMDS.pdf</v>
      </c>
    </row>
    <row r="1158" spans="1:28" x14ac:dyDescent="0.25">
      <c r="A1158" t="s">
        <v>1162</v>
      </c>
      <c r="B1158">
        <v>0.99352677808782597</v>
      </c>
      <c r="C1158">
        <v>0.92603689160478997</v>
      </c>
      <c r="D1158">
        <v>0.96620694926253003</v>
      </c>
      <c r="E1158">
        <v>0.616951795706696</v>
      </c>
      <c r="F1158">
        <v>0.55705783052519697</v>
      </c>
      <c r="G1158">
        <v>0.59981245028193797</v>
      </c>
      <c r="H1158">
        <v>0.54821082599545401</v>
      </c>
      <c r="I1158">
        <v>0.59997365651905599</v>
      </c>
      <c r="J1158">
        <v>0.57626688065255105</v>
      </c>
      <c r="K1158">
        <v>0.59024603954312505</v>
      </c>
      <c r="L1158">
        <v>2713.4531254285098</v>
      </c>
      <c r="M1158">
        <v>56.595294271432699</v>
      </c>
      <c r="O1158">
        <v>47.885104063082601</v>
      </c>
      <c r="P1158">
        <v>-0.124559322755654</v>
      </c>
      <c r="Q1158">
        <v>0.57844318281381002</v>
      </c>
      <c r="R1158">
        <v>0.973990938667887</v>
      </c>
      <c r="S1158" t="s">
        <v>7443</v>
      </c>
      <c r="T1158" t="s">
        <v>12568</v>
      </c>
      <c r="U1158" t="s">
        <v>12568</v>
      </c>
      <c r="V1158" t="s">
        <v>12568</v>
      </c>
      <c r="W1158" t="s">
        <v>13703</v>
      </c>
      <c r="X1158">
        <v>7</v>
      </c>
      <c r="Y1158" t="s">
        <v>19918</v>
      </c>
      <c r="Z1158" t="s">
        <v>26028</v>
      </c>
      <c r="AA1158">
        <v>0.6907785312340764</v>
      </c>
      <c r="AB1158" t="str">
        <f>HYPERLINK("Melting_Curves/meltCurve_O60551_NMT2.pdf", "Melting_Curves/meltCurve_O60551_NMT2.pdf")</f>
        <v>Melting_Curves/meltCurve_O60551_NMT2.pdf</v>
      </c>
    </row>
    <row r="1159" spans="1:28" x14ac:dyDescent="0.25">
      <c r="A1159" t="s">
        <v>1163</v>
      </c>
      <c r="B1159">
        <v>0.99352677808782597</v>
      </c>
      <c r="C1159">
        <v>1.0052578086516699</v>
      </c>
      <c r="D1159">
        <v>0.95661148580096</v>
      </c>
      <c r="E1159">
        <v>0.67692352135620304</v>
      </c>
      <c r="F1159">
        <v>0.57932380476779299</v>
      </c>
      <c r="G1159">
        <v>0.349333170782133</v>
      </c>
      <c r="H1159">
        <v>0.25583771647600101</v>
      </c>
      <c r="I1159">
        <v>0.255956872072858</v>
      </c>
      <c r="J1159">
        <v>0.210064738329069</v>
      </c>
      <c r="K1159">
        <v>0.14887250675868099</v>
      </c>
      <c r="L1159">
        <v>810.67606250364497</v>
      </c>
      <c r="M1159">
        <v>15.472553374715799</v>
      </c>
      <c r="N1159">
        <v>53.872007788667702</v>
      </c>
      <c r="O1159">
        <v>51.5426298472293</v>
      </c>
      <c r="P1159">
        <v>-6.2076581649016298E-2</v>
      </c>
      <c r="Q1159">
        <v>0.172908230118901</v>
      </c>
      <c r="R1159">
        <v>0.990780667721749</v>
      </c>
      <c r="S1159" t="s">
        <v>7444</v>
      </c>
      <c r="T1159" t="s">
        <v>12568</v>
      </c>
      <c r="U1159" t="s">
        <v>12568</v>
      </c>
      <c r="V1159" t="s">
        <v>12568</v>
      </c>
      <c r="W1159" t="s">
        <v>13704</v>
      </c>
      <c r="X1159">
        <v>7</v>
      </c>
      <c r="Y1159" t="s">
        <v>19919</v>
      </c>
      <c r="Z1159" t="s">
        <v>26029</v>
      </c>
      <c r="AA1159">
        <v>0.53202504888503832</v>
      </c>
      <c r="AB1159" t="str">
        <f>HYPERLINK("Melting_Curves/meltCurve_O60563_CCNT1.pdf", "Melting_Curves/meltCurve_O60563_CCNT1.pdf")</f>
        <v>Melting_Curves/meltCurve_O60563_CCNT1.pdf</v>
      </c>
    </row>
    <row r="1160" spans="1:28" x14ac:dyDescent="0.25">
      <c r="A1160" t="s">
        <v>1164</v>
      </c>
      <c r="B1160">
        <v>0.99352677808782597</v>
      </c>
      <c r="C1160">
        <v>0.95068425800441803</v>
      </c>
      <c r="D1160">
        <v>0.98289715634805197</v>
      </c>
      <c r="E1160">
        <v>0.65018049958836399</v>
      </c>
      <c r="F1160">
        <v>0.58528971742245794</v>
      </c>
      <c r="G1160">
        <v>0.35230345441679101</v>
      </c>
      <c r="H1160">
        <v>0.279912236700188</v>
      </c>
      <c r="I1160">
        <v>0.29767458649997502</v>
      </c>
      <c r="J1160">
        <v>0.26019665855713398</v>
      </c>
      <c r="K1160">
        <v>0.225455465581169</v>
      </c>
      <c r="L1160">
        <v>874.74784827313397</v>
      </c>
      <c r="M1160">
        <v>16.9583692561907</v>
      </c>
      <c r="N1160">
        <v>53.652672391870098</v>
      </c>
      <c r="O1160">
        <v>50.880824782255097</v>
      </c>
      <c r="P1160">
        <v>-6.3318423079223002E-2</v>
      </c>
      <c r="Q1160">
        <v>0.24014095328579499</v>
      </c>
      <c r="R1160">
        <v>0.98418545200545804</v>
      </c>
      <c r="S1160" t="s">
        <v>7445</v>
      </c>
      <c r="T1160" t="s">
        <v>12568</v>
      </c>
      <c r="U1160" t="s">
        <v>12568</v>
      </c>
      <c r="V1160" t="s">
        <v>12568</v>
      </c>
      <c r="W1160" t="s">
        <v>13705</v>
      </c>
      <c r="X1160">
        <v>17</v>
      </c>
      <c r="Y1160" t="s">
        <v>19920</v>
      </c>
      <c r="Z1160" t="s">
        <v>26030</v>
      </c>
      <c r="AA1160">
        <v>0.54758788070638376</v>
      </c>
      <c r="AB1160" t="str">
        <f>HYPERLINK("Melting_Curves/meltCurve_O60566_BUB1B.pdf", "Melting_Curves/meltCurve_O60566_BUB1B.pdf")</f>
        <v>Melting_Curves/meltCurve_O60566_BUB1B.pdf</v>
      </c>
    </row>
    <row r="1161" spans="1:28" x14ac:dyDescent="0.25">
      <c r="A1161" t="s">
        <v>1165</v>
      </c>
      <c r="B1161">
        <v>0.99352677808782597</v>
      </c>
      <c r="C1161">
        <v>1.0726667070708</v>
      </c>
      <c r="D1161">
        <v>0.93052892682707</v>
      </c>
      <c r="E1161">
        <v>0.49802290774836899</v>
      </c>
      <c r="F1161">
        <v>0.49000015154425303</v>
      </c>
      <c r="G1161">
        <v>0.21227781093037101</v>
      </c>
      <c r="H1161">
        <v>0.219998380144481</v>
      </c>
      <c r="I1161">
        <v>0.22170793895368199</v>
      </c>
      <c r="J1161">
        <v>0.17165690191951299</v>
      </c>
      <c r="K1161">
        <v>0.110525059569881</v>
      </c>
      <c r="L1161">
        <v>997.15378203040098</v>
      </c>
      <c r="M1161">
        <v>19.848245710739199</v>
      </c>
      <c r="N1161">
        <v>51.3208181268378</v>
      </c>
      <c r="O1161">
        <v>49.737254437441699</v>
      </c>
      <c r="P1161">
        <v>-8.2712138657704007E-2</v>
      </c>
      <c r="Q1161">
        <v>0.17096216325597099</v>
      </c>
      <c r="R1161">
        <v>0.96740049537698902</v>
      </c>
      <c r="S1161" t="s">
        <v>7446</v>
      </c>
      <c r="T1161" t="s">
        <v>12568</v>
      </c>
      <c r="U1161" t="s">
        <v>12568</v>
      </c>
      <c r="V1161" t="s">
        <v>12568</v>
      </c>
      <c r="W1161" t="s">
        <v>13706</v>
      </c>
      <c r="X1161">
        <v>3</v>
      </c>
      <c r="Y1161" t="s">
        <v>19921</v>
      </c>
      <c r="Z1161" t="s">
        <v>26031</v>
      </c>
      <c r="AA1161">
        <v>0.4656120970588033</v>
      </c>
      <c r="AB1161" t="str">
        <f>HYPERLINK("Melting_Curves/meltCurve_O60568_PLOD3.pdf", "Melting_Curves/meltCurve_O60568_PLOD3.pdf")</f>
        <v>Melting_Curves/meltCurve_O60568_PLOD3.pdf</v>
      </c>
    </row>
    <row r="1162" spans="1:28" x14ac:dyDescent="0.25">
      <c r="A1162" t="s">
        <v>1166</v>
      </c>
      <c r="B1162">
        <v>0.99352677808782597</v>
      </c>
      <c r="C1162">
        <v>0.99129419755325399</v>
      </c>
      <c r="D1162">
        <v>0.844559950456928</v>
      </c>
      <c r="E1162">
        <v>0.806034650531957</v>
      </c>
      <c r="F1162">
        <v>0.66067973981186701</v>
      </c>
      <c r="G1162">
        <v>0.39050071029087802</v>
      </c>
      <c r="H1162">
        <v>0.37852079125418497</v>
      </c>
      <c r="I1162">
        <v>0.43440302150572702</v>
      </c>
      <c r="J1162">
        <v>0.43967674285273001</v>
      </c>
      <c r="K1162">
        <v>0.36593825422670301</v>
      </c>
      <c r="L1162">
        <v>896.98863477491102</v>
      </c>
      <c r="M1162">
        <v>17.409216320787898</v>
      </c>
      <c r="N1162">
        <v>56.014438363532904</v>
      </c>
      <c r="O1162">
        <v>50.85836807479</v>
      </c>
      <c r="P1162">
        <v>-5.3388550134542301E-2</v>
      </c>
      <c r="Q1162">
        <v>0.376169106425642</v>
      </c>
      <c r="R1162">
        <v>0.96015748641297105</v>
      </c>
      <c r="S1162" t="s">
        <v>7447</v>
      </c>
      <c r="T1162" t="s">
        <v>12568</v>
      </c>
      <c r="U1162" t="s">
        <v>12568</v>
      </c>
      <c r="V1162" t="s">
        <v>12568</v>
      </c>
      <c r="W1162" t="s">
        <v>13707</v>
      </c>
      <c r="X1162">
        <v>4</v>
      </c>
      <c r="Y1162" t="s">
        <v>19922</v>
      </c>
      <c r="Z1162" t="s">
        <v>26032</v>
      </c>
      <c r="AA1162">
        <v>0.62686866510054151</v>
      </c>
      <c r="AB1162" t="str">
        <f>HYPERLINK("Melting_Curves/meltCurve_O60613_SEP15.pdf", "Melting_Curves/meltCurve_O60613_SEP15.pdf")</f>
        <v>Melting_Curves/meltCurve_O60613_SEP15.pdf</v>
      </c>
    </row>
    <row r="1163" spans="1:28" x14ac:dyDescent="0.25">
      <c r="A1163" t="s">
        <v>1167</v>
      </c>
      <c r="B1163">
        <v>0.99352677808782597</v>
      </c>
      <c r="C1163">
        <v>0.90139772785189498</v>
      </c>
      <c r="D1163">
        <v>0.78618412836038598</v>
      </c>
      <c r="E1163">
        <v>0.361555828366946</v>
      </c>
      <c r="F1163">
        <v>0.31199301297029203</v>
      </c>
      <c r="G1163">
        <v>0.16972484820053499</v>
      </c>
      <c r="H1163">
        <v>0.120732353663353</v>
      </c>
      <c r="I1163">
        <v>0.106351540756776</v>
      </c>
      <c r="J1163">
        <v>8.4993095441729394E-2</v>
      </c>
      <c r="K1163">
        <v>7.1697645376247301E-2</v>
      </c>
      <c r="L1163">
        <v>846.12254585751202</v>
      </c>
      <c r="M1163">
        <v>17.438535711640299</v>
      </c>
      <c r="N1163">
        <v>49.077411124792</v>
      </c>
      <c r="O1163">
        <v>47.895712618288599</v>
      </c>
      <c r="P1163">
        <v>-8.2854105864345801E-2</v>
      </c>
      <c r="Q1163">
        <v>8.9800963547823701E-2</v>
      </c>
      <c r="R1163">
        <v>0.99123707634379199</v>
      </c>
      <c r="S1163" t="s">
        <v>7448</v>
      </c>
      <c r="T1163" t="s">
        <v>12568</v>
      </c>
      <c r="U1163" t="s">
        <v>12568</v>
      </c>
      <c r="V1163" t="s">
        <v>12568</v>
      </c>
      <c r="W1163" t="s">
        <v>13708</v>
      </c>
      <c r="X1163">
        <v>9</v>
      </c>
      <c r="Y1163" t="s">
        <v>19923</v>
      </c>
      <c r="Z1163" t="s">
        <v>26033</v>
      </c>
      <c r="AA1163">
        <v>0.36529099059811643</v>
      </c>
      <c r="AB1163" t="str">
        <f>HYPERLINK("Melting_Curves/meltCurve_O60645_3_EXOC3.pdf", "Melting_Curves/meltCurve_O60645_3_EXOC3.pdf")</f>
        <v>Melting_Curves/meltCurve_O60645_3_EXOC3.pdf</v>
      </c>
    </row>
    <row r="1164" spans="1:28" x14ac:dyDescent="0.25">
      <c r="A1164" t="s">
        <v>1168</v>
      </c>
      <c r="B1164">
        <v>0.99352677808782597</v>
      </c>
      <c r="C1164">
        <v>0.97801823753088302</v>
      </c>
      <c r="D1164">
        <v>1.0184067607912599</v>
      </c>
      <c r="E1164">
        <v>0.99282126003028504</v>
      </c>
      <c r="F1164">
        <v>0.88458322989591398</v>
      </c>
      <c r="G1164">
        <v>0.80567923833717003</v>
      </c>
      <c r="H1164">
        <v>0.67557303381992695</v>
      </c>
      <c r="I1164">
        <v>0.61018909731156001</v>
      </c>
      <c r="J1164">
        <v>0.61925009415588494</v>
      </c>
      <c r="K1164">
        <v>0.46939818869275002</v>
      </c>
      <c r="L1164">
        <v>723.65100613288598</v>
      </c>
      <c r="M1164">
        <v>11.9821702375218</v>
      </c>
      <c r="O1164">
        <v>58.785554588943697</v>
      </c>
      <c r="P1164">
        <v>-2.9639609567774099E-2</v>
      </c>
      <c r="Q1164">
        <v>0.41848313352785799</v>
      </c>
      <c r="R1164">
        <v>0.97297695981914001</v>
      </c>
      <c r="S1164" t="s">
        <v>7449</v>
      </c>
      <c r="T1164" t="s">
        <v>12568</v>
      </c>
      <c r="U1164" t="s">
        <v>12568</v>
      </c>
      <c r="V1164" t="s">
        <v>12568</v>
      </c>
      <c r="W1164" t="s">
        <v>13709</v>
      </c>
      <c r="X1164">
        <v>20</v>
      </c>
      <c r="Y1164" t="s">
        <v>19924</v>
      </c>
      <c r="Z1164" t="s">
        <v>26034</v>
      </c>
      <c r="AA1164">
        <v>0.81374707662127721</v>
      </c>
      <c r="AB1164" t="str">
        <f>HYPERLINK("Melting_Curves/meltCurve_O60664_PLIN3.pdf", "Melting_Curves/meltCurve_O60664_PLIN3.pdf")</f>
        <v>Melting_Curves/meltCurve_O60664_PLIN3.pdf</v>
      </c>
    </row>
    <row r="1165" spans="1:28" x14ac:dyDescent="0.25">
      <c r="A1165" t="s">
        <v>1169</v>
      </c>
      <c r="B1165">
        <v>0.99352677808782597</v>
      </c>
      <c r="C1165">
        <v>0.99177126707283603</v>
      </c>
      <c r="D1165">
        <v>0.97978970299777202</v>
      </c>
      <c r="E1165">
        <v>0.87953192191107499</v>
      </c>
      <c r="F1165">
        <v>0.80244406576334204</v>
      </c>
      <c r="G1165">
        <v>0.55100241505667003</v>
      </c>
      <c r="H1165">
        <v>0.32003677816472798</v>
      </c>
      <c r="I1165">
        <v>0.19551659614712699</v>
      </c>
      <c r="J1165">
        <v>0.109758842084709</v>
      </c>
      <c r="K1165">
        <v>7.77772519787953E-2</v>
      </c>
      <c r="L1165">
        <v>837.50999163114795</v>
      </c>
      <c r="M1165">
        <v>14.4923496093325</v>
      </c>
      <c r="N1165">
        <v>57.7898005252178</v>
      </c>
      <c r="O1165">
        <v>56.722895941137402</v>
      </c>
      <c r="P1165">
        <v>-6.3880840264004604E-2</v>
      </c>
      <c r="Q1165">
        <v>0</v>
      </c>
      <c r="R1165">
        <v>0.99920485350119603</v>
      </c>
      <c r="S1165" t="s">
        <v>7450</v>
      </c>
      <c r="T1165" t="s">
        <v>12568</v>
      </c>
      <c r="U1165" t="s">
        <v>12568</v>
      </c>
      <c r="V1165" t="s">
        <v>12568</v>
      </c>
      <c r="W1165" t="s">
        <v>13710</v>
      </c>
      <c r="X1165">
        <v>5</v>
      </c>
      <c r="Y1165" t="s">
        <v>19925</v>
      </c>
      <c r="Z1165" t="s">
        <v>26035</v>
      </c>
      <c r="AA1165">
        <v>0.6070759097259173</v>
      </c>
      <c r="AB1165" t="str">
        <f>HYPERLINK("Melting_Curves/meltCurve_O60671_RAD1.pdf", "Melting_Curves/meltCurve_O60671_RAD1.pdf")</f>
        <v>Melting_Curves/meltCurve_O60671_RAD1.pdf</v>
      </c>
    </row>
    <row r="1166" spans="1:28" x14ac:dyDescent="0.25">
      <c r="A1166" t="s">
        <v>1170</v>
      </c>
      <c r="B1166">
        <v>0.99352677808782597</v>
      </c>
      <c r="C1166">
        <v>1.0554909133583099</v>
      </c>
      <c r="D1166">
        <v>0.91758505734101203</v>
      </c>
      <c r="E1166">
        <v>0.51226188157154795</v>
      </c>
      <c r="F1166">
        <v>0.433192536942273</v>
      </c>
      <c r="G1166">
        <v>0.189410048839252</v>
      </c>
      <c r="H1166">
        <v>0.10939275349655</v>
      </c>
      <c r="I1166">
        <v>9.7788917994547794E-2</v>
      </c>
      <c r="J1166">
        <v>8.6222991857489703E-2</v>
      </c>
      <c r="K1166">
        <v>6.2535003395760805E-2</v>
      </c>
      <c r="L1166">
        <v>933.74225968266705</v>
      </c>
      <c r="M1166">
        <v>18.396999863927199</v>
      </c>
      <c r="N1166">
        <v>51.207465537283603</v>
      </c>
      <c r="O1166">
        <v>50.166836968188903</v>
      </c>
      <c r="P1166">
        <v>-8.4807536858200402E-2</v>
      </c>
      <c r="Q1166">
        <v>7.4994118924087694E-2</v>
      </c>
      <c r="R1166">
        <v>0.98525962868894201</v>
      </c>
      <c r="S1166" t="s">
        <v>7451</v>
      </c>
      <c r="T1166" t="s">
        <v>12568</v>
      </c>
      <c r="U1166" t="s">
        <v>12568</v>
      </c>
      <c r="V1166" t="s">
        <v>12568</v>
      </c>
      <c r="W1166" t="s">
        <v>13711</v>
      </c>
      <c r="X1166">
        <v>12</v>
      </c>
      <c r="Y1166" t="s">
        <v>19926</v>
      </c>
      <c r="Z1166" t="s">
        <v>26036</v>
      </c>
      <c r="AA1166">
        <v>0.42163009030682003</v>
      </c>
      <c r="AB1166" t="str">
        <f>HYPERLINK("Melting_Curves/meltCurve_O60678_PRMT3.pdf", "Melting_Curves/meltCurve_O60678_PRMT3.pdf")</f>
        <v>Melting_Curves/meltCurve_O60678_PRMT3.pdf</v>
      </c>
    </row>
    <row r="1167" spans="1:28" x14ac:dyDescent="0.25">
      <c r="A1167" t="s">
        <v>1171</v>
      </c>
      <c r="B1167">
        <v>0.99352677808782597</v>
      </c>
      <c r="C1167">
        <v>1.0560833960920699</v>
      </c>
      <c r="D1167">
        <v>0.73915805143850399</v>
      </c>
      <c r="E1167">
        <v>0.30997087875823598</v>
      </c>
      <c r="F1167">
        <v>0.23290383726452701</v>
      </c>
      <c r="G1167">
        <v>0.143079409904493</v>
      </c>
      <c r="H1167">
        <v>9.4585796577279405E-2</v>
      </c>
      <c r="I1167">
        <v>9.2164166480866005E-2</v>
      </c>
      <c r="J1167">
        <v>7.6372151578595698E-2</v>
      </c>
      <c r="K1167">
        <v>5.7913032057397201E-2</v>
      </c>
      <c r="L1167">
        <v>1200.8186186380001</v>
      </c>
      <c r="M1167">
        <v>25.043455924738701</v>
      </c>
      <c r="N1167">
        <v>48.357654228652002</v>
      </c>
      <c r="O1167">
        <v>47.646795177006403</v>
      </c>
      <c r="P1167">
        <v>-0.118882513133294</v>
      </c>
      <c r="Q1167">
        <v>9.5285362628133002E-2</v>
      </c>
      <c r="R1167">
        <v>0.98704636769302001</v>
      </c>
      <c r="S1167" t="s">
        <v>7452</v>
      </c>
      <c r="T1167" t="s">
        <v>12568</v>
      </c>
      <c r="U1167" t="s">
        <v>12568</v>
      </c>
      <c r="V1167" t="s">
        <v>12568</v>
      </c>
      <c r="W1167" t="s">
        <v>13712</v>
      </c>
      <c r="X1167">
        <v>33</v>
      </c>
      <c r="Y1167" t="s">
        <v>19927</v>
      </c>
      <c r="Z1167" t="s">
        <v>26037</v>
      </c>
      <c r="AA1167">
        <v>0.34298455732386468</v>
      </c>
      <c r="AB1167" t="str">
        <f>HYPERLINK("Melting_Curves/meltCurve_O60701_UGDH.pdf", "Melting_Curves/meltCurve_O60701_UGDH.pdf")</f>
        <v>Melting_Curves/meltCurve_O60701_UGDH.pdf</v>
      </c>
    </row>
    <row r="1168" spans="1:28" x14ac:dyDescent="0.25">
      <c r="A1168" t="s">
        <v>1172</v>
      </c>
      <c r="B1168">
        <v>0.99352677808782597</v>
      </c>
      <c r="C1168">
        <v>0.857885001559062</v>
      </c>
      <c r="D1168">
        <v>0.65859368842266197</v>
      </c>
      <c r="E1168">
        <v>0.50847744116600602</v>
      </c>
      <c r="F1168">
        <v>0.450764569120573</v>
      </c>
      <c r="G1168">
        <v>0.37612331809420102</v>
      </c>
      <c r="H1168">
        <v>0.31089942880980698</v>
      </c>
      <c r="I1168">
        <v>0.31563952346632501</v>
      </c>
      <c r="J1168">
        <v>0.31773003573929298</v>
      </c>
      <c r="K1168">
        <v>0.26756541798212102</v>
      </c>
      <c r="L1168">
        <v>639.75296983855799</v>
      </c>
      <c r="M1168">
        <v>13.601206383182101</v>
      </c>
      <c r="N1168">
        <v>50.314901295060899</v>
      </c>
      <c r="O1168">
        <v>46.054638911698902</v>
      </c>
      <c r="P1168">
        <v>-5.21407409859539E-2</v>
      </c>
      <c r="Q1168">
        <v>0.293895797634947</v>
      </c>
      <c r="R1168">
        <v>0.98672731291418903</v>
      </c>
      <c r="S1168" t="s">
        <v>7453</v>
      </c>
      <c r="T1168" t="s">
        <v>12568</v>
      </c>
      <c r="U1168" t="s">
        <v>12568</v>
      </c>
      <c r="V1168" t="s">
        <v>12568</v>
      </c>
      <c r="W1168" t="s">
        <v>13713</v>
      </c>
      <c r="X1168">
        <v>28</v>
      </c>
      <c r="Y1168" t="s">
        <v>19928</v>
      </c>
      <c r="Z1168" t="s">
        <v>26038</v>
      </c>
      <c r="AA1168">
        <v>0.48281908333291862</v>
      </c>
      <c r="AB1168" t="str">
        <f>HYPERLINK("Melting_Curves/meltCurve_O60716_5_CTNND1.pdf", "Melting_Curves/meltCurve_O60716_5_CTNND1.pdf")</f>
        <v>Melting_Curves/meltCurve_O60716_5_CTNND1.pdf</v>
      </c>
    </row>
    <row r="1169" spans="1:28" x14ac:dyDescent="0.25">
      <c r="A1169" t="s">
        <v>1173</v>
      </c>
      <c r="B1169">
        <v>0.99352677808782597</v>
      </c>
      <c r="C1169">
        <v>1.01309207095331</v>
      </c>
      <c r="D1169">
        <v>0.99125965508449299</v>
      </c>
      <c r="E1169">
        <v>0.46200518923664002</v>
      </c>
      <c r="F1169">
        <v>0.38552852921508801</v>
      </c>
      <c r="G1169">
        <v>0.15800266663148199</v>
      </c>
      <c r="H1169">
        <v>7.1840264417431202E-2</v>
      </c>
      <c r="I1169">
        <v>6.6578766471397405E-2</v>
      </c>
      <c r="J1169">
        <v>5.2256680772943799E-2</v>
      </c>
      <c r="K1169">
        <v>4.2664086001482401E-2</v>
      </c>
      <c r="L1169">
        <v>1070.1126908368601</v>
      </c>
      <c r="M1169">
        <v>21.216768755737998</v>
      </c>
      <c r="N1169">
        <v>50.735264316824399</v>
      </c>
      <c r="O1169">
        <v>49.995466173108298</v>
      </c>
      <c r="P1169">
        <v>-9.9877859188633095E-2</v>
      </c>
      <c r="Q1169">
        <v>5.8610386251600699E-2</v>
      </c>
      <c r="R1169">
        <v>0.98087450362019302</v>
      </c>
      <c r="S1169" t="s">
        <v>7454</v>
      </c>
      <c r="T1169" t="s">
        <v>12568</v>
      </c>
      <c r="U1169" t="s">
        <v>12568</v>
      </c>
      <c r="V1169" t="s">
        <v>12568</v>
      </c>
      <c r="W1169" t="s">
        <v>12669</v>
      </c>
      <c r="X1169">
        <v>22</v>
      </c>
      <c r="Y1169" t="s">
        <v>18897</v>
      </c>
      <c r="Z1169" t="s">
        <v>26039</v>
      </c>
      <c r="AA1169">
        <v>0.39780078497292343</v>
      </c>
      <c r="AB1169" t="str">
        <f>HYPERLINK("Melting_Curves/meltCurve_O60749_SNX2.pdf", "Melting_Curves/meltCurve_O60749_SNX2.pdf")</f>
        <v>Melting_Curves/meltCurve_O60749_SNX2.pdf</v>
      </c>
    </row>
    <row r="1170" spans="1:28" x14ac:dyDescent="0.25">
      <c r="A1170" t="s">
        <v>1174</v>
      </c>
      <c r="B1170">
        <v>0.99352677808782597</v>
      </c>
      <c r="C1170">
        <v>0.99655985881239295</v>
      </c>
      <c r="D1170">
        <v>0.93719315096981604</v>
      </c>
      <c r="E1170">
        <v>0.65518898484814703</v>
      </c>
      <c r="F1170">
        <v>0.55889418770263999</v>
      </c>
      <c r="G1170">
        <v>0.23593419023132001</v>
      </c>
      <c r="H1170">
        <v>0.13448285119175099</v>
      </c>
      <c r="I1170">
        <v>0.10960117779310399</v>
      </c>
      <c r="J1170">
        <v>0.10074081388387</v>
      </c>
      <c r="K1170">
        <v>7.1873935951600604E-2</v>
      </c>
      <c r="L1170">
        <v>857.63797935474395</v>
      </c>
      <c r="M1170">
        <v>16.322280155465702</v>
      </c>
      <c r="N1170">
        <v>52.947249527315698</v>
      </c>
      <c r="O1170">
        <v>51.774295629759997</v>
      </c>
      <c r="P1170">
        <v>-7.4213508642166706E-2</v>
      </c>
      <c r="Q1170">
        <v>5.8446874437851702E-2</v>
      </c>
      <c r="R1170">
        <v>0.99326042081493904</v>
      </c>
      <c r="S1170" t="s">
        <v>7455</v>
      </c>
      <c r="T1170" t="s">
        <v>12568</v>
      </c>
      <c r="U1170" t="s">
        <v>12568</v>
      </c>
      <c r="V1170" t="s">
        <v>12568</v>
      </c>
      <c r="W1170" t="s">
        <v>13714</v>
      </c>
      <c r="X1170">
        <v>27</v>
      </c>
      <c r="Y1170" t="s">
        <v>19929</v>
      </c>
      <c r="Z1170" t="s">
        <v>26040</v>
      </c>
      <c r="AA1170">
        <v>0.4703173013524557</v>
      </c>
      <c r="AB1170" t="str">
        <f>HYPERLINK("Melting_Curves/meltCurve_O60763_USO1.pdf", "Melting_Curves/meltCurve_O60763_USO1.pdf")</f>
        <v>Melting_Curves/meltCurve_O60763_USO1.pdf</v>
      </c>
    </row>
    <row r="1171" spans="1:28" x14ac:dyDescent="0.25">
      <c r="A1171" t="s">
        <v>1175</v>
      </c>
      <c r="B1171">
        <v>0.99352677808782597</v>
      </c>
      <c r="C1171">
        <v>0.88870471627829095</v>
      </c>
      <c r="D1171">
        <v>0.76829382531372103</v>
      </c>
      <c r="E1171">
        <v>0.394739663883801</v>
      </c>
      <c r="F1171">
        <v>0.30400978211030699</v>
      </c>
      <c r="G1171">
        <v>0.142472484593648</v>
      </c>
      <c r="H1171">
        <v>8.6729692588564999E-2</v>
      </c>
      <c r="I1171">
        <v>7.8965343931076001E-2</v>
      </c>
      <c r="J1171">
        <v>5.9783521068987301E-2</v>
      </c>
      <c r="K1171">
        <v>5.6928077019968902E-2</v>
      </c>
      <c r="L1171">
        <v>776.07081968136902</v>
      </c>
      <c r="M1171">
        <v>15.8901463330998</v>
      </c>
      <c r="N1171">
        <v>49.188771174433498</v>
      </c>
      <c r="O1171">
        <v>48.085883124588598</v>
      </c>
      <c r="P1171">
        <v>-7.8215382344809403E-2</v>
      </c>
      <c r="Q1171">
        <v>5.3312261831578202E-2</v>
      </c>
      <c r="R1171">
        <v>0.99581445177860906</v>
      </c>
      <c r="S1171" t="s">
        <v>7456</v>
      </c>
      <c r="T1171" t="s">
        <v>12568</v>
      </c>
      <c r="U1171" t="s">
        <v>12568</v>
      </c>
      <c r="V1171" t="s">
        <v>12568</v>
      </c>
      <c r="W1171" t="s">
        <v>13715</v>
      </c>
      <c r="X1171">
        <v>9</v>
      </c>
      <c r="Y1171" t="s">
        <v>19930</v>
      </c>
      <c r="Z1171" t="s">
        <v>26041</v>
      </c>
      <c r="AA1171">
        <v>0.35330705147127922</v>
      </c>
      <c r="AB1171" t="str">
        <f>HYPERLINK("Melting_Curves/meltCurve_O60826_CCDC22.pdf", "Melting_Curves/meltCurve_O60826_CCDC22.pdf")</f>
        <v>Melting_Curves/meltCurve_O60826_CCDC22.pdf</v>
      </c>
    </row>
    <row r="1172" spans="1:28" x14ac:dyDescent="0.25">
      <c r="A1172" t="s">
        <v>1176</v>
      </c>
      <c r="B1172">
        <v>0.99352677808782597</v>
      </c>
      <c r="C1172">
        <v>0.99493274030192103</v>
      </c>
      <c r="D1172">
        <v>0.98914510027705005</v>
      </c>
      <c r="E1172">
        <v>0.98739891410489</v>
      </c>
      <c r="F1172">
        <v>0.926772318419119</v>
      </c>
      <c r="G1172">
        <v>0.77066580943659302</v>
      </c>
      <c r="H1172">
        <v>0.79093100700553398</v>
      </c>
      <c r="I1172">
        <v>0.79327167495828099</v>
      </c>
      <c r="J1172">
        <v>0.700414229245514</v>
      </c>
      <c r="K1172">
        <v>0.60063970717574799</v>
      </c>
      <c r="L1172">
        <v>427.90102376060997</v>
      </c>
      <c r="M1172">
        <v>5.88643946239279</v>
      </c>
      <c r="O1172">
        <v>65.625858549448097</v>
      </c>
      <c r="P1172">
        <v>-1.8898104908680501E-2</v>
      </c>
      <c r="Q1172">
        <v>0.160157705515628</v>
      </c>
      <c r="R1172">
        <v>0.92165098071182805</v>
      </c>
      <c r="S1172" t="s">
        <v>7457</v>
      </c>
      <c r="T1172" t="s">
        <v>12568</v>
      </c>
      <c r="U1172" t="s">
        <v>12568</v>
      </c>
      <c r="V1172" t="s">
        <v>12568</v>
      </c>
      <c r="W1172" t="s">
        <v>13716</v>
      </c>
      <c r="X1172">
        <v>7</v>
      </c>
      <c r="Y1172" t="s">
        <v>19931</v>
      </c>
      <c r="Z1172" t="s">
        <v>26042</v>
      </c>
      <c r="AA1172">
        <v>0.8606773568895153</v>
      </c>
      <c r="AB1172" t="str">
        <f>HYPERLINK("Melting_Curves/meltCurve_O60828_2_PQBP1.pdf", "Melting_Curves/meltCurve_O60828_2_PQBP1.pdf")</f>
        <v>Melting_Curves/meltCurve_O60828_2_PQBP1.pdf</v>
      </c>
    </row>
    <row r="1173" spans="1:28" x14ac:dyDescent="0.25">
      <c r="A1173" t="s">
        <v>1177</v>
      </c>
      <c r="B1173">
        <v>0.99352677808782597</v>
      </c>
      <c r="C1173">
        <v>1.0458729185909299</v>
      </c>
      <c r="D1173">
        <v>0.79775052248981404</v>
      </c>
      <c r="E1173">
        <v>1.10767090190521</v>
      </c>
      <c r="F1173">
        <v>0.90996773790737795</v>
      </c>
      <c r="G1173">
        <v>0.79784718495339901</v>
      </c>
      <c r="H1173">
        <v>0.71477277110114101</v>
      </c>
      <c r="I1173">
        <v>0.59798166897290905</v>
      </c>
      <c r="J1173">
        <v>0.50276801000666405</v>
      </c>
      <c r="K1173">
        <v>0.31813242399949399</v>
      </c>
      <c r="L1173">
        <v>695.647467175614</v>
      </c>
      <c r="M1173">
        <v>10.5221138292505</v>
      </c>
      <c r="N1173">
        <v>66.112895440593505</v>
      </c>
      <c r="O1173">
        <v>63.858879063457898</v>
      </c>
      <c r="P1173">
        <v>-4.1209338885080098E-2</v>
      </c>
      <c r="Q1173">
        <v>0</v>
      </c>
      <c r="R1173">
        <v>0.88605521333742299</v>
      </c>
      <c r="S1173" t="s">
        <v>7458</v>
      </c>
      <c r="T1173" t="s">
        <v>12568</v>
      </c>
      <c r="U1173" t="s">
        <v>12568</v>
      </c>
      <c r="V1173" t="s">
        <v>12568</v>
      </c>
      <c r="W1173" t="s">
        <v>13717</v>
      </c>
      <c r="X1173">
        <v>13</v>
      </c>
      <c r="Y1173" t="s">
        <v>19932</v>
      </c>
      <c r="Z1173" t="s">
        <v>26043</v>
      </c>
      <c r="AA1173">
        <v>0.80591305855266548</v>
      </c>
      <c r="AB1173" t="str">
        <f>HYPERLINK("Melting_Curves/meltCurve_O60832_DKC1.pdf", "Melting_Curves/meltCurve_O60832_DKC1.pdf")</f>
        <v>Melting_Curves/meltCurve_O60832_DKC1.pdf</v>
      </c>
    </row>
    <row r="1174" spans="1:28" x14ac:dyDescent="0.25">
      <c r="A1174" t="s">
        <v>1178</v>
      </c>
      <c r="B1174">
        <v>0.99352677808782597</v>
      </c>
      <c r="C1174">
        <v>0.96023453280219795</v>
      </c>
      <c r="D1174">
        <v>0.94373178597034102</v>
      </c>
      <c r="E1174">
        <v>0.63330548836763001</v>
      </c>
      <c r="F1174">
        <v>0.54818578693418596</v>
      </c>
      <c r="G1174">
        <v>0.34404154506503798</v>
      </c>
      <c r="H1174">
        <v>0.27976873076917003</v>
      </c>
      <c r="I1174">
        <v>0.27939474552945298</v>
      </c>
      <c r="J1174">
        <v>0.25932979926257599</v>
      </c>
      <c r="K1174">
        <v>0.21650566601228599</v>
      </c>
      <c r="L1174">
        <v>845.774146128957</v>
      </c>
      <c r="M1174">
        <v>16.5356360431031</v>
      </c>
      <c r="N1174">
        <v>53.177645167559099</v>
      </c>
      <c r="O1174">
        <v>50.418059659786799</v>
      </c>
      <c r="P1174">
        <v>-6.2814372335178101E-2</v>
      </c>
      <c r="Q1174">
        <v>0.23395496740868299</v>
      </c>
      <c r="R1174">
        <v>0.99100608345420604</v>
      </c>
      <c r="S1174" t="s">
        <v>7459</v>
      </c>
      <c r="T1174" t="s">
        <v>12568</v>
      </c>
      <c r="U1174" t="s">
        <v>12568</v>
      </c>
      <c r="V1174" t="s">
        <v>12568</v>
      </c>
      <c r="W1174" t="s">
        <v>13718</v>
      </c>
      <c r="X1174">
        <v>39</v>
      </c>
      <c r="Y1174" t="s">
        <v>19933</v>
      </c>
      <c r="Z1174" t="s">
        <v>26044</v>
      </c>
      <c r="AA1174">
        <v>0.53358773962519956</v>
      </c>
      <c r="AB1174" t="str">
        <f>HYPERLINK("Melting_Curves/meltCurve_O60841_EIF5B.pdf", "Melting_Curves/meltCurve_O60841_EIF5B.pdf")</f>
        <v>Melting_Curves/meltCurve_O60841_EIF5B.pdf</v>
      </c>
    </row>
    <row r="1175" spans="1:28" x14ac:dyDescent="0.25">
      <c r="A1175" t="s">
        <v>1179</v>
      </c>
      <c r="B1175">
        <v>0.99352677808782597</v>
      </c>
      <c r="C1175">
        <v>0.974825076754533</v>
      </c>
      <c r="D1175">
        <v>1.0088793469891399</v>
      </c>
      <c r="E1175">
        <v>0.96267428783155495</v>
      </c>
      <c r="F1175">
        <v>0.91239382435382099</v>
      </c>
      <c r="G1175">
        <v>0.87415583223943105</v>
      </c>
      <c r="H1175">
        <v>0.76238588976861899</v>
      </c>
      <c r="I1175">
        <v>0.80135755221206595</v>
      </c>
      <c r="J1175">
        <v>0.78920402984248295</v>
      </c>
      <c r="K1175">
        <v>0.61144491943373003</v>
      </c>
      <c r="L1175">
        <v>404.25358845218102</v>
      </c>
      <c r="M1175">
        <v>5.1049366015919899</v>
      </c>
      <c r="O1175">
        <v>69.444954865391793</v>
      </c>
      <c r="P1175">
        <v>-1.8482503232464802E-2</v>
      </c>
      <c r="Q1175">
        <v>0</v>
      </c>
      <c r="R1175">
        <v>0.90588669422346002</v>
      </c>
      <c r="S1175" t="s">
        <v>7460</v>
      </c>
      <c r="T1175" t="s">
        <v>12568</v>
      </c>
      <c r="U1175" t="s">
        <v>12568</v>
      </c>
      <c r="V1175" t="s">
        <v>12568</v>
      </c>
      <c r="W1175" t="s">
        <v>13719</v>
      </c>
      <c r="X1175">
        <v>15</v>
      </c>
      <c r="Y1175" t="s">
        <v>19934</v>
      </c>
      <c r="Z1175" t="s">
        <v>26045</v>
      </c>
      <c r="AA1175">
        <v>0.87659039499951663</v>
      </c>
      <c r="AB1175" t="str">
        <f>HYPERLINK("Melting_Curves/meltCurve_O60869_EDF1.pdf", "Melting_Curves/meltCurve_O60869_EDF1.pdf")</f>
        <v>Melting_Curves/meltCurve_O60869_EDF1.pdf</v>
      </c>
    </row>
    <row r="1176" spans="1:28" x14ac:dyDescent="0.25">
      <c r="A1176" t="s">
        <v>1180</v>
      </c>
      <c r="B1176">
        <v>0.99352677808782597</v>
      </c>
      <c r="C1176">
        <v>0.87338287376107704</v>
      </c>
      <c r="D1176">
        <v>0.87910196454929701</v>
      </c>
      <c r="E1176">
        <v>1.0789346215564599</v>
      </c>
      <c r="F1176">
        <v>0.84450693488453599</v>
      </c>
      <c r="G1176">
        <v>0.49336154441298902</v>
      </c>
      <c r="H1176">
        <v>0.24944718862054799</v>
      </c>
      <c r="I1176">
        <v>0.221458337287149</v>
      </c>
      <c r="J1176">
        <v>0.21347840043015301</v>
      </c>
      <c r="K1176">
        <v>0.19751433837908999</v>
      </c>
      <c r="L1176">
        <v>1744.44753157119</v>
      </c>
      <c r="M1176">
        <v>31.216833595330002</v>
      </c>
      <c r="N1176">
        <v>56.828890276556301</v>
      </c>
      <c r="O1176">
        <v>55.653798186942801</v>
      </c>
      <c r="P1176">
        <v>-0.111784332879724</v>
      </c>
      <c r="Q1176">
        <v>0.20284172765460701</v>
      </c>
      <c r="R1176">
        <v>0.96501547768326301</v>
      </c>
      <c r="S1176" t="s">
        <v>7461</v>
      </c>
      <c r="T1176" t="s">
        <v>12568</v>
      </c>
      <c r="U1176" t="s">
        <v>12568</v>
      </c>
      <c r="V1176" t="s">
        <v>12568</v>
      </c>
      <c r="W1176" t="s">
        <v>13720</v>
      </c>
      <c r="X1176">
        <v>12</v>
      </c>
      <c r="Y1176" t="s">
        <v>19935</v>
      </c>
      <c r="Z1176" t="s">
        <v>26046</v>
      </c>
      <c r="AA1176">
        <v>0.62978392476558553</v>
      </c>
      <c r="AB1176" t="str">
        <f>HYPERLINK("Melting_Curves/meltCurve_O60884_DNAJA2.pdf", "Melting_Curves/meltCurve_O60884_DNAJA2.pdf")</f>
        <v>Melting_Curves/meltCurve_O60884_DNAJA2.pdf</v>
      </c>
    </row>
    <row r="1177" spans="1:28" x14ac:dyDescent="0.25">
      <c r="A1177" t="s">
        <v>1181</v>
      </c>
      <c r="B1177">
        <v>0.99352677808782597</v>
      </c>
      <c r="C1177">
        <v>1.05961296155874</v>
      </c>
      <c r="D1177">
        <v>1.0454873127806199</v>
      </c>
      <c r="E1177">
        <v>0.54013325928909695</v>
      </c>
      <c r="F1177">
        <v>0.47730223513348802</v>
      </c>
      <c r="G1177">
        <v>0.35460311752431301</v>
      </c>
      <c r="H1177">
        <v>0.31192620618241201</v>
      </c>
      <c r="I1177">
        <v>0.35018391499106</v>
      </c>
      <c r="J1177">
        <v>0.27558798288130298</v>
      </c>
      <c r="K1177">
        <v>0.25588812282832502</v>
      </c>
      <c r="L1177">
        <v>1858.35164650042</v>
      </c>
      <c r="M1177">
        <v>37.592194400776897</v>
      </c>
      <c r="N1177">
        <v>50.837362468058998</v>
      </c>
      <c r="O1177">
        <v>49.295239247789098</v>
      </c>
      <c r="P1177">
        <v>-0.12910654698274901</v>
      </c>
      <c r="Q1177">
        <v>0.322803955723587</v>
      </c>
      <c r="R1177">
        <v>0.96733303959557804</v>
      </c>
      <c r="S1177" t="s">
        <v>7462</v>
      </c>
      <c r="T1177" t="s">
        <v>12568</v>
      </c>
      <c r="U1177" t="s">
        <v>12568</v>
      </c>
      <c r="V1177" t="s">
        <v>12568</v>
      </c>
      <c r="W1177" t="s">
        <v>13721</v>
      </c>
      <c r="X1177">
        <v>12</v>
      </c>
      <c r="Y1177" t="s">
        <v>19936</v>
      </c>
      <c r="Z1177" t="s">
        <v>26047</v>
      </c>
      <c r="AA1177">
        <v>0.5383964003034829</v>
      </c>
      <c r="AB1177" t="str">
        <f>HYPERLINK("Melting_Curves/meltCurve_O60885_BRD4.pdf", "Melting_Curves/meltCurve_O60885_BRD4.pdf")</f>
        <v>Melting_Curves/meltCurve_O60885_BRD4.pdf</v>
      </c>
    </row>
    <row r="1178" spans="1:28" x14ac:dyDescent="0.25">
      <c r="A1178" t="s">
        <v>1182</v>
      </c>
      <c r="B1178">
        <v>0.99352677808782597</v>
      </c>
      <c r="C1178">
        <v>1.06429061899733</v>
      </c>
      <c r="D1178">
        <v>1.0096710076412601</v>
      </c>
      <c r="E1178">
        <v>0.87490148885536601</v>
      </c>
      <c r="F1178">
        <v>0.746804047689546</v>
      </c>
      <c r="G1178">
        <v>0.57479242288607602</v>
      </c>
      <c r="H1178">
        <v>0.57064031123134096</v>
      </c>
      <c r="I1178">
        <v>0.50022575580453199</v>
      </c>
      <c r="J1178">
        <v>0.542726382969971</v>
      </c>
      <c r="K1178">
        <v>0.394537715728216</v>
      </c>
      <c r="L1178">
        <v>1014.17360439837</v>
      </c>
      <c r="M1178">
        <v>19.027940406541202</v>
      </c>
      <c r="N1178">
        <v>63.494166539639799</v>
      </c>
      <c r="O1178">
        <v>52.720957483756699</v>
      </c>
      <c r="P1178">
        <v>-4.7242043685232098E-2</v>
      </c>
      <c r="Q1178">
        <v>0.47644421900027001</v>
      </c>
      <c r="R1178">
        <v>0.96258760647017905</v>
      </c>
      <c r="S1178" t="s">
        <v>7463</v>
      </c>
      <c r="T1178" t="s">
        <v>12568</v>
      </c>
      <c r="U1178" t="s">
        <v>12568</v>
      </c>
      <c r="V1178" t="s">
        <v>12568</v>
      </c>
      <c r="W1178" t="s">
        <v>13722</v>
      </c>
      <c r="X1178">
        <v>3</v>
      </c>
      <c r="Y1178" t="s">
        <v>19937</v>
      </c>
      <c r="Z1178" t="s">
        <v>26048</v>
      </c>
      <c r="AA1178">
        <v>0.71633697366305271</v>
      </c>
      <c r="AB1178" t="str">
        <f>HYPERLINK("Melting_Curves/meltCurve_O60888_3_CUTA.pdf", "Melting_Curves/meltCurve_O60888_3_CUTA.pdf")</f>
        <v>Melting_Curves/meltCurve_O60888_3_CUTA.pdf</v>
      </c>
    </row>
    <row r="1179" spans="1:28" x14ac:dyDescent="0.25">
      <c r="A1179" t="s">
        <v>1183</v>
      </c>
      <c r="B1179">
        <v>0.99352677808782597</v>
      </c>
      <c r="C1179">
        <v>0.96047442813960304</v>
      </c>
      <c r="D1179">
        <v>0.918070530366355</v>
      </c>
      <c r="E1179">
        <v>0.87787561171780604</v>
      </c>
      <c r="F1179">
        <v>0.68879381721267396</v>
      </c>
      <c r="G1179">
        <v>0.42809959411491599</v>
      </c>
      <c r="H1179">
        <v>0.29057969615506302</v>
      </c>
      <c r="I1179">
        <v>0.13606637708293401</v>
      </c>
      <c r="J1179">
        <v>9.9852569108846795E-2</v>
      </c>
      <c r="K1179">
        <v>7.8792801353271005E-2</v>
      </c>
      <c r="L1179">
        <v>768.05281587772799</v>
      </c>
      <c r="M1179">
        <v>13.6928602901573</v>
      </c>
      <c r="N1179">
        <v>56.156319938048298</v>
      </c>
      <c r="O1179">
        <v>54.935704046182501</v>
      </c>
      <c r="P1179">
        <v>-6.1833328190561802E-2</v>
      </c>
      <c r="Q1179">
        <v>7.8428052954007798E-3</v>
      </c>
      <c r="R1179">
        <v>0.99568374662636505</v>
      </c>
      <c r="S1179" t="s">
        <v>7464</v>
      </c>
      <c r="T1179" t="s">
        <v>12568</v>
      </c>
      <c r="U1179" t="s">
        <v>12568</v>
      </c>
      <c r="V1179" t="s">
        <v>12568</v>
      </c>
      <c r="W1179" t="s">
        <v>13723</v>
      </c>
      <c r="X1179">
        <v>6</v>
      </c>
      <c r="Y1179" t="s">
        <v>19938</v>
      </c>
      <c r="Z1179" t="s">
        <v>26049</v>
      </c>
      <c r="AA1179">
        <v>0.55867094849453725</v>
      </c>
      <c r="AB1179" t="str">
        <f>HYPERLINK("Melting_Curves/meltCurve_O60907_2_TBL1X.pdf", "Melting_Curves/meltCurve_O60907_2_TBL1X.pdf")</f>
        <v>Melting_Curves/meltCurve_O60907_2_TBL1X.pdf</v>
      </c>
    </row>
    <row r="1180" spans="1:28" x14ac:dyDescent="0.25">
      <c r="A1180" t="s">
        <v>1184</v>
      </c>
      <c r="B1180">
        <v>0.99352677808782597</v>
      </c>
      <c r="C1180">
        <v>0.89930776639320298</v>
      </c>
      <c r="D1180">
        <v>0.89440775409315298</v>
      </c>
      <c r="E1180">
        <v>0.68149136052999304</v>
      </c>
      <c r="F1180">
        <v>0.57604008519861605</v>
      </c>
      <c r="G1180">
        <v>0.38395696059828199</v>
      </c>
      <c r="H1180">
        <v>0.21842896305732101</v>
      </c>
      <c r="I1180">
        <v>9.7539370812229298E-2</v>
      </c>
      <c r="J1180">
        <v>6.0636856904306501E-2</v>
      </c>
      <c r="K1180">
        <v>4.1062888741620798E-2</v>
      </c>
      <c r="L1180">
        <v>633.45500640706996</v>
      </c>
      <c r="M1180">
        <v>11.744348033363501</v>
      </c>
      <c r="N1180">
        <v>53.937008743321698</v>
      </c>
      <c r="O1180">
        <v>52.444450575655097</v>
      </c>
      <c r="P1180">
        <v>-5.5999373193086698E-2</v>
      </c>
      <c r="Q1180">
        <v>0</v>
      </c>
      <c r="R1180">
        <v>0.99244957631296404</v>
      </c>
      <c r="S1180" t="s">
        <v>7465</v>
      </c>
      <c r="T1180" t="s">
        <v>12568</v>
      </c>
      <c r="U1180" t="s">
        <v>12568</v>
      </c>
      <c r="V1180" t="s">
        <v>12568</v>
      </c>
      <c r="W1180" t="s">
        <v>13724</v>
      </c>
      <c r="X1180">
        <v>3</v>
      </c>
      <c r="Y1180" t="s">
        <v>19939</v>
      </c>
      <c r="Z1180" t="s">
        <v>26050</v>
      </c>
      <c r="AA1180">
        <v>0.49136772503434811</v>
      </c>
      <c r="AB1180" t="str">
        <f>HYPERLINK("Melting_Curves/meltCurve_O60921_HUS1.pdf", "Melting_Curves/meltCurve_O60921_HUS1.pdf")</f>
        <v>Melting_Curves/meltCurve_O60921_HUS1.pdf</v>
      </c>
    </row>
    <row r="1181" spans="1:28" x14ac:dyDescent="0.25">
      <c r="A1181" t="s">
        <v>1185</v>
      </c>
      <c r="B1181">
        <v>0.99352677808782597</v>
      </c>
      <c r="C1181">
        <v>1.0148828453943299</v>
      </c>
      <c r="D1181">
        <v>0.974661648218073</v>
      </c>
      <c r="E1181">
        <v>1.05717617725622</v>
      </c>
      <c r="F1181">
        <v>0.96474040402853101</v>
      </c>
      <c r="G1181">
        <v>0.94979671759039397</v>
      </c>
      <c r="H1181">
        <v>0.94736001803065495</v>
      </c>
      <c r="I1181">
        <v>1.0071652747962101</v>
      </c>
      <c r="J1181">
        <v>1.0770881630036699</v>
      </c>
      <c r="K1181">
        <v>1.0187203501431501</v>
      </c>
      <c r="L1181">
        <v>15000</v>
      </c>
      <c r="M1181">
        <v>232.64283093787901</v>
      </c>
      <c r="O1181">
        <v>64.471754779290606</v>
      </c>
      <c r="P1181">
        <v>4.3213881776149703E-2</v>
      </c>
      <c r="Q1181">
        <v>1.0479030412761501</v>
      </c>
      <c r="R1181">
        <v>0.27200405179497</v>
      </c>
      <c r="S1181" t="s">
        <v>7466</v>
      </c>
      <c r="T1181" t="s">
        <v>12568</v>
      </c>
      <c r="U1181" t="s">
        <v>12568</v>
      </c>
      <c r="V1181" t="s">
        <v>12568</v>
      </c>
      <c r="W1181" t="s">
        <v>13725</v>
      </c>
      <c r="X1181">
        <v>10</v>
      </c>
      <c r="Y1181" t="s">
        <v>19940</v>
      </c>
      <c r="Z1181" t="s">
        <v>26051</v>
      </c>
      <c r="AA1181">
        <v>1.008813457627135</v>
      </c>
      <c r="AB1181" t="str">
        <f>HYPERLINK("Melting_Curves/meltCurve_O60925_PFDN1.pdf", "Melting_Curves/meltCurve_O60925_PFDN1.pdf")</f>
        <v>Melting_Curves/meltCurve_O60925_PFDN1.pdf</v>
      </c>
    </row>
    <row r="1182" spans="1:28" x14ac:dyDescent="0.25">
      <c r="A1182" t="s">
        <v>1186</v>
      </c>
      <c r="B1182">
        <v>0.99352677808782597</v>
      </c>
      <c r="C1182">
        <v>0.98852120849898295</v>
      </c>
      <c r="D1182">
        <v>0.98598942024678804</v>
      </c>
      <c r="E1182">
        <v>1.0180381960432101</v>
      </c>
      <c r="F1182">
        <v>0.92133733031325604</v>
      </c>
      <c r="G1182">
        <v>0.910728978473061</v>
      </c>
      <c r="H1182">
        <v>0.84082468456456405</v>
      </c>
      <c r="I1182">
        <v>0.91261739192977398</v>
      </c>
      <c r="J1182">
        <v>0.92809772507637001</v>
      </c>
      <c r="K1182">
        <v>0.84508176241946298</v>
      </c>
      <c r="L1182">
        <v>13205.3359493154</v>
      </c>
      <c r="M1182">
        <v>250</v>
      </c>
      <c r="O1182">
        <v>52.817941693144903</v>
      </c>
      <c r="P1182">
        <v>-0.13315770212025399</v>
      </c>
      <c r="Q1182">
        <v>0.88747010125043002</v>
      </c>
      <c r="R1182">
        <v>0.78004592802886896</v>
      </c>
      <c r="S1182" t="s">
        <v>7467</v>
      </c>
      <c r="T1182" t="s">
        <v>12568</v>
      </c>
      <c r="U1182" t="s">
        <v>12568</v>
      </c>
      <c r="V1182" t="s">
        <v>12568</v>
      </c>
      <c r="W1182" t="s">
        <v>13726</v>
      </c>
      <c r="X1182">
        <v>5</v>
      </c>
      <c r="Y1182" t="s">
        <v>19941</v>
      </c>
      <c r="Z1182" t="s">
        <v>26052</v>
      </c>
      <c r="AA1182">
        <v>0.93557335015495335</v>
      </c>
      <c r="AB1182" t="str">
        <f>HYPERLINK("Melting_Curves/meltCurve_O60927_PPP1R11.pdf", "Melting_Curves/meltCurve_O60927_PPP1R11.pdf")</f>
        <v>Melting_Curves/meltCurve_O60927_PPP1R11.pdf</v>
      </c>
    </row>
    <row r="1183" spans="1:28" x14ac:dyDescent="0.25">
      <c r="A1183" t="s">
        <v>1187</v>
      </c>
      <c r="B1183">
        <v>0.99352677808782597</v>
      </c>
      <c r="C1183">
        <v>0.94206347968801096</v>
      </c>
      <c r="D1183">
        <v>0.77700575971604902</v>
      </c>
      <c r="E1183">
        <v>0.50545139573527798</v>
      </c>
      <c r="F1183">
        <v>0.43341010249003797</v>
      </c>
      <c r="G1183">
        <v>0.35866189621071398</v>
      </c>
      <c r="H1183">
        <v>0.29474376460646801</v>
      </c>
      <c r="I1183">
        <v>0.29768265950766198</v>
      </c>
      <c r="J1183">
        <v>0.28454522675202898</v>
      </c>
      <c r="K1183">
        <v>0.26117573188505699</v>
      </c>
      <c r="L1183">
        <v>820.51595079403899</v>
      </c>
      <c r="M1183">
        <v>17.018411339635499</v>
      </c>
      <c r="N1183">
        <v>50.683522432247202</v>
      </c>
      <c r="O1183">
        <v>47.562489164192598</v>
      </c>
      <c r="P1183">
        <v>-6.4244983787958801E-2</v>
      </c>
      <c r="Q1183">
        <v>0.281845229846937</v>
      </c>
      <c r="R1183">
        <v>0.99508316237888905</v>
      </c>
      <c r="S1183" t="s">
        <v>7468</v>
      </c>
      <c r="T1183" t="s">
        <v>12568</v>
      </c>
      <c r="U1183" t="s">
        <v>12568</v>
      </c>
      <c r="V1183" t="s">
        <v>12568</v>
      </c>
      <c r="W1183" t="s">
        <v>13727</v>
      </c>
      <c r="X1183">
        <v>19</v>
      </c>
      <c r="Y1183" t="s">
        <v>19942</v>
      </c>
      <c r="Z1183" t="s">
        <v>26053</v>
      </c>
      <c r="AA1183">
        <v>0.49267345929560191</v>
      </c>
      <c r="AB1183" t="str">
        <f>HYPERLINK("Melting_Curves/meltCurve_O60934_NBN.pdf", "Melting_Curves/meltCurve_O60934_NBN.pdf")</f>
        <v>Melting_Curves/meltCurve_O60934_NBN.pdf</v>
      </c>
    </row>
    <row r="1184" spans="1:28" x14ac:dyDescent="0.25">
      <c r="A1184" t="s">
        <v>1188</v>
      </c>
      <c r="B1184">
        <v>0.99352677808782597</v>
      </c>
      <c r="C1184">
        <v>0.91065945590518305</v>
      </c>
      <c r="D1184">
        <v>0.85084066362055699</v>
      </c>
      <c r="E1184">
        <v>0.26464282750345902</v>
      </c>
      <c r="F1184">
        <v>0.197902008558134</v>
      </c>
      <c r="G1184">
        <v>0.120580798735205</v>
      </c>
      <c r="H1184">
        <v>9.67835542069964E-2</v>
      </c>
      <c r="I1184">
        <v>9.3442831684716093E-2</v>
      </c>
      <c r="J1184">
        <v>8.6741141188760598E-2</v>
      </c>
      <c r="K1184">
        <v>6.8095016446316298E-2</v>
      </c>
      <c r="L1184">
        <v>1522.17374040041</v>
      </c>
      <c r="M1184">
        <v>31.693218719823498</v>
      </c>
      <c r="N1184">
        <v>48.3605905610425</v>
      </c>
      <c r="O1184">
        <v>47.838373977958803</v>
      </c>
      <c r="P1184">
        <v>-0.149425069452823</v>
      </c>
      <c r="Q1184">
        <v>9.7824075110415604E-2</v>
      </c>
      <c r="R1184">
        <v>0.991512292068368</v>
      </c>
      <c r="S1184" t="s">
        <v>7469</v>
      </c>
      <c r="T1184" t="s">
        <v>12568</v>
      </c>
      <c r="U1184" t="s">
        <v>12568</v>
      </c>
      <c r="V1184" t="s">
        <v>12568</v>
      </c>
      <c r="W1184" t="s">
        <v>13728</v>
      </c>
      <c r="X1184">
        <v>11</v>
      </c>
      <c r="Y1184" t="s">
        <v>19943</v>
      </c>
      <c r="Z1184" t="s">
        <v>26054</v>
      </c>
      <c r="AA1184">
        <v>0.34410213842926979</v>
      </c>
      <c r="AB1184" t="str">
        <f>HYPERLINK("Melting_Curves/meltCurve_O60942_RNGTT.pdf", "Melting_Curves/meltCurve_O60942_RNGTT.pdf")</f>
        <v>Melting_Curves/meltCurve_O60942_RNGTT.pdf</v>
      </c>
    </row>
    <row r="1185" spans="1:28" x14ac:dyDescent="0.25">
      <c r="A1185" t="s">
        <v>1189</v>
      </c>
      <c r="B1185">
        <v>0.99352677808782597</v>
      </c>
      <c r="C1185">
        <v>0.88920141217454596</v>
      </c>
      <c r="D1185">
        <v>0.85924408747442105</v>
      </c>
      <c r="E1185">
        <v>0.77880463263283894</v>
      </c>
      <c r="F1185">
        <v>0.69049950432795004</v>
      </c>
      <c r="G1185">
        <v>0.66209005973977597</v>
      </c>
      <c r="H1185">
        <v>0.35213743646312501</v>
      </c>
      <c r="I1185">
        <v>0.57796849270173201</v>
      </c>
      <c r="J1185">
        <v>0.56396595973489505</v>
      </c>
      <c r="K1185">
        <v>0.55269192193959105</v>
      </c>
      <c r="L1185">
        <v>568.25729819410196</v>
      </c>
      <c r="M1185">
        <v>11.3215394003018</v>
      </c>
      <c r="O1185">
        <v>48.7031140453023</v>
      </c>
      <c r="P1185">
        <v>-2.9328133976406202E-2</v>
      </c>
      <c r="Q1185">
        <v>0.495496059706236</v>
      </c>
      <c r="R1185">
        <v>0.83773416408038104</v>
      </c>
      <c r="S1185" t="s">
        <v>7470</v>
      </c>
      <c r="T1185" t="s">
        <v>12568</v>
      </c>
      <c r="U1185" t="s">
        <v>12568</v>
      </c>
      <c r="V1185" t="s">
        <v>12568</v>
      </c>
      <c r="W1185" t="s">
        <v>13729</v>
      </c>
      <c r="X1185">
        <v>3</v>
      </c>
      <c r="Y1185" t="s">
        <v>19944</v>
      </c>
      <c r="Z1185" t="s">
        <v>26055</v>
      </c>
      <c r="AA1185">
        <v>0.68575243433833744</v>
      </c>
      <c r="AB1185" t="str">
        <f>HYPERLINK("Melting_Curves/meltCurve_O75030_12_MITF.pdf", "Melting_Curves/meltCurve_O75030_12_MITF.pdf")</f>
        <v>Melting_Curves/meltCurve_O75030_12_MITF.pdf</v>
      </c>
    </row>
    <row r="1186" spans="1:28" x14ac:dyDescent="0.25">
      <c r="A1186" t="s">
        <v>1190</v>
      </c>
      <c r="B1186">
        <v>0.99352677808782597</v>
      </c>
      <c r="C1186">
        <v>0.97566465595917795</v>
      </c>
      <c r="D1186">
        <v>0.82582827488981203</v>
      </c>
      <c r="E1186">
        <v>0.65692559905801795</v>
      </c>
      <c r="F1186">
        <v>0.55935019036341305</v>
      </c>
      <c r="G1186">
        <v>0.36438098293621501</v>
      </c>
      <c r="H1186">
        <v>0.23802160338689099</v>
      </c>
      <c r="I1186">
        <v>0.24278416331955599</v>
      </c>
      <c r="J1186">
        <v>0.220103156645752</v>
      </c>
      <c r="K1186">
        <v>0.184861974166111</v>
      </c>
      <c r="L1186">
        <v>640.37247073791696</v>
      </c>
      <c r="M1186">
        <v>12.3405059492107</v>
      </c>
      <c r="N1186">
        <v>53.519004563769499</v>
      </c>
      <c r="O1186">
        <v>50.585732273899502</v>
      </c>
      <c r="P1186">
        <v>-5.1459716134877799E-2</v>
      </c>
      <c r="Q1186">
        <v>0.15641561486342501</v>
      </c>
      <c r="R1186">
        <v>0.99416952599323205</v>
      </c>
      <c r="S1186" t="s">
        <v>7471</v>
      </c>
      <c r="T1186" t="s">
        <v>12568</v>
      </c>
      <c r="U1186" t="s">
        <v>12568</v>
      </c>
      <c r="V1186" t="s">
        <v>12568</v>
      </c>
      <c r="W1186" t="s">
        <v>13730</v>
      </c>
      <c r="X1186">
        <v>16</v>
      </c>
      <c r="Y1186" t="s">
        <v>19945</v>
      </c>
      <c r="Z1186" t="s">
        <v>26056</v>
      </c>
      <c r="AA1186">
        <v>0.51587331876798681</v>
      </c>
      <c r="AB1186" t="str">
        <f>HYPERLINK("Melting_Curves/meltCurve_O75044_SRGAP2.pdf", "Melting_Curves/meltCurve_O75044_SRGAP2.pdf")</f>
        <v>Melting_Curves/meltCurve_O75044_SRGAP2.pdf</v>
      </c>
    </row>
    <row r="1187" spans="1:28" x14ac:dyDescent="0.25">
      <c r="A1187" t="s">
        <v>1191</v>
      </c>
      <c r="B1187">
        <v>0.99352677808782597</v>
      </c>
      <c r="C1187">
        <v>0.94591164279748197</v>
      </c>
      <c r="D1187">
        <v>0.89557431463189596</v>
      </c>
      <c r="E1187">
        <v>0.53733232360442895</v>
      </c>
      <c r="F1187">
        <v>0.51294817436658002</v>
      </c>
      <c r="G1187">
        <v>0.32494340112144099</v>
      </c>
      <c r="H1187">
        <v>0.20997179660239401</v>
      </c>
      <c r="I1187">
        <v>0.29842034368354098</v>
      </c>
      <c r="J1187">
        <v>0.24881572676344199</v>
      </c>
      <c r="K1187">
        <v>0.22538052656006299</v>
      </c>
      <c r="L1187">
        <v>828.99665199506705</v>
      </c>
      <c r="M1187">
        <v>16.599099051014001</v>
      </c>
      <c r="N1187">
        <v>51.908945895273298</v>
      </c>
      <c r="O1187">
        <v>49.234300454722799</v>
      </c>
      <c r="P1187">
        <v>-6.4617496894570595E-2</v>
      </c>
      <c r="Q1187">
        <v>0.23340868055019701</v>
      </c>
      <c r="R1187">
        <v>0.97964244955895197</v>
      </c>
      <c r="S1187" t="s">
        <v>7472</v>
      </c>
      <c r="T1187" t="s">
        <v>12568</v>
      </c>
      <c r="U1187" t="s">
        <v>12568</v>
      </c>
      <c r="V1187" t="s">
        <v>12568</v>
      </c>
      <c r="W1187" t="s">
        <v>13731</v>
      </c>
      <c r="X1187">
        <v>4</v>
      </c>
      <c r="Y1187" t="s">
        <v>19946</v>
      </c>
      <c r="Z1187" t="s">
        <v>26057</v>
      </c>
      <c r="AA1187">
        <v>0.50269947878687171</v>
      </c>
      <c r="AB1187" t="str">
        <f>HYPERLINK("Melting_Curves/meltCurve_O75064_DENND4B.pdf", "Melting_Curves/meltCurve_O75064_DENND4B.pdf")</f>
        <v>Melting_Curves/meltCurve_O75064_DENND4B.pdf</v>
      </c>
    </row>
    <row r="1188" spans="1:28" x14ac:dyDescent="0.25">
      <c r="A1188" t="s">
        <v>1192</v>
      </c>
      <c r="B1188">
        <v>0.99352677808782597</v>
      </c>
      <c r="C1188">
        <v>0.79636630505088202</v>
      </c>
      <c r="D1188">
        <v>0.89664376156977199</v>
      </c>
      <c r="E1188">
        <v>0.40629509643358402</v>
      </c>
      <c r="F1188">
        <v>0.32438142811189802</v>
      </c>
      <c r="G1188">
        <v>0.13202096105111399</v>
      </c>
      <c r="H1188">
        <v>8.5004516582970605E-2</v>
      </c>
      <c r="I1188">
        <v>7.3482325340408897E-2</v>
      </c>
      <c r="J1188">
        <v>5.7633384997526099E-2</v>
      </c>
      <c r="K1188">
        <v>4.2649933061428801E-2</v>
      </c>
      <c r="L1188">
        <v>796.76841523499604</v>
      </c>
      <c r="M1188">
        <v>16.108107576159298</v>
      </c>
      <c r="N1188">
        <v>49.729792669148502</v>
      </c>
      <c r="O1188">
        <v>48.720310221678602</v>
      </c>
      <c r="P1188">
        <v>-7.9250557136222102E-2</v>
      </c>
      <c r="Q1188">
        <v>4.1273654759157501E-2</v>
      </c>
      <c r="R1188">
        <v>0.97082459119179698</v>
      </c>
      <c r="S1188" t="s">
        <v>7473</v>
      </c>
      <c r="T1188" t="s">
        <v>12568</v>
      </c>
      <c r="U1188" t="s">
        <v>12568</v>
      </c>
      <c r="V1188" t="s">
        <v>12568</v>
      </c>
      <c r="W1188" t="s">
        <v>13732</v>
      </c>
      <c r="X1188">
        <v>31</v>
      </c>
      <c r="Y1188" t="s">
        <v>19947</v>
      </c>
      <c r="Z1188" t="s">
        <v>26058</v>
      </c>
      <c r="AA1188">
        <v>0.36410007632088143</v>
      </c>
      <c r="AB1188" t="str">
        <f>HYPERLINK("Melting_Curves/meltCurve_O75083_WDR1.pdf", "Melting_Curves/meltCurve_O75083_WDR1.pdf")</f>
        <v>Melting_Curves/meltCurve_O75083_WDR1.pdf</v>
      </c>
    </row>
    <row r="1189" spans="1:28" x14ac:dyDescent="0.25">
      <c r="A1189" t="s">
        <v>1193</v>
      </c>
      <c r="B1189">
        <v>0.99352677808782597</v>
      </c>
      <c r="C1189">
        <v>0.965861986625143</v>
      </c>
      <c r="D1189">
        <v>1.02002744705074</v>
      </c>
      <c r="E1189">
        <v>0.69620662180829096</v>
      </c>
      <c r="F1189">
        <v>0.62612830532881503</v>
      </c>
      <c r="G1189">
        <v>0.38011403653939801</v>
      </c>
      <c r="H1189">
        <v>0.23981354481852901</v>
      </c>
      <c r="I1189">
        <v>0.24666176624918401</v>
      </c>
      <c r="J1189">
        <v>0.22923945187713299</v>
      </c>
      <c r="K1189">
        <v>0.205636611291312</v>
      </c>
      <c r="L1189">
        <v>894.43498024355597</v>
      </c>
      <c r="M1189">
        <v>16.958738045889898</v>
      </c>
      <c r="N1189">
        <v>54.352648994318599</v>
      </c>
      <c r="O1189">
        <v>52.0248746480178</v>
      </c>
      <c r="P1189">
        <v>-6.5400898001009497E-2</v>
      </c>
      <c r="Q1189">
        <v>0.19752054894576601</v>
      </c>
      <c r="R1189">
        <v>0.98476547213361798</v>
      </c>
      <c r="S1189" t="s">
        <v>7474</v>
      </c>
      <c r="T1189" t="s">
        <v>12568</v>
      </c>
      <c r="U1189" t="s">
        <v>12568</v>
      </c>
      <c r="V1189" t="s">
        <v>12568</v>
      </c>
      <c r="W1189" t="s">
        <v>13733</v>
      </c>
      <c r="X1189">
        <v>14</v>
      </c>
      <c r="Y1189" t="s">
        <v>19948</v>
      </c>
      <c r="Z1189" t="s">
        <v>26059</v>
      </c>
      <c r="AA1189">
        <v>0.55287661006664068</v>
      </c>
      <c r="AB1189" t="str">
        <f>HYPERLINK("Melting_Curves/meltCurve_O75113_N4BP1.pdf", "Melting_Curves/meltCurve_O75113_N4BP1.pdf")</f>
        <v>Melting_Curves/meltCurve_O75113_N4BP1.pdf</v>
      </c>
    </row>
    <row r="1190" spans="1:28" x14ac:dyDescent="0.25">
      <c r="A1190" t="s">
        <v>1194</v>
      </c>
      <c r="B1190">
        <v>0.99352677808782597</v>
      </c>
      <c r="C1190">
        <v>0.94068605592241095</v>
      </c>
      <c r="D1190">
        <v>0.83818103751764805</v>
      </c>
      <c r="E1190">
        <v>0.407976570039282</v>
      </c>
      <c r="F1190">
        <v>0.31769787494437302</v>
      </c>
      <c r="G1190">
        <v>0.18465090578179</v>
      </c>
      <c r="H1190">
        <v>0.10895246168674599</v>
      </c>
      <c r="I1190">
        <v>0.103426630781371</v>
      </c>
      <c r="J1190">
        <v>8.3613022006554905E-2</v>
      </c>
      <c r="K1190">
        <v>6.4459190076432193E-2</v>
      </c>
      <c r="L1190">
        <v>907.80582383385104</v>
      </c>
      <c r="M1190">
        <v>18.471734979534698</v>
      </c>
      <c r="N1190">
        <v>49.6586319455904</v>
      </c>
      <c r="O1190">
        <v>48.580539198551499</v>
      </c>
      <c r="P1190">
        <v>-8.6805011000556404E-2</v>
      </c>
      <c r="Q1190">
        <v>8.6854303084474102E-2</v>
      </c>
      <c r="R1190">
        <v>0.99275563013900103</v>
      </c>
      <c r="S1190" t="s">
        <v>7475</v>
      </c>
      <c r="T1190" t="s">
        <v>12568</v>
      </c>
      <c r="U1190" t="s">
        <v>12568</v>
      </c>
      <c r="V1190" t="s">
        <v>12568</v>
      </c>
      <c r="W1190" t="s">
        <v>13734</v>
      </c>
      <c r="X1190">
        <v>65</v>
      </c>
      <c r="Y1190" t="s">
        <v>19949</v>
      </c>
      <c r="Z1190" t="s">
        <v>26060</v>
      </c>
      <c r="AA1190">
        <v>0.38021640473539092</v>
      </c>
      <c r="AB1190" t="str">
        <f>HYPERLINK("Melting_Curves/meltCurve_O75116_ROCK2.pdf", "Melting_Curves/meltCurve_O75116_ROCK2.pdf")</f>
        <v>Melting_Curves/meltCurve_O75116_ROCK2.pdf</v>
      </c>
    </row>
    <row r="1191" spans="1:28" x14ac:dyDescent="0.25">
      <c r="A1191" t="s">
        <v>1195</v>
      </c>
      <c r="B1191">
        <v>0.99352677808782597</v>
      </c>
      <c r="C1191">
        <v>0.95411286664092898</v>
      </c>
      <c r="D1191">
        <v>0.81520039931242505</v>
      </c>
      <c r="E1191">
        <v>0.24031617874335501</v>
      </c>
      <c r="F1191">
        <v>0.173622739210083</v>
      </c>
      <c r="G1191">
        <v>0.100919253474544</v>
      </c>
      <c r="H1191">
        <v>6.9009363401790799E-2</v>
      </c>
      <c r="I1191">
        <v>6.8828608133123706E-2</v>
      </c>
      <c r="J1191">
        <v>5.1523631898459599E-2</v>
      </c>
      <c r="K1191">
        <v>3.9373817532163603E-2</v>
      </c>
      <c r="L1191">
        <v>1475.39097807439</v>
      </c>
      <c r="M1191">
        <v>30.7961722568086</v>
      </c>
      <c r="N1191">
        <v>48.1468449739329</v>
      </c>
      <c r="O1191">
        <v>47.707626463945999</v>
      </c>
      <c r="P1191">
        <v>-0.14996047716059899</v>
      </c>
      <c r="Q1191">
        <v>7.0765841113682504E-2</v>
      </c>
      <c r="R1191">
        <v>0.99520001222745702</v>
      </c>
      <c r="S1191" t="s">
        <v>7476</v>
      </c>
      <c r="T1191" t="s">
        <v>12568</v>
      </c>
      <c r="U1191" t="s">
        <v>12568</v>
      </c>
      <c r="V1191" t="s">
        <v>12568</v>
      </c>
      <c r="W1191" t="s">
        <v>13735</v>
      </c>
      <c r="X1191">
        <v>17</v>
      </c>
      <c r="Y1191" t="s">
        <v>19950</v>
      </c>
      <c r="Z1191" t="s">
        <v>26061</v>
      </c>
      <c r="AA1191">
        <v>0.32101054629230008</v>
      </c>
      <c r="AB1191" t="str">
        <f>HYPERLINK("Melting_Curves/meltCurve_O75131_CPNE3.pdf", "Melting_Curves/meltCurve_O75131_CPNE3.pdf")</f>
        <v>Melting_Curves/meltCurve_O75131_CPNE3.pdf</v>
      </c>
    </row>
    <row r="1192" spans="1:28" x14ac:dyDescent="0.25">
      <c r="A1192" t="s">
        <v>1196</v>
      </c>
      <c r="B1192">
        <v>0.99352677808782597</v>
      </c>
      <c r="C1192">
        <v>1.0585327753387801</v>
      </c>
      <c r="D1192">
        <v>1.0413362558755199</v>
      </c>
      <c r="E1192">
        <v>1.0006916044182701</v>
      </c>
      <c r="F1192">
        <v>0.88331252028833895</v>
      </c>
      <c r="G1192">
        <v>0.71245878718405797</v>
      </c>
      <c r="H1192">
        <v>0.76933677149771496</v>
      </c>
      <c r="I1192">
        <v>0.73150395864578499</v>
      </c>
      <c r="J1192">
        <v>0.71661371578015798</v>
      </c>
      <c r="K1192">
        <v>0.38652310462016698</v>
      </c>
      <c r="L1192">
        <v>520.17147850490903</v>
      </c>
      <c r="M1192">
        <v>7.4030945707906604</v>
      </c>
      <c r="O1192">
        <v>65.683569442072894</v>
      </c>
      <c r="P1192">
        <v>-2.8219628401010499E-2</v>
      </c>
      <c r="Q1192">
        <v>0</v>
      </c>
      <c r="R1192">
        <v>0.83539542130051703</v>
      </c>
      <c r="S1192" t="s">
        <v>7477</v>
      </c>
      <c r="T1192" t="s">
        <v>12568</v>
      </c>
      <c r="U1192" t="s">
        <v>12568</v>
      </c>
      <c r="V1192" t="s">
        <v>12568</v>
      </c>
      <c r="W1192" t="s">
        <v>13736</v>
      </c>
      <c r="X1192">
        <v>10</v>
      </c>
      <c r="Y1192" t="s">
        <v>19951</v>
      </c>
      <c r="Z1192" t="s">
        <v>26062</v>
      </c>
      <c r="AA1192">
        <v>0.83524988248640164</v>
      </c>
      <c r="AB1192" t="str">
        <f>HYPERLINK("Melting_Curves/meltCurve_O75143_3_ATG13.pdf", "Melting_Curves/meltCurve_O75143_3_ATG13.pdf")</f>
        <v>Melting_Curves/meltCurve_O75143_3_ATG13.pdf</v>
      </c>
    </row>
    <row r="1193" spans="1:28" x14ac:dyDescent="0.25">
      <c r="A1193" t="s">
        <v>1197</v>
      </c>
      <c r="B1193">
        <v>0.99352677808782597</v>
      </c>
      <c r="C1193">
        <v>1.05245034244976</v>
      </c>
      <c r="D1193">
        <v>0.93315165365191999</v>
      </c>
      <c r="E1193">
        <v>0.48947867465489397</v>
      </c>
      <c r="F1193">
        <v>0.37472389935316502</v>
      </c>
      <c r="G1193">
        <v>0.21402559198851401</v>
      </c>
      <c r="H1193">
        <v>0.14432914544705699</v>
      </c>
      <c r="I1193">
        <v>0.15669376167271801</v>
      </c>
      <c r="J1193">
        <v>9.4943521741186795E-2</v>
      </c>
      <c r="K1193">
        <v>8.8333687273834102E-2</v>
      </c>
      <c r="L1193">
        <v>1093.45084339849</v>
      </c>
      <c r="M1193">
        <v>21.865321175378899</v>
      </c>
      <c r="N1193">
        <v>50.672761437358801</v>
      </c>
      <c r="O1193">
        <v>49.595780227918702</v>
      </c>
      <c r="P1193">
        <v>-9.6485551563494198E-2</v>
      </c>
      <c r="Q1193">
        <v>0.124610524488978</v>
      </c>
      <c r="R1193">
        <v>0.98540010067685502</v>
      </c>
      <c r="S1193" t="s">
        <v>7478</v>
      </c>
      <c r="T1193" t="s">
        <v>12568</v>
      </c>
      <c r="U1193" t="s">
        <v>12568</v>
      </c>
      <c r="V1193" t="s">
        <v>12568</v>
      </c>
      <c r="W1193" t="s">
        <v>13737</v>
      </c>
      <c r="X1193">
        <v>6</v>
      </c>
      <c r="Y1193" t="s">
        <v>19952</v>
      </c>
      <c r="Z1193" t="s">
        <v>26063</v>
      </c>
      <c r="AA1193">
        <v>0.42687956384984271</v>
      </c>
      <c r="AB1193" t="str">
        <f>HYPERLINK("Melting_Curves/meltCurve_O75146_HIP1R.pdf", "Melting_Curves/meltCurve_O75146_HIP1R.pdf")</f>
        <v>Melting_Curves/meltCurve_O75146_HIP1R.pdf</v>
      </c>
    </row>
    <row r="1194" spans="1:28" x14ac:dyDescent="0.25">
      <c r="A1194" t="s">
        <v>1198</v>
      </c>
      <c r="B1194">
        <v>0.99352677808782597</v>
      </c>
      <c r="C1194">
        <v>0.90424524759721103</v>
      </c>
      <c r="D1194">
        <v>0.63455724170846595</v>
      </c>
      <c r="E1194">
        <v>0.30039465755738198</v>
      </c>
      <c r="F1194">
        <v>0.23124506756229299</v>
      </c>
      <c r="G1194">
        <v>0.13684344482193</v>
      </c>
      <c r="H1194">
        <v>9.0981802348283805E-2</v>
      </c>
      <c r="I1194">
        <v>9.3077308384351007E-2</v>
      </c>
      <c r="J1194">
        <v>7.9233091205154704E-2</v>
      </c>
      <c r="K1194">
        <v>5.9586108989097802E-2</v>
      </c>
      <c r="L1194">
        <v>884.22244634214996</v>
      </c>
      <c r="M1194">
        <v>18.7275494674934</v>
      </c>
      <c r="N1194">
        <v>47.679867653159398</v>
      </c>
      <c r="O1194">
        <v>46.686589570856398</v>
      </c>
      <c r="P1194">
        <v>-9.1920456396094002E-2</v>
      </c>
      <c r="Q1194">
        <v>8.3431277423214295E-2</v>
      </c>
      <c r="R1194">
        <v>0.99572892715652295</v>
      </c>
      <c r="S1194" t="s">
        <v>7479</v>
      </c>
      <c r="T1194" t="s">
        <v>12568</v>
      </c>
      <c r="U1194" t="s">
        <v>12568</v>
      </c>
      <c r="V1194" t="s">
        <v>12568</v>
      </c>
      <c r="W1194" t="s">
        <v>13738</v>
      </c>
      <c r="X1194">
        <v>23</v>
      </c>
      <c r="Y1194" t="s">
        <v>19953</v>
      </c>
      <c r="Z1194" t="s">
        <v>26064</v>
      </c>
      <c r="AA1194">
        <v>0.31923191559209502</v>
      </c>
      <c r="AB1194" t="str">
        <f>HYPERLINK("Melting_Curves/meltCurve_O75150_RNF40.pdf", "Melting_Curves/meltCurve_O75150_RNF40.pdf")</f>
        <v>Melting_Curves/meltCurve_O75150_RNF40.pdf</v>
      </c>
    </row>
    <row r="1195" spans="1:28" x14ac:dyDescent="0.25">
      <c r="A1195" t="s">
        <v>1199</v>
      </c>
      <c r="B1195">
        <v>0.99352677808782597</v>
      </c>
      <c r="C1195">
        <v>0.96627606930772003</v>
      </c>
      <c r="D1195">
        <v>0.95154723907608996</v>
      </c>
      <c r="E1195">
        <v>0.87771943196222302</v>
      </c>
      <c r="F1195">
        <v>0.67362676959118895</v>
      </c>
      <c r="G1195">
        <v>0.58723947557834</v>
      </c>
      <c r="H1195">
        <v>0.56199709727549796</v>
      </c>
      <c r="I1195">
        <v>0.53976490751300699</v>
      </c>
      <c r="J1195">
        <v>0.49030665227514397</v>
      </c>
      <c r="K1195">
        <v>0.53327884083496402</v>
      </c>
      <c r="L1195">
        <v>1137.82277798215</v>
      </c>
      <c r="M1195">
        <v>21.992009553316102</v>
      </c>
      <c r="O1195">
        <v>51.315917151485898</v>
      </c>
      <c r="P1195">
        <v>-5.1035506626588102E-2</v>
      </c>
      <c r="Q1195">
        <v>0.52366785420960604</v>
      </c>
      <c r="R1195">
        <v>0.98716637105941396</v>
      </c>
      <c r="S1195" t="s">
        <v>7480</v>
      </c>
      <c r="T1195" t="s">
        <v>12568</v>
      </c>
      <c r="U1195" t="s">
        <v>12568</v>
      </c>
      <c r="V1195" t="s">
        <v>12568</v>
      </c>
      <c r="W1195" t="s">
        <v>13739</v>
      </c>
      <c r="X1195">
        <v>2</v>
      </c>
      <c r="Y1195" t="s">
        <v>19954</v>
      </c>
      <c r="Z1195" t="s">
        <v>26065</v>
      </c>
      <c r="AA1195">
        <v>0.71557911909074712</v>
      </c>
      <c r="AB1195" t="str">
        <f>HYPERLINK("Melting_Curves/meltCurve_O75151_PHF2.pdf", "Melting_Curves/meltCurve_O75151_PHF2.pdf")</f>
        <v>Melting_Curves/meltCurve_O75151_PHF2.pdf</v>
      </c>
    </row>
    <row r="1196" spans="1:28" x14ac:dyDescent="0.25">
      <c r="A1196" t="s">
        <v>1200</v>
      </c>
      <c r="B1196">
        <v>0.99352677808782597</v>
      </c>
      <c r="C1196">
        <v>0.92143775252518201</v>
      </c>
      <c r="D1196">
        <v>0.93777452693350405</v>
      </c>
      <c r="E1196">
        <v>0.85793766848542696</v>
      </c>
      <c r="F1196">
        <v>0.74279312415316201</v>
      </c>
      <c r="G1196">
        <v>0.61049824319179002</v>
      </c>
      <c r="H1196">
        <v>0.53767529656455004</v>
      </c>
      <c r="I1196">
        <v>0.58651052822683303</v>
      </c>
      <c r="J1196">
        <v>0.57451571419053504</v>
      </c>
      <c r="K1196">
        <v>0.51753154162797699</v>
      </c>
      <c r="L1196">
        <v>765.72272524752304</v>
      </c>
      <c r="M1196">
        <v>14.6910902886189</v>
      </c>
      <c r="O1196">
        <v>51.184404557235503</v>
      </c>
      <c r="P1196">
        <v>-3.4010583200433701E-2</v>
      </c>
      <c r="Q1196">
        <v>0.52607447566514098</v>
      </c>
      <c r="R1196">
        <v>0.97280133046053097</v>
      </c>
      <c r="S1196" t="s">
        <v>7481</v>
      </c>
      <c r="T1196" t="s">
        <v>12568</v>
      </c>
      <c r="U1196" t="s">
        <v>12568</v>
      </c>
      <c r="V1196" t="s">
        <v>12568</v>
      </c>
      <c r="W1196" t="s">
        <v>13740</v>
      </c>
      <c r="X1196">
        <v>7</v>
      </c>
      <c r="Y1196" t="s">
        <v>19955</v>
      </c>
      <c r="Z1196" t="s">
        <v>26066</v>
      </c>
      <c r="AA1196">
        <v>0.72845003588454815</v>
      </c>
      <c r="AB1196" t="str">
        <f>HYPERLINK("Melting_Curves/meltCurve_O75152_ZC3H11A.pdf", "Melting_Curves/meltCurve_O75152_ZC3H11A.pdf")</f>
        <v>Melting_Curves/meltCurve_O75152_ZC3H11A.pdf</v>
      </c>
    </row>
    <row r="1197" spans="1:28" x14ac:dyDescent="0.25">
      <c r="A1197" t="s">
        <v>1201</v>
      </c>
      <c r="B1197">
        <v>0.99352677808782597</v>
      </c>
      <c r="C1197">
        <v>0.89634801734345804</v>
      </c>
      <c r="D1197">
        <v>0.71186920474477999</v>
      </c>
      <c r="E1197">
        <v>0.44430871944288902</v>
      </c>
      <c r="F1197">
        <v>0.35155494060405101</v>
      </c>
      <c r="G1197">
        <v>0.23984661298625301</v>
      </c>
      <c r="H1197">
        <v>0.160453071971741</v>
      </c>
      <c r="I1197">
        <v>0.17095265881336599</v>
      </c>
      <c r="J1197">
        <v>0.111865153686251</v>
      </c>
      <c r="K1197">
        <v>7.7607364394416303E-2</v>
      </c>
      <c r="L1197">
        <v>656.31588523701498</v>
      </c>
      <c r="M1197">
        <v>13.4530546863382</v>
      </c>
      <c r="N1197">
        <v>49.627942134112097</v>
      </c>
      <c r="O1197">
        <v>47.745517565068397</v>
      </c>
      <c r="P1197">
        <v>-6.3261337159067899E-2</v>
      </c>
      <c r="Q1197">
        <v>0.10206908474816</v>
      </c>
      <c r="R1197">
        <v>0.99315208671692901</v>
      </c>
      <c r="S1197" t="s">
        <v>7482</v>
      </c>
      <c r="T1197" t="s">
        <v>12568</v>
      </c>
      <c r="U1197" t="s">
        <v>12568</v>
      </c>
      <c r="V1197" t="s">
        <v>12568</v>
      </c>
      <c r="W1197" t="s">
        <v>13294</v>
      </c>
      <c r="X1197">
        <v>43</v>
      </c>
      <c r="Y1197" t="s">
        <v>19519</v>
      </c>
      <c r="Z1197" t="s">
        <v>26067</v>
      </c>
      <c r="AA1197">
        <v>0.39238358078338698</v>
      </c>
      <c r="AB1197" t="str">
        <f>HYPERLINK("Melting_Curves/meltCurve_O75153_CLUH.pdf", "Melting_Curves/meltCurve_O75153_CLUH.pdf")</f>
        <v>Melting_Curves/meltCurve_O75153_CLUH.pdf</v>
      </c>
    </row>
    <row r="1198" spans="1:28" x14ac:dyDescent="0.25">
      <c r="A1198" t="s">
        <v>1202</v>
      </c>
      <c r="B1198">
        <v>0.99352677808782597</v>
      </c>
      <c r="C1198">
        <v>1.0146610360569199</v>
      </c>
      <c r="D1198">
        <v>1.0362800716265399</v>
      </c>
      <c r="E1198">
        <v>0.596511799341502</v>
      </c>
      <c r="F1198">
        <v>0.61627942716459605</v>
      </c>
      <c r="G1198">
        <v>0.61319632881964803</v>
      </c>
      <c r="H1198">
        <v>0.51657718143137199</v>
      </c>
      <c r="I1198">
        <v>0.643717945211839</v>
      </c>
      <c r="J1198">
        <v>0.52594875951985598</v>
      </c>
      <c r="K1198">
        <v>0.45686253070115501</v>
      </c>
      <c r="L1198">
        <v>8132.9806830388598</v>
      </c>
      <c r="M1198">
        <v>165.12088441399001</v>
      </c>
      <c r="O1198">
        <v>49.247481252546301</v>
      </c>
      <c r="P1198">
        <v>-0.36706087331423698</v>
      </c>
      <c r="Q1198">
        <v>0.562094795858056</v>
      </c>
      <c r="R1198">
        <v>0.93721549418572603</v>
      </c>
      <c r="S1198" t="s">
        <v>7483</v>
      </c>
      <c r="T1198" t="s">
        <v>12568</v>
      </c>
      <c r="U1198" t="s">
        <v>12568</v>
      </c>
      <c r="V1198" t="s">
        <v>12568</v>
      </c>
      <c r="W1198" t="s">
        <v>13741</v>
      </c>
      <c r="X1198">
        <v>1</v>
      </c>
      <c r="Y1198" t="s">
        <v>19956</v>
      </c>
      <c r="Z1198" t="s">
        <v>26068</v>
      </c>
      <c r="AA1198">
        <v>0.6972710620958118</v>
      </c>
      <c r="AB1198" t="str">
        <f>HYPERLINK("Melting_Curves/meltCurve_O75154_RAB11FIP3.pdf", "Melting_Curves/meltCurve_O75154_RAB11FIP3.pdf")</f>
        <v>Melting_Curves/meltCurve_O75154_RAB11FIP3.pdf</v>
      </c>
    </row>
    <row r="1199" spans="1:28" x14ac:dyDescent="0.25">
      <c r="A1199" t="s">
        <v>1203</v>
      </c>
      <c r="B1199">
        <v>0.99352677808782597</v>
      </c>
      <c r="C1199">
        <v>0.90776138470582601</v>
      </c>
      <c r="D1199">
        <v>0.870818573426002</v>
      </c>
      <c r="E1199">
        <v>0.30753470503373098</v>
      </c>
      <c r="F1199">
        <v>0.27164840202133</v>
      </c>
      <c r="G1199">
        <v>0.159861276129978</v>
      </c>
      <c r="H1199">
        <v>6.7513226193703299E-2</v>
      </c>
      <c r="I1199">
        <v>5.99221065747607E-2</v>
      </c>
      <c r="J1199">
        <v>4.8387152224194999E-2</v>
      </c>
      <c r="K1199">
        <v>6.0129521670073502E-2</v>
      </c>
      <c r="L1199">
        <v>1114.5585259112199</v>
      </c>
      <c r="M1199">
        <v>22.929169074789499</v>
      </c>
      <c r="N1199">
        <v>48.9520539648192</v>
      </c>
      <c r="O1199">
        <v>48.243557853282297</v>
      </c>
      <c r="P1199">
        <v>-0.10999742661756801</v>
      </c>
      <c r="Q1199">
        <v>7.4267952302604995E-2</v>
      </c>
      <c r="R1199">
        <v>0.98156243412655197</v>
      </c>
      <c r="S1199" t="s">
        <v>7484</v>
      </c>
      <c r="T1199" t="s">
        <v>12568</v>
      </c>
      <c r="U1199" t="s">
        <v>12568</v>
      </c>
      <c r="V1199" t="s">
        <v>12568</v>
      </c>
      <c r="W1199" t="s">
        <v>13742</v>
      </c>
      <c r="X1199">
        <v>8</v>
      </c>
      <c r="Y1199" t="s">
        <v>19957</v>
      </c>
      <c r="Z1199" t="s">
        <v>26069</v>
      </c>
      <c r="AA1199">
        <v>0.34971864782996448</v>
      </c>
      <c r="AB1199" t="str">
        <f>HYPERLINK("Melting_Curves/meltCurve_O75155_2_CAND2.pdf", "Melting_Curves/meltCurve_O75155_2_CAND2.pdf")</f>
        <v>Melting_Curves/meltCurve_O75155_2_CAND2.pdf</v>
      </c>
    </row>
    <row r="1200" spans="1:28" x14ac:dyDescent="0.25">
      <c r="A1200" t="s">
        <v>1204</v>
      </c>
      <c r="B1200">
        <v>0.99352677808782597</v>
      </c>
      <c r="C1200">
        <v>0.98529012180999798</v>
      </c>
      <c r="D1200">
        <v>0.909331627914302</v>
      </c>
      <c r="E1200">
        <v>0.83640073709963603</v>
      </c>
      <c r="F1200">
        <v>0.87753224722284096</v>
      </c>
      <c r="G1200">
        <v>0.80571772914682904</v>
      </c>
      <c r="H1200">
        <v>0.77717391115822598</v>
      </c>
      <c r="I1200">
        <v>0.86756694394761102</v>
      </c>
      <c r="J1200">
        <v>0.90233626099088504</v>
      </c>
      <c r="K1200">
        <v>0.71079598535865096</v>
      </c>
      <c r="L1200">
        <v>914.64231482396303</v>
      </c>
      <c r="M1200">
        <v>19.664355541044099</v>
      </c>
      <c r="O1200">
        <v>46.039695301862601</v>
      </c>
      <c r="P1200">
        <v>-1.9590281362605402E-2</v>
      </c>
      <c r="Q1200">
        <v>0.81654131617979997</v>
      </c>
      <c r="R1200">
        <v>0.63501372187086902</v>
      </c>
      <c r="S1200" t="s">
        <v>7485</v>
      </c>
      <c r="T1200" t="s">
        <v>12568</v>
      </c>
      <c r="U1200" t="s">
        <v>12568</v>
      </c>
      <c r="V1200" t="s">
        <v>12568</v>
      </c>
      <c r="W1200" t="s">
        <v>13743</v>
      </c>
      <c r="X1200">
        <v>11</v>
      </c>
      <c r="Y1200" t="s">
        <v>19958</v>
      </c>
      <c r="Z1200" t="s">
        <v>26070</v>
      </c>
      <c r="AA1200">
        <v>0.85922255318198326</v>
      </c>
      <c r="AB1200" t="str">
        <f>HYPERLINK("Melting_Curves/meltCurve_O75157_2_TSC22D2.pdf", "Melting_Curves/meltCurve_O75157_2_TSC22D2.pdf")</f>
        <v>Melting_Curves/meltCurve_O75157_2_TSC22D2.pdf</v>
      </c>
    </row>
    <row r="1201" spans="1:28" x14ac:dyDescent="0.25">
      <c r="A1201" t="s">
        <v>1205</v>
      </c>
      <c r="B1201">
        <v>0.99352677808782597</v>
      </c>
      <c r="C1201">
        <v>0.88944037861173397</v>
      </c>
      <c r="D1201">
        <v>0.78353380052884702</v>
      </c>
      <c r="E1201">
        <v>0.405554866436725</v>
      </c>
      <c r="F1201">
        <v>0.34128273250353702</v>
      </c>
      <c r="G1201">
        <v>0.18225523915403399</v>
      </c>
      <c r="H1201">
        <v>0.12466713328172301</v>
      </c>
      <c r="I1201">
        <v>0.108863301074929</v>
      </c>
      <c r="J1201">
        <v>5.4465440844905802E-2</v>
      </c>
      <c r="K1201">
        <v>4.7236039469174297E-2</v>
      </c>
      <c r="L1201">
        <v>716.47389109856897</v>
      </c>
      <c r="M1201">
        <v>14.571027495218599</v>
      </c>
      <c r="N1201">
        <v>49.5899233932602</v>
      </c>
      <c r="O1201">
        <v>48.272824042232401</v>
      </c>
      <c r="P1201">
        <v>-7.1101256657663495E-2</v>
      </c>
      <c r="Q1201">
        <v>5.7892101517396502E-2</v>
      </c>
      <c r="R1201">
        <v>0.991728383143054</v>
      </c>
      <c r="S1201" t="s">
        <v>7486</v>
      </c>
      <c r="T1201" t="s">
        <v>12568</v>
      </c>
      <c r="U1201" t="s">
        <v>12568</v>
      </c>
      <c r="V1201" t="s">
        <v>12568</v>
      </c>
      <c r="W1201" t="s">
        <v>13744</v>
      </c>
      <c r="X1201">
        <v>3</v>
      </c>
      <c r="Y1201" t="s">
        <v>19959</v>
      </c>
      <c r="Z1201" t="s">
        <v>26071</v>
      </c>
      <c r="AA1201">
        <v>0.37027993062962911</v>
      </c>
      <c r="AB1201" t="str">
        <f>HYPERLINK("Melting_Curves/meltCurve_O75164_KDM4A.pdf", "Melting_Curves/meltCurve_O75164_KDM4A.pdf")</f>
        <v>Melting_Curves/meltCurve_O75164_KDM4A.pdf</v>
      </c>
    </row>
    <row r="1202" spans="1:28" x14ac:dyDescent="0.25">
      <c r="A1202" t="s">
        <v>1206</v>
      </c>
      <c r="B1202">
        <v>0.99352677808782597</v>
      </c>
      <c r="C1202">
        <v>0.93599228593306405</v>
      </c>
      <c r="D1202">
        <v>0.90182299326148996</v>
      </c>
      <c r="E1202">
        <v>0.487074590197276</v>
      </c>
      <c r="F1202">
        <v>0.42190733290907101</v>
      </c>
      <c r="G1202">
        <v>0.153683536973834</v>
      </c>
      <c r="H1202">
        <v>7.7703376542542099E-2</v>
      </c>
      <c r="I1202">
        <v>0.111852878496116</v>
      </c>
      <c r="J1202">
        <v>7.24509520791871E-2</v>
      </c>
      <c r="K1202">
        <v>6.23585798412776E-2</v>
      </c>
      <c r="L1202">
        <v>857.58606445269299</v>
      </c>
      <c r="M1202">
        <v>16.9994575372329</v>
      </c>
      <c r="N1202">
        <v>50.8223203891907</v>
      </c>
      <c r="O1202">
        <v>49.765264335059697</v>
      </c>
      <c r="P1202">
        <v>-8.0376256992333903E-2</v>
      </c>
      <c r="Q1202">
        <v>5.8864586932368797E-2</v>
      </c>
      <c r="R1202">
        <v>0.98742898571692606</v>
      </c>
      <c r="S1202" t="s">
        <v>7487</v>
      </c>
      <c r="T1202" t="s">
        <v>12568</v>
      </c>
      <c r="U1202" t="s">
        <v>12568</v>
      </c>
      <c r="V1202" t="s">
        <v>12568</v>
      </c>
      <c r="W1202" t="s">
        <v>13745</v>
      </c>
      <c r="X1202">
        <v>5</v>
      </c>
      <c r="Y1202" t="s">
        <v>19960</v>
      </c>
      <c r="Z1202" t="s">
        <v>26072</v>
      </c>
      <c r="AA1202">
        <v>0.40435495360720081</v>
      </c>
      <c r="AB1202" t="str">
        <f>HYPERLINK("Melting_Curves/meltCurve_O75165_DNAJC13.pdf", "Melting_Curves/meltCurve_O75165_DNAJC13.pdf")</f>
        <v>Melting_Curves/meltCurve_O75165_DNAJC13.pdf</v>
      </c>
    </row>
    <row r="1203" spans="1:28" x14ac:dyDescent="0.25">
      <c r="A1203" t="s">
        <v>1207</v>
      </c>
      <c r="B1203">
        <v>0.99352677808782597</v>
      </c>
      <c r="C1203">
        <v>0.94297627569138098</v>
      </c>
      <c r="D1203">
        <v>0.93870041070925103</v>
      </c>
      <c r="E1203">
        <v>0.89180453101611601</v>
      </c>
      <c r="F1203">
        <v>0.80756697221695295</v>
      </c>
      <c r="G1203">
        <v>0.66122599817150496</v>
      </c>
      <c r="H1203">
        <v>0.61021600232371598</v>
      </c>
      <c r="I1203">
        <v>0.62567314568751797</v>
      </c>
      <c r="J1203">
        <v>0.653268282654072</v>
      </c>
      <c r="K1203">
        <v>0.58589280642058394</v>
      </c>
      <c r="L1203">
        <v>822.69421345402202</v>
      </c>
      <c r="M1203">
        <v>15.646229740365699</v>
      </c>
      <c r="O1203">
        <v>51.744523949590103</v>
      </c>
      <c r="P1203">
        <v>-3.0576189378603201E-2</v>
      </c>
      <c r="Q1203">
        <v>0.59555371021917403</v>
      </c>
      <c r="R1203">
        <v>0.96900511189980898</v>
      </c>
      <c r="S1203" t="s">
        <v>7488</v>
      </c>
      <c r="T1203" t="s">
        <v>12568</v>
      </c>
      <c r="U1203" t="s">
        <v>12568</v>
      </c>
      <c r="V1203" t="s">
        <v>12568</v>
      </c>
      <c r="W1203" t="s">
        <v>13746</v>
      </c>
      <c r="X1203">
        <v>6</v>
      </c>
      <c r="Y1203" t="s">
        <v>19961</v>
      </c>
      <c r="Z1203" t="s">
        <v>26073</v>
      </c>
      <c r="AA1203">
        <v>0.7734826719690836</v>
      </c>
      <c r="AB1203" t="str">
        <f>HYPERLINK("Melting_Curves/meltCurve_O75170_4_PPP6R2.pdf", "Melting_Curves/meltCurve_O75170_4_PPP6R2.pdf")</f>
        <v>Melting_Curves/meltCurve_O75170_4_PPP6R2.pdf</v>
      </c>
    </row>
    <row r="1204" spans="1:28" x14ac:dyDescent="0.25">
      <c r="A1204" t="s">
        <v>1208</v>
      </c>
      <c r="B1204">
        <v>0.99352677808782597</v>
      </c>
      <c r="C1204">
        <v>0.95644497923664595</v>
      </c>
      <c r="D1204">
        <v>0.91518301448457295</v>
      </c>
      <c r="E1204">
        <v>0.78562156138605099</v>
      </c>
      <c r="F1204">
        <v>0.71907127851020403</v>
      </c>
      <c r="G1204">
        <v>0.62304780960753203</v>
      </c>
      <c r="H1204">
        <v>0.55227096680329901</v>
      </c>
      <c r="I1204">
        <v>0.60657496752519102</v>
      </c>
      <c r="J1204">
        <v>0.60046864320739102</v>
      </c>
      <c r="K1204">
        <v>0.50027753853453305</v>
      </c>
      <c r="L1204">
        <v>669.054668861555</v>
      </c>
      <c r="M1204">
        <v>13.1588544313221</v>
      </c>
      <c r="O1204">
        <v>49.713205492927599</v>
      </c>
      <c r="P1204">
        <v>-3.05562494538043E-2</v>
      </c>
      <c r="Q1204">
        <v>0.53832047162020702</v>
      </c>
      <c r="R1204">
        <v>0.97417049068176997</v>
      </c>
      <c r="S1204" t="s">
        <v>7489</v>
      </c>
      <c r="T1204" t="s">
        <v>12568</v>
      </c>
      <c r="U1204" t="s">
        <v>12568</v>
      </c>
      <c r="V1204" t="s">
        <v>12568</v>
      </c>
      <c r="W1204" t="s">
        <v>13747</v>
      </c>
      <c r="X1204">
        <v>20</v>
      </c>
      <c r="Y1204" t="s">
        <v>19962</v>
      </c>
      <c r="Z1204" t="s">
        <v>26074</v>
      </c>
      <c r="AA1204">
        <v>0.7184461122151613</v>
      </c>
      <c r="AB1204" t="str">
        <f>HYPERLINK("Melting_Curves/meltCurve_O75175_CNOT3.pdf", "Melting_Curves/meltCurve_O75175_CNOT3.pdf")</f>
        <v>Melting_Curves/meltCurve_O75175_CNOT3.pdf</v>
      </c>
    </row>
    <row r="1205" spans="1:28" x14ac:dyDescent="0.25">
      <c r="A1205" t="s">
        <v>1209</v>
      </c>
      <c r="B1205">
        <v>0.99352677808782597</v>
      </c>
      <c r="C1205">
        <v>0.88824575843151898</v>
      </c>
      <c r="D1205">
        <v>0.84056306287747196</v>
      </c>
      <c r="E1205">
        <v>0.82850113216054599</v>
      </c>
      <c r="F1205">
        <v>0.81261382837362395</v>
      </c>
      <c r="G1205">
        <v>0.72348927233336902</v>
      </c>
      <c r="H1205">
        <v>0.714325042392154</v>
      </c>
      <c r="I1205">
        <v>0.70528108929648503</v>
      </c>
      <c r="J1205">
        <v>0.57409274305426705</v>
      </c>
      <c r="K1205">
        <v>0.47679964443057299</v>
      </c>
      <c r="L1205">
        <v>256.98932184653501</v>
      </c>
      <c r="M1205">
        <v>3.4864737206883398</v>
      </c>
      <c r="O1205">
        <v>57.7041894044701</v>
      </c>
      <c r="P1205">
        <v>-1.5403593837873E-2</v>
      </c>
      <c r="Q1205">
        <v>0</v>
      </c>
      <c r="R1205">
        <v>0.909431015752588</v>
      </c>
      <c r="S1205" t="s">
        <v>7490</v>
      </c>
      <c r="T1205" t="s">
        <v>12568</v>
      </c>
      <c r="U1205" t="s">
        <v>12568</v>
      </c>
      <c r="V1205" t="s">
        <v>12568</v>
      </c>
      <c r="W1205" t="s">
        <v>13748</v>
      </c>
      <c r="X1205">
        <v>2</v>
      </c>
      <c r="Y1205" t="s">
        <v>19963</v>
      </c>
      <c r="Z1205" t="s">
        <v>26075</v>
      </c>
      <c r="AA1205">
        <v>0.76031495899151968</v>
      </c>
      <c r="AB1205" t="str">
        <f>HYPERLINK("Melting_Curves/meltCurve_O75177_SS18L1.pdf", "Melting_Curves/meltCurve_O75177_SS18L1.pdf")</f>
        <v>Melting_Curves/meltCurve_O75177_SS18L1.pdf</v>
      </c>
    </row>
    <row r="1206" spans="1:28" x14ac:dyDescent="0.25">
      <c r="A1206" t="s">
        <v>1210</v>
      </c>
      <c r="B1206">
        <v>0.99352677808782597</v>
      </c>
      <c r="C1206">
        <v>1.0182252200038999</v>
      </c>
      <c r="D1206">
        <v>0.980536392764776</v>
      </c>
      <c r="E1206">
        <v>0.55304001581221196</v>
      </c>
      <c r="F1206">
        <v>0.46768705966566798</v>
      </c>
      <c r="G1206">
        <v>0.34252867368782702</v>
      </c>
      <c r="H1206">
        <v>0.27733697630715598</v>
      </c>
      <c r="I1206">
        <v>0.26172522352137001</v>
      </c>
      <c r="J1206">
        <v>0.27475638265083102</v>
      </c>
      <c r="K1206">
        <v>0.23686294681467199</v>
      </c>
      <c r="L1206">
        <v>1217.78747108422</v>
      </c>
      <c r="M1206">
        <v>24.432403225647001</v>
      </c>
      <c r="N1206">
        <v>51.506292381781499</v>
      </c>
      <c r="O1206">
        <v>49.512826208443599</v>
      </c>
      <c r="P1206">
        <v>-8.9707271215774695E-2</v>
      </c>
      <c r="Q1206">
        <v>0.272835363774035</v>
      </c>
      <c r="R1206">
        <v>0.98348251297789202</v>
      </c>
      <c r="S1206" t="s">
        <v>7491</v>
      </c>
      <c r="T1206" t="s">
        <v>12568</v>
      </c>
      <c r="U1206" t="s">
        <v>12568</v>
      </c>
      <c r="V1206" t="s">
        <v>12568</v>
      </c>
      <c r="W1206" t="s">
        <v>13749</v>
      </c>
      <c r="X1206">
        <v>26</v>
      </c>
      <c r="Y1206" t="s">
        <v>19964</v>
      </c>
      <c r="Z1206" t="s">
        <v>26076</v>
      </c>
      <c r="AA1206">
        <v>0.5182179105013085</v>
      </c>
      <c r="AB1206" t="str">
        <f>HYPERLINK("Melting_Curves/meltCurve_O75179_2_ANKRD17.pdf", "Melting_Curves/meltCurve_O75179_2_ANKRD17.pdf")</f>
        <v>Melting_Curves/meltCurve_O75179_2_ANKRD17.pdf</v>
      </c>
    </row>
    <row r="1207" spans="1:28" x14ac:dyDescent="0.25">
      <c r="A1207" t="s">
        <v>1211</v>
      </c>
      <c r="B1207">
        <v>0.99352677808782597</v>
      </c>
      <c r="C1207">
        <v>0.90117698924670497</v>
      </c>
      <c r="D1207">
        <v>0.96691894479807605</v>
      </c>
      <c r="E1207">
        <v>0.74258545730821801</v>
      </c>
      <c r="F1207">
        <v>0.64326889918584296</v>
      </c>
      <c r="G1207">
        <v>0.62937552965515897</v>
      </c>
      <c r="H1207">
        <v>0.51731412410107402</v>
      </c>
      <c r="I1207">
        <v>0.56976669915385803</v>
      </c>
      <c r="J1207">
        <v>0.59723982276350596</v>
      </c>
      <c r="K1207">
        <v>0.66541054669185995</v>
      </c>
      <c r="L1207">
        <v>1249.53846477609</v>
      </c>
      <c r="M1207">
        <v>25.456741618569101</v>
      </c>
      <c r="O1207">
        <v>48.784885405174599</v>
      </c>
      <c r="P1207">
        <v>-5.3254774133724203E-2</v>
      </c>
      <c r="Q1207">
        <v>0.59177877820131197</v>
      </c>
      <c r="R1207">
        <v>0.91913938734168799</v>
      </c>
      <c r="S1207" t="s">
        <v>7492</v>
      </c>
      <c r="T1207" t="s">
        <v>12568</v>
      </c>
      <c r="U1207" t="s">
        <v>12568</v>
      </c>
      <c r="V1207" t="s">
        <v>12568</v>
      </c>
      <c r="W1207" t="s">
        <v>13750</v>
      </c>
      <c r="X1207">
        <v>4</v>
      </c>
      <c r="Y1207" t="s">
        <v>19965</v>
      </c>
      <c r="Z1207" t="s">
        <v>26077</v>
      </c>
      <c r="AA1207">
        <v>0.71888593161657999</v>
      </c>
      <c r="AB1207" t="str">
        <f>HYPERLINK("Melting_Curves/meltCurve_O75190_DNAJB6.pdf", "Melting_Curves/meltCurve_O75190_DNAJB6.pdf")</f>
        <v>Melting_Curves/meltCurve_O75190_DNAJB6.pdf</v>
      </c>
    </row>
    <row r="1208" spans="1:28" x14ac:dyDescent="0.25">
      <c r="A1208" t="s">
        <v>1212</v>
      </c>
      <c r="B1208">
        <v>0.99352677808782597</v>
      </c>
      <c r="C1208">
        <v>0.94351908078138003</v>
      </c>
      <c r="D1208">
        <v>0.79310479640605003</v>
      </c>
      <c r="E1208">
        <v>0.22126612715807401</v>
      </c>
      <c r="F1208">
        <v>0.17104794804419299</v>
      </c>
      <c r="G1208">
        <v>0.104322418162271</v>
      </c>
      <c r="H1208">
        <v>8.1901505461631496E-2</v>
      </c>
      <c r="I1208">
        <v>7.0433962747940296E-2</v>
      </c>
      <c r="J1208">
        <v>6.09127219939481E-2</v>
      </c>
      <c r="K1208">
        <v>5.3187499926607998E-2</v>
      </c>
      <c r="L1208">
        <v>1498.10067147364</v>
      </c>
      <c r="M1208">
        <v>31.432661543423499</v>
      </c>
      <c r="N1208">
        <v>47.923143377700299</v>
      </c>
      <c r="O1208">
        <v>47.468973151052502</v>
      </c>
      <c r="P1208">
        <v>-0.152451640209776</v>
      </c>
      <c r="Q1208">
        <v>7.9087379563904103E-2</v>
      </c>
      <c r="R1208">
        <v>0.99530762990738197</v>
      </c>
      <c r="S1208" t="s">
        <v>7493</v>
      </c>
      <c r="T1208" t="s">
        <v>12568</v>
      </c>
      <c r="U1208" t="s">
        <v>12568</v>
      </c>
      <c r="V1208" t="s">
        <v>12568</v>
      </c>
      <c r="W1208" t="s">
        <v>13751</v>
      </c>
      <c r="X1208">
        <v>8</v>
      </c>
      <c r="Y1208" t="s">
        <v>19966</v>
      </c>
      <c r="Z1208" t="s">
        <v>26078</v>
      </c>
      <c r="AA1208">
        <v>0.31925938454081759</v>
      </c>
      <c r="AB1208" t="str">
        <f>HYPERLINK("Melting_Curves/meltCurve_O75191_XYLB.pdf", "Melting_Curves/meltCurve_O75191_XYLB.pdf")</f>
        <v>Melting_Curves/meltCurve_O75191_XYLB.pdf</v>
      </c>
    </row>
    <row r="1209" spans="1:28" x14ac:dyDescent="0.25">
      <c r="A1209" t="s">
        <v>1213</v>
      </c>
      <c r="B1209">
        <v>0.99352677808782597</v>
      </c>
      <c r="C1209">
        <v>0.78726313331442499</v>
      </c>
      <c r="D1209">
        <v>0.76921535992800005</v>
      </c>
      <c r="E1209">
        <v>0.30497277611733398</v>
      </c>
      <c r="F1209">
        <v>0.26581284723287302</v>
      </c>
      <c r="G1209">
        <v>0.188347058278654</v>
      </c>
      <c r="H1209">
        <v>0.147891552910278</v>
      </c>
      <c r="I1209">
        <v>0.176394094746717</v>
      </c>
      <c r="J1209">
        <v>0.152641467449983</v>
      </c>
      <c r="K1209">
        <v>0.144685940973097</v>
      </c>
      <c r="L1209">
        <v>881.99744258719602</v>
      </c>
      <c r="M1209">
        <v>18.6767684834495</v>
      </c>
      <c r="N1209">
        <v>48.132061541302697</v>
      </c>
      <c r="O1209">
        <v>46.692904237727198</v>
      </c>
      <c r="P1209">
        <v>-8.5157487326131306E-2</v>
      </c>
      <c r="Q1209">
        <v>0.148443522161921</v>
      </c>
      <c r="R1209">
        <v>0.97437785360939599</v>
      </c>
      <c r="S1209" t="s">
        <v>7494</v>
      </c>
      <c r="T1209" t="s">
        <v>12568</v>
      </c>
      <c r="U1209" t="s">
        <v>12568</v>
      </c>
      <c r="V1209" t="s">
        <v>12568</v>
      </c>
      <c r="W1209" t="s">
        <v>13752</v>
      </c>
      <c r="X1209">
        <v>3</v>
      </c>
      <c r="Y1209" t="s">
        <v>19967</v>
      </c>
      <c r="Z1209" t="s">
        <v>26079</v>
      </c>
      <c r="AA1209">
        <v>0.36786019292827432</v>
      </c>
      <c r="AB1209" t="str">
        <f>HYPERLINK("Melting_Curves/meltCurve_O75208_COQ9.pdf", "Melting_Curves/meltCurve_O75208_COQ9.pdf")</f>
        <v>Melting_Curves/meltCurve_O75208_COQ9.pdf</v>
      </c>
    </row>
    <row r="1210" spans="1:28" x14ac:dyDescent="0.25">
      <c r="A1210" t="s">
        <v>1214</v>
      </c>
      <c r="B1210">
        <v>0.99352677808782597</v>
      </c>
      <c r="C1210">
        <v>0.97041024815639199</v>
      </c>
      <c r="D1210">
        <v>1.07611001167002</v>
      </c>
      <c r="E1210">
        <v>1.02312545952158</v>
      </c>
      <c r="F1210">
        <v>0.94008073154946903</v>
      </c>
      <c r="G1210">
        <v>0.86164989482093202</v>
      </c>
      <c r="H1210">
        <v>0.28761770184741298</v>
      </c>
      <c r="I1210">
        <v>0.155298324679782</v>
      </c>
      <c r="J1210">
        <v>0.11198790561064099</v>
      </c>
      <c r="K1210">
        <v>8.6613120990437997E-2</v>
      </c>
      <c r="L1210">
        <v>2530.8643372604301</v>
      </c>
      <c r="M1210">
        <v>42.771931917287297</v>
      </c>
      <c r="N1210">
        <v>59.487913347136796</v>
      </c>
      <c r="O1210">
        <v>59.042264702682999</v>
      </c>
      <c r="P1210">
        <v>-0.162663589756398</v>
      </c>
      <c r="Q1210">
        <v>0.10184015977447899</v>
      </c>
      <c r="R1210">
        <v>0.99336176443233504</v>
      </c>
      <c r="S1210" t="s">
        <v>7495</v>
      </c>
      <c r="T1210" t="s">
        <v>12568</v>
      </c>
      <c r="U1210" t="s">
        <v>12568</v>
      </c>
      <c r="V1210" t="s">
        <v>12568</v>
      </c>
      <c r="W1210" t="s">
        <v>13753</v>
      </c>
      <c r="X1210">
        <v>18</v>
      </c>
      <c r="Y1210" t="s">
        <v>19968</v>
      </c>
      <c r="Z1210" t="s">
        <v>26080</v>
      </c>
      <c r="AA1210">
        <v>0.67892667325625711</v>
      </c>
      <c r="AB1210" t="str">
        <f>HYPERLINK("Melting_Curves/meltCurve_O75223_GGCT.pdf", "Melting_Curves/meltCurve_O75223_GGCT.pdf")</f>
        <v>Melting_Curves/meltCurve_O75223_GGCT.pdf</v>
      </c>
    </row>
    <row r="1211" spans="1:28" x14ac:dyDescent="0.25">
      <c r="A1211" t="s">
        <v>1215</v>
      </c>
      <c r="B1211">
        <v>0.99352677808782597</v>
      </c>
      <c r="C1211">
        <v>1.0209512071425599</v>
      </c>
      <c r="D1211">
        <v>0.96001045686631903</v>
      </c>
      <c r="E1211">
        <v>1.02303830017421</v>
      </c>
      <c r="F1211">
        <v>0.94983182674562705</v>
      </c>
      <c r="G1211">
        <v>0.68154779911024899</v>
      </c>
      <c r="H1211">
        <v>0.61175820658234203</v>
      </c>
      <c r="I1211">
        <v>0.70379775992024896</v>
      </c>
      <c r="J1211">
        <v>0.73890440498776599</v>
      </c>
      <c r="K1211">
        <v>0.59149569747172004</v>
      </c>
      <c r="L1211">
        <v>3578.5129576120898</v>
      </c>
      <c r="M1211">
        <v>65.741202096441796</v>
      </c>
      <c r="O1211">
        <v>54.383035240769402</v>
      </c>
      <c r="P1211">
        <v>-0.102128025499758</v>
      </c>
      <c r="Q1211">
        <v>0.66206700188729695</v>
      </c>
      <c r="R1211">
        <v>0.93679870222880501</v>
      </c>
      <c r="S1211" t="s">
        <v>7496</v>
      </c>
      <c r="T1211" t="s">
        <v>12568</v>
      </c>
      <c r="U1211" t="s">
        <v>12568</v>
      </c>
      <c r="V1211" t="s">
        <v>12568</v>
      </c>
      <c r="W1211" t="s">
        <v>13754</v>
      </c>
      <c r="X1211">
        <v>21</v>
      </c>
      <c r="Y1211" t="s">
        <v>19969</v>
      </c>
      <c r="Z1211" t="s">
        <v>26081</v>
      </c>
      <c r="AA1211">
        <v>0.82511859329045656</v>
      </c>
      <c r="AB1211" t="str">
        <f>HYPERLINK("Melting_Curves/meltCurve_O75312_ZNF259.pdf", "Melting_Curves/meltCurve_O75312_ZNF259.pdf")</f>
        <v>Melting_Curves/meltCurve_O75312_ZNF259.pdf</v>
      </c>
    </row>
    <row r="1212" spans="1:28" x14ac:dyDescent="0.25">
      <c r="A1212" t="s">
        <v>1216</v>
      </c>
      <c r="B1212">
        <v>0.99352677808782597</v>
      </c>
      <c r="C1212">
        <v>0.92948799023038697</v>
      </c>
      <c r="D1212">
        <v>0.70753236255087304</v>
      </c>
      <c r="E1212">
        <v>0.226786594550548</v>
      </c>
      <c r="F1212">
        <v>0.17597268639806601</v>
      </c>
      <c r="G1212">
        <v>0.10656131697165699</v>
      </c>
      <c r="H1212">
        <v>9.1536897879972698E-2</v>
      </c>
      <c r="I1212">
        <v>7.1194131828516596E-2</v>
      </c>
      <c r="J1212">
        <v>6.1461378481974298E-2</v>
      </c>
      <c r="K1212">
        <v>4.6969630822448698E-2</v>
      </c>
      <c r="L1212">
        <v>1211.8898615475</v>
      </c>
      <c r="M1212">
        <v>25.638678733777098</v>
      </c>
      <c r="N1212">
        <v>47.575575394946597</v>
      </c>
      <c r="O1212">
        <v>46.983299281756899</v>
      </c>
      <c r="P1212">
        <v>-0.12600788949508601</v>
      </c>
      <c r="Q1212">
        <v>7.6365457179948804E-2</v>
      </c>
      <c r="R1212">
        <v>0.99618933327213099</v>
      </c>
      <c r="S1212" t="s">
        <v>7497</v>
      </c>
      <c r="T1212" t="s">
        <v>12568</v>
      </c>
      <c r="U1212" t="s">
        <v>12568</v>
      </c>
      <c r="V1212" t="s">
        <v>12568</v>
      </c>
      <c r="W1212" t="s">
        <v>13755</v>
      </c>
      <c r="X1212">
        <v>9</v>
      </c>
      <c r="Y1212" t="s">
        <v>19970</v>
      </c>
      <c r="Z1212" t="s">
        <v>26082</v>
      </c>
      <c r="AA1212">
        <v>0.30790272000791652</v>
      </c>
      <c r="AB1212" t="str">
        <f>HYPERLINK("Melting_Curves/meltCurve_O75323_GBAS.pdf", "Melting_Curves/meltCurve_O75323_GBAS.pdf")</f>
        <v>Melting_Curves/meltCurve_O75323_GBAS.pdf</v>
      </c>
    </row>
    <row r="1213" spans="1:28" x14ac:dyDescent="0.25">
      <c r="A1213" t="s">
        <v>1217</v>
      </c>
      <c r="B1213">
        <v>0.99352677808782597</v>
      </c>
      <c r="C1213">
        <v>0.97221237193640098</v>
      </c>
      <c r="D1213">
        <v>0.95308948266895399</v>
      </c>
      <c r="E1213">
        <v>0.62967375289654803</v>
      </c>
      <c r="F1213">
        <v>0.55615110586886296</v>
      </c>
      <c r="G1213">
        <v>0.41570679481955197</v>
      </c>
      <c r="H1213">
        <v>0.31485995820679302</v>
      </c>
      <c r="I1213">
        <v>0.31990427442881902</v>
      </c>
      <c r="J1213">
        <v>0.31594106863608501</v>
      </c>
      <c r="K1213">
        <v>0.27022729284846098</v>
      </c>
      <c r="L1213">
        <v>858.27110908530994</v>
      </c>
      <c r="M1213">
        <v>16.886289660925101</v>
      </c>
      <c r="N1213">
        <v>53.594951761351702</v>
      </c>
      <c r="O1213">
        <v>50.129752932727101</v>
      </c>
      <c r="P1213">
        <v>-5.9710993896718002E-2</v>
      </c>
      <c r="Q1213">
        <v>0.29099702467573402</v>
      </c>
      <c r="R1213">
        <v>0.98724976236699702</v>
      </c>
      <c r="S1213" t="s">
        <v>7498</v>
      </c>
      <c r="T1213" t="s">
        <v>12568</v>
      </c>
      <c r="U1213" t="s">
        <v>12568</v>
      </c>
      <c r="V1213" t="s">
        <v>12568</v>
      </c>
      <c r="W1213" t="s">
        <v>13756</v>
      </c>
      <c r="X1213">
        <v>16</v>
      </c>
      <c r="Y1213" t="s">
        <v>19971</v>
      </c>
      <c r="Z1213" t="s">
        <v>26083</v>
      </c>
      <c r="AA1213">
        <v>0.5602910859446868</v>
      </c>
      <c r="AB1213" t="str">
        <f>HYPERLINK("Melting_Curves/meltCurve_O75330_2_HMMR.pdf", "Melting_Curves/meltCurve_O75330_2_HMMR.pdf")</f>
        <v>Melting_Curves/meltCurve_O75330_2_HMMR.pdf</v>
      </c>
    </row>
    <row r="1214" spans="1:28" x14ac:dyDescent="0.25">
      <c r="A1214" t="s">
        <v>1218</v>
      </c>
      <c r="B1214">
        <v>0.99352677808782597</v>
      </c>
      <c r="C1214">
        <v>1.01876875745909</v>
      </c>
      <c r="D1214">
        <v>1.0048058377722</v>
      </c>
      <c r="E1214">
        <v>0.56931524349718499</v>
      </c>
      <c r="F1214">
        <v>0.49345728020642399</v>
      </c>
      <c r="G1214">
        <v>0.22612621499118599</v>
      </c>
      <c r="H1214">
        <v>0.146341469959306</v>
      </c>
      <c r="I1214">
        <v>0.113327425178733</v>
      </c>
      <c r="J1214">
        <v>8.8156994076945203E-2</v>
      </c>
      <c r="K1214">
        <v>6.4329627711688597E-2</v>
      </c>
      <c r="L1214">
        <v>930.47464435737402</v>
      </c>
      <c r="M1214">
        <v>18.0100838345823</v>
      </c>
      <c r="N1214">
        <v>52.163139008005999</v>
      </c>
      <c r="O1214">
        <v>51.039770810898197</v>
      </c>
      <c r="P1214">
        <v>-8.1238759098719804E-2</v>
      </c>
      <c r="Q1214">
        <v>7.91373176954695E-2</v>
      </c>
      <c r="R1214">
        <v>0.98261021675964799</v>
      </c>
      <c r="S1214" t="s">
        <v>7499</v>
      </c>
      <c r="T1214" t="s">
        <v>12568</v>
      </c>
      <c r="U1214" t="s">
        <v>12568</v>
      </c>
      <c r="V1214" t="s">
        <v>12568</v>
      </c>
      <c r="W1214" t="s">
        <v>13757</v>
      </c>
      <c r="X1214">
        <v>8</v>
      </c>
      <c r="Y1214" t="s">
        <v>19972</v>
      </c>
      <c r="Z1214" t="s">
        <v>26084</v>
      </c>
      <c r="AA1214">
        <v>0.45254873605507151</v>
      </c>
      <c r="AB1214" t="str">
        <f>HYPERLINK("Melting_Curves/meltCurve_O75340_PDCD6.pdf", "Melting_Curves/meltCurve_O75340_PDCD6.pdf")</f>
        <v>Melting_Curves/meltCurve_O75340_PDCD6.pdf</v>
      </c>
    </row>
    <row r="1215" spans="1:28" x14ac:dyDescent="0.25">
      <c r="A1215" t="s">
        <v>1219</v>
      </c>
      <c r="B1215">
        <v>0.99352677808782597</v>
      </c>
      <c r="C1215">
        <v>0.94934200909116095</v>
      </c>
      <c r="D1215">
        <v>1.00424355683958</v>
      </c>
      <c r="E1215">
        <v>1.0090924134608801</v>
      </c>
      <c r="F1215">
        <v>0.95023637921411097</v>
      </c>
      <c r="G1215">
        <v>0.90558304535089695</v>
      </c>
      <c r="H1215">
        <v>0.842170806304949</v>
      </c>
      <c r="I1215">
        <v>0.92248548486225901</v>
      </c>
      <c r="J1215">
        <v>0.94251635555392899</v>
      </c>
      <c r="K1215">
        <v>0.85473732772960198</v>
      </c>
      <c r="L1215">
        <v>13256.9512926398</v>
      </c>
      <c r="M1215">
        <v>250</v>
      </c>
      <c r="O1215">
        <v>53.024410745391002</v>
      </c>
      <c r="P1215">
        <v>-0.12553344996401899</v>
      </c>
      <c r="Q1215">
        <v>0.89349860271014403</v>
      </c>
      <c r="R1215">
        <v>0.66141433771284497</v>
      </c>
      <c r="S1215" t="s">
        <v>7500</v>
      </c>
      <c r="T1215" t="s">
        <v>12568</v>
      </c>
      <c r="U1215" t="s">
        <v>12568</v>
      </c>
      <c r="V1215" t="s">
        <v>12568</v>
      </c>
      <c r="W1215" t="s">
        <v>13758</v>
      </c>
      <c r="X1215">
        <v>17</v>
      </c>
      <c r="Y1215" t="s">
        <v>19973</v>
      </c>
      <c r="Z1215" t="s">
        <v>26085</v>
      </c>
      <c r="AA1215">
        <v>0.93975782918959971</v>
      </c>
      <c r="AB1215" t="str">
        <f>HYPERLINK("Melting_Curves/meltCurve_O75347_TBCA.pdf", "Melting_Curves/meltCurve_O75347_TBCA.pdf")</f>
        <v>Melting_Curves/meltCurve_O75347_TBCA.pdf</v>
      </c>
    </row>
    <row r="1216" spans="1:28" x14ac:dyDescent="0.25">
      <c r="A1216" t="s">
        <v>1220</v>
      </c>
      <c r="B1216">
        <v>0.99352677808782597</v>
      </c>
      <c r="C1216">
        <v>1.01035143362546</v>
      </c>
      <c r="D1216">
        <v>0.95642482496696601</v>
      </c>
      <c r="E1216">
        <v>0.73135691762604205</v>
      </c>
      <c r="F1216">
        <v>0.68240973951379602</v>
      </c>
      <c r="G1216">
        <v>0.53057031870591398</v>
      </c>
      <c r="H1216">
        <v>0.47246517262037901</v>
      </c>
      <c r="I1216">
        <v>0.45037226073213799</v>
      </c>
      <c r="J1216">
        <v>0.43710261972102499</v>
      </c>
      <c r="K1216">
        <v>0.35065935867308001</v>
      </c>
      <c r="L1216">
        <v>728.84478227949398</v>
      </c>
      <c r="M1216">
        <v>13.9432021785389</v>
      </c>
      <c r="N1216">
        <v>58.4450050268456</v>
      </c>
      <c r="O1216">
        <v>51.232401193928702</v>
      </c>
      <c r="P1216">
        <v>-4.18268058897329E-2</v>
      </c>
      <c r="Q1216">
        <v>0.38533500994643</v>
      </c>
      <c r="R1216">
        <v>0.98212462730127004</v>
      </c>
      <c r="S1216" t="s">
        <v>7501</v>
      </c>
      <c r="T1216" t="s">
        <v>12568</v>
      </c>
      <c r="U1216" t="s">
        <v>12568</v>
      </c>
      <c r="V1216" t="s">
        <v>12568</v>
      </c>
      <c r="W1216" t="s">
        <v>13759</v>
      </c>
      <c r="X1216">
        <v>8</v>
      </c>
      <c r="Y1216" t="s">
        <v>19974</v>
      </c>
      <c r="Z1216" t="s">
        <v>26086</v>
      </c>
      <c r="AA1216">
        <v>0.65191424294522904</v>
      </c>
      <c r="AB1216" t="str">
        <f>HYPERLINK("Melting_Curves/meltCurve_O75348_ATP6V1G1.pdf", "Melting_Curves/meltCurve_O75348_ATP6V1G1.pdf")</f>
        <v>Melting_Curves/meltCurve_O75348_ATP6V1G1.pdf</v>
      </c>
    </row>
    <row r="1217" spans="1:28" x14ac:dyDescent="0.25">
      <c r="A1217" t="s">
        <v>1221</v>
      </c>
      <c r="B1217">
        <v>0.99352677808782597</v>
      </c>
      <c r="C1217">
        <v>0.87017452007282803</v>
      </c>
      <c r="D1217">
        <v>0.82348512627099202</v>
      </c>
      <c r="E1217">
        <v>0.23622619870742101</v>
      </c>
      <c r="F1217">
        <v>0.19109853359368001</v>
      </c>
      <c r="G1217">
        <v>0.11646338639304001</v>
      </c>
      <c r="H1217">
        <v>9.6620594936900395E-2</v>
      </c>
      <c r="I1217">
        <v>7.7017573126290997E-2</v>
      </c>
      <c r="J1217">
        <v>6.8184715168341195E-2</v>
      </c>
      <c r="K1217">
        <v>5.4109826832599399E-2</v>
      </c>
      <c r="L1217">
        <v>1382.1677544848999</v>
      </c>
      <c r="M1217">
        <v>28.9144634069585</v>
      </c>
      <c r="N1217">
        <v>48.110571830696799</v>
      </c>
      <c r="O1217">
        <v>47.575046633091603</v>
      </c>
      <c r="P1217">
        <v>-0.139080853456718</v>
      </c>
      <c r="Q1217">
        <v>8.4647850310924394E-2</v>
      </c>
      <c r="R1217">
        <v>0.98539535240308296</v>
      </c>
      <c r="S1217" t="s">
        <v>7502</v>
      </c>
      <c r="T1217" t="s">
        <v>12568</v>
      </c>
      <c r="U1217" t="s">
        <v>12568</v>
      </c>
      <c r="V1217" t="s">
        <v>12568</v>
      </c>
      <c r="W1217" t="s">
        <v>13760</v>
      </c>
      <c r="X1217">
        <v>19</v>
      </c>
      <c r="Y1217" t="s">
        <v>19975</v>
      </c>
      <c r="Z1217" t="s">
        <v>26087</v>
      </c>
      <c r="AA1217">
        <v>0.32864289496786597</v>
      </c>
      <c r="AB1217" t="str">
        <f>HYPERLINK("Melting_Curves/meltCurve_O75351_VPS4B.pdf", "Melting_Curves/meltCurve_O75351_VPS4B.pdf")</f>
        <v>Melting_Curves/meltCurve_O75351_VPS4B.pdf</v>
      </c>
    </row>
    <row r="1218" spans="1:28" x14ac:dyDescent="0.25">
      <c r="A1218" t="s">
        <v>1222</v>
      </c>
      <c r="B1218">
        <v>0.99352677808782597</v>
      </c>
      <c r="C1218">
        <v>0.95919976054563805</v>
      </c>
      <c r="D1218">
        <v>0.91510218867801596</v>
      </c>
      <c r="E1218">
        <v>0.67454188720984298</v>
      </c>
      <c r="F1218">
        <v>0.60703247655312598</v>
      </c>
      <c r="G1218">
        <v>0.46296718335901599</v>
      </c>
      <c r="H1218">
        <v>0.419991282812125</v>
      </c>
      <c r="I1218">
        <v>0.382756244842755</v>
      </c>
      <c r="J1218">
        <v>0.36623273442267001</v>
      </c>
      <c r="K1218">
        <v>0.29820914687997802</v>
      </c>
      <c r="L1218">
        <v>678.91689442694906</v>
      </c>
      <c r="M1218">
        <v>13.2207685887824</v>
      </c>
      <c r="N1218">
        <v>55.7061983915547</v>
      </c>
      <c r="O1218">
        <v>50.220034175200603</v>
      </c>
      <c r="P1218">
        <v>-4.46236360796037E-2</v>
      </c>
      <c r="Q1218">
        <v>0.32208756638851599</v>
      </c>
      <c r="R1218">
        <v>0.98961880121978896</v>
      </c>
      <c r="S1218" t="s">
        <v>7503</v>
      </c>
      <c r="T1218" t="s">
        <v>12568</v>
      </c>
      <c r="U1218" t="s">
        <v>12568</v>
      </c>
      <c r="V1218" t="s">
        <v>12568</v>
      </c>
      <c r="W1218" t="s">
        <v>13761</v>
      </c>
      <c r="X1218">
        <v>7</v>
      </c>
      <c r="Y1218" t="s">
        <v>19976</v>
      </c>
      <c r="Z1218" t="s">
        <v>26088</v>
      </c>
      <c r="AA1218">
        <v>0.59744725285385625</v>
      </c>
      <c r="AB1218" t="str">
        <f>HYPERLINK("Melting_Curves/meltCurve_O75362_ZNF217.pdf", "Melting_Curves/meltCurve_O75362_ZNF217.pdf")</f>
        <v>Melting_Curves/meltCurve_O75362_ZNF217.pdf</v>
      </c>
    </row>
    <row r="1219" spans="1:28" x14ac:dyDescent="0.25">
      <c r="A1219" t="s">
        <v>1223</v>
      </c>
      <c r="B1219">
        <v>0.99352677808782597</v>
      </c>
      <c r="C1219">
        <v>0.93779089590630804</v>
      </c>
      <c r="D1219">
        <v>1.04169628483383</v>
      </c>
      <c r="E1219">
        <v>0.86332970907261497</v>
      </c>
      <c r="F1219">
        <v>0.81574005704441199</v>
      </c>
      <c r="G1219">
        <v>0.60527759580379603</v>
      </c>
      <c r="H1219">
        <v>0.28798661747231602</v>
      </c>
      <c r="I1219">
        <v>0.12776610573443001</v>
      </c>
      <c r="J1219">
        <v>6.6335477828165498E-2</v>
      </c>
      <c r="K1219">
        <v>4.0116488910475097E-2</v>
      </c>
      <c r="L1219">
        <v>1005.46187395525</v>
      </c>
      <c r="M1219">
        <v>17.3944269161336</v>
      </c>
      <c r="N1219">
        <v>57.803680050953098</v>
      </c>
      <c r="O1219">
        <v>57.055921658078901</v>
      </c>
      <c r="P1219">
        <v>-7.6220874919702697E-2</v>
      </c>
      <c r="Q1219">
        <v>0</v>
      </c>
      <c r="R1219">
        <v>0.98975319137080198</v>
      </c>
      <c r="S1219" t="s">
        <v>7504</v>
      </c>
      <c r="T1219" t="s">
        <v>12568</v>
      </c>
      <c r="U1219" t="s">
        <v>12568</v>
      </c>
      <c r="V1219" t="s">
        <v>12568</v>
      </c>
      <c r="W1219" t="s">
        <v>13762</v>
      </c>
      <c r="X1219">
        <v>4</v>
      </c>
      <c r="Y1219" t="s">
        <v>19977</v>
      </c>
      <c r="Z1219" t="s">
        <v>26089</v>
      </c>
      <c r="AA1219">
        <v>0.60643970943166614</v>
      </c>
      <c r="AB1219" t="str">
        <f>HYPERLINK("Melting_Curves/meltCurve_O75367_2_H2AFY.pdf", "Melting_Curves/meltCurve_O75367_2_H2AFY.pdf")</f>
        <v>Melting_Curves/meltCurve_O75367_2_H2AFY.pdf</v>
      </c>
    </row>
    <row r="1220" spans="1:28" x14ac:dyDescent="0.25">
      <c r="A1220" t="s">
        <v>1224</v>
      </c>
      <c r="B1220">
        <v>0.99352677808782597</v>
      </c>
      <c r="C1220">
        <v>0.98236686599530898</v>
      </c>
      <c r="D1220">
        <v>1.0113145658654601</v>
      </c>
      <c r="E1220">
        <v>0.96866949071724995</v>
      </c>
      <c r="F1220">
        <v>0.85567459200918805</v>
      </c>
      <c r="G1220">
        <v>0.79618838498459199</v>
      </c>
      <c r="H1220">
        <v>0.70427770664265599</v>
      </c>
      <c r="I1220">
        <v>0.66345431162055801</v>
      </c>
      <c r="J1220">
        <v>0.71417957412585098</v>
      </c>
      <c r="K1220">
        <v>0.64166476335022105</v>
      </c>
      <c r="L1220">
        <v>984.50862442949403</v>
      </c>
      <c r="M1220">
        <v>17.916276545822399</v>
      </c>
      <c r="O1220">
        <v>54.279648258324499</v>
      </c>
      <c r="P1220">
        <v>-2.81291109373017E-2</v>
      </c>
      <c r="Q1220">
        <v>0.65913419214562996</v>
      </c>
      <c r="R1220">
        <v>0.97423532830985504</v>
      </c>
      <c r="S1220" t="s">
        <v>7505</v>
      </c>
      <c r="T1220" t="s">
        <v>12568</v>
      </c>
      <c r="U1220" t="s">
        <v>12568</v>
      </c>
      <c r="V1220" t="s">
        <v>12568</v>
      </c>
      <c r="W1220" t="s">
        <v>13763</v>
      </c>
      <c r="X1220">
        <v>12</v>
      </c>
      <c r="Y1220" t="s">
        <v>19978</v>
      </c>
      <c r="Z1220" t="s">
        <v>26090</v>
      </c>
      <c r="AA1220">
        <v>0.83432193718798586</v>
      </c>
      <c r="AB1220" t="str">
        <f>HYPERLINK("Melting_Curves/meltCurve_O75368_SH3BGRL.pdf", "Melting_Curves/meltCurve_O75368_SH3BGRL.pdf")</f>
        <v>Melting_Curves/meltCurve_O75368_SH3BGRL.pdf</v>
      </c>
    </row>
    <row r="1221" spans="1:28" x14ac:dyDescent="0.25">
      <c r="A1221" t="s">
        <v>1225</v>
      </c>
      <c r="B1221">
        <v>0.99352677808782597</v>
      </c>
      <c r="C1221">
        <v>0.99368469351081601</v>
      </c>
      <c r="D1221">
        <v>1.06187751168182</v>
      </c>
      <c r="E1221">
        <v>1.0527222650139301</v>
      </c>
      <c r="F1221">
        <v>0.88012198015764298</v>
      </c>
      <c r="G1221">
        <v>0.39914733181453099</v>
      </c>
      <c r="H1221">
        <v>0.259548046190957</v>
      </c>
      <c r="I1221">
        <v>0.19437974252060899</v>
      </c>
      <c r="J1221">
        <v>0.17001181979213001</v>
      </c>
      <c r="K1221">
        <v>0.112333768485466</v>
      </c>
      <c r="L1221">
        <v>2013.73995594903</v>
      </c>
      <c r="M1221">
        <v>36.203386531075203</v>
      </c>
      <c r="N1221">
        <v>56.2708949743717</v>
      </c>
      <c r="O1221">
        <v>55.4540546142455</v>
      </c>
      <c r="P1221">
        <v>-0.135394616933499</v>
      </c>
      <c r="Q1221">
        <v>0.17044660872303199</v>
      </c>
      <c r="R1221">
        <v>0.989968353917691</v>
      </c>
      <c r="S1221" t="s">
        <v>7506</v>
      </c>
      <c r="T1221" t="s">
        <v>12568</v>
      </c>
      <c r="U1221" t="s">
        <v>12568</v>
      </c>
      <c r="V1221" t="s">
        <v>12568</v>
      </c>
      <c r="W1221" t="s">
        <v>13764</v>
      </c>
      <c r="X1221">
        <v>179</v>
      </c>
      <c r="Y1221" t="s">
        <v>19979</v>
      </c>
      <c r="Z1221" t="s">
        <v>26091</v>
      </c>
      <c r="AA1221">
        <v>0.60630917105216509</v>
      </c>
      <c r="AB1221" t="str">
        <f>HYPERLINK("Melting_Curves/meltCurve_O75369_8_FLNB.pdf", "Melting_Curves/meltCurve_O75369_8_FLNB.pdf")</f>
        <v>Melting_Curves/meltCurve_O75369_8_FLNB.pdf</v>
      </c>
    </row>
    <row r="1222" spans="1:28" x14ac:dyDescent="0.25">
      <c r="A1222" t="s">
        <v>1226</v>
      </c>
      <c r="B1222">
        <v>0.99352677808782597</v>
      </c>
      <c r="C1222">
        <v>0.95885527451371</v>
      </c>
      <c r="D1222">
        <v>0.90153342439736195</v>
      </c>
      <c r="E1222">
        <v>0.880128826079282</v>
      </c>
      <c r="F1222">
        <v>0.77693064210864005</v>
      </c>
      <c r="G1222">
        <v>0.64889566794653097</v>
      </c>
      <c r="H1222">
        <v>0.56343344738690704</v>
      </c>
      <c r="I1222">
        <v>0.56779211904585303</v>
      </c>
      <c r="J1222">
        <v>0.59239175823933998</v>
      </c>
      <c r="K1222">
        <v>0.488984253829921</v>
      </c>
      <c r="L1222">
        <v>602.90061239926195</v>
      </c>
      <c r="M1222">
        <v>11.194460464568699</v>
      </c>
      <c r="O1222">
        <v>52.224161360793801</v>
      </c>
      <c r="P1222">
        <v>-2.7576212670068601E-2</v>
      </c>
      <c r="Q1222">
        <v>0.48557035761287398</v>
      </c>
      <c r="R1222">
        <v>0.97482541626031205</v>
      </c>
      <c r="S1222" t="s">
        <v>7507</v>
      </c>
      <c r="T1222" t="s">
        <v>12568</v>
      </c>
      <c r="U1222" t="s">
        <v>12568</v>
      </c>
      <c r="V1222" t="s">
        <v>12568</v>
      </c>
      <c r="W1222" t="s">
        <v>13765</v>
      </c>
      <c r="X1222">
        <v>31</v>
      </c>
      <c r="Y1222" t="s">
        <v>19395</v>
      </c>
      <c r="Z1222" t="s">
        <v>26092</v>
      </c>
      <c r="AA1222">
        <v>0.73768837584008862</v>
      </c>
      <c r="AB1222" t="str">
        <f>HYPERLINK("Melting_Curves/meltCurve_O75376_NCOR1.pdf", "Melting_Curves/meltCurve_O75376_NCOR1.pdf")</f>
        <v>Melting_Curves/meltCurve_O75376_NCOR1.pdf</v>
      </c>
    </row>
    <row r="1223" spans="1:28" x14ac:dyDescent="0.25">
      <c r="A1223" t="s">
        <v>1227</v>
      </c>
      <c r="B1223">
        <v>0.99352677808782597</v>
      </c>
      <c r="C1223">
        <v>0.9994347595741</v>
      </c>
      <c r="D1223">
        <v>1.0343496861227099</v>
      </c>
      <c r="E1223">
        <v>0.917849351131789</v>
      </c>
      <c r="F1223">
        <v>0.815871317203963</v>
      </c>
      <c r="G1223">
        <v>0.78295164645911397</v>
      </c>
      <c r="H1223">
        <v>0.66351395749415099</v>
      </c>
      <c r="I1223">
        <v>0.66082768916159196</v>
      </c>
      <c r="J1223">
        <v>0.75647654625512395</v>
      </c>
      <c r="K1223">
        <v>0.63386804033003996</v>
      </c>
      <c r="L1223">
        <v>1068.96580787266</v>
      </c>
      <c r="M1223">
        <v>20.1673597175091</v>
      </c>
      <c r="O1223">
        <v>52.491843569268703</v>
      </c>
      <c r="P1223">
        <v>-3.1147006137268399E-2</v>
      </c>
      <c r="Q1223">
        <v>0.675731000682535</v>
      </c>
      <c r="R1223">
        <v>0.93070542222775599</v>
      </c>
      <c r="S1223" t="s">
        <v>7508</v>
      </c>
      <c r="T1223" t="s">
        <v>12568</v>
      </c>
      <c r="U1223" t="s">
        <v>12568</v>
      </c>
      <c r="V1223" t="s">
        <v>12568</v>
      </c>
      <c r="W1223" t="s">
        <v>13766</v>
      </c>
      <c r="X1223">
        <v>5</v>
      </c>
      <c r="Y1223" t="s">
        <v>19980</v>
      </c>
      <c r="Z1223" t="s">
        <v>26093</v>
      </c>
      <c r="AA1223">
        <v>0.82069553733326495</v>
      </c>
      <c r="AB1223" t="str">
        <f>HYPERLINK("Melting_Curves/meltCurve_O75380_NDUFS6.pdf", "Melting_Curves/meltCurve_O75380_NDUFS6.pdf")</f>
        <v>Melting_Curves/meltCurve_O75380_NDUFS6.pdf</v>
      </c>
    </row>
    <row r="1224" spans="1:28" x14ac:dyDescent="0.25">
      <c r="A1224" t="s">
        <v>1228</v>
      </c>
      <c r="B1224">
        <v>0.99352677808782597</v>
      </c>
      <c r="C1224">
        <v>0.92185429969134502</v>
      </c>
      <c r="D1224">
        <v>0.80668170511915804</v>
      </c>
      <c r="E1224">
        <v>0.365396328164175</v>
      </c>
      <c r="F1224">
        <v>0.266870859071765</v>
      </c>
      <c r="G1224">
        <v>0.18213778386878199</v>
      </c>
      <c r="H1224">
        <v>0.122120957686041</v>
      </c>
      <c r="I1224">
        <v>0.113617959017345</v>
      </c>
      <c r="J1224">
        <v>0.116961892312326</v>
      </c>
      <c r="K1224">
        <v>0.103572739994974</v>
      </c>
      <c r="L1224">
        <v>1029.44747073237</v>
      </c>
      <c r="M1224">
        <v>21.3060432697749</v>
      </c>
      <c r="N1224">
        <v>48.937650547659601</v>
      </c>
      <c r="O1224">
        <v>47.897557514226897</v>
      </c>
      <c r="P1224">
        <v>-9.8045828873225202E-2</v>
      </c>
      <c r="Q1224">
        <v>0.118365336544925</v>
      </c>
      <c r="R1224">
        <v>0.99523685574884102</v>
      </c>
      <c r="S1224" t="s">
        <v>7509</v>
      </c>
      <c r="T1224" t="s">
        <v>12568</v>
      </c>
      <c r="U1224" t="s">
        <v>12568</v>
      </c>
      <c r="V1224" t="s">
        <v>12568</v>
      </c>
      <c r="W1224" t="s">
        <v>13767</v>
      </c>
      <c r="X1224">
        <v>3</v>
      </c>
      <c r="Y1224" t="s">
        <v>19981</v>
      </c>
      <c r="Z1224" t="s">
        <v>26094</v>
      </c>
      <c r="AA1224">
        <v>0.37369668633241909</v>
      </c>
      <c r="AB1224" t="str">
        <f>HYPERLINK("Melting_Curves/meltCurve_O75382_2_TRIM3.pdf", "Melting_Curves/meltCurve_O75382_2_TRIM3.pdf")</f>
        <v>Melting_Curves/meltCurve_O75382_2_TRIM3.pdf</v>
      </c>
    </row>
    <row r="1225" spans="1:28" x14ac:dyDescent="0.25">
      <c r="A1225" t="s">
        <v>1229</v>
      </c>
      <c r="B1225">
        <v>0.99352677808782597</v>
      </c>
      <c r="C1225">
        <v>0.93893075077771704</v>
      </c>
      <c r="D1225">
        <v>0.94671839396423696</v>
      </c>
      <c r="E1225">
        <v>0.64212503395693499</v>
      </c>
      <c r="F1225">
        <v>0.46714503637287602</v>
      </c>
      <c r="G1225">
        <v>0.38735136183254498</v>
      </c>
      <c r="H1225">
        <v>0.28650202477120401</v>
      </c>
      <c r="I1225">
        <v>0.25782444055763998</v>
      </c>
      <c r="J1225">
        <v>0.203120273981612</v>
      </c>
      <c r="K1225">
        <v>0.202045446082808</v>
      </c>
      <c r="L1225">
        <v>811.542207114137</v>
      </c>
      <c r="M1225">
        <v>15.8887276298701</v>
      </c>
      <c r="N1225">
        <v>52.924164518789802</v>
      </c>
      <c r="O1225">
        <v>50.288057252545997</v>
      </c>
      <c r="P1225">
        <v>-6.21793687022376E-2</v>
      </c>
      <c r="Q1225">
        <v>0.212869028796347</v>
      </c>
      <c r="R1225">
        <v>0.98892963082204299</v>
      </c>
      <c r="S1225" t="s">
        <v>7510</v>
      </c>
      <c r="T1225" t="s">
        <v>12568</v>
      </c>
      <c r="U1225" t="s">
        <v>12568</v>
      </c>
      <c r="V1225" t="s">
        <v>12568</v>
      </c>
      <c r="W1225" t="s">
        <v>13768</v>
      </c>
      <c r="X1225">
        <v>3</v>
      </c>
      <c r="Y1225" t="s">
        <v>19982</v>
      </c>
      <c r="Z1225" t="s">
        <v>26095</v>
      </c>
      <c r="AA1225">
        <v>0.51997283215305934</v>
      </c>
      <c r="AB1225" t="str">
        <f>HYPERLINK("Melting_Curves/meltCurve_O75385_ULK1.pdf", "Melting_Curves/meltCurve_O75385_ULK1.pdf")</f>
        <v>Melting_Curves/meltCurve_O75385_ULK1.pdf</v>
      </c>
    </row>
    <row r="1226" spans="1:28" x14ac:dyDescent="0.25">
      <c r="A1226" t="s">
        <v>1230</v>
      </c>
      <c r="B1226">
        <v>0.99352677808782597</v>
      </c>
      <c r="C1226">
        <v>0.96929829460405903</v>
      </c>
      <c r="D1226">
        <v>0.99400736953796898</v>
      </c>
      <c r="E1226">
        <v>0.94885044132517304</v>
      </c>
      <c r="F1226">
        <v>0.86918192471306599</v>
      </c>
      <c r="G1226">
        <v>0.81530664070290804</v>
      </c>
      <c r="H1226">
        <v>0.70692532723082502</v>
      </c>
      <c r="I1226">
        <v>0.75564671618885004</v>
      </c>
      <c r="J1226">
        <v>0.79129855236010305</v>
      </c>
      <c r="K1226">
        <v>0.69128557902313104</v>
      </c>
      <c r="L1226">
        <v>1016.85000693694</v>
      </c>
      <c r="M1226">
        <v>18.987919968081599</v>
      </c>
      <c r="O1226">
        <v>52.969070143458403</v>
      </c>
      <c r="P1226">
        <v>-2.4287678959640398E-2</v>
      </c>
      <c r="Q1226">
        <v>0.72899719363661097</v>
      </c>
      <c r="R1226">
        <v>0.93083848939905101</v>
      </c>
      <c r="S1226" t="s">
        <v>7511</v>
      </c>
      <c r="T1226" t="s">
        <v>12568</v>
      </c>
      <c r="U1226" t="s">
        <v>12568</v>
      </c>
      <c r="V1226" t="s">
        <v>12568</v>
      </c>
      <c r="W1226" t="s">
        <v>13302</v>
      </c>
      <c r="X1226">
        <v>20</v>
      </c>
      <c r="Y1226" t="s">
        <v>19527</v>
      </c>
      <c r="Z1226" t="s">
        <v>26096</v>
      </c>
      <c r="AA1226">
        <v>0.85545551166675859</v>
      </c>
      <c r="AB1226" t="str">
        <f>HYPERLINK("Melting_Curves/meltCurve_O75391_SPAG7.pdf", "Melting_Curves/meltCurve_O75391_SPAG7.pdf")</f>
        <v>Melting_Curves/meltCurve_O75391_SPAG7.pdf</v>
      </c>
    </row>
    <row r="1227" spans="1:28" x14ac:dyDescent="0.25">
      <c r="A1227" t="s">
        <v>1231</v>
      </c>
      <c r="B1227">
        <v>0.99352677808782597</v>
      </c>
      <c r="C1227">
        <v>0.94748813688946198</v>
      </c>
      <c r="D1227">
        <v>0.84745784438058203</v>
      </c>
      <c r="E1227">
        <v>1.0695343119897101</v>
      </c>
      <c r="F1227">
        <v>0.92254510412652102</v>
      </c>
      <c r="G1227">
        <v>0.89381202319080799</v>
      </c>
      <c r="H1227">
        <v>0.49026445405607699</v>
      </c>
      <c r="I1227">
        <v>0.256958389331291</v>
      </c>
      <c r="J1227">
        <v>0.108480818220123</v>
      </c>
      <c r="K1227">
        <v>6.9951402173294805E-2</v>
      </c>
      <c r="L1227">
        <v>1664.44248191979</v>
      </c>
      <c r="M1227">
        <v>27.351169506545599</v>
      </c>
      <c r="N1227">
        <v>61.058496083638502</v>
      </c>
      <c r="O1227">
        <v>60.532020355810502</v>
      </c>
      <c r="P1227">
        <v>-0.108030807817216</v>
      </c>
      <c r="Q1227">
        <v>4.36591221109007E-2</v>
      </c>
      <c r="R1227">
        <v>0.97355660203679195</v>
      </c>
      <c r="S1227" t="s">
        <v>7512</v>
      </c>
      <c r="T1227" t="s">
        <v>12568</v>
      </c>
      <c r="U1227" t="s">
        <v>12568</v>
      </c>
      <c r="V1227" t="s">
        <v>12568</v>
      </c>
      <c r="W1227" t="s">
        <v>13769</v>
      </c>
      <c r="X1227">
        <v>4</v>
      </c>
      <c r="Y1227" t="s">
        <v>19983</v>
      </c>
      <c r="Z1227" t="s">
        <v>26097</v>
      </c>
      <c r="AA1227">
        <v>0.71430540635017781</v>
      </c>
      <c r="AB1227" t="str">
        <f>HYPERLINK("Melting_Curves/meltCurve_O75396_SEC22B.pdf", "Melting_Curves/meltCurve_O75396_SEC22B.pdf")</f>
        <v>Melting_Curves/meltCurve_O75396_SEC22B.pdf</v>
      </c>
    </row>
    <row r="1228" spans="1:28" x14ac:dyDescent="0.25">
      <c r="A1228" t="s">
        <v>1232</v>
      </c>
      <c r="B1228">
        <v>0.99352677808782597</v>
      </c>
      <c r="C1228">
        <v>0.45569087392122098</v>
      </c>
      <c r="D1228">
        <v>1.1023474237442701</v>
      </c>
      <c r="E1228">
        <v>0.74203454794621204</v>
      </c>
      <c r="F1228">
        <v>0.58224756265489197</v>
      </c>
      <c r="G1228">
        <v>0.41001116755093098</v>
      </c>
      <c r="H1228">
        <v>0.26957303364294699</v>
      </c>
      <c r="I1228">
        <v>0.24667675291483401</v>
      </c>
      <c r="J1228">
        <v>0.222759967922323</v>
      </c>
      <c r="K1228">
        <v>0.211172101341813</v>
      </c>
      <c r="L1228">
        <v>405.13616126232</v>
      </c>
      <c r="M1228">
        <v>7.3396736105668596</v>
      </c>
      <c r="N1228">
        <v>55.198116787608299</v>
      </c>
      <c r="O1228">
        <v>51.543978108402399</v>
      </c>
      <c r="P1228">
        <v>-3.5654525026567699E-2</v>
      </c>
      <c r="Q1228">
        <v>0</v>
      </c>
      <c r="R1228">
        <v>0.69939938648692102</v>
      </c>
      <c r="S1228" t="s">
        <v>7513</v>
      </c>
      <c r="T1228" t="s">
        <v>12568</v>
      </c>
      <c r="U1228" t="s">
        <v>12568</v>
      </c>
      <c r="V1228" t="s">
        <v>12568</v>
      </c>
      <c r="W1228" t="s">
        <v>13770</v>
      </c>
      <c r="X1228">
        <v>6</v>
      </c>
      <c r="Y1228" t="s">
        <v>19984</v>
      </c>
      <c r="Z1228" t="s">
        <v>26098</v>
      </c>
      <c r="AA1228">
        <v>0.53211152015097696</v>
      </c>
      <c r="AB1228" t="str">
        <f>HYPERLINK("Melting_Curves/meltCurve_O75400_2_PRPF40A.pdf", "Melting_Curves/meltCurve_O75400_2_PRPF40A.pdf")</f>
        <v>Melting_Curves/meltCurve_O75400_2_PRPF40A.pdf</v>
      </c>
    </row>
    <row r="1229" spans="1:28" x14ac:dyDescent="0.25">
      <c r="A1229" t="s">
        <v>1233</v>
      </c>
      <c r="B1229">
        <v>0.99352677808782597</v>
      </c>
      <c r="C1229">
        <v>0.96503747023105702</v>
      </c>
      <c r="D1229">
        <v>1.0041314450040699</v>
      </c>
      <c r="E1229">
        <v>0.98381090853606501</v>
      </c>
      <c r="F1229">
        <v>0.91486008012323194</v>
      </c>
      <c r="G1229">
        <v>0.76751371509390398</v>
      </c>
      <c r="H1229">
        <v>0.75668899680687096</v>
      </c>
      <c r="I1229">
        <v>0.77992053875051603</v>
      </c>
      <c r="J1229">
        <v>0.85371871156635504</v>
      </c>
      <c r="K1229">
        <v>0.73418145753490605</v>
      </c>
      <c r="L1229">
        <v>4400.2778272826699</v>
      </c>
      <c r="M1229">
        <v>82.560829558574696</v>
      </c>
      <c r="O1229">
        <v>53.266165664141901</v>
      </c>
      <c r="P1229">
        <v>-8.5932690100513298E-2</v>
      </c>
      <c r="Q1229">
        <v>0.77823363977720805</v>
      </c>
      <c r="R1229">
        <v>0.90891760225566298</v>
      </c>
      <c r="S1229" t="s">
        <v>7514</v>
      </c>
      <c r="T1229" t="s">
        <v>12568</v>
      </c>
      <c r="U1229" t="s">
        <v>12568</v>
      </c>
      <c r="V1229" t="s">
        <v>12568</v>
      </c>
      <c r="W1229" t="s">
        <v>13771</v>
      </c>
      <c r="X1229">
        <v>32</v>
      </c>
      <c r="Y1229" t="s">
        <v>19985</v>
      </c>
      <c r="Z1229" t="s">
        <v>26099</v>
      </c>
      <c r="AA1229">
        <v>0.87672140748475991</v>
      </c>
      <c r="AB1229" t="str">
        <f>HYPERLINK("Melting_Curves/meltCurve_O75410_7_TACC1.pdf", "Melting_Curves/meltCurve_O75410_7_TACC1.pdf")</f>
        <v>Melting_Curves/meltCurve_O75410_7_TACC1.pdf</v>
      </c>
    </row>
    <row r="1230" spans="1:28" x14ac:dyDescent="0.25">
      <c r="A1230" t="s">
        <v>1234</v>
      </c>
      <c r="B1230">
        <v>0.99352677808782597</v>
      </c>
      <c r="C1230">
        <v>0.90937450454160196</v>
      </c>
      <c r="D1230">
        <v>0.66960009468131698</v>
      </c>
      <c r="E1230">
        <v>0.34241048938631902</v>
      </c>
      <c r="F1230">
        <v>0.274531084638859</v>
      </c>
      <c r="G1230">
        <v>0.16798392288943101</v>
      </c>
      <c r="H1230">
        <v>0.140943246156431</v>
      </c>
      <c r="I1230">
        <v>0.123948657500628</v>
      </c>
      <c r="J1230">
        <v>9.4175418536409802E-2</v>
      </c>
      <c r="K1230">
        <v>6.9424357997331196E-2</v>
      </c>
      <c r="L1230">
        <v>830.982800035119</v>
      </c>
      <c r="M1230">
        <v>17.462209328983299</v>
      </c>
      <c r="N1230">
        <v>48.235135335397899</v>
      </c>
      <c r="O1230">
        <v>46.976580533963698</v>
      </c>
      <c r="P1230">
        <v>-8.3223713648191602E-2</v>
      </c>
      <c r="Q1230">
        <v>0.104501231760187</v>
      </c>
      <c r="R1230">
        <v>0.99406597673828101</v>
      </c>
      <c r="S1230" t="s">
        <v>7515</v>
      </c>
      <c r="T1230" t="s">
        <v>12568</v>
      </c>
      <c r="U1230" t="s">
        <v>12568</v>
      </c>
      <c r="V1230" t="s">
        <v>12568</v>
      </c>
      <c r="W1230" t="s">
        <v>13772</v>
      </c>
      <c r="X1230">
        <v>3</v>
      </c>
      <c r="Y1230" t="s">
        <v>19986</v>
      </c>
      <c r="Z1230" t="s">
        <v>26100</v>
      </c>
      <c r="AA1230">
        <v>0.34816770881758052</v>
      </c>
      <c r="AB1230" t="str">
        <f>HYPERLINK("Melting_Curves/meltCurve_O75419_2_CDC45.pdf", "Melting_Curves/meltCurve_O75419_2_CDC45.pdf")</f>
        <v>Melting_Curves/meltCurve_O75419_2_CDC45.pdf</v>
      </c>
    </row>
    <row r="1231" spans="1:28" x14ac:dyDescent="0.25">
      <c r="A1231" t="s">
        <v>1235</v>
      </c>
      <c r="B1231">
        <v>0.99352677808782597</v>
      </c>
      <c r="C1231">
        <v>0.96082591471368095</v>
      </c>
      <c r="D1231">
        <v>1.06097728448505</v>
      </c>
      <c r="E1231">
        <v>0.91966114341380001</v>
      </c>
      <c r="F1231">
        <v>0.80225167402265596</v>
      </c>
      <c r="G1231">
        <v>0.67280517452959199</v>
      </c>
      <c r="H1231">
        <v>0.624879586902374</v>
      </c>
      <c r="I1231">
        <v>0.62718985511491698</v>
      </c>
      <c r="J1231">
        <v>0.59704965371017804</v>
      </c>
      <c r="K1231">
        <v>0.64384562801634404</v>
      </c>
      <c r="L1231">
        <v>1456.8042369452201</v>
      </c>
      <c r="M1231">
        <v>27.590832662719698</v>
      </c>
      <c r="O1231">
        <v>52.525268647153403</v>
      </c>
      <c r="P1231">
        <v>-4.9719164407969099E-2</v>
      </c>
      <c r="Q1231">
        <v>0.62139763326508102</v>
      </c>
      <c r="R1231">
        <v>0.97397358039915505</v>
      </c>
      <c r="S1231" t="s">
        <v>7516</v>
      </c>
      <c r="T1231" t="s">
        <v>12568</v>
      </c>
      <c r="U1231" t="s">
        <v>12568</v>
      </c>
      <c r="V1231" t="s">
        <v>12568</v>
      </c>
      <c r="W1231" t="s">
        <v>13773</v>
      </c>
      <c r="X1231">
        <v>5</v>
      </c>
      <c r="Y1231" t="s">
        <v>19987</v>
      </c>
      <c r="Z1231" t="s">
        <v>26101</v>
      </c>
      <c r="AA1231">
        <v>0.78582093300705413</v>
      </c>
      <c r="AB1231" t="str">
        <f>HYPERLINK("Melting_Curves/meltCurve_O75420_GIGYF1.pdf", "Melting_Curves/meltCurve_O75420_GIGYF1.pdf")</f>
        <v>Melting_Curves/meltCurve_O75420_GIGYF1.pdf</v>
      </c>
    </row>
    <row r="1232" spans="1:28" x14ac:dyDescent="0.25">
      <c r="A1232" t="s">
        <v>1236</v>
      </c>
      <c r="B1232">
        <v>0.99352677808782597</v>
      </c>
      <c r="C1232">
        <v>0.98050660706064496</v>
      </c>
      <c r="D1232">
        <v>0.89319937531149995</v>
      </c>
      <c r="E1232">
        <v>0.91085701174662204</v>
      </c>
      <c r="F1232">
        <v>0.77730329865717396</v>
      </c>
      <c r="G1232">
        <v>0.57138436794066205</v>
      </c>
      <c r="H1232">
        <v>0.16001060392086999</v>
      </c>
      <c r="I1232">
        <v>0.14881947684117</v>
      </c>
      <c r="J1232">
        <v>0.108946673937526</v>
      </c>
      <c r="K1232">
        <v>7.9618446170326193E-2</v>
      </c>
      <c r="L1232">
        <v>1044.2562319143899</v>
      </c>
      <c r="M1232">
        <v>18.397915712611098</v>
      </c>
      <c r="N1232">
        <v>56.992907620543001</v>
      </c>
      <c r="O1232">
        <v>56.101653056171997</v>
      </c>
      <c r="P1232">
        <v>-7.9012990368500999E-2</v>
      </c>
      <c r="Q1232">
        <v>3.6291109461665499E-2</v>
      </c>
      <c r="R1232">
        <v>0.98380285086839003</v>
      </c>
      <c r="S1232" t="s">
        <v>7517</v>
      </c>
      <c r="T1232" t="s">
        <v>12568</v>
      </c>
      <c r="U1232" t="s">
        <v>12568</v>
      </c>
      <c r="V1232" t="s">
        <v>12568</v>
      </c>
      <c r="W1232" t="s">
        <v>13774</v>
      </c>
      <c r="X1232">
        <v>19</v>
      </c>
      <c r="Y1232" t="s">
        <v>19988</v>
      </c>
      <c r="Z1232" t="s">
        <v>26102</v>
      </c>
      <c r="AA1232">
        <v>0.58784443361313832</v>
      </c>
      <c r="AB1232" t="str">
        <f>HYPERLINK("Melting_Curves/meltCurve_O75436_VPS26A.pdf", "Melting_Curves/meltCurve_O75436_VPS26A.pdf")</f>
        <v>Melting_Curves/meltCurve_O75436_VPS26A.pdf</v>
      </c>
    </row>
    <row r="1233" spans="1:28" x14ac:dyDescent="0.25">
      <c r="A1233" t="s">
        <v>1237</v>
      </c>
      <c r="B1233">
        <v>0.99352677808782597</v>
      </c>
      <c r="C1233">
        <v>0.70930019421223101</v>
      </c>
      <c r="D1233">
        <v>0.48409257955962898</v>
      </c>
      <c r="E1233">
        <v>0.20734173757306801</v>
      </c>
      <c r="F1233">
        <v>0.16172477393701501</v>
      </c>
      <c r="G1233">
        <v>9.7398259484986899E-2</v>
      </c>
      <c r="H1233">
        <v>7.4603447366811307E-2</v>
      </c>
      <c r="I1233">
        <v>7.4263786106349206E-2</v>
      </c>
      <c r="J1233">
        <v>3.4692332543504602E-2</v>
      </c>
      <c r="K1233">
        <v>3.7322157232418399E-2</v>
      </c>
      <c r="L1233">
        <v>794.45795135575304</v>
      </c>
      <c r="M1233">
        <v>17.485616982598302</v>
      </c>
      <c r="N1233">
        <v>45.756893413386202</v>
      </c>
      <c r="O1233">
        <v>44.8531903233715</v>
      </c>
      <c r="P1233">
        <v>-9.1824119997457501E-2</v>
      </c>
      <c r="Q1233">
        <v>5.7882797276470097E-2</v>
      </c>
      <c r="R1233">
        <v>0.98991504754759396</v>
      </c>
      <c r="S1233" t="s">
        <v>7518</v>
      </c>
      <c r="T1233" t="s">
        <v>12568</v>
      </c>
      <c r="U1233" t="s">
        <v>12568</v>
      </c>
      <c r="V1233" t="s">
        <v>12568</v>
      </c>
      <c r="W1233" t="s">
        <v>13775</v>
      </c>
      <c r="X1233">
        <v>11</v>
      </c>
      <c r="Y1233" t="s">
        <v>19989</v>
      </c>
      <c r="Z1233" t="s">
        <v>26103</v>
      </c>
      <c r="AA1233">
        <v>0.24928885380117891</v>
      </c>
      <c r="AB1233" t="str">
        <f>HYPERLINK("Melting_Curves/meltCurve_O75439_PMPCB.pdf", "Melting_Curves/meltCurve_O75439_PMPCB.pdf")</f>
        <v>Melting_Curves/meltCurve_O75439_PMPCB.pdf</v>
      </c>
    </row>
    <row r="1234" spans="1:28" x14ac:dyDescent="0.25">
      <c r="A1234" t="s">
        <v>1238</v>
      </c>
      <c r="B1234">
        <v>0.99352677808782597</v>
      </c>
      <c r="C1234">
        <v>0.91747060086830901</v>
      </c>
      <c r="D1234">
        <v>0.80518846681199097</v>
      </c>
      <c r="E1234">
        <v>0.40977395634288699</v>
      </c>
      <c r="F1234">
        <v>0.34772064039087502</v>
      </c>
      <c r="G1234">
        <v>0.21320254503070499</v>
      </c>
      <c r="H1234">
        <v>0.127634801228456</v>
      </c>
      <c r="I1234">
        <v>0.12555934519488399</v>
      </c>
      <c r="J1234">
        <v>0.109206813676991</v>
      </c>
      <c r="K1234">
        <v>8.0945098737135707E-2</v>
      </c>
      <c r="L1234">
        <v>799.79851864271802</v>
      </c>
      <c r="M1234">
        <v>16.319470758981101</v>
      </c>
      <c r="N1234">
        <v>49.692306823082703</v>
      </c>
      <c r="O1234">
        <v>48.290684322772599</v>
      </c>
      <c r="P1234">
        <v>-7.5998309743498693E-2</v>
      </c>
      <c r="Q1234">
        <v>0.10052372466366399</v>
      </c>
      <c r="R1234">
        <v>0.99156034411356297</v>
      </c>
      <c r="S1234" t="s">
        <v>7519</v>
      </c>
      <c r="T1234" t="s">
        <v>12568</v>
      </c>
      <c r="U1234" t="s">
        <v>12568</v>
      </c>
      <c r="V1234" t="s">
        <v>12568</v>
      </c>
      <c r="W1234" t="s">
        <v>13776</v>
      </c>
      <c r="X1234">
        <v>8</v>
      </c>
      <c r="Y1234" t="s">
        <v>19990</v>
      </c>
      <c r="Z1234" t="s">
        <v>26104</v>
      </c>
      <c r="AA1234">
        <v>0.38952239681975942</v>
      </c>
      <c r="AB1234" t="str">
        <f>HYPERLINK("Melting_Curves/meltCurve_O75449_KATNA1.pdf", "Melting_Curves/meltCurve_O75449_KATNA1.pdf")</f>
        <v>Melting_Curves/meltCurve_O75449_KATNA1.pdf</v>
      </c>
    </row>
    <row r="1235" spans="1:28" x14ac:dyDescent="0.25">
      <c r="A1235" t="s">
        <v>1239</v>
      </c>
      <c r="B1235">
        <v>0.99352677808782597</v>
      </c>
      <c r="C1235">
        <v>0.94398635978780798</v>
      </c>
      <c r="D1235">
        <v>0.96783634760458004</v>
      </c>
      <c r="E1235">
        <v>0.78468643099772495</v>
      </c>
      <c r="F1235">
        <v>0.69486852376584696</v>
      </c>
      <c r="G1235">
        <v>0.60777811914636504</v>
      </c>
      <c r="H1235">
        <v>0.56357734350212696</v>
      </c>
      <c r="I1235">
        <v>0.55337987589071302</v>
      </c>
      <c r="J1235">
        <v>0.61795074277839201</v>
      </c>
      <c r="K1235">
        <v>0.48571566869336202</v>
      </c>
      <c r="L1235">
        <v>863.89549067746395</v>
      </c>
      <c r="M1235">
        <v>17.020059375037299</v>
      </c>
      <c r="O1235">
        <v>50.072333504872397</v>
      </c>
      <c r="P1235">
        <v>-3.8836156538668898E-2</v>
      </c>
      <c r="Q1235">
        <v>0.54301044453712699</v>
      </c>
      <c r="R1235">
        <v>0.96505577554747701</v>
      </c>
      <c r="S1235" t="s">
        <v>7520</v>
      </c>
      <c r="T1235" t="s">
        <v>12568</v>
      </c>
      <c r="U1235" t="s">
        <v>12568</v>
      </c>
      <c r="V1235" t="s">
        <v>12568</v>
      </c>
      <c r="W1235" t="s">
        <v>13777</v>
      </c>
      <c r="X1235">
        <v>19</v>
      </c>
      <c r="Y1235" t="s">
        <v>19991</v>
      </c>
      <c r="Z1235" t="s">
        <v>26105</v>
      </c>
      <c r="AA1235">
        <v>0.71542292209996561</v>
      </c>
      <c r="AB1235" t="str">
        <f>HYPERLINK("Melting_Curves/meltCurve_O75475_PSIP1.pdf", "Melting_Curves/meltCurve_O75475_PSIP1.pdf")</f>
        <v>Melting_Curves/meltCurve_O75475_PSIP1.pdf</v>
      </c>
    </row>
    <row r="1236" spans="1:28" x14ac:dyDescent="0.25">
      <c r="A1236" t="s">
        <v>1240</v>
      </c>
      <c r="B1236">
        <v>0.99352677808782597</v>
      </c>
      <c r="C1236">
        <v>0.81142628475228196</v>
      </c>
      <c r="D1236">
        <v>0.69356768025327198</v>
      </c>
      <c r="E1236">
        <v>0.55054067379740501</v>
      </c>
      <c r="F1236">
        <v>0.39688785098375201</v>
      </c>
      <c r="G1236">
        <v>0.169006743401341</v>
      </c>
      <c r="H1236">
        <v>8.4576101539902193E-2</v>
      </c>
      <c r="I1236">
        <v>5.2061487436623199E-2</v>
      </c>
      <c r="J1236">
        <v>6.1613188242686398E-2</v>
      </c>
      <c r="K1236">
        <v>6.2621617382451797E-2</v>
      </c>
      <c r="L1236">
        <v>558.364105577494</v>
      </c>
      <c r="M1236">
        <v>11.146265969528899</v>
      </c>
      <c r="N1236">
        <v>50.094274351739699</v>
      </c>
      <c r="O1236">
        <v>48.562968694512598</v>
      </c>
      <c r="P1236">
        <v>-5.7398880950545503E-2</v>
      </c>
      <c r="Q1236">
        <v>0</v>
      </c>
      <c r="R1236">
        <v>0.98682261495528301</v>
      </c>
      <c r="S1236" t="s">
        <v>7521</v>
      </c>
      <c r="T1236" t="s">
        <v>12568</v>
      </c>
      <c r="U1236" t="s">
        <v>12568</v>
      </c>
      <c r="V1236" t="s">
        <v>12568</v>
      </c>
      <c r="W1236" t="s">
        <v>13778</v>
      </c>
      <c r="X1236">
        <v>3</v>
      </c>
      <c r="Y1236" t="s">
        <v>19992</v>
      </c>
      <c r="Z1236" t="s">
        <v>26106</v>
      </c>
      <c r="AA1236">
        <v>0.37496115606801278</v>
      </c>
      <c r="AB1236" t="str">
        <f>HYPERLINK("Melting_Curves/meltCurve_O75489_NDUFS3.pdf", "Melting_Curves/meltCurve_O75489_NDUFS3.pdf")</f>
        <v>Melting_Curves/meltCurve_O75489_NDUFS3.pdf</v>
      </c>
    </row>
    <row r="1237" spans="1:28" x14ac:dyDescent="0.25">
      <c r="A1237" t="s">
        <v>1241</v>
      </c>
      <c r="B1237">
        <v>0.99352677808782597</v>
      </c>
      <c r="C1237">
        <v>0.97122871989937298</v>
      </c>
      <c r="D1237">
        <v>0.97371833335296099</v>
      </c>
      <c r="E1237">
        <v>0.74910416423559101</v>
      </c>
      <c r="F1237">
        <v>0.614341736075522</v>
      </c>
      <c r="G1237">
        <v>0.27946824727540698</v>
      </c>
      <c r="H1237">
        <v>0.17188663026588599</v>
      </c>
      <c r="I1237">
        <v>0.13241146865381501</v>
      </c>
      <c r="J1237">
        <v>0.137932245252152</v>
      </c>
      <c r="K1237">
        <v>8.91599994402104E-2</v>
      </c>
      <c r="L1237">
        <v>961.075087688851</v>
      </c>
      <c r="M1237">
        <v>18.0234322654671</v>
      </c>
      <c r="N1237">
        <v>53.917706663191403</v>
      </c>
      <c r="O1237">
        <v>52.6802024396844</v>
      </c>
      <c r="P1237">
        <v>-7.7833606429606406E-2</v>
      </c>
      <c r="Q1237">
        <v>9.0053695024630995E-2</v>
      </c>
      <c r="R1237">
        <v>0.995590944787904</v>
      </c>
      <c r="S1237" t="s">
        <v>7522</v>
      </c>
      <c r="T1237" t="s">
        <v>12568</v>
      </c>
      <c r="U1237" t="s">
        <v>12568</v>
      </c>
      <c r="V1237" t="s">
        <v>12568</v>
      </c>
      <c r="W1237" t="s">
        <v>13779</v>
      </c>
      <c r="X1237">
        <v>3</v>
      </c>
      <c r="Y1237" t="s">
        <v>19993</v>
      </c>
      <c r="Z1237" t="s">
        <v>26107</v>
      </c>
      <c r="AA1237">
        <v>0.50895227254115227</v>
      </c>
      <c r="AB1237" t="str">
        <f>HYPERLINK("Melting_Curves/meltCurve_O75503_CLN5.pdf", "Melting_Curves/meltCurve_O75503_CLN5.pdf")</f>
        <v>Melting_Curves/meltCurve_O75503_CLN5.pdf</v>
      </c>
    </row>
    <row r="1238" spans="1:28" x14ac:dyDescent="0.25">
      <c r="A1238" t="s">
        <v>1242</v>
      </c>
      <c r="B1238">
        <v>0.99352677808782597</v>
      </c>
      <c r="C1238">
        <v>1.0197841858266099</v>
      </c>
      <c r="D1238">
        <v>0.98565447444253995</v>
      </c>
      <c r="E1238">
        <v>0.97316725542997395</v>
      </c>
      <c r="F1238">
        <v>0.86358467440770603</v>
      </c>
      <c r="G1238">
        <v>0.78612934396873801</v>
      </c>
      <c r="H1238">
        <v>0.68699308031031503</v>
      </c>
      <c r="I1238">
        <v>0.61455248398607798</v>
      </c>
      <c r="J1238">
        <v>0.73196938725400196</v>
      </c>
      <c r="K1238">
        <v>0.54040373940835496</v>
      </c>
      <c r="L1238">
        <v>838.97024381782899</v>
      </c>
      <c r="M1238">
        <v>14.8580015744318</v>
      </c>
      <c r="O1238">
        <v>55.472630738721598</v>
      </c>
      <c r="P1238">
        <v>-2.75771792250342E-2</v>
      </c>
      <c r="Q1238">
        <v>0.58820349571706598</v>
      </c>
      <c r="R1238">
        <v>0.92782690310669902</v>
      </c>
      <c r="S1238" t="s">
        <v>7523</v>
      </c>
      <c r="T1238" t="s">
        <v>12568</v>
      </c>
      <c r="U1238" t="s">
        <v>12568</v>
      </c>
      <c r="V1238" t="s">
        <v>12568</v>
      </c>
      <c r="W1238" t="s">
        <v>13780</v>
      </c>
      <c r="X1238">
        <v>4</v>
      </c>
      <c r="Y1238" t="s">
        <v>19994</v>
      </c>
      <c r="Z1238" t="s">
        <v>26108</v>
      </c>
      <c r="AA1238">
        <v>0.82122997104417128</v>
      </c>
      <c r="AB1238" t="str">
        <f>HYPERLINK("Melting_Curves/meltCurve_O75506_HSBP1.pdf", "Melting_Curves/meltCurve_O75506_HSBP1.pdf")</f>
        <v>Melting_Curves/meltCurve_O75506_HSBP1.pdf</v>
      </c>
    </row>
    <row r="1239" spans="1:28" x14ac:dyDescent="0.25">
      <c r="A1239" t="s">
        <v>1243</v>
      </c>
      <c r="B1239">
        <v>0.99352677808782597</v>
      </c>
      <c r="C1239">
        <v>0.99006584251227603</v>
      </c>
      <c r="D1239">
        <v>0.92838522465385198</v>
      </c>
      <c r="E1239">
        <v>0.446040258390283</v>
      </c>
      <c r="F1239">
        <v>0.37740414012319701</v>
      </c>
      <c r="G1239">
        <v>0.217026298038799</v>
      </c>
      <c r="H1239">
        <v>0.120981079847819</v>
      </c>
      <c r="I1239">
        <v>0.11902737686629</v>
      </c>
      <c r="J1239">
        <v>0.10057560988318601</v>
      </c>
      <c r="K1239">
        <v>7.85178960588125E-2</v>
      </c>
      <c r="L1239">
        <v>1003.05007725598</v>
      </c>
      <c r="M1239">
        <v>20.120971540125101</v>
      </c>
      <c r="N1239">
        <v>50.458402600357601</v>
      </c>
      <c r="O1239">
        <v>49.366422610721202</v>
      </c>
      <c r="P1239">
        <v>-9.0939296117809598E-2</v>
      </c>
      <c r="Q1239">
        <v>0.10755736455212001</v>
      </c>
      <c r="R1239">
        <v>0.98440543281779502</v>
      </c>
      <c r="S1239" t="s">
        <v>7524</v>
      </c>
      <c r="T1239" t="s">
        <v>12568</v>
      </c>
      <c r="U1239" t="s">
        <v>12568</v>
      </c>
      <c r="V1239" t="s">
        <v>12568</v>
      </c>
      <c r="W1239" t="s">
        <v>13781</v>
      </c>
      <c r="X1239">
        <v>6</v>
      </c>
      <c r="Y1239" t="s">
        <v>19995</v>
      </c>
      <c r="Z1239" t="s">
        <v>26109</v>
      </c>
      <c r="AA1239">
        <v>0.41289028407520412</v>
      </c>
      <c r="AB1239" t="str">
        <f>HYPERLINK("Melting_Curves/meltCurve_O75521_2_ECI2.pdf", "Melting_Curves/meltCurve_O75521_2_ECI2.pdf")</f>
        <v>Melting_Curves/meltCurve_O75521_2_ECI2.pdf</v>
      </c>
    </row>
    <row r="1240" spans="1:28" x14ac:dyDescent="0.25">
      <c r="A1240" t="s">
        <v>1244</v>
      </c>
      <c r="B1240">
        <v>0.99352677808782597</v>
      </c>
      <c r="C1240">
        <v>0.90794780768415095</v>
      </c>
      <c r="D1240">
        <v>0.94676814836715495</v>
      </c>
      <c r="E1240">
        <v>0.35377051299631801</v>
      </c>
      <c r="F1240">
        <v>0.30111266276353399</v>
      </c>
      <c r="G1240">
        <v>0.19329137826576101</v>
      </c>
      <c r="H1240">
        <v>0.13216170222788101</v>
      </c>
      <c r="I1240">
        <v>0.123582887815327</v>
      </c>
      <c r="J1240">
        <v>0.103565525549058</v>
      </c>
      <c r="K1240">
        <v>9.1779066042078403E-2</v>
      </c>
      <c r="L1240">
        <v>1476.42233181085</v>
      </c>
      <c r="M1240">
        <v>30.252676378157801</v>
      </c>
      <c r="N1240">
        <v>49.320104985413302</v>
      </c>
      <c r="O1240">
        <v>48.591281860470801</v>
      </c>
      <c r="P1240">
        <v>-0.134497377451754</v>
      </c>
      <c r="Q1240">
        <v>0.13589683702385</v>
      </c>
      <c r="R1240">
        <v>0.97787853835571503</v>
      </c>
      <c r="S1240" t="s">
        <v>7525</v>
      </c>
      <c r="T1240" t="s">
        <v>12568</v>
      </c>
      <c r="U1240" t="s">
        <v>12568</v>
      </c>
      <c r="V1240" t="s">
        <v>12568</v>
      </c>
      <c r="W1240" t="s">
        <v>13782</v>
      </c>
      <c r="X1240">
        <v>8</v>
      </c>
      <c r="Y1240" t="s">
        <v>19996</v>
      </c>
      <c r="Z1240" t="s">
        <v>26110</v>
      </c>
      <c r="AA1240">
        <v>0.39461328433888809</v>
      </c>
      <c r="AB1240" t="str">
        <f>HYPERLINK("Melting_Curves/meltCurve_O75530_3_EED.pdf", "Melting_Curves/meltCurve_O75530_3_EED.pdf")</f>
        <v>Melting_Curves/meltCurve_O75530_3_EED.pdf</v>
      </c>
    </row>
    <row r="1241" spans="1:28" x14ac:dyDescent="0.25">
      <c r="A1241" t="s">
        <v>1245</v>
      </c>
      <c r="B1241">
        <v>0.99352677808782597</v>
      </c>
      <c r="C1241">
        <v>0.86170117078524</v>
      </c>
      <c r="D1241">
        <v>0.99684770439727999</v>
      </c>
      <c r="E1241">
        <v>0.54668824262106597</v>
      </c>
      <c r="F1241">
        <v>0.49349272609300499</v>
      </c>
      <c r="G1241">
        <v>0.35836748480529401</v>
      </c>
      <c r="H1241">
        <v>0.28517327489134198</v>
      </c>
      <c r="I1241">
        <v>0.28115525971572097</v>
      </c>
      <c r="J1241">
        <v>0.297316024271079</v>
      </c>
      <c r="K1241">
        <v>0.25675325035851099</v>
      </c>
      <c r="L1241">
        <v>999.973943203575</v>
      </c>
      <c r="M1241">
        <v>20.064118629778498</v>
      </c>
      <c r="N1241">
        <v>51.9604269411277</v>
      </c>
      <c r="O1241">
        <v>49.351772238106598</v>
      </c>
      <c r="P1241">
        <v>-7.32216939752664E-2</v>
      </c>
      <c r="Q1241">
        <v>0.279608923770923</v>
      </c>
      <c r="R1241">
        <v>0.95744238887966104</v>
      </c>
      <c r="S1241" t="s">
        <v>7526</v>
      </c>
      <c r="T1241" t="s">
        <v>12568</v>
      </c>
      <c r="U1241" t="s">
        <v>12568</v>
      </c>
      <c r="V1241" t="s">
        <v>12568</v>
      </c>
      <c r="W1241" t="s">
        <v>13783</v>
      </c>
      <c r="X1241">
        <v>8</v>
      </c>
      <c r="Y1241" t="s">
        <v>19997</v>
      </c>
      <c r="Z1241" t="s">
        <v>26111</v>
      </c>
      <c r="AA1241">
        <v>0.52584374068678608</v>
      </c>
      <c r="AB1241" t="str">
        <f>HYPERLINK("Melting_Curves/meltCurve_O75531_BANF1.pdf", "Melting_Curves/meltCurve_O75531_BANF1.pdf")</f>
        <v>Melting_Curves/meltCurve_O75531_BANF1.pdf</v>
      </c>
    </row>
    <row r="1242" spans="1:28" x14ac:dyDescent="0.25">
      <c r="A1242" t="s">
        <v>1246</v>
      </c>
      <c r="B1242">
        <v>0.99352677808782597</v>
      </c>
      <c r="C1242">
        <v>0.89130768826913498</v>
      </c>
      <c r="D1242">
        <v>0.86289114020424995</v>
      </c>
      <c r="E1242">
        <v>0.56136995635318199</v>
      </c>
      <c r="F1242">
        <v>0.45678021811408498</v>
      </c>
      <c r="G1242">
        <v>0.29261529371030698</v>
      </c>
      <c r="H1242">
        <v>0.23130944176615201</v>
      </c>
      <c r="I1242">
        <v>0.24232877620674001</v>
      </c>
      <c r="J1242">
        <v>0.231375173132985</v>
      </c>
      <c r="K1242">
        <v>0.19561272090522</v>
      </c>
      <c r="L1242">
        <v>751.79973499388404</v>
      </c>
      <c r="M1242">
        <v>15.079166484899</v>
      </c>
      <c r="N1242">
        <v>51.5948405171616</v>
      </c>
      <c r="O1242">
        <v>49.004640782391398</v>
      </c>
      <c r="P1242">
        <v>-6.1614509304087899E-2</v>
      </c>
      <c r="Q1242">
        <v>0.19913356885266201</v>
      </c>
      <c r="R1242">
        <v>0.99286644573387095</v>
      </c>
      <c r="S1242" t="s">
        <v>7527</v>
      </c>
      <c r="T1242" t="s">
        <v>12568</v>
      </c>
      <c r="U1242" t="s">
        <v>12568</v>
      </c>
      <c r="V1242" t="s">
        <v>12568</v>
      </c>
      <c r="W1242" t="s">
        <v>13784</v>
      </c>
      <c r="X1242">
        <v>45</v>
      </c>
      <c r="Y1242" t="s">
        <v>19998</v>
      </c>
      <c r="Z1242" t="s">
        <v>26112</v>
      </c>
      <c r="AA1242">
        <v>0.48127435182708472</v>
      </c>
      <c r="AB1242" t="str">
        <f>HYPERLINK("Melting_Curves/meltCurve_O75533_SF3B1.pdf", "Melting_Curves/meltCurve_O75533_SF3B1.pdf")</f>
        <v>Melting_Curves/meltCurve_O75533_SF3B1.pdf</v>
      </c>
    </row>
    <row r="1243" spans="1:28" x14ac:dyDescent="0.25">
      <c r="A1243" t="s">
        <v>1247</v>
      </c>
      <c r="B1243">
        <v>0.99352677808782597</v>
      </c>
      <c r="C1243">
        <v>0.89359660298923205</v>
      </c>
      <c r="D1243">
        <v>0.57897382771903105</v>
      </c>
      <c r="E1243">
        <v>0.27116307115484101</v>
      </c>
      <c r="F1243">
        <v>0.210733104959898</v>
      </c>
      <c r="G1243">
        <v>0.12880489792843799</v>
      </c>
      <c r="H1243">
        <v>9.1456020808451402E-2</v>
      </c>
      <c r="I1243">
        <v>9.5999304791422699E-2</v>
      </c>
      <c r="J1243">
        <v>7.3812470532764601E-2</v>
      </c>
      <c r="K1243">
        <v>6.23157649239875E-2</v>
      </c>
      <c r="L1243">
        <v>925.45734732596304</v>
      </c>
      <c r="M1243">
        <v>19.834270042894499</v>
      </c>
      <c r="N1243">
        <v>47.118437469656698</v>
      </c>
      <c r="O1243">
        <v>46.192972113044803</v>
      </c>
      <c r="P1243">
        <v>-9.7919378268432195E-2</v>
      </c>
      <c r="Q1243">
        <v>8.7834349020304806E-2</v>
      </c>
      <c r="R1243">
        <v>0.99482031497457402</v>
      </c>
      <c r="S1243" t="s">
        <v>7528</v>
      </c>
      <c r="T1243" t="s">
        <v>12568</v>
      </c>
      <c r="U1243" t="s">
        <v>12568</v>
      </c>
      <c r="V1243" t="s">
        <v>12568</v>
      </c>
      <c r="W1243" t="s">
        <v>13785</v>
      </c>
      <c r="X1243">
        <v>34</v>
      </c>
      <c r="Y1243" t="s">
        <v>19999</v>
      </c>
      <c r="Z1243" t="s">
        <v>26113</v>
      </c>
      <c r="AA1243">
        <v>0.3041334262750966</v>
      </c>
      <c r="AB1243" t="str">
        <f>HYPERLINK("Melting_Curves/meltCurve_O75534_CSDE1.pdf", "Melting_Curves/meltCurve_O75534_CSDE1.pdf")</f>
        <v>Melting_Curves/meltCurve_O75534_CSDE1.pdf</v>
      </c>
    </row>
    <row r="1244" spans="1:28" x14ac:dyDescent="0.25">
      <c r="A1244" t="s">
        <v>1248</v>
      </c>
      <c r="B1244">
        <v>0.99352677808782597</v>
      </c>
      <c r="C1244">
        <v>1.0122115247488901</v>
      </c>
      <c r="D1244">
        <v>0.91083343547856199</v>
      </c>
      <c r="E1244">
        <v>0.88131454897135297</v>
      </c>
      <c r="F1244">
        <v>0.76987146369530901</v>
      </c>
      <c r="G1244">
        <v>0.65147982418122197</v>
      </c>
      <c r="H1244">
        <v>0.65337287906821695</v>
      </c>
      <c r="I1244">
        <v>0.66567545082323698</v>
      </c>
      <c r="J1244">
        <v>0.81868848256030102</v>
      </c>
      <c r="K1244">
        <v>0.55779447594444798</v>
      </c>
      <c r="L1244">
        <v>988.03143033075003</v>
      </c>
      <c r="M1244">
        <v>19.497388679799901</v>
      </c>
      <c r="O1244">
        <v>50.151016784469199</v>
      </c>
      <c r="P1244">
        <v>-3.2915410548051798E-2</v>
      </c>
      <c r="Q1244">
        <v>0.66135323704557503</v>
      </c>
      <c r="R1244">
        <v>0.81552030921630303</v>
      </c>
      <c r="S1244" t="s">
        <v>7529</v>
      </c>
      <c r="T1244" t="s">
        <v>12568</v>
      </c>
      <c r="U1244" t="s">
        <v>12568</v>
      </c>
      <c r="V1244" t="s">
        <v>12568</v>
      </c>
      <c r="W1244" t="s">
        <v>13786</v>
      </c>
      <c r="X1244">
        <v>4</v>
      </c>
      <c r="Y1244" t="s">
        <v>20000</v>
      </c>
      <c r="Z1244" t="s">
        <v>26114</v>
      </c>
      <c r="AA1244">
        <v>0.78679240101001646</v>
      </c>
      <c r="AB1244" t="str">
        <f>HYPERLINK("Melting_Curves/meltCurve_O75554_WBP4.pdf", "Melting_Curves/meltCurve_O75554_WBP4.pdf")</f>
        <v>Melting_Curves/meltCurve_O75554_WBP4.pdf</v>
      </c>
    </row>
    <row r="1245" spans="1:28" x14ac:dyDescent="0.25">
      <c r="A1245" t="s">
        <v>1249</v>
      </c>
      <c r="B1245">
        <v>0.99352677808782597</v>
      </c>
      <c r="C1245">
        <v>0.968727067840361</v>
      </c>
      <c r="D1245">
        <v>0.824220105064983</v>
      </c>
      <c r="E1245">
        <v>0.232458820335116</v>
      </c>
      <c r="F1245">
        <v>0.223637105011493</v>
      </c>
      <c r="G1245">
        <v>9.5177044877847006E-2</v>
      </c>
      <c r="H1245">
        <v>0.15640714719840401</v>
      </c>
      <c r="I1245">
        <v>7.2631793984566206E-2</v>
      </c>
      <c r="J1245">
        <v>6.7644051744061101E-2</v>
      </c>
      <c r="K1245">
        <v>3.6540916864489001E-2</v>
      </c>
      <c r="L1245">
        <v>1578.6584397624699</v>
      </c>
      <c r="M1245">
        <v>33.009686930204097</v>
      </c>
      <c r="N1245">
        <v>48.138047474064599</v>
      </c>
      <c r="O1245">
        <v>47.6496033146394</v>
      </c>
      <c r="P1245">
        <v>-0.156417727375015</v>
      </c>
      <c r="Q1245">
        <v>9.6845784094806306E-2</v>
      </c>
      <c r="R1245">
        <v>0.98652329250523596</v>
      </c>
      <c r="S1245" t="s">
        <v>7530</v>
      </c>
      <c r="T1245" t="s">
        <v>12568</v>
      </c>
      <c r="U1245" t="s">
        <v>12568</v>
      </c>
      <c r="V1245" t="s">
        <v>12568</v>
      </c>
      <c r="W1245" t="s">
        <v>13787</v>
      </c>
      <c r="X1245">
        <v>1</v>
      </c>
      <c r="Y1245" t="s">
        <v>20001</v>
      </c>
      <c r="Z1245" t="s">
        <v>26115</v>
      </c>
      <c r="AA1245">
        <v>0.33683766400258669</v>
      </c>
      <c r="AB1245" t="str">
        <f>HYPERLINK("Melting_Curves/meltCurve_O75570_MTRF1.pdf", "Melting_Curves/meltCurve_O75570_MTRF1.pdf")</f>
        <v>Melting_Curves/meltCurve_O75570_MTRF1.pdf</v>
      </c>
    </row>
    <row r="1246" spans="1:28" x14ac:dyDescent="0.25">
      <c r="A1246" t="s">
        <v>1250</v>
      </c>
      <c r="B1246">
        <v>0.99352677808782597</v>
      </c>
      <c r="C1246">
        <v>0.85874039487370701</v>
      </c>
      <c r="D1246">
        <v>0.60725917449043898</v>
      </c>
      <c r="E1246">
        <v>0.212541589845508</v>
      </c>
      <c r="F1246">
        <v>0.16054258367124799</v>
      </c>
      <c r="G1246">
        <v>8.8855831932934795E-2</v>
      </c>
      <c r="H1246">
        <v>6.2886599627859502E-2</v>
      </c>
      <c r="I1246">
        <v>7.0313847811662E-2</v>
      </c>
      <c r="J1246">
        <v>4.8960629150337602E-2</v>
      </c>
      <c r="K1246">
        <v>3.9431563976566698E-2</v>
      </c>
      <c r="L1246">
        <v>985.96957422745595</v>
      </c>
      <c r="M1246">
        <v>21.146720285987499</v>
      </c>
      <c r="N1246">
        <v>46.899856463131798</v>
      </c>
      <c r="O1246">
        <v>46.214237967064399</v>
      </c>
      <c r="P1246">
        <v>-0.10773503859968001</v>
      </c>
      <c r="Q1246">
        <v>5.8244082900106603E-2</v>
      </c>
      <c r="R1246">
        <v>0.99722318752918204</v>
      </c>
      <c r="S1246" t="s">
        <v>7531</v>
      </c>
      <c r="T1246" t="s">
        <v>12568</v>
      </c>
      <c r="U1246" t="s">
        <v>12568</v>
      </c>
      <c r="V1246" t="s">
        <v>12568</v>
      </c>
      <c r="W1246" t="s">
        <v>13788</v>
      </c>
      <c r="X1246">
        <v>4</v>
      </c>
      <c r="Y1246" t="s">
        <v>20002</v>
      </c>
      <c r="Z1246" t="s">
        <v>26116</v>
      </c>
      <c r="AA1246">
        <v>0.27859093558111142</v>
      </c>
      <c r="AB1246" t="str">
        <f>HYPERLINK("Melting_Curves/meltCurve_O75582_RPS6KA5.pdf", "Melting_Curves/meltCurve_O75582_RPS6KA5.pdf")</f>
        <v>Melting_Curves/meltCurve_O75582_RPS6KA5.pdf</v>
      </c>
    </row>
    <row r="1247" spans="1:28" x14ac:dyDescent="0.25">
      <c r="A1247" t="s">
        <v>1251</v>
      </c>
      <c r="B1247">
        <v>0.99352677808782597</v>
      </c>
      <c r="C1247">
        <v>1.05800446379404</v>
      </c>
      <c r="D1247">
        <v>1.00973556079447</v>
      </c>
      <c r="E1247">
        <v>0.85625351888021195</v>
      </c>
      <c r="F1247">
        <v>0.76454269194787705</v>
      </c>
      <c r="G1247">
        <v>0.51231785617806302</v>
      </c>
      <c r="H1247">
        <v>0.477478073352469</v>
      </c>
      <c r="I1247">
        <v>0.44806460273665999</v>
      </c>
      <c r="J1247">
        <v>0.64086614765245598</v>
      </c>
      <c r="K1247">
        <v>0.367915886122194</v>
      </c>
      <c r="L1247">
        <v>1332.8361376708301</v>
      </c>
      <c r="M1247">
        <v>25.234308676803199</v>
      </c>
      <c r="N1247">
        <v>59.741266546610198</v>
      </c>
      <c r="O1247">
        <v>52.4900571456051</v>
      </c>
      <c r="P1247">
        <v>-6.3321454587367501E-2</v>
      </c>
      <c r="Q1247">
        <v>0.473145285437645</v>
      </c>
      <c r="R1247">
        <v>0.91968456629457196</v>
      </c>
      <c r="S1247" t="s">
        <v>7532</v>
      </c>
      <c r="T1247" t="s">
        <v>12568</v>
      </c>
      <c r="U1247" t="s">
        <v>12568</v>
      </c>
      <c r="V1247" t="s">
        <v>12568</v>
      </c>
      <c r="W1247" t="s">
        <v>13789</v>
      </c>
      <c r="X1247">
        <v>3</v>
      </c>
      <c r="Y1247" t="s">
        <v>20003</v>
      </c>
      <c r="Z1247" t="s">
        <v>26117</v>
      </c>
      <c r="AA1247">
        <v>0.70301974785078636</v>
      </c>
      <c r="AB1247" t="str">
        <f>HYPERLINK("Melting_Curves/meltCurve_O75607_NPM3.pdf", "Melting_Curves/meltCurve_O75607_NPM3.pdf")</f>
        <v>Melting_Curves/meltCurve_O75607_NPM3.pdf</v>
      </c>
    </row>
    <row r="1248" spans="1:28" x14ac:dyDescent="0.25">
      <c r="A1248" t="s">
        <v>1252</v>
      </c>
      <c r="B1248">
        <v>0.99352677808782597</v>
      </c>
      <c r="C1248">
        <v>1.0050527779376399</v>
      </c>
      <c r="D1248">
        <v>1.0069005465329699</v>
      </c>
      <c r="E1248">
        <v>0.83777843132391405</v>
      </c>
      <c r="F1248">
        <v>0.76151535824600602</v>
      </c>
      <c r="G1248">
        <v>0.47512863109859899</v>
      </c>
      <c r="H1248">
        <v>0.16340739057310899</v>
      </c>
      <c r="I1248">
        <v>0.15639360341876801</v>
      </c>
      <c r="J1248">
        <v>0.109593754692891</v>
      </c>
      <c r="K1248">
        <v>8.80723497580327E-2</v>
      </c>
      <c r="L1248">
        <v>1008.74770959536</v>
      </c>
      <c r="M1248">
        <v>18.0655643898296</v>
      </c>
      <c r="N1248">
        <v>56.207309149605898</v>
      </c>
      <c r="O1248">
        <v>55.167435079726197</v>
      </c>
      <c r="P1248">
        <v>-7.7290989722343703E-2</v>
      </c>
      <c r="Q1248">
        <v>5.5941150135496803E-2</v>
      </c>
      <c r="R1248">
        <v>0.99310728795778502</v>
      </c>
      <c r="S1248" t="s">
        <v>7533</v>
      </c>
      <c r="T1248" t="s">
        <v>12568</v>
      </c>
      <c r="U1248" t="s">
        <v>12568</v>
      </c>
      <c r="V1248" t="s">
        <v>12568</v>
      </c>
      <c r="W1248" t="s">
        <v>13790</v>
      </c>
      <c r="X1248">
        <v>8</v>
      </c>
      <c r="Y1248" t="s">
        <v>20004</v>
      </c>
      <c r="Z1248" t="s">
        <v>26118</v>
      </c>
      <c r="AA1248">
        <v>0.56831980471022947</v>
      </c>
      <c r="AB1248" t="str">
        <f>HYPERLINK("Melting_Curves/meltCurve_O75608_2_LYPLA1.pdf", "Melting_Curves/meltCurve_O75608_2_LYPLA1.pdf")</f>
        <v>Melting_Curves/meltCurve_O75608_2_LYPLA1.pdf</v>
      </c>
    </row>
    <row r="1249" spans="1:28" x14ac:dyDescent="0.25">
      <c r="A1249" t="s">
        <v>1253</v>
      </c>
      <c r="B1249">
        <v>0.99352677808782597</v>
      </c>
      <c r="C1249">
        <v>1.0229720924105801</v>
      </c>
      <c r="D1249">
        <v>0.94617441414305303</v>
      </c>
      <c r="E1249">
        <v>1.0015198880503899</v>
      </c>
      <c r="F1249">
        <v>0.87873153347247801</v>
      </c>
      <c r="G1249">
        <v>0.81725570075694198</v>
      </c>
      <c r="H1249">
        <v>0.79854840301955299</v>
      </c>
      <c r="I1249">
        <v>0.83438775606502302</v>
      </c>
      <c r="J1249">
        <v>0.93704747265972499</v>
      </c>
      <c r="K1249">
        <v>0.68296607034016898</v>
      </c>
      <c r="S1249" t="s">
        <v>7534</v>
      </c>
      <c r="T1249" t="s">
        <v>12568</v>
      </c>
      <c r="U1249" t="s">
        <v>12569</v>
      </c>
      <c r="V1249" t="s">
        <v>12568</v>
      </c>
      <c r="W1249" t="s">
        <v>13791</v>
      </c>
      <c r="X1249">
        <v>2</v>
      </c>
      <c r="Y1249" t="s">
        <v>20005</v>
      </c>
      <c r="Z1249" t="s">
        <v>26119</v>
      </c>
      <c r="AB1249" t="str">
        <f>HYPERLINK("Melting_Curves/meltCurve_O75629_CREG1.pdf", "Melting_Curves/meltCurve_O75629_CREG1.pdf")</f>
        <v>Melting_Curves/meltCurve_O75629_CREG1.pdf</v>
      </c>
    </row>
    <row r="1250" spans="1:28" x14ac:dyDescent="0.25">
      <c r="A1250" t="s">
        <v>1254</v>
      </c>
      <c r="B1250">
        <v>0.99352677808782597</v>
      </c>
      <c r="C1250">
        <v>0.89659182354177902</v>
      </c>
      <c r="D1250">
        <v>0.94922361155104296</v>
      </c>
      <c r="E1250">
        <v>0.63503875347823102</v>
      </c>
      <c r="F1250">
        <v>0.54878365734106704</v>
      </c>
      <c r="G1250">
        <v>0.35270353239593899</v>
      </c>
      <c r="H1250">
        <v>0.25653395912492399</v>
      </c>
      <c r="I1250">
        <v>0.25214341565180498</v>
      </c>
      <c r="J1250">
        <v>0.20989584305245201</v>
      </c>
      <c r="K1250">
        <v>0.174695824407467</v>
      </c>
      <c r="L1250">
        <v>709.41571922394303</v>
      </c>
      <c r="M1250">
        <v>13.684902159939901</v>
      </c>
      <c r="N1250">
        <v>53.468230331237798</v>
      </c>
      <c r="O1250">
        <v>50.769939403067902</v>
      </c>
      <c r="P1250">
        <v>-5.59079221141284E-2</v>
      </c>
      <c r="Q1250">
        <v>0.170463526876444</v>
      </c>
      <c r="R1250">
        <v>0.98602388234471505</v>
      </c>
      <c r="S1250" t="s">
        <v>7535</v>
      </c>
      <c r="T1250" t="s">
        <v>12568</v>
      </c>
      <c r="U1250" t="s">
        <v>12568</v>
      </c>
      <c r="V1250" t="s">
        <v>12568</v>
      </c>
      <c r="W1250" t="s">
        <v>13792</v>
      </c>
      <c r="X1250">
        <v>37</v>
      </c>
      <c r="Y1250" t="s">
        <v>20006</v>
      </c>
      <c r="Z1250" t="s">
        <v>26120</v>
      </c>
      <c r="AA1250">
        <v>0.51923684481742638</v>
      </c>
      <c r="AB1250" t="str">
        <f>HYPERLINK("Melting_Curves/meltCurve_O75643_SNRNP200.pdf", "Melting_Curves/meltCurve_O75643_SNRNP200.pdf")</f>
        <v>Melting_Curves/meltCurve_O75643_SNRNP200.pdf</v>
      </c>
    </row>
    <row r="1251" spans="1:28" x14ac:dyDescent="0.25">
      <c r="A1251" t="s">
        <v>1255</v>
      </c>
      <c r="B1251">
        <v>0.99352677808782597</v>
      </c>
      <c r="C1251">
        <v>0.93292494925984304</v>
      </c>
      <c r="D1251">
        <v>0.83845940766282401</v>
      </c>
      <c r="E1251">
        <v>0.38222380349337598</v>
      </c>
      <c r="F1251">
        <v>0.34649199340560199</v>
      </c>
      <c r="G1251">
        <v>0.171205009989056</v>
      </c>
      <c r="H1251">
        <v>0.13068318341150301</v>
      </c>
      <c r="I1251">
        <v>0.120702779322888</v>
      </c>
      <c r="J1251">
        <v>0.11426393518597</v>
      </c>
      <c r="K1251">
        <v>0.121095299535819</v>
      </c>
      <c r="L1251">
        <v>964.263637416596</v>
      </c>
      <c r="M1251">
        <v>19.768357640428601</v>
      </c>
      <c r="N1251">
        <v>49.471326512718498</v>
      </c>
      <c r="O1251">
        <v>48.287231534807198</v>
      </c>
      <c r="P1251">
        <v>-8.9969827136273703E-2</v>
      </c>
      <c r="Q1251">
        <v>0.120970205577366</v>
      </c>
      <c r="R1251">
        <v>0.98881836771573595</v>
      </c>
      <c r="S1251" t="s">
        <v>7536</v>
      </c>
      <c r="T1251" t="s">
        <v>12568</v>
      </c>
      <c r="U1251" t="s">
        <v>12568</v>
      </c>
      <c r="V1251" t="s">
        <v>12568</v>
      </c>
      <c r="W1251" t="s">
        <v>13793</v>
      </c>
      <c r="X1251">
        <v>1</v>
      </c>
      <c r="Y1251" t="s">
        <v>20007</v>
      </c>
      <c r="Z1251" t="s">
        <v>26121</v>
      </c>
      <c r="AA1251">
        <v>0.39081796031874177</v>
      </c>
      <c r="AB1251" t="str">
        <f>HYPERLINK("Melting_Curves/meltCurve_O75648_TRMU.pdf", "Melting_Curves/meltCurve_O75648_TRMU.pdf")</f>
        <v>Melting_Curves/meltCurve_O75648_TRMU.pdf</v>
      </c>
    </row>
    <row r="1252" spans="1:28" x14ac:dyDescent="0.25">
      <c r="A1252" t="s">
        <v>1256</v>
      </c>
      <c r="B1252">
        <v>0.99352677808782597</v>
      </c>
      <c r="C1252">
        <v>0.79326155587389002</v>
      </c>
      <c r="D1252">
        <v>1.08475003177176</v>
      </c>
      <c r="E1252">
        <v>0.51087290032942401</v>
      </c>
      <c r="F1252">
        <v>0.42195987809312901</v>
      </c>
      <c r="G1252">
        <v>0.130080024316958</v>
      </c>
      <c r="H1252">
        <v>8.33407745611974E-2</v>
      </c>
      <c r="I1252">
        <v>7.2448748107141706E-2</v>
      </c>
      <c r="J1252">
        <v>6.0591902211721997E-2</v>
      </c>
      <c r="K1252">
        <v>4.77251889171139E-2</v>
      </c>
      <c r="L1252">
        <v>1061.6265720942299</v>
      </c>
      <c r="M1252">
        <v>20.835972693373499</v>
      </c>
      <c r="N1252">
        <v>51.234320921536003</v>
      </c>
      <c r="O1252">
        <v>50.489276771344798</v>
      </c>
      <c r="P1252">
        <v>-9.7570585713779703E-2</v>
      </c>
      <c r="Q1252">
        <v>5.4302923561786197E-2</v>
      </c>
      <c r="R1252">
        <v>0.94402924067900196</v>
      </c>
      <c r="S1252" t="s">
        <v>7537</v>
      </c>
      <c r="T1252" t="s">
        <v>12568</v>
      </c>
      <c r="U1252" t="s">
        <v>12568</v>
      </c>
      <c r="V1252" t="s">
        <v>12568</v>
      </c>
      <c r="W1252" t="s">
        <v>13794</v>
      </c>
      <c r="X1252">
        <v>14</v>
      </c>
      <c r="Y1252" t="s">
        <v>20008</v>
      </c>
      <c r="Z1252" t="s">
        <v>26122</v>
      </c>
      <c r="AA1252">
        <v>0.41168649803670893</v>
      </c>
      <c r="AB1252" t="str">
        <f>HYPERLINK("Melting_Curves/meltCurve_O75663_TIPRL.pdf", "Melting_Curves/meltCurve_O75663_TIPRL.pdf")</f>
        <v>Melting_Curves/meltCurve_O75663_TIPRL.pdf</v>
      </c>
    </row>
    <row r="1253" spans="1:28" x14ac:dyDescent="0.25">
      <c r="A1253" t="s">
        <v>1257</v>
      </c>
      <c r="B1253">
        <v>0.99352677808782597</v>
      </c>
      <c r="C1253">
        <v>0.984254328265874</v>
      </c>
      <c r="D1253">
        <v>1.01057390359368</v>
      </c>
      <c r="E1253">
        <v>0.45718543236890702</v>
      </c>
      <c r="F1253">
        <v>0.36834687440313402</v>
      </c>
      <c r="G1253">
        <v>0.189554443606398</v>
      </c>
      <c r="H1253">
        <v>0.13485337490143301</v>
      </c>
      <c r="I1253">
        <v>0.122102214159284</v>
      </c>
      <c r="J1253">
        <v>0.108977970772213</v>
      </c>
      <c r="K1253">
        <v>7.8692318049391294E-2</v>
      </c>
      <c r="L1253">
        <v>1255.0449761897701</v>
      </c>
      <c r="M1253">
        <v>25.148221325692401</v>
      </c>
      <c r="N1253">
        <v>50.468465110956799</v>
      </c>
      <c r="O1253">
        <v>49.593558001650102</v>
      </c>
      <c r="P1253">
        <v>-0.111277611050172</v>
      </c>
      <c r="Q1253">
        <v>0.12223133937635899</v>
      </c>
      <c r="R1253">
        <v>0.97953441214306303</v>
      </c>
      <c r="S1253" t="s">
        <v>7538</v>
      </c>
      <c r="T1253" t="s">
        <v>12568</v>
      </c>
      <c r="U1253" t="s">
        <v>12568</v>
      </c>
      <c r="V1253" t="s">
        <v>12568</v>
      </c>
      <c r="W1253" t="s">
        <v>13795</v>
      </c>
      <c r="X1253">
        <v>16</v>
      </c>
      <c r="Y1253" t="s">
        <v>20009</v>
      </c>
      <c r="Z1253" t="s">
        <v>26123</v>
      </c>
      <c r="AA1253">
        <v>0.41981308577609439</v>
      </c>
      <c r="AB1253" t="str">
        <f>HYPERLINK("Melting_Curves/meltCurve_O75688_PPM1B.pdf", "Melting_Curves/meltCurve_O75688_PPM1B.pdf")</f>
        <v>Melting_Curves/meltCurve_O75688_PPM1B.pdf</v>
      </c>
    </row>
    <row r="1254" spans="1:28" x14ac:dyDescent="0.25">
      <c r="A1254" t="s">
        <v>1258</v>
      </c>
      <c r="B1254">
        <v>0.99352677808782597</v>
      </c>
      <c r="C1254">
        <v>0.86239348302268404</v>
      </c>
      <c r="D1254">
        <v>0.88806497083344904</v>
      </c>
      <c r="E1254">
        <v>0.738903302429194</v>
      </c>
      <c r="F1254">
        <v>0.83664777682283697</v>
      </c>
      <c r="G1254">
        <v>0.39324302828616298</v>
      </c>
      <c r="H1254">
        <v>0.22385067682922299</v>
      </c>
      <c r="I1254">
        <v>0.17533630131529701</v>
      </c>
      <c r="J1254">
        <v>0.15035472604731101</v>
      </c>
      <c r="K1254">
        <v>0.128431573348251</v>
      </c>
      <c r="L1254">
        <v>690.78173235261704</v>
      </c>
      <c r="M1254">
        <v>12.3850043513992</v>
      </c>
      <c r="N1254">
        <v>56.008370796632498</v>
      </c>
      <c r="O1254">
        <v>54.381371140954499</v>
      </c>
      <c r="P1254">
        <v>-5.5519723001038503E-2</v>
      </c>
      <c r="Q1254">
        <v>2.50807269107803E-2</v>
      </c>
      <c r="R1254">
        <v>0.94967282773064798</v>
      </c>
      <c r="S1254" t="s">
        <v>7539</v>
      </c>
      <c r="T1254" t="s">
        <v>12568</v>
      </c>
      <c r="U1254" t="s">
        <v>12568</v>
      </c>
      <c r="V1254" t="s">
        <v>12568</v>
      </c>
      <c r="W1254" t="s">
        <v>13796</v>
      </c>
      <c r="X1254">
        <v>3</v>
      </c>
      <c r="Y1254" t="s">
        <v>20010</v>
      </c>
      <c r="Z1254" t="s">
        <v>26124</v>
      </c>
      <c r="AA1254">
        <v>0.55800922798539598</v>
      </c>
      <c r="AB1254" t="str">
        <f>HYPERLINK("Melting_Curves/meltCurve_O75695_RP2.pdf", "Melting_Curves/meltCurve_O75695_RP2.pdf")</f>
        <v>Melting_Curves/meltCurve_O75695_RP2.pdf</v>
      </c>
    </row>
    <row r="1255" spans="1:28" x14ac:dyDescent="0.25">
      <c r="A1255" t="s">
        <v>1259</v>
      </c>
      <c r="B1255">
        <v>0.99352677808782597</v>
      </c>
      <c r="C1255">
        <v>0.97637949475079899</v>
      </c>
      <c r="D1255">
        <v>0.85348835419918201</v>
      </c>
      <c r="E1255">
        <v>0.53008664932531002</v>
      </c>
      <c r="F1255">
        <v>0.44037027499795001</v>
      </c>
      <c r="G1255">
        <v>0.338290864733025</v>
      </c>
      <c r="H1255">
        <v>0.26703686744985999</v>
      </c>
      <c r="I1255">
        <v>0.27108268744658098</v>
      </c>
      <c r="J1255">
        <v>0.268654398806976</v>
      </c>
      <c r="K1255">
        <v>0.23461138503762199</v>
      </c>
      <c r="L1255">
        <v>919.147029639126</v>
      </c>
      <c r="M1255">
        <v>18.697931074295202</v>
      </c>
      <c r="N1255">
        <v>51.1499958409063</v>
      </c>
      <c r="O1255">
        <v>48.605757590141202</v>
      </c>
      <c r="P1255">
        <v>-7.1301476536599406E-2</v>
      </c>
      <c r="Q1255">
        <v>0.25863134183826503</v>
      </c>
      <c r="R1255">
        <v>0.99426699832404997</v>
      </c>
      <c r="S1255" t="s">
        <v>7540</v>
      </c>
      <c r="T1255" t="s">
        <v>12568</v>
      </c>
      <c r="U1255" t="s">
        <v>12568</v>
      </c>
      <c r="V1255" t="s">
        <v>12568</v>
      </c>
      <c r="W1255" t="s">
        <v>13797</v>
      </c>
      <c r="X1255">
        <v>34</v>
      </c>
      <c r="Y1255" t="s">
        <v>20011</v>
      </c>
      <c r="Z1255" t="s">
        <v>26125</v>
      </c>
      <c r="AA1255">
        <v>0.49681058270235318</v>
      </c>
      <c r="AB1255" t="str">
        <f>HYPERLINK("Melting_Curves/meltCurve_O75717_WDHD1.pdf", "Melting_Curves/meltCurve_O75717_WDHD1.pdf")</f>
        <v>Melting_Curves/meltCurve_O75717_WDHD1.pdf</v>
      </c>
    </row>
    <row r="1256" spans="1:28" x14ac:dyDescent="0.25">
      <c r="A1256" t="s">
        <v>1260</v>
      </c>
      <c r="B1256">
        <v>0.99352677808782597</v>
      </c>
      <c r="C1256">
        <v>1.0562491906646501</v>
      </c>
      <c r="D1256">
        <v>0.90305520943663797</v>
      </c>
      <c r="E1256">
        <v>0.46689462304565199</v>
      </c>
      <c r="F1256">
        <v>0.34946976362667997</v>
      </c>
      <c r="G1256">
        <v>9.0730805939443201E-2</v>
      </c>
      <c r="H1256">
        <v>0</v>
      </c>
      <c r="I1256">
        <v>0.10696377559871301</v>
      </c>
      <c r="J1256">
        <v>0</v>
      </c>
      <c r="K1256">
        <v>0</v>
      </c>
      <c r="L1256">
        <v>1032.1977053302301</v>
      </c>
      <c r="M1256">
        <v>20.515669852470701</v>
      </c>
      <c r="N1256">
        <v>50.409574734824801</v>
      </c>
      <c r="O1256">
        <v>49.841935392065402</v>
      </c>
      <c r="P1256">
        <v>-0.100916536986893</v>
      </c>
      <c r="Q1256">
        <v>1.9339355503188899E-2</v>
      </c>
      <c r="R1256">
        <v>0.98367919183681296</v>
      </c>
      <c r="S1256" t="s">
        <v>7541</v>
      </c>
      <c r="T1256" t="s">
        <v>12568</v>
      </c>
      <c r="U1256" t="s">
        <v>12568</v>
      </c>
      <c r="V1256" t="s">
        <v>12568</v>
      </c>
      <c r="W1256" t="s">
        <v>13798</v>
      </c>
      <c r="X1256">
        <v>2</v>
      </c>
      <c r="Y1256" t="s">
        <v>20012</v>
      </c>
      <c r="Z1256" t="s">
        <v>26126</v>
      </c>
      <c r="AA1256">
        <v>0.3694295335571488</v>
      </c>
      <c r="AB1256" t="str">
        <f>HYPERLINK("Melting_Curves/meltCurve_O75771_5_RAD51D.pdf", "Melting_Curves/meltCurve_O75771_5_RAD51D.pdf")</f>
        <v>Melting_Curves/meltCurve_O75771_5_RAD51D.pdf</v>
      </c>
    </row>
    <row r="1257" spans="1:28" x14ac:dyDescent="0.25">
      <c r="A1257" t="s">
        <v>1261</v>
      </c>
      <c r="B1257">
        <v>0.99352677808782597</v>
      </c>
      <c r="C1257">
        <v>0.977455505042785</v>
      </c>
      <c r="D1257">
        <v>1.02201904901841</v>
      </c>
      <c r="E1257">
        <v>0.95259994534065295</v>
      </c>
      <c r="F1257">
        <v>0.89662467804227697</v>
      </c>
      <c r="G1257">
        <v>0.844920921977515</v>
      </c>
      <c r="H1257">
        <v>0.73645139701360296</v>
      </c>
      <c r="I1257">
        <v>0.83949471060902103</v>
      </c>
      <c r="J1257">
        <v>0.83497066423773603</v>
      </c>
      <c r="K1257">
        <v>0.74073414670222903</v>
      </c>
      <c r="L1257">
        <v>1227.60230730794</v>
      </c>
      <c r="M1257">
        <v>23.072585153413499</v>
      </c>
      <c r="O1257">
        <v>52.811250013540899</v>
      </c>
      <c r="P1257">
        <v>-2.3196641682714899E-2</v>
      </c>
      <c r="Q1257">
        <v>0.78762310621446996</v>
      </c>
      <c r="R1257">
        <v>0.86904042798923697</v>
      </c>
      <c r="S1257" t="s">
        <v>7542</v>
      </c>
      <c r="T1257" t="s">
        <v>12568</v>
      </c>
      <c r="U1257" t="s">
        <v>12568</v>
      </c>
      <c r="V1257" t="s">
        <v>12568</v>
      </c>
      <c r="W1257" t="s">
        <v>13799</v>
      </c>
      <c r="X1257">
        <v>14</v>
      </c>
      <c r="Y1257" t="s">
        <v>20013</v>
      </c>
      <c r="Z1257" t="s">
        <v>26127</v>
      </c>
      <c r="AA1257">
        <v>0.88338172181317798</v>
      </c>
      <c r="AB1257" t="str">
        <f>HYPERLINK("Melting_Curves/meltCurve_O75781_PALM.pdf", "Melting_Curves/meltCurve_O75781_PALM.pdf")</f>
        <v>Melting_Curves/meltCurve_O75781_PALM.pdf</v>
      </c>
    </row>
    <row r="1258" spans="1:28" x14ac:dyDescent="0.25">
      <c r="A1258" t="s">
        <v>1262</v>
      </c>
      <c r="B1258">
        <v>0.99352677808782597</v>
      </c>
      <c r="C1258">
        <v>0.91877044819538101</v>
      </c>
      <c r="D1258">
        <v>0.80376466025925797</v>
      </c>
      <c r="E1258">
        <v>0.45104151150072103</v>
      </c>
      <c r="F1258">
        <v>0.36234830570614701</v>
      </c>
      <c r="G1258">
        <v>0.163042497552779</v>
      </c>
      <c r="H1258">
        <v>8.4871115598956895E-2</v>
      </c>
      <c r="I1258">
        <v>7.4726920005882894E-2</v>
      </c>
      <c r="J1258">
        <v>6.53811022283243E-2</v>
      </c>
      <c r="K1258">
        <v>5.9683497014940301E-2</v>
      </c>
      <c r="L1258">
        <v>753.67253676440396</v>
      </c>
      <c r="M1258">
        <v>15.160162236629199</v>
      </c>
      <c r="N1258">
        <v>50.026724344049697</v>
      </c>
      <c r="O1258">
        <v>48.873074108336198</v>
      </c>
      <c r="P1258">
        <v>-7.4050147146095202E-2</v>
      </c>
      <c r="Q1258">
        <v>4.5206094395592401E-2</v>
      </c>
      <c r="R1258">
        <v>0.99534696871122796</v>
      </c>
      <c r="S1258" t="s">
        <v>7543</v>
      </c>
      <c r="T1258" t="s">
        <v>12568</v>
      </c>
      <c r="U1258" t="s">
        <v>12568</v>
      </c>
      <c r="V1258" t="s">
        <v>12568</v>
      </c>
      <c r="W1258" t="s">
        <v>13800</v>
      </c>
      <c r="X1258">
        <v>8</v>
      </c>
      <c r="Y1258" t="s">
        <v>20014</v>
      </c>
      <c r="Z1258" t="s">
        <v>26128</v>
      </c>
      <c r="AA1258">
        <v>0.37691412696541632</v>
      </c>
      <c r="AB1258" t="str">
        <f>HYPERLINK("Melting_Curves/meltCurve_O75792_RNASEH2A.pdf", "Melting_Curves/meltCurve_O75792_RNASEH2A.pdf")</f>
        <v>Melting_Curves/meltCurve_O75792_RNASEH2A.pdf</v>
      </c>
    </row>
    <row r="1259" spans="1:28" x14ac:dyDescent="0.25">
      <c r="A1259" t="s">
        <v>1263</v>
      </c>
      <c r="B1259">
        <v>0.99352677808782597</v>
      </c>
      <c r="C1259">
        <v>0.95473481564139395</v>
      </c>
      <c r="D1259">
        <v>0.74352989810625103</v>
      </c>
      <c r="E1259">
        <v>0.46094027179120101</v>
      </c>
      <c r="F1259">
        <v>0.40715135062407398</v>
      </c>
      <c r="G1259">
        <v>0.28498327221099401</v>
      </c>
      <c r="H1259">
        <v>0.22881374679583499</v>
      </c>
      <c r="I1259">
        <v>0.20462744414050699</v>
      </c>
      <c r="J1259">
        <v>0.176981445616405</v>
      </c>
      <c r="K1259">
        <v>0.12759823268460499</v>
      </c>
      <c r="L1259">
        <v>716.02718601050105</v>
      </c>
      <c r="M1259">
        <v>14.6565292299539</v>
      </c>
      <c r="N1259">
        <v>50.248464914482902</v>
      </c>
      <c r="O1259">
        <v>47.9713543918147</v>
      </c>
      <c r="P1259">
        <v>-6.3624542805148093E-2</v>
      </c>
      <c r="Q1259">
        <v>0.16711012848671999</v>
      </c>
      <c r="R1259">
        <v>0.98783299516744205</v>
      </c>
      <c r="S1259" t="s">
        <v>7544</v>
      </c>
      <c r="T1259" t="s">
        <v>12568</v>
      </c>
      <c r="U1259" t="s">
        <v>12568</v>
      </c>
      <c r="V1259" t="s">
        <v>12568</v>
      </c>
      <c r="W1259" t="s">
        <v>13801</v>
      </c>
      <c r="X1259">
        <v>7</v>
      </c>
      <c r="Y1259" t="s">
        <v>20015</v>
      </c>
      <c r="Z1259" t="s">
        <v>26129</v>
      </c>
      <c r="AA1259">
        <v>0.4345118948826126</v>
      </c>
      <c r="AB1259" t="str">
        <f>HYPERLINK("Melting_Curves/meltCurve_O75794_CDC123.pdf", "Melting_Curves/meltCurve_O75794_CDC123.pdf")</f>
        <v>Melting_Curves/meltCurve_O75794_CDC123.pdf</v>
      </c>
    </row>
    <row r="1260" spans="1:28" x14ac:dyDescent="0.25">
      <c r="A1260" t="s">
        <v>1264</v>
      </c>
      <c r="B1260">
        <v>0.99352677808782597</v>
      </c>
      <c r="C1260">
        <v>0.91263503656763501</v>
      </c>
      <c r="D1260">
        <v>0.94502451103268104</v>
      </c>
      <c r="E1260">
        <v>0.61396992431738096</v>
      </c>
      <c r="F1260">
        <v>0.56832366140165602</v>
      </c>
      <c r="G1260">
        <v>0.47349705427001898</v>
      </c>
      <c r="H1260">
        <v>0.41799941053633299</v>
      </c>
      <c r="I1260">
        <v>0.45415401379223502</v>
      </c>
      <c r="J1260">
        <v>0.43134553890770999</v>
      </c>
      <c r="K1260">
        <v>0.377144891164575</v>
      </c>
      <c r="L1260">
        <v>955.52139635068102</v>
      </c>
      <c r="M1260">
        <v>19.3962437292601</v>
      </c>
      <c r="N1260">
        <v>54.347314237506801</v>
      </c>
      <c r="O1260">
        <v>48.748561197773597</v>
      </c>
      <c r="P1260">
        <v>-5.7840526360962E-2</v>
      </c>
      <c r="Q1260">
        <v>0.418539496032095</v>
      </c>
      <c r="R1260">
        <v>0.97250386673282496</v>
      </c>
      <c r="S1260" t="s">
        <v>7545</v>
      </c>
      <c r="T1260" t="s">
        <v>12568</v>
      </c>
      <c r="U1260" t="s">
        <v>12568</v>
      </c>
      <c r="V1260" t="s">
        <v>12568</v>
      </c>
      <c r="W1260" t="s">
        <v>13802</v>
      </c>
      <c r="X1260">
        <v>4</v>
      </c>
      <c r="Y1260" t="s">
        <v>20016</v>
      </c>
      <c r="Z1260" t="s">
        <v>26130</v>
      </c>
      <c r="AA1260">
        <v>0.60672175894925895</v>
      </c>
      <c r="AB1260" t="str">
        <f>HYPERLINK("Melting_Curves/meltCurve_O75808_SOLH.pdf", "Melting_Curves/meltCurve_O75808_SOLH.pdf")</f>
        <v>Melting_Curves/meltCurve_O75808_SOLH.pdf</v>
      </c>
    </row>
    <row r="1261" spans="1:28" x14ac:dyDescent="0.25">
      <c r="A1261" t="s">
        <v>1265</v>
      </c>
      <c r="B1261">
        <v>0.99352677808782597</v>
      </c>
      <c r="C1261">
        <v>0.91701714670832402</v>
      </c>
      <c r="D1261">
        <v>0.79226353241488701</v>
      </c>
      <c r="E1261">
        <v>0.43506953432268503</v>
      </c>
      <c r="F1261">
        <v>0.38377621729227201</v>
      </c>
      <c r="G1261">
        <v>0.198395278408492</v>
      </c>
      <c r="H1261">
        <v>0.161792508686322</v>
      </c>
      <c r="I1261">
        <v>0.13217352285314199</v>
      </c>
      <c r="J1261">
        <v>0.104842675527271</v>
      </c>
      <c r="K1261">
        <v>8.6964503599607806E-2</v>
      </c>
      <c r="L1261">
        <v>738.30892689351197</v>
      </c>
      <c r="M1261">
        <v>14.984347291777601</v>
      </c>
      <c r="N1261">
        <v>49.9947047856949</v>
      </c>
      <c r="O1261">
        <v>48.419434687881001</v>
      </c>
      <c r="P1261">
        <v>-6.9840783700776898E-2</v>
      </c>
      <c r="Q1261">
        <v>9.7375876225235206E-2</v>
      </c>
      <c r="R1261">
        <v>0.99212686321975696</v>
      </c>
      <c r="S1261" t="s">
        <v>7546</v>
      </c>
      <c r="T1261" t="s">
        <v>12568</v>
      </c>
      <c r="U1261" t="s">
        <v>12568</v>
      </c>
      <c r="V1261" t="s">
        <v>12568</v>
      </c>
      <c r="W1261" t="s">
        <v>13803</v>
      </c>
      <c r="X1261">
        <v>7</v>
      </c>
      <c r="Y1261" t="s">
        <v>20017</v>
      </c>
      <c r="Z1261" t="s">
        <v>26131</v>
      </c>
      <c r="AA1261">
        <v>0.39844806310616471</v>
      </c>
      <c r="AB1261" t="str">
        <f>HYPERLINK("Melting_Curves/meltCurve_O75815_BCAR3.pdf", "Melting_Curves/meltCurve_O75815_BCAR3.pdf")</f>
        <v>Melting_Curves/meltCurve_O75815_BCAR3.pdf</v>
      </c>
    </row>
    <row r="1262" spans="1:28" x14ac:dyDescent="0.25">
      <c r="A1262" t="s">
        <v>1266</v>
      </c>
      <c r="B1262">
        <v>0.99352677808782597</v>
      </c>
      <c r="C1262">
        <v>1.00924260744089</v>
      </c>
      <c r="D1262">
        <v>0.94213099439838899</v>
      </c>
      <c r="E1262">
        <v>1.1275290075567701</v>
      </c>
      <c r="F1262">
        <v>1.0516959245544599</v>
      </c>
      <c r="G1262">
        <v>0.95352580966899803</v>
      </c>
      <c r="H1262">
        <v>0.68817795366655099</v>
      </c>
      <c r="I1262">
        <v>0.48447385186109998</v>
      </c>
      <c r="J1262">
        <v>0.33399765868317499</v>
      </c>
      <c r="K1262">
        <v>0.194835048331719</v>
      </c>
      <c r="L1262">
        <v>1530.13631939576</v>
      </c>
      <c r="M1262">
        <v>24.391820758195799</v>
      </c>
      <c r="N1262">
        <v>63.709272412986998</v>
      </c>
      <c r="O1262">
        <v>62.314467017346203</v>
      </c>
      <c r="P1262">
        <v>-8.2580683693513901E-2</v>
      </c>
      <c r="Q1262">
        <v>0.156128052745417</v>
      </c>
      <c r="R1262">
        <v>0.97285876100827895</v>
      </c>
      <c r="S1262" t="s">
        <v>7547</v>
      </c>
      <c r="T1262" t="s">
        <v>12568</v>
      </c>
      <c r="U1262" t="s">
        <v>12568</v>
      </c>
      <c r="V1262" t="s">
        <v>12568</v>
      </c>
      <c r="W1262" t="s">
        <v>13804</v>
      </c>
      <c r="X1262">
        <v>3</v>
      </c>
      <c r="Y1262" t="s">
        <v>20018</v>
      </c>
      <c r="Z1262" t="s">
        <v>26132</v>
      </c>
      <c r="AA1262">
        <v>0.79790322448284212</v>
      </c>
      <c r="AB1262" t="str">
        <f>HYPERLINK("Melting_Curves/meltCurve_O75818_2_RPP40.pdf", "Melting_Curves/meltCurve_O75818_2_RPP40.pdf")</f>
        <v>Melting_Curves/meltCurve_O75818_2_RPP40.pdf</v>
      </c>
    </row>
    <row r="1263" spans="1:28" x14ac:dyDescent="0.25">
      <c r="A1263" t="s">
        <v>1267</v>
      </c>
      <c r="B1263">
        <v>0.99352677808782597</v>
      </c>
      <c r="C1263">
        <v>1.15727098414468</v>
      </c>
      <c r="D1263">
        <v>1.3998886070908401</v>
      </c>
      <c r="E1263">
        <v>1.2746655052632201</v>
      </c>
      <c r="F1263">
        <v>1.12778025820816</v>
      </c>
      <c r="G1263">
        <v>0.756285986608071</v>
      </c>
      <c r="H1263">
        <v>0.53292575332331404</v>
      </c>
      <c r="I1263">
        <v>0.401770345763658</v>
      </c>
      <c r="J1263">
        <v>0.37372864011658102</v>
      </c>
      <c r="K1263">
        <v>0.31115276896799199</v>
      </c>
      <c r="L1263">
        <v>1888.8885141287301</v>
      </c>
      <c r="M1263">
        <v>32.184300967787301</v>
      </c>
      <c r="N1263">
        <v>60.946178328369697</v>
      </c>
      <c r="O1263">
        <v>58.464552101817297</v>
      </c>
      <c r="P1263">
        <v>-8.9713108071469094E-2</v>
      </c>
      <c r="Q1263">
        <v>0.34812798123053901</v>
      </c>
      <c r="R1263">
        <v>0.80623417362488203</v>
      </c>
      <c r="S1263" t="s">
        <v>7548</v>
      </c>
      <c r="T1263" t="s">
        <v>12568</v>
      </c>
      <c r="U1263" t="s">
        <v>12568</v>
      </c>
      <c r="V1263" t="s">
        <v>12568</v>
      </c>
      <c r="W1263" t="s">
        <v>13805</v>
      </c>
      <c r="X1263">
        <v>13</v>
      </c>
      <c r="Y1263" t="s">
        <v>20019</v>
      </c>
      <c r="Z1263" t="s">
        <v>26133</v>
      </c>
      <c r="AA1263">
        <v>0.75800880587269082</v>
      </c>
      <c r="AB1263" t="str">
        <f>HYPERLINK("Melting_Curves/meltCurve_O75821_EIF3G.pdf", "Melting_Curves/meltCurve_O75821_EIF3G.pdf")</f>
        <v>Melting_Curves/meltCurve_O75821_EIF3G.pdf</v>
      </c>
    </row>
    <row r="1264" spans="1:28" x14ac:dyDescent="0.25">
      <c r="A1264" t="s">
        <v>1268</v>
      </c>
      <c r="B1264">
        <v>0.99352677808782597</v>
      </c>
      <c r="C1264">
        <v>0.94729317848532901</v>
      </c>
      <c r="D1264">
        <v>0.98709813884471498</v>
      </c>
      <c r="E1264">
        <v>0.89714552115324697</v>
      </c>
      <c r="F1264">
        <v>0.76083229451038303</v>
      </c>
      <c r="G1264">
        <v>0.49728438800966102</v>
      </c>
      <c r="H1264">
        <v>0.34732165129298498</v>
      </c>
      <c r="I1264">
        <v>0.32468894808964999</v>
      </c>
      <c r="J1264">
        <v>0.33841295340608601</v>
      </c>
      <c r="K1264">
        <v>0.27542448536002201</v>
      </c>
      <c r="L1264">
        <v>1124.6056328627999</v>
      </c>
      <c r="M1264">
        <v>20.606470468574798</v>
      </c>
      <c r="N1264">
        <v>56.974288444503003</v>
      </c>
      <c r="O1264">
        <v>54.069165826184197</v>
      </c>
      <c r="P1264">
        <v>-6.7646658868429604E-2</v>
      </c>
      <c r="Q1264">
        <v>0.29002993646000802</v>
      </c>
      <c r="R1264">
        <v>0.99461051280759405</v>
      </c>
      <c r="S1264" t="s">
        <v>7549</v>
      </c>
      <c r="T1264" t="s">
        <v>12568</v>
      </c>
      <c r="U1264" t="s">
        <v>12568</v>
      </c>
      <c r="V1264" t="s">
        <v>12568</v>
      </c>
      <c r="W1264" t="s">
        <v>13806</v>
      </c>
      <c r="X1264">
        <v>15</v>
      </c>
      <c r="Y1264" t="s">
        <v>20020</v>
      </c>
      <c r="Z1264" t="s">
        <v>26134</v>
      </c>
      <c r="AA1264">
        <v>0.64407745921512261</v>
      </c>
      <c r="AB1264" t="str">
        <f>HYPERLINK("Melting_Curves/meltCurve_O75822_EIF3J.pdf", "Melting_Curves/meltCurve_O75822_EIF3J.pdf")</f>
        <v>Melting_Curves/meltCurve_O75822_EIF3J.pdf</v>
      </c>
    </row>
    <row r="1265" spans="1:28" x14ac:dyDescent="0.25">
      <c r="A1265" t="s">
        <v>1269</v>
      </c>
      <c r="B1265">
        <v>0.99352677808782597</v>
      </c>
      <c r="C1265">
        <v>0.95505876530248401</v>
      </c>
      <c r="D1265">
        <v>0.99389504105414195</v>
      </c>
      <c r="E1265">
        <v>0.49194944865063001</v>
      </c>
      <c r="F1265">
        <v>0.41869207863559599</v>
      </c>
      <c r="G1265">
        <v>0.19919120867535001</v>
      </c>
      <c r="H1265">
        <v>0.133750145732729</v>
      </c>
      <c r="I1265">
        <v>0.12362083950419001</v>
      </c>
      <c r="J1265">
        <v>0.102349169947395</v>
      </c>
      <c r="K1265">
        <v>8.3271422708344006E-2</v>
      </c>
      <c r="L1265">
        <v>1022.68230085434</v>
      </c>
      <c r="M1265">
        <v>20.270038450009</v>
      </c>
      <c r="N1265">
        <v>51.052343571560101</v>
      </c>
      <c r="O1265">
        <v>49.969537310010999</v>
      </c>
      <c r="P1265">
        <v>-9.0675252470102705E-2</v>
      </c>
      <c r="Q1265">
        <v>0.105899706122599</v>
      </c>
      <c r="R1265">
        <v>0.98019197754836995</v>
      </c>
      <c r="S1265" t="s">
        <v>7550</v>
      </c>
      <c r="T1265" t="s">
        <v>12568</v>
      </c>
      <c r="U1265" t="s">
        <v>12568</v>
      </c>
      <c r="V1265" t="s">
        <v>12568</v>
      </c>
      <c r="W1265" t="s">
        <v>13807</v>
      </c>
      <c r="X1265">
        <v>16</v>
      </c>
      <c r="Y1265" t="s">
        <v>20021</v>
      </c>
      <c r="Z1265" t="s">
        <v>26135</v>
      </c>
      <c r="AA1265">
        <v>0.42954431254166903</v>
      </c>
      <c r="AB1265" t="str">
        <f>HYPERLINK("Melting_Curves/meltCurve_O75828_CBR3.pdf", "Melting_Curves/meltCurve_O75828_CBR3.pdf")</f>
        <v>Melting_Curves/meltCurve_O75828_CBR3.pdf</v>
      </c>
    </row>
    <row r="1266" spans="1:28" x14ac:dyDescent="0.25">
      <c r="A1266" t="s">
        <v>1270</v>
      </c>
      <c r="B1266">
        <v>0.99352677808782597</v>
      </c>
      <c r="C1266">
        <v>0.72148541836301905</v>
      </c>
      <c r="D1266">
        <v>0.64275218949469404</v>
      </c>
      <c r="E1266">
        <v>0.329025928422846</v>
      </c>
      <c r="F1266">
        <v>0.262941827166076</v>
      </c>
      <c r="G1266">
        <v>0.14989539002230001</v>
      </c>
      <c r="H1266">
        <v>0.1108911372161</v>
      </c>
      <c r="I1266">
        <v>9.9570981142349302E-2</v>
      </c>
      <c r="J1266">
        <v>7.4475098715484994E-2</v>
      </c>
      <c r="K1266">
        <v>5.6149015633300298E-2</v>
      </c>
      <c r="L1266">
        <v>617.02871905014399</v>
      </c>
      <c r="M1266">
        <v>13.0951259810127</v>
      </c>
      <c r="N1266">
        <v>47.586071688067001</v>
      </c>
      <c r="O1266">
        <v>46.0607672075854</v>
      </c>
      <c r="P1266">
        <v>-6.6800023378941295E-2</v>
      </c>
      <c r="Q1266">
        <v>6.03123868644048E-2</v>
      </c>
      <c r="R1266">
        <v>0.98438335952767997</v>
      </c>
      <c r="S1266" t="s">
        <v>7551</v>
      </c>
      <c r="T1266" t="s">
        <v>12568</v>
      </c>
      <c r="U1266" t="s">
        <v>12568</v>
      </c>
      <c r="V1266" t="s">
        <v>12568</v>
      </c>
      <c r="W1266" t="s">
        <v>13808</v>
      </c>
      <c r="X1266">
        <v>7</v>
      </c>
      <c r="Y1266" t="s">
        <v>20022</v>
      </c>
      <c r="Z1266" t="s">
        <v>26136</v>
      </c>
      <c r="AA1266">
        <v>0.31649989059233952</v>
      </c>
      <c r="AB1266" t="str">
        <f>HYPERLINK("Melting_Curves/meltCurve_O75843_AP1G2.pdf", "Melting_Curves/meltCurve_O75843_AP1G2.pdf")</f>
        <v>Melting_Curves/meltCurve_O75843_AP1G2.pdf</v>
      </c>
    </row>
    <row r="1267" spans="1:28" x14ac:dyDescent="0.25">
      <c r="A1267" t="s">
        <v>1271</v>
      </c>
      <c r="B1267">
        <v>0.99352677808782597</v>
      </c>
      <c r="C1267">
        <v>1.0255452452395299</v>
      </c>
      <c r="D1267">
        <v>0.93994646937448001</v>
      </c>
      <c r="E1267">
        <v>0.40549259091099099</v>
      </c>
      <c r="F1267">
        <v>0.36006770131251797</v>
      </c>
      <c r="G1267">
        <v>0.190842132241969</v>
      </c>
      <c r="H1267">
        <v>0.13661620985050901</v>
      </c>
      <c r="I1267">
        <v>0.112821359420727</v>
      </c>
      <c r="J1267">
        <v>0.10669001471469799</v>
      </c>
      <c r="K1267">
        <v>7.5628065679911802E-2</v>
      </c>
      <c r="L1267">
        <v>1192.3292806127199</v>
      </c>
      <c r="M1267">
        <v>24.123487873366098</v>
      </c>
      <c r="N1267">
        <v>50.003083334424304</v>
      </c>
      <c r="O1267">
        <v>49.090183046417799</v>
      </c>
      <c r="P1267">
        <v>-0.107929146055919</v>
      </c>
      <c r="Q1267">
        <v>0.12149031178958999</v>
      </c>
      <c r="R1267">
        <v>0.98001653858041804</v>
      </c>
      <c r="S1267" t="s">
        <v>7552</v>
      </c>
      <c r="T1267" t="s">
        <v>12568</v>
      </c>
      <c r="U1267" t="s">
        <v>12568</v>
      </c>
      <c r="V1267" t="s">
        <v>12568</v>
      </c>
      <c r="W1267" t="s">
        <v>13809</v>
      </c>
      <c r="X1267">
        <v>2</v>
      </c>
      <c r="Y1267" t="s">
        <v>20023</v>
      </c>
      <c r="Z1267" t="s">
        <v>26137</v>
      </c>
      <c r="AA1267">
        <v>0.405918838493598</v>
      </c>
      <c r="AB1267" t="str">
        <f>HYPERLINK("Melting_Curves/meltCurve_O75865_TRAPPC6A.pdf", "Melting_Curves/meltCurve_O75865_TRAPPC6A.pdf")</f>
        <v>Melting_Curves/meltCurve_O75865_TRAPPC6A.pdf</v>
      </c>
    </row>
    <row r="1268" spans="1:28" x14ac:dyDescent="0.25">
      <c r="A1268" t="s">
        <v>1272</v>
      </c>
      <c r="B1268">
        <v>0.99352677808782597</v>
      </c>
      <c r="C1268">
        <v>1.1244461947834099</v>
      </c>
      <c r="D1268">
        <v>0.56306913636152001</v>
      </c>
      <c r="E1268">
        <v>0.21748429053564999</v>
      </c>
      <c r="F1268">
        <v>0.13630077269799601</v>
      </c>
      <c r="G1268">
        <v>7.9738374206914195E-2</v>
      </c>
      <c r="H1268">
        <v>5.9834613367607203E-2</v>
      </c>
      <c r="I1268">
        <v>5.32262916165121E-2</v>
      </c>
      <c r="J1268">
        <v>4.3960395104971503E-2</v>
      </c>
      <c r="K1268">
        <v>3.3806837700296202E-2</v>
      </c>
      <c r="L1268">
        <v>11503.733859548</v>
      </c>
      <c r="M1268">
        <v>250</v>
      </c>
      <c r="N1268">
        <v>46.051127270684802</v>
      </c>
      <c r="O1268">
        <v>46.011990658945699</v>
      </c>
      <c r="P1268">
        <v>-1.2371869051712101</v>
      </c>
      <c r="Q1268">
        <v>8.9193081336331498E-2</v>
      </c>
      <c r="R1268">
        <v>0.97331608360497301</v>
      </c>
      <c r="S1268" t="s">
        <v>7553</v>
      </c>
      <c r="T1268" t="s">
        <v>12568</v>
      </c>
      <c r="U1268" t="s">
        <v>12568</v>
      </c>
      <c r="V1268" t="s">
        <v>12568</v>
      </c>
      <c r="W1268" t="s">
        <v>13810</v>
      </c>
      <c r="X1268">
        <v>26</v>
      </c>
      <c r="Y1268" t="s">
        <v>20024</v>
      </c>
      <c r="Z1268" t="s">
        <v>26138</v>
      </c>
      <c r="AA1268">
        <v>0.2718814610810778</v>
      </c>
      <c r="AB1268" t="str">
        <f>HYPERLINK("Melting_Curves/meltCurve_O75874_IDH1.pdf", "Melting_Curves/meltCurve_O75874_IDH1.pdf")</f>
        <v>Melting_Curves/meltCurve_O75874_IDH1.pdf</v>
      </c>
    </row>
    <row r="1269" spans="1:28" x14ac:dyDescent="0.25">
      <c r="A1269" t="s">
        <v>1273</v>
      </c>
      <c r="B1269">
        <v>0.99352677808782597</v>
      </c>
      <c r="C1269">
        <v>1.00117549682325</v>
      </c>
      <c r="D1269">
        <v>1.0153700931340199</v>
      </c>
      <c r="E1269">
        <v>0.84974150184830699</v>
      </c>
      <c r="F1269">
        <v>0.80654628881067802</v>
      </c>
      <c r="G1269">
        <v>0.37864023672589903</v>
      </c>
      <c r="H1269">
        <v>0.16323301322394601</v>
      </c>
      <c r="I1269">
        <v>0.15600356891052899</v>
      </c>
      <c r="J1269">
        <v>0.148139031788484</v>
      </c>
      <c r="K1269">
        <v>0.109873069782449</v>
      </c>
      <c r="L1269">
        <v>1348.8828370426199</v>
      </c>
      <c r="M1269">
        <v>24.464974766194601</v>
      </c>
      <c r="N1269">
        <v>55.725477345524403</v>
      </c>
      <c r="O1269">
        <v>54.770827183177403</v>
      </c>
      <c r="P1269">
        <v>-9.8925970832337201E-2</v>
      </c>
      <c r="Q1269">
        <v>0.114132761838839</v>
      </c>
      <c r="R1269">
        <v>0.99216584714963096</v>
      </c>
      <c r="S1269" t="s">
        <v>7554</v>
      </c>
      <c r="T1269" t="s">
        <v>12568</v>
      </c>
      <c r="U1269" t="s">
        <v>12568</v>
      </c>
      <c r="V1269" t="s">
        <v>12568</v>
      </c>
      <c r="W1269" t="s">
        <v>13811</v>
      </c>
      <c r="X1269">
        <v>8</v>
      </c>
      <c r="Y1269" t="s">
        <v>20025</v>
      </c>
      <c r="Z1269" t="s">
        <v>26139</v>
      </c>
      <c r="AA1269">
        <v>0.56956418912702456</v>
      </c>
      <c r="AB1269" t="str">
        <f>HYPERLINK("Melting_Curves/meltCurve_O75884_RBBP9.pdf", "Melting_Curves/meltCurve_O75884_RBBP9.pdf")</f>
        <v>Melting_Curves/meltCurve_O75884_RBBP9.pdf</v>
      </c>
    </row>
    <row r="1270" spans="1:28" x14ac:dyDescent="0.25">
      <c r="A1270" t="s">
        <v>1274</v>
      </c>
      <c r="B1270">
        <v>0.99352677808782597</v>
      </c>
      <c r="C1270">
        <v>1.0181300183364901</v>
      </c>
      <c r="D1270">
        <v>1.01830315832297</v>
      </c>
      <c r="E1270">
        <v>0.90959635163366004</v>
      </c>
      <c r="F1270">
        <v>0.76421312126480301</v>
      </c>
      <c r="G1270">
        <v>0.47095413990625101</v>
      </c>
      <c r="H1270">
        <v>0.224138411156625</v>
      </c>
      <c r="I1270">
        <v>0.19467241673055599</v>
      </c>
      <c r="J1270">
        <v>0.18577691594083701</v>
      </c>
      <c r="K1270">
        <v>0.160664088649693</v>
      </c>
      <c r="L1270">
        <v>1198.80165491413</v>
      </c>
      <c r="M1270">
        <v>21.636253876506998</v>
      </c>
      <c r="N1270">
        <v>56.342593153790901</v>
      </c>
      <c r="O1270">
        <v>54.940277888074</v>
      </c>
      <c r="P1270">
        <v>-8.35989124690147E-2</v>
      </c>
      <c r="Q1270">
        <v>0.150899598719172</v>
      </c>
      <c r="R1270">
        <v>0.99771505343785705</v>
      </c>
      <c r="S1270" t="s">
        <v>7555</v>
      </c>
      <c r="T1270" t="s">
        <v>12568</v>
      </c>
      <c r="U1270" t="s">
        <v>12568</v>
      </c>
      <c r="V1270" t="s">
        <v>12568</v>
      </c>
      <c r="W1270" t="s">
        <v>13812</v>
      </c>
      <c r="X1270">
        <v>9</v>
      </c>
      <c r="Y1270" t="s">
        <v>20026</v>
      </c>
      <c r="Z1270" t="s">
        <v>26140</v>
      </c>
      <c r="AA1270">
        <v>0.59690344788715433</v>
      </c>
      <c r="AB1270" t="str">
        <f>HYPERLINK("Melting_Curves/meltCurve_O75886_STAM2.pdf", "Melting_Curves/meltCurve_O75886_STAM2.pdf")</f>
        <v>Melting_Curves/meltCurve_O75886_STAM2.pdf</v>
      </c>
    </row>
    <row r="1271" spans="1:28" x14ac:dyDescent="0.25">
      <c r="A1271" t="s">
        <v>1275</v>
      </c>
      <c r="B1271">
        <v>0.99352677808782597</v>
      </c>
      <c r="C1271">
        <v>1.0167886803981601</v>
      </c>
      <c r="D1271">
        <v>0.92992616114938997</v>
      </c>
      <c r="E1271">
        <v>0.76780616336382901</v>
      </c>
      <c r="F1271">
        <v>0.63726545887816599</v>
      </c>
      <c r="G1271">
        <v>0.390136947487909</v>
      </c>
      <c r="H1271">
        <v>0.15069513612129201</v>
      </c>
      <c r="I1271">
        <v>9.3448562038451505E-2</v>
      </c>
      <c r="J1271">
        <v>8.8963325124826506E-2</v>
      </c>
      <c r="K1271">
        <v>7.96380447512572E-2</v>
      </c>
      <c r="L1271">
        <v>813.03775008580601</v>
      </c>
      <c r="M1271">
        <v>14.8973246351722</v>
      </c>
      <c r="N1271">
        <v>54.726885119503102</v>
      </c>
      <c r="O1271">
        <v>53.6209919812298</v>
      </c>
      <c r="P1271">
        <v>-6.8066990465095206E-2</v>
      </c>
      <c r="Q1271">
        <v>2.01084054517243E-2</v>
      </c>
      <c r="R1271">
        <v>0.99547101704330698</v>
      </c>
      <c r="S1271" t="s">
        <v>7556</v>
      </c>
      <c r="T1271" t="s">
        <v>12568</v>
      </c>
      <c r="U1271" t="s">
        <v>12568</v>
      </c>
      <c r="V1271" t="s">
        <v>12568</v>
      </c>
      <c r="W1271" t="s">
        <v>13813</v>
      </c>
      <c r="X1271">
        <v>2</v>
      </c>
      <c r="Y1271" t="s">
        <v>20027</v>
      </c>
      <c r="Z1271" t="s">
        <v>26141</v>
      </c>
      <c r="AA1271">
        <v>0.51580060459005705</v>
      </c>
      <c r="AB1271" t="str">
        <f>HYPERLINK("Melting_Curves/meltCurve_O75896_TUSC2.pdf", "Melting_Curves/meltCurve_O75896_TUSC2.pdf")</f>
        <v>Melting_Curves/meltCurve_O75896_TUSC2.pdf</v>
      </c>
    </row>
    <row r="1272" spans="1:28" x14ac:dyDescent="0.25">
      <c r="A1272" t="s">
        <v>1276</v>
      </c>
      <c r="B1272">
        <v>0.99352677808782597</v>
      </c>
      <c r="C1272">
        <v>1.0124903360714901</v>
      </c>
      <c r="D1272">
        <v>0.95816729438113102</v>
      </c>
      <c r="E1272">
        <v>0.84815821257888402</v>
      </c>
      <c r="F1272">
        <v>0.773965614950332</v>
      </c>
      <c r="G1272">
        <v>0.30456617161898403</v>
      </c>
      <c r="H1272">
        <v>0.206043235651931</v>
      </c>
      <c r="I1272">
        <v>0.19822966440544401</v>
      </c>
      <c r="J1272">
        <v>0.168614663262137</v>
      </c>
      <c r="K1272">
        <v>0.12668370186025299</v>
      </c>
      <c r="L1272">
        <v>1408.3012277881001</v>
      </c>
      <c r="M1272">
        <v>25.895122025090501</v>
      </c>
      <c r="N1272">
        <v>55.149329181943997</v>
      </c>
      <c r="O1272">
        <v>54.063560131946403</v>
      </c>
      <c r="P1272">
        <v>-0.10168704933235601</v>
      </c>
      <c r="Q1272">
        <v>0.15080504801462799</v>
      </c>
      <c r="R1272">
        <v>0.98952249540443105</v>
      </c>
      <c r="S1272" t="s">
        <v>7557</v>
      </c>
      <c r="T1272" t="s">
        <v>12568</v>
      </c>
      <c r="U1272" t="s">
        <v>12568</v>
      </c>
      <c r="V1272" t="s">
        <v>12568</v>
      </c>
      <c r="W1272" t="s">
        <v>13814</v>
      </c>
      <c r="X1272">
        <v>5</v>
      </c>
      <c r="Y1272" t="s">
        <v>20028</v>
      </c>
      <c r="Z1272" t="s">
        <v>26142</v>
      </c>
      <c r="AA1272">
        <v>0.56536683208886485</v>
      </c>
      <c r="AB1272" t="str">
        <f>HYPERLINK("Melting_Curves/meltCurve_O75909_CCNK.pdf", "Melting_Curves/meltCurve_O75909_CCNK.pdf")</f>
        <v>Melting_Curves/meltCurve_O75909_CCNK.pdf</v>
      </c>
    </row>
    <row r="1273" spans="1:28" x14ac:dyDescent="0.25">
      <c r="A1273" t="s">
        <v>1277</v>
      </c>
      <c r="B1273">
        <v>0.99352677808782597</v>
      </c>
      <c r="C1273">
        <v>1.0225139858840999</v>
      </c>
      <c r="D1273">
        <v>0.82549739609850903</v>
      </c>
      <c r="E1273">
        <v>1.34541263442597</v>
      </c>
      <c r="F1273">
        <v>0.99469213626873199</v>
      </c>
      <c r="G1273">
        <v>0.67712027358314097</v>
      </c>
      <c r="H1273">
        <v>0.412737101497618</v>
      </c>
      <c r="I1273">
        <v>0.272961610682317</v>
      </c>
      <c r="J1273">
        <v>0.319989921248577</v>
      </c>
      <c r="K1273">
        <v>0.202111435213923</v>
      </c>
      <c r="L1273">
        <v>1957.16461082402</v>
      </c>
      <c r="M1273">
        <v>33.892379858694099</v>
      </c>
      <c r="N1273">
        <v>59.048240500477597</v>
      </c>
      <c r="O1273">
        <v>57.5465287782445</v>
      </c>
      <c r="P1273">
        <v>-0.108492836936285</v>
      </c>
      <c r="Q1273">
        <v>0.26315465878448402</v>
      </c>
      <c r="R1273">
        <v>0.88014555581862797</v>
      </c>
      <c r="S1273" t="s">
        <v>7558</v>
      </c>
      <c r="T1273" t="s">
        <v>12568</v>
      </c>
      <c r="U1273" t="s">
        <v>12568</v>
      </c>
      <c r="V1273" t="s">
        <v>12568</v>
      </c>
      <c r="W1273" t="s">
        <v>13815</v>
      </c>
      <c r="X1273">
        <v>1</v>
      </c>
      <c r="Y1273" t="s">
        <v>20029</v>
      </c>
      <c r="Z1273" t="s">
        <v>26143</v>
      </c>
      <c r="AA1273">
        <v>0.70297077878129677</v>
      </c>
      <c r="AB1273" t="str">
        <f>HYPERLINK("Melting_Curves/meltCurve_O75915_ARL6IP5.pdf", "Melting_Curves/meltCurve_O75915_ARL6IP5.pdf")</f>
        <v>Melting_Curves/meltCurve_O75915_ARL6IP5.pdf</v>
      </c>
    </row>
    <row r="1274" spans="1:28" x14ac:dyDescent="0.25">
      <c r="A1274" t="s">
        <v>1278</v>
      </c>
      <c r="B1274">
        <v>0.99352677808782597</v>
      </c>
      <c r="C1274">
        <v>0.99115664058709696</v>
      </c>
      <c r="D1274">
        <v>0.89032096237369895</v>
      </c>
      <c r="E1274">
        <v>0.413064320297718</v>
      </c>
      <c r="F1274">
        <v>0.361941734209972</v>
      </c>
      <c r="G1274">
        <v>0.19499805252710201</v>
      </c>
      <c r="H1274">
        <v>0.14589287622623001</v>
      </c>
      <c r="I1274">
        <v>0.124052008810834</v>
      </c>
      <c r="J1274">
        <v>0.12625485608199499</v>
      </c>
      <c r="K1274">
        <v>0.105121903538103</v>
      </c>
      <c r="L1274">
        <v>1069.9517164557301</v>
      </c>
      <c r="M1274">
        <v>21.731497197339699</v>
      </c>
      <c r="N1274">
        <v>49.934236470943603</v>
      </c>
      <c r="O1274">
        <v>48.823832716580597</v>
      </c>
      <c r="P1274">
        <v>-9.6681121933108696E-2</v>
      </c>
      <c r="Q1274">
        <v>0.13117203582676201</v>
      </c>
      <c r="R1274">
        <v>0.98691577296301103</v>
      </c>
      <c r="S1274" t="s">
        <v>7559</v>
      </c>
      <c r="T1274" t="s">
        <v>12568</v>
      </c>
      <c r="U1274" t="s">
        <v>12568</v>
      </c>
      <c r="V1274" t="s">
        <v>12568</v>
      </c>
      <c r="W1274" t="s">
        <v>13816</v>
      </c>
      <c r="X1274">
        <v>1</v>
      </c>
      <c r="Y1274" t="s">
        <v>20030</v>
      </c>
      <c r="Z1274" t="s">
        <v>26144</v>
      </c>
      <c r="AA1274">
        <v>0.40889528491628058</v>
      </c>
      <c r="AB1274" t="str">
        <f>HYPERLINK("Melting_Curves/meltCurve_O75928_3_PIAS2.pdf", "Melting_Curves/meltCurve_O75928_3_PIAS2.pdf")</f>
        <v>Melting_Curves/meltCurve_O75928_3_PIAS2.pdf</v>
      </c>
    </row>
    <row r="1275" spans="1:28" x14ac:dyDescent="0.25">
      <c r="A1275" t="s">
        <v>1279</v>
      </c>
      <c r="B1275">
        <v>0.99352677808782597</v>
      </c>
      <c r="C1275">
        <v>0.98982843434380696</v>
      </c>
      <c r="D1275">
        <v>0.94088712436918898</v>
      </c>
      <c r="E1275">
        <v>0.73171934156055696</v>
      </c>
      <c r="F1275">
        <v>0.56521723502889798</v>
      </c>
      <c r="G1275">
        <v>0.31475564338148898</v>
      </c>
      <c r="H1275">
        <v>0.16027787850511299</v>
      </c>
      <c r="I1275">
        <v>0.187293272148223</v>
      </c>
      <c r="J1275">
        <v>0.22144482727293999</v>
      </c>
      <c r="K1275">
        <v>0.198184976331998</v>
      </c>
      <c r="L1275">
        <v>1006.53540822718</v>
      </c>
      <c r="M1275">
        <v>19.256294568447402</v>
      </c>
      <c r="N1275">
        <v>53.4506702756903</v>
      </c>
      <c r="O1275">
        <v>51.716511574051701</v>
      </c>
      <c r="P1275">
        <v>-7.6968489937687901E-2</v>
      </c>
      <c r="Q1275">
        <v>0.17317570096625101</v>
      </c>
      <c r="R1275">
        <v>0.99351862421263404</v>
      </c>
      <c r="S1275" t="s">
        <v>7560</v>
      </c>
      <c r="T1275" t="s">
        <v>12568</v>
      </c>
      <c r="U1275" t="s">
        <v>12568</v>
      </c>
      <c r="V1275" t="s">
        <v>12568</v>
      </c>
      <c r="W1275" t="s">
        <v>13817</v>
      </c>
      <c r="X1275">
        <v>5</v>
      </c>
      <c r="Y1275" t="s">
        <v>20031</v>
      </c>
      <c r="Z1275" t="s">
        <v>26145</v>
      </c>
      <c r="AA1275">
        <v>0.52357297800183444</v>
      </c>
      <c r="AB1275" t="str">
        <f>HYPERLINK("Melting_Curves/meltCurve_O75934_BCAS2.pdf", "Melting_Curves/meltCurve_O75934_BCAS2.pdf")</f>
        <v>Melting_Curves/meltCurve_O75934_BCAS2.pdf</v>
      </c>
    </row>
    <row r="1276" spans="1:28" x14ac:dyDescent="0.25">
      <c r="A1276" t="s">
        <v>1280</v>
      </c>
      <c r="B1276">
        <v>0.99352677808782597</v>
      </c>
      <c r="C1276">
        <v>1.0473735906509001</v>
      </c>
      <c r="D1276">
        <v>1.0585321808460999</v>
      </c>
      <c r="E1276">
        <v>0.51423478063382499</v>
      </c>
      <c r="F1276">
        <v>0.439532789647613</v>
      </c>
      <c r="G1276">
        <v>0.241593373158072</v>
      </c>
      <c r="H1276">
        <v>0.14029942205027399</v>
      </c>
      <c r="I1276">
        <v>0.14815647574282401</v>
      </c>
      <c r="J1276">
        <v>9.8465806752199694E-2</v>
      </c>
      <c r="K1276">
        <v>7.3957060073938097E-2</v>
      </c>
      <c r="L1276">
        <v>1108.30873763144</v>
      </c>
      <c r="M1276">
        <v>21.806857151318098</v>
      </c>
      <c r="N1276">
        <v>51.4629617398164</v>
      </c>
      <c r="O1276">
        <v>50.4022577563168</v>
      </c>
      <c r="P1276">
        <v>-9.53360348467963E-2</v>
      </c>
      <c r="Q1276">
        <v>0.11861848231662001</v>
      </c>
      <c r="R1276">
        <v>0.96805201685695097</v>
      </c>
      <c r="S1276" t="s">
        <v>7561</v>
      </c>
      <c r="T1276" t="s">
        <v>12568</v>
      </c>
      <c r="U1276" t="s">
        <v>12568</v>
      </c>
      <c r="V1276" t="s">
        <v>12568</v>
      </c>
      <c r="W1276" t="s">
        <v>13818</v>
      </c>
      <c r="X1276">
        <v>8</v>
      </c>
      <c r="Y1276" t="s">
        <v>20032</v>
      </c>
      <c r="Z1276" t="s">
        <v>26146</v>
      </c>
      <c r="AA1276">
        <v>0.44699539721274978</v>
      </c>
      <c r="AB1276" t="str">
        <f>HYPERLINK("Melting_Curves/meltCurve_O75935_DCTN3.pdf", "Melting_Curves/meltCurve_O75935_DCTN3.pdf")</f>
        <v>Melting_Curves/meltCurve_O75935_DCTN3.pdf</v>
      </c>
    </row>
    <row r="1277" spans="1:28" x14ac:dyDescent="0.25">
      <c r="A1277" t="s">
        <v>1281</v>
      </c>
      <c r="B1277">
        <v>0.99352677808782597</v>
      </c>
      <c r="C1277">
        <v>0.97828784694486504</v>
      </c>
      <c r="D1277">
        <v>1.02225129973323</v>
      </c>
      <c r="E1277">
        <v>0.96994327317474704</v>
      </c>
      <c r="F1277">
        <v>0.90235457561452603</v>
      </c>
      <c r="G1277">
        <v>0.716106395476938</v>
      </c>
      <c r="H1277">
        <v>0.58877485438205202</v>
      </c>
      <c r="I1277">
        <v>0.62811810146519298</v>
      </c>
      <c r="J1277">
        <v>0.66642972015396496</v>
      </c>
      <c r="K1277">
        <v>0.57800637665394405</v>
      </c>
      <c r="L1277">
        <v>1695.0265260379899</v>
      </c>
      <c r="M1277">
        <v>30.8816234060799</v>
      </c>
      <c r="O1277">
        <v>54.6592498752929</v>
      </c>
      <c r="P1277">
        <v>-5.4851297472143998E-2</v>
      </c>
      <c r="Q1277">
        <v>0.61166376057886296</v>
      </c>
      <c r="R1277">
        <v>0.97703127305812498</v>
      </c>
      <c r="S1277" t="s">
        <v>7562</v>
      </c>
      <c r="T1277" t="s">
        <v>12568</v>
      </c>
      <c r="U1277" t="s">
        <v>12568</v>
      </c>
      <c r="V1277" t="s">
        <v>12568</v>
      </c>
      <c r="W1277" t="s">
        <v>13819</v>
      </c>
      <c r="X1277">
        <v>14</v>
      </c>
      <c r="Y1277" t="s">
        <v>20033</v>
      </c>
      <c r="Z1277" t="s">
        <v>26147</v>
      </c>
      <c r="AA1277">
        <v>0.8068161659892048</v>
      </c>
      <c r="AB1277" t="str">
        <f>HYPERLINK("Melting_Curves/meltCurve_O75937_DNAJC8.pdf", "Melting_Curves/meltCurve_O75937_DNAJC8.pdf")</f>
        <v>Melting_Curves/meltCurve_O75937_DNAJC8.pdf</v>
      </c>
    </row>
    <row r="1278" spans="1:28" x14ac:dyDescent="0.25">
      <c r="A1278" t="s">
        <v>1282</v>
      </c>
      <c r="B1278">
        <v>0.99352677808782597</v>
      </c>
      <c r="C1278">
        <v>0.97670448899968798</v>
      </c>
      <c r="D1278">
        <v>0.95805524831607902</v>
      </c>
      <c r="E1278">
        <v>1.2394629391822201</v>
      </c>
      <c r="F1278">
        <v>1.06870039350604</v>
      </c>
      <c r="G1278">
        <v>0.97435032769960706</v>
      </c>
      <c r="H1278">
        <v>0.84059864201718704</v>
      </c>
      <c r="I1278">
        <v>0.84994533345669598</v>
      </c>
      <c r="J1278">
        <v>0.960325639768005</v>
      </c>
      <c r="K1278">
        <v>0.82451033313551603</v>
      </c>
      <c r="L1278">
        <v>14330.61102704</v>
      </c>
      <c r="M1278">
        <v>250</v>
      </c>
      <c r="O1278">
        <v>57.318782529253703</v>
      </c>
      <c r="P1278">
        <v>-0.143010532017148</v>
      </c>
      <c r="Q1278">
        <v>0.86884498205946803</v>
      </c>
      <c r="R1278">
        <v>0.43993376089258301</v>
      </c>
      <c r="S1278" t="s">
        <v>7563</v>
      </c>
      <c r="T1278" t="s">
        <v>12568</v>
      </c>
      <c r="U1278" t="s">
        <v>12568</v>
      </c>
      <c r="V1278" t="s">
        <v>12568</v>
      </c>
      <c r="W1278" t="s">
        <v>13820</v>
      </c>
      <c r="X1278">
        <v>9</v>
      </c>
      <c r="Y1278" t="s">
        <v>20034</v>
      </c>
      <c r="Z1278" t="s">
        <v>26148</v>
      </c>
      <c r="AA1278">
        <v>0.94458902517990151</v>
      </c>
      <c r="AB1278" t="str">
        <f>HYPERLINK("Melting_Curves/meltCurve_O75940_SMNDC1.pdf", "Melting_Curves/meltCurve_O75940_SMNDC1.pdf")</f>
        <v>Melting_Curves/meltCurve_O75940_SMNDC1.pdf</v>
      </c>
    </row>
    <row r="1279" spans="1:28" x14ac:dyDescent="0.25">
      <c r="A1279" t="s">
        <v>1283</v>
      </c>
      <c r="B1279">
        <v>0.99352677808782597</v>
      </c>
      <c r="C1279">
        <v>0.74625643067745495</v>
      </c>
      <c r="D1279">
        <v>0.87265387802743899</v>
      </c>
      <c r="E1279">
        <v>0.554375126393581</v>
      </c>
      <c r="F1279">
        <v>0.51761536733330704</v>
      </c>
      <c r="G1279">
        <v>0.39473176789233799</v>
      </c>
      <c r="H1279">
        <v>0.131812311523899</v>
      </c>
      <c r="I1279">
        <v>0.164858160619513</v>
      </c>
      <c r="J1279">
        <v>0.16596123518969499</v>
      </c>
      <c r="K1279">
        <v>6.7442075381214994E-2</v>
      </c>
      <c r="L1279">
        <v>470.41150965798602</v>
      </c>
      <c r="M1279">
        <v>8.9564110122118503</v>
      </c>
      <c r="N1279">
        <v>52.522320599401397</v>
      </c>
      <c r="O1279">
        <v>50.102086515718398</v>
      </c>
      <c r="P1279">
        <v>-4.4723881546198899E-2</v>
      </c>
      <c r="Q1279">
        <v>0</v>
      </c>
      <c r="R1279">
        <v>0.95051085773310295</v>
      </c>
      <c r="S1279" t="s">
        <v>7564</v>
      </c>
      <c r="T1279" t="s">
        <v>12568</v>
      </c>
      <c r="U1279" t="s">
        <v>12568</v>
      </c>
      <c r="V1279" t="s">
        <v>12568</v>
      </c>
      <c r="W1279" t="s">
        <v>13821</v>
      </c>
      <c r="X1279">
        <v>1</v>
      </c>
      <c r="Y1279" t="s">
        <v>20035</v>
      </c>
      <c r="Z1279" t="s">
        <v>26149</v>
      </c>
      <c r="AA1279">
        <v>0.4573386484815542</v>
      </c>
      <c r="AB1279" t="str">
        <f>HYPERLINK("Melting_Curves/meltCurve_O75943_4_RAD17.pdf", "Melting_Curves/meltCurve_O75943_4_RAD17.pdf")</f>
        <v>Melting_Curves/meltCurve_O75943_4_RAD17.pdf</v>
      </c>
    </row>
    <row r="1280" spans="1:28" x14ac:dyDescent="0.25">
      <c r="A1280" t="s">
        <v>1284</v>
      </c>
      <c r="B1280">
        <v>0.99352677808782597</v>
      </c>
      <c r="C1280">
        <v>0.93482292538291201</v>
      </c>
      <c r="D1280">
        <v>0.84668355013563801</v>
      </c>
      <c r="E1280">
        <v>0.45907477259318202</v>
      </c>
      <c r="F1280">
        <v>0.40616711479496598</v>
      </c>
      <c r="G1280">
        <v>0.27039970133913499</v>
      </c>
      <c r="H1280">
        <v>0.193636455443226</v>
      </c>
      <c r="I1280">
        <v>0.18823050673172201</v>
      </c>
      <c r="J1280">
        <v>0.16781512550601499</v>
      </c>
      <c r="K1280">
        <v>0.14724119700150301</v>
      </c>
      <c r="L1280">
        <v>827.73928590766502</v>
      </c>
      <c r="M1280">
        <v>16.8045251309522</v>
      </c>
      <c r="N1280">
        <v>50.465004823290002</v>
      </c>
      <c r="O1280">
        <v>48.5752571205186</v>
      </c>
      <c r="P1280">
        <v>-7.2169179529397401E-2</v>
      </c>
      <c r="Q1280">
        <v>0.16560342904787301</v>
      </c>
      <c r="R1280">
        <v>0.98978056367923395</v>
      </c>
      <c r="S1280" t="s">
        <v>7565</v>
      </c>
      <c r="T1280" t="s">
        <v>12568</v>
      </c>
      <c r="U1280" t="s">
        <v>12568</v>
      </c>
      <c r="V1280" t="s">
        <v>12568</v>
      </c>
      <c r="W1280" t="s">
        <v>13822</v>
      </c>
      <c r="X1280">
        <v>28</v>
      </c>
      <c r="Y1280" t="s">
        <v>20036</v>
      </c>
      <c r="Z1280" t="s">
        <v>26150</v>
      </c>
      <c r="AA1280">
        <v>0.43951949770877941</v>
      </c>
      <c r="AB1280" t="str">
        <f>HYPERLINK("Melting_Curves/meltCurve_O75962_TRIO.pdf", "Melting_Curves/meltCurve_O75962_TRIO.pdf")</f>
        <v>Melting_Curves/meltCurve_O75962_TRIO.pdf</v>
      </c>
    </row>
    <row r="1281" spans="1:28" x14ac:dyDescent="0.25">
      <c r="A1281" t="s">
        <v>1285</v>
      </c>
      <c r="B1281">
        <v>0.99352677808782597</v>
      </c>
      <c r="C1281">
        <v>0.91735522694164695</v>
      </c>
      <c r="D1281">
        <v>0.77143180357397501</v>
      </c>
      <c r="E1281">
        <v>0.515591012826905</v>
      </c>
      <c r="F1281">
        <v>0.44842182782611401</v>
      </c>
      <c r="G1281">
        <v>0.30288735013286799</v>
      </c>
      <c r="H1281">
        <v>0.25973550042688898</v>
      </c>
      <c r="I1281">
        <v>0.23541169287021901</v>
      </c>
      <c r="J1281">
        <v>0.25020082984682501</v>
      </c>
      <c r="K1281">
        <v>0.173037790753374</v>
      </c>
      <c r="L1281">
        <v>679.51407036667899</v>
      </c>
      <c r="M1281">
        <v>13.842408762433299</v>
      </c>
      <c r="N1281">
        <v>51.005692505648199</v>
      </c>
      <c r="O1281">
        <v>48.098807983043699</v>
      </c>
      <c r="P1281">
        <v>-5.7367118243298598E-2</v>
      </c>
      <c r="Q1281">
        <v>0.20276627300113501</v>
      </c>
      <c r="R1281">
        <v>0.99277749500828605</v>
      </c>
      <c r="S1281" t="s">
        <v>7566</v>
      </c>
      <c r="T1281" t="s">
        <v>12568</v>
      </c>
      <c r="U1281" t="s">
        <v>12568</v>
      </c>
      <c r="V1281" t="s">
        <v>12568</v>
      </c>
      <c r="W1281" t="s">
        <v>13823</v>
      </c>
      <c r="X1281">
        <v>21</v>
      </c>
      <c r="Y1281" t="s">
        <v>20037</v>
      </c>
      <c r="Z1281" t="s">
        <v>26151</v>
      </c>
      <c r="AA1281">
        <v>0.46704148665441292</v>
      </c>
      <c r="AB1281" t="str">
        <f>HYPERLINK("Melting_Curves/meltCurve_O75970_3_MPDZ.pdf", "Melting_Curves/meltCurve_O75970_3_MPDZ.pdf")</f>
        <v>Melting_Curves/meltCurve_O75970_3_MPDZ.pdf</v>
      </c>
    </row>
    <row r="1282" spans="1:28" x14ac:dyDescent="0.25">
      <c r="A1282" t="s">
        <v>1286</v>
      </c>
      <c r="B1282">
        <v>0.99352677808782597</v>
      </c>
      <c r="C1282">
        <v>0.93734324403019298</v>
      </c>
      <c r="D1282">
        <v>0.82084286273236595</v>
      </c>
      <c r="E1282">
        <v>0.70191417313179305</v>
      </c>
      <c r="F1282">
        <v>0.69341222635581801</v>
      </c>
      <c r="G1282">
        <v>0.60069375663867697</v>
      </c>
      <c r="H1282">
        <v>0.50523826350419299</v>
      </c>
      <c r="I1282">
        <v>0.58036490432836096</v>
      </c>
      <c r="J1282">
        <v>0.52289016289037704</v>
      </c>
      <c r="K1282">
        <v>0.44140000452541001</v>
      </c>
      <c r="L1282">
        <v>496.320129211162</v>
      </c>
      <c r="M1282">
        <v>9.8826724638057808</v>
      </c>
      <c r="N1282">
        <v>68.054777061054594</v>
      </c>
      <c r="O1282">
        <v>48.294626844752599</v>
      </c>
      <c r="P1282">
        <v>-2.7512592963028201E-2</v>
      </c>
      <c r="Q1282">
        <v>0.46247954156965199</v>
      </c>
      <c r="R1282">
        <v>0.95986886822853501</v>
      </c>
      <c r="S1282" t="s">
        <v>7567</v>
      </c>
      <c r="T1282" t="s">
        <v>12568</v>
      </c>
      <c r="U1282" t="s">
        <v>12568</v>
      </c>
      <c r="V1282" t="s">
        <v>12568</v>
      </c>
      <c r="W1282" t="s">
        <v>13824</v>
      </c>
      <c r="X1282">
        <v>2</v>
      </c>
      <c r="Y1282" t="s">
        <v>20038</v>
      </c>
      <c r="Z1282" t="s">
        <v>26152</v>
      </c>
      <c r="AA1282">
        <v>0.6698613073704951</v>
      </c>
      <c r="AB1282" t="str">
        <f>HYPERLINK("Melting_Curves/meltCurve_O75976_CPD.pdf", "Melting_Curves/meltCurve_O75976_CPD.pdf")</f>
        <v>Melting_Curves/meltCurve_O75976_CPD.pdf</v>
      </c>
    </row>
    <row r="1283" spans="1:28" x14ac:dyDescent="0.25">
      <c r="A1283" t="s">
        <v>1287</v>
      </c>
      <c r="B1283">
        <v>0.99352677808782597</v>
      </c>
      <c r="C1283">
        <v>0.957830381803221</v>
      </c>
      <c r="D1283">
        <v>1.0007664842476101</v>
      </c>
      <c r="E1283">
        <v>0.82453037540530305</v>
      </c>
      <c r="F1283">
        <v>0.74095781325778298</v>
      </c>
      <c r="G1283">
        <v>0.408046236301434</v>
      </c>
      <c r="H1283">
        <v>0.17693028276501799</v>
      </c>
      <c r="I1283">
        <v>0.12491442055598199</v>
      </c>
      <c r="J1283">
        <v>9.4806370796378506E-2</v>
      </c>
      <c r="K1283">
        <v>6.82455813475287E-2</v>
      </c>
      <c r="L1283">
        <v>973.38966425950298</v>
      </c>
      <c r="M1283">
        <v>17.557864801534699</v>
      </c>
      <c r="N1283">
        <v>55.705061868400499</v>
      </c>
      <c r="O1283">
        <v>54.734797384071399</v>
      </c>
      <c r="P1283">
        <v>-7.6973294928628797E-2</v>
      </c>
      <c r="Q1283">
        <v>4.02276238949223E-2</v>
      </c>
      <c r="R1283">
        <v>0.99532940456608898</v>
      </c>
      <c r="S1283" t="s">
        <v>7568</v>
      </c>
      <c r="T1283" t="s">
        <v>12568</v>
      </c>
      <c r="U1283" t="s">
        <v>12568</v>
      </c>
      <c r="V1283" t="s">
        <v>12568</v>
      </c>
      <c r="W1283" t="s">
        <v>13825</v>
      </c>
      <c r="X1283">
        <v>17</v>
      </c>
      <c r="Y1283" t="s">
        <v>20039</v>
      </c>
      <c r="Z1283" t="s">
        <v>26153</v>
      </c>
      <c r="AA1283">
        <v>0.54918556425779619</v>
      </c>
      <c r="AB1283" t="str">
        <f>HYPERLINK("Melting_Curves/meltCurve_O76003_GLRX3.pdf", "Melting_Curves/meltCurve_O76003_GLRX3.pdf")</f>
        <v>Melting_Curves/meltCurve_O76003_GLRX3.pdf</v>
      </c>
    </row>
    <row r="1284" spans="1:28" x14ac:dyDescent="0.25">
      <c r="A1284" t="s">
        <v>1288</v>
      </c>
      <c r="B1284">
        <v>0.99352677808782597</v>
      </c>
      <c r="C1284">
        <v>0.96791804111486401</v>
      </c>
      <c r="D1284">
        <v>1.23959878186422</v>
      </c>
      <c r="E1284">
        <v>0.82696017219378104</v>
      </c>
      <c r="F1284">
        <v>0.76102172715477201</v>
      </c>
      <c r="G1284">
        <v>0.56681766287233704</v>
      </c>
      <c r="H1284">
        <v>0.47221043192161599</v>
      </c>
      <c r="I1284">
        <v>0.52267051371530504</v>
      </c>
      <c r="J1284">
        <v>0.47515063961214599</v>
      </c>
      <c r="K1284">
        <v>0.436984893853056</v>
      </c>
      <c r="L1284">
        <v>1306.88509957629</v>
      </c>
      <c r="M1284">
        <v>24.611196979596901</v>
      </c>
      <c r="N1284">
        <v>60.078285298899203</v>
      </c>
      <c r="O1284">
        <v>52.754382439095103</v>
      </c>
      <c r="P1284">
        <v>-6.1662215833916199E-2</v>
      </c>
      <c r="Q1284">
        <v>0.47131291044370299</v>
      </c>
      <c r="R1284">
        <v>0.89111989186086504</v>
      </c>
      <c r="S1284" t="s">
        <v>7569</v>
      </c>
      <c r="T1284" t="s">
        <v>12568</v>
      </c>
      <c r="U1284" t="s">
        <v>12568</v>
      </c>
      <c r="V1284" t="s">
        <v>12568</v>
      </c>
      <c r="W1284" t="s">
        <v>13826</v>
      </c>
      <c r="X1284">
        <v>8</v>
      </c>
      <c r="Y1284" t="s">
        <v>20040</v>
      </c>
      <c r="Z1284" t="s">
        <v>26154</v>
      </c>
      <c r="AA1284">
        <v>0.70721060867718755</v>
      </c>
      <c r="AB1284" t="str">
        <f>HYPERLINK("Melting_Curves/meltCurve_O76021_RSL1D1.pdf", "Melting_Curves/meltCurve_O76021_RSL1D1.pdf")</f>
        <v>Melting_Curves/meltCurve_O76021_RSL1D1.pdf</v>
      </c>
    </row>
    <row r="1285" spans="1:28" x14ac:dyDescent="0.25">
      <c r="A1285" t="s">
        <v>1289</v>
      </c>
      <c r="B1285">
        <v>0.99352677808782597</v>
      </c>
      <c r="C1285">
        <v>0.95859971136687705</v>
      </c>
      <c r="D1285">
        <v>1.01128134971851</v>
      </c>
      <c r="E1285">
        <v>0.97127087335362905</v>
      </c>
      <c r="F1285">
        <v>0.99092545220924499</v>
      </c>
      <c r="G1285">
        <v>0.80539299185327695</v>
      </c>
      <c r="H1285">
        <v>0.84854166681185295</v>
      </c>
      <c r="I1285">
        <v>0.88198524798055999</v>
      </c>
      <c r="J1285">
        <v>0.85946596789077401</v>
      </c>
      <c r="K1285">
        <v>0.752428911829509</v>
      </c>
      <c r="L1285">
        <v>13402.5425181838</v>
      </c>
      <c r="M1285">
        <v>250</v>
      </c>
      <c r="O1285">
        <v>53.606739443277</v>
      </c>
      <c r="P1285">
        <v>-0.19871224846917801</v>
      </c>
      <c r="Q1285">
        <v>0.829562948763099</v>
      </c>
      <c r="R1285">
        <v>0.81785480875658501</v>
      </c>
      <c r="S1285" t="s">
        <v>7570</v>
      </c>
      <c r="T1285" t="s">
        <v>12568</v>
      </c>
      <c r="U1285" t="s">
        <v>12568</v>
      </c>
      <c r="V1285" t="s">
        <v>12568</v>
      </c>
      <c r="W1285" t="s">
        <v>13827</v>
      </c>
      <c r="X1285">
        <v>4</v>
      </c>
      <c r="Y1285" t="s">
        <v>20041</v>
      </c>
      <c r="Z1285" t="s">
        <v>26155</v>
      </c>
      <c r="AA1285">
        <v>0.90690155946979445</v>
      </c>
      <c r="AB1285" t="str">
        <f>HYPERLINK("Melting_Curves/meltCurve_O76024_WFS1.pdf", "Melting_Curves/meltCurve_O76024_WFS1.pdf")</f>
        <v>Melting_Curves/meltCurve_O76024_WFS1.pdf</v>
      </c>
    </row>
    <row r="1286" spans="1:28" x14ac:dyDescent="0.25">
      <c r="A1286" t="s">
        <v>1290</v>
      </c>
      <c r="B1286">
        <v>0.99352677808782597</v>
      </c>
      <c r="C1286">
        <v>0.64325465822356398</v>
      </c>
      <c r="D1286">
        <v>0.55996855040998295</v>
      </c>
      <c r="E1286">
        <v>0.36670854440631701</v>
      </c>
      <c r="F1286">
        <v>0.302455340701068</v>
      </c>
      <c r="G1286">
        <v>0.18324994184947199</v>
      </c>
      <c r="H1286">
        <v>0.12512796752553601</v>
      </c>
      <c r="I1286">
        <v>0.110457243880381</v>
      </c>
      <c r="J1286">
        <v>0.106135417320619</v>
      </c>
      <c r="K1286">
        <v>7.5134850250239096E-2</v>
      </c>
      <c r="L1286">
        <v>521.59367666886806</v>
      </c>
      <c r="M1286">
        <v>11.210166248076201</v>
      </c>
      <c r="N1286">
        <v>47.191596322608902</v>
      </c>
      <c r="O1286">
        <v>45.121663602259297</v>
      </c>
      <c r="P1286">
        <v>-5.7603720710782201E-2</v>
      </c>
      <c r="Q1286">
        <v>7.2855141614379795E-2</v>
      </c>
      <c r="R1286">
        <v>0.96739773207927504</v>
      </c>
      <c r="S1286" t="s">
        <v>7571</v>
      </c>
      <c r="T1286" t="s">
        <v>12568</v>
      </c>
      <c r="U1286" t="s">
        <v>12568</v>
      </c>
      <c r="V1286" t="s">
        <v>12568</v>
      </c>
      <c r="W1286" t="s">
        <v>13828</v>
      </c>
      <c r="X1286">
        <v>6</v>
      </c>
      <c r="Y1286" t="s">
        <v>20042</v>
      </c>
      <c r="Z1286" t="s">
        <v>26156</v>
      </c>
      <c r="AA1286">
        <v>0.32028187050952539</v>
      </c>
      <c r="AB1286" t="str">
        <f>HYPERLINK("Melting_Curves/meltCurve_O76031_CLPX.pdf", "Melting_Curves/meltCurve_O76031_CLPX.pdf")</f>
        <v>Melting_Curves/meltCurve_O76031_CLPX.pdf</v>
      </c>
    </row>
    <row r="1287" spans="1:28" x14ac:dyDescent="0.25">
      <c r="A1287" t="s">
        <v>1291</v>
      </c>
      <c r="B1287">
        <v>0.99352677808782597</v>
      </c>
      <c r="C1287">
        <v>0.95806897638565802</v>
      </c>
      <c r="D1287">
        <v>1.0044623859899</v>
      </c>
      <c r="E1287">
        <v>0.99337719855503004</v>
      </c>
      <c r="F1287">
        <v>0.96490411739221205</v>
      </c>
      <c r="G1287">
        <v>0.91782724752011302</v>
      </c>
      <c r="H1287">
        <v>0.76550272649073003</v>
      </c>
      <c r="I1287">
        <v>0.84487216141344101</v>
      </c>
      <c r="J1287">
        <v>0.84855222611282199</v>
      </c>
      <c r="K1287">
        <v>0.733978942131982</v>
      </c>
      <c r="L1287">
        <v>14271.394091415899</v>
      </c>
      <c r="M1287">
        <v>250</v>
      </c>
      <c r="O1287">
        <v>57.081923092781103</v>
      </c>
      <c r="P1287">
        <v>-0.22092533602876099</v>
      </c>
      <c r="Q1287">
        <v>0.79822651097212205</v>
      </c>
      <c r="R1287">
        <v>0.85149429044179503</v>
      </c>
      <c r="S1287" t="s">
        <v>7572</v>
      </c>
      <c r="T1287" t="s">
        <v>12568</v>
      </c>
      <c r="U1287" t="s">
        <v>12568</v>
      </c>
      <c r="V1287" t="s">
        <v>12568</v>
      </c>
      <c r="W1287" t="s">
        <v>13829</v>
      </c>
      <c r="X1287">
        <v>15</v>
      </c>
      <c r="Y1287" t="s">
        <v>20043</v>
      </c>
      <c r="Z1287" t="s">
        <v>26157</v>
      </c>
      <c r="AA1287">
        <v>0.91316060401922994</v>
      </c>
      <c r="AB1287" t="str">
        <f>HYPERLINK("Melting_Curves/meltCurve_O76041_2_NEBL.pdf", "Melting_Curves/meltCurve_O76041_2_NEBL.pdf")</f>
        <v>Melting_Curves/meltCurve_O76041_2_NEBL.pdf</v>
      </c>
    </row>
    <row r="1288" spans="1:28" x14ac:dyDescent="0.25">
      <c r="A1288" t="s">
        <v>1292</v>
      </c>
      <c r="B1288">
        <v>0.99352677808782597</v>
      </c>
      <c r="C1288">
        <v>0.96646854034672502</v>
      </c>
      <c r="D1288">
        <v>0.97951558191695498</v>
      </c>
      <c r="E1288">
        <v>0.68159960621257698</v>
      </c>
      <c r="F1288">
        <v>0.60241969718215005</v>
      </c>
      <c r="G1288">
        <v>0.25839789744461</v>
      </c>
      <c r="H1288">
        <v>0.17337439757885301</v>
      </c>
      <c r="I1288">
        <v>0.16584130550085099</v>
      </c>
      <c r="J1288">
        <v>0.127749349774709</v>
      </c>
      <c r="K1288">
        <v>0.107455783894947</v>
      </c>
      <c r="L1288">
        <v>902.56551925099598</v>
      </c>
      <c r="M1288">
        <v>17.103096551336101</v>
      </c>
      <c r="N1288">
        <v>53.475009236978103</v>
      </c>
      <c r="O1288">
        <v>52.066449740288</v>
      </c>
      <c r="P1288">
        <v>-7.3858487876505605E-2</v>
      </c>
      <c r="Q1288">
        <v>0.100673451861003</v>
      </c>
      <c r="R1288">
        <v>0.98934280626045101</v>
      </c>
      <c r="S1288" t="s">
        <v>7573</v>
      </c>
      <c r="T1288" t="s">
        <v>12568</v>
      </c>
      <c r="U1288" t="s">
        <v>12568</v>
      </c>
      <c r="V1288" t="s">
        <v>12568</v>
      </c>
      <c r="W1288" t="s">
        <v>13830</v>
      </c>
      <c r="X1288">
        <v>6</v>
      </c>
      <c r="Y1288" t="s">
        <v>20044</v>
      </c>
      <c r="Z1288" t="s">
        <v>26158</v>
      </c>
      <c r="AA1288">
        <v>0.49959490389694389</v>
      </c>
      <c r="AB1288" t="str">
        <f>HYPERLINK("Melting_Curves/meltCurve_O76054_SEC14L2.pdf", "Melting_Curves/meltCurve_O76054_SEC14L2.pdf")</f>
        <v>Melting_Curves/meltCurve_O76054_SEC14L2.pdf</v>
      </c>
    </row>
    <row r="1289" spans="1:28" x14ac:dyDescent="0.25">
      <c r="A1289" t="s">
        <v>1293</v>
      </c>
      <c r="B1289">
        <v>0.99352677808782597</v>
      </c>
      <c r="C1289">
        <v>0.96769032737681304</v>
      </c>
      <c r="D1289">
        <v>1.04331194798405</v>
      </c>
      <c r="E1289">
        <v>1.0078071797252399</v>
      </c>
      <c r="F1289">
        <v>0.85824880194366504</v>
      </c>
      <c r="G1289">
        <v>0.84224017095614501</v>
      </c>
      <c r="H1289">
        <v>0.67938304541260996</v>
      </c>
      <c r="I1289">
        <v>0.701105925089061</v>
      </c>
      <c r="J1289">
        <v>0.73810861646072301</v>
      </c>
      <c r="K1289">
        <v>0.69254244174139801</v>
      </c>
      <c r="L1289">
        <v>1236.5375897420499</v>
      </c>
      <c r="M1289">
        <v>22.4933617962248</v>
      </c>
      <c r="O1289">
        <v>54.544475547429698</v>
      </c>
      <c r="P1289">
        <v>-3.1181980097573801E-2</v>
      </c>
      <c r="Q1289">
        <v>0.69755168228709796</v>
      </c>
      <c r="R1289">
        <v>0.927637637904692</v>
      </c>
      <c r="S1289" t="s">
        <v>7574</v>
      </c>
      <c r="T1289" t="s">
        <v>12568</v>
      </c>
      <c r="U1289" t="s">
        <v>12568</v>
      </c>
      <c r="V1289" t="s">
        <v>12568</v>
      </c>
      <c r="W1289" t="s">
        <v>13831</v>
      </c>
      <c r="X1289">
        <v>7</v>
      </c>
      <c r="Y1289" t="s">
        <v>20045</v>
      </c>
      <c r="Z1289" t="s">
        <v>26159</v>
      </c>
      <c r="AA1289">
        <v>0.85185737943451822</v>
      </c>
      <c r="AB1289" t="str">
        <f>HYPERLINK("Melting_Curves/meltCurve_O76070_SNCG.pdf", "Melting_Curves/meltCurve_O76070_SNCG.pdf")</f>
        <v>Melting_Curves/meltCurve_O76070_SNCG.pdf</v>
      </c>
    </row>
    <row r="1290" spans="1:28" x14ac:dyDescent="0.25">
      <c r="A1290" t="s">
        <v>1294</v>
      </c>
      <c r="B1290">
        <v>0.99352677808782597</v>
      </c>
      <c r="C1290">
        <v>1.0277894373801699</v>
      </c>
      <c r="D1290">
        <v>0.96412527250438795</v>
      </c>
      <c r="E1290">
        <v>0.61991345583247803</v>
      </c>
      <c r="F1290">
        <v>0.53452320231769301</v>
      </c>
      <c r="G1290">
        <v>0.40269352454377</v>
      </c>
      <c r="H1290">
        <v>0.255674524900872</v>
      </c>
      <c r="I1290">
        <v>0.197016042290037</v>
      </c>
      <c r="J1290">
        <v>0.13014002801810301</v>
      </c>
      <c r="K1290">
        <v>8.9569822282985503E-2</v>
      </c>
      <c r="L1290">
        <v>667.81000379069098</v>
      </c>
      <c r="M1290">
        <v>12.5578753607981</v>
      </c>
      <c r="N1290">
        <v>53.9242179164766</v>
      </c>
      <c r="O1290">
        <v>51.884111689685497</v>
      </c>
      <c r="P1290">
        <v>-5.5697808538267002E-2</v>
      </c>
      <c r="Q1290">
        <v>7.9701847003655305E-2</v>
      </c>
      <c r="R1290">
        <v>0.97977331288139202</v>
      </c>
      <c r="S1290" t="s">
        <v>7575</v>
      </c>
      <c r="T1290" t="s">
        <v>12568</v>
      </c>
      <c r="U1290" t="s">
        <v>12568</v>
      </c>
      <c r="V1290" t="s">
        <v>12568</v>
      </c>
      <c r="W1290" t="s">
        <v>13832</v>
      </c>
      <c r="X1290">
        <v>4</v>
      </c>
      <c r="Y1290" t="s">
        <v>20046</v>
      </c>
      <c r="Z1290" t="s">
        <v>26160</v>
      </c>
      <c r="AA1290">
        <v>0.50853435131329472</v>
      </c>
      <c r="AB1290" t="str">
        <f>HYPERLINK("Melting_Curves/meltCurve_O76071_CIAO1.pdf", "Melting_Curves/meltCurve_O76071_CIAO1.pdf")</f>
        <v>Melting_Curves/meltCurve_O76071_CIAO1.pdf</v>
      </c>
    </row>
    <row r="1291" spans="1:28" x14ac:dyDescent="0.25">
      <c r="A1291" t="s">
        <v>1295</v>
      </c>
      <c r="B1291">
        <v>0.99352677808782597</v>
      </c>
      <c r="C1291">
        <v>0.947330544098824</v>
      </c>
      <c r="D1291">
        <v>1.0140012585025699</v>
      </c>
      <c r="E1291">
        <v>1.0574523315787701</v>
      </c>
      <c r="F1291">
        <v>0.98155146805620996</v>
      </c>
      <c r="G1291">
        <v>0.99741632599387398</v>
      </c>
      <c r="H1291">
        <v>0.86280382940676603</v>
      </c>
      <c r="I1291">
        <v>0.98586126584927403</v>
      </c>
      <c r="J1291">
        <v>0.93051218141991399</v>
      </c>
      <c r="K1291">
        <v>0.84054025348356898</v>
      </c>
      <c r="L1291">
        <v>631.11495769527505</v>
      </c>
      <c r="M1291">
        <v>7.1988072795172</v>
      </c>
      <c r="Q1291">
        <v>0</v>
      </c>
      <c r="R1291">
        <v>0.50380038762021895</v>
      </c>
      <c r="S1291" t="s">
        <v>7576</v>
      </c>
      <c r="T1291" t="s">
        <v>12568</v>
      </c>
      <c r="U1291" t="s">
        <v>12568</v>
      </c>
      <c r="V1291" t="s">
        <v>12568</v>
      </c>
      <c r="W1291" t="s">
        <v>13833</v>
      </c>
      <c r="X1291">
        <v>11</v>
      </c>
      <c r="Y1291" t="s">
        <v>20047</v>
      </c>
      <c r="Z1291" t="s">
        <v>26161</v>
      </c>
      <c r="AA1291">
        <v>0.96787459405303422</v>
      </c>
      <c r="AB1291" t="str">
        <f>HYPERLINK("Melting_Curves/meltCurve_O76080_ZFAND5.pdf", "Melting_Curves/meltCurve_O76080_ZFAND5.pdf")</f>
        <v>Melting_Curves/meltCurve_O76080_ZFAND5.pdf</v>
      </c>
    </row>
    <row r="1292" spans="1:28" x14ac:dyDescent="0.25">
      <c r="A1292" t="s">
        <v>1296</v>
      </c>
      <c r="B1292">
        <v>0.99352677808782597</v>
      </c>
      <c r="C1292">
        <v>0.92142573974734598</v>
      </c>
      <c r="D1292">
        <v>0.84716093171703599</v>
      </c>
      <c r="E1292">
        <v>0.302456720398185</v>
      </c>
      <c r="F1292">
        <v>0.23915326508549001</v>
      </c>
      <c r="G1292">
        <v>0.123621657943752</v>
      </c>
      <c r="H1292">
        <v>8.1333975770556705E-2</v>
      </c>
      <c r="I1292">
        <v>8.8294085661276694E-2</v>
      </c>
      <c r="J1292">
        <v>6.3236025425078293E-2</v>
      </c>
      <c r="K1292">
        <v>5.28596705596713E-2</v>
      </c>
      <c r="L1292">
        <v>1224.3668372671</v>
      </c>
      <c r="M1292">
        <v>25.319866315853901</v>
      </c>
      <c r="N1292">
        <v>48.700385834839899</v>
      </c>
      <c r="O1292">
        <v>48.0573515654958</v>
      </c>
      <c r="P1292">
        <v>-0.120921164405388</v>
      </c>
      <c r="Q1292">
        <v>8.1973265319480904E-2</v>
      </c>
      <c r="R1292">
        <v>0.99008894180241303</v>
      </c>
      <c r="S1292" t="s">
        <v>7577</v>
      </c>
      <c r="T1292" t="s">
        <v>12568</v>
      </c>
      <c r="U1292" t="s">
        <v>12568</v>
      </c>
      <c r="V1292" t="s">
        <v>12568</v>
      </c>
      <c r="W1292" t="s">
        <v>13834</v>
      </c>
      <c r="X1292">
        <v>11</v>
      </c>
      <c r="Y1292" t="s">
        <v>20048</v>
      </c>
      <c r="Z1292" t="s">
        <v>26162</v>
      </c>
      <c r="AA1292">
        <v>0.34557313095551873</v>
      </c>
      <c r="AB1292" t="str">
        <f>HYPERLINK("Melting_Curves/meltCurve_O76094_SRP72.pdf", "Melting_Curves/meltCurve_O76094_SRP72.pdf")</f>
        <v>Melting_Curves/meltCurve_O76094_SRP72.pdf</v>
      </c>
    </row>
    <row r="1293" spans="1:28" x14ac:dyDescent="0.25">
      <c r="A1293" t="s">
        <v>1297</v>
      </c>
      <c r="B1293">
        <v>0.99352677808782597</v>
      </c>
      <c r="C1293">
        <v>0.92222349307482998</v>
      </c>
      <c r="D1293">
        <v>0.86400805027278105</v>
      </c>
      <c r="E1293">
        <v>0.31217601238609599</v>
      </c>
      <c r="F1293">
        <v>0.266141119896317</v>
      </c>
      <c r="G1293">
        <v>0.15924771939610199</v>
      </c>
      <c r="H1293">
        <v>0.13789661512359599</v>
      </c>
      <c r="I1293">
        <v>0.181807937595756</v>
      </c>
      <c r="J1293">
        <v>0.107503003752757</v>
      </c>
      <c r="K1293">
        <v>7.8793253687972201E-2</v>
      </c>
      <c r="L1293">
        <v>1413.10822324022</v>
      </c>
      <c r="M1293">
        <v>29.331191626318802</v>
      </c>
      <c r="N1293">
        <v>48.715651968194202</v>
      </c>
      <c r="O1293">
        <v>47.9553832683238</v>
      </c>
      <c r="P1293">
        <v>-0.13175547737916499</v>
      </c>
      <c r="Q1293">
        <v>0.13834536021631699</v>
      </c>
      <c r="R1293">
        <v>0.98520900077892903</v>
      </c>
      <c r="S1293" t="s">
        <v>7578</v>
      </c>
      <c r="T1293" t="s">
        <v>12568</v>
      </c>
      <c r="U1293" t="s">
        <v>12568</v>
      </c>
      <c r="V1293" t="s">
        <v>12568</v>
      </c>
      <c r="W1293" t="s">
        <v>13835</v>
      </c>
      <c r="X1293">
        <v>5</v>
      </c>
      <c r="Y1293" t="s">
        <v>20049</v>
      </c>
      <c r="Z1293" t="s">
        <v>26163</v>
      </c>
      <c r="AA1293">
        <v>0.37866713606615848</v>
      </c>
      <c r="AB1293" t="str">
        <f>HYPERLINK("Melting_Curves/meltCurve_O77932_DOM3Z.pdf", "Melting_Curves/meltCurve_O77932_DOM3Z.pdf")</f>
        <v>Melting_Curves/meltCurve_O77932_DOM3Z.pdf</v>
      </c>
    </row>
    <row r="1294" spans="1:28" x14ac:dyDescent="0.25">
      <c r="A1294" t="s">
        <v>1298</v>
      </c>
      <c r="B1294">
        <v>0.99352677808782597</v>
      </c>
      <c r="C1294">
        <v>0.94244078480135096</v>
      </c>
      <c r="D1294">
        <v>0.93611080010731695</v>
      </c>
      <c r="E1294">
        <v>0.80017702448654404</v>
      </c>
      <c r="F1294">
        <v>0.74189860619645698</v>
      </c>
      <c r="G1294">
        <v>0.56810521806601599</v>
      </c>
      <c r="H1294">
        <v>0.26029928362840798</v>
      </c>
      <c r="I1294">
        <v>0.18009233827874399</v>
      </c>
      <c r="J1294">
        <v>0.144525179209329</v>
      </c>
      <c r="K1294">
        <v>0.115134509492811</v>
      </c>
      <c r="L1294">
        <v>695.98910857481098</v>
      </c>
      <c r="M1294">
        <v>12.199974040209201</v>
      </c>
      <c r="N1294">
        <v>57.048405887314701</v>
      </c>
      <c r="O1294">
        <v>55.580557281916398</v>
      </c>
      <c r="P1294">
        <v>-5.4887584690464702E-2</v>
      </c>
      <c r="Q1294">
        <v>0</v>
      </c>
      <c r="R1294">
        <v>0.98891921174234398</v>
      </c>
      <c r="S1294" t="s">
        <v>7579</v>
      </c>
      <c r="T1294" t="s">
        <v>12568</v>
      </c>
      <c r="U1294" t="s">
        <v>12568</v>
      </c>
      <c r="V1294" t="s">
        <v>12568</v>
      </c>
      <c r="W1294" t="s">
        <v>13836</v>
      </c>
      <c r="X1294">
        <v>9</v>
      </c>
      <c r="Y1294" t="s">
        <v>20050</v>
      </c>
      <c r="Z1294" t="s">
        <v>26164</v>
      </c>
      <c r="AA1294">
        <v>0.58493573413536903</v>
      </c>
      <c r="AB1294" t="str">
        <f>HYPERLINK("Melting_Curves/meltCurve_O94760_DDAH1.pdf", "Melting_Curves/meltCurve_O94760_DDAH1.pdf")</f>
        <v>Melting_Curves/meltCurve_O94760_DDAH1.pdf</v>
      </c>
    </row>
    <row r="1295" spans="1:28" x14ac:dyDescent="0.25">
      <c r="A1295" t="s">
        <v>1299</v>
      </c>
      <c r="B1295">
        <v>0.99352677808782597</v>
      </c>
      <c r="C1295">
        <v>0.98304066691125402</v>
      </c>
      <c r="D1295">
        <v>0.90915326020989295</v>
      </c>
      <c r="E1295">
        <v>0.980856741550994</v>
      </c>
      <c r="F1295">
        <v>0.86453885041324496</v>
      </c>
      <c r="G1295">
        <v>0.68763484025799304</v>
      </c>
      <c r="H1295">
        <v>0.57755716939213397</v>
      </c>
      <c r="I1295">
        <v>0.604354024494975</v>
      </c>
      <c r="J1295">
        <v>0.74714486542123204</v>
      </c>
      <c r="K1295">
        <v>0.65134079573582804</v>
      </c>
      <c r="L1295">
        <v>2143.7467434619698</v>
      </c>
      <c r="M1295">
        <v>39.969585924438199</v>
      </c>
      <c r="O1295">
        <v>53.500716399382199</v>
      </c>
      <c r="P1295">
        <v>-6.5987352383964096E-2</v>
      </c>
      <c r="Q1295">
        <v>0.64669503005713003</v>
      </c>
      <c r="R1295">
        <v>0.89506765652856302</v>
      </c>
      <c r="S1295" t="s">
        <v>7580</v>
      </c>
      <c r="T1295" t="s">
        <v>12568</v>
      </c>
      <c r="U1295" t="s">
        <v>12568</v>
      </c>
      <c r="V1295" t="s">
        <v>12568</v>
      </c>
      <c r="W1295" t="s">
        <v>13837</v>
      </c>
      <c r="X1295">
        <v>14</v>
      </c>
      <c r="Y1295" t="s">
        <v>20051</v>
      </c>
      <c r="Z1295" t="s">
        <v>26165</v>
      </c>
      <c r="AA1295">
        <v>0.80857536444960387</v>
      </c>
      <c r="AB1295" t="str">
        <f>HYPERLINK("Melting_Curves/meltCurve_O94763_URI1.pdf", "Melting_Curves/meltCurve_O94763_URI1.pdf")</f>
        <v>Melting_Curves/meltCurve_O94763_URI1.pdf</v>
      </c>
    </row>
    <row r="1296" spans="1:28" x14ac:dyDescent="0.25">
      <c r="A1296" t="s">
        <v>1300</v>
      </c>
      <c r="B1296">
        <v>0.99352677808782597</v>
      </c>
      <c r="C1296">
        <v>0.96199242464157098</v>
      </c>
      <c r="D1296">
        <v>0.765162050664701</v>
      </c>
      <c r="E1296">
        <v>0.36540092618704101</v>
      </c>
      <c r="F1296">
        <v>0.30565641788667097</v>
      </c>
      <c r="G1296">
        <v>0.17356221283161799</v>
      </c>
      <c r="H1296">
        <v>0.116126510901765</v>
      </c>
      <c r="I1296">
        <v>0.10796272760566</v>
      </c>
      <c r="J1296">
        <v>7.6109624019614297E-2</v>
      </c>
      <c r="K1296">
        <v>5.8662599560667397E-2</v>
      </c>
      <c r="L1296">
        <v>890.62212019657602</v>
      </c>
      <c r="M1296">
        <v>18.345974062319801</v>
      </c>
      <c r="N1296">
        <v>49.072354870137097</v>
      </c>
      <c r="O1296">
        <v>47.980148713193799</v>
      </c>
      <c r="P1296">
        <v>-8.7056520527575995E-2</v>
      </c>
      <c r="Q1296">
        <v>8.9327477179635004E-2</v>
      </c>
      <c r="R1296">
        <v>0.99142946338878102</v>
      </c>
      <c r="S1296" t="s">
        <v>7581</v>
      </c>
      <c r="T1296" t="s">
        <v>12568</v>
      </c>
      <c r="U1296" t="s">
        <v>12568</v>
      </c>
      <c r="V1296" t="s">
        <v>12568</v>
      </c>
      <c r="W1296" t="s">
        <v>13838</v>
      </c>
      <c r="X1296">
        <v>20</v>
      </c>
      <c r="Y1296" t="s">
        <v>20052</v>
      </c>
      <c r="Z1296" t="s">
        <v>26166</v>
      </c>
      <c r="AA1296">
        <v>0.36406265046422598</v>
      </c>
      <c r="AB1296" t="str">
        <f>HYPERLINK("Melting_Curves/meltCurve_O94776_MTA2.pdf", "Melting_Curves/meltCurve_O94776_MTA2.pdf")</f>
        <v>Melting_Curves/meltCurve_O94776_MTA2.pdf</v>
      </c>
    </row>
    <row r="1297" spans="1:28" x14ac:dyDescent="0.25">
      <c r="A1297" t="s">
        <v>1301</v>
      </c>
      <c r="B1297">
        <v>0.99352677808782597</v>
      </c>
      <c r="C1297">
        <v>0.87688609314649901</v>
      </c>
      <c r="D1297">
        <v>0.76675078635430705</v>
      </c>
      <c r="E1297">
        <v>0.27302920776156597</v>
      </c>
      <c r="F1297">
        <v>0.226973793721505</v>
      </c>
      <c r="G1297">
        <v>0.158051447657726</v>
      </c>
      <c r="H1297">
        <v>0.13846875221980301</v>
      </c>
      <c r="I1297">
        <v>0.135264676100881</v>
      </c>
      <c r="J1297">
        <v>0.13711095352309499</v>
      </c>
      <c r="K1297">
        <v>0.110431113387757</v>
      </c>
      <c r="L1297">
        <v>1184.38965530679</v>
      </c>
      <c r="M1297">
        <v>24.989208969062702</v>
      </c>
      <c r="N1297">
        <v>47.992914845271102</v>
      </c>
      <c r="O1297">
        <v>47.095649413484303</v>
      </c>
      <c r="P1297">
        <v>-0.11493560297005399</v>
      </c>
      <c r="Q1297">
        <v>0.133562977862903</v>
      </c>
      <c r="R1297">
        <v>0.99089173157305399</v>
      </c>
      <c r="S1297" t="s">
        <v>7582</v>
      </c>
      <c r="T1297" t="s">
        <v>12568</v>
      </c>
      <c r="U1297" t="s">
        <v>12568</v>
      </c>
      <c r="V1297" t="s">
        <v>12568</v>
      </c>
      <c r="W1297" t="s">
        <v>13839</v>
      </c>
      <c r="X1297">
        <v>14</v>
      </c>
      <c r="Y1297" t="s">
        <v>20053</v>
      </c>
      <c r="Z1297" t="s">
        <v>26167</v>
      </c>
      <c r="AA1297">
        <v>0.3548657616071268</v>
      </c>
      <c r="AB1297" t="str">
        <f>HYPERLINK("Melting_Curves/meltCurve_O94804_STK10.pdf", "Melting_Curves/meltCurve_O94804_STK10.pdf")</f>
        <v>Melting_Curves/meltCurve_O94804_STK10.pdf</v>
      </c>
    </row>
    <row r="1298" spans="1:28" x14ac:dyDescent="0.25">
      <c r="A1298" t="s">
        <v>1302</v>
      </c>
      <c r="B1298">
        <v>0.99352677808782597</v>
      </c>
      <c r="C1298">
        <v>1.07390701825263</v>
      </c>
      <c r="D1298">
        <v>0.72693172651346705</v>
      </c>
      <c r="E1298">
        <v>0.23935672755481499</v>
      </c>
      <c r="F1298">
        <v>0.22440104897840801</v>
      </c>
      <c r="G1298">
        <v>0.13849677298422799</v>
      </c>
      <c r="H1298">
        <v>9.9303220110348894E-2</v>
      </c>
      <c r="I1298">
        <v>0.12578193273782901</v>
      </c>
      <c r="J1298">
        <v>3.4357527348591002E-2</v>
      </c>
      <c r="K1298">
        <v>4.6845680085899302E-2</v>
      </c>
      <c r="L1298">
        <v>1457.0785293650699</v>
      </c>
      <c r="M1298">
        <v>30.713206683413901</v>
      </c>
      <c r="N1298">
        <v>47.793853241500301</v>
      </c>
      <c r="O1298">
        <v>47.241675082898603</v>
      </c>
      <c r="P1298">
        <v>-0.14606401238716099</v>
      </c>
      <c r="Q1298">
        <v>0.101328994115974</v>
      </c>
      <c r="R1298">
        <v>0.97979613253045506</v>
      </c>
      <c r="S1298" t="s">
        <v>7583</v>
      </c>
      <c r="T1298" t="s">
        <v>12568</v>
      </c>
      <c r="U1298" t="s">
        <v>12568</v>
      </c>
      <c r="V1298" t="s">
        <v>12568</v>
      </c>
      <c r="W1298" t="s">
        <v>13840</v>
      </c>
      <c r="X1298">
        <v>3</v>
      </c>
      <c r="Y1298" t="s">
        <v>20054</v>
      </c>
      <c r="Z1298" t="s">
        <v>26168</v>
      </c>
      <c r="AA1298">
        <v>0.32937110338462361</v>
      </c>
      <c r="AB1298" t="str">
        <f>HYPERLINK("Melting_Curves/meltCurve_O94806_PRKD3.pdf", "Melting_Curves/meltCurve_O94806_PRKD3.pdf")</f>
        <v>Melting_Curves/meltCurve_O94806_PRKD3.pdf</v>
      </c>
    </row>
    <row r="1299" spans="1:28" x14ac:dyDescent="0.25">
      <c r="A1299" t="s">
        <v>1303</v>
      </c>
      <c r="B1299">
        <v>0.99352677808782597</v>
      </c>
      <c r="C1299">
        <v>0.89836821169557701</v>
      </c>
      <c r="D1299">
        <v>0.64171583533111598</v>
      </c>
      <c r="E1299">
        <v>0.37000332320287399</v>
      </c>
      <c r="F1299">
        <v>0.31669517547971499</v>
      </c>
      <c r="G1299">
        <v>0.21449825832031499</v>
      </c>
      <c r="H1299">
        <v>0.178943303466777</v>
      </c>
      <c r="I1299">
        <v>0.17058763909056299</v>
      </c>
      <c r="J1299">
        <v>0.14844035470876199</v>
      </c>
      <c r="K1299">
        <v>0.109577746623867</v>
      </c>
      <c r="L1299">
        <v>785.05765350488605</v>
      </c>
      <c r="M1299">
        <v>16.606193000730901</v>
      </c>
      <c r="N1299">
        <v>48.3114025543548</v>
      </c>
      <c r="O1299">
        <v>46.605377376161002</v>
      </c>
      <c r="P1299">
        <v>-7.5735565898864696E-2</v>
      </c>
      <c r="Q1299">
        <v>0.14984806760861299</v>
      </c>
      <c r="R1299">
        <v>0.99151471730882501</v>
      </c>
      <c r="S1299" t="s">
        <v>7584</v>
      </c>
      <c r="T1299" t="s">
        <v>12568</v>
      </c>
      <c r="U1299" t="s">
        <v>12568</v>
      </c>
      <c r="V1299" t="s">
        <v>12568</v>
      </c>
      <c r="W1299" t="s">
        <v>13841</v>
      </c>
      <c r="X1299">
        <v>13</v>
      </c>
      <c r="Y1299" t="s">
        <v>20055</v>
      </c>
      <c r="Z1299" t="s">
        <v>26169</v>
      </c>
      <c r="AA1299">
        <v>0.37440301314011709</v>
      </c>
      <c r="AB1299" t="str">
        <f>HYPERLINK("Melting_Curves/meltCurve_O94808_GFPT2.pdf", "Melting_Curves/meltCurve_O94808_GFPT2.pdf")</f>
        <v>Melting_Curves/meltCurve_O94808_GFPT2.pdf</v>
      </c>
    </row>
    <row r="1300" spans="1:28" x14ac:dyDescent="0.25">
      <c r="A1300" t="s">
        <v>1304</v>
      </c>
      <c r="B1300">
        <v>0.99352677808782597</v>
      </c>
      <c r="C1300">
        <v>0.95686785178717904</v>
      </c>
      <c r="D1300">
        <v>0.972730859994969</v>
      </c>
      <c r="E1300">
        <v>0.93407194779812597</v>
      </c>
      <c r="F1300">
        <v>0.87422011975812597</v>
      </c>
      <c r="G1300">
        <v>0.77138219208718095</v>
      </c>
      <c r="H1300">
        <v>0.72411710067450996</v>
      </c>
      <c r="I1300">
        <v>0.64787814337770899</v>
      </c>
      <c r="J1300">
        <v>0.732737153841306</v>
      </c>
      <c r="K1300">
        <v>0.58846164961408898</v>
      </c>
      <c r="L1300">
        <v>591.41923610804395</v>
      </c>
      <c r="M1300">
        <v>10.381803227948399</v>
      </c>
      <c r="O1300">
        <v>54.974860604544702</v>
      </c>
      <c r="P1300">
        <v>-1.98625852725016E-2</v>
      </c>
      <c r="Q1300">
        <v>0.57946306722266605</v>
      </c>
      <c r="R1300">
        <v>0.94259233453764502</v>
      </c>
      <c r="S1300" t="s">
        <v>7585</v>
      </c>
      <c r="T1300" t="s">
        <v>12568</v>
      </c>
      <c r="U1300" t="s">
        <v>12568</v>
      </c>
      <c r="V1300" t="s">
        <v>12568</v>
      </c>
      <c r="W1300" t="s">
        <v>13842</v>
      </c>
      <c r="X1300">
        <v>7</v>
      </c>
      <c r="Y1300" t="s">
        <v>20056</v>
      </c>
      <c r="Z1300" t="s">
        <v>26170</v>
      </c>
      <c r="AA1300">
        <v>0.82417575739520854</v>
      </c>
      <c r="AB1300" t="str">
        <f>HYPERLINK("Melting_Curves/meltCurve_O94811_TPPP.pdf", "Melting_Curves/meltCurve_O94811_TPPP.pdf")</f>
        <v>Melting_Curves/meltCurve_O94811_TPPP.pdf</v>
      </c>
    </row>
    <row r="1301" spans="1:28" x14ac:dyDescent="0.25">
      <c r="A1301" t="s">
        <v>1305</v>
      </c>
      <c r="B1301">
        <v>0.99352677808782597</v>
      </c>
      <c r="C1301">
        <v>0.93076229601516602</v>
      </c>
      <c r="D1301">
        <v>1.0006375209240801</v>
      </c>
      <c r="E1301">
        <v>0.87219195021184803</v>
      </c>
      <c r="F1301">
        <v>0.731262275224003</v>
      </c>
      <c r="G1301">
        <v>0.32052782267155699</v>
      </c>
      <c r="H1301">
        <v>0.139677152290241</v>
      </c>
      <c r="I1301">
        <v>0.111423743555915</v>
      </c>
      <c r="J1301">
        <v>7.4498650082642406E-2</v>
      </c>
      <c r="K1301">
        <v>5.8843616761089498E-2</v>
      </c>
      <c r="L1301">
        <v>1246.6250153086801</v>
      </c>
      <c r="M1301">
        <v>22.745839080220598</v>
      </c>
      <c r="N1301">
        <v>55.113449582529398</v>
      </c>
      <c r="O1301">
        <v>54.388378581306299</v>
      </c>
      <c r="P1301">
        <v>-9.8338992287334503E-2</v>
      </c>
      <c r="Q1301">
        <v>5.9451076415606201E-2</v>
      </c>
      <c r="R1301">
        <v>0.99534655536197003</v>
      </c>
      <c r="S1301" t="s">
        <v>7586</v>
      </c>
      <c r="T1301" t="s">
        <v>12568</v>
      </c>
      <c r="U1301" t="s">
        <v>12568</v>
      </c>
      <c r="V1301" t="s">
        <v>12568</v>
      </c>
      <c r="W1301" t="s">
        <v>13843</v>
      </c>
      <c r="X1301">
        <v>1</v>
      </c>
      <c r="Y1301" t="s">
        <v>20057</v>
      </c>
      <c r="Z1301" t="s">
        <v>26171</v>
      </c>
      <c r="AA1301">
        <v>0.53390995066400448</v>
      </c>
      <c r="AB1301" t="str">
        <f>HYPERLINK("Melting_Curves/meltCurve_O94817_ATG12.pdf", "Melting_Curves/meltCurve_O94817_ATG12.pdf")</f>
        <v>Melting_Curves/meltCurve_O94817_ATG12.pdf</v>
      </c>
    </row>
    <row r="1302" spans="1:28" x14ac:dyDescent="0.25">
      <c r="A1302" t="s">
        <v>1306</v>
      </c>
      <c r="B1302">
        <v>0.99352677808782597</v>
      </c>
      <c r="C1302">
        <v>0.989515338777056</v>
      </c>
      <c r="D1302">
        <v>0.94199775019109799</v>
      </c>
      <c r="E1302">
        <v>0.63113935949064004</v>
      </c>
      <c r="F1302">
        <v>0.57331495108333497</v>
      </c>
      <c r="G1302">
        <v>0.225304502014641</v>
      </c>
      <c r="H1302">
        <v>0.107236177985994</v>
      </c>
      <c r="I1302">
        <v>0.105440770965011</v>
      </c>
      <c r="J1302">
        <v>7.6410018799038096E-2</v>
      </c>
      <c r="K1302">
        <v>6.2470732392426197E-2</v>
      </c>
      <c r="L1302">
        <v>839.385214183681</v>
      </c>
      <c r="M1302">
        <v>15.953920542887699</v>
      </c>
      <c r="N1302">
        <v>52.879291049366998</v>
      </c>
      <c r="O1302">
        <v>51.807288496265002</v>
      </c>
      <c r="P1302">
        <v>-7.4021932702968696E-2</v>
      </c>
      <c r="Q1302">
        <v>3.8588313007831998E-2</v>
      </c>
      <c r="R1302">
        <v>0.98902172859071802</v>
      </c>
      <c r="S1302" t="s">
        <v>7587</v>
      </c>
      <c r="T1302" t="s">
        <v>12568</v>
      </c>
      <c r="U1302" t="s">
        <v>12568</v>
      </c>
      <c r="V1302" t="s">
        <v>12568</v>
      </c>
      <c r="W1302" t="s">
        <v>13844</v>
      </c>
      <c r="X1302">
        <v>6</v>
      </c>
      <c r="Y1302" t="s">
        <v>20058</v>
      </c>
      <c r="Z1302" t="s">
        <v>26172</v>
      </c>
      <c r="AA1302">
        <v>0.46198200439338782</v>
      </c>
      <c r="AB1302" t="str">
        <f>HYPERLINK("Melting_Curves/meltCurve_O94819_KBTBD11.pdf", "Melting_Curves/meltCurve_O94819_KBTBD11.pdf")</f>
        <v>Melting_Curves/meltCurve_O94819_KBTBD11.pdf</v>
      </c>
    </row>
    <row r="1303" spans="1:28" x14ac:dyDescent="0.25">
      <c r="A1303" t="s">
        <v>1307</v>
      </c>
      <c r="B1303">
        <v>0.99352677808782597</v>
      </c>
      <c r="C1303">
        <v>0.92378044644533097</v>
      </c>
      <c r="D1303">
        <v>0.78904729441988197</v>
      </c>
      <c r="E1303">
        <v>0.32773403751694202</v>
      </c>
      <c r="F1303">
        <v>0.304549736458683</v>
      </c>
      <c r="G1303">
        <v>0.180598776611474</v>
      </c>
      <c r="H1303">
        <v>0.137112466821181</v>
      </c>
      <c r="I1303">
        <v>0.13591888173177899</v>
      </c>
      <c r="J1303">
        <v>0.102676475725484</v>
      </c>
      <c r="K1303">
        <v>8.5202822167301198E-2</v>
      </c>
      <c r="L1303">
        <v>985.766337358535</v>
      </c>
      <c r="M1303">
        <v>20.4873215989317</v>
      </c>
      <c r="N1303">
        <v>48.775219110968798</v>
      </c>
      <c r="O1303">
        <v>47.6645460570479</v>
      </c>
      <c r="P1303">
        <v>-9.4462272324785504E-2</v>
      </c>
      <c r="Q1303">
        <v>0.120945762026696</v>
      </c>
      <c r="R1303">
        <v>0.98831728966631205</v>
      </c>
      <c r="S1303" t="s">
        <v>7588</v>
      </c>
      <c r="T1303" t="s">
        <v>12568</v>
      </c>
      <c r="U1303" t="s">
        <v>12568</v>
      </c>
      <c r="V1303" t="s">
        <v>12568</v>
      </c>
      <c r="W1303" t="s">
        <v>13845</v>
      </c>
      <c r="X1303">
        <v>7</v>
      </c>
      <c r="Y1303" t="s">
        <v>20059</v>
      </c>
      <c r="Z1303" t="s">
        <v>26173</v>
      </c>
      <c r="AA1303">
        <v>0.37060280163858328</v>
      </c>
      <c r="AB1303" t="str">
        <f>HYPERLINK("Melting_Curves/meltCurve_O94822_LTN1.pdf", "Melting_Curves/meltCurve_O94822_LTN1.pdf")</f>
        <v>Melting_Curves/meltCurve_O94822_LTN1.pdf</v>
      </c>
    </row>
    <row r="1304" spans="1:28" x14ac:dyDescent="0.25">
      <c r="A1304" t="s">
        <v>1308</v>
      </c>
      <c r="B1304">
        <v>0.99352677808782597</v>
      </c>
      <c r="C1304">
        <v>0.93968972123171401</v>
      </c>
      <c r="D1304">
        <v>0.99830567971120798</v>
      </c>
      <c r="E1304">
        <v>0.31860653128081901</v>
      </c>
      <c r="F1304">
        <v>0.26279222165152399</v>
      </c>
      <c r="G1304">
        <v>0.138271608334534</v>
      </c>
      <c r="H1304">
        <v>0.10289926512165801</v>
      </c>
      <c r="I1304">
        <v>0.10359615289756199</v>
      </c>
      <c r="J1304">
        <v>6.1976567954342497E-2</v>
      </c>
      <c r="K1304">
        <v>5.3189571078202401E-2</v>
      </c>
      <c r="L1304">
        <v>2195.7014623026998</v>
      </c>
      <c r="M1304">
        <v>44.919622011155198</v>
      </c>
      <c r="N1304">
        <v>49.1577505663452</v>
      </c>
      <c r="O1304">
        <v>48.7840942461522</v>
      </c>
      <c r="P1304">
        <v>-0.20445340111834501</v>
      </c>
      <c r="Q1304">
        <v>0.111830376017446</v>
      </c>
      <c r="R1304">
        <v>0.98070624146489305</v>
      </c>
      <c r="S1304" t="s">
        <v>7589</v>
      </c>
      <c r="T1304" t="s">
        <v>12568</v>
      </c>
      <c r="U1304" t="s">
        <v>12568</v>
      </c>
      <c r="V1304" t="s">
        <v>12568</v>
      </c>
      <c r="W1304" t="s">
        <v>13846</v>
      </c>
      <c r="X1304">
        <v>7</v>
      </c>
      <c r="Y1304" t="s">
        <v>20060</v>
      </c>
      <c r="Z1304" t="s">
        <v>26174</v>
      </c>
      <c r="AA1304">
        <v>0.37712536459933632</v>
      </c>
      <c r="AB1304" t="str">
        <f>HYPERLINK("Melting_Curves/meltCurve_O94826_TOMM70A.pdf", "Melting_Curves/meltCurve_O94826_TOMM70A.pdf")</f>
        <v>Melting_Curves/meltCurve_O94826_TOMM70A.pdf</v>
      </c>
    </row>
    <row r="1305" spans="1:28" x14ac:dyDescent="0.25">
      <c r="A1305" t="s">
        <v>1309</v>
      </c>
      <c r="B1305">
        <v>0.99352677808782597</v>
      </c>
      <c r="C1305">
        <v>1.01706947736001</v>
      </c>
      <c r="D1305">
        <v>0.91371691193941595</v>
      </c>
      <c r="E1305">
        <v>0.41816245611147501</v>
      </c>
      <c r="F1305">
        <v>0.33221556798595497</v>
      </c>
      <c r="G1305">
        <v>0.19463799125971701</v>
      </c>
      <c r="H1305">
        <v>0.10706278472965799</v>
      </c>
      <c r="I1305">
        <v>9.3665775220447098E-2</v>
      </c>
      <c r="J1305">
        <v>8.0263130085254902E-2</v>
      </c>
      <c r="K1305">
        <v>6.5160088051549395E-2</v>
      </c>
      <c r="L1305">
        <v>1102.76301460743</v>
      </c>
      <c r="M1305">
        <v>22.267843732645101</v>
      </c>
      <c r="N1305">
        <v>50.007604106536903</v>
      </c>
      <c r="O1305">
        <v>49.128467409817503</v>
      </c>
      <c r="P1305">
        <v>-0.102313007172048</v>
      </c>
      <c r="Q1305">
        <v>9.7106289021374095E-2</v>
      </c>
      <c r="R1305">
        <v>0.98598307613532099</v>
      </c>
      <c r="S1305" t="s">
        <v>7590</v>
      </c>
      <c r="T1305" t="s">
        <v>12568</v>
      </c>
      <c r="U1305" t="s">
        <v>12568</v>
      </c>
      <c r="V1305" t="s">
        <v>12568</v>
      </c>
      <c r="W1305" t="s">
        <v>13847</v>
      </c>
      <c r="X1305">
        <v>6</v>
      </c>
      <c r="Y1305" t="s">
        <v>20061</v>
      </c>
      <c r="Z1305" t="s">
        <v>26175</v>
      </c>
      <c r="AA1305">
        <v>0.39386194292777899</v>
      </c>
      <c r="AB1305" t="str">
        <f>HYPERLINK("Melting_Curves/meltCurve_O94829_IPO13.pdf", "Melting_Curves/meltCurve_O94829_IPO13.pdf")</f>
        <v>Melting_Curves/meltCurve_O94829_IPO13.pdf</v>
      </c>
    </row>
    <row r="1306" spans="1:28" x14ac:dyDescent="0.25">
      <c r="A1306" t="s">
        <v>1310</v>
      </c>
      <c r="B1306">
        <v>0.99352677808782597</v>
      </c>
      <c r="C1306">
        <v>0.99223349241846603</v>
      </c>
      <c r="D1306">
        <v>0.89433700832819796</v>
      </c>
      <c r="E1306">
        <v>0.67605678784477496</v>
      </c>
      <c r="F1306">
        <v>0.59824365965228199</v>
      </c>
      <c r="G1306">
        <v>0.32571676989339299</v>
      </c>
      <c r="H1306">
        <v>0.20355606790566899</v>
      </c>
      <c r="I1306">
        <v>0.13806674902614999</v>
      </c>
      <c r="J1306">
        <v>0.10861413932141201</v>
      </c>
      <c r="K1306">
        <v>0.10306558884613801</v>
      </c>
      <c r="L1306">
        <v>695.70760691544604</v>
      </c>
      <c r="M1306">
        <v>13.025879754014699</v>
      </c>
      <c r="N1306">
        <v>53.834450638346503</v>
      </c>
      <c r="O1306">
        <v>52.197876056957398</v>
      </c>
      <c r="P1306">
        <v>-5.9350552032348902E-2</v>
      </c>
      <c r="Q1306">
        <v>4.8838413792678503E-2</v>
      </c>
      <c r="R1306">
        <v>0.99512419682327702</v>
      </c>
      <c r="S1306" t="s">
        <v>7591</v>
      </c>
      <c r="T1306" t="s">
        <v>12568</v>
      </c>
      <c r="U1306" t="s">
        <v>12568</v>
      </c>
      <c r="V1306" t="s">
        <v>12568</v>
      </c>
      <c r="W1306" t="s">
        <v>13848</v>
      </c>
      <c r="X1306">
        <v>10</v>
      </c>
      <c r="Y1306" t="s">
        <v>20062</v>
      </c>
      <c r="Z1306" t="s">
        <v>26176</v>
      </c>
      <c r="AA1306">
        <v>0.49794094012611112</v>
      </c>
      <c r="AB1306" t="str">
        <f>HYPERLINK("Melting_Curves/meltCurve_O94830_DDHD2.pdf", "Melting_Curves/meltCurve_O94830_DDHD2.pdf")</f>
        <v>Melting_Curves/meltCurve_O94830_DDHD2.pdf</v>
      </c>
    </row>
    <row r="1307" spans="1:28" x14ac:dyDescent="0.25">
      <c r="A1307" t="s">
        <v>1311</v>
      </c>
      <c r="B1307">
        <v>0.99352677808782597</v>
      </c>
      <c r="C1307">
        <v>0.95258286483189503</v>
      </c>
      <c r="D1307">
        <v>0.84500127126386404</v>
      </c>
      <c r="E1307">
        <v>0.30121432679501398</v>
      </c>
      <c r="F1307">
        <v>0.24552862027806199</v>
      </c>
      <c r="G1307">
        <v>0.116372036181732</v>
      </c>
      <c r="H1307">
        <v>8.4283920805545004E-2</v>
      </c>
      <c r="I1307">
        <v>7.6052353700226796E-2</v>
      </c>
      <c r="J1307">
        <v>6.8016404192090305E-2</v>
      </c>
      <c r="K1307">
        <v>5.10542983694314E-2</v>
      </c>
      <c r="L1307">
        <v>1257.7438316815301</v>
      </c>
      <c r="M1307">
        <v>25.995722672785501</v>
      </c>
      <c r="N1307">
        <v>48.716531876654102</v>
      </c>
      <c r="O1307">
        <v>48.099135040425502</v>
      </c>
      <c r="P1307">
        <v>-0.124093921399032</v>
      </c>
      <c r="Q1307">
        <v>8.1581010439538207E-2</v>
      </c>
      <c r="R1307">
        <v>0.99126872884402095</v>
      </c>
      <c r="S1307" t="s">
        <v>7592</v>
      </c>
      <c r="T1307" t="s">
        <v>12568</v>
      </c>
      <c r="U1307" t="s">
        <v>12568</v>
      </c>
      <c r="V1307" t="s">
        <v>12568</v>
      </c>
      <c r="W1307" t="s">
        <v>13849</v>
      </c>
      <c r="X1307">
        <v>4</v>
      </c>
      <c r="Y1307" t="s">
        <v>20063</v>
      </c>
      <c r="Z1307" t="s">
        <v>26177</v>
      </c>
      <c r="AA1307">
        <v>0.3456885050273043</v>
      </c>
      <c r="AB1307" t="str">
        <f>HYPERLINK("Melting_Curves/meltCurve_O94851_5_MICAL2.pdf", "Melting_Curves/meltCurve_O94851_5_MICAL2.pdf")</f>
        <v>Melting_Curves/meltCurve_O94851_5_MICAL2.pdf</v>
      </c>
    </row>
    <row r="1308" spans="1:28" x14ac:dyDescent="0.25">
      <c r="A1308" t="s">
        <v>1312</v>
      </c>
      <c r="B1308">
        <v>0.99352677808782597</v>
      </c>
      <c r="C1308">
        <v>0.94597353564309405</v>
      </c>
      <c r="D1308">
        <v>0.94991445681715703</v>
      </c>
      <c r="E1308">
        <v>0.73499508268540903</v>
      </c>
      <c r="F1308">
        <v>0.731336917686085</v>
      </c>
      <c r="G1308">
        <v>0.55348880748863305</v>
      </c>
      <c r="H1308">
        <v>0.58902755768687498</v>
      </c>
      <c r="I1308">
        <v>0.481754270749497</v>
      </c>
      <c r="J1308">
        <v>0.51249531003536397</v>
      </c>
      <c r="K1308">
        <v>0.44464346764294599</v>
      </c>
      <c r="L1308">
        <v>625.37387836100197</v>
      </c>
      <c r="M1308">
        <v>12.039692030862</v>
      </c>
      <c r="N1308">
        <v>64.635535700199497</v>
      </c>
      <c r="O1308">
        <v>50.5719425371055</v>
      </c>
      <c r="P1308">
        <v>-3.2564343116113302E-2</v>
      </c>
      <c r="Q1308">
        <v>0.45299257717871999</v>
      </c>
      <c r="R1308">
        <v>0.96511822884953802</v>
      </c>
      <c r="S1308" t="s">
        <v>7593</v>
      </c>
      <c r="T1308" t="s">
        <v>12568</v>
      </c>
      <c r="U1308" t="s">
        <v>12568</v>
      </c>
      <c r="V1308" t="s">
        <v>12568</v>
      </c>
      <c r="W1308" t="s">
        <v>13850</v>
      </c>
      <c r="X1308">
        <v>2</v>
      </c>
      <c r="Y1308" t="s">
        <v>20064</v>
      </c>
      <c r="Z1308" t="s">
        <v>26178</v>
      </c>
      <c r="AA1308">
        <v>0.68748333416086638</v>
      </c>
      <c r="AB1308" t="str">
        <f>HYPERLINK("Melting_Curves/meltCurve_O94854_2_KIAA0754.pdf", "Melting_Curves/meltCurve_O94854_2_KIAA0754.pdf")</f>
        <v>Melting_Curves/meltCurve_O94854_2_KIAA0754.pdf</v>
      </c>
    </row>
    <row r="1309" spans="1:28" x14ac:dyDescent="0.25">
      <c r="A1309" t="s">
        <v>1313</v>
      </c>
      <c r="B1309">
        <v>0.99352677808782597</v>
      </c>
      <c r="C1309">
        <v>1.01626488123707</v>
      </c>
      <c r="D1309">
        <v>0.871603231977641</v>
      </c>
      <c r="E1309">
        <v>0.499043571327906</v>
      </c>
      <c r="F1309">
        <v>0.36290481992180401</v>
      </c>
      <c r="G1309">
        <v>0.18357194151639999</v>
      </c>
      <c r="H1309">
        <v>0.12133288530813301</v>
      </c>
      <c r="I1309">
        <v>0.121211289157866</v>
      </c>
      <c r="J1309">
        <v>9.6544645596603307E-2</v>
      </c>
      <c r="K1309">
        <v>8.0496542104489394E-2</v>
      </c>
      <c r="L1309">
        <v>963.868583946846</v>
      </c>
      <c r="M1309">
        <v>19.282339911715201</v>
      </c>
      <c r="N1309">
        <v>50.552488625235704</v>
      </c>
      <c r="O1309">
        <v>49.458806829576403</v>
      </c>
      <c r="P1309">
        <v>-8.8016582448589606E-2</v>
      </c>
      <c r="Q1309">
        <v>9.6991303810920804E-2</v>
      </c>
      <c r="R1309">
        <v>0.99442798167641899</v>
      </c>
      <c r="S1309" t="s">
        <v>7594</v>
      </c>
      <c r="T1309" t="s">
        <v>12568</v>
      </c>
      <c r="U1309" t="s">
        <v>12568</v>
      </c>
      <c r="V1309" t="s">
        <v>12568</v>
      </c>
      <c r="W1309" t="s">
        <v>13851</v>
      </c>
      <c r="X1309">
        <v>11</v>
      </c>
      <c r="Y1309" t="s">
        <v>20065</v>
      </c>
      <c r="Z1309" t="s">
        <v>26179</v>
      </c>
      <c r="AA1309">
        <v>0.41110361142686808</v>
      </c>
      <c r="AB1309" t="str">
        <f>HYPERLINK("Melting_Curves/meltCurve_O94855_SEC24D.pdf", "Melting_Curves/meltCurve_O94855_SEC24D.pdf")</f>
        <v>Melting_Curves/meltCurve_O94855_SEC24D.pdf</v>
      </c>
    </row>
    <row r="1310" spans="1:28" x14ac:dyDescent="0.25">
      <c r="A1310" t="s">
        <v>1314</v>
      </c>
      <c r="B1310">
        <v>0.99352677808782597</v>
      </c>
      <c r="C1310">
        <v>0.81777336618839003</v>
      </c>
      <c r="D1310">
        <v>0.933248411604648</v>
      </c>
      <c r="E1310">
        <v>0.61836575777515701</v>
      </c>
      <c r="F1310">
        <v>0.56402548707829303</v>
      </c>
      <c r="G1310">
        <v>0.32353650681164497</v>
      </c>
      <c r="H1310">
        <v>0.23643457846716001</v>
      </c>
      <c r="I1310">
        <v>0.193872061334216</v>
      </c>
      <c r="J1310">
        <v>0.173806813634312</v>
      </c>
      <c r="K1310">
        <v>0.13760391486148801</v>
      </c>
      <c r="L1310">
        <v>584.38569531384996</v>
      </c>
      <c r="M1310">
        <v>11.134113858758599</v>
      </c>
      <c r="N1310">
        <v>53.376610131601801</v>
      </c>
      <c r="O1310">
        <v>50.878293850036002</v>
      </c>
      <c r="P1310">
        <v>-5.0088148451444402E-2</v>
      </c>
      <c r="Q1310">
        <v>8.4766029380731397E-2</v>
      </c>
      <c r="R1310">
        <v>0.97275808497835803</v>
      </c>
      <c r="S1310" t="s">
        <v>7595</v>
      </c>
      <c r="T1310" t="s">
        <v>12568</v>
      </c>
      <c r="U1310" t="s">
        <v>12568</v>
      </c>
      <c r="V1310" t="s">
        <v>12568</v>
      </c>
      <c r="W1310" t="s">
        <v>13852</v>
      </c>
      <c r="X1310">
        <v>5</v>
      </c>
      <c r="Y1310" t="s">
        <v>20066</v>
      </c>
      <c r="Z1310" t="s">
        <v>26180</v>
      </c>
      <c r="AA1310">
        <v>0.4952303912145396</v>
      </c>
      <c r="AB1310" t="str">
        <f>HYPERLINK("Melting_Curves/meltCurve_O94864_2_SUPT7L.pdf", "Melting_Curves/meltCurve_O94864_2_SUPT7L.pdf")</f>
        <v>Melting_Curves/meltCurve_O94864_2_SUPT7L.pdf</v>
      </c>
    </row>
    <row r="1311" spans="1:28" x14ac:dyDescent="0.25">
      <c r="A1311" t="s">
        <v>1315</v>
      </c>
      <c r="B1311">
        <v>0.99352677808782597</v>
      </c>
      <c r="C1311">
        <v>1.03616552981038</v>
      </c>
      <c r="D1311">
        <v>1.01360470628893</v>
      </c>
      <c r="E1311">
        <v>0.70564237143943398</v>
      </c>
      <c r="F1311">
        <v>0.70477007081587995</v>
      </c>
      <c r="G1311">
        <v>0.58724692382142996</v>
      </c>
      <c r="H1311">
        <v>0.47023145670733701</v>
      </c>
      <c r="I1311">
        <v>0.51812052905311801</v>
      </c>
      <c r="J1311">
        <v>0.40179932926335599</v>
      </c>
      <c r="K1311">
        <v>0.37726020424064899</v>
      </c>
      <c r="L1311">
        <v>722.20817079799997</v>
      </c>
      <c r="M1311">
        <v>13.686529609384801</v>
      </c>
      <c r="N1311">
        <v>59.695850764787899</v>
      </c>
      <c r="O1311">
        <v>51.679546593084901</v>
      </c>
      <c r="P1311">
        <v>-3.9871718450081903E-2</v>
      </c>
      <c r="Q1311">
        <v>0.397873806796884</v>
      </c>
      <c r="R1311">
        <v>0.94909466670967402</v>
      </c>
      <c r="S1311" t="s">
        <v>7596</v>
      </c>
      <c r="T1311" t="s">
        <v>12568</v>
      </c>
      <c r="U1311" t="s">
        <v>12568</v>
      </c>
      <c r="V1311" t="s">
        <v>12568</v>
      </c>
      <c r="W1311" t="s">
        <v>13853</v>
      </c>
      <c r="X1311">
        <v>2</v>
      </c>
      <c r="Y1311" t="s">
        <v>20067</v>
      </c>
      <c r="Z1311" t="s">
        <v>26181</v>
      </c>
      <c r="AA1311">
        <v>0.66896666904810531</v>
      </c>
      <c r="AB1311" t="str">
        <f>HYPERLINK("Melting_Curves/meltCurve_O94868_FCHSD2.pdf", "Melting_Curves/meltCurve_O94868_FCHSD2.pdf")</f>
        <v>Melting_Curves/meltCurve_O94868_FCHSD2.pdf</v>
      </c>
    </row>
    <row r="1312" spans="1:28" x14ac:dyDescent="0.25">
      <c r="A1312" t="s">
        <v>1316</v>
      </c>
      <c r="B1312">
        <v>0.99352677808782597</v>
      </c>
      <c r="C1312">
        <v>0.94569799979265101</v>
      </c>
      <c r="D1312">
        <v>0.82458366778925496</v>
      </c>
      <c r="E1312">
        <v>0.37484362072532701</v>
      </c>
      <c r="F1312">
        <v>0.31498996739012203</v>
      </c>
      <c r="G1312">
        <v>0.16121399545086601</v>
      </c>
      <c r="H1312">
        <v>0.14342502913962099</v>
      </c>
      <c r="I1312">
        <v>0.15912861042684801</v>
      </c>
      <c r="J1312">
        <v>8.4378822033517903E-2</v>
      </c>
      <c r="K1312">
        <v>6.1225824154520901E-2</v>
      </c>
      <c r="L1312">
        <v>982.66826870230898</v>
      </c>
      <c r="M1312">
        <v>20.186871203927801</v>
      </c>
      <c r="N1312">
        <v>49.291459940212803</v>
      </c>
      <c r="O1312">
        <v>48.208446596299503</v>
      </c>
      <c r="P1312">
        <v>-9.3069441156934496E-2</v>
      </c>
      <c r="Q1312">
        <v>0.11098818546473301</v>
      </c>
      <c r="R1312">
        <v>0.98812364474446401</v>
      </c>
      <c r="S1312" t="s">
        <v>7597</v>
      </c>
      <c r="T1312" t="s">
        <v>12568</v>
      </c>
      <c r="U1312" t="s">
        <v>12568</v>
      </c>
      <c r="V1312" t="s">
        <v>12568</v>
      </c>
      <c r="W1312" t="s">
        <v>13854</v>
      </c>
      <c r="X1312">
        <v>5</v>
      </c>
      <c r="Y1312" t="s">
        <v>20068</v>
      </c>
      <c r="Z1312" t="s">
        <v>26182</v>
      </c>
      <c r="AA1312">
        <v>0.38042570376565948</v>
      </c>
      <c r="AB1312" t="str">
        <f>HYPERLINK("Melting_Curves/meltCurve_O94874_UFL1.pdf", "Melting_Curves/meltCurve_O94874_UFL1.pdf")</f>
        <v>Melting_Curves/meltCurve_O94874_UFL1.pdf</v>
      </c>
    </row>
    <row r="1313" spans="1:28" x14ac:dyDescent="0.25">
      <c r="A1313" t="s">
        <v>1317</v>
      </c>
      <c r="B1313">
        <v>0.99352677808782597</v>
      </c>
      <c r="C1313">
        <v>0.96502425810020898</v>
      </c>
      <c r="D1313">
        <v>1.00539239103332</v>
      </c>
      <c r="E1313">
        <v>0.98049327506286699</v>
      </c>
      <c r="F1313">
        <v>0.93551473775732197</v>
      </c>
      <c r="G1313">
        <v>0.91633056908147403</v>
      </c>
      <c r="H1313">
        <v>0.76915801592288102</v>
      </c>
      <c r="I1313">
        <v>0.89384691609163802</v>
      </c>
      <c r="J1313">
        <v>0.80833840580233496</v>
      </c>
      <c r="K1313">
        <v>0.74408987058145704</v>
      </c>
      <c r="L1313">
        <v>540.25775438335404</v>
      </c>
      <c r="M1313">
        <v>8.7275975343417205</v>
      </c>
      <c r="O1313">
        <v>58.910135367863298</v>
      </c>
      <c r="P1313">
        <v>-1.1630906841737501E-2</v>
      </c>
      <c r="Q1313">
        <v>0.686227571408765</v>
      </c>
      <c r="R1313">
        <v>0.81573859372829804</v>
      </c>
      <c r="S1313" t="s">
        <v>7598</v>
      </c>
      <c r="T1313" t="s">
        <v>12568</v>
      </c>
      <c r="U1313" t="s">
        <v>12568</v>
      </c>
      <c r="V1313" t="s">
        <v>12568</v>
      </c>
      <c r="W1313" t="s">
        <v>13855</v>
      </c>
      <c r="X1313">
        <v>8</v>
      </c>
      <c r="Y1313" t="s">
        <v>20069</v>
      </c>
      <c r="Z1313" t="s">
        <v>26183</v>
      </c>
      <c r="AA1313">
        <v>0.90613894132810457</v>
      </c>
      <c r="AB1313" t="str">
        <f>HYPERLINK("Melting_Curves/meltCurve_O94880_PHF14.pdf", "Melting_Curves/meltCurve_O94880_PHF14.pdf")</f>
        <v>Melting_Curves/meltCurve_O94880_PHF14.pdf</v>
      </c>
    </row>
    <row r="1314" spans="1:28" x14ac:dyDescent="0.25">
      <c r="A1314" t="s">
        <v>1318</v>
      </c>
      <c r="B1314">
        <v>0.99352677808782597</v>
      </c>
      <c r="C1314">
        <v>0.87616340166302198</v>
      </c>
      <c r="D1314">
        <v>0.89611854236031596</v>
      </c>
      <c r="E1314">
        <v>0.71102357363550095</v>
      </c>
      <c r="F1314">
        <v>0.69206078581983899</v>
      </c>
      <c r="G1314">
        <v>0.50279673011895298</v>
      </c>
      <c r="H1314">
        <v>0.48945615957439398</v>
      </c>
      <c r="I1314">
        <v>0.52055833361342396</v>
      </c>
      <c r="J1314">
        <v>0.51755003036381897</v>
      </c>
      <c r="K1314">
        <v>0.46997020477750701</v>
      </c>
      <c r="L1314">
        <v>614.02817592773499</v>
      </c>
      <c r="M1314">
        <v>12.304005922883499</v>
      </c>
      <c r="N1314">
        <v>63.541130057678799</v>
      </c>
      <c r="O1314">
        <v>48.641435067826102</v>
      </c>
      <c r="P1314">
        <v>-3.3881762255790301E-2</v>
      </c>
      <c r="Q1314">
        <v>0.46433816419936802</v>
      </c>
      <c r="R1314">
        <v>0.96022228032854995</v>
      </c>
      <c r="S1314" t="s">
        <v>7599</v>
      </c>
      <c r="T1314" t="s">
        <v>12568</v>
      </c>
      <c r="U1314" t="s">
        <v>12568</v>
      </c>
      <c r="V1314" t="s">
        <v>12568</v>
      </c>
      <c r="W1314" t="s">
        <v>13856</v>
      </c>
      <c r="X1314">
        <v>10</v>
      </c>
      <c r="Y1314" t="s">
        <v>20070</v>
      </c>
      <c r="Z1314" t="s">
        <v>26184</v>
      </c>
      <c r="AA1314">
        <v>0.65911284741635323</v>
      </c>
      <c r="AB1314" t="str">
        <f>HYPERLINK("Melting_Curves/meltCurve_O94885_SASH1.pdf", "Melting_Curves/meltCurve_O94885_SASH1.pdf")</f>
        <v>Melting_Curves/meltCurve_O94885_SASH1.pdf</v>
      </c>
    </row>
    <row r="1315" spans="1:28" x14ac:dyDescent="0.25">
      <c r="A1315" t="s">
        <v>1319</v>
      </c>
      <c r="B1315">
        <v>0.99352677808782597</v>
      </c>
      <c r="C1315">
        <v>0.92497376956658495</v>
      </c>
      <c r="D1315">
        <v>0.81293374622863501</v>
      </c>
      <c r="E1315">
        <v>0.50983923187607205</v>
      </c>
      <c r="F1315">
        <v>0.44515572904858403</v>
      </c>
      <c r="G1315">
        <v>0.27129263712030299</v>
      </c>
      <c r="H1315">
        <v>0.18208002324897701</v>
      </c>
      <c r="I1315">
        <v>0.17123249658415601</v>
      </c>
      <c r="J1315">
        <v>0.16064807850533</v>
      </c>
      <c r="K1315">
        <v>0.12752741521271099</v>
      </c>
      <c r="L1315">
        <v>683.11733239871296</v>
      </c>
      <c r="M1315">
        <v>13.654591826252901</v>
      </c>
      <c r="N1315">
        <v>51.1054192363897</v>
      </c>
      <c r="O1315">
        <v>48.991964033946601</v>
      </c>
      <c r="P1315">
        <v>-6.09747575625562E-2</v>
      </c>
      <c r="Q1315">
        <v>0.12503063330594499</v>
      </c>
      <c r="R1315">
        <v>0.99411292560520104</v>
      </c>
      <c r="S1315" t="s">
        <v>7600</v>
      </c>
      <c r="T1315" t="s">
        <v>12568</v>
      </c>
      <c r="U1315" t="s">
        <v>12568</v>
      </c>
      <c r="V1315" t="s">
        <v>12568</v>
      </c>
      <c r="W1315" t="s">
        <v>13857</v>
      </c>
      <c r="X1315">
        <v>6</v>
      </c>
      <c r="Y1315" t="s">
        <v>20071</v>
      </c>
      <c r="Z1315" t="s">
        <v>26185</v>
      </c>
      <c r="AA1315">
        <v>0.44203522479879781</v>
      </c>
      <c r="AB1315" t="str">
        <f>HYPERLINK("Melting_Curves/meltCurve_O94887_FARP2.pdf", "Melting_Curves/meltCurve_O94887_FARP2.pdf")</f>
        <v>Melting_Curves/meltCurve_O94887_FARP2.pdf</v>
      </c>
    </row>
    <row r="1316" spans="1:28" x14ac:dyDescent="0.25">
      <c r="A1316" t="s">
        <v>1320</v>
      </c>
      <c r="B1316">
        <v>0.99352677808782597</v>
      </c>
      <c r="C1316">
        <v>0.98970604221323699</v>
      </c>
      <c r="D1316">
        <v>0.99945131144821897</v>
      </c>
      <c r="E1316">
        <v>0.92948863430706496</v>
      </c>
      <c r="F1316">
        <v>0.82875394562583504</v>
      </c>
      <c r="G1316">
        <v>0.68526737964555395</v>
      </c>
      <c r="H1316">
        <v>0.49111433346183397</v>
      </c>
      <c r="I1316">
        <v>0.40615521269149402</v>
      </c>
      <c r="J1316">
        <v>0.34598844643015703</v>
      </c>
      <c r="K1316">
        <v>0.283863848973193</v>
      </c>
      <c r="L1316">
        <v>780.74056550920295</v>
      </c>
      <c r="M1316">
        <v>13.3473206345221</v>
      </c>
      <c r="N1316">
        <v>61.036971145067298</v>
      </c>
      <c r="O1316">
        <v>57.227915925775399</v>
      </c>
      <c r="P1316">
        <v>-4.5880072161986002E-2</v>
      </c>
      <c r="Q1316">
        <v>0.213264282028402</v>
      </c>
      <c r="R1316">
        <v>0.99862542269929699</v>
      </c>
      <c r="S1316" t="s">
        <v>7601</v>
      </c>
      <c r="T1316" t="s">
        <v>12568</v>
      </c>
      <c r="U1316" t="s">
        <v>12568</v>
      </c>
      <c r="V1316" t="s">
        <v>12568</v>
      </c>
      <c r="W1316" t="s">
        <v>13858</v>
      </c>
      <c r="X1316">
        <v>15</v>
      </c>
      <c r="Y1316" t="s">
        <v>20072</v>
      </c>
      <c r="Z1316" t="s">
        <v>26186</v>
      </c>
      <c r="AA1316">
        <v>0.70736056580618067</v>
      </c>
      <c r="AB1316" t="str">
        <f>HYPERLINK("Melting_Curves/meltCurve_O94888_UBXN7.pdf", "Melting_Curves/meltCurve_O94888_UBXN7.pdf")</f>
        <v>Melting_Curves/meltCurve_O94888_UBXN7.pdf</v>
      </c>
    </row>
    <row r="1317" spans="1:28" x14ac:dyDescent="0.25">
      <c r="A1317" t="s">
        <v>1321</v>
      </c>
      <c r="B1317">
        <v>0.99352677808782597</v>
      </c>
      <c r="C1317">
        <v>0.95586782126524605</v>
      </c>
      <c r="D1317">
        <v>0.89026994508981505</v>
      </c>
      <c r="E1317">
        <v>0.310298788662628</v>
      </c>
      <c r="F1317">
        <v>0.24421538739930301</v>
      </c>
      <c r="G1317">
        <v>0.15316882200645399</v>
      </c>
      <c r="H1317">
        <v>0.111279491765594</v>
      </c>
      <c r="I1317">
        <v>0.104183333187882</v>
      </c>
      <c r="J1317">
        <v>9.8980797602022094E-2</v>
      </c>
      <c r="K1317">
        <v>7.7133016112135105E-2</v>
      </c>
      <c r="L1317">
        <v>1548.6632349201</v>
      </c>
      <c r="M1317">
        <v>31.991841603467599</v>
      </c>
      <c r="N1317">
        <v>48.812100730809703</v>
      </c>
      <c r="O1317">
        <v>48.220110996755302</v>
      </c>
      <c r="P1317">
        <v>-0.146570639964583</v>
      </c>
      <c r="Q1317">
        <v>0.116322790674857</v>
      </c>
      <c r="R1317">
        <v>0.99108730660326905</v>
      </c>
      <c r="S1317" t="s">
        <v>7602</v>
      </c>
      <c r="T1317" t="s">
        <v>12568</v>
      </c>
      <c r="U1317" t="s">
        <v>12568</v>
      </c>
      <c r="V1317" t="s">
        <v>12568</v>
      </c>
      <c r="W1317" t="s">
        <v>13859</v>
      </c>
      <c r="X1317">
        <v>12</v>
      </c>
      <c r="Y1317" t="s">
        <v>20073</v>
      </c>
      <c r="Z1317" t="s">
        <v>26187</v>
      </c>
      <c r="AA1317">
        <v>0.36866678810339232</v>
      </c>
      <c r="AB1317" t="str">
        <f>HYPERLINK("Melting_Curves/meltCurve_O94903_PROSC.pdf", "Melting_Curves/meltCurve_O94903_PROSC.pdf")</f>
        <v>Melting_Curves/meltCurve_O94903_PROSC.pdf</v>
      </c>
    </row>
    <row r="1318" spans="1:28" x14ac:dyDescent="0.25">
      <c r="A1318" t="s">
        <v>1322</v>
      </c>
      <c r="B1318">
        <v>0.99352677808782597</v>
      </c>
      <c r="C1318">
        <v>0.907841134380026</v>
      </c>
      <c r="D1318">
        <v>1.0623016414281801</v>
      </c>
      <c r="E1318">
        <v>1.7008468092607001</v>
      </c>
      <c r="F1318">
        <v>1.53651417698043</v>
      </c>
      <c r="G1318">
        <v>1.4555547861817399</v>
      </c>
      <c r="H1318">
        <v>1.29075342147429</v>
      </c>
      <c r="I1318">
        <v>1.3964719941904999</v>
      </c>
      <c r="J1318">
        <v>1.3047150430035599</v>
      </c>
      <c r="K1318">
        <v>1.14281752756009</v>
      </c>
      <c r="L1318">
        <v>11578.282975566201</v>
      </c>
      <c r="M1318">
        <v>250</v>
      </c>
      <c r="O1318">
        <v>46.310170659405401</v>
      </c>
      <c r="P1318">
        <v>0.54517373049435303</v>
      </c>
      <c r="Q1318">
        <v>1.40395339379297</v>
      </c>
      <c r="R1318">
        <v>0.63843494062918704</v>
      </c>
      <c r="S1318" t="s">
        <v>7603</v>
      </c>
      <c r="T1318" t="s">
        <v>12568</v>
      </c>
      <c r="U1318" t="s">
        <v>12568</v>
      </c>
      <c r="V1318" t="s">
        <v>12568</v>
      </c>
      <c r="W1318" t="s">
        <v>13860</v>
      </c>
      <c r="X1318">
        <v>9</v>
      </c>
      <c r="Y1318" t="s">
        <v>20074</v>
      </c>
      <c r="Z1318" t="s">
        <v>26188</v>
      </c>
      <c r="AA1318">
        <v>1.318913525689402</v>
      </c>
      <c r="AB1318" t="str">
        <f>HYPERLINK("Melting_Curves/meltCurve_O94906_2_PRPF6.pdf", "Melting_Curves/meltCurve_O94906_2_PRPF6.pdf")</f>
        <v>Melting_Curves/meltCurve_O94906_2_PRPF6.pdf</v>
      </c>
    </row>
    <row r="1319" spans="1:28" x14ac:dyDescent="0.25">
      <c r="A1319" t="s">
        <v>1323</v>
      </c>
      <c r="B1319">
        <v>0.99352677808782597</v>
      </c>
      <c r="C1319">
        <v>0.93131983106796101</v>
      </c>
      <c r="D1319">
        <v>0.998707260809651</v>
      </c>
      <c r="E1319">
        <v>0.94138161183449598</v>
      </c>
      <c r="F1319">
        <v>0.956867834394177</v>
      </c>
      <c r="G1319">
        <v>0.91891079425974598</v>
      </c>
      <c r="H1319">
        <v>0.97542924910861795</v>
      </c>
      <c r="I1319">
        <v>0.94964743370052296</v>
      </c>
      <c r="J1319">
        <v>0.98508883514751899</v>
      </c>
      <c r="K1319">
        <v>0.923677062748822</v>
      </c>
      <c r="L1319">
        <v>10072.9268414733</v>
      </c>
      <c r="M1319">
        <v>250</v>
      </c>
      <c r="O1319">
        <v>40.289117520861097</v>
      </c>
      <c r="P1319">
        <v>-7.2215869837087596E-2</v>
      </c>
      <c r="Q1319">
        <v>0.95344776810612897</v>
      </c>
      <c r="R1319">
        <v>0.187291919447027</v>
      </c>
      <c r="S1319" t="s">
        <v>7604</v>
      </c>
      <c r="T1319" t="s">
        <v>12568</v>
      </c>
      <c r="U1319" t="s">
        <v>12568</v>
      </c>
      <c r="V1319" t="s">
        <v>12568</v>
      </c>
      <c r="W1319" t="s">
        <v>13861</v>
      </c>
      <c r="X1319">
        <v>5</v>
      </c>
      <c r="Y1319" t="s">
        <v>20075</v>
      </c>
      <c r="Z1319" t="s">
        <v>26189</v>
      </c>
      <c r="AA1319">
        <v>0.95394031751344432</v>
      </c>
      <c r="AB1319" t="str">
        <f>HYPERLINK("Melting_Curves/meltCurve_O94907_DKK1.pdf", "Melting_Curves/meltCurve_O94907_DKK1.pdf")</f>
        <v>Melting_Curves/meltCurve_O94907_DKK1.pdf</v>
      </c>
    </row>
    <row r="1320" spans="1:28" x14ac:dyDescent="0.25">
      <c r="A1320" t="s">
        <v>1324</v>
      </c>
      <c r="B1320">
        <v>0.99352677808782597</v>
      </c>
      <c r="C1320">
        <v>0.91938137204364301</v>
      </c>
      <c r="D1320">
        <v>0.87224727419225201</v>
      </c>
      <c r="E1320">
        <v>0.69051571543061396</v>
      </c>
      <c r="F1320">
        <v>0.601187642630716</v>
      </c>
      <c r="G1320">
        <v>0.42391229320950802</v>
      </c>
      <c r="H1320">
        <v>0.25801707553588199</v>
      </c>
      <c r="I1320">
        <v>0.24981499977646701</v>
      </c>
      <c r="J1320">
        <v>0.242954980483889</v>
      </c>
      <c r="K1320">
        <v>0.225996411838847</v>
      </c>
      <c r="L1320">
        <v>609.75030959261903</v>
      </c>
      <c r="M1320">
        <v>11.566981698023801</v>
      </c>
      <c r="N1320">
        <v>54.576806694318201</v>
      </c>
      <c r="O1320">
        <v>51.213044816959503</v>
      </c>
      <c r="P1320">
        <v>-4.7272054881530801E-2</v>
      </c>
      <c r="Q1320">
        <v>0.16304101916661601</v>
      </c>
      <c r="R1320">
        <v>0.99359690837478398</v>
      </c>
      <c r="S1320" t="s">
        <v>7605</v>
      </c>
      <c r="T1320" t="s">
        <v>12568</v>
      </c>
      <c r="U1320" t="s">
        <v>12568</v>
      </c>
      <c r="V1320" t="s">
        <v>12568</v>
      </c>
      <c r="W1320" t="s">
        <v>13862</v>
      </c>
      <c r="X1320">
        <v>12</v>
      </c>
      <c r="Y1320" t="s">
        <v>20076</v>
      </c>
      <c r="Z1320" t="s">
        <v>26190</v>
      </c>
      <c r="AA1320">
        <v>0.54316464035791845</v>
      </c>
      <c r="AB1320" t="str">
        <f>HYPERLINK("Melting_Curves/meltCurve_O94913_PCF11.pdf", "Melting_Curves/meltCurve_O94913_PCF11.pdf")</f>
        <v>Melting_Curves/meltCurve_O94913_PCF11.pdf</v>
      </c>
    </row>
    <row r="1321" spans="1:28" x14ac:dyDescent="0.25">
      <c r="A1321" t="s">
        <v>1325</v>
      </c>
      <c r="B1321">
        <v>0.99352677808782597</v>
      </c>
      <c r="C1321">
        <v>0.90137095212053997</v>
      </c>
      <c r="D1321">
        <v>0.88539157699572402</v>
      </c>
      <c r="E1321">
        <v>0.64590829963066398</v>
      </c>
      <c r="F1321">
        <v>0.60716666443791301</v>
      </c>
      <c r="G1321">
        <v>0.43939855002492101</v>
      </c>
      <c r="H1321">
        <v>0.43932948925312298</v>
      </c>
      <c r="I1321">
        <v>0.40536263457627397</v>
      </c>
      <c r="J1321">
        <v>0.403467596610251</v>
      </c>
      <c r="K1321">
        <v>0.31526965114107802</v>
      </c>
      <c r="L1321">
        <v>618.41439614076796</v>
      </c>
      <c r="M1321">
        <v>12.269755318181099</v>
      </c>
      <c r="N1321">
        <v>55.686539429691202</v>
      </c>
      <c r="O1321">
        <v>49.118801032339697</v>
      </c>
      <c r="P1321">
        <v>-4.0978496920752401E-2</v>
      </c>
      <c r="Q1321">
        <v>0.34395771621707799</v>
      </c>
      <c r="R1321">
        <v>0.97975139259061195</v>
      </c>
      <c r="S1321" t="s">
        <v>7606</v>
      </c>
      <c r="T1321" t="s">
        <v>12568</v>
      </c>
      <c r="U1321" t="s">
        <v>12568</v>
      </c>
      <c r="V1321" t="s">
        <v>12568</v>
      </c>
      <c r="W1321" t="s">
        <v>13863</v>
      </c>
      <c r="X1321">
        <v>5</v>
      </c>
      <c r="Y1321" t="s">
        <v>20077</v>
      </c>
      <c r="Z1321" t="s">
        <v>26191</v>
      </c>
      <c r="AA1321">
        <v>0.59285913312558369</v>
      </c>
      <c r="AB1321" t="str">
        <f>HYPERLINK("Melting_Curves/meltCurve_O94916_NFAT5.pdf", "Melting_Curves/meltCurve_O94916_NFAT5.pdf")</f>
        <v>Melting_Curves/meltCurve_O94916_NFAT5.pdf</v>
      </c>
    </row>
    <row r="1322" spans="1:28" x14ac:dyDescent="0.25">
      <c r="A1322" t="s">
        <v>1326</v>
      </c>
      <c r="B1322">
        <v>0.99352677808782597</v>
      </c>
      <c r="C1322">
        <v>0.64124436605582402</v>
      </c>
      <c r="D1322">
        <v>0.45611441922504298</v>
      </c>
      <c r="E1322">
        <v>0.27955838745245698</v>
      </c>
      <c r="F1322">
        <v>0.236560293224824</v>
      </c>
      <c r="G1322">
        <v>0.144622768526178</v>
      </c>
      <c r="H1322">
        <v>9.7659393832566596E-2</v>
      </c>
      <c r="I1322">
        <v>7.2362799755028795E-2</v>
      </c>
      <c r="J1322">
        <v>7.0797220356441995E-2</v>
      </c>
      <c r="K1322">
        <v>5.4908165075609298E-2</v>
      </c>
      <c r="L1322">
        <v>646.31753610361898</v>
      </c>
      <c r="M1322">
        <v>14.284562801011001</v>
      </c>
      <c r="N1322">
        <v>45.779807765805003</v>
      </c>
      <c r="O1322">
        <v>44.386853218714101</v>
      </c>
      <c r="P1322">
        <v>-7.4290574328573694E-2</v>
      </c>
      <c r="Q1322">
        <v>7.6731781637503604E-2</v>
      </c>
      <c r="R1322">
        <v>0.97138801770310901</v>
      </c>
      <c r="S1322" t="s">
        <v>7607</v>
      </c>
      <c r="T1322" t="s">
        <v>12568</v>
      </c>
      <c r="U1322" t="s">
        <v>12568</v>
      </c>
      <c r="V1322" t="s">
        <v>12568</v>
      </c>
      <c r="W1322" t="s">
        <v>13864</v>
      </c>
      <c r="X1322">
        <v>15</v>
      </c>
      <c r="Y1322" t="s">
        <v>20078</v>
      </c>
      <c r="Z1322" t="s">
        <v>26192</v>
      </c>
      <c r="AA1322">
        <v>0.27017451186181929</v>
      </c>
      <c r="AB1322" t="str">
        <f>HYPERLINK("Melting_Curves/meltCurve_O94925_GLS.pdf", "Melting_Curves/meltCurve_O94925_GLS.pdf")</f>
        <v>Melting_Curves/meltCurve_O94925_GLS.pdf</v>
      </c>
    </row>
    <row r="1323" spans="1:28" x14ac:dyDescent="0.25">
      <c r="A1323" t="s">
        <v>1327</v>
      </c>
      <c r="B1323">
        <v>0.99352677808782597</v>
      </c>
      <c r="C1323">
        <v>0.69134048485403199</v>
      </c>
      <c r="D1323">
        <v>0.31242028804525102</v>
      </c>
      <c r="E1323">
        <v>0.17519755975422699</v>
      </c>
      <c r="F1323">
        <v>0.13403724178141899</v>
      </c>
      <c r="G1323">
        <v>8.3841306826580295E-2</v>
      </c>
      <c r="H1323">
        <v>6.0096676987468199E-2</v>
      </c>
      <c r="I1323">
        <v>6.4469814807989204E-2</v>
      </c>
      <c r="J1323">
        <v>5.0728021904068402E-2</v>
      </c>
      <c r="K1323">
        <v>4.2692149702030897E-2</v>
      </c>
      <c r="L1323">
        <v>1101.9598797093299</v>
      </c>
      <c r="M1323">
        <v>24.921505899731301</v>
      </c>
      <c r="N1323">
        <v>44.507505172182398</v>
      </c>
      <c r="O1323">
        <v>43.935470593715998</v>
      </c>
      <c r="P1323">
        <v>-0.1311718841118</v>
      </c>
      <c r="Q1323">
        <v>7.5012558859181802E-2</v>
      </c>
      <c r="R1323">
        <v>0.98917026762443905</v>
      </c>
      <c r="S1323" t="s">
        <v>7608</v>
      </c>
      <c r="T1323" t="s">
        <v>12568</v>
      </c>
      <c r="U1323" t="s">
        <v>12568</v>
      </c>
      <c r="V1323" t="s">
        <v>12568</v>
      </c>
      <c r="W1323" t="s">
        <v>13865</v>
      </c>
      <c r="X1323">
        <v>17</v>
      </c>
      <c r="Y1323" t="s">
        <v>20078</v>
      </c>
      <c r="Z1323" t="s">
        <v>26193</v>
      </c>
      <c r="AA1323">
        <v>0.2153316522969356</v>
      </c>
      <c r="AB1323" t="str">
        <f>HYPERLINK("Melting_Curves/meltCurve_O94925_3_GLS.pdf", "Melting_Curves/meltCurve_O94925_3_GLS.pdf")</f>
        <v>Melting_Curves/meltCurve_O94925_3_GLS.pdf</v>
      </c>
    </row>
    <row r="1324" spans="1:28" x14ac:dyDescent="0.25">
      <c r="A1324" t="s">
        <v>1328</v>
      </c>
      <c r="B1324">
        <v>0.99352677808782597</v>
      </c>
      <c r="C1324">
        <v>0.99667746161345905</v>
      </c>
      <c r="D1324">
        <v>0.62784922712560698</v>
      </c>
      <c r="E1324">
        <v>0.248348894012896</v>
      </c>
      <c r="F1324">
        <v>0.16237768003404901</v>
      </c>
      <c r="G1324">
        <v>9.3062538687604099E-2</v>
      </c>
      <c r="H1324">
        <v>5.95381290817866E-2</v>
      </c>
      <c r="I1324">
        <v>5.5226665614375697E-2</v>
      </c>
      <c r="J1324">
        <v>3.4920387815134499E-2</v>
      </c>
      <c r="K1324">
        <v>2.8196701585250599E-2</v>
      </c>
      <c r="L1324">
        <v>1141.5778505860001</v>
      </c>
      <c r="M1324">
        <v>24.2100006722142</v>
      </c>
      <c r="N1324">
        <v>47.390117760450998</v>
      </c>
      <c r="O1324">
        <v>46.834979080343103</v>
      </c>
      <c r="P1324">
        <v>-0.12186499568199601</v>
      </c>
      <c r="Q1324">
        <v>5.7008517919860599E-2</v>
      </c>
      <c r="R1324">
        <v>0.99204714283654305</v>
      </c>
      <c r="S1324" t="s">
        <v>7609</v>
      </c>
      <c r="T1324" t="s">
        <v>12568</v>
      </c>
      <c r="U1324" t="s">
        <v>12568</v>
      </c>
      <c r="V1324" t="s">
        <v>12568</v>
      </c>
      <c r="W1324" t="s">
        <v>13866</v>
      </c>
      <c r="X1324">
        <v>6</v>
      </c>
      <c r="Y1324" t="s">
        <v>20079</v>
      </c>
      <c r="Z1324" t="s">
        <v>26194</v>
      </c>
      <c r="AA1324">
        <v>0.29086323828132182</v>
      </c>
      <c r="AB1324" t="str">
        <f>HYPERLINK("Melting_Curves/meltCurve_O94927_HAUS5.pdf", "Melting_Curves/meltCurve_O94927_HAUS5.pdf")</f>
        <v>Melting_Curves/meltCurve_O94927_HAUS5.pdf</v>
      </c>
    </row>
    <row r="1325" spans="1:28" x14ac:dyDescent="0.25">
      <c r="A1325" t="s">
        <v>1329</v>
      </c>
      <c r="B1325">
        <v>0.99352677808782597</v>
      </c>
      <c r="C1325">
        <v>1.0344062444405699</v>
      </c>
      <c r="D1325">
        <v>0.828383525157531</v>
      </c>
      <c r="E1325">
        <v>0.56112844604914902</v>
      </c>
      <c r="F1325">
        <v>0.33482746738468899</v>
      </c>
      <c r="G1325">
        <v>0.19871196238494199</v>
      </c>
      <c r="H1325">
        <v>0.16077178071081399</v>
      </c>
      <c r="I1325">
        <v>0.15881779790023901</v>
      </c>
      <c r="J1325">
        <v>0.12436506429916901</v>
      </c>
      <c r="K1325">
        <v>9.4368411866129306E-2</v>
      </c>
      <c r="L1325">
        <v>967.08522616048401</v>
      </c>
      <c r="M1325">
        <v>19.368222941561701</v>
      </c>
      <c r="N1325">
        <v>50.668981729231902</v>
      </c>
      <c r="O1325">
        <v>49.408404281480401</v>
      </c>
      <c r="P1325">
        <v>-8.5967460205886401E-2</v>
      </c>
      <c r="Q1325">
        <v>0.12281945841440201</v>
      </c>
      <c r="R1325">
        <v>0.994003575555232</v>
      </c>
      <c r="S1325" t="s">
        <v>7610</v>
      </c>
      <c r="T1325" t="s">
        <v>12568</v>
      </c>
      <c r="U1325" t="s">
        <v>12568</v>
      </c>
      <c r="V1325" t="s">
        <v>12568</v>
      </c>
      <c r="W1325" t="s">
        <v>13867</v>
      </c>
      <c r="X1325">
        <v>5</v>
      </c>
      <c r="Y1325" t="s">
        <v>20080</v>
      </c>
      <c r="Z1325" t="s">
        <v>26195</v>
      </c>
      <c r="AA1325">
        <v>0.42621484848985658</v>
      </c>
      <c r="AB1325" t="str">
        <f>HYPERLINK("Melting_Curves/meltCurve_O94952_1_FBXO21.pdf", "Melting_Curves/meltCurve_O94952_1_FBXO21.pdf")</f>
        <v>Melting_Curves/meltCurve_O94952_1_FBXO21.pdf</v>
      </c>
    </row>
    <row r="1326" spans="1:28" x14ac:dyDescent="0.25">
      <c r="A1326" t="s">
        <v>1330</v>
      </c>
      <c r="B1326">
        <v>0.99352677808782597</v>
      </c>
      <c r="C1326">
        <v>1.05399312604494</v>
      </c>
      <c r="D1326">
        <v>1.05508019905924</v>
      </c>
      <c r="E1326">
        <v>1.0103208518522799</v>
      </c>
      <c r="F1326">
        <v>0.93597272136026799</v>
      </c>
      <c r="G1326">
        <v>0.89446670987880506</v>
      </c>
      <c r="H1326">
        <v>0.76637348386385895</v>
      </c>
      <c r="I1326">
        <v>0.84265558267857699</v>
      </c>
      <c r="J1326">
        <v>0.78824598002299695</v>
      </c>
      <c r="K1326">
        <v>0.79176990294840999</v>
      </c>
      <c r="L1326">
        <v>1494.85040031227</v>
      </c>
      <c r="M1326">
        <v>26.754713924120399</v>
      </c>
      <c r="O1326">
        <v>55.563077797277302</v>
      </c>
      <c r="P1326">
        <v>-2.4854253622902299E-2</v>
      </c>
      <c r="Q1326">
        <v>0.79353701940801902</v>
      </c>
      <c r="R1326">
        <v>0.89699937327124302</v>
      </c>
      <c r="S1326" t="s">
        <v>7611</v>
      </c>
      <c r="T1326" t="s">
        <v>12568</v>
      </c>
      <c r="U1326" t="s">
        <v>12568</v>
      </c>
      <c r="V1326" t="s">
        <v>12568</v>
      </c>
      <c r="W1326" t="s">
        <v>13868</v>
      </c>
      <c r="X1326">
        <v>7</v>
      </c>
      <c r="Y1326" t="s">
        <v>20081</v>
      </c>
      <c r="Z1326" t="s">
        <v>26196</v>
      </c>
      <c r="AA1326">
        <v>0.90446278797230872</v>
      </c>
      <c r="AB1326" t="str">
        <f>HYPERLINK("Melting_Curves/meltCurve_O94964_2_SOGA1.pdf", "Melting_Curves/meltCurve_O94964_2_SOGA1.pdf")</f>
        <v>Melting_Curves/meltCurve_O94964_2_SOGA1.pdf</v>
      </c>
    </row>
    <row r="1327" spans="1:28" x14ac:dyDescent="0.25">
      <c r="A1327" t="s">
        <v>1331</v>
      </c>
      <c r="B1327">
        <v>0.99352677808782597</v>
      </c>
      <c r="C1327">
        <v>1.01729672671993</v>
      </c>
      <c r="D1327">
        <v>0.94036630256417797</v>
      </c>
      <c r="E1327">
        <v>0.52476435478276295</v>
      </c>
      <c r="F1327">
        <v>0.42865563747111102</v>
      </c>
      <c r="G1327">
        <v>0.24196316906344001</v>
      </c>
      <c r="H1327">
        <v>0.14317617707188501</v>
      </c>
      <c r="I1327">
        <v>0.124921284038967</v>
      </c>
      <c r="J1327">
        <v>0.103899415004489</v>
      </c>
      <c r="K1327">
        <v>8.3239623011471697E-2</v>
      </c>
      <c r="L1327">
        <v>919.26333529193596</v>
      </c>
      <c r="M1327">
        <v>18.116113213374799</v>
      </c>
      <c r="N1327">
        <v>51.388366695359998</v>
      </c>
      <c r="O1327">
        <v>50.136682153422498</v>
      </c>
      <c r="P1327">
        <v>-8.1144817090068697E-2</v>
      </c>
      <c r="Q1327">
        <v>0.10176401421129801</v>
      </c>
      <c r="R1327">
        <v>0.98746791157207703</v>
      </c>
      <c r="S1327" t="s">
        <v>7612</v>
      </c>
      <c r="T1327" t="s">
        <v>12568</v>
      </c>
      <c r="U1327" t="s">
        <v>12568</v>
      </c>
      <c r="V1327" t="s">
        <v>12568</v>
      </c>
      <c r="W1327" t="s">
        <v>13869</v>
      </c>
      <c r="X1327">
        <v>13</v>
      </c>
      <c r="Y1327" t="s">
        <v>20082</v>
      </c>
      <c r="Z1327" t="s">
        <v>26197</v>
      </c>
      <c r="AA1327">
        <v>0.43842050049437697</v>
      </c>
      <c r="AB1327" t="str">
        <f>HYPERLINK("Melting_Curves/meltCurve_O94966_7_USP19.pdf", "Melting_Curves/meltCurve_O94966_7_USP19.pdf")</f>
        <v>Melting_Curves/meltCurve_O94966_7_USP19.pdf</v>
      </c>
    </row>
    <row r="1328" spans="1:28" x14ac:dyDescent="0.25">
      <c r="A1328" t="s">
        <v>1332</v>
      </c>
      <c r="B1328">
        <v>0.99352677808782597</v>
      </c>
      <c r="C1328">
        <v>1.13121464795591</v>
      </c>
      <c r="D1328">
        <v>1.0099150821301699</v>
      </c>
      <c r="E1328">
        <v>0.91812810412981105</v>
      </c>
      <c r="F1328">
        <v>0.76479228998480098</v>
      </c>
      <c r="G1328">
        <v>0.52651053611262899</v>
      </c>
      <c r="H1328">
        <v>0.20746306719532501</v>
      </c>
      <c r="I1328">
        <v>0.17744519403277201</v>
      </c>
      <c r="J1328">
        <v>0.13631922094611801</v>
      </c>
      <c r="K1328">
        <v>0.10554389426510501</v>
      </c>
      <c r="L1328">
        <v>1099.6309548014899</v>
      </c>
      <c r="M1328">
        <v>19.541665401208402</v>
      </c>
      <c r="N1328">
        <v>56.8284628079467</v>
      </c>
      <c r="O1328">
        <v>55.691767834614303</v>
      </c>
      <c r="P1328">
        <v>-8.0075262308461598E-2</v>
      </c>
      <c r="Q1328">
        <v>8.7206998515368395E-2</v>
      </c>
      <c r="R1328">
        <v>0.98514194553741197</v>
      </c>
      <c r="S1328" t="s">
        <v>7613</v>
      </c>
      <c r="T1328" t="s">
        <v>12568</v>
      </c>
      <c r="U1328" t="s">
        <v>12568</v>
      </c>
      <c r="V1328" t="s">
        <v>12568</v>
      </c>
      <c r="W1328" t="s">
        <v>13870</v>
      </c>
      <c r="X1328">
        <v>1</v>
      </c>
      <c r="Y1328" t="s">
        <v>20083</v>
      </c>
      <c r="Z1328" t="s">
        <v>26198</v>
      </c>
      <c r="AA1328">
        <v>0.59425369245865123</v>
      </c>
      <c r="AB1328" t="str">
        <f>HYPERLINK("Melting_Curves/meltCurve_O94967_2_WDR47.pdf", "Melting_Curves/meltCurve_O94967_2_WDR47.pdf")</f>
        <v>Melting_Curves/meltCurve_O94967_2_WDR47.pdf</v>
      </c>
    </row>
    <row r="1329" spans="1:28" x14ac:dyDescent="0.25">
      <c r="A1329" t="s">
        <v>1333</v>
      </c>
      <c r="B1329">
        <v>0.99352677808782597</v>
      </c>
      <c r="C1329">
        <v>0.94598358779334102</v>
      </c>
      <c r="D1329">
        <v>1.0031603134818701</v>
      </c>
      <c r="E1329">
        <v>1.1360445559591199</v>
      </c>
      <c r="F1329">
        <v>1.0107214914187299</v>
      </c>
      <c r="G1329">
        <v>1.0446561571411701</v>
      </c>
      <c r="H1329">
        <v>0.94402719976307603</v>
      </c>
      <c r="I1329">
        <v>1.0498800642145401</v>
      </c>
      <c r="J1329">
        <v>1.0008081132678099</v>
      </c>
      <c r="K1329">
        <v>0.95831904292501402</v>
      </c>
      <c r="L1329">
        <v>15000</v>
      </c>
      <c r="M1329">
        <v>211.15057638520801</v>
      </c>
      <c r="Q1329">
        <v>0</v>
      </c>
      <c r="R1329">
        <v>3.2404337044466699E-2</v>
      </c>
      <c r="S1329" t="s">
        <v>7614</v>
      </c>
      <c r="T1329" t="s">
        <v>12568</v>
      </c>
      <c r="U1329" t="s">
        <v>12568</v>
      </c>
      <c r="V1329" t="s">
        <v>12568</v>
      </c>
      <c r="W1329" t="s">
        <v>13871</v>
      </c>
      <c r="X1329">
        <v>1</v>
      </c>
      <c r="Y1329" t="s">
        <v>20084</v>
      </c>
      <c r="Z1329" t="s">
        <v>26199</v>
      </c>
      <c r="AA1329">
        <v>0.99954072407057759</v>
      </c>
      <c r="AB1329" t="str">
        <f>HYPERLINK("Melting_Curves/meltCurve_O94972_2_TRIM37.pdf", "Melting_Curves/meltCurve_O94972_2_TRIM37.pdf")</f>
        <v>Melting_Curves/meltCurve_O94972_2_TRIM37.pdf</v>
      </c>
    </row>
    <row r="1330" spans="1:28" x14ac:dyDescent="0.25">
      <c r="A1330" t="s">
        <v>1334</v>
      </c>
      <c r="B1330">
        <v>0.99352677808782597</v>
      </c>
      <c r="C1330">
        <v>1.01558690600478</v>
      </c>
      <c r="D1330">
        <v>0.89228329843399501</v>
      </c>
      <c r="E1330">
        <v>0.59266938580477602</v>
      </c>
      <c r="F1330">
        <v>0.46760694846182699</v>
      </c>
      <c r="G1330">
        <v>0.21396892317792299</v>
      </c>
      <c r="H1330">
        <v>0.137925592511254</v>
      </c>
      <c r="I1330">
        <v>0.12984212384420801</v>
      </c>
      <c r="J1330">
        <v>9.8590454657014104E-2</v>
      </c>
      <c r="K1330">
        <v>7.7451958371085594E-2</v>
      </c>
      <c r="L1330">
        <v>850.65804367250803</v>
      </c>
      <c r="M1330">
        <v>16.567352639882099</v>
      </c>
      <c r="N1330">
        <v>51.887415766428497</v>
      </c>
      <c r="O1330">
        <v>50.614837715518597</v>
      </c>
      <c r="P1330">
        <v>-7.5334099724373105E-2</v>
      </c>
      <c r="Q1330">
        <v>7.9451255067054902E-2</v>
      </c>
      <c r="R1330">
        <v>0.99443701866355105</v>
      </c>
      <c r="S1330" t="s">
        <v>7615</v>
      </c>
      <c r="T1330" t="s">
        <v>12568</v>
      </c>
      <c r="U1330" t="s">
        <v>12568</v>
      </c>
      <c r="V1330" t="s">
        <v>12568</v>
      </c>
      <c r="W1330" t="s">
        <v>13872</v>
      </c>
      <c r="X1330">
        <v>27</v>
      </c>
      <c r="Y1330" t="s">
        <v>20085</v>
      </c>
      <c r="Z1330" t="s">
        <v>26200</v>
      </c>
      <c r="AA1330">
        <v>0.44542675943194893</v>
      </c>
      <c r="AB1330" t="str">
        <f>HYPERLINK("Melting_Curves/meltCurve_O94973_AP2A2.pdf", "Melting_Curves/meltCurve_O94973_AP2A2.pdf")</f>
        <v>Melting_Curves/meltCurve_O94973_AP2A2.pdf</v>
      </c>
    </row>
    <row r="1331" spans="1:28" x14ac:dyDescent="0.25">
      <c r="A1331" t="s">
        <v>1335</v>
      </c>
      <c r="B1331">
        <v>0.99352677808782597</v>
      </c>
      <c r="C1331">
        <v>0.99526916190007597</v>
      </c>
      <c r="D1331">
        <v>0.96231236849965796</v>
      </c>
      <c r="E1331">
        <v>0.91926580913797595</v>
      </c>
      <c r="F1331">
        <v>0.86158424703842595</v>
      </c>
      <c r="G1331">
        <v>0.74425939297316801</v>
      </c>
      <c r="H1331">
        <v>0.82378892797541103</v>
      </c>
      <c r="I1331">
        <v>0.89583026662088705</v>
      </c>
      <c r="J1331">
        <v>1.0723478678892</v>
      </c>
      <c r="K1331">
        <v>0.83576807718744195</v>
      </c>
      <c r="L1331">
        <v>1495.6994515019201</v>
      </c>
      <c r="M1331">
        <v>31.2915294549578</v>
      </c>
      <c r="O1331">
        <v>47.604914862087199</v>
      </c>
      <c r="P1331">
        <v>-2.0745226855901799E-2</v>
      </c>
      <c r="Q1331">
        <v>0.87375889452440303</v>
      </c>
      <c r="R1331">
        <v>0.285850587736935</v>
      </c>
      <c r="S1331" t="s">
        <v>7616</v>
      </c>
      <c r="T1331" t="s">
        <v>12568</v>
      </c>
      <c r="U1331" t="s">
        <v>12568</v>
      </c>
      <c r="V1331" t="s">
        <v>12568</v>
      </c>
      <c r="W1331" t="s">
        <v>13873</v>
      </c>
      <c r="X1331">
        <v>17</v>
      </c>
      <c r="Y1331" t="s">
        <v>20086</v>
      </c>
      <c r="Z1331" t="s">
        <v>26201</v>
      </c>
      <c r="AA1331">
        <v>0.90727127901948101</v>
      </c>
      <c r="AB1331" t="str">
        <f>HYPERLINK("Melting_Curves/meltCurve_O94992_HEXIM1.pdf", "Melting_Curves/meltCurve_O94992_HEXIM1.pdf")</f>
        <v>Melting_Curves/meltCurve_O94992_HEXIM1.pdf</v>
      </c>
    </row>
    <row r="1332" spans="1:28" x14ac:dyDescent="0.25">
      <c r="A1332" t="s">
        <v>1336</v>
      </c>
      <c r="B1332">
        <v>0.99352677808782597</v>
      </c>
      <c r="C1332">
        <v>0.94761741683817202</v>
      </c>
      <c r="D1332">
        <v>1.0118954594990901</v>
      </c>
      <c r="E1332">
        <v>1.0925562596307801</v>
      </c>
      <c r="F1332">
        <v>1.0719140280908901</v>
      </c>
      <c r="G1332">
        <v>0.73504698418940095</v>
      </c>
      <c r="H1332">
        <v>0.58589564591169596</v>
      </c>
      <c r="I1332">
        <v>0.362836643048633</v>
      </c>
      <c r="J1332">
        <v>0.32700472943820202</v>
      </c>
      <c r="K1332">
        <v>0.16286230116901801</v>
      </c>
      <c r="L1332">
        <v>1217.7425566366301</v>
      </c>
      <c r="M1332">
        <v>20.0411751566395</v>
      </c>
      <c r="N1332">
        <v>61.890315761572097</v>
      </c>
      <c r="O1332">
        <v>60.166763210606</v>
      </c>
      <c r="P1332">
        <v>-7.0532697551956194E-2</v>
      </c>
      <c r="Q1332">
        <v>0.153026294489014</v>
      </c>
      <c r="R1332">
        <v>0.96209775405259801</v>
      </c>
      <c r="S1332" t="s">
        <v>7617</v>
      </c>
      <c r="T1332" t="s">
        <v>12568</v>
      </c>
      <c r="U1332" t="s">
        <v>12568</v>
      </c>
      <c r="V1332" t="s">
        <v>12568</v>
      </c>
      <c r="W1332" t="s">
        <v>13874</v>
      </c>
      <c r="X1332">
        <v>3</v>
      </c>
      <c r="Y1332" t="s">
        <v>20087</v>
      </c>
      <c r="Z1332" t="s">
        <v>26202</v>
      </c>
      <c r="AA1332">
        <v>0.74485193924175153</v>
      </c>
      <c r="AB1332" t="str">
        <f>HYPERLINK("Melting_Curves/meltCurve_O95059_RPP14.pdf", "Melting_Curves/meltCurve_O95059_RPP14.pdf")</f>
        <v>Melting_Curves/meltCurve_O95059_RPP14.pdf</v>
      </c>
    </row>
    <row r="1333" spans="1:28" x14ac:dyDescent="0.25">
      <c r="A1333" t="s">
        <v>1337</v>
      </c>
      <c r="B1333">
        <v>0.99352677808782597</v>
      </c>
      <c r="C1333">
        <v>0.85499701518788596</v>
      </c>
      <c r="D1333">
        <v>0.86645758891729796</v>
      </c>
      <c r="E1333">
        <v>0.66628900901919996</v>
      </c>
      <c r="F1333">
        <v>0.56689078139318205</v>
      </c>
      <c r="G1333">
        <v>0.55037921824995095</v>
      </c>
      <c r="H1333">
        <v>0.46515832269413898</v>
      </c>
      <c r="I1333">
        <v>0.53047437230933003</v>
      </c>
      <c r="J1333">
        <v>0.44877108373514801</v>
      </c>
      <c r="K1333">
        <v>0.41266254421056597</v>
      </c>
      <c r="L1333">
        <v>579.12473329571901</v>
      </c>
      <c r="M1333">
        <v>11.8471355846499</v>
      </c>
      <c r="N1333">
        <v>59.065769896543799</v>
      </c>
      <c r="O1333">
        <v>47.552721174141404</v>
      </c>
      <c r="P1333">
        <v>-3.5190714216768802E-2</v>
      </c>
      <c r="Q1333">
        <v>0.43514096621528903</v>
      </c>
      <c r="R1333">
        <v>0.96216285863149298</v>
      </c>
      <c r="S1333" t="s">
        <v>7618</v>
      </c>
      <c r="T1333" t="s">
        <v>12568</v>
      </c>
      <c r="U1333" t="s">
        <v>12568</v>
      </c>
      <c r="V1333" t="s">
        <v>12568</v>
      </c>
      <c r="W1333" t="s">
        <v>13875</v>
      </c>
      <c r="X1333">
        <v>4</v>
      </c>
      <c r="Y1333" t="s">
        <v>20088</v>
      </c>
      <c r="Z1333" t="s">
        <v>26203</v>
      </c>
      <c r="AA1333">
        <v>0.62375252229196476</v>
      </c>
      <c r="AB1333" t="str">
        <f>HYPERLINK("Melting_Curves/meltCurve_O95067_CCNB2.pdf", "Melting_Curves/meltCurve_O95067_CCNB2.pdf")</f>
        <v>Melting_Curves/meltCurve_O95067_CCNB2.pdf</v>
      </c>
    </row>
    <row r="1334" spans="1:28" x14ac:dyDescent="0.25">
      <c r="A1334" t="s">
        <v>1338</v>
      </c>
      <c r="B1334">
        <v>0.99352677808782597</v>
      </c>
      <c r="C1334">
        <v>0.93111793460801895</v>
      </c>
      <c r="D1334">
        <v>1.01742311808113</v>
      </c>
      <c r="E1334">
        <v>0.38562600371967498</v>
      </c>
      <c r="F1334">
        <v>0.340410657641532</v>
      </c>
      <c r="G1334">
        <v>0.115177420732234</v>
      </c>
      <c r="H1334">
        <v>7.7425318631969497E-2</v>
      </c>
      <c r="I1334">
        <v>6.5257213972869002E-2</v>
      </c>
      <c r="J1334">
        <v>5.7814618481974098E-2</v>
      </c>
      <c r="K1334">
        <v>6.0898107967807799E-2</v>
      </c>
      <c r="L1334">
        <v>1309.85623368545</v>
      </c>
      <c r="M1334">
        <v>26.394916206209501</v>
      </c>
      <c r="N1334">
        <v>49.945430697595</v>
      </c>
      <c r="O1334">
        <v>49.343104851470102</v>
      </c>
      <c r="P1334">
        <v>-0.123326461303292</v>
      </c>
      <c r="Q1334">
        <v>7.7815766075086099E-2</v>
      </c>
      <c r="R1334">
        <v>0.97163338305583002</v>
      </c>
      <c r="S1334" t="s">
        <v>7619</v>
      </c>
      <c r="T1334" t="s">
        <v>12568</v>
      </c>
      <c r="U1334" t="s">
        <v>12568</v>
      </c>
      <c r="V1334" t="s">
        <v>12568</v>
      </c>
      <c r="W1334" t="s">
        <v>13876</v>
      </c>
      <c r="X1334">
        <v>6</v>
      </c>
      <c r="Y1334" t="s">
        <v>20089</v>
      </c>
      <c r="Z1334" t="s">
        <v>26204</v>
      </c>
      <c r="AA1334">
        <v>0.38104835096176648</v>
      </c>
      <c r="AB1334" t="str">
        <f>HYPERLINK("Melting_Curves/meltCurve_O95081_AGFG2.pdf", "Melting_Curves/meltCurve_O95081_AGFG2.pdf")</f>
        <v>Melting_Curves/meltCurve_O95081_AGFG2.pdf</v>
      </c>
    </row>
    <row r="1335" spans="1:28" x14ac:dyDescent="0.25">
      <c r="A1335" t="s">
        <v>1339</v>
      </c>
      <c r="B1335">
        <v>0.99352677808782597</v>
      </c>
      <c r="C1335">
        <v>0.94338168897612795</v>
      </c>
      <c r="D1335">
        <v>0.93301482293028004</v>
      </c>
      <c r="E1335">
        <v>0.554529185289791</v>
      </c>
      <c r="F1335">
        <v>0.47929926360276298</v>
      </c>
      <c r="G1335">
        <v>0.34328753114930299</v>
      </c>
      <c r="H1335">
        <v>0.31239419550634501</v>
      </c>
      <c r="I1335">
        <v>0.26993422557664298</v>
      </c>
      <c r="J1335">
        <v>0.25260899908775503</v>
      </c>
      <c r="K1335">
        <v>0.22502078040471199</v>
      </c>
      <c r="L1335">
        <v>912.324377394615</v>
      </c>
      <c r="M1335">
        <v>18.284141552542799</v>
      </c>
      <c r="N1335">
        <v>51.9417723807587</v>
      </c>
      <c r="O1335">
        <v>49.311647028650498</v>
      </c>
      <c r="P1335">
        <v>-6.8916926723090299E-2</v>
      </c>
      <c r="Q1335">
        <v>0.25656886701506998</v>
      </c>
      <c r="R1335">
        <v>0.98557224705050395</v>
      </c>
      <c r="S1335" t="s">
        <v>7620</v>
      </c>
      <c r="T1335" t="s">
        <v>12568</v>
      </c>
      <c r="U1335" t="s">
        <v>12568</v>
      </c>
      <c r="V1335" t="s">
        <v>12568</v>
      </c>
      <c r="W1335" t="s">
        <v>13877</v>
      </c>
      <c r="X1335">
        <v>5</v>
      </c>
      <c r="Y1335" t="s">
        <v>20090</v>
      </c>
      <c r="Z1335" t="s">
        <v>26205</v>
      </c>
      <c r="AA1335">
        <v>0.51414829828219111</v>
      </c>
      <c r="AB1335" t="str">
        <f>HYPERLINK("Melting_Curves/meltCurve_O95104_SCAF4.pdf", "Melting_Curves/meltCurve_O95104_SCAF4.pdf")</f>
        <v>Melting_Curves/meltCurve_O95104_SCAF4.pdf</v>
      </c>
    </row>
    <row r="1336" spans="1:28" x14ac:dyDescent="0.25">
      <c r="A1336" t="s">
        <v>1340</v>
      </c>
      <c r="B1336">
        <v>0.99352677808782597</v>
      </c>
      <c r="C1336">
        <v>0.904251555397242</v>
      </c>
      <c r="D1336">
        <v>0.93170499245787997</v>
      </c>
      <c r="E1336">
        <v>0.261022558054331</v>
      </c>
      <c r="F1336">
        <v>0.20919253196388601</v>
      </c>
      <c r="G1336">
        <v>0.127484450395315</v>
      </c>
      <c r="H1336">
        <v>0.102903726467881</v>
      </c>
      <c r="I1336">
        <v>0.10564920337748999</v>
      </c>
      <c r="J1336">
        <v>7.7762041656802103E-2</v>
      </c>
      <c r="K1336">
        <v>6.1559395758804598E-2</v>
      </c>
      <c r="L1336">
        <v>2066.9786821185398</v>
      </c>
      <c r="M1336">
        <v>42.748305950493098</v>
      </c>
      <c r="N1336">
        <v>48.627614456057401</v>
      </c>
      <c r="O1336">
        <v>48.246841737171501</v>
      </c>
      <c r="P1336">
        <v>-0.197699885022497</v>
      </c>
      <c r="Q1336">
        <v>0.107484642400999</v>
      </c>
      <c r="R1336">
        <v>0.98622532981760602</v>
      </c>
      <c r="S1336" t="s">
        <v>7621</v>
      </c>
      <c r="T1336" t="s">
        <v>12568</v>
      </c>
      <c r="U1336" t="s">
        <v>12568</v>
      </c>
      <c r="V1336" t="s">
        <v>12568</v>
      </c>
      <c r="W1336" t="s">
        <v>13878</v>
      </c>
      <c r="X1336">
        <v>8</v>
      </c>
      <c r="Y1336" t="s">
        <v>20091</v>
      </c>
      <c r="Z1336" t="s">
        <v>26206</v>
      </c>
      <c r="AA1336">
        <v>0.35858213499335462</v>
      </c>
      <c r="AB1336" t="str">
        <f>HYPERLINK("Melting_Curves/meltCurve_O95149_SNUPN.pdf", "Melting_Curves/meltCurve_O95149_SNUPN.pdf")</f>
        <v>Melting_Curves/meltCurve_O95149_SNUPN.pdf</v>
      </c>
    </row>
    <row r="1337" spans="1:28" x14ac:dyDescent="0.25">
      <c r="A1337" t="s">
        <v>1341</v>
      </c>
      <c r="B1337">
        <v>0.99352677808782597</v>
      </c>
      <c r="C1337">
        <v>0.87956870869301595</v>
      </c>
      <c r="D1337">
        <v>0.76623538468668295</v>
      </c>
      <c r="E1337">
        <v>0.57635805540607798</v>
      </c>
      <c r="F1337">
        <v>0.50530343308799597</v>
      </c>
      <c r="G1337">
        <v>0.22232662492977001</v>
      </c>
      <c r="H1337">
        <v>0.11939699452152699</v>
      </c>
      <c r="I1337">
        <v>0.104377892469965</v>
      </c>
      <c r="J1337">
        <v>8.3892036169533404E-2</v>
      </c>
      <c r="K1337">
        <v>6.1640087085408801E-2</v>
      </c>
      <c r="L1337">
        <v>568.09807963527999</v>
      </c>
      <c r="M1337">
        <v>11.0087814474207</v>
      </c>
      <c r="N1337">
        <v>51.604068766881497</v>
      </c>
      <c r="O1337">
        <v>49.989013382436198</v>
      </c>
      <c r="P1337">
        <v>-5.5074522944772497E-2</v>
      </c>
      <c r="Q1337">
        <v>0</v>
      </c>
      <c r="R1337">
        <v>0.99020468978417397</v>
      </c>
      <c r="S1337" t="s">
        <v>7622</v>
      </c>
      <c r="T1337" t="s">
        <v>12568</v>
      </c>
      <c r="U1337" t="s">
        <v>12568</v>
      </c>
      <c r="V1337" t="s">
        <v>12568</v>
      </c>
      <c r="W1337" t="s">
        <v>13879</v>
      </c>
      <c r="X1337">
        <v>17</v>
      </c>
      <c r="Y1337" t="s">
        <v>20092</v>
      </c>
      <c r="Z1337" t="s">
        <v>26207</v>
      </c>
      <c r="AA1337">
        <v>0.42192724025599238</v>
      </c>
      <c r="AB1337" t="str">
        <f>HYPERLINK("Melting_Curves/meltCurve_O95155_2_UBE4B.pdf", "Melting_Curves/meltCurve_O95155_2_UBE4B.pdf")</f>
        <v>Melting_Curves/meltCurve_O95155_2_UBE4B.pdf</v>
      </c>
    </row>
    <row r="1338" spans="1:28" x14ac:dyDescent="0.25">
      <c r="A1338" t="s">
        <v>1342</v>
      </c>
      <c r="B1338">
        <v>0.99352677808782597</v>
      </c>
      <c r="C1338">
        <v>0.88066242292337804</v>
      </c>
      <c r="D1338">
        <v>0.78796385190075102</v>
      </c>
      <c r="E1338">
        <v>1.2192169105941799</v>
      </c>
      <c r="F1338">
        <v>0.97500548991620295</v>
      </c>
      <c r="G1338">
        <v>0.498071878876853</v>
      </c>
      <c r="H1338">
        <v>0.15895427921959701</v>
      </c>
      <c r="I1338">
        <v>0.12969347006409901</v>
      </c>
      <c r="J1338">
        <v>9.5960658632032E-2</v>
      </c>
      <c r="K1338">
        <v>7.7245809974111193E-2</v>
      </c>
      <c r="L1338">
        <v>2729.9707861313</v>
      </c>
      <c r="M1338">
        <v>48.117874530025297</v>
      </c>
      <c r="N1338">
        <v>57.017596332271999</v>
      </c>
      <c r="O1338">
        <v>56.637319378007199</v>
      </c>
      <c r="P1338">
        <v>-0.189866493431157</v>
      </c>
      <c r="Q1338">
        <v>0.10606851504197</v>
      </c>
      <c r="R1338">
        <v>0.93700105758271601</v>
      </c>
      <c r="S1338" t="s">
        <v>7623</v>
      </c>
      <c r="T1338" t="s">
        <v>12568</v>
      </c>
      <c r="U1338" t="s">
        <v>12568</v>
      </c>
      <c r="V1338" t="s">
        <v>12568</v>
      </c>
      <c r="W1338" t="s">
        <v>13880</v>
      </c>
      <c r="X1338">
        <v>19</v>
      </c>
      <c r="Y1338" t="s">
        <v>20093</v>
      </c>
      <c r="Z1338" t="s">
        <v>26208</v>
      </c>
      <c r="AA1338">
        <v>0.60714575477611521</v>
      </c>
      <c r="AB1338" t="str">
        <f>HYPERLINK("Melting_Curves/meltCurve_O95163_IKBKAP.pdf", "Melting_Curves/meltCurve_O95163_IKBKAP.pdf")</f>
        <v>Melting_Curves/meltCurve_O95163_IKBKAP.pdf</v>
      </c>
    </row>
    <row r="1339" spans="1:28" x14ac:dyDescent="0.25">
      <c r="A1339" t="s">
        <v>1343</v>
      </c>
      <c r="B1339">
        <v>0.99352677808782597</v>
      </c>
      <c r="C1339">
        <v>1.0121203371012399</v>
      </c>
      <c r="D1339">
        <v>0.96334487825925397</v>
      </c>
      <c r="E1339">
        <v>0.91587332957432099</v>
      </c>
      <c r="F1339">
        <v>0.78094813623146297</v>
      </c>
      <c r="G1339">
        <v>0.71703376798132401</v>
      </c>
      <c r="H1339">
        <v>0.57953665706620106</v>
      </c>
      <c r="I1339">
        <v>0.60466870944915796</v>
      </c>
      <c r="J1339">
        <v>0.59830138315189296</v>
      </c>
      <c r="K1339">
        <v>0.49829661287076898</v>
      </c>
      <c r="L1339">
        <v>753.07203506111102</v>
      </c>
      <c r="M1339">
        <v>13.7768322990597</v>
      </c>
      <c r="O1339">
        <v>53.549132948820699</v>
      </c>
      <c r="P1339">
        <v>-3.0820404869720801E-2</v>
      </c>
      <c r="Q1339">
        <v>0.52088471603909803</v>
      </c>
      <c r="R1339">
        <v>0.97610064089123705</v>
      </c>
      <c r="S1339" t="s">
        <v>7624</v>
      </c>
      <c r="T1339" t="s">
        <v>12568</v>
      </c>
      <c r="U1339" t="s">
        <v>12568</v>
      </c>
      <c r="V1339" t="s">
        <v>12568</v>
      </c>
      <c r="W1339" t="s">
        <v>13881</v>
      </c>
      <c r="X1339">
        <v>6</v>
      </c>
      <c r="Y1339" t="s">
        <v>20094</v>
      </c>
      <c r="Z1339" t="s">
        <v>26209</v>
      </c>
      <c r="AA1339">
        <v>0.76539223251444732</v>
      </c>
      <c r="AB1339" t="str">
        <f>HYPERLINK("Melting_Curves/meltCurve_O95171_2_SCEL.pdf", "Melting_Curves/meltCurve_O95171_2_SCEL.pdf")</f>
        <v>Melting_Curves/meltCurve_O95171_2_SCEL.pdf</v>
      </c>
    </row>
    <row r="1340" spans="1:28" x14ac:dyDescent="0.25">
      <c r="A1340" t="s">
        <v>1344</v>
      </c>
      <c r="B1340">
        <v>0.99352677808782597</v>
      </c>
      <c r="C1340">
        <v>1.0427882410962099</v>
      </c>
      <c r="D1340">
        <v>0.95998322888739296</v>
      </c>
      <c r="E1340">
        <v>0.96715841228591404</v>
      </c>
      <c r="F1340">
        <v>0.88067422582370902</v>
      </c>
      <c r="G1340">
        <v>0.68808739790123397</v>
      </c>
      <c r="H1340">
        <v>0.71038522363797996</v>
      </c>
      <c r="I1340">
        <v>0.79932170738602204</v>
      </c>
      <c r="J1340">
        <v>0.839925981506359</v>
      </c>
      <c r="K1340">
        <v>0.70711752986910403</v>
      </c>
      <c r="L1340">
        <v>5117.9445895705503</v>
      </c>
      <c r="M1340">
        <v>96.476833647865305</v>
      </c>
      <c r="O1340">
        <v>53.025649213121198</v>
      </c>
      <c r="P1340">
        <v>-0.114185333775152</v>
      </c>
      <c r="Q1340">
        <v>0.748965597180269</v>
      </c>
      <c r="R1340">
        <v>0.85379295476358597</v>
      </c>
      <c r="S1340" t="s">
        <v>7625</v>
      </c>
      <c r="T1340" t="s">
        <v>12568</v>
      </c>
      <c r="U1340" t="s">
        <v>12568</v>
      </c>
      <c r="V1340" t="s">
        <v>12568</v>
      </c>
      <c r="W1340" t="s">
        <v>13882</v>
      </c>
      <c r="X1340">
        <v>1</v>
      </c>
      <c r="Y1340" t="s">
        <v>20095</v>
      </c>
      <c r="Z1340" t="s">
        <v>26210</v>
      </c>
      <c r="AA1340">
        <v>0.85830955934758812</v>
      </c>
      <c r="AB1340" t="str">
        <f>HYPERLINK("Melting_Curves/meltCurve_O95197_7_RTN3.pdf", "Melting_Curves/meltCurve_O95197_7_RTN3.pdf")</f>
        <v>Melting_Curves/meltCurve_O95197_7_RTN3.pdf</v>
      </c>
    </row>
    <row r="1341" spans="1:28" x14ac:dyDescent="0.25">
      <c r="A1341" t="s">
        <v>1345</v>
      </c>
      <c r="B1341">
        <v>0.99352677808782597</v>
      </c>
      <c r="C1341">
        <v>0.94066897557989004</v>
      </c>
      <c r="D1341">
        <v>0.99253677674236596</v>
      </c>
      <c r="E1341">
        <v>1.0014773182941501</v>
      </c>
      <c r="F1341">
        <v>0.990867616643474</v>
      </c>
      <c r="G1341">
        <v>0.86550949126908205</v>
      </c>
      <c r="H1341">
        <v>0.77681046320772396</v>
      </c>
      <c r="I1341">
        <v>0.83603283637186698</v>
      </c>
      <c r="J1341">
        <v>0.84321640415084098</v>
      </c>
      <c r="K1341">
        <v>0.79466741248041595</v>
      </c>
      <c r="L1341">
        <v>14196.7359007101</v>
      </c>
      <c r="M1341">
        <v>250</v>
      </c>
      <c r="O1341">
        <v>56.783328497795502</v>
      </c>
      <c r="P1341">
        <v>-0.20617658408255801</v>
      </c>
      <c r="Q1341">
        <v>0.81268177894671101</v>
      </c>
      <c r="R1341">
        <v>0.90588595811084405</v>
      </c>
      <c r="S1341" t="s">
        <v>7626</v>
      </c>
      <c r="T1341" t="s">
        <v>12568</v>
      </c>
      <c r="U1341" t="s">
        <v>12568</v>
      </c>
      <c r="V1341" t="s">
        <v>12568</v>
      </c>
      <c r="W1341" t="s">
        <v>13883</v>
      </c>
      <c r="X1341">
        <v>2</v>
      </c>
      <c r="Y1341" t="s">
        <v>20096</v>
      </c>
      <c r="Z1341" t="s">
        <v>26211</v>
      </c>
      <c r="AA1341">
        <v>0.91751712753869974</v>
      </c>
      <c r="AB1341" t="str">
        <f>HYPERLINK("Melting_Curves/meltCurve_O95202_LETM1.pdf", "Melting_Curves/meltCurve_O95202_LETM1.pdf")</f>
        <v>Melting_Curves/meltCurve_O95202_LETM1.pdf</v>
      </c>
    </row>
    <row r="1342" spans="1:28" x14ac:dyDescent="0.25">
      <c r="A1342" t="s">
        <v>1346</v>
      </c>
      <c r="B1342">
        <v>0.99352677808782597</v>
      </c>
      <c r="C1342">
        <v>0.91865304519107505</v>
      </c>
      <c r="D1342">
        <v>0.96677776673495897</v>
      </c>
      <c r="E1342">
        <v>1.0044226117213799</v>
      </c>
      <c r="F1342">
        <v>0.95490033133396401</v>
      </c>
      <c r="G1342">
        <v>0.89268196125390598</v>
      </c>
      <c r="H1342">
        <v>0.90844659026518904</v>
      </c>
      <c r="I1342">
        <v>1.0240476503201299</v>
      </c>
      <c r="J1342">
        <v>1.12092821053639</v>
      </c>
      <c r="K1342">
        <v>0.93390807065593995</v>
      </c>
      <c r="L1342">
        <v>1.0000000000000001E-5</v>
      </c>
      <c r="M1342">
        <v>1.0000000000000001E-5</v>
      </c>
      <c r="Q1342">
        <v>0.94365887959436601</v>
      </c>
      <c r="R1342">
        <v>-2.7424058579583702E-9</v>
      </c>
      <c r="S1342" t="s">
        <v>7627</v>
      </c>
      <c r="T1342" t="s">
        <v>12568</v>
      </c>
      <c r="U1342" t="s">
        <v>12568</v>
      </c>
      <c r="V1342" t="s">
        <v>12568</v>
      </c>
      <c r="W1342" t="s">
        <v>13884</v>
      </c>
      <c r="X1342">
        <v>10</v>
      </c>
      <c r="Y1342" t="s">
        <v>20097</v>
      </c>
      <c r="Z1342" t="s">
        <v>26212</v>
      </c>
      <c r="AA1342">
        <v>0.97182930157183045</v>
      </c>
      <c r="AB1342" t="str">
        <f>HYPERLINK("Melting_Curves/meltCurve_O95218_2_ZRANB2.pdf", "Melting_Curves/meltCurve_O95218_2_ZRANB2.pdf")</f>
        <v>Melting_Curves/meltCurve_O95218_2_ZRANB2.pdf</v>
      </c>
    </row>
    <row r="1343" spans="1:28" x14ac:dyDescent="0.25">
      <c r="A1343" t="s">
        <v>1347</v>
      </c>
      <c r="B1343">
        <v>0.99352677808782597</v>
      </c>
      <c r="C1343">
        <v>0.91511540597308105</v>
      </c>
      <c r="D1343">
        <v>0.60564414704168601</v>
      </c>
      <c r="E1343">
        <v>0.32681104767841501</v>
      </c>
      <c r="F1343">
        <v>0.25032677361528299</v>
      </c>
      <c r="G1343">
        <v>0.177447998942142</v>
      </c>
      <c r="H1343">
        <v>0.13825497795044001</v>
      </c>
      <c r="I1343">
        <v>0.13669198825988099</v>
      </c>
      <c r="J1343">
        <v>0.124584714078529</v>
      </c>
      <c r="K1343">
        <v>7.9457177536857299E-2</v>
      </c>
      <c r="L1343">
        <v>893.28027820159105</v>
      </c>
      <c r="M1343">
        <v>19.043810185411399</v>
      </c>
      <c r="N1343">
        <v>47.629059903834502</v>
      </c>
      <c r="O1343">
        <v>46.398555408648903</v>
      </c>
      <c r="P1343">
        <v>-8.9741636639091002E-2</v>
      </c>
      <c r="Q1343">
        <v>0.12544437587499899</v>
      </c>
      <c r="R1343">
        <v>0.99233480545193897</v>
      </c>
      <c r="S1343" t="s">
        <v>7628</v>
      </c>
      <c r="T1343" t="s">
        <v>12568</v>
      </c>
      <c r="U1343" t="s">
        <v>12568</v>
      </c>
      <c r="V1343" t="s">
        <v>12568</v>
      </c>
      <c r="W1343" t="s">
        <v>13885</v>
      </c>
      <c r="X1343">
        <v>5</v>
      </c>
      <c r="Y1343" t="s">
        <v>20098</v>
      </c>
      <c r="Z1343" t="s">
        <v>26213</v>
      </c>
      <c r="AA1343">
        <v>0.34110851663240382</v>
      </c>
      <c r="AB1343" t="str">
        <f>HYPERLINK("Melting_Curves/meltCurve_O95219_SNX4.pdf", "Melting_Curves/meltCurve_O95219_SNX4.pdf")</f>
        <v>Melting_Curves/meltCurve_O95219_SNX4.pdf</v>
      </c>
    </row>
    <row r="1344" spans="1:28" x14ac:dyDescent="0.25">
      <c r="A1344" t="s">
        <v>1348</v>
      </c>
      <c r="B1344">
        <v>0.99352677808782597</v>
      </c>
      <c r="C1344">
        <v>1.0083951850439601</v>
      </c>
      <c r="D1344">
        <v>0.99358860087524503</v>
      </c>
      <c r="E1344">
        <v>0.90572870668034</v>
      </c>
      <c r="F1344">
        <v>0.79769428722814695</v>
      </c>
      <c r="G1344">
        <v>0.68691851961690598</v>
      </c>
      <c r="H1344">
        <v>0.56343814540278403</v>
      </c>
      <c r="I1344">
        <v>0.56301156071917002</v>
      </c>
      <c r="J1344">
        <v>0.71426029048341699</v>
      </c>
      <c r="K1344">
        <v>0.614097488588907</v>
      </c>
      <c r="L1344">
        <v>1304.7762368430999</v>
      </c>
      <c r="M1344">
        <v>24.784285764719701</v>
      </c>
      <c r="O1344">
        <v>52.306151250972199</v>
      </c>
      <c r="P1344">
        <v>-4.5684759126217597E-2</v>
      </c>
      <c r="Q1344">
        <v>0.614342576958672</v>
      </c>
      <c r="R1344">
        <v>0.94007612156736198</v>
      </c>
      <c r="S1344" t="s">
        <v>7629</v>
      </c>
      <c r="T1344" t="s">
        <v>12568</v>
      </c>
      <c r="U1344" t="s">
        <v>12568</v>
      </c>
      <c r="V1344" t="s">
        <v>12568</v>
      </c>
      <c r="W1344" t="s">
        <v>12615</v>
      </c>
      <c r="X1344">
        <v>7</v>
      </c>
      <c r="Y1344" t="s">
        <v>18843</v>
      </c>
      <c r="Z1344" t="s">
        <v>26214</v>
      </c>
      <c r="AA1344">
        <v>0.78050086438335531</v>
      </c>
      <c r="AB1344" t="str">
        <f>HYPERLINK("Melting_Curves/meltCurve_O95229_ZWINT.pdf", "Melting_Curves/meltCurve_O95229_ZWINT.pdf")</f>
        <v>Melting_Curves/meltCurve_O95229_ZWINT.pdf</v>
      </c>
    </row>
    <row r="1345" spans="1:28" x14ac:dyDescent="0.25">
      <c r="A1345" t="s">
        <v>1349</v>
      </c>
      <c r="B1345">
        <v>0.99352677808782597</v>
      </c>
      <c r="C1345">
        <v>1.0140471332757699</v>
      </c>
      <c r="D1345">
        <v>1.05700292260661</v>
      </c>
      <c r="E1345">
        <v>1.0718230293470901</v>
      </c>
      <c r="F1345">
        <v>0.93369764968487801</v>
      </c>
      <c r="G1345">
        <v>0.76873992555412396</v>
      </c>
      <c r="H1345">
        <v>0.268086298786267</v>
      </c>
      <c r="I1345">
        <v>0.16387648844550201</v>
      </c>
      <c r="J1345">
        <v>0.14539074278577799</v>
      </c>
      <c r="K1345">
        <v>0.102635855653206</v>
      </c>
      <c r="L1345">
        <v>2155.7444273055999</v>
      </c>
      <c r="M1345">
        <v>36.846971027638503</v>
      </c>
      <c r="N1345">
        <v>58.942005335734798</v>
      </c>
      <c r="O1345">
        <v>58.333814623663898</v>
      </c>
      <c r="P1345">
        <v>-0.13905253050479499</v>
      </c>
      <c r="Q1345">
        <v>0.119445577479228</v>
      </c>
      <c r="R1345">
        <v>0.99253527503317696</v>
      </c>
      <c r="S1345" t="s">
        <v>7630</v>
      </c>
      <c r="T1345" t="s">
        <v>12568</v>
      </c>
      <c r="U1345" t="s">
        <v>12568</v>
      </c>
      <c r="V1345" t="s">
        <v>12568</v>
      </c>
      <c r="W1345" t="s">
        <v>13886</v>
      </c>
      <c r="X1345">
        <v>1</v>
      </c>
      <c r="Y1345" t="s">
        <v>20099</v>
      </c>
      <c r="Z1345" t="s">
        <v>26215</v>
      </c>
      <c r="AA1345">
        <v>0.66664682437183698</v>
      </c>
      <c r="AB1345" t="str">
        <f>HYPERLINK("Melting_Curves/meltCurve_O95231_VENTX.pdf", "Melting_Curves/meltCurve_O95231_VENTX.pdf")</f>
        <v>Melting_Curves/meltCurve_O95231_VENTX.pdf</v>
      </c>
    </row>
    <row r="1346" spans="1:28" x14ac:dyDescent="0.25">
      <c r="A1346" t="s">
        <v>1350</v>
      </c>
      <c r="B1346">
        <v>0.99352677808782597</v>
      </c>
      <c r="C1346">
        <v>0.94399471477571695</v>
      </c>
      <c r="D1346">
        <v>1.0311829456282</v>
      </c>
      <c r="E1346">
        <v>1.0708792658530499</v>
      </c>
      <c r="F1346">
        <v>0.89643919992563703</v>
      </c>
      <c r="G1346">
        <v>0.60886515175793199</v>
      </c>
      <c r="H1346">
        <v>0.32117219100593303</v>
      </c>
      <c r="I1346">
        <v>0.206561845033921</v>
      </c>
      <c r="J1346">
        <v>0.184250124410375</v>
      </c>
      <c r="K1346">
        <v>0.13494700809830901</v>
      </c>
      <c r="L1346">
        <v>1470.31493383161</v>
      </c>
      <c r="M1346">
        <v>25.576894534096802</v>
      </c>
      <c r="N1346">
        <v>58.284268341394302</v>
      </c>
      <c r="O1346">
        <v>57.138100736052799</v>
      </c>
      <c r="P1346">
        <v>-9.5374551625626899E-2</v>
      </c>
      <c r="Q1346">
        <v>0.14775363957911999</v>
      </c>
      <c r="R1346">
        <v>0.99024774376126301</v>
      </c>
      <c r="S1346" t="s">
        <v>7631</v>
      </c>
      <c r="T1346" t="s">
        <v>12568</v>
      </c>
      <c r="U1346" t="s">
        <v>12568</v>
      </c>
      <c r="V1346" t="s">
        <v>12568</v>
      </c>
      <c r="W1346" t="s">
        <v>13887</v>
      </c>
      <c r="X1346">
        <v>10</v>
      </c>
      <c r="Y1346" t="s">
        <v>20100</v>
      </c>
      <c r="Z1346" t="s">
        <v>26216</v>
      </c>
      <c r="AA1346">
        <v>0.65181428415866827</v>
      </c>
      <c r="AB1346" t="str">
        <f>HYPERLINK("Melting_Curves/meltCurve_O95232_LUC7L3.pdf", "Melting_Curves/meltCurve_O95232_LUC7L3.pdf")</f>
        <v>Melting_Curves/meltCurve_O95232_LUC7L3.pdf</v>
      </c>
    </row>
    <row r="1347" spans="1:28" x14ac:dyDescent="0.25">
      <c r="A1347" t="s">
        <v>1351</v>
      </c>
      <c r="B1347">
        <v>0.99352677808782597</v>
      </c>
      <c r="C1347">
        <v>0.86937535438243896</v>
      </c>
      <c r="D1347">
        <v>0.78816780226802496</v>
      </c>
      <c r="E1347">
        <v>0.51548888949124205</v>
      </c>
      <c r="F1347">
        <v>0.48401032289996798</v>
      </c>
      <c r="G1347">
        <v>0.34240422325698999</v>
      </c>
      <c r="H1347">
        <v>0.29272726414025302</v>
      </c>
      <c r="I1347">
        <v>0.29869598282327597</v>
      </c>
      <c r="J1347">
        <v>0.24393884947462999</v>
      </c>
      <c r="K1347">
        <v>0.21097127486699099</v>
      </c>
      <c r="L1347">
        <v>604.63470031812199</v>
      </c>
      <c r="M1347">
        <v>12.313300210292001</v>
      </c>
      <c r="N1347">
        <v>51.5877528810434</v>
      </c>
      <c r="O1347">
        <v>47.862943125599401</v>
      </c>
      <c r="P1347">
        <v>-4.99448283127586E-2</v>
      </c>
      <c r="Q1347">
        <v>0.223608584160808</v>
      </c>
      <c r="R1347">
        <v>0.98781392040994398</v>
      </c>
      <c r="S1347" t="s">
        <v>7632</v>
      </c>
      <c r="T1347" t="s">
        <v>12568</v>
      </c>
      <c r="U1347" t="s">
        <v>12568</v>
      </c>
      <c r="V1347" t="s">
        <v>12568</v>
      </c>
      <c r="W1347" t="s">
        <v>13888</v>
      </c>
      <c r="X1347">
        <v>3</v>
      </c>
      <c r="Y1347" t="s">
        <v>20101</v>
      </c>
      <c r="Z1347" t="s">
        <v>26217</v>
      </c>
      <c r="AA1347">
        <v>0.48636761529818773</v>
      </c>
      <c r="AB1347" t="str">
        <f>HYPERLINK("Melting_Curves/meltCurve_O95235_KIF20A.pdf", "Melting_Curves/meltCurve_O95235_KIF20A.pdf")</f>
        <v>Melting_Curves/meltCurve_O95235_KIF20A.pdf</v>
      </c>
    </row>
    <row r="1348" spans="1:28" x14ac:dyDescent="0.25">
      <c r="A1348" t="s">
        <v>1352</v>
      </c>
      <c r="B1348">
        <v>0.99352677808782597</v>
      </c>
      <c r="C1348">
        <v>0.67433305243636499</v>
      </c>
      <c r="D1348">
        <v>0.65474098922488699</v>
      </c>
      <c r="E1348">
        <v>0.42968056562743001</v>
      </c>
      <c r="F1348">
        <v>0.37278762534850401</v>
      </c>
      <c r="G1348">
        <v>0.29336250674213699</v>
      </c>
      <c r="H1348">
        <v>0.232464379698678</v>
      </c>
      <c r="I1348">
        <v>0.246766519281894</v>
      </c>
      <c r="J1348">
        <v>0.23356336879738901</v>
      </c>
      <c r="K1348">
        <v>0.20493789198788401</v>
      </c>
      <c r="L1348">
        <v>550.74656444921902</v>
      </c>
      <c r="M1348">
        <v>11.89248693099</v>
      </c>
      <c r="N1348">
        <v>48.501922413407598</v>
      </c>
      <c r="O1348">
        <v>45.059289719135798</v>
      </c>
      <c r="P1348">
        <v>-5.2281189636632801E-2</v>
      </c>
      <c r="Q1348">
        <v>0.20784807091147001</v>
      </c>
      <c r="R1348">
        <v>0.96211864749067599</v>
      </c>
      <c r="S1348" t="s">
        <v>7633</v>
      </c>
      <c r="T1348" t="s">
        <v>12568</v>
      </c>
      <c r="U1348" t="s">
        <v>12568</v>
      </c>
      <c r="V1348" t="s">
        <v>12568</v>
      </c>
      <c r="W1348" t="s">
        <v>13889</v>
      </c>
      <c r="X1348">
        <v>21</v>
      </c>
      <c r="Y1348" t="s">
        <v>20102</v>
      </c>
      <c r="Z1348" t="s">
        <v>26218</v>
      </c>
      <c r="AA1348">
        <v>0.41017657042436589</v>
      </c>
      <c r="AB1348" t="str">
        <f>HYPERLINK("Melting_Curves/meltCurve_O95239_KIF4A.pdf", "Melting_Curves/meltCurve_O95239_KIF4A.pdf")</f>
        <v>Melting_Curves/meltCurve_O95239_KIF4A.pdf</v>
      </c>
    </row>
    <row r="1349" spans="1:28" x14ac:dyDescent="0.25">
      <c r="A1349" t="s">
        <v>1353</v>
      </c>
      <c r="B1349">
        <v>0.99352677808782597</v>
      </c>
      <c r="C1349">
        <v>0.90496587031640197</v>
      </c>
      <c r="D1349">
        <v>0.796104056644656</v>
      </c>
      <c r="E1349">
        <v>0.77484289733718303</v>
      </c>
      <c r="F1349">
        <v>0.75992427452091105</v>
      </c>
      <c r="G1349">
        <v>0.72591737729936301</v>
      </c>
      <c r="H1349">
        <v>0.57813674828845796</v>
      </c>
      <c r="I1349">
        <v>0.70231848202069103</v>
      </c>
      <c r="J1349">
        <v>0.63364764467388701</v>
      </c>
      <c r="K1349">
        <v>0.64889519407030105</v>
      </c>
      <c r="L1349">
        <v>475.20889860309302</v>
      </c>
      <c r="M1349">
        <v>9.9927866941565</v>
      </c>
      <c r="O1349">
        <v>45.768387823864103</v>
      </c>
      <c r="P1349">
        <v>-2.0268678419735699E-2</v>
      </c>
      <c r="Q1349">
        <v>0.62884735339825903</v>
      </c>
      <c r="R1349">
        <v>0.88117896078554003</v>
      </c>
      <c r="S1349" t="s">
        <v>7634</v>
      </c>
      <c r="T1349" t="s">
        <v>12568</v>
      </c>
      <c r="U1349" t="s">
        <v>12568</v>
      </c>
      <c r="V1349" t="s">
        <v>12568</v>
      </c>
      <c r="W1349" t="s">
        <v>13890</v>
      </c>
      <c r="X1349">
        <v>3</v>
      </c>
      <c r="Y1349" t="s">
        <v>20103</v>
      </c>
      <c r="Z1349" t="s">
        <v>26219</v>
      </c>
      <c r="AA1349">
        <v>0.74271518954368254</v>
      </c>
      <c r="AB1349" t="str">
        <f>HYPERLINK("Melting_Curves/meltCurve_O95243_3_MBD4.pdf", "Melting_Curves/meltCurve_O95243_3_MBD4.pdf")</f>
        <v>Melting_Curves/meltCurve_O95243_3_MBD4.pdf</v>
      </c>
    </row>
    <row r="1350" spans="1:28" x14ac:dyDescent="0.25">
      <c r="A1350" t="s">
        <v>1354</v>
      </c>
      <c r="B1350">
        <v>0.99352677808782597</v>
      </c>
      <c r="C1350">
        <v>0.82388761706471003</v>
      </c>
      <c r="D1350">
        <v>0.86476817594418998</v>
      </c>
      <c r="E1350">
        <v>0.56718912151374501</v>
      </c>
      <c r="F1350">
        <v>0.56193644460946501</v>
      </c>
      <c r="G1350">
        <v>0.31874326799506397</v>
      </c>
      <c r="H1350">
        <v>0.205109374800028</v>
      </c>
      <c r="I1350">
        <v>0.147705137201248</v>
      </c>
      <c r="J1350">
        <v>0.16439754022667299</v>
      </c>
      <c r="K1350">
        <v>0.164344002427499</v>
      </c>
      <c r="L1350">
        <v>542.60593685741401</v>
      </c>
      <c r="M1350">
        <v>10.4576968285968</v>
      </c>
      <c r="N1350">
        <v>52.673261748908303</v>
      </c>
      <c r="O1350">
        <v>50.096167178875497</v>
      </c>
      <c r="P1350">
        <v>-4.8431240301613901E-2</v>
      </c>
      <c r="Q1350">
        <v>7.2366845463435206E-2</v>
      </c>
      <c r="R1350">
        <v>0.97455151490207104</v>
      </c>
      <c r="S1350" t="s">
        <v>7635</v>
      </c>
      <c r="T1350" t="s">
        <v>12568</v>
      </c>
      <c r="U1350" t="s">
        <v>12568</v>
      </c>
      <c r="V1350" t="s">
        <v>12568</v>
      </c>
      <c r="W1350" t="s">
        <v>13891</v>
      </c>
      <c r="X1350">
        <v>1</v>
      </c>
      <c r="Y1350" t="s">
        <v>20104</v>
      </c>
      <c r="Z1350" t="s">
        <v>26220</v>
      </c>
      <c r="AA1350">
        <v>0.47374677719325742</v>
      </c>
      <c r="AB1350" t="str">
        <f>HYPERLINK("Melting_Curves/meltCurve_O95248_SBF1.pdf", "Melting_Curves/meltCurve_O95248_SBF1.pdf")</f>
        <v>Melting_Curves/meltCurve_O95248_SBF1.pdf</v>
      </c>
    </row>
    <row r="1351" spans="1:28" x14ac:dyDescent="0.25">
      <c r="A1351" t="s">
        <v>1355</v>
      </c>
      <c r="B1351">
        <v>0.99352677808782597</v>
      </c>
      <c r="C1351">
        <v>0.99938645260174397</v>
      </c>
      <c r="D1351">
        <v>1.02831070718629</v>
      </c>
      <c r="E1351">
        <v>1.0385584110872901</v>
      </c>
      <c r="F1351">
        <v>0.96066543577238905</v>
      </c>
      <c r="G1351">
        <v>0.852139808334472</v>
      </c>
      <c r="H1351">
        <v>0.71430026401468505</v>
      </c>
      <c r="I1351">
        <v>0.76956104839208905</v>
      </c>
      <c r="J1351">
        <v>0.74621657127990104</v>
      </c>
      <c r="K1351">
        <v>0.60645067426877197</v>
      </c>
      <c r="L1351">
        <v>1355.9880964677</v>
      </c>
      <c r="M1351">
        <v>23.595990460584598</v>
      </c>
      <c r="O1351">
        <v>57.058892075759402</v>
      </c>
      <c r="P1351">
        <v>-3.27996297848481E-2</v>
      </c>
      <c r="Q1351">
        <v>0.68274622333582602</v>
      </c>
      <c r="R1351">
        <v>0.91895363993241297</v>
      </c>
      <c r="S1351" t="s">
        <v>7636</v>
      </c>
      <c r="T1351" t="s">
        <v>12568</v>
      </c>
      <c r="U1351" t="s">
        <v>12568</v>
      </c>
      <c r="V1351" t="s">
        <v>12568</v>
      </c>
      <c r="W1351" t="s">
        <v>13892</v>
      </c>
      <c r="X1351">
        <v>6</v>
      </c>
      <c r="Y1351" t="s">
        <v>20105</v>
      </c>
      <c r="Z1351" t="s">
        <v>26221</v>
      </c>
      <c r="AA1351">
        <v>0.87052279333269089</v>
      </c>
      <c r="AB1351" t="str">
        <f>HYPERLINK("Melting_Curves/meltCurve_O95249_GOSR1.pdf", "Melting_Curves/meltCurve_O95249_GOSR1.pdf")</f>
        <v>Melting_Curves/meltCurve_O95249_GOSR1.pdf</v>
      </c>
    </row>
    <row r="1352" spans="1:28" x14ac:dyDescent="0.25">
      <c r="A1352" t="s">
        <v>1356</v>
      </c>
      <c r="B1352">
        <v>0.99352677808782597</v>
      </c>
      <c r="C1352">
        <v>0.94636869515205602</v>
      </c>
      <c r="D1352">
        <v>0.94105449483325698</v>
      </c>
      <c r="E1352">
        <v>0.87691721750330598</v>
      </c>
      <c r="F1352">
        <v>0.84063047244704003</v>
      </c>
      <c r="G1352">
        <v>0.76549832842561305</v>
      </c>
      <c r="H1352">
        <v>0.66895119560248695</v>
      </c>
      <c r="I1352">
        <v>0.74969647868982703</v>
      </c>
      <c r="J1352">
        <v>0.67307122933482499</v>
      </c>
      <c r="K1352">
        <v>0.64202687325782604</v>
      </c>
      <c r="L1352">
        <v>469.39098548860898</v>
      </c>
      <c r="M1352">
        <v>8.5907508279010205</v>
      </c>
      <c r="O1352">
        <v>51.920129660252996</v>
      </c>
      <c r="P1352">
        <v>-1.6354424314122901E-2</v>
      </c>
      <c r="Q1352">
        <v>0.60497542653923198</v>
      </c>
      <c r="R1352">
        <v>0.95442480384904105</v>
      </c>
      <c r="S1352" t="s">
        <v>7637</v>
      </c>
      <c r="T1352" t="s">
        <v>12568</v>
      </c>
      <c r="U1352" t="s">
        <v>12568</v>
      </c>
      <c r="V1352" t="s">
        <v>12568</v>
      </c>
      <c r="W1352" t="s">
        <v>13893</v>
      </c>
      <c r="X1352">
        <v>3</v>
      </c>
      <c r="Y1352" t="s">
        <v>20106</v>
      </c>
      <c r="Z1352" t="s">
        <v>26222</v>
      </c>
      <c r="AA1352">
        <v>0.80926614347919612</v>
      </c>
      <c r="AB1352" t="str">
        <f>HYPERLINK("Melting_Curves/meltCurve_O95251_4_KAT7.pdf", "Melting_Curves/meltCurve_O95251_4_KAT7.pdf")</f>
        <v>Melting_Curves/meltCurve_O95251_4_KAT7.pdf</v>
      </c>
    </row>
    <row r="1353" spans="1:28" x14ac:dyDescent="0.25">
      <c r="A1353" t="s">
        <v>1357</v>
      </c>
      <c r="B1353">
        <v>0.99352677808782597</v>
      </c>
      <c r="C1353">
        <v>0.98299969050763103</v>
      </c>
      <c r="D1353">
        <v>0.91157546070550699</v>
      </c>
      <c r="E1353">
        <v>0.67511115449940595</v>
      </c>
      <c r="F1353">
        <v>0.63903466677347198</v>
      </c>
      <c r="G1353">
        <v>0.39364963656018298</v>
      </c>
      <c r="H1353">
        <v>0.260015260725943</v>
      </c>
      <c r="I1353">
        <v>0.20438423235504699</v>
      </c>
      <c r="J1353">
        <v>0.18962494446612599</v>
      </c>
      <c r="K1353">
        <v>0.142939403184105</v>
      </c>
      <c r="L1353">
        <v>646.88357818776694</v>
      </c>
      <c r="M1353">
        <v>12.034953992052801</v>
      </c>
      <c r="N1353">
        <v>54.725481809219097</v>
      </c>
      <c r="O1353">
        <v>52.330888349959103</v>
      </c>
      <c r="P1353">
        <v>-5.1958499915431902E-2</v>
      </c>
      <c r="Q1353">
        <v>9.6502921067717601E-2</v>
      </c>
      <c r="R1353">
        <v>0.99218410613104002</v>
      </c>
      <c r="S1353" t="s">
        <v>7638</v>
      </c>
      <c r="T1353" t="s">
        <v>12568</v>
      </c>
      <c r="U1353" t="s">
        <v>12568</v>
      </c>
      <c r="V1353" t="s">
        <v>12568</v>
      </c>
      <c r="W1353" t="s">
        <v>13894</v>
      </c>
      <c r="X1353">
        <v>4</v>
      </c>
      <c r="Y1353" t="s">
        <v>20107</v>
      </c>
      <c r="Z1353" t="s">
        <v>26223</v>
      </c>
      <c r="AA1353">
        <v>0.53470040822290843</v>
      </c>
      <c r="AB1353" t="str">
        <f>HYPERLINK("Melting_Curves/meltCurve_O95273_CCNDBP1.pdf", "Melting_Curves/meltCurve_O95273_CCNDBP1.pdf")</f>
        <v>Melting_Curves/meltCurve_O95273_CCNDBP1.pdf</v>
      </c>
    </row>
    <row r="1354" spans="1:28" x14ac:dyDescent="0.25">
      <c r="A1354" t="s">
        <v>1358</v>
      </c>
      <c r="B1354">
        <v>0.99352677808782597</v>
      </c>
      <c r="C1354">
        <v>0.920475582703285</v>
      </c>
      <c r="D1354">
        <v>0.94244217821583198</v>
      </c>
      <c r="E1354">
        <v>0.93762209706878996</v>
      </c>
      <c r="F1354">
        <v>0.84525592812005201</v>
      </c>
      <c r="G1354">
        <v>0.76681860076686503</v>
      </c>
      <c r="H1354">
        <v>0.624474392836182</v>
      </c>
      <c r="I1354">
        <v>0.65474769628592699</v>
      </c>
      <c r="J1354">
        <v>0.65543961938165196</v>
      </c>
      <c r="K1354">
        <v>0.57894589585609102</v>
      </c>
      <c r="L1354">
        <v>583.98606472283302</v>
      </c>
      <c r="M1354">
        <v>10.397118936489999</v>
      </c>
      <c r="O1354">
        <v>54.2094040775333</v>
      </c>
      <c r="P1354">
        <v>-2.18942465132222E-2</v>
      </c>
      <c r="Q1354">
        <v>0.54357472613891999</v>
      </c>
      <c r="R1354">
        <v>0.94880897946601706</v>
      </c>
      <c r="S1354" t="s">
        <v>7639</v>
      </c>
      <c r="T1354" t="s">
        <v>12568</v>
      </c>
      <c r="U1354" t="s">
        <v>12568</v>
      </c>
      <c r="V1354" t="s">
        <v>12568</v>
      </c>
      <c r="W1354" t="s">
        <v>13895</v>
      </c>
      <c r="X1354">
        <v>7</v>
      </c>
      <c r="Y1354" t="s">
        <v>20108</v>
      </c>
      <c r="Z1354" t="s">
        <v>26224</v>
      </c>
      <c r="AA1354">
        <v>0.79882007458848747</v>
      </c>
      <c r="AB1354" t="str">
        <f>HYPERLINK("Melting_Curves/meltCurve_O95292_VAPB.pdf", "Melting_Curves/meltCurve_O95292_VAPB.pdf")</f>
        <v>Melting_Curves/meltCurve_O95292_VAPB.pdf</v>
      </c>
    </row>
    <row r="1355" spans="1:28" x14ac:dyDescent="0.25">
      <c r="A1355" t="s">
        <v>1359</v>
      </c>
      <c r="B1355">
        <v>0.99352677808782597</v>
      </c>
      <c r="C1355">
        <v>1.01624808094978</v>
      </c>
      <c r="D1355">
        <v>0.96915933704110602</v>
      </c>
      <c r="E1355">
        <v>0.85868430725730105</v>
      </c>
      <c r="F1355">
        <v>0.75804219656578198</v>
      </c>
      <c r="G1355">
        <v>0.52520121441599199</v>
      </c>
      <c r="H1355">
        <v>0.36544679188435703</v>
      </c>
      <c r="I1355">
        <v>0.31012966179068702</v>
      </c>
      <c r="J1355">
        <v>0.33189691415726602</v>
      </c>
      <c r="K1355">
        <v>0.26114546885719297</v>
      </c>
      <c r="L1355">
        <v>909.388529683451</v>
      </c>
      <c r="M1355">
        <v>16.538012708608001</v>
      </c>
      <c r="N1355">
        <v>57.503428407197198</v>
      </c>
      <c r="O1355">
        <v>54.202654135570299</v>
      </c>
      <c r="P1355">
        <v>-5.6642685784305598E-2</v>
      </c>
      <c r="Q1355">
        <v>0.25747491510005899</v>
      </c>
      <c r="R1355">
        <v>0.99603603709964295</v>
      </c>
      <c r="S1355" t="s">
        <v>7640</v>
      </c>
      <c r="T1355" t="s">
        <v>12568</v>
      </c>
      <c r="U1355" t="s">
        <v>12568</v>
      </c>
      <c r="V1355" t="s">
        <v>12568</v>
      </c>
      <c r="W1355" t="s">
        <v>13896</v>
      </c>
      <c r="X1355">
        <v>7</v>
      </c>
      <c r="Y1355" t="s">
        <v>20109</v>
      </c>
      <c r="Z1355" t="s">
        <v>26225</v>
      </c>
      <c r="AA1355">
        <v>0.64125097680839738</v>
      </c>
      <c r="AB1355" t="str">
        <f>HYPERLINK("Melting_Curves/meltCurve_O95295_SNAPIN.pdf", "Melting_Curves/meltCurve_O95295_SNAPIN.pdf")</f>
        <v>Melting_Curves/meltCurve_O95295_SNAPIN.pdf</v>
      </c>
    </row>
    <row r="1356" spans="1:28" x14ac:dyDescent="0.25">
      <c r="A1356" t="s">
        <v>1360</v>
      </c>
      <c r="B1356">
        <v>0.99352677808782597</v>
      </c>
      <c r="C1356">
        <v>0.940302674178914</v>
      </c>
      <c r="D1356">
        <v>1.0198631709613499</v>
      </c>
      <c r="E1356">
        <v>1.3004983454146699</v>
      </c>
      <c r="F1356">
        <v>1.3950981485057401</v>
      </c>
      <c r="G1356">
        <v>1.3285187636850599</v>
      </c>
      <c r="H1356">
        <v>1.32057553090112</v>
      </c>
      <c r="I1356">
        <v>1.5622853102328</v>
      </c>
      <c r="J1356">
        <v>1.4363302415247099</v>
      </c>
      <c r="K1356">
        <v>1.4033889425294901</v>
      </c>
      <c r="L1356">
        <v>2243.4172395944402</v>
      </c>
      <c r="M1356">
        <v>45.854487751436899</v>
      </c>
      <c r="O1356">
        <v>48.831925119868203</v>
      </c>
      <c r="P1356">
        <v>9.6251311689306701E-2</v>
      </c>
      <c r="Q1356">
        <v>1.41000402835493</v>
      </c>
      <c r="R1356">
        <v>0.89491109593576501</v>
      </c>
      <c r="S1356" t="s">
        <v>7641</v>
      </c>
      <c r="T1356" t="s">
        <v>12568</v>
      </c>
      <c r="U1356" t="s">
        <v>12568</v>
      </c>
      <c r="V1356" t="s">
        <v>12568</v>
      </c>
      <c r="W1356" t="s">
        <v>13897</v>
      </c>
      <c r="X1356">
        <v>2</v>
      </c>
      <c r="Y1356" t="s">
        <v>20110</v>
      </c>
      <c r="Z1356" t="s">
        <v>26226</v>
      </c>
      <c r="AA1356">
        <v>1.286978400064819</v>
      </c>
      <c r="AB1356" t="str">
        <f>HYPERLINK("Melting_Curves/meltCurve_O95297_4_MPZL1.pdf", "Melting_Curves/meltCurve_O95297_4_MPZL1.pdf")</f>
        <v>Melting_Curves/meltCurve_O95297_4_MPZL1.pdf</v>
      </c>
    </row>
    <row r="1357" spans="1:28" x14ac:dyDescent="0.25">
      <c r="A1357" t="s">
        <v>1361</v>
      </c>
      <c r="B1357">
        <v>0.99352677808782597</v>
      </c>
      <c r="C1357">
        <v>0.97380630894451203</v>
      </c>
      <c r="D1357">
        <v>0.95057686018047804</v>
      </c>
      <c r="E1357">
        <v>0.52047952588690105</v>
      </c>
      <c r="F1357">
        <v>0.42471574138447499</v>
      </c>
      <c r="G1357">
        <v>0.25533091750029002</v>
      </c>
      <c r="H1357">
        <v>0.185812861955788</v>
      </c>
      <c r="I1357">
        <v>0.162508464090966</v>
      </c>
      <c r="J1357">
        <v>0.15747987341347799</v>
      </c>
      <c r="K1357">
        <v>0.12485881758315499</v>
      </c>
      <c r="L1357">
        <v>979.89973333058401</v>
      </c>
      <c r="M1357">
        <v>19.492764579094398</v>
      </c>
      <c r="N1357">
        <v>51.226873893627797</v>
      </c>
      <c r="O1357">
        <v>49.749820759524802</v>
      </c>
      <c r="P1357">
        <v>-8.3009234797772502E-2</v>
      </c>
      <c r="Q1357">
        <v>0.15259926875725299</v>
      </c>
      <c r="R1357">
        <v>0.98778081302383702</v>
      </c>
      <c r="S1357" t="s">
        <v>7642</v>
      </c>
      <c r="T1357" t="s">
        <v>12568</v>
      </c>
      <c r="U1357" t="s">
        <v>12568</v>
      </c>
      <c r="V1357" t="s">
        <v>12568</v>
      </c>
      <c r="W1357" t="s">
        <v>13898</v>
      </c>
      <c r="X1357">
        <v>12</v>
      </c>
      <c r="Y1357" t="s">
        <v>20111</v>
      </c>
      <c r="Z1357" t="s">
        <v>26227</v>
      </c>
      <c r="AA1357">
        <v>0.45507339593473711</v>
      </c>
      <c r="AB1357" t="str">
        <f>HYPERLINK("Melting_Curves/meltCurve_O95302_FKBP9.pdf", "Melting_Curves/meltCurve_O95302_FKBP9.pdf")</f>
        <v>Melting_Curves/meltCurve_O95302_FKBP9.pdf</v>
      </c>
    </row>
    <row r="1358" spans="1:28" x14ac:dyDescent="0.25">
      <c r="A1358" t="s">
        <v>1362</v>
      </c>
      <c r="B1358">
        <v>0.99352677808782597</v>
      </c>
      <c r="C1358">
        <v>0.99998219515660103</v>
      </c>
      <c r="D1358">
        <v>1.0464121527400101</v>
      </c>
      <c r="E1358">
        <v>0.96800299128690304</v>
      </c>
      <c r="F1358">
        <v>0.88124491842572295</v>
      </c>
      <c r="G1358">
        <v>0.81335489256968996</v>
      </c>
      <c r="H1358">
        <v>0.51806623143663</v>
      </c>
      <c r="I1358">
        <v>0.25479682340580201</v>
      </c>
      <c r="J1358">
        <v>6.0771122703668502E-2</v>
      </c>
      <c r="K1358">
        <v>4.5366269117744197E-2</v>
      </c>
      <c r="L1358">
        <v>1348.2221584315801</v>
      </c>
      <c r="M1358">
        <v>22.164062242280501</v>
      </c>
      <c r="N1358">
        <v>60.829217115619699</v>
      </c>
      <c r="O1358">
        <v>60.340533139589503</v>
      </c>
      <c r="P1358">
        <v>-9.1831101428292497E-2</v>
      </c>
      <c r="Q1358">
        <v>0</v>
      </c>
      <c r="R1358">
        <v>0.99061781742710198</v>
      </c>
      <c r="S1358" t="s">
        <v>7643</v>
      </c>
      <c r="T1358" t="s">
        <v>12568</v>
      </c>
      <c r="U1358" t="s">
        <v>12568</v>
      </c>
      <c r="V1358" t="s">
        <v>12568</v>
      </c>
      <c r="W1358" t="s">
        <v>13899</v>
      </c>
      <c r="X1358">
        <v>16</v>
      </c>
      <c r="Y1358" t="s">
        <v>20112</v>
      </c>
      <c r="Z1358" t="s">
        <v>26228</v>
      </c>
      <c r="AA1358">
        <v>0.70101239158595763</v>
      </c>
      <c r="AB1358" t="str">
        <f>HYPERLINK("Melting_Curves/meltCurve_O95336_PGLS.pdf", "Melting_Curves/meltCurve_O95336_PGLS.pdf")</f>
        <v>Melting_Curves/meltCurve_O95336_PGLS.pdf</v>
      </c>
    </row>
    <row r="1359" spans="1:28" x14ac:dyDescent="0.25">
      <c r="A1359" t="s">
        <v>1363</v>
      </c>
      <c r="B1359">
        <v>0.99352677808782597</v>
      </c>
      <c r="C1359">
        <v>0.96361345582569002</v>
      </c>
      <c r="D1359">
        <v>0.82192257978925798</v>
      </c>
      <c r="E1359">
        <v>0.34069628973079102</v>
      </c>
      <c r="F1359">
        <v>0.274821381466199</v>
      </c>
      <c r="G1359">
        <v>0.16902508742473499</v>
      </c>
      <c r="H1359">
        <v>0.12793434373283399</v>
      </c>
      <c r="I1359">
        <v>0.114470598987524</v>
      </c>
      <c r="J1359">
        <v>9.3872701237177794E-2</v>
      </c>
      <c r="K1359">
        <v>7.3852669591913694E-2</v>
      </c>
      <c r="L1359">
        <v>1132.52836583313</v>
      </c>
      <c r="M1359">
        <v>23.411554600042201</v>
      </c>
      <c r="N1359">
        <v>48.908754881347399</v>
      </c>
      <c r="O1359">
        <v>48.025938221216897</v>
      </c>
      <c r="P1359">
        <v>-0.108126926585661</v>
      </c>
      <c r="Q1359">
        <v>0.112778453682428</v>
      </c>
      <c r="R1359">
        <v>0.99189417619006204</v>
      </c>
      <c r="S1359" t="s">
        <v>7644</v>
      </c>
      <c r="T1359" t="s">
        <v>12568</v>
      </c>
      <c r="U1359" t="s">
        <v>12568</v>
      </c>
      <c r="V1359" t="s">
        <v>12568</v>
      </c>
      <c r="W1359" t="s">
        <v>13900</v>
      </c>
      <c r="X1359">
        <v>19</v>
      </c>
      <c r="Y1359" t="s">
        <v>20113</v>
      </c>
      <c r="Z1359" t="s">
        <v>26229</v>
      </c>
      <c r="AA1359">
        <v>0.36945439309069972</v>
      </c>
      <c r="AB1359" t="str">
        <f>HYPERLINK("Melting_Curves/meltCurve_O95340_PAPSS2.pdf", "Melting_Curves/meltCurve_O95340_PAPSS2.pdf")</f>
        <v>Melting_Curves/meltCurve_O95340_PAPSS2.pdf</v>
      </c>
    </row>
    <row r="1360" spans="1:28" x14ac:dyDescent="0.25">
      <c r="A1360" t="s">
        <v>1364</v>
      </c>
      <c r="B1360">
        <v>0.99352677808782597</v>
      </c>
      <c r="C1360">
        <v>0.93925797870427596</v>
      </c>
      <c r="D1360">
        <v>0.72825302036544803</v>
      </c>
      <c r="E1360">
        <v>0.32222447999484599</v>
      </c>
      <c r="F1360">
        <v>0.240467640467423</v>
      </c>
      <c r="G1360">
        <v>0.146104318927891</v>
      </c>
      <c r="H1360">
        <v>8.9162114706225995E-2</v>
      </c>
      <c r="I1360">
        <v>8.54099192958271E-2</v>
      </c>
      <c r="J1360">
        <v>7.3579638932183195E-2</v>
      </c>
      <c r="K1360">
        <v>5.9310710033714999E-2</v>
      </c>
      <c r="L1360">
        <v>963.18787228530198</v>
      </c>
      <c r="M1360">
        <v>20.0925807972313</v>
      </c>
      <c r="N1360">
        <v>48.364427742165397</v>
      </c>
      <c r="O1360">
        <v>47.470218857338601</v>
      </c>
      <c r="P1360">
        <v>-9.7220674638033203E-2</v>
      </c>
      <c r="Q1360">
        <v>8.1265023157730196E-2</v>
      </c>
      <c r="R1360">
        <v>0.99587241527604498</v>
      </c>
      <c r="S1360" t="s">
        <v>7645</v>
      </c>
      <c r="T1360" t="s">
        <v>12568</v>
      </c>
      <c r="U1360" t="s">
        <v>12568</v>
      </c>
      <c r="V1360" t="s">
        <v>12568</v>
      </c>
      <c r="W1360" t="s">
        <v>13901</v>
      </c>
      <c r="X1360">
        <v>39</v>
      </c>
      <c r="Y1360" t="s">
        <v>20114</v>
      </c>
      <c r="Z1360" t="s">
        <v>26230</v>
      </c>
      <c r="AA1360">
        <v>0.33729263061349862</v>
      </c>
      <c r="AB1360" t="str">
        <f>HYPERLINK("Melting_Curves/meltCurve_O95347_SMC2.pdf", "Melting_Curves/meltCurve_O95347_SMC2.pdf")</f>
        <v>Melting_Curves/meltCurve_O95347_SMC2.pdf</v>
      </c>
    </row>
    <row r="1361" spans="1:28" x14ac:dyDescent="0.25">
      <c r="A1361" t="s">
        <v>1365</v>
      </c>
      <c r="B1361">
        <v>0.99352677808782597</v>
      </c>
      <c r="C1361">
        <v>1.1282954553600799</v>
      </c>
      <c r="D1361">
        <v>0.57933823350940405</v>
      </c>
      <c r="E1361">
        <v>0.32800329881022</v>
      </c>
      <c r="F1361">
        <v>0.23283226414622099</v>
      </c>
      <c r="G1361">
        <v>0.13398778067074199</v>
      </c>
      <c r="H1361">
        <v>9.3421316311975602E-2</v>
      </c>
      <c r="I1361">
        <v>9.3953629904731398E-2</v>
      </c>
      <c r="J1361">
        <v>7.3992176366568893E-2</v>
      </c>
      <c r="K1361">
        <v>5.3425727375775098E-2</v>
      </c>
      <c r="L1361">
        <v>1118.5053044159999</v>
      </c>
      <c r="M1361">
        <v>23.649671029282501</v>
      </c>
      <c r="N1361">
        <v>47.737706681914503</v>
      </c>
      <c r="O1361">
        <v>46.960490018207899</v>
      </c>
      <c r="P1361">
        <v>-0.113500324759524</v>
      </c>
      <c r="Q1361">
        <v>9.8517436031741304E-2</v>
      </c>
      <c r="R1361">
        <v>0.95581517287425999</v>
      </c>
      <c r="S1361" t="s">
        <v>7646</v>
      </c>
      <c r="T1361" t="s">
        <v>12568</v>
      </c>
      <c r="U1361" t="s">
        <v>12568</v>
      </c>
      <c r="V1361" t="s">
        <v>12568</v>
      </c>
      <c r="W1361" t="s">
        <v>13902</v>
      </c>
      <c r="X1361">
        <v>15</v>
      </c>
      <c r="Y1361" t="s">
        <v>20115</v>
      </c>
      <c r="Z1361" t="s">
        <v>26231</v>
      </c>
      <c r="AA1361">
        <v>0.32676309326863728</v>
      </c>
      <c r="AB1361" t="str">
        <f>HYPERLINK("Melting_Curves/meltCurve_O95352_ATG7.pdf", "Melting_Curves/meltCurve_O95352_ATG7.pdf")</f>
        <v>Melting_Curves/meltCurve_O95352_ATG7.pdf</v>
      </c>
    </row>
    <row r="1362" spans="1:28" x14ac:dyDescent="0.25">
      <c r="A1362" t="s">
        <v>1366</v>
      </c>
      <c r="B1362">
        <v>0.99352677808782597</v>
      </c>
      <c r="C1362">
        <v>1.0476234850575401</v>
      </c>
      <c r="D1362">
        <v>0.51033406619448995</v>
      </c>
      <c r="E1362">
        <v>0.34522725078820599</v>
      </c>
      <c r="F1362">
        <v>0.26084496943992902</v>
      </c>
      <c r="G1362">
        <v>0.166610984539242</v>
      </c>
      <c r="H1362">
        <v>0.102045715777002</v>
      </c>
      <c r="I1362">
        <v>8.9658197253260505E-2</v>
      </c>
      <c r="J1362">
        <v>8.4147427520037898E-2</v>
      </c>
      <c r="K1362">
        <v>6.4318533197030001E-2</v>
      </c>
      <c r="L1362">
        <v>946.14300998471799</v>
      </c>
      <c r="M1362">
        <v>20.150655410437</v>
      </c>
      <c r="N1362">
        <v>47.513828375924298</v>
      </c>
      <c r="O1362">
        <v>46.498374230183302</v>
      </c>
      <c r="P1362">
        <v>-9.6885426722417498E-2</v>
      </c>
      <c r="Q1362">
        <v>0.105761596369642</v>
      </c>
      <c r="R1362">
        <v>0.95488952156640805</v>
      </c>
      <c r="S1362" t="s">
        <v>7647</v>
      </c>
      <c r="T1362" t="s">
        <v>12568</v>
      </c>
      <c r="U1362" t="s">
        <v>12568</v>
      </c>
      <c r="V1362" t="s">
        <v>12568</v>
      </c>
      <c r="W1362" t="s">
        <v>13903</v>
      </c>
      <c r="X1362">
        <v>24</v>
      </c>
      <c r="Y1362" t="s">
        <v>20116</v>
      </c>
      <c r="Z1362" t="s">
        <v>26232</v>
      </c>
      <c r="AA1362">
        <v>0.32592976660270889</v>
      </c>
      <c r="AB1362" t="str">
        <f>HYPERLINK("Melting_Curves/meltCurve_O95361_TRIM16.pdf", "Melting_Curves/meltCurve_O95361_TRIM16.pdf")</f>
        <v>Melting_Curves/meltCurve_O95361_TRIM16.pdf</v>
      </c>
    </row>
    <row r="1363" spans="1:28" x14ac:dyDescent="0.25">
      <c r="A1363" t="s">
        <v>1367</v>
      </c>
      <c r="B1363">
        <v>0.99352677808782597</v>
      </c>
      <c r="C1363">
        <v>0.88070543672742796</v>
      </c>
      <c r="D1363">
        <v>0.66722390284866195</v>
      </c>
      <c r="E1363">
        <v>0.271430245647656</v>
      </c>
      <c r="F1363">
        <v>0.217568876218623</v>
      </c>
      <c r="G1363">
        <v>0.14636509932376299</v>
      </c>
      <c r="H1363">
        <v>0.107233689202442</v>
      </c>
      <c r="I1363">
        <v>9.4024594860538005E-2</v>
      </c>
      <c r="J1363">
        <v>0.107658981474264</v>
      </c>
      <c r="K1363">
        <v>6.4871756098101696E-2</v>
      </c>
      <c r="L1363">
        <v>957.954115593143</v>
      </c>
      <c r="M1363">
        <v>20.354026754671199</v>
      </c>
      <c r="N1363">
        <v>47.572528035646897</v>
      </c>
      <c r="O1363">
        <v>46.617362821583498</v>
      </c>
      <c r="P1363">
        <v>-9.8497340414307494E-2</v>
      </c>
      <c r="Q1363">
        <v>9.7663205208891296E-2</v>
      </c>
      <c r="R1363">
        <v>0.99554272860019799</v>
      </c>
      <c r="S1363" t="s">
        <v>7648</v>
      </c>
      <c r="T1363" t="s">
        <v>12568</v>
      </c>
      <c r="U1363" t="s">
        <v>12568</v>
      </c>
      <c r="V1363" t="s">
        <v>12568</v>
      </c>
      <c r="W1363" t="s">
        <v>13904</v>
      </c>
      <c r="X1363">
        <v>2</v>
      </c>
      <c r="Y1363" t="s">
        <v>20117</v>
      </c>
      <c r="Z1363" t="s">
        <v>26233</v>
      </c>
      <c r="AA1363">
        <v>0.32282713862285639</v>
      </c>
      <c r="AB1363" t="str">
        <f>HYPERLINK("Melting_Curves/meltCurve_O95363_FARS2.pdf", "Melting_Curves/meltCurve_O95363_FARS2.pdf")</f>
        <v>Melting_Curves/meltCurve_O95363_FARS2.pdf</v>
      </c>
    </row>
    <row r="1364" spans="1:28" x14ac:dyDescent="0.25">
      <c r="A1364" t="s">
        <v>1368</v>
      </c>
      <c r="B1364">
        <v>0.99352677808782597</v>
      </c>
      <c r="C1364">
        <v>1.0366238662362901</v>
      </c>
      <c r="D1364">
        <v>1.06838869355031</v>
      </c>
      <c r="E1364">
        <v>1.12804752597921</v>
      </c>
      <c r="F1364">
        <v>1.0262095814388099</v>
      </c>
      <c r="G1364">
        <v>0.95921296487824403</v>
      </c>
      <c r="H1364">
        <v>0.64786067953816895</v>
      </c>
      <c r="I1364">
        <v>0.410270038661943</v>
      </c>
      <c r="J1364">
        <v>0.32938291256584401</v>
      </c>
      <c r="K1364">
        <v>0.214429626622195</v>
      </c>
      <c r="L1364">
        <v>1900.9331787973499</v>
      </c>
      <c r="M1364">
        <v>30.907121997993201</v>
      </c>
      <c r="N1364">
        <v>62.768456673743998</v>
      </c>
      <c r="O1364">
        <v>61.248921953246601</v>
      </c>
      <c r="P1364">
        <v>-9.6932179712880706E-2</v>
      </c>
      <c r="Q1364">
        <v>0.23163877155733001</v>
      </c>
      <c r="R1364">
        <v>0.97489781981933599</v>
      </c>
      <c r="S1364" t="s">
        <v>7649</v>
      </c>
      <c r="T1364" t="s">
        <v>12568</v>
      </c>
      <c r="U1364" t="s">
        <v>12568</v>
      </c>
      <c r="V1364" t="s">
        <v>12568</v>
      </c>
      <c r="W1364" t="s">
        <v>13905</v>
      </c>
      <c r="X1364">
        <v>1</v>
      </c>
      <c r="Y1364" t="s">
        <v>20118</v>
      </c>
      <c r="Z1364" t="s">
        <v>26234</v>
      </c>
      <c r="AA1364">
        <v>0.78626263468601754</v>
      </c>
      <c r="AB1364" t="str">
        <f>HYPERLINK("Melting_Curves/meltCurve_O95365_ZBTB7A.pdf", "Melting_Curves/meltCurve_O95365_ZBTB7A.pdf")</f>
        <v>Melting_Curves/meltCurve_O95365_ZBTB7A.pdf</v>
      </c>
    </row>
    <row r="1365" spans="1:28" x14ac:dyDescent="0.25">
      <c r="A1365" t="s">
        <v>1369</v>
      </c>
      <c r="B1365">
        <v>0.99352677808782597</v>
      </c>
      <c r="C1365">
        <v>0.93579339446376397</v>
      </c>
      <c r="D1365">
        <v>1.0292374014388499</v>
      </c>
      <c r="E1365">
        <v>0.84913209398510803</v>
      </c>
      <c r="F1365">
        <v>0.819642644816584</v>
      </c>
      <c r="G1365">
        <v>0.53154694399791702</v>
      </c>
      <c r="H1365">
        <v>0.14984062778405999</v>
      </c>
      <c r="I1365">
        <v>0.10560450677061101</v>
      </c>
      <c r="J1365">
        <v>7.2975666111170401E-2</v>
      </c>
      <c r="K1365">
        <v>5.5747066981520897E-2</v>
      </c>
      <c r="L1365">
        <v>1130.08566632528</v>
      </c>
      <c r="M1365">
        <v>19.922633306941702</v>
      </c>
      <c r="N1365">
        <v>56.816337033535198</v>
      </c>
      <c r="O1365">
        <v>56.161477854480701</v>
      </c>
      <c r="P1365">
        <v>-8.7270393097156798E-2</v>
      </c>
      <c r="Q1365">
        <v>1.5979024281599499E-2</v>
      </c>
      <c r="R1365">
        <v>0.98734825616977595</v>
      </c>
      <c r="S1365" t="s">
        <v>7650</v>
      </c>
      <c r="T1365" t="s">
        <v>12568</v>
      </c>
      <c r="U1365" t="s">
        <v>12568</v>
      </c>
      <c r="V1365" t="s">
        <v>12568</v>
      </c>
      <c r="W1365" t="s">
        <v>13906</v>
      </c>
      <c r="X1365">
        <v>10</v>
      </c>
      <c r="Y1365" t="s">
        <v>20119</v>
      </c>
      <c r="Z1365" t="s">
        <v>26235</v>
      </c>
      <c r="AA1365">
        <v>0.57683039237018618</v>
      </c>
      <c r="AB1365" t="str">
        <f>HYPERLINK("Melting_Curves/meltCurve_O95372_LYPLA2.pdf", "Melting_Curves/meltCurve_O95372_LYPLA2.pdf")</f>
        <v>Melting_Curves/meltCurve_O95372_LYPLA2.pdf</v>
      </c>
    </row>
    <row r="1366" spans="1:28" x14ac:dyDescent="0.25">
      <c r="A1366" t="s">
        <v>1370</v>
      </c>
      <c r="B1366">
        <v>0.99352677808782597</v>
      </c>
      <c r="C1366">
        <v>1.04285055199608</v>
      </c>
      <c r="D1366">
        <v>0.86384311013422399</v>
      </c>
      <c r="E1366">
        <v>0.83244145692042704</v>
      </c>
      <c r="F1366">
        <v>0.71279759283647204</v>
      </c>
      <c r="G1366">
        <v>0.37253791179200701</v>
      </c>
      <c r="H1366">
        <v>0.167329565876044</v>
      </c>
      <c r="I1366">
        <v>0.106309500873998</v>
      </c>
      <c r="J1366">
        <v>8.0115253661121599E-2</v>
      </c>
      <c r="K1366">
        <v>6.20839081538333E-2</v>
      </c>
      <c r="L1366">
        <v>891.86856687620002</v>
      </c>
      <c r="M1366">
        <v>16.165237420119801</v>
      </c>
      <c r="N1366">
        <v>55.294494686469299</v>
      </c>
      <c r="O1366">
        <v>54.348408032277</v>
      </c>
      <c r="P1366">
        <v>-7.3056877975914203E-2</v>
      </c>
      <c r="Q1366">
        <v>1.7589204346726599E-2</v>
      </c>
      <c r="R1366">
        <v>0.98925428990999098</v>
      </c>
      <c r="S1366" t="s">
        <v>7651</v>
      </c>
      <c r="T1366" t="s">
        <v>12568</v>
      </c>
      <c r="U1366" t="s">
        <v>12568</v>
      </c>
      <c r="V1366" t="s">
        <v>12568</v>
      </c>
      <c r="W1366" t="s">
        <v>13907</v>
      </c>
      <c r="X1366">
        <v>29</v>
      </c>
      <c r="Y1366" t="s">
        <v>20120</v>
      </c>
      <c r="Z1366" t="s">
        <v>26236</v>
      </c>
      <c r="AA1366">
        <v>0.53166678930985489</v>
      </c>
      <c r="AB1366" t="str">
        <f>HYPERLINK("Melting_Curves/meltCurve_O95373_IPO7.pdf", "Melting_Curves/meltCurve_O95373_IPO7.pdf")</f>
        <v>Melting_Curves/meltCurve_O95373_IPO7.pdf</v>
      </c>
    </row>
    <row r="1367" spans="1:28" x14ac:dyDescent="0.25">
      <c r="A1367" t="s">
        <v>1371</v>
      </c>
      <c r="B1367">
        <v>0.99352677808782597</v>
      </c>
      <c r="C1367">
        <v>1.0022176321048</v>
      </c>
      <c r="D1367">
        <v>0.97825274290425801</v>
      </c>
      <c r="E1367">
        <v>0.72209585990922398</v>
      </c>
      <c r="F1367">
        <v>0.650941287452803</v>
      </c>
      <c r="G1367">
        <v>0.23213361815113301</v>
      </c>
      <c r="H1367">
        <v>0.137900243582953</v>
      </c>
      <c r="I1367">
        <v>0.12544671653856801</v>
      </c>
      <c r="J1367">
        <v>0.11077334186429599</v>
      </c>
      <c r="K1367">
        <v>8.7426133968626599E-2</v>
      </c>
      <c r="L1367">
        <v>1023.77267655128</v>
      </c>
      <c r="M1367">
        <v>19.2011755001841</v>
      </c>
      <c r="N1367">
        <v>53.7860685234103</v>
      </c>
      <c r="O1367">
        <v>52.750007153881597</v>
      </c>
      <c r="P1367">
        <v>-8.4005485829761195E-2</v>
      </c>
      <c r="Q1367">
        <v>7.6906404161743505E-2</v>
      </c>
      <c r="R1367">
        <v>0.98834162022069605</v>
      </c>
      <c r="S1367" t="s">
        <v>7652</v>
      </c>
      <c r="T1367" t="s">
        <v>12568</v>
      </c>
      <c r="U1367" t="s">
        <v>12568</v>
      </c>
      <c r="V1367" t="s">
        <v>12568</v>
      </c>
      <c r="W1367" t="s">
        <v>13908</v>
      </c>
      <c r="X1367">
        <v>18</v>
      </c>
      <c r="Y1367" t="s">
        <v>20121</v>
      </c>
      <c r="Z1367" t="s">
        <v>26237</v>
      </c>
      <c r="AA1367">
        <v>0.50024748055301682</v>
      </c>
      <c r="AB1367" t="str">
        <f>HYPERLINK("Melting_Curves/meltCurve_O95376_ARIH2.pdf", "Melting_Curves/meltCurve_O95376_ARIH2.pdf")</f>
        <v>Melting_Curves/meltCurve_O95376_ARIH2.pdf</v>
      </c>
    </row>
    <row r="1368" spans="1:28" x14ac:dyDescent="0.25">
      <c r="A1368" t="s">
        <v>1372</v>
      </c>
      <c r="B1368">
        <v>0.99352677808782597</v>
      </c>
      <c r="C1368">
        <v>1.01159214885402</v>
      </c>
      <c r="D1368">
        <v>0.99534845700434604</v>
      </c>
      <c r="E1368">
        <v>0.79179784718884205</v>
      </c>
      <c r="F1368">
        <v>0.78189486437005895</v>
      </c>
      <c r="G1368">
        <v>0.248539394240026</v>
      </c>
      <c r="H1368">
        <v>0.15348493563646801</v>
      </c>
      <c r="I1368">
        <v>0.14705007906263701</v>
      </c>
      <c r="J1368">
        <v>8.9240224597489495E-2</v>
      </c>
      <c r="K1368">
        <v>7.1541560159920303E-2</v>
      </c>
      <c r="L1368">
        <v>1335.62570979169</v>
      </c>
      <c r="M1368">
        <v>24.535858686312899</v>
      </c>
      <c r="N1368">
        <v>54.845932451643698</v>
      </c>
      <c r="O1368">
        <v>54.077926729617502</v>
      </c>
      <c r="P1368">
        <v>-0.103919992506397</v>
      </c>
      <c r="Q1368">
        <v>8.3839526458904703E-2</v>
      </c>
      <c r="R1368">
        <v>0.982067111702005</v>
      </c>
      <c r="S1368" t="s">
        <v>7653</v>
      </c>
      <c r="T1368" t="s">
        <v>12568</v>
      </c>
      <c r="U1368" t="s">
        <v>12568</v>
      </c>
      <c r="V1368" t="s">
        <v>12568</v>
      </c>
      <c r="W1368" t="s">
        <v>13909</v>
      </c>
      <c r="X1368">
        <v>4</v>
      </c>
      <c r="Y1368" t="s">
        <v>20122</v>
      </c>
      <c r="Z1368" t="s">
        <v>26238</v>
      </c>
      <c r="AA1368">
        <v>0.5334577699069053</v>
      </c>
      <c r="AB1368" t="str">
        <f>HYPERLINK("Melting_Curves/meltCurve_O95379_3_TNFAIP8.pdf", "Melting_Curves/meltCurve_O95379_3_TNFAIP8.pdf")</f>
        <v>Melting_Curves/meltCurve_O95379_3_TNFAIP8.pdf</v>
      </c>
    </row>
    <row r="1369" spans="1:28" x14ac:dyDescent="0.25">
      <c r="A1369" t="s">
        <v>1373</v>
      </c>
      <c r="B1369">
        <v>0.99352677808782597</v>
      </c>
      <c r="C1369">
        <v>0.93423723267428105</v>
      </c>
      <c r="D1369">
        <v>0.96087984216951206</v>
      </c>
      <c r="E1369">
        <v>0.88994066853016096</v>
      </c>
      <c r="F1369">
        <v>0.81941530605638002</v>
      </c>
      <c r="G1369">
        <v>0.71918610999591503</v>
      </c>
      <c r="H1369">
        <v>0.67065854002702197</v>
      </c>
      <c r="I1369">
        <v>0.65026644009993495</v>
      </c>
      <c r="J1369">
        <v>0.68523622561892295</v>
      </c>
      <c r="K1369">
        <v>0.587788888897401</v>
      </c>
      <c r="L1369">
        <v>587.37139120821405</v>
      </c>
      <c r="M1369">
        <v>10.893958441081899</v>
      </c>
      <c r="O1369">
        <v>52.195817585644697</v>
      </c>
      <c r="P1369">
        <v>-2.13901543123492E-2</v>
      </c>
      <c r="Q1369">
        <v>0.59020011353420498</v>
      </c>
      <c r="R1369">
        <v>0.96703293202347596</v>
      </c>
      <c r="S1369" t="s">
        <v>7654</v>
      </c>
      <c r="T1369" t="s">
        <v>12568</v>
      </c>
      <c r="U1369" t="s">
        <v>12568</v>
      </c>
      <c r="V1369" t="s">
        <v>12568</v>
      </c>
      <c r="W1369" t="s">
        <v>13910</v>
      </c>
      <c r="X1369">
        <v>7</v>
      </c>
      <c r="Y1369" t="s">
        <v>20123</v>
      </c>
      <c r="Z1369" t="s">
        <v>26239</v>
      </c>
      <c r="AA1369">
        <v>0.79204766696249562</v>
      </c>
      <c r="AB1369" t="str">
        <f>HYPERLINK("Melting_Curves/meltCurve_O95391_SLU7.pdf", "Melting_Curves/meltCurve_O95391_SLU7.pdf")</f>
        <v>Melting_Curves/meltCurve_O95391_SLU7.pdf</v>
      </c>
    </row>
    <row r="1370" spans="1:28" x14ac:dyDescent="0.25">
      <c r="A1370" t="s">
        <v>1374</v>
      </c>
      <c r="B1370">
        <v>0.99352677808782597</v>
      </c>
      <c r="C1370">
        <v>0.92404973394051204</v>
      </c>
      <c r="D1370">
        <v>0.98295801285185902</v>
      </c>
      <c r="E1370">
        <v>0.31171207144326601</v>
      </c>
      <c r="F1370">
        <v>0.23893965248040799</v>
      </c>
      <c r="G1370">
        <v>0.14509882493738499</v>
      </c>
      <c r="H1370">
        <v>0.107162469092051</v>
      </c>
      <c r="I1370">
        <v>9.1400377872669095E-2</v>
      </c>
      <c r="J1370">
        <v>7.9821211713802007E-2</v>
      </c>
      <c r="K1370">
        <v>5.8297413806274699E-2</v>
      </c>
      <c r="L1370">
        <v>2195.5011854067402</v>
      </c>
      <c r="M1370">
        <v>44.994436538390602</v>
      </c>
      <c r="N1370">
        <v>49.0731352098557</v>
      </c>
      <c r="O1370">
        <v>48.698866282787399</v>
      </c>
      <c r="P1370">
        <v>-0.204980921279937</v>
      </c>
      <c r="Q1370">
        <v>0.112572660115363</v>
      </c>
      <c r="R1370">
        <v>0.98401166287613295</v>
      </c>
      <c r="S1370" t="s">
        <v>7655</v>
      </c>
      <c r="T1370" t="s">
        <v>12568</v>
      </c>
      <c r="U1370" t="s">
        <v>12568</v>
      </c>
      <c r="V1370" t="s">
        <v>12568</v>
      </c>
      <c r="W1370" t="s">
        <v>13911</v>
      </c>
      <c r="X1370">
        <v>21</v>
      </c>
      <c r="Y1370" t="s">
        <v>20124</v>
      </c>
      <c r="Z1370" t="s">
        <v>26240</v>
      </c>
      <c r="AA1370">
        <v>0.37509802633729822</v>
      </c>
      <c r="AB1370" t="str">
        <f>HYPERLINK("Melting_Curves/meltCurve_O95394_PGM3.pdf", "Melting_Curves/meltCurve_O95394_PGM3.pdf")</f>
        <v>Melting_Curves/meltCurve_O95394_PGM3.pdf</v>
      </c>
    </row>
    <row r="1371" spans="1:28" x14ac:dyDescent="0.25">
      <c r="A1371" t="s">
        <v>1375</v>
      </c>
      <c r="B1371">
        <v>0.99352677808782597</v>
      </c>
      <c r="C1371">
        <v>0.93241215097806496</v>
      </c>
      <c r="D1371">
        <v>0.70572163220973105</v>
      </c>
      <c r="E1371">
        <v>0.23455449102513001</v>
      </c>
      <c r="F1371">
        <v>0.182994662172278</v>
      </c>
      <c r="G1371">
        <v>0.102715884738719</v>
      </c>
      <c r="H1371">
        <v>8.2999406725160998E-2</v>
      </c>
      <c r="I1371">
        <v>8.4193381201312201E-2</v>
      </c>
      <c r="J1371">
        <v>6.7308486084421207E-2</v>
      </c>
      <c r="K1371">
        <v>4.91340028353437E-2</v>
      </c>
      <c r="L1371">
        <v>1191.9968495217199</v>
      </c>
      <c r="M1371">
        <v>25.206260187592701</v>
      </c>
      <c r="N1371">
        <v>47.6114390882706</v>
      </c>
      <c r="O1371">
        <v>46.995091482669999</v>
      </c>
      <c r="P1371">
        <v>-0.12359157076843499</v>
      </c>
      <c r="Q1371">
        <v>7.8305133134776397E-2</v>
      </c>
      <c r="R1371">
        <v>0.99651866627747898</v>
      </c>
      <c r="S1371" t="s">
        <v>7656</v>
      </c>
      <c r="T1371" t="s">
        <v>12568</v>
      </c>
      <c r="U1371" t="s">
        <v>12568</v>
      </c>
      <c r="V1371" t="s">
        <v>12568</v>
      </c>
      <c r="W1371" t="s">
        <v>13912</v>
      </c>
      <c r="X1371">
        <v>8</v>
      </c>
      <c r="Y1371" t="s">
        <v>20125</v>
      </c>
      <c r="Z1371" t="s">
        <v>26241</v>
      </c>
      <c r="AA1371">
        <v>0.31031278296735743</v>
      </c>
      <c r="AB1371" t="str">
        <f>HYPERLINK("Melting_Curves/meltCurve_O95396_MOCS3.pdf", "Melting_Curves/meltCurve_O95396_MOCS3.pdf")</f>
        <v>Melting_Curves/meltCurve_O95396_MOCS3.pdf</v>
      </c>
    </row>
    <row r="1372" spans="1:28" x14ac:dyDescent="0.25">
      <c r="A1372" t="s">
        <v>1376</v>
      </c>
      <c r="B1372">
        <v>0.99352677808782597</v>
      </c>
      <c r="C1372">
        <v>1.00642054413249</v>
      </c>
      <c r="D1372">
        <v>0.93427907938122801</v>
      </c>
      <c r="E1372">
        <v>0.92116364752039404</v>
      </c>
      <c r="F1372">
        <v>0.802131388038966</v>
      </c>
      <c r="G1372">
        <v>0.54971827221417802</v>
      </c>
      <c r="H1372">
        <v>0.40696283696418301</v>
      </c>
      <c r="I1372">
        <v>0.30884871320818402</v>
      </c>
      <c r="J1372">
        <v>0.27140540314906503</v>
      </c>
      <c r="K1372">
        <v>0.188592814174072</v>
      </c>
      <c r="L1372">
        <v>813.54505041347102</v>
      </c>
      <c r="M1372">
        <v>14.2655798553981</v>
      </c>
      <c r="N1372">
        <v>58.580110922051297</v>
      </c>
      <c r="O1372">
        <v>55.943001559515402</v>
      </c>
      <c r="P1372">
        <v>-5.3727145416270099E-2</v>
      </c>
      <c r="Q1372">
        <v>0.15733162789663799</v>
      </c>
      <c r="R1372">
        <v>0.99515069211907303</v>
      </c>
      <c r="S1372" t="s">
        <v>7657</v>
      </c>
      <c r="T1372" t="s">
        <v>12568</v>
      </c>
      <c r="U1372" t="s">
        <v>12568</v>
      </c>
      <c r="V1372" t="s">
        <v>12568</v>
      </c>
      <c r="W1372" t="s">
        <v>13913</v>
      </c>
      <c r="X1372">
        <v>1</v>
      </c>
      <c r="Y1372" t="s">
        <v>20126</v>
      </c>
      <c r="Z1372" t="s">
        <v>26242</v>
      </c>
      <c r="AA1372">
        <v>0.64926051774654769</v>
      </c>
      <c r="AB1372" t="str">
        <f>HYPERLINK("Melting_Curves/meltCurve_O95399_UTS2.pdf", "Melting_Curves/meltCurve_O95399_UTS2.pdf")</f>
        <v>Melting_Curves/meltCurve_O95399_UTS2.pdf</v>
      </c>
    </row>
    <row r="1373" spans="1:28" x14ac:dyDescent="0.25">
      <c r="A1373" t="s">
        <v>1377</v>
      </c>
      <c r="B1373">
        <v>0.99352677808782597</v>
      </c>
      <c r="C1373">
        <v>0.949691908198803</v>
      </c>
      <c r="D1373">
        <v>1.3101361861110701</v>
      </c>
      <c r="E1373">
        <v>1.35598483986454</v>
      </c>
      <c r="F1373">
        <v>1.2037528009588401</v>
      </c>
      <c r="G1373">
        <v>0.94213852989967095</v>
      </c>
      <c r="H1373">
        <v>1.0007187258828101</v>
      </c>
      <c r="I1373">
        <v>1.1791232348629499</v>
      </c>
      <c r="J1373">
        <v>1.2934363351722999</v>
      </c>
      <c r="K1373">
        <v>1.25992567288486</v>
      </c>
      <c r="L1373">
        <v>11081.793067377999</v>
      </c>
      <c r="M1373">
        <v>250</v>
      </c>
      <c r="O1373">
        <v>44.324353002226303</v>
      </c>
      <c r="P1373">
        <v>0.27235542826695702</v>
      </c>
      <c r="Q1373">
        <v>1.1931515748236501</v>
      </c>
      <c r="R1373">
        <v>0.327890762193081</v>
      </c>
      <c r="S1373" t="s">
        <v>7658</v>
      </c>
      <c r="T1373" t="s">
        <v>12568</v>
      </c>
      <c r="U1373" t="s">
        <v>12568</v>
      </c>
      <c r="V1373" t="s">
        <v>12568</v>
      </c>
      <c r="W1373" t="s">
        <v>13914</v>
      </c>
      <c r="X1373">
        <v>5</v>
      </c>
      <c r="Y1373" t="s">
        <v>20127</v>
      </c>
      <c r="Z1373" t="s">
        <v>26243</v>
      </c>
      <c r="AA1373">
        <v>1.165276544274122</v>
      </c>
      <c r="AB1373" t="str">
        <f>HYPERLINK("Melting_Curves/meltCurve_O95400_CD2BP2.pdf", "Melting_Curves/meltCurve_O95400_CD2BP2.pdf")</f>
        <v>Melting_Curves/meltCurve_O95400_CD2BP2.pdf</v>
      </c>
    </row>
    <row r="1374" spans="1:28" x14ac:dyDescent="0.25">
      <c r="A1374" t="s">
        <v>1378</v>
      </c>
      <c r="B1374">
        <v>0.99352677808782597</v>
      </c>
      <c r="C1374">
        <v>0.959302349651043</v>
      </c>
      <c r="D1374">
        <v>0.94663419611263699</v>
      </c>
      <c r="E1374">
        <v>0.48009004771924402</v>
      </c>
      <c r="F1374">
        <v>0.41693520214441099</v>
      </c>
      <c r="G1374">
        <v>0.28577062913934198</v>
      </c>
      <c r="H1374">
        <v>0.31658522561161401</v>
      </c>
      <c r="I1374">
        <v>0.18940181675104401</v>
      </c>
      <c r="J1374">
        <v>0.142998680015267</v>
      </c>
      <c r="K1374">
        <v>8.7351476560774396E-2</v>
      </c>
      <c r="L1374">
        <v>908.41606012316402</v>
      </c>
      <c r="M1374">
        <v>18.200954156052699</v>
      </c>
      <c r="N1374">
        <v>51.110909730003101</v>
      </c>
      <c r="O1374">
        <v>49.319554313230803</v>
      </c>
      <c r="P1374">
        <v>-7.6216420687412106E-2</v>
      </c>
      <c r="Q1374">
        <v>0.17393717546298501</v>
      </c>
      <c r="R1374">
        <v>0.96183129697915104</v>
      </c>
      <c r="S1374" t="s">
        <v>7659</v>
      </c>
      <c r="T1374" t="s">
        <v>12568</v>
      </c>
      <c r="U1374" t="s">
        <v>12568</v>
      </c>
      <c r="V1374" t="s">
        <v>12568</v>
      </c>
      <c r="W1374" t="s">
        <v>13915</v>
      </c>
      <c r="X1374">
        <v>3</v>
      </c>
      <c r="Y1374" t="s">
        <v>20128</v>
      </c>
      <c r="Z1374" t="s">
        <v>26244</v>
      </c>
      <c r="AA1374">
        <v>0.46063102797396183</v>
      </c>
      <c r="AB1374" t="str">
        <f>HYPERLINK("Melting_Curves/meltCurve_O95402_MED26.pdf", "Melting_Curves/meltCurve_O95402_MED26.pdf")</f>
        <v>Melting_Curves/meltCurve_O95402_MED26.pdf</v>
      </c>
    </row>
    <row r="1375" spans="1:28" x14ac:dyDescent="0.25">
      <c r="A1375" t="s">
        <v>1379</v>
      </c>
      <c r="B1375">
        <v>0.99352677808782597</v>
      </c>
      <c r="C1375">
        <v>1.0194006078922</v>
      </c>
      <c r="D1375">
        <v>0.98820999536738796</v>
      </c>
      <c r="E1375">
        <v>0.85239615413979897</v>
      </c>
      <c r="F1375">
        <v>0.82619638343246504</v>
      </c>
      <c r="G1375">
        <v>0.63521959064938904</v>
      </c>
      <c r="H1375">
        <v>0.586575874059724</v>
      </c>
      <c r="I1375">
        <v>0.69635617277195005</v>
      </c>
      <c r="J1375">
        <v>0.65628575006586198</v>
      </c>
      <c r="K1375">
        <v>0.58082785174219898</v>
      </c>
      <c r="L1375">
        <v>1113.2897835305901</v>
      </c>
      <c r="M1375">
        <v>21.3655441563835</v>
      </c>
      <c r="O1375">
        <v>51.6567515330932</v>
      </c>
      <c r="P1375">
        <v>-3.9293805793687901E-2</v>
      </c>
      <c r="Q1375">
        <v>0.61999760569131401</v>
      </c>
      <c r="R1375">
        <v>0.94162521780602504</v>
      </c>
      <c r="S1375" t="s">
        <v>7660</v>
      </c>
      <c r="T1375" t="s">
        <v>12568</v>
      </c>
      <c r="U1375" t="s">
        <v>12568</v>
      </c>
      <c r="V1375" t="s">
        <v>12568</v>
      </c>
      <c r="W1375" t="s">
        <v>13916</v>
      </c>
      <c r="X1375">
        <v>3</v>
      </c>
      <c r="Y1375" t="s">
        <v>20129</v>
      </c>
      <c r="Z1375" t="s">
        <v>26245</v>
      </c>
      <c r="AA1375">
        <v>0.77801589672068772</v>
      </c>
      <c r="AB1375" t="str">
        <f>HYPERLINK("Melting_Curves/meltCurve_O95405_ZFYVE9.pdf", "Melting_Curves/meltCurve_O95405_ZFYVE9.pdf")</f>
        <v>Melting_Curves/meltCurve_O95405_ZFYVE9.pdf</v>
      </c>
    </row>
    <row r="1376" spans="1:28" x14ac:dyDescent="0.25">
      <c r="A1376" t="s">
        <v>1380</v>
      </c>
      <c r="B1376">
        <v>0.99352677808782597</v>
      </c>
      <c r="C1376">
        <v>0.95960883078583903</v>
      </c>
      <c r="D1376">
        <v>1.00672784700704</v>
      </c>
      <c r="E1376">
        <v>0.92517342784593903</v>
      </c>
      <c r="F1376">
        <v>0.84235527276311295</v>
      </c>
      <c r="G1376">
        <v>0.79505012472743897</v>
      </c>
      <c r="H1376">
        <v>0.68808930138758895</v>
      </c>
      <c r="I1376">
        <v>0.74580278302918301</v>
      </c>
      <c r="J1376">
        <v>0.92189388085428303</v>
      </c>
      <c r="K1376">
        <v>0.78544710078332003</v>
      </c>
      <c r="L1376">
        <v>1733.90947825591</v>
      </c>
      <c r="M1376">
        <v>33.949728630748197</v>
      </c>
      <c r="O1376">
        <v>50.896626085873898</v>
      </c>
      <c r="P1376">
        <v>-3.5563627307199801E-2</v>
      </c>
      <c r="Q1376">
        <v>0.78673627785204503</v>
      </c>
      <c r="R1376">
        <v>0.71069774614348902</v>
      </c>
      <c r="S1376" t="s">
        <v>7661</v>
      </c>
      <c r="T1376" t="s">
        <v>12568</v>
      </c>
      <c r="U1376" t="s">
        <v>12568</v>
      </c>
      <c r="V1376" t="s">
        <v>12568</v>
      </c>
      <c r="W1376" t="s">
        <v>13917</v>
      </c>
      <c r="X1376">
        <v>7</v>
      </c>
      <c r="Y1376" t="s">
        <v>20130</v>
      </c>
      <c r="Z1376" t="s">
        <v>26246</v>
      </c>
      <c r="AA1376">
        <v>0.86649821812963101</v>
      </c>
      <c r="AB1376" t="str">
        <f>HYPERLINK("Melting_Curves/meltCurve_O95425_SVIL.pdf", "Melting_Curves/meltCurve_O95425_SVIL.pdf")</f>
        <v>Melting_Curves/meltCurve_O95425_SVIL.pdf</v>
      </c>
    </row>
    <row r="1377" spans="1:28" x14ac:dyDescent="0.25">
      <c r="A1377" t="s">
        <v>1381</v>
      </c>
      <c r="B1377">
        <v>0.99352677808782597</v>
      </c>
      <c r="C1377">
        <v>0.94976190963140295</v>
      </c>
      <c r="D1377">
        <v>1.0734346919500899</v>
      </c>
      <c r="E1377">
        <v>0.819022452223366</v>
      </c>
      <c r="F1377">
        <v>0.708665062808849</v>
      </c>
      <c r="G1377">
        <v>0.62270033420844695</v>
      </c>
      <c r="H1377">
        <v>0.62418299602593996</v>
      </c>
      <c r="I1377">
        <v>0.71429964162211801</v>
      </c>
      <c r="J1377">
        <v>0.78002807006520902</v>
      </c>
      <c r="K1377">
        <v>0.69671757583424998</v>
      </c>
      <c r="L1377">
        <v>4361.4395908664301</v>
      </c>
      <c r="M1377">
        <v>87.565881334927397</v>
      </c>
      <c r="O1377">
        <v>49.781575975015798</v>
      </c>
      <c r="P1377">
        <v>-0.13598098152490801</v>
      </c>
      <c r="Q1377">
        <v>0.69077704837006504</v>
      </c>
      <c r="R1377">
        <v>0.884498338937732</v>
      </c>
      <c r="S1377" t="s">
        <v>7662</v>
      </c>
      <c r="T1377" t="s">
        <v>12568</v>
      </c>
      <c r="U1377" t="s">
        <v>12568</v>
      </c>
      <c r="V1377" t="s">
        <v>12568</v>
      </c>
      <c r="W1377" t="s">
        <v>13918</v>
      </c>
      <c r="X1377">
        <v>7</v>
      </c>
      <c r="Y1377" t="s">
        <v>20131</v>
      </c>
      <c r="Z1377" t="s">
        <v>26247</v>
      </c>
      <c r="AA1377">
        <v>0.7920880831458087</v>
      </c>
      <c r="AB1377" t="str">
        <f>HYPERLINK("Melting_Curves/meltCurve_O95429_2_BAG4.pdf", "Melting_Curves/meltCurve_O95429_2_BAG4.pdf")</f>
        <v>Melting_Curves/meltCurve_O95429_2_BAG4.pdf</v>
      </c>
    </row>
    <row r="1378" spans="1:28" x14ac:dyDescent="0.25">
      <c r="A1378" t="s">
        <v>1382</v>
      </c>
      <c r="B1378">
        <v>0.99352677808782597</v>
      </c>
      <c r="C1378">
        <v>0.851187497067732</v>
      </c>
      <c r="D1378">
        <v>1.0130571318618</v>
      </c>
      <c r="E1378">
        <v>0.75746673900401096</v>
      </c>
      <c r="F1378">
        <v>0.67004026326628796</v>
      </c>
      <c r="G1378">
        <v>0.27563863221305801</v>
      </c>
      <c r="H1378">
        <v>0.16073028996439701</v>
      </c>
      <c r="I1378">
        <v>0.137879985232639</v>
      </c>
      <c r="J1378">
        <v>0.124839483275792</v>
      </c>
      <c r="K1378">
        <v>9.5543550507322703E-2</v>
      </c>
      <c r="L1378">
        <v>1005.10582008655</v>
      </c>
      <c r="M1378">
        <v>18.711567559717</v>
      </c>
      <c r="N1378">
        <v>54.260307404807399</v>
      </c>
      <c r="O1378">
        <v>53.113502958057602</v>
      </c>
      <c r="P1378">
        <v>-8.0537290360566199E-2</v>
      </c>
      <c r="Q1378">
        <v>8.5605970043756904E-2</v>
      </c>
      <c r="R1378">
        <v>0.97490124202991202</v>
      </c>
      <c r="S1378" t="s">
        <v>7663</v>
      </c>
      <c r="T1378" t="s">
        <v>12568</v>
      </c>
      <c r="U1378" t="s">
        <v>12568</v>
      </c>
      <c r="V1378" t="s">
        <v>12568</v>
      </c>
      <c r="W1378" t="s">
        <v>13919</v>
      </c>
      <c r="X1378">
        <v>29</v>
      </c>
      <c r="Y1378" t="s">
        <v>20132</v>
      </c>
      <c r="Z1378" t="s">
        <v>26248</v>
      </c>
      <c r="AA1378">
        <v>0.5175436992005974</v>
      </c>
      <c r="AB1378" t="str">
        <f>HYPERLINK("Melting_Curves/meltCurve_O95433_AHSA1.pdf", "Melting_Curves/meltCurve_O95433_AHSA1.pdf")</f>
        <v>Melting_Curves/meltCurve_O95433_AHSA1.pdf</v>
      </c>
    </row>
    <row r="1379" spans="1:28" x14ac:dyDescent="0.25">
      <c r="A1379" t="s">
        <v>1383</v>
      </c>
      <c r="B1379">
        <v>0.99352677808782597</v>
      </c>
      <c r="C1379">
        <v>1.0091249937448099</v>
      </c>
      <c r="D1379">
        <v>1.0390494516465101</v>
      </c>
      <c r="E1379">
        <v>0.62282939793582803</v>
      </c>
      <c r="F1379">
        <v>0.53016681286174605</v>
      </c>
      <c r="G1379">
        <v>0.360622168911025</v>
      </c>
      <c r="H1379">
        <v>0.28089469857010102</v>
      </c>
      <c r="I1379">
        <v>0.31461878759215001</v>
      </c>
      <c r="J1379">
        <v>0.27351553521972899</v>
      </c>
      <c r="K1379">
        <v>0.26471151689497902</v>
      </c>
      <c r="L1379">
        <v>1177.2687051446501</v>
      </c>
      <c r="M1379">
        <v>23.209903524185101</v>
      </c>
      <c r="N1379">
        <v>52.650443185060503</v>
      </c>
      <c r="O1379">
        <v>50.350647325805603</v>
      </c>
      <c r="P1379">
        <v>-8.2254598738303E-2</v>
      </c>
      <c r="Q1379">
        <v>0.286253300210773</v>
      </c>
      <c r="R1379">
        <v>0.97791279836857803</v>
      </c>
      <c r="S1379" t="s">
        <v>7664</v>
      </c>
      <c r="T1379" t="s">
        <v>12568</v>
      </c>
      <c r="U1379" t="s">
        <v>12568</v>
      </c>
      <c r="V1379" t="s">
        <v>12568</v>
      </c>
      <c r="W1379" t="s">
        <v>13920</v>
      </c>
      <c r="X1379">
        <v>10</v>
      </c>
      <c r="Y1379" t="s">
        <v>20133</v>
      </c>
      <c r="Z1379" t="s">
        <v>26249</v>
      </c>
      <c r="AA1379">
        <v>0.54880390687035308</v>
      </c>
      <c r="AB1379" t="str">
        <f>HYPERLINK("Melting_Curves/meltCurve_O95453_2_PARN.pdf", "Melting_Curves/meltCurve_O95453_2_PARN.pdf")</f>
        <v>Melting_Curves/meltCurve_O95453_2_PARN.pdf</v>
      </c>
    </row>
    <row r="1380" spans="1:28" x14ac:dyDescent="0.25">
      <c r="A1380" t="s">
        <v>1384</v>
      </c>
      <c r="B1380">
        <v>0.99352677808782597</v>
      </c>
      <c r="C1380">
        <v>0.967297581544181</v>
      </c>
      <c r="D1380">
        <v>1.00004108508266</v>
      </c>
      <c r="E1380">
        <v>1.03011432296364</v>
      </c>
      <c r="F1380">
        <v>0.98033001190500202</v>
      </c>
      <c r="G1380">
        <v>0.81620346678440203</v>
      </c>
      <c r="H1380">
        <v>0.60213682865951001</v>
      </c>
      <c r="I1380">
        <v>0.29280428197151898</v>
      </c>
      <c r="J1380">
        <v>0.164829825393223</v>
      </c>
      <c r="K1380">
        <v>0.124344052752551</v>
      </c>
      <c r="L1380">
        <v>1371.54138659809</v>
      </c>
      <c r="M1380">
        <v>22.345670903866601</v>
      </c>
      <c r="N1380">
        <v>61.671434022907199</v>
      </c>
      <c r="O1380">
        <v>60.893171350727499</v>
      </c>
      <c r="P1380">
        <v>-8.7122435355138306E-2</v>
      </c>
      <c r="Q1380">
        <v>5.0366376416626599E-2</v>
      </c>
      <c r="R1380">
        <v>0.99419776495410805</v>
      </c>
      <c r="S1380" t="s">
        <v>7665</v>
      </c>
      <c r="T1380" t="s">
        <v>12568</v>
      </c>
      <c r="U1380" t="s">
        <v>12568</v>
      </c>
      <c r="V1380" t="s">
        <v>12568</v>
      </c>
      <c r="W1380" t="s">
        <v>13921</v>
      </c>
      <c r="X1380">
        <v>9</v>
      </c>
      <c r="Y1380" t="s">
        <v>20134</v>
      </c>
      <c r="Z1380" t="s">
        <v>26250</v>
      </c>
      <c r="AA1380">
        <v>0.73240715871266693</v>
      </c>
      <c r="AB1380" t="str">
        <f>HYPERLINK("Melting_Curves/meltCurve_O95456_PSMG1.pdf", "Melting_Curves/meltCurve_O95456_PSMG1.pdf")</f>
        <v>Melting_Curves/meltCurve_O95456_PSMG1.pdf</v>
      </c>
    </row>
    <row r="1381" spans="1:28" x14ac:dyDescent="0.25">
      <c r="A1381" t="s">
        <v>1385</v>
      </c>
      <c r="B1381">
        <v>0.99352677808782597</v>
      </c>
      <c r="C1381">
        <v>0.59154119023404494</v>
      </c>
      <c r="D1381">
        <v>0.50324114429561995</v>
      </c>
      <c r="E1381">
        <v>0.33846046762436</v>
      </c>
      <c r="F1381">
        <v>0.300519604082785</v>
      </c>
      <c r="G1381">
        <v>0.23041139969403701</v>
      </c>
      <c r="H1381">
        <v>0.16582146678278101</v>
      </c>
      <c r="I1381">
        <v>0.17582983530987401</v>
      </c>
      <c r="J1381">
        <v>0.16234561340554601</v>
      </c>
      <c r="K1381">
        <v>0.17542466941755899</v>
      </c>
      <c r="L1381">
        <v>648.83256514865104</v>
      </c>
      <c r="M1381">
        <v>14.562857016552799</v>
      </c>
      <c r="N1381">
        <v>45.9382122346803</v>
      </c>
      <c r="O1381">
        <v>43.739109271976098</v>
      </c>
      <c r="P1381">
        <v>-6.8461612335529498E-2</v>
      </c>
      <c r="Q1381">
        <v>0.17760390277812599</v>
      </c>
      <c r="R1381">
        <v>0.949389889813125</v>
      </c>
      <c r="S1381" t="s">
        <v>7666</v>
      </c>
      <c r="T1381" t="s">
        <v>12568</v>
      </c>
      <c r="U1381" t="s">
        <v>12568</v>
      </c>
      <c r="V1381" t="s">
        <v>12568</v>
      </c>
      <c r="W1381" t="s">
        <v>13922</v>
      </c>
      <c r="X1381">
        <v>6</v>
      </c>
      <c r="Y1381" t="s">
        <v>20135</v>
      </c>
      <c r="Z1381" t="s">
        <v>26251</v>
      </c>
      <c r="AA1381">
        <v>0.33198553773747602</v>
      </c>
      <c r="AB1381" t="str">
        <f>HYPERLINK("Melting_Curves/meltCurve_O95466_FMNL1.pdf", "Melting_Curves/meltCurve_O95466_FMNL1.pdf")</f>
        <v>Melting_Curves/meltCurve_O95466_FMNL1.pdf</v>
      </c>
    </row>
    <row r="1382" spans="1:28" x14ac:dyDescent="0.25">
      <c r="A1382" t="s">
        <v>1386</v>
      </c>
      <c r="B1382">
        <v>0.99352677808782597</v>
      </c>
      <c r="C1382">
        <v>1.0523055416790099</v>
      </c>
      <c r="D1382">
        <v>0.97766553100555498</v>
      </c>
      <c r="E1382">
        <v>0.38591366382414199</v>
      </c>
      <c r="F1382">
        <v>0.33363763889279102</v>
      </c>
      <c r="G1382">
        <v>0.20844973546985601</v>
      </c>
      <c r="H1382">
        <v>0.16674293985465399</v>
      </c>
      <c r="I1382">
        <v>0.16761806060724499</v>
      </c>
      <c r="J1382">
        <v>0.151286361841244</v>
      </c>
      <c r="K1382">
        <v>0.108074248786465</v>
      </c>
      <c r="L1382">
        <v>1862.6494557083499</v>
      </c>
      <c r="M1382">
        <v>38.064453052585698</v>
      </c>
      <c r="N1382">
        <v>49.498916232191696</v>
      </c>
      <c r="O1382">
        <v>48.799620887761598</v>
      </c>
      <c r="P1382">
        <v>-0.16065298448967499</v>
      </c>
      <c r="Q1382">
        <v>0.176156880464273</v>
      </c>
      <c r="R1382">
        <v>0.98068976585525103</v>
      </c>
      <c r="S1382" t="s">
        <v>7667</v>
      </c>
      <c r="T1382" t="s">
        <v>12568</v>
      </c>
      <c r="U1382" t="s">
        <v>12568</v>
      </c>
      <c r="V1382" t="s">
        <v>12568</v>
      </c>
      <c r="W1382" t="s">
        <v>13923</v>
      </c>
      <c r="X1382">
        <v>3</v>
      </c>
      <c r="Y1382" t="s">
        <v>20136</v>
      </c>
      <c r="Z1382" t="s">
        <v>26252</v>
      </c>
      <c r="AA1382">
        <v>0.42458463546026282</v>
      </c>
      <c r="AB1382" t="str">
        <f>HYPERLINK("Melting_Curves/meltCurve_O95479_H6PD.pdf", "Melting_Curves/meltCurve_O95479_H6PD.pdf")</f>
        <v>Melting_Curves/meltCurve_O95479_H6PD.pdf</v>
      </c>
    </row>
    <row r="1383" spans="1:28" x14ac:dyDescent="0.25">
      <c r="A1383" t="s">
        <v>1387</v>
      </c>
      <c r="B1383">
        <v>0.99352677808782597</v>
      </c>
      <c r="C1383">
        <v>1.01542023458098</v>
      </c>
      <c r="D1383">
        <v>0.870781222696975</v>
      </c>
      <c r="E1383">
        <v>0.274875907109356</v>
      </c>
      <c r="F1383">
        <v>0.20394837609500499</v>
      </c>
      <c r="G1383">
        <v>0.10689287628722401</v>
      </c>
      <c r="H1383">
        <v>6.0750660123366003E-2</v>
      </c>
      <c r="I1383">
        <v>5.8267220581714699E-2</v>
      </c>
      <c r="J1383">
        <v>4.6213313258615399E-2</v>
      </c>
      <c r="K1383">
        <v>3.48724210384318E-2</v>
      </c>
      <c r="L1383">
        <v>1566.5140431379</v>
      </c>
      <c r="M1383">
        <v>32.373869156472203</v>
      </c>
      <c r="N1383">
        <v>48.615019767668898</v>
      </c>
      <c r="O1383">
        <v>48.2047270999985</v>
      </c>
      <c r="P1383">
        <v>-0.156130899280605</v>
      </c>
      <c r="Q1383">
        <v>7.0088388030922405E-2</v>
      </c>
      <c r="R1383">
        <v>0.99223570350541002</v>
      </c>
      <c r="S1383" t="s">
        <v>7668</v>
      </c>
      <c r="T1383" t="s">
        <v>12568</v>
      </c>
      <c r="U1383" t="s">
        <v>12568</v>
      </c>
      <c r="V1383" t="s">
        <v>12568</v>
      </c>
      <c r="W1383" t="s">
        <v>13924</v>
      </c>
      <c r="X1383">
        <v>11</v>
      </c>
      <c r="Y1383" t="s">
        <v>20137</v>
      </c>
      <c r="Z1383" t="s">
        <v>26253</v>
      </c>
      <c r="AA1383">
        <v>0.33489985279014289</v>
      </c>
      <c r="AB1383" t="str">
        <f>HYPERLINK("Melting_Curves/meltCurve_O95486_SEC24A.pdf", "Melting_Curves/meltCurve_O95486_SEC24A.pdf")</f>
        <v>Melting_Curves/meltCurve_O95486_SEC24A.pdf</v>
      </c>
    </row>
    <row r="1384" spans="1:28" x14ac:dyDescent="0.25">
      <c r="A1384" t="s">
        <v>1388</v>
      </c>
      <c r="B1384">
        <v>0.99352677808782597</v>
      </c>
      <c r="C1384">
        <v>0.95002580319005103</v>
      </c>
      <c r="D1384">
        <v>0.87358318542852298</v>
      </c>
      <c r="E1384">
        <v>0.40495779119519199</v>
      </c>
      <c r="F1384">
        <v>0.31330199196867498</v>
      </c>
      <c r="G1384">
        <v>0.216649356782115</v>
      </c>
      <c r="H1384">
        <v>0.17560824726242599</v>
      </c>
      <c r="I1384">
        <v>0.181581862697996</v>
      </c>
      <c r="J1384">
        <v>0.16574659268262501</v>
      </c>
      <c r="K1384">
        <v>0.14515382022052201</v>
      </c>
      <c r="L1384">
        <v>1230.25434942274</v>
      </c>
      <c r="M1384">
        <v>25.3122346561318</v>
      </c>
      <c r="N1384">
        <v>49.446787170399901</v>
      </c>
      <c r="O1384">
        <v>48.3028322801351</v>
      </c>
      <c r="P1384">
        <v>-0.108036949393138</v>
      </c>
      <c r="Q1384">
        <v>0.17535145788045201</v>
      </c>
      <c r="R1384">
        <v>0.99352235025638302</v>
      </c>
      <c r="S1384" t="s">
        <v>7669</v>
      </c>
      <c r="T1384" t="s">
        <v>12568</v>
      </c>
      <c r="U1384" t="s">
        <v>12568</v>
      </c>
      <c r="V1384" t="s">
        <v>12568</v>
      </c>
      <c r="W1384" t="s">
        <v>13925</v>
      </c>
      <c r="X1384">
        <v>8</v>
      </c>
      <c r="Y1384" t="s">
        <v>20138</v>
      </c>
      <c r="Z1384" t="s">
        <v>26254</v>
      </c>
      <c r="AA1384">
        <v>0.41894386875401579</v>
      </c>
      <c r="AB1384" t="str">
        <f>HYPERLINK("Melting_Curves/meltCurve_O95487_2_SEC24B.pdf", "Melting_Curves/meltCurve_O95487_2_SEC24B.pdf")</f>
        <v>Melting_Curves/meltCurve_O95487_2_SEC24B.pdf</v>
      </c>
    </row>
    <row r="1385" spans="1:28" x14ac:dyDescent="0.25">
      <c r="A1385" t="s">
        <v>1389</v>
      </c>
      <c r="B1385">
        <v>0.99352677808782597</v>
      </c>
      <c r="C1385">
        <v>0.98405642094018897</v>
      </c>
      <c r="D1385">
        <v>0.86510161539797903</v>
      </c>
      <c r="E1385">
        <v>0.87679661764383099</v>
      </c>
      <c r="F1385">
        <v>0.67826514903497104</v>
      </c>
      <c r="G1385">
        <v>0.52664077470763204</v>
      </c>
      <c r="H1385">
        <v>0.63977639763158201</v>
      </c>
      <c r="I1385">
        <v>0.64680251693623103</v>
      </c>
      <c r="J1385">
        <v>0.70339745679413201</v>
      </c>
      <c r="K1385">
        <v>0.332648300043973</v>
      </c>
      <c r="L1385">
        <v>658.03851026369102</v>
      </c>
      <c r="M1385">
        <v>12.8502151065652</v>
      </c>
      <c r="O1385">
        <v>50.015757312623997</v>
      </c>
      <c r="P1385">
        <v>-3.03505137704645E-2</v>
      </c>
      <c r="Q1385">
        <v>0.52756465564072696</v>
      </c>
      <c r="R1385">
        <v>0.74860372782380202</v>
      </c>
      <c r="S1385" t="s">
        <v>7670</v>
      </c>
      <c r="T1385" t="s">
        <v>12568</v>
      </c>
      <c r="U1385" t="s">
        <v>12568</v>
      </c>
      <c r="V1385" t="s">
        <v>12568</v>
      </c>
      <c r="W1385" t="s">
        <v>13926</v>
      </c>
      <c r="X1385">
        <v>5</v>
      </c>
      <c r="Y1385" t="s">
        <v>20139</v>
      </c>
      <c r="Z1385" t="s">
        <v>26255</v>
      </c>
      <c r="AA1385">
        <v>0.71785879267106523</v>
      </c>
      <c r="AB1385" t="str">
        <f>HYPERLINK("Melting_Curves/meltCurve_O95544_NADK.pdf", "Melting_Curves/meltCurve_O95544_NADK.pdf")</f>
        <v>Melting_Curves/meltCurve_O95544_NADK.pdf</v>
      </c>
    </row>
    <row r="1386" spans="1:28" x14ac:dyDescent="0.25">
      <c r="A1386" t="s">
        <v>1390</v>
      </c>
      <c r="B1386">
        <v>0.99352677808782597</v>
      </c>
      <c r="C1386">
        <v>0.929601024053201</v>
      </c>
      <c r="D1386">
        <v>0.85842017508190704</v>
      </c>
      <c r="E1386">
        <v>0.34647534923759399</v>
      </c>
      <c r="F1386">
        <v>0.31741249150818002</v>
      </c>
      <c r="G1386">
        <v>0.23874818601473</v>
      </c>
      <c r="H1386">
        <v>0.190878377637864</v>
      </c>
      <c r="I1386">
        <v>0.158393737065957</v>
      </c>
      <c r="J1386">
        <v>0.15933707285558199</v>
      </c>
      <c r="K1386">
        <v>0.15110656104380199</v>
      </c>
      <c r="L1386">
        <v>1291.0255549759299</v>
      </c>
      <c r="M1386">
        <v>26.812506427386101</v>
      </c>
      <c r="N1386">
        <v>48.978381374851999</v>
      </c>
      <c r="O1386">
        <v>47.884677862957297</v>
      </c>
      <c r="P1386">
        <v>-0.114470327901338</v>
      </c>
      <c r="Q1386">
        <v>0.18227429271397999</v>
      </c>
      <c r="R1386">
        <v>0.98567311726860396</v>
      </c>
      <c r="S1386" t="s">
        <v>7671</v>
      </c>
      <c r="T1386" t="s">
        <v>12568</v>
      </c>
      <c r="U1386" t="s">
        <v>12568</v>
      </c>
      <c r="V1386" t="s">
        <v>12568</v>
      </c>
      <c r="W1386" t="s">
        <v>13927</v>
      </c>
      <c r="X1386">
        <v>5</v>
      </c>
      <c r="Y1386" t="s">
        <v>20140</v>
      </c>
      <c r="Z1386" t="s">
        <v>26256</v>
      </c>
      <c r="AA1386">
        <v>0.41066113658970699</v>
      </c>
      <c r="AB1386" t="str">
        <f>HYPERLINK("Melting_Curves/meltCurve_O95551_TDP2.pdf", "Melting_Curves/meltCurve_O95551_TDP2.pdf")</f>
        <v>Melting_Curves/meltCurve_O95551_TDP2.pdf</v>
      </c>
    </row>
    <row r="1387" spans="1:28" x14ac:dyDescent="0.25">
      <c r="A1387" t="s">
        <v>1391</v>
      </c>
      <c r="B1387">
        <v>0.99352677808782597</v>
      </c>
      <c r="C1387">
        <v>1.0089532023059899</v>
      </c>
      <c r="D1387">
        <v>0.95806460553179495</v>
      </c>
      <c r="E1387">
        <v>0.79276168350934895</v>
      </c>
      <c r="F1387">
        <v>0</v>
      </c>
      <c r="G1387">
        <v>0.36575903222646</v>
      </c>
      <c r="H1387">
        <v>0.29141334406998198</v>
      </c>
      <c r="I1387">
        <v>0.31378214522279102</v>
      </c>
      <c r="J1387">
        <v>0.18777706330306199</v>
      </c>
      <c r="K1387">
        <v>0.16036839368816599</v>
      </c>
      <c r="L1387">
        <v>12550.842463791299</v>
      </c>
      <c r="M1387">
        <v>250</v>
      </c>
      <c r="N1387">
        <v>50.319960044243501</v>
      </c>
      <c r="O1387">
        <v>50.200157177853796</v>
      </c>
      <c r="P1387">
        <v>-0.97129936267581196</v>
      </c>
      <c r="Q1387">
        <v>0.21984991022866501</v>
      </c>
      <c r="R1387">
        <v>0.93364825769159099</v>
      </c>
      <c r="S1387" t="s">
        <v>7672</v>
      </c>
      <c r="T1387" t="s">
        <v>12568</v>
      </c>
      <c r="U1387" t="s">
        <v>12568</v>
      </c>
      <c r="V1387" t="s">
        <v>12568</v>
      </c>
      <c r="W1387" t="s">
        <v>13928</v>
      </c>
      <c r="X1387">
        <v>2</v>
      </c>
      <c r="Y1387" t="s">
        <v>20141</v>
      </c>
      <c r="Z1387" t="s">
        <v>26257</v>
      </c>
      <c r="AA1387">
        <v>0.48525730985195492</v>
      </c>
      <c r="AB1387" t="str">
        <f>HYPERLINK("Melting_Curves/meltCurve_O95568_METTL18.pdf", "Melting_Curves/meltCurve_O95568_METTL18.pdf")</f>
        <v>Melting_Curves/meltCurve_O95568_METTL18.pdf</v>
      </c>
    </row>
    <row r="1388" spans="1:28" x14ac:dyDescent="0.25">
      <c r="A1388" t="s">
        <v>1392</v>
      </c>
      <c r="B1388">
        <v>0.99352677808782597</v>
      </c>
      <c r="C1388">
        <v>0.99096895057511902</v>
      </c>
      <c r="D1388">
        <v>0.96887054764223202</v>
      </c>
      <c r="E1388">
        <v>0.74212937106830101</v>
      </c>
      <c r="F1388">
        <v>0.68549160225152495</v>
      </c>
      <c r="G1388">
        <v>0.473512114813673</v>
      </c>
      <c r="H1388">
        <v>0.26365653145471102</v>
      </c>
      <c r="I1388">
        <v>0.14978090959901</v>
      </c>
      <c r="J1388">
        <v>7.6016704701259902E-2</v>
      </c>
      <c r="K1388">
        <v>6.6865279785578102E-2</v>
      </c>
      <c r="L1388">
        <v>707.972844710662</v>
      </c>
      <c r="M1388">
        <v>12.672013930459901</v>
      </c>
      <c r="N1388">
        <v>55.869009412183097</v>
      </c>
      <c r="O1388">
        <v>54.5324751074861</v>
      </c>
      <c r="P1388">
        <v>-5.8105223363566397E-2</v>
      </c>
      <c r="Q1388">
        <v>0</v>
      </c>
      <c r="R1388">
        <v>0.99273133434733196</v>
      </c>
      <c r="S1388" t="s">
        <v>7673</v>
      </c>
      <c r="T1388" t="s">
        <v>12568</v>
      </c>
      <c r="U1388" t="s">
        <v>12568</v>
      </c>
      <c r="V1388" t="s">
        <v>12568</v>
      </c>
      <c r="W1388" t="s">
        <v>13929</v>
      </c>
      <c r="X1388">
        <v>7</v>
      </c>
      <c r="Y1388" t="s">
        <v>20142</v>
      </c>
      <c r="Z1388" t="s">
        <v>26258</v>
      </c>
      <c r="AA1388">
        <v>0.54923068745816861</v>
      </c>
      <c r="AB1388" t="str">
        <f>HYPERLINK("Melting_Curves/meltCurve_O95571_ETHE1.pdf", "Melting_Curves/meltCurve_O95571_ETHE1.pdf")</f>
        <v>Melting_Curves/meltCurve_O95571_ETHE1.pdf</v>
      </c>
    </row>
    <row r="1389" spans="1:28" x14ac:dyDescent="0.25">
      <c r="A1389" t="s">
        <v>1393</v>
      </c>
      <c r="B1389">
        <v>0.99352677808782597</v>
      </c>
      <c r="C1389">
        <v>1.01576924360706</v>
      </c>
      <c r="D1389">
        <v>0.86163925665790198</v>
      </c>
      <c r="E1389">
        <v>1.2146683024701099</v>
      </c>
      <c r="F1389">
        <v>1.02892531113071</v>
      </c>
      <c r="G1389">
        <v>0.88192025781447203</v>
      </c>
      <c r="H1389">
        <v>0.65617294906705403</v>
      </c>
      <c r="I1389">
        <v>0.18919552431259301</v>
      </c>
      <c r="J1389">
        <v>0.10135607889060699</v>
      </c>
      <c r="K1389">
        <v>9.6104765960463995E-2</v>
      </c>
      <c r="L1389">
        <v>2730.2878187112301</v>
      </c>
      <c r="M1389">
        <v>44.354660720614604</v>
      </c>
      <c r="N1389">
        <v>61.784127638235098</v>
      </c>
      <c r="O1389">
        <v>61.431091164058699</v>
      </c>
      <c r="P1389">
        <v>-0.16686244169818701</v>
      </c>
      <c r="Q1389">
        <v>7.5585017111782601E-2</v>
      </c>
      <c r="R1389">
        <v>0.95215113083964498</v>
      </c>
      <c r="S1389" t="s">
        <v>7674</v>
      </c>
      <c r="T1389" t="s">
        <v>12568</v>
      </c>
      <c r="U1389" t="s">
        <v>12568</v>
      </c>
      <c r="V1389" t="s">
        <v>12568</v>
      </c>
      <c r="W1389" t="s">
        <v>13930</v>
      </c>
      <c r="X1389">
        <v>7</v>
      </c>
      <c r="Y1389" t="s">
        <v>20143</v>
      </c>
      <c r="Z1389" t="s">
        <v>26259</v>
      </c>
      <c r="AA1389">
        <v>0.74272076051651448</v>
      </c>
      <c r="AB1389" t="str">
        <f>HYPERLINK("Melting_Curves/meltCurve_O95602_POLR1A.pdf", "Melting_Curves/meltCurve_O95602_POLR1A.pdf")</f>
        <v>Melting_Curves/meltCurve_O95602_POLR1A.pdf</v>
      </c>
    </row>
    <row r="1390" spans="1:28" x14ac:dyDescent="0.25">
      <c r="A1390" t="s">
        <v>1394</v>
      </c>
      <c r="B1390">
        <v>0.99352677808782597</v>
      </c>
      <c r="C1390">
        <v>0.99644739233583501</v>
      </c>
      <c r="D1390">
        <v>0.86716135361884195</v>
      </c>
      <c r="E1390">
        <v>0.68335824472213402</v>
      </c>
      <c r="F1390">
        <v>0.61978244080031797</v>
      </c>
      <c r="G1390">
        <v>0.45595553077390999</v>
      </c>
      <c r="H1390">
        <v>0.39387645178008801</v>
      </c>
      <c r="I1390">
        <v>0.41896451242923999</v>
      </c>
      <c r="J1390">
        <v>0.39623849017811003</v>
      </c>
      <c r="K1390">
        <v>0.32012007596986902</v>
      </c>
      <c r="L1390">
        <v>709.11643619919505</v>
      </c>
      <c r="M1390">
        <v>13.939135058950701</v>
      </c>
      <c r="N1390">
        <v>55.665099187179202</v>
      </c>
      <c r="O1390">
        <v>49.859615096808298</v>
      </c>
      <c r="P1390">
        <v>-4.5475910972515701E-2</v>
      </c>
      <c r="Q1390">
        <v>0.34942699124639298</v>
      </c>
      <c r="R1390">
        <v>0.98665826671368995</v>
      </c>
      <c r="S1390" t="s">
        <v>7675</v>
      </c>
      <c r="T1390" t="s">
        <v>12568</v>
      </c>
      <c r="U1390" t="s">
        <v>12568</v>
      </c>
      <c r="V1390" t="s">
        <v>12568</v>
      </c>
      <c r="W1390" t="s">
        <v>13931</v>
      </c>
      <c r="X1390">
        <v>14</v>
      </c>
      <c r="Y1390" t="s">
        <v>20144</v>
      </c>
      <c r="Z1390" t="s">
        <v>26260</v>
      </c>
      <c r="AA1390">
        <v>0.60221709491935982</v>
      </c>
      <c r="AB1390" t="str">
        <f>HYPERLINK("Melting_Curves/meltCurve_O95613_PCNT.pdf", "Melting_Curves/meltCurve_O95613_PCNT.pdf")</f>
        <v>Melting_Curves/meltCurve_O95613_PCNT.pdf</v>
      </c>
    </row>
    <row r="1391" spans="1:28" x14ac:dyDescent="0.25">
      <c r="A1391" t="s">
        <v>1395</v>
      </c>
      <c r="B1391">
        <v>0.99352677808782597</v>
      </c>
      <c r="C1391">
        <v>0.95729600718156105</v>
      </c>
      <c r="D1391">
        <v>1.18325785374171</v>
      </c>
      <c r="E1391">
        <v>1.12311269909083</v>
      </c>
      <c r="F1391">
        <v>1.0842185795380399</v>
      </c>
      <c r="G1391">
        <v>0.40547645743852301</v>
      </c>
      <c r="H1391">
        <v>0.14776839013499801</v>
      </c>
      <c r="I1391">
        <v>0.14258451297063501</v>
      </c>
      <c r="J1391">
        <v>0.12457402789991701</v>
      </c>
      <c r="K1391">
        <v>0.103702388034895</v>
      </c>
      <c r="L1391">
        <v>14206.223149772401</v>
      </c>
      <c r="M1391">
        <v>250</v>
      </c>
      <c r="N1391">
        <v>56.893205847420298</v>
      </c>
      <c r="O1391">
        <v>56.821257271572598</v>
      </c>
      <c r="P1391">
        <v>-0.95732514942060398</v>
      </c>
      <c r="Q1391">
        <v>0.12965731996667801</v>
      </c>
      <c r="R1391">
        <v>0.97123940302996103</v>
      </c>
      <c r="S1391" t="s">
        <v>7676</v>
      </c>
      <c r="T1391" t="s">
        <v>12568</v>
      </c>
      <c r="U1391" t="s">
        <v>12568</v>
      </c>
      <c r="V1391" t="s">
        <v>12568</v>
      </c>
      <c r="W1391" t="s">
        <v>13932</v>
      </c>
      <c r="X1391">
        <v>4</v>
      </c>
      <c r="Y1391" t="s">
        <v>20145</v>
      </c>
      <c r="Z1391" t="s">
        <v>26261</v>
      </c>
      <c r="AA1391">
        <v>0.6178581869910551</v>
      </c>
      <c r="AB1391" t="str">
        <f>HYPERLINK("Melting_Curves/meltCurve_O95619_YEATS4.pdf", "Melting_Curves/meltCurve_O95619_YEATS4.pdf")</f>
        <v>Melting_Curves/meltCurve_O95619_YEATS4.pdf</v>
      </c>
    </row>
    <row r="1392" spans="1:28" x14ac:dyDescent="0.25">
      <c r="A1392" t="s">
        <v>1396</v>
      </c>
      <c r="B1392">
        <v>0.99352677808782597</v>
      </c>
      <c r="C1392">
        <v>0.85802277017639195</v>
      </c>
      <c r="D1392">
        <v>0.81790188358351501</v>
      </c>
      <c r="E1392">
        <v>0.66112114266113098</v>
      </c>
      <c r="F1392">
        <v>0.62634868248106801</v>
      </c>
      <c r="G1392">
        <v>0.53603217492421495</v>
      </c>
      <c r="H1392">
        <v>0.319766039398998</v>
      </c>
      <c r="I1392">
        <v>0.26401359638876798</v>
      </c>
      <c r="J1392">
        <v>0.144517989692484</v>
      </c>
      <c r="K1392">
        <v>8.8501405799008795E-2</v>
      </c>
      <c r="L1392">
        <v>454.775868323005</v>
      </c>
      <c r="M1392">
        <v>8.2031669686769995</v>
      </c>
      <c r="N1392">
        <v>55.439060302171598</v>
      </c>
      <c r="O1392">
        <v>52.4369006214568</v>
      </c>
      <c r="P1392">
        <v>-3.9149990925421298E-2</v>
      </c>
      <c r="Q1392">
        <v>0</v>
      </c>
      <c r="R1392">
        <v>0.97288798863537895</v>
      </c>
      <c r="S1392" t="s">
        <v>7677</v>
      </c>
      <c r="T1392" t="s">
        <v>12568</v>
      </c>
      <c r="U1392" t="s">
        <v>12568</v>
      </c>
      <c r="V1392" t="s">
        <v>12568</v>
      </c>
      <c r="W1392" t="s">
        <v>13933</v>
      </c>
      <c r="X1392">
        <v>8</v>
      </c>
      <c r="Y1392" t="s">
        <v>20146</v>
      </c>
      <c r="Z1392" t="s">
        <v>26262</v>
      </c>
      <c r="AA1392">
        <v>0.53871547827683808</v>
      </c>
      <c r="AB1392" t="str">
        <f>HYPERLINK("Melting_Curves/meltCurve_O95628_3_CNOT4.pdf", "Melting_Curves/meltCurve_O95628_3_CNOT4.pdf")</f>
        <v>Melting_Curves/meltCurve_O95628_3_CNOT4.pdf</v>
      </c>
    </row>
    <row r="1393" spans="1:28" x14ac:dyDescent="0.25">
      <c r="A1393" t="s">
        <v>1397</v>
      </c>
      <c r="B1393">
        <v>0.99352677808782597</v>
      </c>
      <c r="C1393">
        <v>0.96294574063861205</v>
      </c>
      <c r="D1393">
        <v>1.00136877759475</v>
      </c>
      <c r="E1393">
        <v>0.69013525850061896</v>
      </c>
      <c r="F1393">
        <v>0.61592192381050503</v>
      </c>
      <c r="G1393">
        <v>0.29205243390566998</v>
      </c>
      <c r="H1393">
        <v>0.193344755843599</v>
      </c>
      <c r="I1393">
        <v>0.17259094833345501</v>
      </c>
      <c r="J1393">
        <v>0.147586482571362</v>
      </c>
      <c r="K1393">
        <v>9.9645624646894193E-2</v>
      </c>
      <c r="L1393">
        <v>879.28211998335405</v>
      </c>
      <c r="M1393">
        <v>16.5678506432027</v>
      </c>
      <c r="N1393">
        <v>53.8332010888479</v>
      </c>
      <c r="O1393">
        <v>52.316485097791798</v>
      </c>
      <c r="P1393">
        <v>-7.0904630285215597E-2</v>
      </c>
      <c r="Q1393">
        <v>0.10447590370239</v>
      </c>
      <c r="R1393">
        <v>0.98807550414112699</v>
      </c>
      <c r="S1393" t="s">
        <v>7678</v>
      </c>
      <c r="T1393" t="s">
        <v>12568</v>
      </c>
      <c r="U1393" t="s">
        <v>12568</v>
      </c>
      <c r="V1393" t="s">
        <v>12568</v>
      </c>
      <c r="W1393" t="s">
        <v>13934</v>
      </c>
      <c r="X1393">
        <v>16</v>
      </c>
      <c r="Y1393" t="s">
        <v>20147</v>
      </c>
      <c r="Z1393" t="s">
        <v>26263</v>
      </c>
      <c r="AA1393">
        <v>0.511320380364234</v>
      </c>
      <c r="AB1393" t="str">
        <f>HYPERLINK("Melting_Curves/meltCurve_O95630_STAMBP.pdf", "Melting_Curves/meltCurve_O95630_STAMBP.pdf")</f>
        <v>Melting_Curves/meltCurve_O95630_STAMBP.pdf</v>
      </c>
    </row>
    <row r="1394" spans="1:28" x14ac:dyDescent="0.25">
      <c r="A1394" t="s">
        <v>1398</v>
      </c>
      <c r="B1394">
        <v>0.99352677808782597</v>
      </c>
      <c r="C1394">
        <v>1.0465703276912099</v>
      </c>
      <c r="D1394">
        <v>0.89815587013629405</v>
      </c>
      <c r="E1394">
        <v>0.43427329515272101</v>
      </c>
      <c r="F1394">
        <v>0.34623223184937502</v>
      </c>
      <c r="G1394">
        <v>0.19683807146541801</v>
      </c>
      <c r="H1394">
        <v>0.11837621602532</v>
      </c>
      <c r="I1394">
        <v>0.10477747366691099</v>
      </c>
      <c r="J1394">
        <v>8.7133536579884596E-2</v>
      </c>
      <c r="K1394">
        <v>7.0924899125501206E-2</v>
      </c>
      <c r="L1394">
        <v>1073.4162930269699</v>
      </c>
      <c r="M1394">
        <v>21.638226983621699</v>
      </c>
      <c r="N1394">
        <v>50.1405315615552</v>
      </c>
      <c r="O1394">
        <v>49.189552267124299</v>
      </c>
      <c r="P1394">
        <v>-9.8675081763453298E-2</v>
      </c>
      <c r="Q1394">
        <v>0.10276083437559599</v>
      </c>
      <c r="R1394">
        <v>0.98540539270177396</v>
      </c>
      <c r="S1394" t="s">
        <v>7679</v>
      </c>
      <c r="T1394" t="s">
        <v>12568</v>
      </c>
      <c r="U1394" t="s">
        <v>12568</v>
      </c>
      <c r="V1394" t="s">
        <v>12568</v>
      </c>
      <c r="W1394" t="s">
        <v>13935</v>
      </c>
      <c r="X1394">
        <v>13</v>
      </c>
      <c r="Y1394" t="s">
        <v>20148</v>
      </c>
      <c r="Z1394" t="s">
        <v>26264</v>
      </c>
      <c r="AA1394">
        <v>0.40079327210385729</v>
      </c>
      <c r="AB1394" t="str">
        <f>HYPERLINK("Melting_Curves/meltCurve_O95671_2_ASMTL.pdf", "Melting_Curves/meltCurve_O95671_2_ASMTL.pdf")</f>
        <v>Melting_Curves/meltCurve_O95671_2_ASMTL.pdf</v>
      </c>
    </row>
    <row r="1395" spans="1:28" x14ac:dyDescent="0.25">
      <c r="A1395" t="s">
        <v>1399</v>
      </c>
      <c r="B1395">
        <v>0.99352677808782597</v>
      </c>
      <c r="C1395">
        <v>1.0014995414991701</v>
      </c>
      <c r="D1395">
        <v>0.96721295256404005</v>
      </c>
      <c r="E1395">
        <v>0.90294946091867501</v>
      </c>
      <c r="F1395">
        <v>0.83764076001550902</v>
      </c>
      <c r="G1395">
        <v>0.75000966548703596</v>
      </c>
      <c r="H1395">
        <v>0.67647430333852299</v>
      </c>
      <c r="I1395">
        <v>0.67727271596552896</v>
      </c>
      <c r="J1395">
        <v>0.75462315513849298</v>
      </c>
      <c r="K1395">
        <v>0.631086291717603</v>
      </c>
      <c r="L1395">
        <v>872.67063086237602</v>
      </c>
      <c r="M1395">
        <v>16.5248375187752</v>
      </c>
      <c r="O1395">
        <v>52.054453944662001</v>
      </c>
      <c r="P1395">
        <v>-2.61564597128865E-2</v>
      </c>
      <c r="Q1395">
        <v>0.67044379178757696</v>
      </c>
      <c r="R1395">
        <v>0.95161450151949101</v>
      </c>
      <c r="S1395" t="s">
        <v>7680</v>
      </c>
      <c r="T1395" t="s">
        <v>12568</v>
      </c>
      <c r="U1395" t="s">
        <v>12568</v>
      </c>
      <c r="V1395" t="s">
        <v>12568</v>
      </c>
      <c r="W1395" t="s">
        <v>13936</v>
      </c>
      <c r="X1395">
        <v>6</v>
      </c>
      <c r="Y1395" t="s">
        <v>20149</v>
      </c>
      <c r="Z1395" t="s">
        <v>26265</v>
      </c>
      <c r="AA1395">
        <v>0.81735680729841464</v>
      </c>
      <c r="AB1395" t="str">
        <f>HYPERLINK("Melting_Curves/meltCurve_O95684_FGFR1OP.pdf", "Melting_Curves/meltCurve_O95684_FGFR1OP.pdf")</f>
        <v>Melting_Curves/meltCurve_O95684_FGFR1OP.pdf</v>
      </c>
    </row>
    <row r="1396" spans="1:28" x14ac:dyDescent="0.25">
      <c r="A1396" t="s">
        <v>1400</v>
      </c>
      <c r="B1396">
        <v>0.99352677808782597</v>
      </c>
      <c r="C1396">
        <v>0.95933952525930599</v>
      </c>
      <c r="D1396">
        <v>0.891556462332035</v>
      </c>
      <c r="E1396">
        <v>0.43259621668474801</v>
      </c>
      <c r="F1396">
        <v>0.40433585107304898</v>
      </c>
      <c r="G1396">
        <v>0.217268848717659</v>
      </c>
      <c r="H1396">
        <v>0.16885099319656299</v>
      </c>
      <c r="I1396">
        <v>0.145834504200933</v>
      </c>
      <c r="J1396">
        <v>0.115411913485765</v>
      </c>
      <c r="K1396">
        <v>0.101546016433777</v>
      </c>
      <c r="L1396">
        <v>906.08971734377701</v>
      </c>
      <c r="M1396">
        <v>18.272759609149801</v>
      </c>
      <c r="N1396">
        <v>50.393740119431598</v>
      </c>
      <c r="O1396">
        <v>49.004468384585202</v>
      </c>
      <c r="P1396">
        <v>-8.1401267196771293E-2</v>
      </c>
      <c r="Q1396">
        <v>0.12682267532866101</v>
      </c>
      <c r="R1396">
        <v>0.98328864381974901</v>
      </c>
      <c r="S1396" t="s">
        <v>7681</v>
      </c>
      <c r="T1396" t="s">
        <v>12568</v>
      </c>
      <c r="U1396" t="s">
        <v>12568</v>
      </c>
      <c r="V1396" t="s">
        <v>12568</v>
      </c>
      <c r="W1396" t="s">
        <v>13937</v>
      </c>
      <c r="X1396">
        <v>2</v>
      </c>
      <c r="Y1396" t="s">
        <v>20150</v>
      </c>
      <c r="Z1396" t="s">
        <v>26266</v>
      </c>
      <c r="AA1396">
        <v>0.42040393514581359</v>
      </c>
      <c r="AB1396" t="str">
        <f>HYPERLINK("Melting_Curves/meltCurve_O95685_PPP1R3D.pdf", "Melting_Curves/meltCurve_O95685_PPP1R3D.pdf")</f>
        <v>Melting_Curves/meltCurve_O95685_PPP1R3D.pdf</v>
      </c>
    </row>
    <row r="1397" spans="1:28" x14ac:dyDescent="0.25">
      <c r="A1397" t="s">
        <v>1401</v>
      </c>
      <c r="B1397">
        <v>0.99352677808782597</v>
      </c>
      <c r="C1397">
        <v>0.97519405981418805</v>
      </c>
      <c r="D1397">
        <v>0.97891826769327395</v>
      </c>
      <c r="E1397">
        <v>0.78023635447113904</v>
      </c>
      <c r="F1397">
        <v>0.61033680695258696</v>
      </c>
      <c r="G1397">
        <v>0.38865645570403101</v>
      </c>
      <c r="H1397">
        <v>0.15763497576362101</v>
      </c>
      <c r="I1397">
        <v>0.13464427867312601</v>
      </c>
      <c r="J1397">
        <v>0.10444319126113</v>
      </c>
      <c r="K1397">
        <v>8.4062682971972905E-2</v>
      </c>
      <c r="L1397">
        <v>848.38496198005896</v>
      </c>
      <c r="M1397">
        <v>15.6310145699355</v>
      </c>
      <c r="N1397">
        <v>54.653890451719199</v>
      </c>
      <c r="O1397">
        <v>53.4106829161653</v>
      </c>
      <c r="P1397">
        <v>-6.9420351100140498E-2</v>
      </c>
      <c r="Q1397">
        <v>5.1252957816905101E-2</v>
      </c>
      <c r="R1397">
        <v>0.99693986838584303</v>
      </c>
      <c r="S1397" t="s">
        <v>7682</v>
      </c>
      <c r="T1397" t="s">
        <v>12568</v>
      </c>
      <c r="U1397" t="s">
        <v>12568</v>
      </c>
      <c r="V1397" t="s">
        <v>12568</v>
      </c>
      <c r="W1397" t="s">
        <v>13938</v>
      </c>
      <c r="X1397">
        <v>3</v>
      </c>
      <c r="Y1397" t="s">
        <v>20151</v>
      </c>
      <c r="Z1397" t="s">
        <v>26267</v>
      </c>
      <c r="AA1397">
        <v>0.52094724385929725</v>
      </c>
      <c r="AB1397" t="str">
        <f>HYPERLINK("Melting_Curves/meltCurve_O95707_POP4.pdf", "Melting_Curves/meltCurve_O95707_POP4.pdf")</f>
        <v>Melting_Curves/meltCurve_O95707_POP4.pdf</v>
      </c>
    </row>
    <row r="1398" spans="1:28" x14ac:dyDescent="0.25">
      <c r="A1398" t="s">
        <v>1402</v>
      </c>
      <c r="B1398">
        <v>0.99352677808782597</v>
      </c>
      <c r="C1398">
        <v>1.0188085206609701</v>
      </c>
      <c r="D1398">
        <v>0.89480826605574504</v>
      </c>
      <c r="E1398">
        <v>0.67764933110791903</v>
      </c>
      <c r="F1398">
        <v>0.54342258802607302</v>
      </c>
      <c r="G1398">
        <v>0.46635668473807002</v>
      </c>
      <c r="H1398">
        <v>0.37326635964194799</v>
      </c>
      <c r="I1398">
        <v>0.36681133563525098</v>
      </c>
      <c r="J1398">
        <v>0.382976013369077</v>
      </c>
      <c r="K1398">
        <v>0.35590982040049901</v>
      </c>
      <c r="L1398">
        <v>907.37212674926695</v>
      </c>
      <c r="M1398">
        <v>18.066788987669799</v>
      </c>
      <c r="N1398">
        <v>54.131182114166002</v>
      </c>
      <c r="O1398">
        <v>49.620004331852002</v>
      </c>
      <c r="P1398">
        <v>-5.7865856807605698E-2</v>
      </c>
      <c r="Q1398">
        <v>0.36432184014014701</v>
      </c>
      <c r="R1398">
        <v>0.99327655791974401</v>
      </c>
      <c r="S1398" t="s">
        <v>7683</v>
      </c>
      <c r="T1398" t="s">
        <v>12568</v>
      </c>
      <c r="U1398" t="s">
        <v>12568</v>
      </c>
      <c r="V1398" t="s">
        <v>12568</v>
      </c>
      <c r="W1398" t="s">
        <v>13939</v>
      </c>
      <c r="X1398">
        <v>1</v>
      </c>
      <c r="Y1398" t="s">
        <v>20152</v>
      </c>
      <c r="Z1398" t="s">
        <v>26268</v>
      </c>
      <c r="AA1398">
        <v>0.59167906836248441</v>
      </c>
      <c r="AB1398" t="str">
        <f>HYPERLINK("Melting_Curves/meltCurve_O95714_HERC2.pdf", "Melting_Curves/meltCurve_O95714_HERC2.pdf")</f>
        <v>Melting_Curves/meltCurve_O95714_HERC2.pdf</v>
      </c>
    </row>
    <row r="1399" spans="1:28" x14ac:dyDescent="0.25">
      <c r="A1399" t="s">
        <v>1403</v>
      </c>
      <c r="B1399">
        <v>0.99352677808782597</v>
      </c>
      <c r="C1399">
        <v>0.95640739075953096</v>
      </c>
      <c r="D1399">
        <v>0.98290190266260602</v>
      </c>
      <c r="E1399">
        <v>0.75819389316020303</v>
      </c>
      <c r="F1399">
        <v>0.68798663001576199</v>
      </c>
      <c r="G1399">
        <v>0.43707063926768203</v>
      </c>
      <c r="H1399">
        <v>0.21201454200446501</v>
      </c>
      <c r="I1399">
        <v>0.19032918145004399</v>
      </c>
      <c r="J1399">
        <v>0.132241072468434</v>
      </c>
      <c r="K1399">
        <v>9.83389991572335E-2</v>
      </c>
      <c r="L1399">
        <v>746.880620782032</v>
      </c>
      <c r="M1399">
        <v>13.5276605001071</v>
      </c>
      <c r="N1399">
        <v>55.605555239605302</v>
      </c>
      <c r="O1399">
        <v>54.046743199541098</v>
      </c>
      <c r="P1399">
        <v>-5.9721949278912702E-2</v>
      </c>
      <c r="Q1399">
        <v>4.5721586883245402E-2</v>
      </c>
      <c r="R1399">
        <v>0.99305121920113704</v>
      </c>
      <c r="S1399" t="s">
        <v>7684</v>
      </c>
      <c r="T1399" t="s">
        <v>12568</v>
      </c>
      <c r="U1399" t="s">
        <v>12568</v>
      </c>
      <c r="V1399" t="s">
        <v>12568</v>
      </c>
      <c r="W1399" t="s">
        <v>13940</v>
      </c>
      <c r="X1399">
        <v>2</v>
      </c>
      <c r="Y1399" t="s">
        <v>20153</v>
      </c>
      <c r="Z1399" t="s">
        <v>26269</v>
      </c>
      <c r="AA1399">
        <v>0.54953377902336986</v>
      </c>
      <c r="AB1399" t="str">
        <f>HYPERLINK("Melting_Curves/meltCurve_O95716_RAB3D.pdf", "Melting_Curves/meltCurve_O95716_RAB3D.pdf")</f>
        <v>Melting_Curves/meltCurve_O95716_RAB3D.pdf</v>
      </c>
    </row>
    <row r="1400" spans="1:28" x14ac:dyDescent="0.25">
      <c r="A1400" t="s">
        <v>1404</v>
      </c>
      <c r="B1400">
        <v>0.99352677808782597</v>
      </c>
      <c r="C1400">
        <v>0.97834524567609205</v>
      </c>
      <c r="D1400">
        <v>0.97168352213373099</v>
      </c>
      <c r="E1400">
        <v>0.88704022016512296</v>
      </c>
      <c r="F1400">
        <v>0.74945333948412596</v>
      </c>
      <c r="G1400">
        <v>0.66297478971109802</v>
      </c>
      <c r="H1400">
        <v>0.57338906328130901</v>
      </c>
      <c r="I1400">
        <v>0.55534906438868903</v>
      </c>
      <c r="J1400">
        <v>0.58913164028259601</v>
      </c>
      <c r="K1400">
        <v>0.56584457197448901</v>
      </c>
      <c r="L1400">
        <v>989.19410269131004</v>
      </c>
      <c r="M1400">
        <v>18.8224112557672</v>
      </c>
      <c r="O1400">
        <v>51.971632414755099</v>
      </c>
      <c r="P1400">
        <v>-3.9829759249550199E-2</v>
      </c>
      <c r="Q1400">
        <v>0.56011333825413701</v>
      </c>
      <c r="R1400">
        <v>0.99344871908431398</v>
      </c>
      <c r="S1400" t="s">
        <v>7685</v>
      </c>
      <c r="T1400" t="s">
        <v>12568</v>
      </c>
      <c r="U1400" t="s">
        <v>12568</v>
      </c>
      <c r="V1400" t="s">
        <v>12568</v>
      </c>
      <c r="W1400" t="s">
        <v>13941</v>
      </c>
      <c r="X1400">
        <v>12</v>
      </c>
      <c r="Y1400" t="s">
        <v>20154</v>
      </c>
      <c r="Z1400" t="s">
        <v>26270</v>
      </c>
      <c r="AA1400">
        <v>0.75092964206561952</v>
      </c>
      <c r="AB1400" t="str">
        <f>HYPERLINK("Melting_Curves/meltCurve_O95721_SNAP29.pdf", "Melting_Curves/meltCurve_O95721_SNAP29.pdf")</f>
        <v>Melting_Curves/meltCurve_O95721_SNAP29.pdf</v>
      </c>
    </row>
    <row r="1401" spans="1:28" x14ac:dyDescent="0.25">
      <c r="A1401" t="s">
        <v>1405</v>
      </c>
      <c r="B1401">
        <v>0.99352677808782597</v>
      </c>
      <c r="C1401">
        <v>0.83433871758331701</v>
      </c>
      <c r="D1401">
        <v>0.482858384497108</v>
      </c>
      <c r="E1401">
        <v>0.25310790517687898</v>
      </c>
      <c r="F1401">
        <v>0.20169968191924201</v>
      </c>
      <c r="G1401">
        <v>0.13791463816359101</v>
      </c>
      <c r="H1401">
        <v>0.107097493684902</v>
      </c>
      <c r="I1401">
        <v>9.7150451262968299E-2</v>
      </c>
      <c r="J1401">
        <v>9.0318950477708201E-2</v>
      </c>
      <c r="K1401">
        <v>6.9437491475156293E-2</v>
      </c>
      <c r="L1401">
        <v>933.030054198622</v>
      </c>
      <c r="M1401">
        <v>20.410040572715701</v>
      </c>
      <c r="N1401">
        <v>46.241466630276499</v>
      </c>
      <c r="O1401">
        <v>45.282206624567202</v>
      </c>
      <c r="P1401">
        <v>-0.100988782298154</v>
      </c>
      <c r="Q1401">
        <v>0.10380236758137899</v>
      </c>
      <c r="R1401">
        <v>0.99205549723097497</v>
      </c>
      <c r="S1401" t="s">
        <v>7686</v>
      </c>
      <c r="T1401" t="s">
        <v>12568</v>
      </c>
      <c r="U1401" t="s">
        <v>12568</v>
      </c>
      <c r="V1401" t="s">
        <v>12568</v>
      </c>
      <c r="W1401" t="s">
        <v>13942</v>
      </c>
      <c r="X1401">
        <v>12</v>
      </c>
      <c r="Y1401" t="s">
        <v>20155</v>
      </c>
      <c r="Z1401" t="s">
        <v>26271</v>
      </c>
      <c r="AA1401">
        <v>0.28801575055625239</v>
      </c>
      <c r="AB1401" t="str">
        <f>HYPERLINK("Melting_Curves/meltCurve_O95747_OXSR1.pdf", "Melting_Curves/meltCurve_O95747_OXSR1.pdf")</f>
        <v>Melting_Curves/meltCurve_O95747_OXSR1.pdf</v>
      </c>
    </row>
    <row r="1402" spans="1:28" x14ac:dyDescent="0.25">
      <c r="A1402" t="s">
        <v>1406</v>
      </c>
      <c r="B1402">
        <v>0.99352677808782597</v>
      </c>
      <c r="C1402">
        <v>1.04769771673935</v>
      </c>
      <c r="D1402">
        <v>0.91128154299550301</v>
      </c>
      <c r="E1402">
        <v>0.32393200456306998</v>
      </c>
      <c r="F1402">
        <v>0.237491183220156</v>
      </c>
      <c r="G1402">
        <v>0.111227830664723</v>
      </c>
      <c r="H1402">
        <v>7.6591822407761703E-2</v>
      </c>
      <c r="I1402">
        <v>6.2172181512539101E-2</v>
      </c>
      <c r="J1402">
        <v>5.2673938940104699E-2</v>
      </c>
      <c r="K1402">
        <v>4.0037211853317697E-2</v>
      </c>
      <c r="L1402">
        <v>1550.86667716995</v>
      </c>
      <c r="M1402">
        <v>31.777649270992701</v>
      </c>
      <c r="N1402">
        <v>49.063314050309899</v>
      </c>
      <c r="O1402">
        <v>48.611638299524799</v>
      </c>
      <c r="P1402">
        <v>-0.15077970019654099</v>
      </c>
      <c r="Q1402">
        <v>7.7387870489304705E-2</v>
      </c>
      <c r="R1402">
        <v>0.98903852161110795</v>
      </c>
      <c r="S1402" t="s">
        <v>7687</v>
      </c>
      <c r="T1402" t="s">
        <v>12568</v>
      </c>
      <c r="U1402" t="s">
        <v>12568</v>
      </c>
      <c r="V1402" t="s">
        <v>12568</v>
      </c>
      <c r="W1402" t="s">
        <v>13943</v>
      </c>
      <c r="X1402">
        <v>5</v>
      </c>
      <c r="Y1402" t="s">
        <v>20156</v>
      </c>
      <c r="Z1402" t="s">
        <v>26272</v>
      </c>
      <c r="AA1402">
        <v>0.35311379666212611</v>
      </c>
      <c r="AB1402" t="str">
        <f>HYPERLINK("Melting_Curves/meltCurve_O95749_GGPS1.pdf", "Melting_Curves/meltCurve_O95749_GGPS1.pdf")</f>
        <v>Melting_Curves/meltCurve_O95749_GGPS1.pdf</v>
      </c>
    </row>
    <row r="1403" spans="1:28" x14ac:dyDescent="0.25">
      <c r="A1403" t="s">
        <v>1407</v>
      </c>
      <c r="B1403">
        <v>0.99352677808782597</v>
      </c>
      <c r="C1403">
        <v>1.0813467031228701</v>
      </c>
      <c r="D1403">
        <v>0.71581288076111405</v>
      </c>
      <c r="E1403">
        <v>0.31303837602010598</v>
      </c>
      <c r="F1403">
        <v>0.228070094583355</v>
      </c>
      <c r="G1403">
        <v>0.140991365834192</v>
      </c>
      <c r="H1403">
        <v>9.63858753776521E-2</v>
      </c>
      <c r="I1403">
        <v>9.0979571117725505E-2</v>
      </c>
      <c r="J1403">
        <v>7.9577642154726194E-2</v>
      </c>
      <c r="K1403">
        <v>6.4047169357294598E-2</v>
      </c>
      <c r="L1403">
        <v>1208.4193780830601</v>
      </c>
      <c r="M1403">
        <v>25.2558246346481</v>
      </c>
      <c r="N1403">
        <v>48.263738115025497</v>
      </c>
      <c r="O1403">
        <v>47.550197384109701</v>
      </c>
      <c r="P1403">
        <v>-0.119782457169821</v>
      </c>
      <c r="Q1403">
        <v>9.7933735499358507E-2</v>
      </c>
      <c r="R1403">
        <v>0.98288564914126098</v>
      </c>
      <c r="S1403" t="s">
        <v>7688</v>
      </c>
      <c r="T1403" t="s">
        <v>12568</v>
      </c>
      <c r="U1403" t="s">
        <v>12568</v>
      </c>
      <c r="V1403" t="s">
        <v>12568</v>
      </c>
      <c r="W1403" t="s">
        <v>13944</v>
      </c>
      <c r="X1403">
        <v>37</v>
      </c>
      <c r="Y1403" t="s">
        <v>20157</v>
      </c>
      <c r="Z1403" t="s">
        <v>26273</v>
      </c>
      <c r="AA1403">
        <v>0.34169446555353539</v>
      </c>
      <c r="AB1403" t="str">
        <f>HYPERLINK("Melting_Curves/meltCurve_O95757_HSPA4L.pdf", "Melting_Curves/meltCurve_O95757_HSPA4L.pdf")</f>
        <v>Melting_Curves/meltCurve_O95757_HSPA4L.pdf</v>
      </c>
    </row>
    <row r="1404" spans="1:28" x14ac:dyDescent="0.25">
      <c r="A1404" t="s">
        <v>1408</v>
      </c>
      <c r="B1404">
        <v>0.99352677808782597</v>
      </c>
      <c r="C1404">
        <v>0.73587244288107301</v>
      </c>
      <c r="D1404">
        <v>0.687118809079177</v>
      </c>
      <c r="E1404">
        <v>0.45979294667138598</v>
      </c>
      <c r="F1404">
        <v>0.38833488486614198</v>
      </c>
      <c r="G1404">
        <v>0.31702642503824202</v>
      </c>
      <c r="H1404">
        <v>0.221585620121905</v>
      </c>
      <c r="I1404">
        <v>0.23219787636085701</v>
      </c>
      <c r="J1404">
        <v>0.20776558487270799</v>
      </c>
      <c r="K1404">
        <v>0.19418319016153299</v>
      </c>
      <c r="L1404">
        <v>534.84054196996101</v>
      </c>
      <c r="M1404">
        <v>11.2621430863044</v>
      </c>
      <c r="N1404">
        <v>49.466053818454299</v>
      </c>
      <c r="O1404">
        <v>46.066679238623898</v>
      </c>
      <c r="P1404">
        <v>-5.0062733598711599E-2</v>
      </c>
      <c r="Q1404">
        <v>0.18114574631772001</v>
      </c>
      <c r="R1404">
        <v>0.97814353368780704</v>
      </c>
      <c r="S1404" t="s">
        <v>7689</v>
      </c>
      <c r="T1404" t="s">
        <v>12568</v>
      </c>
      <c r="U1404" t="s">
        <v>12568</v>
      </c>
      <c r="V1404" t="s">
        <v>12568</v>
      </c>
      <c r="W1404" t="s">
        <v>13945</v>
      </c>
      <c r="X1404">
        <v>7</v>
      </c>
      <c r="Y1404" t="s">
        <v>20158</v>
      </c>
      <c r="Z1404" t="s">
        <v>26274</v>
      </c>
      <c r="AA1404">
        <v>0.42270024012993501</v>
      </c>
      <c r="AB1404" t="str">
        <f>HYPERLINK("Melting_Curves/meltCurve_O95758_1_PTBP3.pdf", "Melting_Curves/meltCurve_O95758_1_PTBP3.pdf")</f>
        <v>Melting_Curves/meltCurve_O95758_1_PTBP3.pdf</v>
      </c>
    </row>
    <row r="1405" spans="1:28" x14ac:dyDescent="0.25">
      <c r="A1405" t="s">
        <v>1409</v>
      </c>
      <c r="B1405">
        <v>0.99352677808782597</v>
      </c>
      <c r="C1405">
        <v>0.94817638011518102</v>
      </c>
      <c r="D1405">
        <v>0.73443496988693802</v>
      </c>
      <c r="E1405">
        <v>0.31759692704306802</v>
      </c>
      <c r="F1405">
        <v>0.26625914635791598</v>
      </c>
      <c r="G1405">
        <v>0.17954068886004701</v>
      </c>
      <c r="H1405">
        <v>0.16618092327960099</v>
      </c>
      <c r="I1405">
        <v>0.16525691568768</v>
      </c>
      <c r="J1405">
        <v>0.161308425722342</v>
      </c>
      <c r="K1405">
        <v>0.113199910689407</v>
      </c>
      <c r="L1405">
        <v>1145.7169247043601</v>
      </c>
      <c r="M1405">
        <v>24.156570578415799</v>
      </c>
      <c r="N1405">
        <v>48.183940958522001</v>
      </c>
      <c r="O1405">
        <v>47.107345666670597</v>
      </c>
      <c r="P1405">
        <v>-0.107998825429187</v>
      </c>
      <c r="Q1405">
        <v>0.157585785316988</v>
      </c>
      <c r="R1405">
        <v>0.99514076645153005</v>
      </c>
      <c r="S1405" t="s">
        <v>7690</v>
      </c>
      <c r="T1405" t="s">
        <v>12568</v>
      </c>
      <c r="U1405" t="s">
        <v>12568</v>
      </c>
      <c r="V1405" t="s">
        <v>12568</v>
      </c>
      <c r="W1405" t="s">
        <v>13946</v>
      </c>
      <c r="X1405">
        <v>4</v>
      </c>
      <c r="Y1405" t="s">
        <v>20159</v>
      </c>
      <c r="Z1405" t="s">
        <v>26275</v>
      </c>
      <c r="AA1405">
        <v>0.37424058702205271</v>
      </c>
      <c r="AB1405" t="str">
        <f>HYPERLINK("Melting_Curves/meltCurve_O95759_TBC1D8.pdf", "Melting_Curves/meltCurve_O95759_TBC1D8.pdf")</f>
        <v>Melting_Curves/meltCurve_O95759_TBC1D8.pdf</v>
      </c>
    </row>
    <row r="1406" spans="1:28" x14ac:dyDescent="0.25">
      <c r="A1406" t="s">
        <v>1410</v>
      </c>
      <c r="B1406">
        <v>0.99352677808782597</v>
      </c>
      <c r="C1406">
        <v>0.95329735737625498</v>
      </c>
      <c r="D1406">
        <v>0.95503614678864901</v>
      </c>
      <c r="E1406">
        <v>0.97812404733678804</v>
      </c>
      <c r="F1406">
        <v>0.91906495267125798</v>
      </c>
      <c r="G1406">
        <v>0.70594096682642304</v>
      </c>
      <c r="H1406">
        <v>0.73917019812293905</v>
      </c>
      <c r="I1406">
        <v>0.79887194743591605</v>
      </c>
      <c r="J1406">
        <v>0.77870240755796305</v>
      </c>
      <c r="K1406">
        <v>0.57985809057151605</v>
      </c>
      <c r="L1406">
        <v>431.50497199732501</v>
      </c>
      <c r="M1406">
        <v>7.0192643414756501</v>
      </c>
      <c r="O1406">
        <v>57.068557791890697</v>
      </c>
      <c r="P1406">
        <v>-1.48153704067295E-2</v>
      </c>
      <c r="Q1406">
        <v>0.519070335502406</v>
      </c>
      <c r="R1406">
        <v>0.77444836731566302</v>
      </c>
      <c r="S1406" t="s">
        <v>7691</v>
      </c>
      <c r="T1406" t="s">
        <v>12568</v>
      </c>
      <c r="U1406" t="s">
        <v>12568</v>
      </c>
      <c r="V1406" t="s">
        <v>12568</v>
      </c>
      <c r="W1406" t="s">
        <v>13947</v>
      </c>
      <c r="X1406">
        <v>5</v>
      </c>
      <c r="Y1406" t="s">
        <v>20160</v>
      </c>
      <c r="Z1406" t="s">
        <v>26276</v>
      </c>
      <c r="AA1406">
        <v>0.8437053073116727</v>
      </c>
      <c r="AB1406" t="str">
        <f>HYPERLINK("Melting_Curves/meltCurve_O95777_NAA38.pdf", "Melting_Curves/meltCurve_O95777_NAA38.pdf")</f>
        <v>Melting_Curves/meltCurve_O95777_NAA38.pdf</v>
      </c>
    </row>
    <row r="1407" spans="1:28" x14ac:dyDescent="0.25">
      <c r="A1407" t="s">
        <v>1411</v>
      </c>
      <c r="B1407">
        <v>0.99352677808782597</v>
      </c>
      <c r="C1407">
        <v>0.98265923175548697</v>
      </c>
      <c r="D1407">
        <v>0.88772127612920004</v>
      </c>
      <c r="E1407">
        <v>0.68199539872303705</v>
      </c>
      <c r="F1407">
        <v>0.55115388493544004</v>
      </c>
      <c r="G1407">
        <v>0.27445254773699601</v>
      </c>
      <c r="H1407">
        <v>0.14977210524825799</v>
      </c>
      <c r="I1407">
        <v>0.12995622780258001</v>
      </c>
      <c r="J1407">
        <v>0.109207875300975</v>
      </c>
      <c r="K1407">
        <v>8.5002895957090596E-2</v>
      </c>
      <c r="L1407">
        <v>770.64409419828496</v>
      </c>
      <c r="M1407">
        <v>14.6241660823732</v>
      </c>
      <c r="N1407">
        <v>53.144301131562003</v>
      </c>
      <c r="O1407">
        <v>51.740679267088403</v>
      </c>
      <c r="P1407">
        <v>-6.6573264241829105E-2</v>
      </c>
      <c r="Q1407">
        <v>5.7953369298285103E-2</v>
      </c>
      <c r="R1407">
        <v>0.99718646032585501</v>
      </c>
      <c r="S1407" t="s">
        <v>7692</v>
      </c>
      <c r="T1407" t="s">
        <v>12568</v>
      </c>
      <c r="U1407" t="s">
        <v>12568</v>
      </c>
      <c r="V1407" t="s">
        <v>12568</v>
      </c>
      <c r="W1407" t="s">
        <v>13948</v>
      </c>
      <c r="X1407">
        <v>33</v>
      </c>
      <c r="Y1407" t="s">
        <v>20161</v>
      </c>
      <c r="Z1407" t="s">
        <v>26277</v>
      </c>
      <c r="AA1407">
        <v>0.47792411815514002</v>
      </c>
      <c r="AB1407" t="str">
        <f>HYPERLINK("Melting_Curves/meltCurve_O95782_2_AP2A1.pdf", "Melting_Curves/meltCurve_O95782_2_AP2A1.pdf")</f>
        <v>Melting_Curves/meltCurve_O95782_2_AP2A1.pdf</v>
      </c>
    </row>
    <row r="1408" spans="1:28" x14ac:dyDescent="0.25">
      <c r="A1408" t="s">
        <v>1412</v>
      </c>
      <c r="B1408">
        <v>0.99352677808782597</v>
      </c>
      <c r="C1408">
        <v>0.89925137225512297</v>
      </c>
      <c r="D1408">
        <v>0.81576790779650199</v>
      </c>
      <c r="E1408">
        <v>0.29435099836610801</v>
      </c>
      <c r="F1408">
        <v>0.31627388839501702</v>
      </c>
      <c r="G1408">
        <v>0.14322756018291299</v>
      </c>
      <c r="H1408">
        <v>0.17199882741303099</v>
      </c>
      <c r="I1408">
        <v>8.1533646744264193E-2</v>
      </c>
      <c r="J1408">
        <v>6.2658747707383194E-2</v>
      </c>
      <c r="K1408">
        <v>4.81616373865398E-2</v>
      </c>
      <c r="L1408">
        <v>951.38378890976105</v>
      </c>
      <c r="M1408">
        <v>19.7051360931784</v>
      </c>
      <c r="N1408">
        <v>48.784674706414897</v>
      </c>
      <c r="O1408">
        <v>47.7920186830926</v>
      </c>
      <c r="P1408">
        <v>-9.3593393543353803E-2</v>
      </c>
      <c r="Q1408">
        <v>9.2041346523724393E-2</v>
      </c>
      <c r="R1408">
        <v>0.97448661399693604</v>
      </c>
      <c r="S1408" t="s">
        <v>7693</v>
      </c>
      <c r="T1408" t="s">
        <v>12568</v>
      </c>
      <c r="U1408" t="s">
        <v>12568</v>
      </c>
      <c r="V1408" t="s">
        <v>12568</v>
      </c>
      <c r="W1408" t="s">
        <v>12748</v>
      </c>
      <c r="X1408">
        <v>8</v>
      </c>
      <c r="Y1408" t="s">
        <v>18978</v>
      </c>
      <c r="Z1408" t="s">
        <v>26278</v>
      </c>
      <c r="AA1408">
        <v>0.35590958212149337</v>
      </c>
      <c r="AB1408" t="str">
        <f>HYPERLINK("Melting_Curves/meltCurve_O95785_WIZ.pdf", "Melting_Curves/meltCurve_O95785_WIZ.pdf")</f>
        <v>Melting_Curves/meltCurve_O95785_WIZ.pdf</v>
      </c>
    </row>
    <row r="1409" spans="1:28" x14ac:dyDescent="0.25">
      <c r="A1409" t="s">
        <v>1413</v>
      </c>
      <c r="B1409">
        <v>0.99352677808782597</v>
      </c>
      <c r="C1409">
        <v>0.94257918476667102</v>
      </c>
      <c r="D1409">
        <v>0.75028128667582805</v>
      </c>
      <c r="E1409">
        <v>0.25167864774536902</v>
      </c>
      <c r="F1409">
        <v>0.19966005236487</v>
      </c>
      <c r="G1409">
        <v>0.124488904449312</v>
      </c>
      <c r="H1409">
        <v>8.3737648014547403E-2</v>
      </c>
      <c r="I1409">
        <v>8.6244133549189306E-2</v>
      </c>
      <c r="J1409">
        <v>8.1156073893199898E-2</v>
      </c>
      <c r="K1409">
        <v>6.7059812199028193E-2</v>
      </c>
      <c r="L1409">
        <v>1252.9543380283701</v>
      </c>
      <c r="M1409">
        <v>26.3475468788331</v>
      </c>
      <c r="N1409">
        <v>47.917524235134898</v>
      </c>
      <c r="O1409">
        <v>47.283464026052002</v>
      </c>
      <c r="P1409">
        <v>-0.126715381679921</v>
      </c>
      <c r="Q1409">
        <v>9.0393225038067501E-2</v>
      </c>
      <c r="R1409">
        <v>0.99573104907288901</v>
      </c>
      <c r="S1409" t="s">
        <v>7694</v>
      </c>
      <c r="T1409" t="s">
        <v>12568</v>
      </c>
      <c r="U1409" t="s">
        <v>12568</v>
      </c>
      <c r="V1409" t="s">
        <v>12568</v>
      </c>
      <c r="W1409" t="s">
        <v>13949</v>
      </c>
      <c r="X1409">
        <v>7</v>
      </c>
      <c r="Y1409" t="s">
        <v>20162</v>
      </c>
      <c r="Z1409" t="s">
        <v>26279</v>
      </c>
      <c r="AA1409">
        <v>0.32665648736750652</v>
      </c>
      <c r="AB1409" t="str">
        <f>HYPERLINK("Melting_Curves/meltCurve_O95786_2_DDX58.pdf", "Melting_Curves/meltCurve_O95786_2_DDX58.pdf")</f>
        <v>Melting_Curves/meltCurve_O95786_2_DDX58.pdf</v>
      </c>
    </row>
    <row r="1410" spans="1:28" x14ac:dyDescent="0.25">
      <c r="A1410" t="s">
        <v>1414</v>
      </c>
      <c r="B1410">
        <v>0.99352677808782597</v>
      </c>
      <c r="C1410">
        <v>0.92610181941065195</v>
      </c>
      <c r="D1410">
        <v>0.92992063257275703</v>
      </c>
      <c r="E1410">
        <v>0.313884394915661</v>
      </c>
      <c r="F1410">
        <v>0.24141462637848801</v>
      </c>
      <c r="G1410">
        <v>0.134656300369909</v>
      </c>
      <c r="H1410">
        <v>8.0890040111027101E-2</v>
      </c>
      <c r="I1410">
        <v>8.0385656011067896E-2</v>
      </c>
      <c r="J1410">
        <v>6.4567626188689595E-2</v>
      </c>
      <c r="K1410">
        <v>4.57436764568653E-2</v>
      </c>
      <c r="L1410">
        <v>1566.84424412164</v>
      </c>
      <c r="M1410">
        <v>32.171322819612499</v>
      </c>
      <c r="N1410">
        <v>49.004353898407899</v>
      </c>
      <c r="O1410">
        <v>48.516093730619197</v>
      </c>
      <c r="P1410">
        <v>-0.150904896365365</v>
      </c>
      <c r="Q1410">
        <v>8.97131924241929E-2</v>
      </c>
      <c r="R1410">
        <v>0.98548155253319103</v>
      </c>
      <c r="S1410" t="s">
        <v>7695</v>
      </c>
      <c r="T1410" t="s">
        <v>12568</v>
      </c>
      <c r="U1410" t="s">
        <v>12568</v>
      </c>
      <c r="V1410" t="s">
        <v>12568</v>
      </c>
      <c r="W1410" t="s">
        <v>13950</v>
      </c>
      <c r="X1410">
        <v>11</v>
      </c>
      <c r="Y1410" t="s">
        <v>20163</v>
      </c>
      <c r="Z1410" t="s">
        <v>26280</v>
      </c>
      <c r="AA1410">
        <v>0.3585745685330084</v>
      </c>
      <c r="AB1410" t="str">
        <f>HYPERLINK("Melting_Curves/meltCurve_O95801_TTC4.pdf", "Melting_Curves/meltCurve_O95801_TTC4.pdf")</f>
        <v>Melting_Curves/meltCurve_O95801_TTC4.pdf</v>
      </c>
    </row>
    <row r="1411" spans="1:28" x14ac:dyDescent="0.25">
      <c r="A1411" t="s">
        <v>1415</v>
      </c>
      <c r="B1411">
        <v>0.99352677808782597</v>
      </c>
      <c r="C1411">
        <v>0.99585976230193995</v>
      </c>
      <c r="D1411">
        <v>0.93380152569577302</v>
      </c>
      <c r="E1411">
        <v>0.88539450967490096</v>
      </c>
      <c r="F1411">
        <v>0.71985407660885703</v>
      </c>
      <c r="G1411">
        <v>0.59995932971968602</v>
      </c>
      <c r="H1411">
        <v>0.62826072979454906</v>
      </c>
      <c r="I1411">
        <v>0.68114548781350304</v>
      </c>
      <c r="J1411">
        <v>0.83892661061264895</v>
      </c>
      <c r="K1411">
        <v>0.80314098567246395</v>
      </c>
      <c r="L1411">
        <v>3056.42904812499</v>
      </c>
      <c r="M1411">
        <v>60.727719150360997</v>
      </c>
      <c r="O1411">
        <v>50.275552388797202</v>
      </c>
      <c r="P1411">
        <v>-8.7634722115944197E-2</v>
      </c>
      <c r="Q1411">
        <v>0.70979428852333004</v>
      </c>
      <c r="R1411">
        <v>0.74315829640724795</v>
      </c>
      <c r="S1411" t="s">
        <v>7696</v>
      </c>
      <c r="T1411" t="s">
        <v>12568</v>
      </c>
      <c r="U1411" t="s">
        <v>12568</v>
      </c>
      <c r="V1411" t="s">
        <v>12568</v>
      </c>
      <c r="W1411" t="s">
        <v>13951</v>
      </c>
      <c r="X1411">
        <v>7</v>
      </c>
      <c r="Y1411" t="s">
        <v>20164</v>
      </c>
      <c r="Z1411" t="s">
        <v>26281</v>
      </c>
      <c r="AA1411">
        <v>0.81015822556136252</v>
      </c>
      <c r="AB1411" t="str">
        <f>HYPERLINK("Melting_Curves/meltCurve_O95810_SDPR.pdf", "Melting_Curves/meltCurve_O95810_SDPR.pdf")</f>
        <v>Melting_Curves/meltCurve_O95810_SDPR.pdf</v>
      </c>
    </row>
    <row r="1412" spans="1:28" x14ac:dyDescent="0.25">
      <c r="A1412" t="s">
        <v>1416</v>
      </c>
      <c r="B1412">
        <v>0.99352677808782597</v>
      </c>
      <c r="C1412">
        <v>0.91674343733865105</v>
      </c>
      <c r="D1412">
        <v>0.98834225910871498</v>
      </c>
      <c r="E1412">
        <v>1.1724989325707</v>
      </c>
      <c r="F1412">
        <v>0.53133532620047996</v>
      </c>
      <c r="G1412">
        <v>0.888511339904832</v>
      </c>
      <c r="H1412">
        <v>0.57850615536532901</v>
      </c>
      <c r="I1412">
        <v>0.48030104439198101</v>
      </c>
      <c r="J1412">
        <v>0.52901682889842105</v>
      </c>
      <c r="K1412">
        <v>0.379486937964093</v>
      </c>
      <c r="L1412">
        <v>616.45296295410003</v>
      </c>
      <c r="M1412">
        <v>10.276260870549301</v>
      </c>
      <c r="N1412">
        <v>65.080209686936698</v>
      </c>
      <c r="O1412">
        <v>57.849584646906798</v>
      </c>
      <c r="P1412">
        <v>-3.2155602676702803E-2</v>
      </c>
      <c r="Q1412">
        <v>0.27624512861844902</v>
      </c>
      <c r="R1412">
        <v>0.69644708743705996</v>
      </c>
      <c r="S1412" t="s">
        <v>7697</v>
      </c>
      <c r="T1412" t="s">
        <v>12568</v>
      </c>
      <c r="U1412" t="s">
        <v>12568</v>
      </c>
      <c r="V1412" t="s">
        <v>12568</v>
      </c>
      <c r="W1412" t="s">
        <v>13952</v>
      </c>
      <c r="X1412">
        <v>10</v>
      </c>
      <c r="Y1412" t="s">
        <v>20165</v>
      </c>
      <c r="Z1412" t="s">
        <v>26282</v>
      </c>
      <c r="AA1412">
        <v>0.75643954983213679</v>
      </c>
      <c r="AB1412" t="str">
        <f>HYPERLINK("Melting_Curves/meltCurve_O95816_BAG2.pdf", "Melting_Curves/meltCurve_O95816_BAG2.pdf")</f>
        <v>Melting_Curves/meltCurve_O95816_BAG2.pdf</v>
      </c>
    </row>
    <row r="1413" spans="1:28" x14ac:dyDescent="0.25">
      <c r="A1413" t="s">
        <v>1417</v>
      </c>
      <c r="B1413">
        <v>0.99352677808782597</v>
      </c>
      <c r="C1413">
        <v>0.98628320931122604</v>
      </c>
      <c r="D1413">
        <v>0.985602838025322</v>
      </c>
      <c r="E1413">
        <v>0.86277323315242205</v>
      </c>
      <c r="F1413">
        <v>0.70897619295716796</v>
      </c>
      <c r="G1413">
        <v>0.67951978149244197</v>
      </c>
      <c r="H1413">
        <v>0.66618171417371597</v>
      </c>
      <c r="I1413">
        <v>0.727396551850924</v>
      </c>
      <c r="J1413">
        <v>0.728068643885733</v>
      </c>
      <c r="K1413">
        <v>0.70636015212682202</v>
      </c>
      <c r="L1413">
        <v>3174.9378812017799</v>
      </c>
      <c r="M1413">
        <v>63.341082312220401</v>
      </c>
      <c r="O1413">
        <v>50.074576113886202</v>
      </c>
      <c r="P1413">
        <v>-9.4488231625006594E-2</v>
      </c>
      <c r="Q1413">
        <v>0.70120772913520601</v>
      </c>
      <c r="R1413">
        <v>0.97915584317605897</v>
      </c>
      <c r="S1413" t="s">
        <v>7698</v>
      </c>
      <c r="T1413" t="s">
        <v>12568</v>
      </c>
      <c r="U1413" t="s">
        <v>12568</v>
      </c>
      <c r="V1413" t="s">
        <v>12568</v>
      </c>
      <c r="W1413" t="s">
        <v>13953</v>
      </c>
      <c r="X1413">
        <v>30</v>
      </c>
      <c r="Y1413" t="s">
        <v>19020</v>
      </c>
      <c r="Z1413" t="s">
        <v>26283</v>
      </c>
      <c r="AA1413">
        <v>0.80245557609930818</v>
      </c>
      <c r="AB1413" t="str">
        <f>HYPERLINK("Melting_Curves/meltCurve_O95817_BAG3.pdf", "Melting_Curves/meltCurve_O95817_BAG3.pdf")</f>
        <v>Melting_Curves/meltCurve_O95817_BAG3.pdf</v>
      </c>
    </row>
    <row r="1414" spans="1:28" x14ac:dyDescent="0.25">
      <c r="A1414" t="s">
        <v>1418</v>
      </c>
      <c r="B1414">
        <v>0.99352677808782597</v>
      </c>
      <c r="C1414">
        <v>1.0727295051690799</v>
      </c>
      <c r="D1414">
        <v>0.86308428203716303</v>
      </c>
      <c r="E1414">
        <v>0.460552882876406</v>
      </c>
      <c r="F1414">
        <v>0.42121338334029401</v>
      </c>
      <c r="G1414">
        <v>0.29670604523368199</v>
      </c>
      <c r="H1414">
        <v>0.27382759993863898</v>
      </c>
      <c r="I1414">
        <v>0.26850601878182601</v>
      </c>
      <c r="J1414">
        <v>0.17471359181122101</v>
      </c>
      <c r="K1414">
        <v>0.16151054326470199</v>
      </c>
      <c r="L1414">
        <v>1100.37452001867</v>
      </c>
      <c r="M1414">
        <v>22.461051567045001</v>
      </c>
      <c r="N1414">
        <v>50.373483070614</v>
      </c>
      <c r="O1414">
        <v>48.606967593064802</v>
      </c>
      <c r="P1414">
        <v>-8.8938159913007103E-2</v>
      </c>
      <c r="Q1414">
        <v>0.23014730172516401</v>
      </c>
      <c r="R1414">
        <v>0.96996936780277498</v>
      </c>
      <c r="S1414" t="s">
        <v>7699</v>
      </c>
      <c r="T1414" t="s">
        <v>12568</v>
      </c>
      <c r="U1414" t="s">
        <v>12568</v>
      </c>
      <c r="V1414" t="s">
        <v>12568</v>
      </c>
      <c r="W1414" t="s">
        <v>13954</v>
      </c>
      <c r="X1414">
        <v>1</v>
      </c>
      <c r="Y1414" t="s">
        <v>20166</v>
      </c>
      <c r="Z1414" t="s">
        <v>26284</v>
      </c>
      <c r="AA1414">
        <v>0.46936015639242851</v>
      </c>
      <c r="AB1414" t="str">
        <f>HYPERLINK("Melting_Curves/meltCurve_O95822_MLYCD.pdf", "Melting_Curves/meltCurve_O95822_MLYCD.pdf")</f>
        <v>Melting_Curves/meltCurve_O95822_MLYCD.pdf</v>
      </c>
    </row>
    <row r="1415" spans="1:28" x14ac:dyDescent="0.25">
      <c r="A1415" t="s">
        <v>1419</v>
      </c>
      <c r="B1415">
        <v>0.99352677808782597</v>
      </c>
      <c r="C1415">
        <v>1.0529396719608499</v>
      </c>
      <c r="D1415">
        <v>1.0224782222847599</v>
      </c>
      <c r="E1415">
        <v>1.15334576691747</v>
      </c>
      <c r="F1415">
        <v>1.04170058899823</v>
      </c>
      <c r="G1415">
        <v>0.99346924973153805</v>
      </c>
      <c r="H1415">
        <v>0.77760641756226501</v>
      </c>
      <c r="I1415">
        <v>0.16866919962375801</v>
      </c>
      <c r="J1415">
        <v>7.7603801769818501E-2</v>
      </c>
      <c r="K1415">
        <v>6.4401734938502306E-2</v>
      </c>
      <c r="L1415">
        <v>4242.5682894588999</v>
      </c>
      <c r="M1415">
        <v>68.390978964475295</v>
      </c>
      <c r="N1415">
        <v>62.166146545769102</v>
      </c>
      <c r="O1415">
        <v>61.981058398928397</v>
      </c>
      <c r="P1415">
        <v>-0.25719656270485097</v>
      </c>
      <c r="Q1415">
        <v>6.7636609172229301E-2</v>
      </c>
      <c r="R1415">
        <v>0.98400010522859305</v>
      </c>
      <c r="S1415" t="s">
        <v>7700</v>
      </c>
      <c r="T1415" t="s">
        <v>12568</v>
      </c>
      <c r="U1415" t="s">
        <v>12568</v>
      </c>
      <c r="V1415" t="s">
        <v>12568</v>
      </c>
      <c r="W1415" t="s">
        <v>13955</v>
      </c>
      <c r="X1415">
        <v>10</v>
      </c>
      <c r="Y1415" t="s">
        <v>20167</v>
      </c>
      <c r="Z1415" t="s">
        <v>26285</v>
      </c>
      <c r="AA1415">
        <v>0.7537720882592388</v>
      </c>
      <c r="AB1415" t="str">
        <f>HYPERLINK("Melting_Curves/meltCurve_O95825_CRYZL1.pdf", "Melting_Curves/meltCurve_O95825_CRYZL1.pdf")</f>
        <v>Melting_Curves/meltCurve_O95825_CRYZL1.pdf</v>
      </c>
    </row>
    <row r="1416" spans="1:28" x14ac:dyDescent="0.25">
      <c r="A1416" t="s">
        <v>1420</v>
      </c>
      <c r="B1416">
        <v>0.99352677808782597</v>
      </c>
      <c r="C1416">
        <v>1.0045317310386099</v>
      </c>
      <c r="D1416">
        <v>0.99277968049184795</v>
      </c>
      <c r="E1416">
        <v>0.75869818490914098</v>
      </c>
      <c r="F1416">
        <v>0.69999919218618301</v>
      </c>
      <c r="G1416">
        <v>0.472842116250414</v>
      </c>
      <c r="H1416">
        <v>0.38662146822305599</v>
      </c>
      <c r="I1416">
        <v>0.311975631071786</v>
      </c>
      <c r="J1416">
        <v>0.20390077688744801</v>
      </c>
      <c r="K1416">
        <v>0.17194298504709099</v>
      </c>
      <c r="L1416">
        <v>637.75278084122499</v>
      </c>
      <c r="M1416">
        <v>11.419312939299701</v>
      </c>
      <c r="N1416">
        <v>57.071786669098103</v>
      </c>
      <c r="O1416">
        <v>54.218221775412502</v>
      </c>
      <c r="P1416">
        <v>-4.69526835809441E-2</v>
      </c>
      <c r="Q1416">
        <v>0.108546399215129</v>
      </c>
      <c r="R1416">
        <v>0.98765317311739997</v>
      </c>
      <c r="S1416" t="s">
        <v>7701</v>
      </c>
      <c r="T1416" t="s">
        <v>12568</v>
      </c>
      <c r="U1416" t="s">
        <v>12568</v>
      </c>
      <c r="V1416" t="s">
        <v>12568</v>
      </c>
      <c r="W1416" t="s">
        <v>13956</v>
      </c>
      <c r="X1416">
        <v>6</v>
      </c>
      <c r="Y1416" t="s">
        <v>20168</v>
      </c>
      <c r="Z1416" t="s">
        <v>26286</v>
      </c>
      <c r="AA1416">
        <v>0.59846454399994209</v>
      </c>
      <c r="AB1416" t="str">
        <f>HYPERLINK("Melting_Curves/meltCurve_O95831_3_AIFM1.pdf", "Melting_Curves/meltCurve_O95831_3_AIFM1.pdf")</f>
        <v>Melting_Curves/meltCurve_O95831_3_AIFM1.pdf</v>
      </c>
    </row>
    <row r="1417" spans="1:28" x14ac:dyDescent="0.25">
      <c r="A1417" t="s">
        <v>1421</v>
      </c>
      <c r="B1417">
        <v>0.99352677808782597</v>
      </c>
      <c r="C1417">
        <v>1.0469904179670599</v>
      </c>
      <c r="D1417">
        <v>1.0407243651292899</v>
      </c>
      <c r="E1417">
        <v>0.50648241796195703</v>
      </c>
      <c r="F1417">
        <v>0.43962544433511103</v>
      </c>
      <c r="G1417">
        <v>0.22044703187651199</v>
      </c>
      <c r="H1417">
        <v>0.35310377880211902</v>
      </c>
      <c r="I1417">
        <v>0.41573590736250499</v>
      </c>
      <c r="J1417">
        <v>0.113806613954322</v>
      </c>
      <c r="K1417">
        <v>6.5214682268464594E-2</v>
      </c>
      <c r="L1417">
        <v>1583.2588422464901</v>
      </c>
      <c r="M1417">
        <v>31.8905482634305</v>
      </c>
      <c r="N1417">
        <v>50.705605531217103</v>
      </c>
      <c r="O1417">
        <v>49.452654109681298</v>
      </c>
      <c r="P1417">
        <v>-0.12202230984585501</v>
      </c>
      <c r="Q1417">
        <v>0.24312418746848599</v>
      </c>
      <c r="R1417">
        <v>0.90635495929929499</v>
      </c>
      <c r="S1417" t="s">
        <v>7702</v>
      </c>
      <c r="T1417" t="s">
        <v>12568</v>
      </c>
      <c r="U1417" t="s">
        <v>12568</v>
      </c>
      <c r="V1417" t="s">
        <v>12568</v>
      </c>
      <c r="W1417" t="s">
        <v>13957</v>
      </c>
      <c r="X1417">
        <v>3</v>
      </c>
      <c r="Y1417" t="s">
        <v>20169</v>
      </c>
      <c r="Z1417" t="s">
        <v>26287</v>
      </c>
      <c r="AA1417">
        <v>0.49061300292393639</v>
      </c>
      <c r="AB1417" t="str">
        <f>HYPERLINK("Melting_Curves/meltCurve_O95833_CLIC3.pdf", "Melting_Curves/meltCurve_O95833_CLIC3.pdf")</f>
        <v>Melting_Curves/meltCurve_O95833_CLIC3.pdf</v>
      </c>
    </row>
    <row r="1418" spans="1:28" x14ac:dyDescent="0.25">
      <c r="A1418" t="s">
        <v>1422</v>
      </c>
      <c r="B1418">
        <v>0.99352677808782597</v>
      </c>
      <c r="C1418">
        <v>0.91032764129582899</v>
      </c>
      <c r="D1418">
        <v>0.97367567199654803</v>
      </c>
      <c r="E1418">
        <v>0.70898628442668898</v>
      </c>
      <c r="F1418">
        <v>0.64751700308319704</v>
      </c>
      <c r="G1418">
        <v>0.21509132783427301</v>
      </c>
      <c r="H1418">
        <v>0.12154726167600299</v>
      </c>
      <c r="I1418">
        <v>9.2000189936764107E-2</v>
      </c>
      <c r="J1418">
        <v>8.00133271351917E-2</v>
      </c>
      <c r="K1418">
        <v>6.6807883781790006E-2</v>
      </c>
      <c r="L1418">
        <v>953.24301572684999</v>
      </c>
      <c r="M1418">
        <v>17.8546761178157</v>
      </c>
      <c r="N1418">
        <v>53.648121988143103</v>
      </c>
      <c r="O1418">
        <v>52.7327707189405</v>
      </c>
      <c r="P1418">
        <v>-8.1154093991060702E-2</v>
      </c>
      <c r="Q1418">
        <v>4.1312886586891202E-2</v>
      </c>
      <c r="R1418">
        <v>0.98283316124599696</v>
      </c>
      <c r="S1418" t="s">
        <v>7703</v>
      </c>
      <c r="T1418" t="s">
        <v>12568</v>
      </c>
      <c r="U1418" t="s">
        <v>12568</v>
      </c>
      <c r="V1418" t="s">
        <v>12568</v>
      </c>
      <c r="W1418" t="s">
        <v>13958</v>
      </c>
      <c r="X1418">
        <v>11</v>
      </c>
      <c r="Y1418" t="s">
        <v>20170</v>
      </c>
      <c r="Z1418" t="s">
        <v>26288</v>
      </c>
      <c r="AA1418">
        <v>0.48494439292476782</v>
      </c>
      <c r="AB1418" t="str">
        <f>HYPERLINK("Melting_Curves/meltCurve_O95834_2_EML2.pdf", "Melting_Curves/meltCurve_O95834_2_EML2.pdf")</f>
        <v>Melting_Curves/meltCurve_O95834_2_EML2.pdf</v>
      </c>
    </row>
    <row r="1419" spans="1:28" x14ac:dyDescent="0.25">
      <c r="A1419" t="s">
        <v>1423</v>
      </c>
      <c r="B1419">
        <v>0.99352677808782597</v>
      </c>
      <c r="C1419">
        <v>0.84183788012938898</v>
      </c>
      <c r="D1419">
        <v>1.0001657480110799</v>
      </c>
      <c r="E1419">
        <v>0.82072908918369902</v>
      </c>
      <c r="F1419">
        <v>0.82122833588312805</v>
      </c>
      <c r="G1419">
        <v>0.782858338806387</v>
      </c>
      <c r="H1419">
        <v>0.67050368299179997</v>
      </c>
      <c r="I1419">
        <v>0.78325426553352595</v>
      </c>
      <c r="J1419">
        <v>0.69513318227378296</v>
      </c>
      <c r="K1419">
        <v>0.65794921397442996</v>
      </c>
      <c r="L1419">
        <v>334.49317651015798</v>
      </c>
      <c r="M1419">
        <v>6.0814455581673004</v>
      </c>
      <c r="O1419">
        <v>49.943326303648902</v>
      </c>
      <c r="P1419">
        <v>-1.2532923014473301E-2</v>
      </c>
      <c r="Q1419">
        <v>0.58956462116540997</v>
      </c>
      <c r="R1419">
        <v>0.76390603882264896</v>
      </c>
      <c r="S1419" t="s">
        <v>7704</v>
      </c>
      <c r="T1419" t="s">
        <v>12568</v>
      </c>
      <c r="U1419" t="s">
        <v>12568</v>
      </c>
      <c r="V1419" t="s">
        <v>12568</v>
      </c>
      <c r="W1419" t="s">
        <v>13959</v>
      </c>
      <c r="X1419">
        <v>2</v>
      </c>
      <c r="Y1419" t="s">
        <v>20171</v>
      </c>
      <c r="Z1419" t="s">
        <v>26289</v>
      </c>
      <c r="AA1419">
        <v>0.80557692180815799</v>
      </c>
      <c r="AB1419" t="str">
        <f>HYPERLINK("Melting_Curves/meltCurve_O95835_LATS1.pdf", "Melting_Curves/meltCurve_O95835_LATS1.pdf")</f>
        <v>Melting_Curves/meltCurve_O95835_LATS1.pdf</v>
      </c>
    </row>
    <row r="1420" spans="1:28" x14ac:dyDescent="0.25">
      <c r="A1420" t="s">
        <v>1424</v>
      </c>
      <c r="B1420">
        <v>0.99352677808782597</v>
      </c>
      <c r="C1420">
        <v>0.96605383799255895</v>
      </c>
      <c r="D1420">
        <v>0.98689788560135705</v>
      </c>
      <c r="E1420">
        <v>0.80225851064920095</v>
      </c>
      <c r="F1420">
        <v>0.76978521095730901</v>
      </c>
      <c r="G1420">
        <v>0.28175570066059202</v>
      </c>
      <c r="H1420">
        <v>9.59477902807645E-2</v>
      </c>
      <c r="I1420">
        <v>9.9870114451504705E-2</v>
      </c>
      <c r="J1420">
        <v>7.2028153404720394E-2</v>
      </c>
      <c r="K1420">
        <v>7.0221227943999501E-2</v>
      </c>
      <c r="L1420">
        <v>1300.24802715224</v>
      </c>
      <c r="M1420">
        <v>23.796440443775701</v>
      </c>
      <c r="N1420">
        <v>54.902513181245098</v>
      </c>
      <c r="O1420">
        <v>54.258966608203799</v>
      </c>
      <c r="P1420">
        <v>-0.103758117445491</v>
      </c>
      <c r="Q1420">
        <v>5.3687829957437698E-2</v>
      </c>
      <c r="R1420">
        <v>0.98746939835619296</v>
      </c>
      <c r="S1420" t="s">
        <v>7705</v>
      </c>
      <c r="T1420" t="s">
        <v>12568</v>
      </c>
      <c r="U1420" t="s">
        <v>12568</v>
      </c>
      <c r="V1420" t="s">
        <v>12568</v>
      </c>
      <c r="W1420" t="s">
        <v>13960</v>
      </c>
      <c r="X1420">
        <v>2</v>
      </c>
      <c r="Y1420" t="s">
        <v>20172</v>
      </c>
      <c r="Z1420" t="s">
        <v>26290</v>
      </c>
      <c r="AA1420">
        <v>0.5250573143154792</v>
      </c>
      <c r="AB1420" t="str">
        <f>HYPERLINK("Melting_Curves/meltCurve_O95848_NUDT14.pdf", "Melting_Curves/meltCurve_O95848_NUDT14.pdf")</f>
        <v>Melting_Curves/meltCurve_O95848_NUDT14.pdf</v>
      </c>
    </row>
    <row r="1421" spans="1:28" x14ac:dyDescent="0.25">
      <c r="A1421" t="s">
        <v>1425</v>
      </c>
      <c r="B1421">
        <v>0.99352677808782597</v>
      </c>
      <c r="C1421">
        <v>0.78702434891017004</v>
      </c>
      <c r="D1421">
        <v>1.1075606999201599</v>
      </c>
      <c r="E1421">
        <v>0.59511723332651401</v>
      </c>
      <c r="F1421">
        <v>0.54203572301591196</v>
      </c>
      <c r="G1421">
        <v>0.175354225873074</v>
      </c>
      <c r="H1421">
        <v>0.12865023933563199</v>
      </c>
      <c r="I1421">
        <v>0.117629502994732</v>
      </c>
      <c r="J1421">
        <v>8.5830737009410393E-2</v>
      </c>
      <c r="K1421">
        <v>5.9041257684381003E-2</v>
      </c>
      <c r="L1421">
        <v>978.76215716096499</v>
      </c>
      <c r="M1421">
        <v>18.793009662989999</v>
      </c>
      <c r="N1421">
        <v>52.486868172936298</v>
      </c>
      <c r="O1421">
        <v>51.502220809501601</v>
      </c>
      <c r="P1421">
        <v>-8.5061077863086101E-2</v>
      </c>
      <c r="Q1421">
        <v>6.7599676288070107E-2</v>
      </c>
      <c r="R1421">
        <v>0.93540851298962102</v>
      </c>
      <c r="S1421" t="s">
        <v>7706</v>
      </c>
      <c r="T1421" t="s">
        <v>12568</v>
      </c>
      <c r="U1421" t="s">
        <v>12568</v>
      </c>
      <c r="V1421" t="s">
        <v>12568</v>
      </c>
      <c r="W1421" t="s">
        <v>12598</v>
      </c>
      <c r="X1421">
        <v>13</v>
      </c>
      <c r="Y1421" t="s">
        <v>18826</v>
      </c>
      <c r="Z1421" t="s">
        <v>26291</v>
      </c>
      <c r="AA1421">
        <v>0.45747578462222771</v>
      </c>
      <c r="AB1421" t="str">
        <f>HYPERLINK("Melting_Curves/meltCurve_O95861_BPNT1.pdf", "Melting_Curves/meltCurve_O95861_BPNT1.pdf")</f>
        <v>Melting_Curves/meltCurve_O95861_BPNT1.pdf</v>
      </c>
    </row>
    <row r="1422" spans="1:28" x14ac:dyDescent="0.25">
      <c r="A1422" t="s">
        <v>1426</v>
      </c>
      <c r="B1422">
        <v>0.99352677808782597</v>
      </c>
      <c r="C1422">
        <v>0.96505687333853796</v>
      </c>
      <c r="D1422">
        <v>1.0176233066092899</v>
      </c>
      <c r="E1422">
        <v>0.93465956668674699</v>
      </c>
      <c r="F1422">
        <v>0.905367651151605</v>
      </c>
      <c r="G1422">
        <v>0.61409441535667297</v>
      </c>
      <c r="H1422">
        <v>0.14983552062583599</v>
      </c>
      <c r="I1422">
        <v>0.105032030673171</v>
      </c>
      <c r="J1422">
        <v>8.8303784981984504E-2</v>
      </c>
      <c r="K1422">
        <v>7.6966441736940602E-2</v>
      </c>
      <c r="L1422">
        <v>1883.9298518630901</v>
      </c>
      <c r="M1422">
        <v>32.817011491027401</v>
      </c>
      <c r="N1422">
        <v>57.6655680285578</v>
      </c>
      <c r="O1422">
        <v>57.195201887330803</v>
      </c>
      <c r="P1422">
        <v>-0.133632895434042</v>
      </c>
      <c r="Q1422">
        <v>6.8394670918824702E-2</v>
      </c>
      <c r="R1422">
        <v>0.99481151839818405</v>
      </c>
      <c r="S1422" t="s">
        <v>7707</v>
      </c>
      <c r="T1422" t="s">
        <v>12568</v>
      </c>
      <c r="U1422" t="s">
        <v>12568</v>
      </c>
      <c r="V1422" t="s">
        <v>12568</v>
      </c>
      <c r="W1422" t="s">
        <v>13961</v>
      </c>
      <c r="X1422">
        <v>12</v>
      </c>
      <c r="Y1422" t="s">
        <v>20173</v>
      </c>
      <c r="Z1422" t="s">
        <v>26292</v>
      </c>
      <c r="AA1422">
        <v>0.61422570867277182</v>
      </c>
      <c r="AB1422" t="str">
        <f>HYPERLINK("Melting_Curves/meltCurve_O95865_DDAH2.pdf", "Melting_Curves/meltCurve_O95865_DDAH2.pdf")</f>
        <v>Melting_Curves/meltCurve_O95865_DDAH2.pdf</v>
      </c>
    </row>
    <row r="1423" spans="1:28" x14ac:dyDescent="0.25">
      <c r="A1423" t="s">
        <v>1427</v>
      </c>
      <c r="B1423">
        <v>0.99352677808782597</v>
      </c>
      <c r="C1423">
        <v>0.94251101713087804</v>
      </c>
      <c r="D1423">
        <v>0.94448529691460104</v>
      </c>
      <c r="E1423">
        <v>0.85493176470973198</v>
      </c>
      <c r="F1423">
        <v>0.85604899136604096</v>
      </c>
      <c r="G1423">
        <v>0.68983203621568701</v>
      </c>
      <c r="H1423">
        <v>0.46656104420542899</v>
      </c>
      <c r="I1423">
        <v>0.51879164505352904</v>
      </c>
      <c r="J1423">
        <v>0.57791903145472101</v>
      </c>
      <c r="K1423">
        <v>0.47337430765643501</v>
      </c>
      <c r="L1423">
        <v>795.72979617866804</v>
      </c>
      <c r="M1423">
        <v>14.511115311692301</v>
      </c>
      <c r="N1423">
        <v>67.295903949762007</v>
      </c>
      <c r="O1423">
        <v>53.8260502237708</v>
      </c>
      <c r="P1423">
        <v>-3.5998151342084499E-2</v>
      </c>
      <c r="Q1423">
        <v>0.46594996862479099</v>
      </c>
      <c r="R1423">
        <v>0.93798626307532096</v>
      </c>
      <c r="S1423" t="s">
        <v>7708</v>
      </c>
      <c r="T1423" t="s">
        <v>12568</v>
      </c>
      <c r="U1423" t="s">
        <v>12568</v>
      </c>
      <c r="V1423" t="s">
        <v>12568</v>
      </c>
      <c r="W1423" t="s">
        <v>13962</v>
      </c>
      <c r="X1423">
        <v>10</v>
      </c>
      <c r="Y1423" t="s">
        <v>20174</v>
      </c>
      <c r="Z1423" t="s">
        <v>26293</v>
      </c>
      <c r="AA1423">
        <v>0.74084471734051649</v>
      </c>
      <c r="AB1423" t="str">
        <f>HYPERLINK("Melting_Curves/meltCurve_O95881_TXNDC12.pdf", "Melting_Curves/meltCurve_O95881_TXNDC12.pdf")</f>
        <v>Melting_Curves/meltCurve_O95881_TXNDC12.pdf</v>
      </c>
    </row>
    <row r="1424" spans="1:28" x14ac:dyDescent="0.25">
      <c r="A1424" t="s">
        <v>1428</v>
      </c>
      <c r="B1424">
        <v>0.99352677808782597</v>
      </c>
      <c r="C1424">
        <v>0.96456636590011402</v>
      </c>
      <c r="D1424">
        <v>0.85450195312866795</v>
      </c>
      <c r="E1424">
        <v>0.48991680961894801</v>
      </c>
      <c r="F1424">
        <v>0.41411407075425799</v>
      </c>
      <c r="G1424">
        <v>0.23477083964053899</v>
      </c>
      <c r="H1424">
        <v>0.15026639958563501</v>
      </c>
      <c r="I1424">
        <v>0.128510385872461</v>
      </c>
      <c r="J1424">
        <v>0.11962466338241499</v>
      </c>
      <c r="K1424">
        <v>0.104801774811531</v>
      </c>
      <c r="L1424">
        <v>800.79876620085599</v>
      </c>
      <c r="M1424">
        <v>15.993614709944101</v>
      </c>
      <c r="N1424">
        <v>50.829554097707899</v>
      </c>
      <c r="O1424">
        <v>49.306764749266499</v>
      </c>
      <c r="P1424">
        <v>-7.2477805832003805E-2</v>
      </c>
      <c r="Q1424">
        <v>0.106302253546762</v>
      </c>
      <c r="R1424">
        <v>0.99272267230387501</v>
      </c>
      <c r="S1424" t="s">
        <v>7709</v>
      </c>
      <c r="T1424" t="s">
        <v>12568</v>
      </c>
      <c r="U1424" t="s">
        <v>12568</v>
      </c>
      <c r="V1424" t="s">
        <v>12568</v>
      </c>
      <c r="W1424" t="s">
        <v>13963</v>
      </c>
      <c r="X1424">
        <v>5</v>
      </c>
      <c r="Y1424" t="s">
        <v>20175</v>
      </c>
      <c r="Z1424" t="s">
        <v>26294</v>
      </c>
      <c r="AA1424">
        <v>0.42524240364761579</v>
      </c>
      <c r="AB1424" t="str">
        <f>HYPERLINK("Melting_Curves/meltCurve_O95905_ECD.pdf", "Melting_Curves/meltCurve_O95905_ECD.pdf")</f>
        <v>Melting_Curves/meltCurve_O95905_ECD.pdf</v>
      </c>
    </row>
    <row r="1425" spans="1:28" x14ac:dyDescent="0.25">
      <c r="A1425" t="s">
        <v>1429</v>
      </c>
      <c r="B1425">
        <v>0.99352677808782597</v>
      </c>
      <c r="C1425">
        <v>0.97903506345130298</v>
      </c>
      <c r="D1425">
        <v>1.09412579156615</v>
      </c>
      <c r="E1425">
        <v>1.0660821124945701</v>
      </c>
      <c r="F1425">
        <v>1.0052125833332901</v>
      </c>
      <c r="G1425">
        <v>0.99257860502075601</v>
      </c>
      <c r="H1425">
        <v>0.88429268725587695</v>
      </c>
      <c r="I1425">
        <v>0.92244467020026799</v>
      </c>
      <c r="J1425">
        <v>0.95137136138926703</v>
      </c>
      <c r="K1425">
        <v>0.832573148991128</v>
      </c>
      <c r="L1425">
        <v>14395.2656626607</v>
      </c>
      <c r="M1425">
        <v>250</v>
      </c>
      <c r="O1425">
        <v>57.577377857882702</v>
      </c>
      <c r="P1425">
        <v>-0.111078292045462</v>
      </c>
      <c r="Q1425">
        <v>0.89767045145706503</v>
      </c>
      <c r="R1425">
        <v>0.61215295803576197</v>
      </c>
      <c r="S1425" t="s">
        <v>7710</v>
      </c>
      <c r="T1425" t="s">
        <v>12568</v>
      </c>
      <c r="U1425" t="s">
        <v>12568</v>
      </c>
      <c r="V1425" t="s">
        <v>12568</v>
      </c>
      <c r="W1425" t="s">
        <v>13964</v>
      </c>
      <c r="X1425">
        <v>3</v>
      </c>
      <c r="Y1425" t="s">
        <v>20176</v>
      </c>
      <c r="Z1425" t="s">
        <v>26295</v>
      </c>
      <c r="AA1425">
        <v>0.95764953238534767</v>
      </c>
      <c r="AB1425" t="str">
        <f>HYPERLINK("Melting_Curves/meltCurve_O95926_SYF2.pdf", "Melting_Curves/meltCurve_O95926_SYF2.pdf")</f>
        <v>Melting_Curves/meltCurve_O95926_SYF2.pdf</v>
      </c>
    </row>
    <row r="1426" spans="1:28" x14ac:dyDescent="0.25">
      <c r="A1426" t="s">
        <v>1430</v>
      </c>
      <c r="B1426">
        <v>0.99352677808782597</v>
      </c>
      <c r="C1426">
        <v>0.95603093093369595</v>
      </c>
      <c r="D1426">
        <v>0.97285038984571004</v>
      </c>
      <c r="E1426">
        <v>0.784823428824311</v>
      </c>
      <c r="F1426">
        <v>0.78302610512086201</v>
      </c>
      <c r="G1426">
        <v>0.54880437278090899</v>
      </c>
      <c r="H1426">
        <v>0.24636673305008699</v>
      </c>
      <c r="I1426">
        <v>0.15552937893201299</v>
      </c>
      <c r="J1426">
        <v>0.10255889276574701</v>
      </c>
      <c r="K1426">
        <v>8.6554653300851797E-2</v>
      </c>
      <c r="L1426">
        <v>793.16512624932705</v>
      </c>
      <c r="M1426">
        <v>13.921173400831099</v>
      </c>
      <c r="N1426">
        <v>56.975468024615999</v>
      </c>
      <c r="O1426">
        <v>55.838397639937099</v>
      </c>
      <c r="P1426">
        <v>-6.2336392357265402E-2</v>
      </c>
      <c r="Q1426">
        <v>0</v>
      </c>
      <c r="R1426">
        <v>0.98775093447851703</v>
      </c>
      <c r="S1426" t="s">
        <v>7711</v>
      </c>
      <c r="T1426" t="s">
        <v>12568</v>
      </c>
      <c r="U1426" t="s">
        <v>12568</v>
      </c>
      <c r="V1426" t="s">
        <v>12568</v>
      </c>
      <c r="W1426" t="s">
        <v>13965</v>
      </c>
      <c r="X1426">
        <v>10</v>
      </c>
      <c r="Y1426" t="s">
        <v>20177</v>
      </c>
      <c r="Z1426" t="s">
        <v>26296</v>
      </c>
      <c r="AA1426">
        <v>0.58230615419371978</v>
      </c>
      <c r="AB1426" t="str">
        <f>HYPERLINK("Melting_Curves/meltCurve_O95989_NUDT3.pdf", "Melting_Curves/meltCurve_O95989_NUDT3.pdf")</f>
        <v>Melting_Curves/meltCurve_O95989_NUDT3.pdf</v>
      </c>
    </row>
    <row r="1427" spans="1:28" x14ac:dyDescent="0.25">
      <c r="A1427" t="s">
        <v>1431</v>
      </c>
      <c r="B1427">
        <v>0.99352677808782597</v>
      </c>
      <c r="C1427">
        <v>0.74756097169638003</v>
      </c>
      <c r="D1427">
        <v>1.09014707716272</v>
      </c>
      <c r="E1427">
        <v>0.83342010674800704</v>
      </c>
      <c r="F1427">
        <v>0.74960292868991896</v>
      </c>
      <c r="G1427">
        <v>0.44547088672072399</v>
      </c>
      <c r="H1427">
        <v>0.20271636315702299</v>
      </c>
      <c r="I1427">
        <v>0.17897407096464399</v>
      </c>
      <c r="J1427">
        <v>0.147187762653715</v>
      </c>
      <c r="K1427">
        <v>0.11212669894635501</v>
      </c>
      <c r="L1427">
        <v>995.74628253371395</v>
      </c>
      <c r="M1427">
        <v>17.969782397823298</v>
      </c>
      <c r="N1427">
        <v>56.058011408603399</v>
      </c>
      <c r="O1427">
        <v>54.739699371725202</v>
      </c>
      <c r="P1427">
        <v>-7.4400287459238906E-2</v>
      </c>
      <c r="Q1427">
        <v>9.3489948866101194E-2</v>
      </c>
      <c r="R1427">
        <v>0.93749741769904105</v>
      </c>
      <c r="S1427" t="s">
        <v>7712</v>
      </c>
      <c r="T1427" t="s">
        <v>12568</v>
      </c>
      <c r="U1427" t="s">
        <v>12568</v>
      </c>
      <c r="V1427" t="s">
        <v>12568</v>
      </c>
      <c r="W1427" t="s">
        <v>13966</v>
      </c>
      <c r="X1427">
        <v>9</v>
      </c>
      <c r="Y1427" t="s">
        <v>20178</v>
      </c>
      <c r="Z1427" t="s">
        <v>26297</v>
      </c>
      <c r="AA1427">
        <v>0.5730056282414816</v>
      </c>
      <c r="AB1427" t="str">
        <f>HYPERLINK("Melting_Curves/meltCurve_O95994_AGR2.pdf", "Melting_Curves/meltCurve_O95994_AGR2.pdf")</f>
        <v>Melting_Curves/meltCurve_O95994_AGR2.pdf</v>
      </c>
    </row>
    <row r="1428" spans="1:28" x14ac:dyDescent="0.25">
      <c r="A1428" t="s">
        <v>1432</v>
      </c>
      <c r="B1428">
        <v>0.99352677808782597</v>
      </c>
      <c r="C1428">
        <v>1.05107349702936</v>
      </c>
      <c r="D1428">
        <v>1.0779680216467999</v>
      </c>
      <c r="E1428">
        <v>1.0441433845928501</v>
      </c>
      <c r="F1428">
        <v>0.96530771116598102</v>
      </c>
      <c r="G1428">
        <v>0.86011515598672295</v>
      </c>
      <c r="H1428">
        <v>0.74493808540929995</v>
      </c>
      <c r="I1428">
        <v>0.69509411876924898</v>
      </c>
      <c r="J1428">
        <v>0.77797233702747204</v>
      </c>
      <c r="K1428">
        <v>0.64980381210390603</v>
      </c>
      <c r="L1428">
        <v>1754.3543471161299</v>
      </c>
      <c r="M1428">
        <v>30.661034615959899</v>
      </c>
      <c r="O1428">
        <v>56.975973679567502</v>
      </c>
      <c r="P1428">
        <v>-3.9920723076843398E-2</v>
      </c>
      <c r="Q1428">
        <v>0.70327048523499702</v>
      </c>
      <c r="R1428">
        <v>0.91532487516168404</v>
      </c>
      <c r="S1428" t="s">
        <v>7713</v>
      </c>
      <c r="T1428" t="s">
        <v>12568</v>
      </c>
      <c r="U1428" t="s">
        <v>12568</v>
      </c>
      <c r="V1428" t="s">
        <v>12568</v>
      </c>
      <c r="W1428" t="s">
        <v>13967</v>
      </c>
      <c r="X1428">
        <v>3</v>
      </c>
      <c r="Y1428" t="s">
        <v>20179</v>
      </c>
      <c r="Z1428" t="s">
        <v>26298</v>
      </c>
      <c r="AA1428">
        <v>0.87546986835533169</v>
      </c>
      <c r="AB1428" t="str">
        <f>HYPERLINK("Melting_Curves/meltCurve_O95997_PTTG1.pdf", "Melting_Curves/meltCurve_O95997_PTTG1.pdf")</f>
        <v>Melting_Curves/meltCurve_O95997_PTTG1.pdf</v>
      </c>
    </row>
    <row r="1429" spans="1:28" x14ac:dyDescent="0.25">
      <c r="A1429" t="s">
        <v>1433</v>
      </c>
      <c r="B1429">
        <v>0.99352677808782597</v>
      </c>
      <c r="C1429">
        <v>0.99436423804144802</v>
      </c>
      <c r="D1429">
        <v>0.99818849339980698</v>
      </c>
      <c r="E1429">
        <v>0.94806844169049298</v>
      </c>
      <c r="F1429">
        <v>0.87771182638947698</v>
      </c>
      <c r="G1429">
        <v>0.75054636469404701</v>
      </c>
      <c r="H1429">
        <v>0.630891299568339</v>
      </c>
      <c r="I1429">
        <v>0.67035356133357804</v>
      </c>
      <c r="J1429">
        <v>0.67370806302109199</v>
      </c>
      <c r="K1429">
        <v>0.60559413713730903</v>
      </c>
      <c r="L1429">
        <v>1173.7673384182999</v>
      </c>
      <c r="M1429">
        <v>21.4773389695121</v>
      </c>
      <c r="O1429">
        <v>54.184255206854701</v>
      </c>
      <c r="P1429">
        <v>-3.6435106429911199E-2</v>
      </c>
      <c r="Q1429">
        <v>0.63232677762251299</v>
      </c>
      <c r="R1429">
        <v>0.98247286408715995</v>
      </c>
      <c r="S1429" t="s">
        <v>7714</v>
      </c>
      <c r="T1429" t="s">
        <v>12568</v>
      </c>
      <c r="U1429" t="s">
        <v>12568</v>
      </c>
      <c r="V1429" t="s">
        <v>12568</v>
      </c>
      <c r="W1429" t="s">
        <v>13968</v>
      </c>
      <c r="X1429">
        <v>7</v>
      </c>
      <c r="Y1429" t="s">
        <v>20180</v>
      </c>
      <c r="Z1429" t="s">
        <v>26299</v>
      </c>
      <c r="AA1429">
        <v>0.81630157844433271</v>
      </c>
      <c r="AB1429" t="str">
        <f>HYPERLINK("Melting_Curves/meltCurve_O95999_BCL10.pdf", "Melting_Curves/meltCurve_O95999_BCL10.pdf")</f>
        <v>Melting_Curves/meltCurve_O95999_BCL10.pdf</v>
      </c>
    </row>
    <row r="1430" spans="1:28" x14ac:dyDescent="0.25">
      <c r="A1430" t="s">
        <v>1434</v>
      </c>
      <c r="B1430">
        <v>0.99352677808782597</v>
      </c>
      <c r="C1430">
        <v>0.95467393496262698</v>
      </c>
      <c r="D1430">
        <v>0.94490094178041695</v>
      </c>
      <c r="E1430">
        <v>0.60406744246299104</v>
      </c>
      <c r="F1430">
        <v>0.52948839612490795</v>
      </c>
      <c r="G1430">
        <v>0.29122396985694199</v>
      </c>
      <c r="H1430">
        <v>0.145979808084476</v>
      </c>
      <c r="I1430">
        <v>0.139042146170095</v>
      </c>
      <c r="J1430">
        <v>0.124695818417739</v>
      </c>
      <c r="K1430">
        <v>9.39293175074363E-2</v>
      </c>
      <c r="L1430">
        <v>769.59151041463599</v>
      </c>
      <c r="M1430">
        <v>14.765765826852199</v>
      </c>
      <c r="N1430">
        <v>52.730365310336303</v>
      </c>
      <c r="O1430">
        <v>51.192023757576401</v>
      </c>
      <c r="P1430">
        <v>-6.6452207802125393E-2</v>
      </c>
      <c r="Q1430">
        <v>7.8555749331533406E-2</v>
      </c>
      <c r="R1430">
        <v>0.99019560545047103</v>
      </c>
      <c r="S1430" t="s">
        <v>7715</v>
      </c>
      <c r="T1430" t="s">
        <v>12568</v>
      </c>
      <c r="U1430" t="s">
        <v>12568</v>
      </c>
      <c r="V1430" t="s">
        <v>12568</v>
      </c>
      <c r="W1430" t="s">
        <v>13969</v>
      </c>
      <c r="X1430">
        <v>3</v>
      </c>
      <c r="Y1430" t="s">
        <v>20181</v>
      </c>
      <c r="Z1430" t="s">
        <v>26300</v>
      </c>
      <c r="AA1430">
        <v>0.47182362860678001</v>
      </c>
      <c r="AB1430" t="str">
        <f>HYPERLINK("Melting_Curves/meltCurve_O96006_ZBED1.pdf", "Melting_Curves/meltCurve_O96006_ZBED1.pdf")</f>
        <v>Melting_Curves/meltCurve_O96006_ZBED1.pdf</v>
      </c>
    </row>
    <row r="1431" spans="1:28" x14ac:dyDescent="0.25">
      <c r="A1431" t="s">
        <v>1435</v>
      </c>
      <c r="B1431">
        <v>0.99352677808782597</v>
      </c>
      <c r="C1431">
        <v>1.01694729809171</v>
      </c>
      <c r="D1431">
        <v>0.988078648232115</v>
      </c>
      <c r="E1431">
        <v>0.92976404950576397</v>
      </c>
      <c r="F1431">
        <v>0.75601569035855398</v>
      </c>
      <c r="G1431">
        <v>0.61604954577773297</v>
      </c>
      <c r="H1431">
        <v>0.60074344125309098</v>
      </c>
      <c r="I1431">
        <v>0.56836248799284295</v>
      </c>
      <c r="J1431">
        <v>0.71123462097500001</v>
      </c>
      <c r="K1431">
        <v>0.46917899488079301</v>
      </c>
      <c r="L1431">
        <v>1647.34258600114</v>
      </c>
      <c r="M1431">
        <v>31.415557040640401</v>
      </c>
      <c r="O1431">
        <v>52.226071409020697</v>
      </c>
      <c r="P1431">
        <v>-6.23616781839283E-2</v>
      </c>
      <c r="Q1431">
        <v>0.58531538335662003</v>
      </c>
      <c r="R1431">
        <v>0.91879630054476102</v>
      </c>
      <c r="S1431" t="s">
        <v>7716</v>
      </c>
      <c r="T1431" t="s">
        <v>12568</v>
      </c>
      <c r="U1431" t="s">
        <v>12568</v>
      </c>
      <c r="V1431" t="s">
        <v>12568</v>
      </c>
      <c r="W1431" t="s">
        <v>13970</v>
      </c>
      <c r="X1431">
        <v>8</v>
      </c>
      <c r="Y1431" t="s">
        <v>20182</v>
      </c>
      <c r="Z1431" t="s">
        <v>26301</v>
      </c>
      <c r="AA1431">
        <v>0.75966682606614477</v>
      </c>
      <c r="AB1431" t="str">
        <f>HYPERLINK("Melting_Curves/meltCurve_O96007_MOCS2.pdf", "Melting_Curves/meltCurve_O96007_MOCS2.pdf")</f>
        <v>Melting_Curves/meltCurve_O96007_MOCS2.pdf</v>
      </c>
    </row>
    <row r="1432" spans="1:28" x14ac:dyDescent="0.25">
      <c r="A1432" t="s">
        <v>1436</v>
      </c>
      <c r="B1432">
        <v>0.99352677808782597</v>
      </c>
      <c r="C1432">
        <v>0.91850120969773896</v>
      </c>
      <c r="D1432">
        <v>0.87085249349905802</v>
      </c>
      <c r="E1432">
        <v>0.37686808711640901</v>
      </c>
      <c r="F1432">
        <v>0.32519413987183099</v>
      </c>
      <c r="G1432">
        <v>0.25046075291859499</v>
      </c>
      <c r="H1432">
        <v>0.205691572346688</v>
      </c>
      <c r="I1432">
        <v>0.21952288986542201</v>
      </c>
      <c r="J1432">
        <v>0.17972913948773001</v>
      </c>
      <c r="K1432">
        <v>0.14108401043758001</v>
      </c>
      <c r="L1432">
        <v>1269.6408630818601</v>
      </c>
      <c r="M1432">
        <v>26.3080014962541</v>
      </c>
      <c r="N1432">
        <v>49.2141369011023</v>
      </c>
      <c r="O1432">
        <v>47.984372510567603</v>
      </c>
      <c r="P1432">
        <v>-0.10969960057672599</v>
      </c>
      <c r="Q1432">
        <v>0.19966420159823201</v>
      </c>
      <c r="R1432">
        <v>0.984482220177332</v>
      </c>
      <c r="S1432" t="s">
        <v>7717</v>
      </c>
      <c r="T1432" t="s">
        <v>12568</v>
      </c>
      <c r="U1432" t="s">
        <v>12568</v>
      </c>
      <c r="V1432" t="s">
        <v>12568</v>
      </c>
      <c r="W1432" t="s">
        <v>13971</v>
      </c>
      <c r="X1432">
        <v>19</v>
      </c>
      <c r="Y1432" t="s">
        <v>20183</v>
      </c>
      <c r="Z1432" t="s">
        <v>26302</v>
      </c>
      <c r="AA1432">
        <v>0.4263935078050024</v>
      </c>
      <c r="AB1432" t="str">
        <f>HYPERLINK("Melting_Curves/meltCurve_O96013_PAK4.pdf", "Melting_Curves/meltCurve_O96013_PAK4.pdf")</f>
        <v>Melting_Curves/meltCurve_O96013_PAK4.pdf</v>
      </c>
    </row>
    <row r="1433" spans="1:28" x14ac:dyDescent="0.25">
      <c r="A1433" t="s">
        <v>1437</v>
      </c>
      <c r="B1433">
        <v>0.99352677808782597</v>
      </c>
      <c r="C1433">
        <v>0.89255510605424404</v>
      </c>
      <c r="D1433">
        <v>0.84890841261031602</v>
      </c>
      <c r="E1433">
        <v>0.33230343996388501</v>
      </c>
      <c r="F1433">
        <v>0.25945642921788598</v>
      </c>
      <c r="G1433">
        <v>0.166629083667786</v>
      </c>
      <c r="H1433">
        <v>0.125909579751983</v>
      </c>
      <c r="I1433">
        <v>0.122996300697893</v>
      </c>
      <c r="J1433">
        <v>9.50939893768981E-2</v>
      </c>
      <c r="K1433">
        <v>8.5254320322403307E-2</v>
      </c>
      <c r="L1433">
        <v>1149.7151968446401</v>
      </c>
      <c r="M1433">
        <v>23.796657525817199</v>
      </c>
      <c r="N1433">
        <v>48.8507140161108</v>
      </c>
      <c r="O1433">
        <v>47.976860922576499</v>
      </c>
      <c r="P1433">
        <v>-0.109741824839539</v>
      </c>
      <c r="Q1433">
        <v>0.115005198635109</v>
      </c>
      <c r="R1433">
        <v>0.98767975746865599</v>
      </c>
      <c r="S1433" t="s">
        <v>7718</v>
      </c>
      <c r="T1433" t="s">
        <v>12568</v>
      </c>
      <c r="U1433" t="s">
        <v>12568</v>
      </c>
      <c r="V1433" t="s">
        <v>12568</v>
      </c>
      <c r="W1433" t="s">
        <v>13972</v>
      </c>
      <c r="X1433">
        <v>8</v>
      </c>
      <c r="Y1433" t="s">
        <v>20184</v>
      </c>
      <c r="Z1433" t="s">
        <v>26303</v>
      </c>
      <c r="AA1433">
        <v>0.36894723627328019</v>
      </c>
      <c r="AB1433" t="str">
        <f>HYPERLINK("Melting_Curves/meltCurve_O96017_CHEK2.pdf", "Melting_Curves/meltCurve_O96017_CHEK2.pdf")</f>
        <v>Melting_Curves/meltCurve_O96017_CHEK2.pdf</v>
      </c>
    </row>
    <row r="1434" spans="1:28" x14ac:dyDescent="0.25">
      <c r="A1434" t="s">
        <v>1438</v>
      </c>
      <c r="B1434">
        <v>0.99352677808782597</v>
      </c>
      <c r="C1434">
        <v>0.79125345338247899</v>
      </c>
      <c r="D1434">
        <v>0.90615650029325001</v>
      </c>
      <c r="E1434">
        <v>0.38682685330419497</v>
      </c>
      <c r="F1434">
        <v>0.29970908271888602</v>
      </c>
      <c r="G1434">
        <v>0.14050515735420899</v>
      </c>
      <c r="H1434">
        <v>9.4081376060426505E-2</v>
      </c>
      <c r="I1434">
        <v>7.4748014802789406E-2</v>
      </c>
      <c r="J1434">
        <v>5.5922877780855501E-2</v>
      </c>
      <c r="K1434">
        <v>4.3732293344585303E-2</v>
      </c>
      <c r="L1434">
        <v>842.53574442690001</v>
      </c>
      <c r="M1434">
        <v>17.109769519070301</v>
      </c>
      <c r="N1434">
        <v>49.5547140265639</v>
      </c>
      <c r="O1434">
        <v>48.585049704722699</v>
      </c>
      <c r="P1434">
        <v>-8.3553180166239305E-2</v>
      </c>
      <c r="Q1434">
        <v>5.1023871284311399E-2</v>
      </c>
      <c r="R1434">
        <v>0.96695370807215697</v>
      </c>
      <c r="S1434" t="s">
        <v>7719</v>
      </c>
      <c r="T1434" t="s">
        <v>12568</v>
      </c>
      <c r="U1434" t="s">
        <v>12568</v>
      </c>
      <c r="V1434" t="s">
        <v>12568</v>
      </c>
      <c r="W1434" t="s">
        <v>13973</v>
      </c>
      <c r="X1434">
        <v>17</v>
      </c>
      <c r="Y1434" t="s">
        <v>20185</v>
      </c>
      <c r="Z1434" t="s">
        <v>26304</v>
      </c>
      <c r="AA1434">
        <v>0.36147660458145048</v>
      </c>
      <c r="AB1434" t="str">
        <f>HYPERLINK("Melting_Curves/meltCurve_O96019_ACTL6A.pdf", "Melting_Curves/meltCurve_O96019_ACTL6A.pdf")</f>
        <v>Melting_Curves/meltCurve_O96019_ACTL6A.pdf</v>
      </c>
    </row>
    <row r="1435" spans="1:28" x14ac:dyDescent="0.25">
      <c r="A1435" t="s">
        <v>1439</v>
      </c>
      <c r="B1435">
        <v>0.99352677808782597</v>
      </c>
      <c r="C1435">
        <v>0.94220235181185796</v>
      </c>
      <c r="D1435">
        <v>0.94143555453158401</v>
      </c>
      <c r="E1435">
        <v>0.82903134412065804</v>
      </c>
      <c r="F1435">
        <v>0.71559828881128695</v>
      </c>
      <c r="G1435">
        <v>0.60701086931681003</v>
      </c>
      <c r="H1435">
        <v>0.53015206629213396</v>
      </c>
      <c r="I1435">
        <v>0.56666080443244105</v>
      </c>
      <c r="J1435">
        <v>0.593156309365927</v>
      </c>
      <c r="K1435">
        <v>0.494803374247068</v>
      </c>
      <c r="L1435">
        <v>796.02880328520803</v>
      </c>
      <c r="M1435">
        <v>15.440351358933</v>
      </c>
      <c r="O1435">
        <v>50.713545900581003</v>
      </c>
      <c r="P1435">
        <v>-3.61305529041826E-2</v>
      </c>
      <c r="Q1435">
        <v>0.52536245647081103</v>
      </c>
      <c r="R1435">
        <v>0.97638486045286899</v>
      </c>
      <c r="S1435" t="s">
        <v>7720</v>
      </c>
      <c r="T1435" t="s">
        <v>12568</v>
      </c>
      <c r="U1435" t="s">
        <v>12568</v>
      </c>
      <c r="V1435" t="s">
        <v>12568</v>
      </c>
      <c r="W1435" t="s">
        <v>13974</v>
      </c>
      <c r="X1435">
        <v>7</v>
      </c>
      <c r="Y1435" t="s">
        <v>20186</v>
      </c>
      <c r="Z1435" t="s">
        <v>26305</v>
      </c>
      <c r="AA1435">
        <v>0.71846376823083635</v>
      </c>
      <c r="AB1435" t="str">
        <f>HYPERLINK("Melting_Curves/meltCurve_O96028_WHSC1.pdf", "Melting_Curves/meltCurve_O96028_WHSC1.pdf")</f>
        <v>Melting_Curves/meltCurve_O96028_WHSC1.pdf</v>
      </c>
    </row>
    <row r="1436" spans="1:28" x14ac:dyDescent="0.25">
      <c r="A1436" t="s">
        <v>1440</v>
      </c>
      <c r="B1436">
        <v>0.99352677808782597</v>
      </c>
      <c r="C1436">
        <v>0.989225465202758</v>
      </c>
      <c r="D1436">
        <v>1.04686476428335</v>
      </c>
      <c r="E1436">
        <v>1.04942088246916</v>
      </c>
      <c r="F1436">
        <v>0.97525724594604701</v>
      </c>
      <c r="G1436">
        <v>0.90838775928536697</v>
      </c>
      <c r="H1436">
        <v>0.78297530201360999</v>
      </c>
      <c r="I1436">
        <v>0.87346765440407403</v>
      </c>
      <c r="J1436">
        <v>0.74781396570997805</v>
      </c>
      <c r="K1436">
        <v>0.51807050030263402</v>
      </c>
      <c r="L1436">
        <v>793.88810939267603</v>
      </c>
      <c r="M1436">
        <v>11.047818418753099</v>
      </c>
      <c r="O1436">
        <v>69.625302695305393</v>
      </c>
      <c r="P1436">
        <v>-3.96819878923401E-2</v>
      </c>
      <c r="Q1436">
        <v>0</v>
      </c>
      <c r="R1436">
        <v>0.88465699863667202</v>
      </c>
      <c r="S1436" t="s">
        <v>7721</v>
      </c>
      <c r="T1436" t="s">
        <v>12568</v>
      </c>
      <c r="U1436" t="s">
        <v>12568</v>
      </c>
      <c r="V1436" t="s">
        <v>12568</v>
      </c>
      <c r="W1436" t="s">
        <v>13975</v>
      </c>
      <c r="X1436">
        <v>8</v>
      </c>
      <c r="Y1436" t="s">
        <v>20182</v>
      </c>
      <c r="Z1436" t="s">
        <v>26306</v>
      </c>
      <c r="AA1436">
        <v>0.90368016436164456</v>
      </c>
      <c r="AB1436" t="str">
        <f>HYPERLINK("Melting_Curves/meltCurve_O96033_MOCS2.pdf", "Melting_Curves/meltCurve_O96033_MOCS2.pdf")</f>
        <v>Melting_Curves/meltCurve_O96033_MOCS2.pdf</v>
      </c>
    </row>
    <row r="1437" spans="1:28" x14ac:dyDescent="0.25">
      <c r="A1437" t="s">
        <v>1441</v>
      </c>
      <c r="B1437">
        <v>0.99352677808782597</v>
      </c>
      <c r="C1437">
        <v>0.896172742886715</v>
      </c>
      <c r="D1437">
        <v>0.96284806347037699</v>
      </c>
      <c r="E1437">
        <v>0.8330993545091</v>
      </c>
      <c r="F1437">
        <v>0.76159636302509004</v>
      </c>
      <c r="G1437">
        <v>0.66785152207027099</v>
      </c>
      <c r="H1437">
        <v>0.47552706245441601</v>
      </c>
      <c r="I1437">
        <v>0.41500212454320401</v>
      </c>
      <c r="J1437">
        <v>0.215593096244064</v>
      </c>
      <c r="K1437">
        <v>0.17694338331225301</v>
      </c>
      <c r="L1437">
        <v>565.46758824411199</v>
      </c>
      <c r="M1437">
        <v>9.4095981981479397</v>
      </c>
      <c r="N1437">
        <v>60.094756737618198</v>
      </c>
      <c r="O1437">
        <v>57.5680482100083</v>
      </c>
      <c r="P1437">
        <v>-4.0888002662191301E-2</v>
      </c>
      <c r="Q1437">
        <v>0</v>
      </c>
      <c r="R1437">
        <v>0.97804228474828503</v>
      </c>
      <c r="S1437" t="s">
        <v>7722</v>
      </c>
      <c r="T1437" t="s">
        <v>12568</v>
      </c>
      <c r="U1437" t="s">
        <v>12568</v>
      </c>
      <c r="V1437" t="s">
        <v>12568</v>
      </c>
      <c r="W1437" t="s">
        <v>13976</v>
      </c>
      <c r="X1437">
        <v>7</v>
      </c>
      <c r="Y1437" t="s">
        <v>20187</v>
      </c>
      <c r="Z1437" t="s">
        <v>26307</v>
      </c>
      <c r="AA1437">
        <v>0.66235799427977404</v>
      </c>
      <c r="AB1437" t="str">
        <f>HYPERLINK("Melting_Curves/meltCurve_P00325_ADH1B.pdf", "Melting_Curves/meltCurve_P00325_ADH1B.pdf")</f>
        <v>Melting_Curves/meltCurve_P00325_ADH1B.pdf</v>
      </c>
    </row>
    <row r="1438" spans="1:28" x14ac:dyDescent="0.25">
      <c r="A1438" t="s">
        <v>1442</v>
      </c>
      <c r="B1438">
        <v>0.99352677808782597</v>
      </c>
      <c r="C1438">
        <v>1.0173833289038201</v>
      </c>
      <c r="D1438">
        <v>0.95746509651311795</v>
      </c>
      <c r="E1438">
        <v>0.89867741148064395</v>
      </c>
      <c r="F1438">
        <v>0.80645139337201199</v>
      </c>
      <c r="G1438">
        <v>0.673942528348356</v>
      </c>
      <c r="H1438">
        <v>0.57015231127928701</v>
      </c>
      <c r="I1438">
        <v>0.30870364750894302</v>
      </c>
      <c r="J1438">
        <v>0.12919399820080599</v>
      </c>
      <c r="K1438">
        <v>7.8377682251046202E-2</v>
      </c>
      <c r="L1438">
        <v>819.517644300965</v>
      </c>
      <c r="M1438">
        <v>13.613017268072699</v>
      </c>
      <c r="N1438">
        <v>60.2010289134831</v>
      </c>
      <c r="O1438">
        <v>58.946485303200298</v>
      </c>
      <c r="P1438">
        <v>-5.7743168362726097E-2</v>
      </c>
      <c r="Q1438">
        <v>0</v>
      </c>
      <c r="R1438">
        <v>0.97631204613971401</v>
      </c>
      <c r="S1438" t="s">
        <v>7723</v>
      </c>
      <c r="T1438" t="s">
        <v>12568</v>
      </c>
      <c r="U1438" t="s">
        <v>12568</v>
      </c>
      <c r="V1438" t="s">
        <v>12568</v>
      </c>
      <c r="W1438" t="s">
        <v>13977</v>
      </c>
      <c r="X1438">
        <v>28</v>
      </c>
      <c r="Y1438" t="s">
        <v>20188</v>
      </c>
      <c r="Z1438" t="s">
        <v>26308</v>
      </c>
      <c r="AA1438">
        <v>0.6777189229221372</v>
      </c>
      <c r="AB1438" t="str">
        <f>HYPERLINK("Melting_Curves/meltCurve_P00338_LDHA.pdf", "Melting_Curves/meltCurve_P00338_LDHA.pdf")</f>
        <v>Melting_Curves/meltCurve_P00338_LDHA.pdf</v>
      </c>
    </row>
    <row r="1439" spans="1:28" x14ac:dyDescent="0.25">
      <c r="A1439" t="s">
        <v>1443</v>
      </c>
      <c r="B1439">
        <v>0.99352677808782597</v>
      </c>
      <c r="C1439">
        <v>1.0615706728085099</v>
      </c>
      <c r="D1439">
        <v>0.92725005505926905</v>
      </c>
      <c r="E1439">
        <v>0.87559903626719804</v>
      </c>
      <c r="F1439">
        <v>0.731199716931069</v>
      </c>
      <c r="G1439">
        <v>0.667047227698504</v>
      </c>
      <c r="H1439">
        <v>1.0666414883412101</v>
      </c>
      <c r="I1439">
        <v>0.91035224168572204</v>
      </c>
      <c r="J1439">
        <v>1.1010695026469399</v>
      </c>
      <c r="K1439">
        <v>0.46194359688453202</v>
      </c>
      <c r="L1439">
        <v>11513.0907605708</v>
      </c>
      <c r="M1439">
        <v>250</v>
      </c>
      <c r="O1439">
        <v>46.0494158626895</v>
      </c>
      <c r="P1439">
        <v>-0.22998337115828299</v>
      </c>
      <c r="Q1439">
        <v>0.83055040130664404</v>
      </c>
      <c r="R1439">
        <v>0.16365854195943899</v>
      </c>
      <c r="S1439" t="s">
        <v>7724</v>
      </c>
      <c r="T1439" t="s">
        <v>12568</v>
      </c>
      <c r="U1439" t="s">
        <v>12568</v>
      </c>
      <c r="V1439" t="s">
        <v>12568</v>
      </c>
      <c r="W1439" t="s">
        <v>13978</v>
      </c>
      <c r="X1439">
        <v>55</v>
      </c>
      <c r="Y1439" t="s">
        <v>20189</v>
      </c>
      <c r="Z1439" t="s">
        <v>26309</v>
      </c>
      <c r="AA1439">
        <v>0.8647497793786092</v>
      </c>
      <c r="AB1439" t="str">
        <f>HYPERLINK("Melting_Curves/meltCurve_P00352_ALDH1A1.pdf", "Melting_Curves/meltCurve_P00352_ALDH1A1.pdf")</f>
        <v>Melting_Curves/meltCurve_P00352_ALDH1A1.pdf</v>
      </c>
    </row>
    <row r="1440" spans="1:28" x14ac:dyDescent="0.25">
      <c r="A1440" t="s">
        <v>1444</v>
      </c>
      <c r="B1440">
        <v>0.99352677808782597</v>
      </c>
      <c r="C1440">
        <v>0.51215180110483904</v>
      </c>
      <c r="D1440">
        <v>0.43966453113896597</v>
      </c>
      <c r="E1440">
        <v>0.214345912302699</v>
      </c>
      <c r="F1440">
        <v>0.18274290569370899</v>
      </c>
      <c r="G1440">
        <v>0.107168459496307</v>
      </c>
      <c r="H1440">
        <v>7.9949994610565997E-2</v>
      </c>
      <c r="I1440">
        <v>7.47782715998139E-2</v>
      </c>
      <c r="J1440">
        <v>6.0193904803975198E-2</v>
      </c>
      <c r="K1440">
        <v>4.5871888338606101E-2</v>
      </c>
      <c r="L1440">
        <v>700.61008279891598</v>
      </c>
      <c r="M1440">
        <v>15.8400513470223</v>
      </c>
      <c r="N1440">
        <v>44.678077134886699</v>
      </c>
      <c r="O1440">
        <v>43.543354758059003</v>
      </c>
      <c r="P1440">
        <v>-8.4276034347978396E-2</v>
      </c>
      <c r="Q1440">
        <v>7.3396667578724206E-2</v>
      </c>
      <c r="R1440">
        <v>0.94699044614613104</v>
      </c>
      <c r="S1440" t="s">
        <v>7725</v>
      </c>
      <c r="T1440" t="s">
        <v>12568</v>
      </c>
      <c r="U1440" t="s">
        <v>12568</v>
      </c>
      <c r="V1440" t="s">
        <v>12568</v>
      </c>
      <c r="W1440" t="s">
        <v>13979</v>
      </c>
      <c r="X1440">
        <v>9</v>
      </c>
      <c r="Y1440" t="s">
        <v>20190</v>
      </c>
      <c r="Z1440" t="s">
        <v>26310</v>
      </c>
      <c r="AA1440">
        <v>0.23316518107802181</v>
      </c>
      <c r="AB1440" t="str">
        <f>HYPERLINK("Melting_Curves/meltCurve_P00374_DHFR.pdf", "Melting_Curves/meltCurve_P00374_DHFR.pdf")</f>
        <v>Melting_Curves/meltCurve_P00374_DHFR.pdf</v>
      </c>
    </row>
    <row r="1441" spans="1:28" x14ac:dyDescent="0.25">
      <c r="A1441" t="s">
        <v>1445</v>
      </c>
      <c r="B1441">
        <v>0.99352677808782597</v>
      </c>
      <c r="C1441">
        <v>0.93664697736867997</v>
      </c>
      <c r="D1441">
        <v>0.94297850978865605</v>
      </c>
      <c r="E1441">
        <v>0.42819344324945802</v>
      </c>
      <c r="F1441">
        <v>0.31719782515993</v>
      </c>
      <c r="G1441">
        <v>0.18679109592294901</v>
      </c>
      <c r="H1441">
        <v>0.15713132986100001</v>
      </c>
      <c r="I1441">
        <v>0.21228981540135899</v>
      </c>
      <c r="J1441">
        <v>9.9878874142702898E-2</v>
      </c>
      <c r="K1441">
        <v>7.4123641294561601E-2</v>
      </c>
      <c r="L1441">
        <v>1293.1499289487899</v>
      </c>
      <c r="M1441">
        <v>26.275229669498898</v>
      </c>
      <c r="N1441">
        <v>49.862719532278</v>
      </c>
      <c r="O1441">
        <v>48.933127959683503</v>
      </c>
      <c r="P1441">
        <v>-0.11484723736017</v>
      </c>
      <c r="Q1441">
        <v>0.14447598109226401</v>
      </c>
      <c r="R1441">
        <v>0.98076479422594198</v>
      </c>
      <c r="S1441" t="s">
        <v>7726</v>
      </c>
      <c r="T1441" t="s">
        <v>12568</v>
      </c>
      <c r="U1441" t="s">
        <v>12568</v>
      </c>
      <c r="V1441" t="s">
        <v>12568</v>
      </c>
      <c r="W1441" t="s">
        <v>13980</v>
      </c>
      <c r="X1441">
        <v>1</v>
      </c>
      <c r="Y1441" t="s">
        <v>20191</v>
      </c>
      <c r="Z1441" t="s">
        <v>26311</v>
      </c>
      <c r="AA1441">
        <v>0.41413681628267912</v>
      </c>
      <c r="AB1441" t="str">
        <f>HYPERLINK("Melting_Curves/meltCurve_P00387_2_CYB5R3.pdf", "Melting_Curves/meltCurve_P00387_2_CYB5R3.pdf")</f>
        <v>Melting_Curves/meltCurve_P00387_2_CYB5R3.pdf</v>
      </c>
    </row>
    <row r="1442" spans="1:28" x14ac:dyDescent="0.25">
      <c r="A1442" t="s">
        <v>1446</v>
      </c>
      <c r="B1442">
        <v>0.99352677808782597</v>
      </c>
      <c r="C1442">
        <v>1.0519895230620899</v>
      </c>
      <c r="D1442">
        <v>0.98098996012298101</v>
      </c>
      <c r="E1442">
        <v>0.89572995434094105</v>
      </c>
      <c r="F1442">
        <v>0.76065537693771301</v>
      </c>
      <c r="G1442">
        <v>0.61257561019719198</v>
      </c>
      <c r="H1442">
        <v>0.81156218474139497</v>
      </c>
      <c r="I1442">
        <v>0.84841193240572599</v>
      </c>
      <c r="J1442">
        <v>0.91832658630293895</v>
      </c>
      <c r="K1442">
        <v>0.55286641503915201</v>
      </c>
      <c r="L1442">
        <v>3199.4298202131499</v>
      </c>
      <c r="M1442">
        <v>63.650951251357696</v>
      </c>
      <c r="O1442">
        <v>50.215692713468599</v>
      </c>
      <c r="P1442">
        <v>-7.9475220529407906E-2</v>
      </c>
      <c r="Q1442">
        <v>0.74920082895463103</v>
      </c>
      <c r="R1442">
        <v>0.57022947029082605</v>
      </c>
      <c r="S1442" t="s">
        <v>7727</v>
      </c>
      <c r="T1442" t="s">
        <v>12568</v>
      </c>
      <c r="U1442" t="s">
        <v>12568</v>
      </c>
      <c r="V1442" t="s">
        <v>12568</v>
      </c>
      <c r="W1442" t="s">
        <v>13981</v>
      </c>
      <c r="X1442">
        <v>27</v>
      </c>
      <c r="Y1442" t="s">
        <v>19415</v>
      </c>
      <c r="Z1442" t="s">
        <v>26312</v>
      </c>
      <c r="AA1442">
        <v>0.83536028158122633</v>
      </c>
      <c r="AB1442" t="str">
        <f>HYPERLINK("Melting_Curves/meltCurve_P00390_2_GSR.pdf", "Melting_Curves/meltCurve_P00390_2_GSR.pdf")</f>
        <v>Melting_Curves/meltCurve_P00390_2_GSR.pdf</v>
      </c>
    </row>
    <row r="1443" spans="1:28" x14ac:dyDescent="0.25">
      <c r="A1443" t="s">
        <v>1447</v>
      </c>
      <c r="B1443">
        <v>0.99352677808782597</v>
      </c>
      <c r="C1443">
        <v>0.83189823195357204</v>
      </c>
      <c r="D1443">
        <v>0.69104612301073298</v>
      </c>
      <c r="E1443">
        <v>0.44700964582297897</v>
      </c>
      <c r="F1443">
        <v>0.54708078960525997</v>
      </c>
      <c r="G1443">
        <v>0.35006531555197401</v>
      </c>
      <c r="H1443">
        <v>0.27124128851620199</v>
      </c>
      <c r="I1443">
        <v>0.28613601142168299</v>
      </c>
      <c r="J1443">
        <v>0.22751351725820901</v>
      </c>
      <c r="K1443">
        <v>0.10966989355835</v>
      </c>
      <c r="L1443">
        <v>430.268505759378</v>
      </c>
      <c r="M1443">
        <v>8.6017076456850301</v>
      </c>
      <c r="N1443">
        <v>51.615668688035598</v>
      </c>
      <c r="O1443">
        <v>47.5379332925637</v>
      </c>
      <c r="P1443">
        <v>-3.9992933809724997E-2</v>
      </c>
      <c r="Q1443">
        <v>0.11666620284801001</v>
      </c>
      <c r="R1443">
        <v>0.94787622490086698</v>
      </c>
      <c r="S1443" t="s">
        <v>7728</v>
      </c>
      <c r="T1443" t="s">
        <v>12568</v>
      </c>
      <c r="U1443" t="s">
        <v>12568</v>
      </c>
      <c r="V1443" t="s">
        <v>12568</v>
      </c>
      <c r="W1443" t="s">
        <v>13982</v>
      </c>
      <c r="X1443">
        <v>2</v>
      </c>
      <c r="Y1443" t="s">
        <v>20192</v>
      </c>
      <c r="Z1443" t="s">
        <v>26313</v>
      </c>
      <c r="AA1443">
        <v>0.46007030767780521</v>
      </c>
      <c r="AB1443" t="str">
        <f>HYPERLINK("Melting_Curves/meltCurve_P00450_CP.pdf", "Melting_Curves/meltCurve_P00450_CP.pdf")</f>
        <v>Melting_Curves/meltCurve_P00450_CP.pdf</v>
      </c>
    </row>
    <row r="1444" spans="1:28" x14ac:dyDescent="0.25">
      <c r="A1444" t="s">
        <v>1448</v>
      </c>
      <c r="B1444">
        <v>0.99352677808782597</v>
      </c>
      <c r="C1444">
        <v>1.01086872705625</v>
      </c>
      <c r="D1444">
        <v>0.95182597563407001</v>
      </c>
      <c r="E1444">
        <v>0.84637110614066202</v>
      </c>
      <c r="F1444">
        <v>0.74389854191117499</v>
      </c>
      <c r="G1444">
        <v>0.61996873594337898</v>
      </c>
      <c r="H1444">
        <v>0.64522376621268096</v>
      </c>
      <c r="I1444">
        <v>0.70206479246944498</v>
      </c>
      <c r="J1444">
        <v>0.57165065877735999</v>
      </c>
      <c r="K1444">
        <v>0.20107685546773699</v>
      </c>
      <c r="L1444">
        <v>398.35414830232099</v>
      </c>
      <c r="M1444">
        <v>6.0830773940526903</v>
      </c>
      <c r="N1444">
        <v>65.485628811688898</v>
      </c>
      <c r="O1444">
        <v>59.465237897421197</v>
      </c>
      <c r="P1444">
        <v>-2.5652937901016599E-2</v>
      </c>
      <c r="Q1444">
        <v>0</v>
      </c>
      <c r="R1444">
        <v>0.81849527365953001</v>
      </c>
      <c r="S1444" t="s">
        <v>7729</v>
      </c>
      <c r="T1444" t="s">
        <v>12568</v>
      </c>
      <c r="U1444" t="s">
        <v>12568</v>
      </c>
      <c r="V1444" t="s">
        <v>12568</v>
      </c>
      <c r="W1444" t="s">
        <v>13983</v>
      </c>
      <c r="X1444">
        <v>14</v>
      </c>
      <c r="Y1444" t="s">
        <v>20193</v>
      </c>
      <c r="Z1444" t="s">
        <v>26314</v>
      </c>
      <c r="AA1444">
        <v>0.73579948008368823</v>
      </c>
      <c r="AB1444" t="str">
        <f>HYPERLINK("Melting_Curves/meltCurve_P00491_PNP.pdf", "Melting_Curves/meltCurve_P00491_PNP.pdf")</f>
        <v>Melting_Curves/meltCurve_P00491_PNP.pdf</v>
      </c>
    </row>
    <row r="1445" spans="1:28" x14ac:dyDescent="0.25">
      <c r="A1445" t="s">
        <v>1449</v>
      </c>
      <c r="B1445">
        <v>0.99352677808782597</v>
      </c>
      <c r="C1445">
        <v>1.0091272596391401</v>
      </c>
      <c r="D1445">
        <v>0.95894422483193098</v>
      </c>
      <c r="E1445">
        <v>0.87823449793771802</v>
      </c>
      <c r="F1445">
        <v>0.75905208095198395</v>
      </c>
      <c r="G1445">
        <v>0.62082677240109496</v>
      </c>
      <c r="H1445">
        <v>0.802157861131785</v>
      </c>
      <c r="I1445">
        <v>0.83745032672957298</v>
      </c>
      <c r="J1445">
        <v>1.0886748106423201</v>
      </c>
      <c r="K1445">
        <v>0.71301576340932804</v>
      </c>
      <c r="L1445">
        <v>12475.572342420601</v>
      </c>
      <c r="M1445">
        <v>250</v>
      </c>
      <c r="O1445">
        <v>49.8990959780445</v>
      </c>
      <c r="P1445">
        <v>-0.24608461973314999</v>
      </c>
      <c r="Q1445">
        <v>0.80352959938378199</v>
      </c>
      <c r="R1445">
        <v>0.34437814826375601</v>
      </c>
      <c r="S1445" t="s">
        <v>7730</v>
      </c>
      <c r="T1445" t="s">
        <v>12568</v>
      </c>
      <c r="U1445" t="s">
        <v>12568</v>
      </c>
      <c r="V1445" t="s">
        <v>12568</v>
      </c>
      <c r="W1445" t="s">
        <v>13984</v>
      </c>
      <c r="X1445">
        <v>15</v>
      </c>
      <c r="Y1445" t="s">
        <v>20194</v>
      </c>
      <c r="Z1445" t="s">
        <v>26315</v>
      </c>
      <c r="AA1445">
        <v>0.86839703113365319</v>
      </c>
      <c r="AB1445" t="str">
        <f>HYPERLINK("Melting_Curves/meltCurve_P00492_HPRT1.pdf", "Melting_Curves/meltCurve_P00492_HPRT1.pdf")</f>
        <v>Melting_Curves/meltCurve_P00492_HPRT1.pdf</v>
      </c>
    </row>
    <row r="1446" spans="1:28" x14ac:dyDescent="0.25">
      <c r="A1446" t="s">
        <v>1450</v>
      </c>
      <c r="B1446">
        <v>0.99352677808782597</v>
      </c>
      <c r="C1446">
        <v>1.03837562969193</v>
      </c>
      <c r="D1446">
        <v>0.98352257776982499</v>
      </c>
      <c r="E1446">
        <v>0.92678558294732605</v>
      </c>
      <c r="F1446">
        <v>0.82007715440232498</v>
      </c>
      <c r="G1446">
        <v>0.65753577306840705</v>
      </c>
      <c r="H1446">
        <v>0.81078875676550299</v>
      </c>
      <c r="I1446">
        <v>0.76154196795870699</v>
      </c>
      <c r="J1446">
        <v>0.88633102133584896</v>
      </c>
      <c r="K1446">
        <v>0.28187751216210999</v>
      </c>
      <c r="L1446">
        <v>407.20239709862801</v>
      </c>
      <c r="M1446">
        <v>5.6129095417267703</v>
      </c>
      <c r="O1446">
        <v>64.908024662939297</v>
      </c>
      <c r="P1446">
        <v>-2.170737813829E-2</v>
      </c>
      <c r="Q1446">
        <v>0</v>
      </c>
      <c r="R1446">
        <v>0.56002998265859805</v>
      </c>
      <c r="S1446" t="s">
        <v>7731</v>
      </c>
      <c r="T1446" t="s">
        <v>12568</v>
      </c>
      <c r="U1446" t="s">
        <v>12568</v>
      </c>
      <c r="V1446" t="s">
        <v>12568</v>
      </c>
      <c r="W1446" t="s">
        <v>13985</v>
      </c>
      <c r="X1446">
        <v>29</v>
      </c>
      <c r="Y1446" t="s">
        <v>20195</v>
      </c>
      <c r="Z1446" t="s">
        <v>26316</v>
      </c>
      <c r="AA1446">
        <v>0.82519640433735297</v>
      </c>
      <c r="AB1446" t="str">
        <f>HYPERLINK("Melting_Curves/meltCurve_P00505_GOT2.pdf", "Melting_Curves/meltCurve_P00505_GOT2.pdf")</f>
        <v>Melting_Curves/meltCurve_P00505_GOT2.pdf</v>
      </c>
    </row>
    <row r="1447" spans="1:28" x14ac:dyDescent="0.25">
      <c r="A1447" t="s">
        <v>1451</v>
      </c>
      <c r="B1447">
        <v>0.99352677808782597</v>
      </c>
      <c r="C1447">
        <v>0.972108022350752</v>
      </c>
      <c r="D1447">
        <v>0.97791603645663105</v>
      </c>
      <c r="E1447">
        <v>0.59113712151720399</v>
      </c>
      <c r="F1447">
        <v>0.53665700892791002</v>
      </c>
      <c r="G1447">
        <v>0.37898252965593499</v>
      </c>
      <c r="H1447">
        <v>0.27234856856447698</v>
      </c>
      <c r="I1447">
        <v>0.25834871950500898</v>
      </c>
      <c r="J1447">
        <v>0.26326789523618099</v>
      </c>
      <c r="K1447">
        <v>0.22503681223587901</v>
      </c>
      <c r="L1447">
        <v>880.02030800308705</v>
      </c>
      <c r="M1447">
        <v>17.284997154019599</v>
      </c>
      <c r="N1447">
        <v>52.938251082322402</v>
      </c>
      <c r="O1447">
        <v>50.245596374468597</v>
      </c>
      <c r="P1447">
        <v>-6.5197624623735101E-2</v>
      </c>
      <c r="Q1447">
        <v>0.24195462076653401</v>
      </c>
      <c r="R1447">
        <v>0.98075348797607398</v>
      </c>
      <c r="S1447" t="s">
        <v>7732</v>
      </c>
      <c r="T1447" t="s">
        <v>12568</v>
      </c>
      <c r="U1447" t="s">
        <v>12568</v>
      </c>
      <c r="V1447" t="s">
        <v>12568</v>
      </c>
      <c r="W1447" t="s">
        <v>13986</v>
      </c>
      <c r="X1447">
        <v>7</v>
      </c>
      <c r="Y1447" t="s">
        <v>20196</v>
      </c>
      <c r="Z1447" t="s">
        <v>26317</v>
      </c>
      <c r="AA1447">
        <v>0.53144244156077936</v>
      </c>
      <c r="AB1447" t="str">
        <f>HYPERLINK("Melting_Curves/meltCurve_P00519_ABL1.pdf", "Melting_Curves/meltCurve_P00519_ABL1.pdf")</f>
        <v>Melting_Curves/meltCurve_P00519_ABL1.pdf</v>
      </c>
    </row>
    <row r="1448" spans="1:28" x14ac:dyDescent="0.25">
      <c r="A1448" t="s">
        <v>1452</v>
      </c>
      <c r="B1448">
        <v>0.99352677808782597</v>
      </c>
      <c r="C1448">
        <v>0.96105531287351298</v>
      </c>
      <c r="D1448">
        <v>1.00647828547982</v>
      </c>
      <c r="E1448">
        <v>0.94126090379181904</v>
      </c>
      <c r="F1448">
        <v>0.83787886597325001</v>
      </c>
      <c r="G1448">
        <v>0.77083436696485397</v>
      </c>
      <c r="H1448">
        <v>0.59463733498151405</v>
      </c>
      <c r="I1448">
        <v>0.67313729783535303</v>
      </c>
      <c r="J1448">
        <v>0.63775991330845705</v>
      </c>
      <c r="K1448">
        <v>0.56331571093099397</v>
      </c>
      <c r="L1448">
        <v>893.14007717674497</v>
      </c>
      <c r="M1448">
        <v>16.203975880380298</v>
      </c>
      <c r="O1448">
        <v>54.2996096208757</v>
      </c>
      <c r="P1448">
        <v>-3.0897510583184299E-2</v>
      </c>
      <c r="Q1448">
        <v>0.58588001648652699</v>
      </c>
      <c r="R1448">
        <v>0.95680596850517796</v>
      </c>
      <c r="S1448" t="s">
        <v>7733</v>
      </c>
      <c r="T1448" t="s">
        <v>12568</v>
      </c>
      <c r="U1448" t="s">
        <v>12568</v>
      </c>
      <c r="V1448" t="s">
        <v>12568</v>
      </c>
      <c r="W1448" t="s">
        <v>13987</v>
      </c>
      <c r="X1448">
        <v>9</v>
      </c>
      <c r="Y1448" t="s">
        <v>20197</v>
      </c>
      <c r="Z1448" t="s">
        <v>26318</v>
      </c>
      <c r="AA1448">
        <v>0.80184706415864848</v>
      </c>
      <c r="AB1448" t="str">
        <f>HYPERLINK("Melting_Curves/meltCurve_P00533_EGFR.pdf", "Melting_Curves/meltCurve_P00533_EGFR.pdf")</f>
        <v>Melting_Curves/meltCurve_P00533_EGFR.pdf</v>
      </c>
    </row>
    <row r="1449" spans="1:28" x14ac:dyDescent="0.25">
      <c r="A1449" t="s">
        <v>1453</v>
      </c>
      <c r="B1449">
        <v>0.99352677808782597</v>
      </c>
      <c r="C1449">
        <v>0.71803550305617303</v>
      </c>
      <c r="D1449">
        <v>1.04435242071436</v>
      </c>
      <c r="E1449">
        <v>0.32039606332864001</v>
      </c>
      <c r="F1449">
        <v>0.245310829910107</v>
      </c>
      <c r="G1449">
        <v>0.106476998969671</v>
      </c>
      <c r="H1449">
        <v>6.9286566692699406E-2</v>
      </c>
      <c r="I1449">
        <v>6.0480822723163699E-2</v>
      </c>
      <c r="J1449">
        <v>5.0063318987637898E-2</v>
      </c>
      <c r="K1449">
        <v>3.8540726579690501E-2</v>
      </c>
      <c r="L1449">
        <v>2442.7318003373698</v>
      </c>
      <c r="M1449">
        <v>49.774544695322703</v>
      </c>
      <c r="N1449">
        <v>49.266916912204898</v>
      </c>
      <c r="O1449">
        <v>48.996902784625597</v>
      </c>
      <c r="P1449">
        <v>-0.231685749843967</v>
      </c>
      <c r="Q1449">
        <v>8.7736562282251504E-2</v>
      </c>
      <c r="R1449">
        <v>0.92470794151101099</v>
      </c>
      <c r="S1449" t="s">
        <v>7734</v>
      </c>
      <c r="T1449" t="s">
        <v>12568</v>
      </c>
      <c r="U1449" t="s">
        <v>12568</v>
      </c>
      <c r="V1449" t="s">
        <v>12568</v>
      </c>
      <c r="W1449" t="s">
        <v>13988</v>
      </c>
      <c r="X1449">
        <v>37</v>
      </c>
      <c r="Y1449" t="s">
        <v>20198</v>
      </c>
      <c r="Z1449" t="s">
        <v>26319</v>
      </c>
      <c r="AA1449">
        <v>0.36571744967501119</v>
      </c>
      <c r="AB1449" t="str">
        <f>HYPERLINK("Melting_Curves/meltCurve_P00558_PGK1.pdf", "Melting_Curves/meltCurve_P00558_PGK1.pdf")</f>
        <v>Melting_Curves/meltCurve_P00558_PGK1.pdf</v>
      </c>
    </row>
    <row r="1450" spans="1:28" x14ac:dyDescent="0.25">
      <c r="A1450" t="s">
        <v>1454</v>
      </c>
      <c r="B1450">
        <v>0.99352677808782597</v>
      </c>
      <c r="C1450">
        <v>0.92431228368987295</v>
      </c>
      <c r="D1450">
        <v>1.02986278807276</v>
      </c>
      <c r="E1450">
        <v>0.54561137160810602</v>
      </c>
      <c r="F1450">
        <v>0.483704447660742</v>
      </c>
      <c r="G1450">
        <v>0.19417705421847001</v>
      </c>
      <c r="H1450">
        <v>0.11762645926406801</v>
      </c>
      <c r="I1450">
        <v>0.11441254029315</v>
      </c>
      <c r="J1450">
        <v>0.102537658322816</v>
      </c>
      <c r="K1450">
        <v>8.9262874328631003E-2</v>
      </c>
      <c r="L1450">
        <v>979.72502605941202</v>
      </c>
      <c r="M1450">
        <v>19.1081292193801</v>
      </c>
      <c r="N1450">
        <v>51.805982770117701</v>
      </c>
      <c r="O1450">
        <v>50.721019467863101</v>
      </c>
      <c r="P1450">
        <v>-8.5777246124384601E-2</v>
      </c>
      <c r="Q1450">
        <v>8.9279797445681694E-2</v>
      </c>
      <c r="R1450">
        <v>0.974727697178986</v>
      </c>
      <c r="S1450" t="s">
        <v>7735</v>
      </c>
      <c r="T1450" t="s">
        <v>12568</v>
      </c>
      <c r="U1450" t="s">
        <v>12568</v>
      </c>
      <c r="V1450" t="s">
        <v>12568</v>
      </c>
      <c r="W1450" t="s">
        <v>13989</v>
      </c>
      <c r="X1450">
        <v>15</v>
      </c>
      <c r="Y1450" t="s">
        <v>20199</v>
      </c>
      <c r="Z1450" t="s">
        <v>26320</v>
      </c>
      <c r="AA1450">
        <v>0.44522538559420222</v>
      </c>
      <c r="AB1450" t="str">
        <f>HYPERLINK("Melting_Curves/meltCurve_P00568_AK1.pdf", "Melting_Curves/meltCurve_P00568_AK1.pdf")</f>
        <v>Melting_Curves/meltCurve_P00568_AK1.pdf</v>
      </c>
    </row>
    <row r="1451" spans="1:28" x14ac:dyDescent="0.25">
      <c r="A1451" t="s">
        <v>1455</v>
      </c>
      <c r="B1451">
        <v>0.99352677808782597</v>
      </c>
      <c r="C1451">
        <v>0.98398362497875103</v>
      </c>
      <c r="D1451">
        <v>1.0067911979705999</v>
      </c>
      <c r="E1451">
        <v>0.96555887415320896</v>
      </c>
      <c r="F1451">
        <v>0.88177176519511002</v>
      </c>
      <c r="G1451">
        <v>0.80574701845101504</v>
      </c>
      <c r="H1451">
        <v>0.572222187347871</v>
      </c>
      <c r="I1451">
        <v>0.34306649013602503</v>
      </c>
      <c r="J1451">
        <v>0.13262579419864101</v>
      </c>
      <c r="K1451">
        <v>9.0008664259020404E-2</v>
      </c>
      <c r="L1451">
        <v>1126.08610424122</v>
      </c>
      <c r="M1451">
        <v>18.311644969977099</v>
      </c>
      <c r="N1451">
        <v>61.495629804076998</v>
      </c>
      <c r="O1451">
        <v>60.776303265580502</v>
      </c>
      <c r="P1451">
        <v>-7.5327423568775406E-2</v>
      </c>
      <c r="Q1451">
        <v>0</v>
      </c>
      <c r="R1451">
        <v>0.99231096866931401</v>
      </c>
      <c r="S1451" t="s">
        <v>7736</v>
      </c>
      <c r="T1451" t="s">
        <v>12568</v>
      </c>
      <c r="U1451" t="s">
        <v>12568</v>
      </c>
      <c r="V1451" t="s">
        <v>12568</v>
      </c>
      <c r="W1451" t="s">
        <v>13990</v>
      </c>
      <c r="X1451">
        <v>19</v>
      </c>
      <c r="Y1451" t="s">
        <v>20200</v>
      </c>
      <c r="Z1451" t="s">
        <v>26321</v>
      </c>
      <c r="AA1451">
        <v>0.72027504291130884</v>
      </c>
      <c r="AB1451" t="str">
        <f>HYPERLINK("Melting_Curves/meltCurve_P00813_ADA.pdf", "Melting_Curves/meltCurve_P00813_ADA.pdf")</f>
        <v>Melting_Curves/meltCurve_P00813_ADA.pdf</v>
      </c>
    </row>
    <row r="1452" spans="1:28" x14ac:dyDescent="0.25">
      <c r="A1452" t="s">
        <v>1456</v>
      </c>
      <c r="B1452">
        <v>0.99352677808782597</v>
      </c>
      <c r="C1452">
        <v>0.92727751094572097</v>
      </c>
      <c r="D1452">
        <v>0.65702810752616803</v>
      </c>
      <c r="E1452">
        <v>0.28041879948186199</v>
      </c>
      <c r="F1452">
        <v>0.21853131193463801</v>
      </c>
      <c r="G1452">
        <v>0.15399852367160999</v>
      </c>
      <c r="H1452">
        <v>0.11527471466368</v>
      </c>
      <c r="I1452">
        <v>0.106068289644928</v>
      </c>
      <c r="J1452">
        <v>6.4030555115661206E-2</v>
      </c>
      <c r="K1452">
        <v>4.7934582881445899E-2</v>
      </c>
      <c r="L1452">
        <v>981.30681599392301</v>
      </c>
      <c r="M1452">
        <v>20.786163318515801</v>
      </c>
      <c r="N1452">
        <v>47.677882157515803</v>
      </c>
      <c r="O1452">
        <v>46.779182683569701</v>
      </c>
      <c r="P1452">
        <v>-0.100832814524103</v>
      </c>
      <c r="Q1452">
        <v>9.2329881400592895E-2</v>
      </c>
      <c r="R1452">
        <v>0.99308077126481098</v>
      </c>
      <c r="S1452" t="s">
        <v>7737</v>
      </c>
      <c r="T1452" t="s">
        <v>12568</v>
      </c>
      <c r="U1452" t="s">
        <v>12568</v>
      </c>
      <c r="V1452" t="s">
        <v>12568</v>
      </c>
      <c r="W1452" t="s">
        <v>13991</v>
      </c>
      <c r="X1452">
        <v>5</v>
      </c>
      <c r="Y1452" t="s">
        <v>20201</v>
      </c>
      <c r="Z1452" t="s">
        <v>26322</v>
      </c>
      <c r="AA1452">
        <v>0.32257487016023428</v>
      </c>
      <c r="AB1452" t="str">
        <f>HYPERLINK("Melting_Curves/meltCurve_P00966_ASS1.pdf", "Melting_Curves/meltCurve_P00966_ASS1.pdf")</f>
        <v>Melting_Curves/meltCurve_P00966_ASS1.pdf</v>
      </c>
    </row>
    <row r="1453" spans="1:28" x14ac:dyDescent="0.25">
      <c r="A1453" t="s">
        <v>1457</v>
      </c>
      <c r="B1453">
        <v>0.99352677808782597</v>
      </c>
      <c r="C1453">
        <v>1.0982429237303</v>
      </c>
      <c r="D1453">
        <v>1.04500572921381</v>
      </c>
      <c r="E1453">
        <v>0.83393089527142406</v>
      </c>
      <c r="F1453">
        <v>0.78940565119964901</v>
      </c>
      <c r="G1453">
        <v>0.60274780610922096</v>
      </c>
      <c r="H1453">
        <v>0.46466463555898502</v>
      </c>
      <c r="I1453">
        <v>0.54023980277130901</v>
      </c>
      <c r="J1453">
        <v>0.432838334983211</v>
      </c>
      <c r="K1453">
        <v>0.48933388178200499</v>
      </c>
      <c r="L1453">
        <v>1061.7679525962601</v>
      </c>
      <c r="M1453">
        <v>19.8095359836766</v>
      </c>
      <c r="N1453">
        <v>61.946650896556598</v>
      </c>
      <c r="O1453">
        <v>53.061608729754397</v>
      </c>
      <c r="P1453">
        <v>-4.99014350123414E-2</v>
      </c>
      <c r="Q1453">
        <v>0.46535649586915301</v>
      </c>
      <c r="R1453">
        <v>0.95484865440238798</v>
      </c>
      <c r="S1453" t="s">
        <v>7738</v>
      </c>
      <c r="T1453" t="s">
        <v>12568</v>
      </c>
      <c r="U1453" t="s">
        <v>12568</v>
      </c>
      <c r="V1453" t="s">
        <v>12568</v>
      </c>
      <c r="W1453" t="s">
        <v>13992</v>
      </c>
      <c r="X1453">
        <v>2</v>
      </c>
      <c r="Y1453" t="s">
        <v>20202</v>
      </c>
      <c r="Z1453" t="s">
        <v>26323</v>
      </c>
      <c r="AA1453">
        <v>0.71513092749381379</v>
      </c>
      <c r="AB1453" t="str">
        <f>HYPERLINK("Melting_Curves/meltCurve_P01009_SERPINA1.pdf", "Melting_Curves/meltCurve_P01009_SERPINA1.pdf")</f>
        <v>Melting_Curves/meltCurve_P01009_SERPINA1.pdf</v>
      </c>
    </row>
    <row r="1454" spans="1:28" x14ac:dyDescent="0.25">
      <c r="A1454" t="s">
        <v>1458</v>
      </c>
      <c r="B1454">
        <v>0.99352677808782597</v>
      </c>
      <c r="C1454">
        <v>1.0002444868248399</v>
      </c>
      <c r="D1454">
        <v>0.88079846858170796</v>
      </c>
      <c r="E1454">
        <v>0.91557619948251801</v>
      </c>
      <c r="F1454">
        <v>0.80234626976739598</v>
      </c>
      <c r="G1454">
        <v>0.70037042954983897</v>
      </c>
      <c r="H1454">
        <v>0.70953336241862097</v>
      </c>
      <c r="I1454">
        <v>0.56171963482839005</v>
      </c>
      <c r="J1454">
        <v>0.71414588805532297</v>
      </c>
      <c r="K1454">
        <v>0.49032835230705102</v>
      </c>
      <c r="L1454">
        <v>436.19955471158602</v>
      </c>
      <c r="M1454">
        <v>7.51312082891162</v>
      </c>
      <c r="O1454">
        <v>54.372336798643502</v>
      </c>
      <c r="P1454">
        <v>-1.93855049907222E-2</v>
      </c>
      <c r="Q1454">
        <v>0.43963014264379302</v>
      </c>
      <c r="R1454">
        <v>0.87457797497344303</v>
      </c>
      <c r="S1454" t="s">
        <v>7739</v>
      </c>
      <c r="T1454" t="s">
        <v>12568</v>
      </c>
      <c r="U1454" t="s">
        <v>12568</v>
      </c>
      <c r="V1454" t="s">
        <v>12568</v>
      </c>
      <c r="W1454" t="s">
        <v>13993</v>
      </c>
      <c r="X1454">
        <v>5</v>
      </c>
      <c r="Y1454" t="s">
        <v>20203</v>
      </c>
      <c r="Z1454" t="s">
        <v>26324</v>
      </c>
      <c r="AA1454">
        <v>0.7773473563219494</v>
      </c>
      <c r="AB1454" t="str">
        <f>HYPERLINK("Melting_Curves/meltCurve_P01023_A2M.pdf", "Melting_Curves/meltCurve_P01023_A2M.pdf")</f>
        <v>Melting_Curves/meltCurve_P01023_A2M.pdf</v>
      </c>
    </row>
    <row r="1455" spans="1:28" x14ac:dyDescent="0.25">
      <c r="A1455" t="s">
        <v>1459</v>
      </c>
      <c r="B1455">
        <v>0.99352677808782597</v>
      </c>
      <c r="C1455">
        <v>1.00245992066587</v>
      </c>
      <c r="D1455">
        <v>0.93886092987456204</v>
      </c>
      <c r="E1455">
        <v>0.89959909623089696</v>
      </c>
      <c r="F1455">
        <v>0.75299269168750704</v>
      </c>
      <c r="G1455">
        <v>0.62233432203444705</v>
      </c>
      <c r="H1455">
        <v>0.74015298479189595</v>
      </c>
      <c r="I1455">
        <v>0.63452404377471605</v>
      </c>
      <c r="J1455">
        <v>0.86025341623149099</v>
      </c>
      <c r="K1455">
        <v>0.61343736408078997</v>
      </c>
      <c r="L1455">
        <v>1951.43737901594</v>
      </c>
      <c r="M1455">
        <v>38.391883565693099</v>
      </c>
      <c r="O1455">
        <v>50.692116268870002</v>
      </c>
      <c r="P1455">
        <v>-5.7850834855934098E-2</v>
      </c>
      <c r="Q1455">
        <v>0.69445902457494901</v>
      </c>
      <c r="R1455">
        <v>0.76803849625260201</v>
      </c>
      <c r="S1455" t="s">
        <v>7740</v>
      </c>
      <c r="T1455" t="s">
        <v>12568</v>
      </c>
      <c r="U1455" t="s">
        <v>12568</v>
      </c>
      <c r="V1455" t="s">
        <v>12568</v>
      </c>
      <c r="W1455" t="s">
        <v>13994</v>
      </c>
      <c r="X1455">
        <v>4</v>
      </c>
      <c r="Y1455" t="s">
        <v>20204</v>
      </c>
      <c r="Z1455" t="s">
        <v>26325</v>
      </c>
      <c r="AA1455">
        <v>0.80591951184302568</v>
      </c>
      <c r="AB1455" t="str">
        <f>HYPERLINK("Melting_Curves/meltCurve_P01024_C3.pdf", "Melting_Curves/meltCurve_P01024_C3.pdf")</f>
        <v>Melting_Curves/meltCurve_P01024_C3.pdf</v>
      </c>
    </row>
    <row r="1456" spans="1:28" x14ac:dyDescent="0.25">
      <c r="A1456" t="s">
        <v>1460</v>
      </c>
      <c r="B1456">
        <v>0.99352677808782597</v>
      </c>
      <c r="C1456">
        <v>1.01368027511232</v>
      </c>
      <c r="D1456">
        <v>1.01825910072041</v>
      </c>
      <c r="E1456">
        <v>0.91098460379563095</v>
      </c>
      <c r="F1456">
        <v>0.87009112288536095</v>
      </c>
      <c r="G1456">
        <v>0.80129908644116199</v>
      </c>
      <c r="H1456">
        <v>0.67991876976120003</v>
      </c>
      <c r="I1456">
        <v>0.65077931654972698</v>
      </c>
      <c r="J1456">
        <v>0.58785033630345096</v>
      </c>
      <c r="K1456">
        <v>0.32603922658997297</v>
      </c>
      <c r="L1456">
        <v>552.43929546270294</v>
      </c>
      <c r="M1456">
        <v>8.2175380048699207</v>
      </c>
      <c r="N1456">
        <v>67.226862087203997</v>
      </c>
      <c r="O1456">
        <v>63.597949646811898</v>
      </c>
      <c r="P1456">
        <v>-3.2335728920146703E-2</v>
      </c>
      <c r="Q1456">
        <v>0</v>
      </c>
      <c r="R1456">
        <v>0.95063181075287695</v>
      </c>
      <c r="S1456" t="s">
        <v>7741</v>
      </c>
      <c r="T1456" t="s">
        <v>12568</v>
      </c>
      <c r="U1456" t="s">
        <v>12568</v>
      </c>
      <c r="V1456" t="s">
        <v>12568</v>
      </c>
      <c r="W1456" t="s">
        <v>13995</v>
      </c>
      <c r="X1456">
        <v>3</v>
      </c>
      <c r="Y1456" t="s">
        <v>20205</v>
      </c>
      <c r="Z1456" t="s">
        <v>26326</v>
      </c>
      <c r="AA1456">
        <v>0.80107632066882928</v>
      </c>
      <c r="AB1456" t="str">
        <f>HYPERLINK("Melting_Curves/meltCurve_P01034_CST3.pdf", "Melting_Curves/meltCurve_P01034_CST3.pdf")</f>
        <v>Melting_Curves/meltCurve_P01034_CST3.pdf</v>
      </c>
    </row>
    <row r="1457" spans="1:28" x14ac:dyDescent="0.25">
      <c r="A1457" t="s">
        <v>1461</v>
      </c>
      <c r="B1457">
        <v>0.99352677808782597</v>
      </c>
      <c r="C1457">
        <v>1.0510515597883401</v>
      </c>
      <c r="D1457">
        <v>1.00656153233678</v>
      </c>
      <c r="E1457">
        <v>0.88674013145862596</v>
      </c>
      <c r="F1457">
        <v>0.84797722290630195</v>
      </c>
      <c r="G1457">
        <v>0.95407179462730396</v>
      </c>
      <c r="H1457">
        <v>0.85793152441776099</v>
      </c>
      <c r="I1457">
        <v>0.77708956382268102</v>
      </c>
      <c r="J1457">
        <v>0.72411210543639504</v>
      </c>
      <c r="K1457">
        <v>0.86369664780400401</v>
      </c>
      <c r="L1457">
        <v>596.19026942948301</v>
      </c>
      <c r="M1457">
        <v>11.017526530328301</v>
      </c>
      <c r="O1457">
        <v>52.421856582469097</v>
      </c>
      <c r="P1457">
        <v>-1.1407410685808399E-2</v>
      </c>
      <c r="Q1457">
        <v>0.78296501020615406</v>
      </c>
      <c r="R1457">
        <v>0.66859496307136401</v>
      </c>
      <c r="S1457" t="s">
        <v>7742</v>
      </c>
      <c r="T1457" t="s">
        <v>12568</v>
      </c>
      <c r="U1457" t="s">
        <v>12568</v>
      </c>
      <c r="V1457" t="s">
        <v>12568</v>
      </c>
      <c r="W1457" t="s">
        <v>13996</v>
      </c>
      <c r="X1457">
        <v>2</v>
      </c>
      <c r="Y1457" t="s">
        <v>20206</v>
      </c>
      <c r="Z1457" t="s">
        <v>26327</v>
      </c>
      <c r="AA1457">
        <v>0.89108818185646854</v>
      </c>
      <c r="AB1457" t="str">
        <f>HYPERLINK("Melting_Curves/meltCurve_P01042_3_KNG1.pdf", "Melting_Curves/meltCurve_P01042_3_KNG1.pdf")</f>
        <v>Melting_Curves/meltCurve_P01042_3_KNG1.pdf</v>
      </c>
    </row>
    <row r="1458" spans="1:28" x14ac:dyDescent="0.25">
      <c r="A1458" t="s">
        <v>1462</v>
      </c>
      <c r="B1458">
        <v>0.99352677808782597</v>
      </c>
      <c r="C1458">
        <v>0.99701749665870798</v>
      </c>
      <c r="D1458">
        <v>0.98966478531108004</v>
      </c>
      <c r="E1458">
        <v>0.76488379224146796</v>
      </c>
      <c r="F1458">
        <v>0.64815620519155104</v>
      </c>
      <c r="G1458">
        <v>0.48062132645490002</v>
      </c>
      <c r="H1458">
        <v>0.380420083139969</v>
      </c>
      <c r="I1458">
        <v>0.247226000003402</v>
      </c>
      <c r="J1458">
        <v>0.20066031956248701</v>
      </c>
      <c r="K1458">
        <v>0.121100208661411</v>
      </c>
      <c r="L1458">
        <v>603.72142819795101</v>
      </c>
      <c r="M1458">
        <v>10.729185453026</v>
      </c>
      <c r="N1458">
        <v>56.764000220951097</v>
      </c>
      <c r="O1458">
        <v>54.4200400340155</v>
      </c>
      <c r="P1458">
        <v>-4.7105404068483903E-2</v>
      </c>
      <c r="Q1458">
        <v>4.46520345926055E-2</v>
      </c>
      <c r="R1458">
        <v>0.98973903741843094</v>
      </c>
      <c r="S1458" t="s">
        <v>7743</v>
      </c>
      <c r="T1458" t="s">
        <v>12568</v>
      </c>
      <c r="U1458" t="s">
        <v>12568</v>
      </c>
      <c r="V1458" t="s">
        <v>12568</v>
      </c>
      <c r="W1458" t="s">
        <v>13997</v>
      </c>
      <c r="X1458">
        <v>3</v>
      </c>
      <c r="Y1458" t="s">
        <v>20207</v>
      </c>
      <c r="Z1458" t="s">
        <v>26328</v>
      </c>
      <c r="AA1458">
        <v>0.5816796473830419</v>
      </c>
      <c r="AB1458" t="str">
        <f>HYPERLINK("Melting_Curves/meltCurve_P01111_NRAS.pdf", "Melting_Curves/meltCurve_P01111_NRAS.pdf")</f>
        <v>Melting_Curves/meltCurve_P01111_NRAS.pdf</v>
      </c>
    </row>
    <row r="1459" spans="1:28" x14ac:dyDescent="0.25">
      <c r="A1459" t="s">
        <v>1463</v>
      </c>
      <c r="B1459">
        <v>0.99352677808782597</v>
      </c>
      <c r="C1459">
        <v>0.95150698477404905</v>
      </c>
      <c r="D1459">
        <v>0.947685792061145</v>
      </c>
      <c r="E1459">
        <v>0.78854768577939105</v>
      </c>
      <c r="F1459">
        <v>0.70479144019582496</v>
      </c>
      <c r="G1459">
        <v>0.59278647002727702</v>
      </c>
      <c r="H1459">
        <v>0.32578238330416298</v>
      </c>
      <c r="I1459">
        <v>0.22964785456120401</v>
      </c>
      <c r="J1459">
        <v>0.113009562600608</v>
      </c>
      <c r="K1459">
        <v>6.9847815837055294E-2</v>
      </c>
      <c r="L1459">
        <v>669.78954857627605</v>
      </c>
      <c r="M1459">
        <v>11.6957680664497</v>
      </c>
      <c r="N1459">
        <v>57.267681252379703</v>
      </c>
      <c r="O1459">
        <v>55.670360998928999</v>
      </c>
      <c r="P1459">
        <v>-5.2536394706089E-2</v>
      </c>
      <c r="Q1459">
        <v>0</v>
      </c>
      <c r="R1459">
        <v>0.98832132581158005</v>
      </c>
      <c r="S1459" t="s">
        <v>7744</v>
      </c>
      <c r="T1459" t="s">
        <v>12568</v>
      </c>
      <c r="U1459" t="s">
        <v>12568</v>
      </c>
      <c r="V1459" t="s">
        <v>12568</v>
      </c>
      <c r="W1459" t="s">
        <v>13998</v>
      </c>
      <c r="X1459">
        <v>5</v>
      </c>
      <c r="Y1459" t="s">
        <v>20208</v>
      </c>
      <c r="Z1459" t="s">
        <v>26329</v>
      </c>
      <c r="AA1459">
        <v>0.59128036949336904</v>
      </c>
      <c r="AB1459" t="str">
        <f>HYPERLINK("Melting_Curves/meltCurve_P01116_2_KRAS.pdf", "Melting_Curves/meltCurve_P01116_2_KRAS.pdf")</f>
        <v>Melting_Curves/meltCurve_P01116_2_KRAS.pdf</v>
      </c>
    </row>
    <row r="1460" spans="1:28" x14ac:dyDescent="0.25">
      <c r="A1460" t="s">
        <v>1464</v>
      </c>
      <c r="B1460">
        <v>0.99352677808782597</v>
      </c>
      <c r="C1460">
        <v>0.93046580676652302</v>
      </c>
      <c r="D1460">
        <v>0.90622632103880096</v>
      </c>
      <c r="E1460">
        <v>0.87057764859518705</v>
      </c>
      <c r="F1460">
        <v>0.86221525617165395</v>
      </c>
      <c r="G1460">
        <v>0.69822832432682402</v>
      </c>
      <c r="H1460">
        <v>0.60040424674438597</v>
      </c>
      <c r="I1460">
        <v>0.49890334397242198</v>
      </c>
      <c r="J1460">
        <v>0.29124131378307599</v>
      </c>
      <c r="K1460">
        <v>0.21115456252041001</v>
      </c>
      <c r="L1460">
        <v>596.32282981642697</v>
      </c>
      <c r="M1460">
        <v>9.5637069586104904</v>
      </c>
      <c r="N1460">
        <v>62.352667211261902</v>
      </c>
      <c r="O1460">
        <v>59.809258962755898</v>
      </c>
      <c r="P1460">
        <v>-3.9998909879574197E-2</v>
      </c>
      <c r="Q1460">
        <v>0</v>
      </c>
      <c r="R1460">
        <v>0.97106004584514904</v>
      </c>
      <c r="S1460" t="s">
        <v>7745</v>
      </c>
      <c r="T1460" t="s">
        <v>12568</v>
      </c>
      <c r="U1460" t="s">
        <v>12568</v>
      </c>
      <c r="V1460" t="s">
        <v>12568</v>
      </c>
      <c r="W1460" t="s">
        <v>13999</v>
      </c>
      <c r="X1460">
        <v>5</v>
      </c>
      <c r="Y1460" t="s">
        <v>20209</v>
      </c>
      <c r="Z1460" t="s">
        <v>26330</v>
      </c>
      <c r="AA1460">
        <v>0.71750037453178206</v>
      </c>
      <c r="AB1460" t="str">
        <f>HYPERLINK("Melting_Curves/meltCurve_P01130_3_LDLR.pdf", "Melting_Curves/meltCurve_P01130_3_LDLR.pdf")</f>
        <v>Melting_Curves/meltCurve_P01130_3_LDLR.pdf</v>
      </c>
    </row>
    <row r="1461" spans="1:28" x14ac:dyDescent="0.25">
      <c r="A1461" t="s">
        <v>1465</v>
      </c>
      <c r="B1461">
        <v>0.99352677808782597</v>
      </c>
      <c r="C1461">
        <v>0.95692193196445197</v>
      </c>
      <c r="D1461">
        <v>0.93515081946192502</v>
      </c>
      <c r="E1461">
        <v>0.73049313046986597</v>
      </c>
      <c r="F1461">
        <v>0.66597435487826095</v>
      </c>
      <c r="G1461">
        <v>0.445617934145488</v>
      </c>
      <c r="H1461">
        <v>0.34679853488728002</v>
      </c>
      <c r="I1461">
        <v>0.23377089159133499</v>
      </c>
      <c r="J1461">
        <v>0.21195040455356101</v>
      </c>
      <c r="K1461">
        <v>0.17411908837658299</v>
      </c>
      <c r="L1461">
        <v>606.67930966297797</v>
      </c>
      <c r="M1461">
        <v>11.0449631107832</v>
      </c>
      <c r="N1461">
        <v>56.036461908539998</v>
      </c>
      <c r="O1461">
        <v>53.2197088686898</v>
      </c>
      <c r="P1461">
        <v>-4.68085276819145E-2</v>
      </c>
      <c r="Q1461">
        <v>9.8119531505373794E-2</v>
      </c>
      <c r="R1461">
        <v>0.99510865778834601</v>
      </c>
      <c r="S1461" t="s">
        <v>7746</v>
      </c>
      <c r="T1461" t="s">
        <v>12568</v>
      </c>
      <c r="U1461" t="s">
        <v>12568</v>
      </c>
      <c r="V1461" t="s">
        <v>12568</v>
      </c>
      <c r="W1461" t="s">
        <v>14000</v>
      </c>
      <c r="X1461">
        <v>3</v>
      </c>
      <c r="Y1461" t="s">
        <v>20210</v>
      </c>
      <c r="Z1461" t="s">
        <v>26331</v>
      </c>
      <c r="AA1461">
        <v>0.56939707751554036</v>
      </c>
      <c r="AB1461" t="str">
        <f>HYPERLINK("Melting_Curves/meltCurve_P01137_TGFB1.pdf", "Melting_Curves/meltCurve_P01137_TGFB1.pdf")</f>
        <v>Melting_Curves/meltCurve_P01137_TGFB1.pdf</v>
      </c>
    </row>
    <row r="1462" spans="1:28" x14ac:dyDescent="0.25">
      <c r="A1462" t="s">
        <v>1466</v>
      </c>
      <c r="B1462">
        <v>0.99352677808782597</v>
      </c>
      <c r="C1462">
        <v>0.91590072301356296</v>
      </c>
      <c r="D1462">
        <v>0.92004730914228305</v>
      </c>
      <c r="E1462">
        <v>0.82271564397510799</v>
      </c>
      <c r="F1462">
        <v>0.69427496817127299</v>
      </c>
      <c r="G1462">
        <v>0.59105204102494302</v>
      </c>
      <c r="H1462">
        <v>0.51789641955820398</v>
      </c>
      <c r="I1462">
        <v>0.57214491575224102</v>
      </c>
      <c r="J1462">
        <v>0.58190959539451004</v>
      </c>
      <c r="K1462">
        <v>0.46535924384375399</v>
      </c>
      <c r="L1462">
        <v>672.42862212661896</v>
      </c>
      <c r="M1462">
        <v>13.0848327514381</v>
      </c>
      <c r="O1462">
        <v>50.234067352879897</v>
      </c>
      <c r="P1462">
        <v>-3.2554205291786098E-2</v>
      </c>
      <c r="Q1462">
        <v>0.50016984073325399</v>
      </c>
      <c r="R1462">
        <v>0.96182360802595901</v>
      </c>
      <c r="S1462" t="s">
        <v>7747</v>
      </c>
      <c r="T1462" t="s">
        <v>12568</v>
      </c>
      <c r="U1462" t="s">
        <v>12568</v>
      </c>
      <c r="V1462" t="s">
        <v>12568</v>
      </c>
      <c r="W1462" t="s">
        <v>14001</v>
      </c>
      <c r="X1462">
        <v>2</v>
      </c>
      <c r="Y1462" t="s">
        <v>20211</v>
      </c>
      <c r="Z1462" t="s">
        <v>26332</v>
      </c>
      <c r="AA1462">
        <v>0.70400863681228409</v>
      </c>
      <c r="AB1462" t="str">
        <f>HYPERLINK("Melting_Curves/meltCurve_P02452_COL1A1.pdf", "Melting_Curves/meltCurve_P02452_COL1A1.pdf")</f>
        <v>Melting_Curves/meltCurve_P02452_COL1A1.pdf</v>
      </c>
    </row>
    <row r="1463" spans="1:28" x14ac:dyDescent="0.25">
      <c r="A1463" t="s">
        <v>1467</v>
      </c>
      <c r="B1463">
        <v>0.99352677808782597</v>
      </c>
      <c r="C1463">
        <v>1.2101111544787799</v>
      </c>
      <c r="D1463">
        <v>0.712428131185879</v>
      </c>
      <c r="E1463">
        <v>0.45714931562976102</v>
      </c>
      <c r="F1463">
        <v>1.7769903596719401</v>
      </c>
      <c r="G1463">
        <v>0.154658104499621</v>
      </c>
      <c r="H1463">
        <v>0.84418805283351595</v>
      </c>
      <c r="I1463">
        <v>0.31110785157398302</v>
      </c>
      <c r="J1463">
        <v>0.54554127393976104</v>
      </c>
      <c r="K1463">
        <v>0.78270805560045198</v>
      </c>
      <c r="L1463">
        <v>13753.6501092575</v>
      </c>
      <c r="M1463">
        <v>250</v>
      </c>
      <c r="O1463">
        <v>55.011080301990802</v>
      </c>
      <c r="P1463">
        <v>-0.53665440568783895</v>
      </c>
      <c r="Q1463">
        <v>0.527648986592539</v>
      </c>
      <c r="R1463">
        <v>0.31266751851194202</v>
      </c>
      <c r="S1463" t="s">
        <v>7748</v>
      </c>
      <c r="T1463" t="s">
        <v>12568</v>
      </c>
      <c r="U1463" t="s">
        <v>12568</v>
      </c>
      <c r="V1463" t="s">
        <v>12568</v>
      </c>
      <c r="W1463" t="s">
        <v>14002</v>
      </c>
      <c r="X1463">
        <v>12</v>
      </c>
      <c r="Y1463" t="s">
        <v>20212</v>
      </c>
      <c r="Z1463" t="s">
        <v>26333</v>
      </c>
      <c r="AA1463">
        <v>0.76409998305106008</v>
      </c>
      <c r="AB1463" t="str">
        <f>HYPERLINK("Melting_Curves/meltCurve_P02533_KRT14.pdf", "Melting_Curves/meltCurve_P02533_KRT14.pdf")</f>
        <v>Melting_Curves/meltCurve_P02533_KRT14.pdf</v>
      </c>
    </row>
    <row r="1464" spans="1:28" x14ac:dyDescent="0.25">
      <c r="A1464" t="s">
        <v>1468</v>
      </c>
      <c r="B1464">
        <v>0.99352677808782597</v>
      </c>
      <c r="C1464">
        <v>0.97727087658185197</v>
      </c>
      <c r="D1464">
        <v>0.96360003427768604</v>
      </c>
      <c r="E1464">
        <v>0.93976739254642105</v>
      </c>
      <c r="F1464">
        <v>0.87182596007554103</v>
      </c>
      <c r="G1464">
        <v>0.721293132733274</v>
      </c>
      <c r="H1464">
        <v>0.41980051595916101</v>
      </c>
      <c r="I1464">
        <v>0.36784898043021103</v>
      </c>
      <c r="J1464">
        <v>0.33139928001897401</v>
      </c>
      <c r="K1464">
        <v>0.27792121812519299</v>
      </c>
      <c r="L1464">
        <v>1066.6084766858701</v>
      </c>
      <c r="M1464">
        <v>18.426887082035002</v>
      </c>
      <c r="N1464">
        <v>60.205165199682099</v>
      </c>
      <c r="O1464">
        <v>57.214480377421701</v>
      </c>
      <c r="P1464">
        <v>-6.0040821223846803E-2</v>
      </c>
      <c r="Q1464">
        <v>0.25433963038763102</v>
      </c>
      <c r="R1464">
        <v>0.99252096473955298</v>
      </c>
      <c r="S1464" t="s">
        <v>7749</v>
      </c>
      <c r="T1464" t="s">
        <v>12568</v>
      </c>
      <c r="U1464" t="s">
        <v>12568</v>
      </c>
      <c r="V1464" t="s">
        <v>12568</v>
      </c>
      <c r="W1464" t="s">
        <v>14003</v>
      </c>
      <c r="X1464">
        <v>61</v>
      </c>
      <c r="Y1464" t="s">
        <v>20213</v>
      </c>
      <c r="Z1464" t="s">
        <v>26334</v>
      </c>
      <c r="AA1464">
        <v>0.70802358804749987</v>
      </c>
      <c r="AB1464" t="str">
        <f>HYPERLINK("Melting_Curves/meltCurve_P02545_LMNA.pdf", "Melting_Curves/meltCurve_P02545_LMNA.pdf")</f>
        <v>Melting_Curves/meltCurve_P02545_LMNA.pdf</v>
      </c>
    </row>
    <row r="1465" spans="1:28" x14ac:dyDescent="0.25">
      <c r="A1465" t="s">
        <v>1469</v>
      </c>
      <c r="B1465">
        <v>0.99352677808782597</v>
      </c>
      <c r="C1465">
        <v>0.92423346536639295</v>
      </c>
      <c r="D1465">
        <v>0.86966165344053203</v>
      </c>
      <c r="E1465">
        <v>0.677733100806033</v>
      </c>
      <c r="F1465">
        <v>0.68425194302442904</v>
      </c>
      <c r="G1465">
        <v>0.45719768345561002</v>
      </c>
      <c r="H1465">
        <v>0.31377915723362099</v>
      </c>
      <c r="I1465">
        <v>0.29577388567206098</v>
      </c>
      <c r="J1465">
        <v>0.28908722245082702</v>
      </c>
      <c r="K1465">
        <v>0.242530050976558</v>
      </c>
      <c r="L1465">
        <v>538.20089925023399</v>
      </c>
      <c r="M1465">
        <v>10.027325316892201</v>
      </c>
      <c r="N1465">
        <v>55.901809235672999</v>
      </c>
      <c r="O1465">
        <v>51.669747702392598</v>
      </c>
      <c r="P1465">
        <v>-4.0543137255405197E-2</v>
      </c>
      <c r="Q1465">
        <v>0.16474400245384399</v>
      </c>
      <c r="R1465">
        <v>0.98478544877546303</v>
      </c>
      <c r="S1465" t="s">
        <v>7750</v>
      </c>
      <c r="T1465" t="s">
        <v>12568</v>
      </c>
      <c r="U1465" t="s">
        <v>12568</v>
      </c>
      <c r="V1465" t="s">
        <v>12568</v>
      </c>
      <c r="W1465" t="s">
        <v>14004</v>
      </c>
      <c r="X1465">
        <v>59</v>
      </c>
      <c r="Y1465" t="s">
        <v>20213</v>
      </c>
      <c r="Z1465" t="s">
        <v>26335</v>
      </c>
      <c r="AA1465">
        <v>0.57173527214441111</v>
      </c>
      <c r="AB1465" t="str">
        <f>HYPERLINK("Melting_Curves/meltCurve_P02545_2_LMNA.pdf", "Melting_Curves/meltCurve_P02545_2_LMNA.pdf")</f>
        <v>Melting_Curves/meltCurve_P02545_2_LMNA.pdf</v>
      </c>
    </row>
    <row r="1466" spans="1:28" x14ac:dyDescent="0.25">
      <c r="A1466" t="s">
        <v>1470</v>
      </c>
      <c r="B1466">
        <v>0.99352677808782597</v>
      </c>
      <c r="C1466">
        <v>1.1539884636372999</v>
      </c>
      <c r="D1466">
        <v>0.98366762606014202</v>
      </c>
      <c r="E1466">
        <v>0.85457688034245505</v>
      </c>
      <c r="F1466">
        <v>0.74739604742382704</v>
      </c>
      <c r="G1466">
        <v>0.70399671749241799</v>
      </c>
      <c r="H1466">
        <v>0.50426805333144298</v>
      </c>
      <c r="I1466">
        <v>0.50932302811297403</v>
      </c>
      <c r="J1466">
        <v>0.43621556944202799</v>
      </c>
      <c r="K1466">
        <v>0.45565661625327702</v>
      </c>
      <c r="L1466">
        <v>781.13028189910403</v>
      </c>
      <c r="M1466">
        <v>14.188731975108499</v>
      </c>
      <c r="N1466">
        <v>63.162018261965699</v>
      </c>
      <c r="O1466">
        <v>53.9939175981104</v>
      </c>
      <c r="P1466">
        <v>-3.8166274461765202E-2</v>
      </c>
      <c r="Q1466">
        <v>0.41911992804289699</v>
      </c>
      <c r="R1466">
        <v>0.93878969581260197</v>
      </c>
      <c r="S1466" t="s">
        <v>7751</v>
      </c>
      <c r="T1466" t="s">
        <v>12568</v>
      </c>
      <c r="U1466" t="s">
        <v>12568</v>
      </c>
      <c r="V1466" t="s">
        <v>12568</v>
      </c>
      <c r="W1466" t="s">
        <v>14005</v>
      </c>
      <c r="X1466">
        <v>3</v>
      </c>
      <c r="Y1466" t="s">
        <v>20214</v>
      </c>
      <c r="Z1466" t="s">
        <v>26336</v>
      </c>
      <c r="AA1466">
        <v>0.72238412533606444</v>
      </c>
      <c r="AB1466" t="str">
        <f>HYPERLINK("Melting_Curves/meltCurve_P02647_APOA1.pdf", "Melting_Curves/meltCurve_P02647_APOA1.pdf")</f>
        <v>Melting_Curves/meltCurve_P02647_APOA1.pdf</v>
      </c>
    </row>
    <row r="1467" spans="1:28" x14ac:dyDescent="0.25">
      <c r="A1467" t="s">
        <v>1471</v>
      </c>
      <c r="B1467">
        <v>0.99352677808782597</v>
      </c>
      <c r="C1467">
        <v>0.94611038200643305</v>
      </c>
      <c r="D1467">
        <v>0.97830644498505703</v>
      </c>
      <c r="E1467">
        <v>0.86219790896290005</v>
      </c>
      <c r="F1467">
        <v>0.88419425846072297</v>
      </c>
      <c r="G1467">
        <v>0.86883166442619497</v>
      </c>
      <c r="H1467">
        <v>0.74331946744970601</v>
      </c>
      <c r="I1467">
        <v>0.72470742587823</v>
      </c>
      <c r="J1467">
        <v>0.81990537995421897</v>
      </c>
      <c r="K1467">
        <v>0.83089494378321205</v>
      </c>
      <c r="L1467">
        <v>617.31088764509695</v>
      </c>
      <c r="M1467">
        <v>12.2122917015366</v>
      </c>
      <c r="O1467">
        <v>49.250259388625302</v>
      </c>
      <c r="P1467">
        <v>-1.3785611958254E-2</v>
      </c>
      <c r="Q1467">
        <v>0.77766930357902997</v>
      </c>
      <c r="R1467">
        <v>0.76814443428448798</v>
      </c>
      <c r="S1467" t="s">
        <v>7752</v>
      </c>
      <c r="T1467" t="s">
        <v>12568</v>
      </c>
      <c r="U1467" t="s">
        <v>12568</v>
      </c>
      <c r="V1467" t="s">
        <v>12568</v>
      </c>
      <c r="W1467" t="s">
        <v>14006</v>
      </c>
      <c r="X1467">
        <v>1</v>
      </c>
      <c r="Y1467" t="s">
        <v>20215</v>
      </c>
      <c r="Z1467" t="s">
        <v>26337</v>
      </c>
      <c r="AA1467">
        <v>0.8631005088682111</v>
      </c>
      <c r="AB1467" t="str">
        <f>HYPERLINK("Melting_Curves/meltCurve_P02656_APOC3.pdf", "Melting_Curves/meltCurve_P02656_APOC3.pdf")</f>
        <v>Melting_Curves/meltCurve_P02656_APOC3.pdf</v>
      </c>
    </row>
    <row r="1468" spans="1:28" x14ac:dyDescent="0.25">
      <c r="A1468" t="s">
        <v>1472</v>
      </c>
      <c r="B1468">
        <v>0.99352677808782597</v>
      </c>
      <c r="C1468">
        <v>0.95366454599820005</v>
      </c>
      <c r="D1468">
        <v>0.69788467644770902</v>
      </c>
      <c r="E1468">
        <v>0.76046796631253399</v>
      </c>
      <c r="F1468">
        <v>0.68839031535779505</v>
      </c>
      <c r="G1468">
        <v>0.54667149125169401</v>
      </c>
      <c r="H1468">
        <v>0.53727692802184102</v>
      </c>
      <c r="I1468">
        <v>0.34935796917380801</v>
      </c>
      <c r="J1468">
        <v>0.42425569181080602</v>
      </c>
      <c r="K1468">
        <v>0.428027328556699</v>
      </c>
      <c r="L1468">
        <v>407.42641959676502</v>
      </c>
      <c r="M1468">
        <v>7.71613557841588</v>
      </c>
      <c r="N1468">
        <v>60.125806235981798</v>
      </c>
      <c r="O1468">
        <v>49.606632721791399</v>
      </c>
      <c r="P1468">
        <v>-2.7074139561726902E-2</v>
      </c>
      <c r="Q1468">
        <v>0.304666805906807</v>
      </c>
      <c r="R1468">
        <v>0.91026598381897095</v>
      </c>
      <c r="S1468" t="s">
        <v>7753</v>
      </c>
      <c r="T1468" t="s">
        <v>12568</v>
      </c>
      <c r="U1468" t="s">
        <v>12568</v>
      </c>
      <c r="V1468" t="s">
        <v>12568</v>
      </c>
      <c r="W1468" t="s">
        <v>14007</v>
      </c>
      <c r="X1468">
        <v>1</v>
      </c>
      <c r="Y1468" t="s">
        <v>20216</v>
      </c>
      <c r="Z1468" t="s">
        <v>26338</v>
      </c>
      <c r="AA1468">
        <v>0.63133227435394867</v>
      </c>
      <c r="AB1468" t="str">
        <f>HYPERLINK("Melting_Curves/meltCurve_P02671_2_FGA.pdf", "Melting_Curves/meltCurve_P02671_2_FGA.pdf")</f>
        <v>Melting_Curves/meltCurve_P02671_2_FGA.pdf</v>
      </c>
    </row>
    <row r="1469" spans="1:28" x14ac:dyDescent="0.25">
      <c r="A1469" t="s">
        <v>1473</v>
      </c>
      <c r="B1469">
        <v>0.99352677808782597</v>
      </c>
      <c r="C1469">
        <v>0.91387498828191605</v>
      </c>
      <c r="D1469">
        <v>1.0392882029264101</v>
      </c>
      <c r="E1469">
        <v>1.35721873542945</v>
      </c>
      <c r="F1469">
        <v>1.4144928984293199</v>
      </c>
      <c r="G1469">
        <v>1.43890016395014</v>
      </c>
      <c r="H1469">
        <v>1.41721386134535</v>
      </c>
      <c r="I1469">
        <v>1.6982644322368401</v>
      </c>
      <c r="J1469">
        <v>1.2354768325524901</v>
      </c>
      <c r="K1469">
        <v>1.3622590147493701</v>
      </c>
      <c r="L1469">
        <v>2316.9283634856902</v>
      </c>
      <c r="M1469">
        <v>47.946535287069104</v>
      </c>
      <c r="O1469">
        <v>48.239307121034102</v>
      </c>
      <c r="P1469">
        <v>0.106568148542448</v>
      </c>
      <c r="Q1469">
        <v>1.4288752519671</v>
      </c>
      <c r="R1469">
        <v>0.76707651513508002</v>
      </c>
      <c r="S1469" t="s">
        <v>7754</v>
      </c>
      <c r="T1469" t="s">
        <v>12568</v>
      </c>
      <c r="U1469" t="s">
        <v>12568</v>
      </c>
      <c r="V1469" t="s">
        <v>12568</v>
      </c>
      <c r="W1469" t="s">
        <v>14008</v>
      </c>
      <c r="X1469">
        <v>2</v>
      </c>
      <c r="Y1469" t="s">
        <v>20217</v>
      </c>
      <c r="Z1469" t="s">
        <v>26339</v>
      </c>
      <c r="AA1469">
        <v>1.3088935176453249</v>
      </c>
      <c r="AB1469" t="str">
        <f>HYPERLINK("Melting_Curves/meltCurve_P02686_2_MBP.pdf", "Melting_Curves/meltCurve_P02686_2_MBP.pdf")</f>
        <v>Melting_Curves/meltCurve_P02686_2_MBP.pdf</v>
      </c>
    </row>
    <row r="1470" spans="1:28" x14ac:dyDescent="0.25">
      <c r="A1470" t="s">
        <v>1474</v>
      </c>
      <c r="B1470">
        <v>0.99352677808782597</v>
      </c>
      <c r="C1470">
        <v>0.84380300132302399</v>
      </c>
      <c r="D1470">
        <v>0.975140342805071</v>
      </c>
      <c r="E1470">
        <v>0</v>
      </c>
      <c r="F1470">
        <v>0.743159913775575</v>
      </c>
      <c r="G1470">
        <v>0.71440212926624702</v>
      </c>
      <c r="H1470">
        <v>0.58534689283726704</v>
      </c>
      <c r="I1470">
        <v>0.57982266940778204</v>
      </c>
      <c r="J1470">
        <v>0.58543303878686903</v>
      </c>
      <c r="K1470">
        <v>0.52675986407266895</v>
      </c>
      <c r="L1470">
        <v>11632.346603976501</v>
      </c>
      <c r="M1470">
        <v>250</v>
      </c>
      <c r="O1470">
        <v>46.526405694677401</v>
      </c>
      <c r="P1470">
        <v>-0.62657876155512204</v>
      </c>
      <c r="Q1470">
        <v>0.53356064638588196</v>
      </c>
      <c r="R1470">
        <v>0.45737633006298001</v>
      </c>
      <c r="S1470" t="s">
        <v>7755</v>
      </c>
      <c r="T1470" t="s">
        <v>12568</v>
      </c>
      <c r="U1470" t="s">
        <v>12568</v>
      </c>
      <c r="V1470" t="s">
        <v>12568</v>
      </c>
      <c r="W1470" t="s">
        <v>14009</v>
      </c>
      <c r="X1470">
        <v>3</v>
      </c>
      <c r="Y1470" t="s">
        <v>20218</v>
      </c>
      <c r="Z1470" t="s">
        <v>26340</v>
      </c>
      <c r="AA1470">
        <v>0.63511749436447462</v>
      </c>
      <c r="AB1470" t="str">
        <f>HYPERLINK("Melting_Curves/meltCurve_P02751_12_FN1.pdf", "Melting_Curves/meltCurve_P02751_12_FN1.pdf")</f>
        <v>Melting_Curves/meltCurve_P02751_12_FN1.pdf</v>
      </c>
    </row>
    <row r="1471" spans="1:28" x14ac:dyDescent="0.25">
      <c r="A1471" t="s">
        <v>1475</v>
      </c>
      <c r="B1471">
        <v>0.99352677808782597</v>
      </c>
      <c r="C1471">
        <v>0.87793442378729303</v>
      </c>
      <c r="D1471">
        <v>0.94076597442072196</v>
      </c>
      <c r="E1471">
        <v>0.91482910767938697</v>
      </c>
      <c r="F1471">
        <v>0.97579139337031695</v>
      </c>
      <c r="G1471">
        <v>0.84537825195960303</v>
      </c>
      <c r="H1471">
        <v>0.93819075159264498</v>
      </c>
      <c r="I1471">
        <v>0.97916617852578403</v>
      </c>
      <c r="J1471">
        <v>0.70565087960254402</v>
      </c>
      <c r="K1471">
        <v>0.78115023308728904</v>
      </c>
      <c r="L1471">
        <v>224.260152263073</v>
      </c>
      <c r="M1471">
        <v>1.79867743881717</v>
      </c>
      <c r="O1471">
        <v>69.217586370840195</v>
      </c>
      <c r="P1471">
        <v>-7.2428705610186302E-3</v>
      </c>
      <c r="Q1471">
        <v>0</v>
      </c>
      <c r="R1471">
        <v>0.34294636577030202</v>
      </c>
      <c r="S1471" t="s">
        <v>7756</v>
      </c>
      <c r="T1471" t="s">
        <v>12568</v>
      </c>
      <c r="U1471" t="s">
        <v>12568</v>
      </c>
      <c r="V1471" t="s">
        <v>12568</v>
      </c>
      <c r="W1471" t="s">
        <v>14010</v>
      </c>
      <c r="X1471">
        <v>4</v>
      </c>
      <c r="Y1471" t="s">
        <v>20219</v>
      </c>
      <c r="Z1471" t="s">
        <v>26341</v>
      </c>
      <c r="AA1471">
        <v>0.90155609378967227</v>
      </c>
      <c r="AB1471" t="str">
        <f>HYPERLINK("Melting_Curves/meltCurve_P02765_AHSG.pdf", "Melting_Curves/meltCurve_P02765_AHSG.pdf")</f>
        <v>Melting_Curves/meltCurve_P02765_AHSG.pdf</v>
      </c>
    </row>
    <row r="1472" spans="1:28" x14ac:dyDescent="0.25">
      <c r="A1472" t="s">
        <v>1476</v>
      </c>
      <c r="B1472">
        <v>0.99352677808782597</v>
      </c>
      <c r="C1472">
        <v>0.95011358259961298</v>
      </c>
      <c r="D1472">
        <v>1.0691901032220501</v>
      </c>
      <c r="E1472">
        <v>1.1883704968484901</v>
      </c>
      <c r="F1472">
        <v>1.2043225073042201</v>
      </c>
      <c r="G1472">
        <v>1.21223333313933</v>
      </c>
      <c r="H1472">
        <v>0.98617413266142095</v>
      </c>
      <c r="I1472">
        <v>0.71981713298455996</v>
      </c>
      <c r="J1472">
        <v>0.48774784343736999</v>
      </c>
      <c r="K1472">
        <v>0.29506711447342998</v>
      </c>
      <c r="L1472">
        <v>2543.1264779705298</v>
      </c>
      <c r="M1472">
        <v>39.027065789957703</v>
      </c>
      <c r="N1472">
        <v>66.455027653582803</v>
      </c>
      <c r="O1472">
        <v>64.992758621779203</v>
      </c>
      <c r="P1472">
        <v>-0.110210182688665</v>
      </c>
      <c r="Q1472">
        <v>0.26585843260348402</v>
      </c>
      <c r="R1472">
        <v>0.84806711207583696</v>
      </c>
      <c r="S1472" t="s">
        <v>7757</v>
      </c>
      <c r="T1472" t="s">
        <v>12568</v>
      </c>
      <c r="U1472" t="s">
        <v>12568</v>
      </c>
      <c r="V1472" t="s">
        <v>12568</v>
      </c>
      <c r="W1472" t="s">
        <v>14011</v>
      </c>
      <c r="X1472">
        <v>1</v>
      </c>
      <c r="Y1472" t="s">
        <v>20220</v>
      </c>
      <c r="Z1472" t="s">
        <v>26342</v>
      </c>
      <c r="AA1472">
        <v>0.88184677408962409</v>
      </c>
      <c r="AB1472" t="str">
        <f>HYPERLINK("Melting_Curves/meltCurve_P02771_AFP.pdf", "Melting_Curves/meltCurve_P02771_AFP.pdf")</f>
        <v>Melting_Curves/meltCurve_P02771_AFP.pdf</v>
      </c>
    </row>
    <row r="1473" spans="1:28" x14ac:dyDescent="0.25">
      <c r="A1473" t="s">
        <v>1477</v>
      </c>
      <c r="B1473">
        <v>0.99352677808782597</v>
      </c>
      <c r="C1473">
        <v>1.0061384405286899</v>
      </c>
      <c r="D1473">
        <v>1.00781446193026</v>
      </c>
      <c r="E1473">
        <v>0.944831017530675</v>
      </c>
      <c r="F1473">
        <v>0.87423178290885495</v>
      </c>
      <c r="G1473">
        <v>0.76571578794524897</v>
      </c>
      <c r="H1473">
        <v>0.92390332550662702</v>
      </c>
      <c r="I1473">
        <v>0.98134671672583595</v>
      </c>
      <c r="J1473">
        <v>1.1427002033113101</v>
      </c>
      <c r="K1473">
        <v>0.72858545710521205</v>
      </c>
      <c r="L1473">
        <v>12486.4629791843</v>
      </c>
      <c r="M1473">
        <v>250</v>
      </c>
      <c r="O1473">
        <v>49.942657916291097</v>
      </c>
      <c r="P1473">
        <v>-0.12170556797151</v>
      </c>
      <c r="Q1473">
        <v>0.90274721163719296</v>
      </c>
      <c r="R1473">
        <v>0.14864118814008401</v>
      </c>
      <c r="S1473" t="s">
        <v>7758</v>
      </c>
      <c r="T1473" t="s">
        <v>12568</v>
      </c>
      <c r="U1473" t="s">
        <v>12568</v>
      </c>
      <c r="V1473" t="s">
        <v>12568</v>
      </c>
      <c r="W1473" t="s">
        <v>14012</v>
      </c>
      <c r="X1473">
        <v>5</v>
      </c>
      <c r="Y1473" t="s">
        <v>20221</v>
      </c>
      <c r="Z1473" t="s">
        <v>26343</v>
      </c>
      <c r="AA1473">
        <v>0.93499779730339505</v>
      </c>
      <c r="AB1473" t="str">
        <f>HYPERLINK("Melting_Curves/meltCurve_P02774_GC.pdf", "Melting_Curves/meltCurve_P02774_GC.pdf")</f>
        <v>Melting_Curves/meltCurve_P02774_GC.pdf</v>
      </c>
    </row>
    <row r="1474" spans="1:28" x14ac:dyDescent="0.25">
      <c r="A1474" t="s">
        <v>1478</v>
      </c>
      <c r="B1474">
        <v>0.99352677808782597</v>
      </c>
      <c r="C1474">
        <v>0.950982186455543</v>
      </c>
      <c r="D1474">
        <v>0.83206643215238996</v>
      </c>
      <c r="E1474">
        <v>0.74087067163699205</v>
      </c>
      <c r="F1474">
        <v>0.61106779635375097</v>
      </c>
      <c r="G1474">
        <v>0.51561363824799999</v>
      </c>
      <c r="H1474">
        <v>0.52695142638971304</v>
      </c>
      <c r="I1474">
        <v>0.30278500917517898</v>
      </c>
      <c r="J1474">
        <v>0.151067487460426</v>
      </c>
      <c r="K1474">
        <v>0.101301593494398</v>
      </c>
      <c r="L1474">
        <v>464.24821314968301</v>
      </c>
      <c r="M1474">
        <v>8.1358303260419707</v>
      </c>
      <c r="N1474">
        <v>57.062155838170298</v>
      </c>
      <c r="O1474">
        <v>53.925330002564003</v>
      </c>
      <c r="P1474">
        <v>-3.7758099419185898E-2</v>
      </c>
      <c r="Q1474">
        <v>0</v>
      </c>
      <c r="R1474">
        <v>0.95328303642198997</v>
      </c>
      <c r="S1474" t="s">
        <v>7759</v>
      </c>
      <c r="T1474" t="s">
        <v>12568</v>
      </c>
      <c r="U1474" t="s">
        <v>12568</v>
      </c>
      <c r="V1474" t="s">
        <v>12568</v>
      </c>
      <c r="W1474" t="s">
        <v>14013</v>
      </c>
      <c r="X1474">
        <v>15</v>
      </c>
      <c r="Y1474" t="s">
        <v>20222</v>
      </c>
      <c r="Z1474" t="s">
        <v>26344</v>
      </c>
      <c r="AA1474">
        <v>0.58061304970054584</v>
      </c>
      <c r="AB1474" t="str">
        <f>HYPERLINK("Melting_Curves/meltCurve_P02786_TFRC.pdf", "Melting_Curves/meltCurve_P02786_TFRC.pdf")</f>
        <v>Melting_Curves/meltCurve_P02786_TFRC.pdf</v>
      </c>
    </row>
    <row r="1475" spans="1:28" x14ac:dyDescent="0.25">
      <c r="A1475" t="s">
        <v>1479</v>
      </c>
      <c r="B1475">
        <v>0.99352677808782597</v>
      </c>
      <c r="C1475">
        <v>1.00749490505886</v>
      </c>
      <c r="D1475">
        <v>0.86209878278879604</v>
      </c>
      <c r="E1475">
        <v>0.97685000374834996</v>
      </c>
      <c r="F1475">
        <v>0.82317792151982405</v>
      </c>
      <c r="G1475">
        <v>0.52911391496060101</v>
      </c>
      <c r="H1475">
        <v>0.63102475824280901</v>
      </c>
      <c r="I1475">
        <v>0.42252080825183902</v>
      </c>
      <c r="J1475">
        <v>0.42845999844868499</v>
      </c>
      <c r="K1475">
        <v>0.31288996375752098</v>
      </c>
      <c r="L1475">
        <v>600.90561174694096</v>
      </c>
      <c r="M1475">
        <v>10.3040028872208</v>
      </c>
      <c r="N1475">
        <v>62.044595077893199</v>
      </c>
      <c r="O1475">
        <v>56.249284289755202</v>
      </c>
      <c r="P1475">
        <v>-3.5244270728015399E-2</v>
      </c>
      <c r="Q1475">
        <v>0.23074335885787201</v>
      </c>
      <c r="R1475">
        <v>0.92148841705433004</v>
      </c>
      <c r="S1475" t="s">
        <v>7760</v>
      </c>
      <c r="T1475" t="s">
        <v>12568</v>
      </c>
      <c r="U1475" t="s">
        <v>12568</v>
      </c>
      <c r="V1475" t="s">
        <v>12568</v>
      </c>
      <c r="W1475" t="s">
        <v>14014</v>
      </c>
      <c r="X1475">
        <v>3</v>
      </c>
      <c r="Y1475" t="s">
        <v>20223</v>
      </c>
      <c r="Z1475" t="s">
        <v>26345</v>
      </c>
      <c r="AA1475">
        <v>0.70706355781888797</v>
      </c>
      <c r="AB1475" t="str">
        <f>HYPERLINK("Melting_Curves/meltCurve_P02792_FTL.pdf", "Melting_Curves/meltCurve_P02792_FTL.pdf")</f>
        <v>Melting_Curves/meltCurve_P02792_FTL.pdf</v>
      </c>
    </row>
    <row r="1476" spans="1:28" x14ac:dyDescent="0.25">
      <c r="A1476" t="s">
        <v>1480</v>
      </c>
      <c r="B1476">
        <v>0.99352677808782597</v>
      </c>
      <c r="C1476">
        <v>0.99371579715067304</v>
      </c>
      <c r="D1476">
        <v>1.0213156209043599</v>
      </c>
      <c r="E1476">
        <v>0.59141101785677297</v>
      </c>
      <c r="F1476">
        <v>0.49069678368718</v>
      </c>
      <c r="G1476">
        <v>0.330035954725026</v>
      </c>
      <c r="H1476">
        <v>0.34538966274469401</v>
      </c>
      <c r="I1476">
        <v>0.30569798082465099</v>
      </c>
      <c r="J1476">
        <v>0.27744008906280598</v>
      </c>
      <c r="K1476">
        <v>0.21154134671448499</v>
      </c>
      <c r="L1476">
        <v>1259.4257939507099</v>
      </c>
      <c r="M1476">
        <v>25.096244873708699</v>
      </c>
      <c r="N1476">
        <v>51.9607934144273</v>
      </c>
      <c r="O1476">
        <v>49.868448022824097</v>
      </c>
      <c r="P1476">
        <v>-8.9573658318707797E-2</v>
      </c>
      <c r="Q1476">
        <v>0.28804642713513401</v>
      </c>
      <c r="R1476">
        <v>0.97485633466024701</v>
      </c>
      <c r="S1476" t="s">
        <v>7761</v>
      </c>
      <c r="T1476" t="s">
        <v>12568</v>
      </c>
      <c r="U1476" t="s">
        <v>12568</v>
      </c>
      <c r="V1476" t="s">
        <v>12568</v>
      </c>
      <c r="W1476" t="s">
        <v>14015</v>
      </c>
      <c r="X1476">
        <v>6</v>
      </c>
      <c r="Y1476" t="s">
        <v>20224</v>
      </c>
      <c r="Z1476" t="s">
        <v>26346</v>
      </c>
      <c r="AA1476">
        <v>0.53605344021641643</v>
      </c>
      <c r="AB1476" t="str">
        <f>HYPERLINK("Melting_Curves/meltCurve_P02794_FTH1.pdf", "Melting_Curves/meltCurve_P02794_FTH1.pdf")</f>
        <v>Melting_Curves/meltCurve_P02794_FTH1.pdf</v>
      </c>
    </row>
    <row r="1477" spans="1:28" x14ac:dyDescent="0.25">
      <c r="A1477" t="s">
        <v>1481</v>
      </c>
      <c r="B1477">
        <v>0.99352677808782597</v>
      </c>
      <c r="C1477">
        <v>0.83542317717961101</v>
      </c>
      <c r="D1477">
        <v>1.02487626992832</v>
      </c>
      <c r="E1477">
        <v>1.43545828346944</v>
      </c>
      <c r="F1477">
        <v>1.4961981360819301</v>
      </c>
      <c r="G1477">
        <v>1.91865865867782</v>
      </c>
      <c r="H1477">
        <v>2.2706664925242102</v>
      </c>
      <c r="I1477">
        <v>2.48198089117151</v>
      </c>
      <c r="J1477">
        <v>2.1417188341656299</v>
      </c>
      <c r="K1477">
        <v>2.0713526386439201</v>
      </c>
      <c r="L1477">
        <v>2944.62456646694</v>
      </c>
      <c r="M1477">
        <v>60.828461029326199</v>
      </c>
      <c r="O1477">
        <v>48.356426855967001</v>
      </c>
      <c r="P1477">
        <v>0.157239919217668</v>
      </c>
      <c r="Q1477">
        <v>1.5</v>
      </c>
      <c r="R1477">
        <v>0.19929143342341901</v>
      </c>
      <c r="S1477" t="s">
        <v>7762</v>
      </c>
      <c r="T1477" t="s">
        <v>12568</v>
      </c>
      <c r="U1477" t="s">
        <v>12568</v>
      </c>
      <c r="V1477" t="s">
        <v>12568</v>
      </c>
      <c r="W1477" t="s">
        <v>14016</v>
      </c>
      <c r="X1477">
        <v>6</v>
      </c>
      <c r="Y1477" t="s">
        <v>20225</v>
      </c>
      <c r="Z1477" t="s">
        <v>26347</v>
      </c>
      <c r="AA1477">
        <v>1.3591355049489151</v>
      </c>
      <c r="AB1477" t="str">
        <f>HYPERLINK("Melting_Curves/meltCurve_P02795_MT2A.pdf", "Melting_Curves/meltCurve_P02795_MT2A.pdf")</f>
        <v>Melting_Curves/meltCurve_P02795_MT2A.pdf</v>
      </c>
    </row>
    <row r="1478" spans="1:28" x14ac:dyDescent="0.25">
      <c r="A1478" t="s">
        <v>1482</v>
      </c>
      <c r="B1478">
        <v>0.99352677808782597</v>
      </c>
      <c r="C1478">
        <v>1.1009208598273701</v>
      </c>
      <c r="D1478">
        <v>0.99325901210498402</v>
      </c>
      <c r="E1478">
        <v>0.95524440333640903</v>
      </c>
      <c r="F1478">
        <v>0.83683869483964402</v>
      </c>
      <c r="G1478">
        <v>0.65486604051001696</v>
      </c>
      <c r="H1478">
        <v>0.39248413007643101</v>
      </c>
      <c r="I1478">
        <v>0.142999280921975</v>
      </c>
      <c r="J1478">
        <v>6.0435061425810802E-2</v>
      </c>
      <c r="K1478">
        <v>4.85061504547359E-2</v>
      </c>
      <c r="L1478">
        <v>1085.5490210330599</v>
      </c>
      <c r="M1478">
        <v>18.4539778167325</v>
      </c>
      <c r="N1478">
        <v>58.824663508603102</v>
      </c>
      <c r="O1478">
        <v>58.146953345437197</v>
      </c>
      <c r="P1478">
        <v>-7.9345530813888704E-2</v>
      </c>
      <c r="Q1478">
        <v>0</v>
      </c>
      <c r="R1478">
        <v>0.98847871121247299</v>
      </c>
      <c r="S1478" t="s">
        <v>7763</v>
      </c>
      <c r="T1478" t="s">
        <v>12568</v>
      </c>
      <c r="U1478" t="s">
        <v>12568</v>
      </c>
      <c r="V1478" t="s">
        <v>12568</v>
      </c>
      <c r="W1478" t="s">
        <v>14017</v>
      </c>
      <c r="X1478">
        <v>4</v>
      </c>
      <c r="Y1478" t="s">
        <v>20226</v>
      </c>
      <c r="Z1478" t="s">
        <v>26348</v>
      </c>
      <c r="AA1478">
        <v>0.63830751459320989</v>
      </c>
      <c r="AB1478" t="str">
        <f>HYPERLINK("Melting_Curves/meltCurve_P04066_FUCA1.pdf", "Melting_Curves/meltCurve_P04066_FUCA1.pdf")</f>
        <v>Melting_Curves/meltCurve_P04066_FUCA1.pdf</v>
      </c>
    </row>
    <row r="1479" spans="1:28" x14ac:dyDescent="0.25">
      <c r="A1479" t="s">
        <v>1483</v>
      </c>
      <c r="B1479">
        <v>0.99352677808782597</v>
      </c>
      <c r="C1479">
        <v>1.02391051617</v>
      </c>
      <c r="D1479">
        <v>0.91785114109466504</v>
      </c>
      <c r="E1479">
        <v>0.90074538036414298</v>
      </c>
      <c r="F1479">
        <v>0.83133734263384695</v>
      </c>
      <c r="G1479">
        <v>0.76372195662887798</v>
      </c>
      <c r="H1479">
        <v>1.05560746024206</v>
      </c>
      <c r="I1479">
        <v>0.74635383638865704</v>
      </c>
      <c r="J1479">
        <v>0.190450826450312</v>
      </c>
      <c r="K1479">
        <v>8.7891099014039298E-2</v>
      </c>
      <c r="L1479">
        <v>4546.48236007377</v>
      </c>
      <c r="M1479">
        <v>70.044971197216498</v>
      </c>
      <c r="N1479">
        <v>65.090948116462897</v>
      </c>
      <c r="O1479">
        <v>64.855201782814305</v>
      </c>
      <c r="P1479">
        <v>-0.24588546254145599</v>
      </c>
      <c r="Q1479">
        <v>8.9330897996914696E-2</v>
      </c>
      <c r="R1479">
        <v>0.89779761069694297</v>
      </c>
      <c r="S1479" t="s">
        <v>7764</v>
      </c>
      <c r="T1479" t="s">
        <v>12568</v>
      </c>
      <c r="U1479" t="s">
        <v>12568</v>
      </c>
      <c r="V1479" t="s">
        <v>12568</v>
      </c>
      <c r="W1479" t="s">
        <v>14018</v>
      </c>
      <c r="X1479">
        <v>38</v>
      </c>
      <c r="Y1479" t="s">
        <v>19459</v>
      </c>
      <c r="Z1479" t="s">
        <v>26349</v>
      </c>
      <c r="AA1479">
        <v>0.84654921365308822</v>
      </c>
      <c r="AB1479" t="str">
        <f>HYPERLINK("Melting_Curves/meltCurve_P04075_ALDOA.pdf", "Melting_Curves/meltCurve_P04075_ALDOA.pdf")</f>
        <v>Melting_Curves/meltCurve_P04075_ALDOA.pdf</v>
      </c>
    </row>
    <row r="1480" spans="1:28" x14ac:dyDescent="0.25">
      <c r="A1480" t="s">
        <v>1484</v>
      </c>
      <c r="B1480">
        <v>0.99352677808782597</v>
      </c>
      <c r="C1480">
        <v>1.09023152462559</v>
      </c>
      <c r="D1480">
        <v>1.25537252682061</v>
      </c>
      <c r="E1480">
        <v>0.92204980309457096</v>
      </c>
      <c r="F1480">
        <v>0.72996875914966797</v>
      </c>
      <c r="G1480">
        <v>0.63699938275053603</v>
      </c>
      <c r="H1480">
        <v>0.48329815863598302</v>
      </c>
      <c r="I1480">
        <v>0.41383954458942002</v>
      </c>
      <c r="J1480">
        <v>0.44171132679721797</v>
      </c>
      <c r="K1480">
        <v>0.31418315103123301</v>
      </c>
      <c r="L1480">
        <v>1038.1429184680701</v>
      </c>
      <c r="M1480">
        <v>18.751883163876101</v>
      </c>
      <c r="N1480">
        <v>59.627324052435903</v>
      </c>
      <c r="O1480">
        <v>54.743969894691197</v>
      </c>
      <c r="P1480">
        <v>-5.4015827888505202E-2</v>
      </c>
      <c r="Q1480">
        <v>0.36925437715763398</v>
      </c>
      <c r="R1480">
        <v>0.89774219600900595</v>
      </c>
      <c r="S1480" t="s">
        <v>7765</v>
      </c>
      <c r="T1480" t="s">
        <v>12568</v>
      </c>
      <c r="U1480" t="s">
        <v>12568</v>
      </c>
      <c r="V1480" t="s">
        <v>12568</v>
      </c>
      <c r="W1480" t="s">
        <v>14019</v>
      </c>
      <c r="X1480">
        <v>6</v>
      </c>
      <c r="Y1480" t="s">
        <v>20227</v>
      </c>
      <c r="Z1480" t="s">
        <v>26350</v>
      </c>
      <c r="AA1480">
        <v>0.70133859713434366</v>
      </c>
      <c r="AB1480" t="str">
        <f>HYPERLINK("Melting_Curves/meltCurve_P04080_CSTB.pdf", "Melting_Curves/meltCurve_P04080_CSTB.pdf")</f>
        <v>Melting_Curves/meltCurve_P04080_CSTB.pdf</v>
      </c>
    </row>
    <row r="1481" spans="1:28" x14ac:dyDescent="0.25">
      <c r="A1481" t="s">
        <v>1485</v>
      </c>
      <c r="B1481">
        <v>0.99352677808782597</v>
      </c>
      <c r="C1481">
        <v>0.71942168337177703</v>
      </c>
      <c r="D1481">
        <v>1.0314538653766101</v>
      </c>
      <c r="E1481">
        <v>0.24038706394075199</v>
      </c>
      <c r="F1481">
        <v>0.14865724777304801</v>
      </c>
      <c r="G1481">
        <v>7.9443369909773701E-2</v>
      </c>
      <c r="H1481">
        <v>5.7563928329548902E-2</v>
      </c>
      <c r="I1481">
        <v>5.5459555991145E-2</v>
      </c>
      <c r="J1481">
        <v>4.6437957423988201E-2</v>
      </c>
      <c r="K1481">
        <v>3.4142600283616403E-2</v>
      </c>
      <c r="L1481">
        <v>4207.0786022230805</v>
      </c>
      <c r="M1481">
        <v>85.623132764208606</v>
      </c>
      <c r="N1481">
        <v>49.221213181757598</v>
      </c>
      <c r="O1481">
        <v>49.108036971388003</v>
      </c>
      <c r="P1481">
        <v>-0.40548747985907402</v>
      </c>
      <c r="Q1481">
        <v>6.9751466413449495E-2</v>
      </c>
      <c r="R1481">
        <v>0.94140013322932803</v>
      </c>
      <c r="S1481" t="s">
        <v>7766</v>
      </c>
      <c r="T1481" t="s">
        <v>12568</v>
      </c>
      <c r="U1481" t="s">
        <v>12568</v>
      </c>
      <c r="V1481" t="s">
        <v>12568</v>
      </c>
      <c r="W1481" t="s">
        <v>14020</v>
      </c>
      <c r="X1481">
        <v>37</v>
      </c>
      <c r="Y1481" t="s">
        <v>20228</v>
      </c>
      <c r="Z1481" t="s">
        <v>26351</v>
      </c>
      <c r="AA1481">
        <v>0.35369205623332761</v>
      </c>
      <c r="AB1481" t="str">
        <f>HYPERLINK("Melting_Curves/meltCurve_P04083_ANXA1.pdf", "Melting_Curves/meltCurve_P04083_ANXA1.pdf")</f>
        <v>Melting_Curves/meltCurve_P04083_ANXA1.pdf</v>
      </c>
    </row>
    <row r="1482" spans="1:28" x14ac:dyDescent="0.25">
      <c r="A1482" t="s">
        <v>1486</v>
      </c>
      <c r="B1482">
        <v>0.99352677808782597</v>
      </c>
      <c r="C1482">
        <v>0.93063083367709998</v>
      </c>
      <c r="D1482">
        <v>1.08379210902722</v>
      </c>
      <c r="E1482">
        <v>1.13992118153624</v>
      </c>
      <c r="F1482">
        <v>1.47652302214619</v>
      </c>
      <c r="G1482">
        <v>1.44479747136564</v>
      </c>
      <c r="H1482">
        <v>1.2125353660782801</v>
      </c>
      <c r="I1482">
        <v>1.67519628929071</v>
      </c>
      <c r="J1482">
        <v>1.66384272040595</v>
      </c>
      <c r="K1482">
        <v>1.602261720719</v>
      </c>
      <c r="L1482">
        <v>3302.5626663409298</v>
      </c>
      <c r="M1482">
        <v>65.121741279267795</v>
      </c>
      <c r="O1482">
        <v>50.665923201686098</v>
      </c>
      <c r="P1482">
        <v>0.16066462470829801</v>
      </c>
      <c r="Q1482">
        <v>1.5</v>
      </c>
      <c r="R1482">
        <v>0.77088879719148895</v>
      </c>
      <c r="S1482" t="s">
        <v>7767</v>
      </c>
      <c r="T1482" t="s">
        <v>12568</v>
      </c>
      <c r="U1482" t="s">
        <v>12568</v>
      </c>
      <c r="V1482" t="s">
        <v>12568</v>
      </c>
      <c r="W1482" t="s">
        <v>14021</v>
      </c>
      <c r="X1482">
        <v>2</v>
      </c>
      <c r="Y1482" t="s">
        <v>20229</v>
      </c>
      <c r="Z1482" t="s">
        <v>26352</v>
      </c>
      <c r="AA1482">
        <v>1.320780945289755</v>
      </c>
      <c r="AB1482" t="str">
        <f>HYPERLINK("Melting_Curves/meltCurve_P04114_APOB.pdf", "Melting_Curves/meltCurve_P04114_APOB.pdf")</f>
        <v>Melting_Curves/meltCurve_P04114_APOB.pdf</v>
      </c>
    </row>
    <row r="1483" spans="1:28" x14ac:dyDescent="0.25">
      <c r="A1483" t="s">
        <v>1487</v>
      </c>
      <c r="B1483">
        <v>0.99352677808782597</v>
      </c>
      <c r="C1483">
        <v>0.97952937112448801</v>
      </c>
      <c r="D1483">
        <v>1.04413485300737</v>
      </c>
      <c r="E1483">
        <v>0.955150592804067</v>
      </c>
      <c r="F1483">
        <v>0.81717734163940403</v>
      </c>
      <c r="G1483">
        <v>0.773995453772929</v>
      </c>
      <c r="H1483">
        <v>0.68656524814225395</v>
      </c>
      <c r="I1483">
        <v>0.73788431008795596</v>
      </c>
      <c r="J1483">
        <v>0.75020027264743605</v>
      </c>
      <c r="K1483">
        <v>0.66222612553230298</v>
      </c>
      <c r="L1483">
        <v>1625.9756373969699</v>
      </c>
      <c r="M1483">
        <v>31.015518692974101</v>
      </c>
      <c r="O1483">
        <v>52.2080918032025</v>
      </c>
      <c r="P1483">
        <v>-4.2367443719795103E-2</v>
      </c>
      <c r="Q1483">
        <v>0.71473496378579404</v>
      </c>
      <c r="R1483">
        <v>0.94358216928803795</v>
      </c>
      <c r="S1483" t="s">
        <v>7768</v>
      </c>
      <c r="T1483" t="s">
        <v>12568</v>
      </c>
      <c r="U1483" t="s">
        <v>12568</v>
      </c>
      <c r="V1483" t="s">
        <v>12568</v>
      </c>
      <c r="W1483" t="s">
        <v>14022</v>
      </c>
      <c r="X1483">
        <v>20</v>
      </c>
      <c r="Y1483" t="s">
        <v>20230</v>
      </c>
      <c r="Z1483" t="s">
        <v>26353</v>
      </c>
      <c r="AA1483">
        <v>0.83459594976400053</v>
      </c>
      <c r="AB1483" t="str">
        <f>HYPERLINK("Melting_Curves/meltCurve_P04150_2_NR3C1.pdf", "Melting_Curves/meltCurve_P04150_2_NR3C1.pdf")</f>
        <v>Melting_Curves/meltCurve_P04150_2_NR3C1.pdf</v>
      </c>
    </row>
    <row r="1484" spans="1:28" x14ac:dyDescent="0.25">
      <c r="A1484" t="s">
        <v>1488</v>
      </c>
      <c r="B1484">
        <v>0.99352677808782597</v>
      </c>
      <c r="C1484">
        <v>0.94031608211113105</v>
      </c>
      <c r="D1484">
        <v>0.99853902183321497</v>
      </c>
      <c r="E1484">
        <v>0.97391052798694699</v>
      </c>
      <c r="F1484">
        <v>0.87100901695059196</v>
      </c>
      <c r="G1484">
        <v>0.79945000571656899</v>
      </c>
      <c r="H1484">
        <v>0.67737475331278496</v>
      </c>
      <c r="I1484">
        <v>0.74255250581388599</v>
      </c>
      <c r="J1484">
        <v>0.83617463815189896</v>
      </c>
      <c r="K1484">
        <v>0.69017961688956697</v>
      </c>
      <c r="L1484">
        <v>1560.4736495933</v>
      </c>
      <c r="M1484">
        <v>29.2822585607693</v>
      </c>
      <c r="O1484">
        <v>53.044066655477202</v>
      </c>
      <c r="P1484">
        <v>-3.5949223670450801E-2</v>
      </c>
      <c r="Q1484">
        <v>0.73951743845181195</v>
      </c>
      <c r="R1484">
        <v>0.84759007689284405</v>
      </c>
      <c r="S1484" t="s">
        <v>7769</v>
      </c>
      <c r="T1484" t="s">
        <v>12568</v>
      </c>
      <c r="U1484" t="s">
        <v>12568</v>
      </c>
      <c r="V1484" t="s">
        <v>12568</v>
      </c>
      <c r="W1484" t="s">
        <v>14023</v>
      </c>
      <c r="X1484">
        <v>1</v>
      </c>
      <c r="Y1484" t="s">
        <v>20231</v>
      </c>
      <c r="Z1484" t="s">
        <v>26354</v>
      </c>
      <c r="AA1484">
        <v>0.85669559021698194</v>
      </c>
      <c r="AB1484" t="str">
        <f>HYPERLINK("Melting_Curves/meltCurve_P04156_2_PRNP.pdf", "Melting_Curves/meltCurve_P04156_2_PRNP.pdf")</f>
        <v>Melting_Curves/meltCurve_P04156_2_PRNP.pdf</v>
      </c>
    </row>
    <row r="1485" spans="1:28" x14ac:dyDescent="0.25">
      <c r="A1485" t="s">
        <v>1489</v>
      </c>
      <c r="B1485">
        <v>0.99352677808782597</v>
      </c>
      <c r="C1485">
        <v>0.83840054072165904</v>
      </c>
      <c r="D1485">
        <v>0.71038748472533197</v>
      </c>
      <c r="E1485">
        <v>0.35675652405833802</v>
      </c>
      <c r="F1485">
        <v>0.28071360352924701</v>
      </c>
      <c r="G1485">
        <v>0.15687451371920699</v>
      </c>
      <c r="H1485">
        <v>7.2474728001641106E-2</v>
      </c>
      <c r="I1485">
        <v>5.3341970275236801E-2</v>
      </c>
      <c r="J1485">
        <v>4.7946394065418702E-2</v>
      </c>
      <c r="K1485">
        <v>3.27056924084533E-2</v>
      </c>
      <c r="L1485">
        <v>684.93363302895602</v>
      </c>
      <c r="M1485">
        <v>14.157504329674801</v>
      </c>
      <c r="N1485">
        <v>48.593682252411398</v>
      </c>
      <c r="O1485">
        <v>47.444985833305502</v>
      </c>
      <c r="P1485">
        <v>-7.2352814624197195E-2</v>
      </c>
      <c r="Q1485">
        <v>3.0240526833218598E-2</v>
      </c>
      <c r="R1485">
        <v>0.99394041696209501</v>
      </c>
      <c r="S1485" t="s">
        <v>7770</v>
      </c>
      <c r="T1485" t="s">
        <v>12568</v>
      </c>
      <c r="U1485" t="s">
        <v>12568</v>
      </c>
      <c r="V1485" t="s">
        <v>12568</v>
      </c>
      <c r="W1485" t="s">
        <v>14024</v>
      </c>
      <c r="X1485">
        <v>9</v>
      </c>
      <c r="Y1485" t="s">
        <v>20232</v>
      </c>
      <c r="Z1485" t="s">
        <v>26355</v>
      </c>
      <c r="AA1485">
        <v>0.32852588752961959</v>
      </c>
      <c r="AB1485" t="str">
        <f>HYPERLINK("Melting_Curves/meltCurve_P04181_OAT.pdf", "Melting_Curves/meltCurve_P04181_OAT.pdf")</f>
        <v>Melting_Curves/meltCurve_P04181_OAT.pdf</v>
      </c>
    </row>
    <row r="1486" spans="1:28" x14ac:dyDescent="0.25">
      <c r="A1486" t="s">
        <v>1490</v>
      </c>
      <c r="B1486">
        <v>0.99352677808782597</v>
      </c>
      <c r="C1486">
        <v>1.00761401337114</v>
      </c>
      <c r="D1486">
        <v>0.94905570103090298</v>
      </c>
      <c r="E1486">
        <v>0.85507973259982095</v>
      </c>
      <c r="F1486">
        <v>0.72324475052174497</v>
      </c>
      <c r="G1486">
        <v>0.58496986360696501</v>
      </c>
      <c r="H1486">
        <v>0.66936989657186496</v>
      </c>
      <c r="I1486">
        <v>0.65804103526687097</v>
      </c>
      <c r="J1486">
        <v>0.83608434987372005</v>
      </c>
      <c r="K1486">
        <v>0.55658717620698595</v>
      </c>
      <c r="L1486">
        <v>1656.90771284675</v>
      </c>
      <c r="M1486">
        <v>32.943633615032901</v>
      </c>
      <c r="O1486">
        <v>50.110989338388599</v>
      </c>
      <c r="P1486">
        <v>-5.5629924635275101E-2</v>
      </c>
      <c r="Q1486">
        <v>0.66152389944377399</v>
      </c>
      <c r="R1486">
        <v>0.80219720253147098</v>
      </c>
      <c r="S1486" t="s">
        <v>7771</v>
      </c>
      <c r="T1486" t="s">
        <v>12568</v>
      </c>
      <c r="U1486" t="s">
        <v>12568</v>
      </c>
      <c r="V1486" t="s">
        <v>12568</v>
      </c>
      <c r="W1486" t="s">
        <v>14025</v>
      </c>
      <c r="X1486">
        <v>17</v>
      </c>
      <c r="Y1486" t="s">
        <v>20233</v>
      </c>
      <c r="Z1486" t="s">
        <v>26356</v>
      </c>
      <c r="AA1486">
        <v>0.77942168919160892</v>
      </c>
      <c r="AB1486" t="str">
        <f>HYPERLINK("Melting_Curves/meltCurve_P04183_TK1.pdf", "Melting_Curves/meltCurve_P04183_TK1.pdf")</f>
        <v>Melting_Curves/meltCurve_P04183_TK1.pdf</v>
      </c>
    </row>
    <row r="1487" spans="1:28" x14ac:dyDescent="0.25">
      <c r="A1487" t="s">
        <v>1491</v>
      </c>
      <c r="B1487">
        <v>0.99352677808782597</v>
      </c>
      <c r="C1487">
        <v>1.8874523361979201</v>
      </c>
      <c r="D1487">
        <v>0.524753348001464</v>
      </c>
      <c r="E1487">
        <v>0.78298959069381202</v>
      </c>
      <c r="F1487">
        <v>0.384137398219628</v>
      </c>
      <c r="G1487">
        <v>0.47124340354489302</v>
      </c>
      <c r="H1487">
        <v>0.38039530880394901</v>
      </c>
      <c r="I1487">
        <v>0.31626216008269797</v>
      </c>
      <c r="J1487">
        <v>0.33021583995100801</v>
      </c>
      <c r="K1487">
        <v>0.22770470166128601</v>
      </c>
      <c r="L1487">
        <v>1098.42592301169</v>
      </c>
      <c r="M1487">
        <v>21.961622806541001</v>
      </c>
      <c r="N1487">
        <v>52.500568274710403</v>
      </c>
      <c r="O1487">
        <v>49.606544230691</v>
      </c>
      <c r="P1487">
        <v>-7.4912012459392496E-2</v>
      </c>
      <c r="Q1487">
        <v>0.32317523879735299</v>
      </c>
      <c r="R1487">
        <v>0.54814976977558405</v>
      </c>
      <c r="S1487" t="s">
        <v>7772</v>
      </c>
      <c r="T1487" t="s">
        <v>12568</v>
      </c>
      <c r="U1487" t="s">
        <v>12568</v>
      </c>
      <c r="V1487" t="s">
        <v>12568</v>
      </c>
      <c r="W1487" t="s">
        <v>14026</v>
      </c>
      <c r="X1487">
        <v>15</v>
      </c>
      <c r="Y1487" t="s">
        <v>20234</v>
      </c>
      <c r="Z1487" t="s">
        <v>26357</v>
      </c>
      <c r="AA1487">
        <v>0.55697567100571466</v>
      </c>
      <c r="AB1487" t="str">
        <f>HYPERLINK("Melting_Curves/meltCurve_P04259_KRT6B.pdf", "Melting_Curves/meltCurve_P04259_KRT6B.pdf")</f>
        <v>Melting_Curves/meltCurve_P04259_KRT6B.pdf</v>
      </c>
    </row>
    <row r="1488" spans="1:28" x14ac:dyDescent="0.25">
      <c r="A1488" t="s">
        <v>1492</v>
      </c>
      <c r="B1488">
        <v>0.99352677808782597</v>
      </c>
      <c r="C1488">
        <v>0.32401277571464199</v>
      </c>
      <c r="D1488">
        <v>0.29433228746951001</v>
      </c>
      <c r="E1488">
        <v>0.321237073502462</v>
      </c>
      <c r="F1488">
        <v>0.33441275821206701</v>
      </c>
      <c r="G1488">
        <v>0.243345334153655</v>
      </c>
      <c r="H1488">
        <v>0.38517675747283803</v>
      </c>
      <c r="I1488">
        <v>0.25593118187831398</v>
      </c>
      <c r="J1488">
        <v>0.242644174835598</v>
      </c>
      <c r="K1488">
        <v>0.14757590932352499</v>
      </c>
      <c r="L1488">
        <v>4363.7739933713701</v>
      </c>
      <c r="M1488">
        <v>104.40759810278099</v>
      </c>
      <c r="N1488">
        <v>42.123278480665199</v>
      </c>
      <c r="O1488">
        <v>41.780228838000902</v>
      </c>
      <c r="P1488">
        <v>-0.45101994017198099</v>
      </c>
      <c r="Q1488">
        <v>0.27807104190288701</v>
      </c>
      <c r="R1488">
        <v>0.92541497841766296</v>
      </c>
      <c r="S1488" t="s">
        <v>7773</v>
      </c>
      <c r="T1488" t="s">
        <v>12568</v>
      </c>
      <c r="U1488" t="s">
        <v>12568</v>
      </c>
      <c r="V1488" t="s">
        <v>12568</v>
      </c>
      <c r="W1488" t="s">
        <v>14027</v>
      </c>
      <c r="X1488">
        <v>39</v>
      </c>
      <c r="Y1488" t="s">
        <v>20235</v>
      </c>
      <c r="Z1488" t="s">
        <v>26358</v>
      </c>
      <c r="AA1488">
        <v>0.3216633525220341</v>
      </c>
      <c r="AB1488" t="str">
        <f>HYPERLINK("Melting_Curves/meltCurve_P04264_KRT1.pdf", "Melting_Curves/meltCurve_P04264_KRT1.pdf")</f>
        <v>Melting_Curves/meltCurve_P04264_KRT1.pdf</v>
      </c>
    </row>
    <row r="1489" spans="1:28" x14ac:dyDescent="0.25">
      <c r="A1489" t="s">
        <v>1493</v>
      </c>
      <c r="B1489">
        <v>0.99352677808782597</v>
      </c>
      <c r="C1489">
        <v>0.81248433184913704</v>
      </c>
      <c r="D1489">
        <v>0.87961930128039001</v>
      </c>
      <c r="E1489">
        <v>0.513832585736967</v>
      </c>
      <c r="F1489">
        <v>0.466148893155094</v>
      </c>
      <c r="G1489">
        <v>0.235159118992982</v>
      </c>
      <c r="H1489">
        <v>0.14202575983459201</v>
      </c>
      <c r="I1489">
        <v>0.129996674875828</v>
      </c>
      <c r="J1489">
        <v>0.104848470066536</v>
      </c>
      <c r="K1489">
        <v>8.8499410792319294E-2</v>
      </c>
      <c r="L1489">
        <v>610.74102983420698</v>
      </c>
      <c r="M1489">
        <v>11.9954665458599</v>
      </c>
      <c r="N1489">
        <v>51.343321428933201</v>
      </c>
      <c r="O1489">
        <v>49.5612389225751</v>
      </c>
      <c r="P1489">
        <v>-5.7636912104017002E-2</v>
      </c>
      <c r="Q1489">
        <v>4.7684658176512199E-2</v>
      </c>
      <c r="R1489">
        <v>0.97736198549989395</v>
      </c>
      <c r="S1489" t="s">
        <v>7774</v>
      </c>
      <c r="T1489" t="s">
        <v>12568</v>
      </c>
      <c r="U1489" t="s">
        <v>12568</v>
      </c>
      <c r="V1489" t="s">
        <v>12568</v>
      </c>
      <c r="W1489" t="s">
        <v>14028</v>
      </c>
      <c r="X1489">
        <v>25</v>
      </c>
      <c r="Y1489" t="s">
        <v>19621</v>
      </c>
      <c r="Z1489" t="s">
        <v>26359</v>
      </c>
      <c r="AA1489">
        <v>0.42538560905903178</v>
      </c>
      <c r="AB1489" t="str">
        <f>HYPERLINK("Melting_Curves/meltCurve_P04350_TUBB4A.pdf", "Melting_Curves/meltCurve_P04350_TUBB4A.pdf")</f>
        <v>Melting_Curves/meltCurve_P04350_TUBB4A.pdf</v>
      </c>
    </row>
    <row r="1490" spans="1:28" x14ac:dyDescent="0.25">
      <c r="A1490" t="s">
        <v>1494</v>
      </c>
      <c r="B1490">
        <v>0.99352677808782597</v>
      </c>
      <c r="C1490">
        <v>1.08051628557761</v>
      </c>
      <c r="D1490">
        <v>0.97167600699030998</v>
      </c>
      <c r="E1490">
        <v>0.88208204513440502</v>
      </c>
      <c r="F1490">
        <v>0.70360442234554399</v>
      </c>
      <c r="G1490">
        <v>0.50785504153831096</v>
      </c>
      <c r="H1490">
        <v>0.16029998621782601</v>
      </c>
      <c r="I1490">
        <v>0.111799644473895</v>
      </c>
      <c r="J1490">
        <v>8.9288173329672496E-2</v>
      </c>
      <c r="K1490">
        <v>6.8924376714136801E-2</v>
      </c>
      <c r="L1490">
        <v>965.166716793045</v>
      </c>
      <c r="M1490">
        <v>17.212891787168399</v>
      </c>
      <c r="N1490">
        <v>56.211857177631302</v>
      </c>
      <c r="O1490">
        <v>55.331888740719201</v>
      </c>
      <c r="P1490">
        <v>-7.61488100499709E-2</v>
      </c>
      <c r="Q1490">
        <v>2.0917260965630301E-2</v>
      </c>
      <c r="R1490">
        <v>0.98950675686217104</v>
      </c>
      <c r="S1490" t="s">
        <v>7775</v>
      </c>
      <c r="T1490" t="s">
        <v>12568</v>
      </c>
      <c r="U1490" t="s">
        <v>12568</v>
      </c>
      <c r="V1490" t="s">
        <v>12568</v>
      </c>
      <c r="W1490" t="s">
        <v>14029</v>
      </c>
      <c r="X1490">
        <v>35</v>
      </c>
      <c r="Y1490" t="s">
        <v>20236</v>
      </c>
      <c r="Z1490" t="s">
        <v>26360</v>
      </c>
      <c r="AA1490">
        <v>0.56056200210772844</v>
      </c>
      <c r="AB1490" t="str">
        <f>HYPERLINK("Melting_Curves/meltCurve_P04406_GAPDH.pdf", "Melting_Curves/meltCurve_P04406_GAPDH.pdf")</f>
        <v>Melting_Curves/meltCurve_P04406_GAPDH.pdf</v>
      </c>
    </row>
    <row r="1491" spans="1:28" x14ac:dyDescent="0.25">
      <c r="A1491" t="s">
        <v>1495</v>
      </c>
      <c r="B1491">
        <v>0.99352677808782597</v>
      </c>
      <c r="C1491">
        <v>1.0101880832444801</v>
      </c>
      <c r="D1491">
        <v>0.91197893166347299</v>
      </c>
      <c r="E1491">
        <v>0.88669567913478298</v>
      </c>
      <c r="F1491">
        <v>0.79589928039209601</v>
      </c>
      <c r="G1491">
        <v>0.475655102525257</v>
      </c>
      <c r="H1491">
        <v>0.20369570218837901</v>
      </c>
      <c r="I1491">
        <v>0.22784230770847</v>
      </c>
      <c r="J1491">
        <v>0.15833391200459501</v>
      </c>
      <c r="K1491">
        <v>0.12256116518297699</v>
      </c>
      <c r="L1491">
        <v>1074.03780050045</v>
      </c>
      <c r="M1491">
        <v>19.252118447278399</v>
      </c>
      <c r="N1491">
        <v>56.562302832225399</v>
      </c>
      <c r="O1491">
        <v>55.1965762080007</v>
      </c>
      <c r="P1491">
        <v>-7.7100227665424598E-2</v>
      </c>
      <c r="Q1491">
        <v>0.11583599636591101</v>
      </c>
      <c r="R1491">
        <v>0.99016904015484897</v>
      </c>
      <c r="S1491" t="s">
        <v>7776</v>
      </c>
      <c r="T1491" t="s">
        <v>12568</v>
      </c>
      <c r="U1491" t="s">
        <v>12568</v>
      </c>
      <c r="V1491" t="s">
        <v>12568</v>
      </c>
      <c r="W1491" t="s">
        <v>14030</v>
      </c>
      <c r="X1491">
        <v>9</v>
      </c>
      <c r="Y1491" t="s">
        <v>20237</v>
      </c>
      <c r="Z1491" t="s">
        <v>26361</v>
      </c>
      <c r="AA1491">
        <v>0.59323881224410591</v>
      </c>
      <c r="AB1491" t="str">
        <f>HYPERLINK("Melting_Curves/meltCurve_P04424_ASL.pdf", "Melting_Curves/meltCurve_P04424_ASL.pdf")</f>
        <v>Melting_Curves/meltCurve_P04424_ASL.pdf</v>
      </c>
    </row>
    <row r="1492" spans="1:28" x14ac:dyDescent="0.25">
      <c r="A1492" t="s">
        <v>1496</v>
      </c>
      <c r="B1492">
        <v>0.99352677808782597</v>
      </c>
      <c r="C1492">
        <v>0.97218252873992494</v>
      </c>
      <c r="D1492">
        <v>0.92759624917189398</v>
      </c>
      <c r="E1492">
        <v>0.76969268761549403</v>
      </c>
      <c r="F1492">
        <v>0.65804707176118304</v>
      </c>
      <c r="G1492">
        <v>0.54971461688360901</v>
      </c>
      <c r="H1492">
        <v>0.47863407650662498</v>
      </c>
      <c r="I1492">
        <v>0.40754504983399897</v>
      </c>
      <c r="J1492">
        <v>0.38532827836128503</v>
      </c>
      <c r="K1492">
        <v>0.24572866870781301</v>
      </c>
      <c r="L1492">
        <v>493.64148727792502</v>
      </c>
      <c r="M1492">
        <v>8.8211626932373495</v>
      </c>
      <c r="N1492">
        <v>59.095200845548902</v>
      </c>
      <c r="O1492">
        <v>53.308799176380802</v>
      </c>
      <c r="P1492">
        <v>-3.3666088351952797E-2</v>
      </c>
      <c r="Q1492">
        <v>0.18682206253086001</v>
      </c>
      <c r="R1492">
        <v>0.98420043930200296</v>
      </c>
      <c r="S1492" t="s">
        <v>7777</v>
      </c>
      <c r="T1492" t="s">
        <v>12568</v>
      </c>
      <c r="U1492" t="s">
        <v>12568</v>
      </c>
      <c r="V1492" t="s">
        <v>12568</v>
      </c>
      <c r="W1492" t="s">
        <v>14031</v>
      </c>
      <c r="X1492">
        <v>8</v>
      </c>
      <c r="Y1492" t="s">
        <v>20238</v>
      </c>
      <c r="Z1492" t="s">
        <v>26362</v>
      </c>
      <c r="AA1492">
        <v>0.63647451864214333</v>
      </c>
      <c r="AB1492" t="str">
        <f>HYPERLINK("Melting_Curves/meltCurve_P04626_4_ERBB2.pdf", "Melting_Curves/meltCurve_P04626_4_ERBB2.pdf")</f>
        <v>Melting_Curves/meltCurve_P04626_4_ERBB2.pdf</v>
      </c>
    </row>
    <row r="1493" spans="1:28" x14ac:dyDescent="0.25">
      <c r="A1493" t="s">
        <v>1497</v>
      </c>
      <c r="B1493">
        <v>0.99352677808782597</v>
      </c>
      <c r="C1493">
        <v>0.96002344775485204</v>
      </c>
      <c r="D1493">
        <v>0.86178978373588</v>
      </c>
      <c r="E1493">
        <v>0.95445044609421903</v>
      </c>
      <c r="F1493">
        <v>0.765004737202299</v>
      </c>
      <c r="G1493">
        <v>0.468554836065811</v>
      </c>
      <c r="H1493">
        <v>0.28156992928161201</v>
      </c>
      <c r="I1493">
        <v>0.207068815144442</v>
      </c>
      <c r="J1493">
        <v>0.17305861424642</v>
      </c>
      <c r="K1493">
        <v>9.8812686211532302E-2</v>
      </c>
      <c r="L1493">
        <v>945.64182470420803</v>
      </c>
      <c r="M1493">
        <v>16.834097659054901</v>
      </c>
      <c r="N1493">
        <v>56.8682307030545</v>
      </c>
      <c r="O1493">
        <v>55.399432246006299</v>
      </c>
      <c r="P1493">
        <v>-6.8917077885766204E-2</v>
      </c>
      <c r="Q1493">
        <v>9.2859399115674104E-2</v>
      </c>
      <c r="R1493">
        <v>0.98350282593251703</v>
      </c>
      <c r="S1493" t="s">
        <v>7778</v>
      </c>
      <c r="T1493" t="s">
        <v>12568</v>
      </c>
      <c r="U1493" t="s">
        <v>12568</v>
      </c>
      <c r="V1493" t="s">
        <v>12568</v>
      </c>
      <c r="W1493" t="s">
        <v>14032</v>
      </c>
      <c r="X1493">
        <v>12</v>
      </c>
      <c r="Y1493" t="s">
        <v>20239</v>
      </c>
      <c r="Z1493" t="s">
        <v>26363</v>
      </c>
      <c r="AA1493">
        <v>0.59616147284348919</v>
      </c>
      <c r="AB1493" t="str">
        <f>HYPERLINK("Melting_Curves/meltCurve_P04632_CAPNS1.pdf", "Melting_Curves/meltCurve_P04632_CAPNS1.pdf")</f>
        <v>Melting_Curves/meltCurve_P04632_CAPNS1.pdf</v>
      </c>
    </row>
    <row r="1494" spans="1:28" x14ac:dyDescent="0.25">
      <c r="A1494" t="s">
        <v>1498</v>
      </c>
      <c r="B1494">
        <v>0.99352677808782597</v>
      </c>
      <c r="C1494">
        <v>0.93550312985283601</v>
      </c>
      <c r="D1494">
        <v>1.1791507537639001</v>
      </c>
      <c r="E1494">
        <v>1.2423954787556299</v>
      </c>
      <c r="F1494">
        <v>1.2675797751092901</v>
      </c>
      <c r="G1494">
        <v>1.36891511993149</v>
      </c>
      <c r="H1494">
        <v>1.42145794401658</v>
      </c>
      <c r="I1494">
        <v>1.6702040400721601</v>
      </c>
      <c r="J1494">
        <v>1.6144673851373801</v>
      </c>
      <c r="K1494">
        <v>1.46679873884043</v>
      </c>
      <c r="L1494">
        <v>767.580534958871</v>
      </c>
      <c r="M1494">
        <v>15.124029864479599</v>
      </c>
      <c r="O1494">
        <v>49.8898841362927</v>
      </c>
      <c r="P1494">
        <v>3.7897235043738903E-2</v>
      </c>
      <c r="Q1494">
        <v>1.5</v>
      </c>
      <c r="R1494">
        <v>0.84935700687569404</v>
      </c>
      <c r="S1494" t="s">
        <v>7779</v>
      </c>
      <c r="T1494" t="s">
        <v>12568</v>
      </c>
      <c r="U1494" t="s">
        <v>12568</v>
      </c>
      <c r="V1494" t="s">
        <v>12568</v>
      </c>
      <c r="W1494" t="s">
        <v>14033</v>
      </c>
      <c r="X1494">
        <v>2</v>
      </c>
      <c r="Y1494" t="s">
        <v>20240</v>
      </c>
      <c r="Z1494" t="s">
        <v>26364</v>
      </c>
      <c r="AA1494">
        <v>1.3093114954312131</v>
      </c>
      <c r="AB1494" t="str">
        <f>HYPERLINK("Melting_Curves/meltCurve_P04731_MT1A.pdf", "Melting_Curves/meltCurve_P04731_MT1A.pdf")</f>
        <v>Melting_Curves/meltCurve_P04731_MT1A.pdf</v>
      </c>
    </row>
    <row r="1495" spans="1:28" x14ac:dyDescent="0.25">
      <c r="A1495" t="s">
        <v>1499</v>
      </c>
      <c r="B1495">
        <v>0.99352677808782597</v>
      </c>
      <c r="C1495">
        <v>0.88485939389013701</v>
      </c>
      <c r="D1495">
        <v>1.01249336369611</v>
      </c>
      <c r="E1495">
        <v>1.4583550566539201</v>
      </c>
      <c r="F1495">
        <v>1.7515438635923499</v>
      </c>
      <c r="G1495">
        <v>2.4734922282506102</v>
      </c>
      <c r="H1495">
        <v>2.5798918143708098</v>
      </c>
      <c r="I1495">
        <v>3.0049088115533902</v>
      </c>
      <c r="J1495">
        <v>2.42771345542302</v>
      </c>
      <c r="K1495">
        <v>2.46686342776737</v>
      </c>
      <c r="L1495">
        <v>12380.076489205299</v>
      </c>
      <c r="M1495">
        <v>250</v>
      </c>
      <c r="O1495">
        <v>49.517137115733</v>
      </c>
      <c r="P1495">
        <v>0.63109464599398102</v>
      </c>
      <c r="Q1495">
        <v>1.5</v>
      </c>
      <c r="R1495">
        <v>-0.14306619000656801</v>
      </c>
      <c r="S1495" t="s">
        <v>7780</v>
      </c>
      <c r="T1495" t="s">
        <v>12568</v>
      </c>
      <c r="U1495" t="s">
        <v>12568</v>
      </c>
      <c r="V1495" t="s">
        <v>12568</v>
      </c>
      <c r="W1495" t="s">
        <v>14034</v>
      </c>
      <c r="X1495">
        <v>3</v>
      </c>
      <c r="Y1495" t="s">
        <v>20241</v>
      </c>
      <c r="Z1495" t="s">
        <v>26365</v>
      </c>
      <c r="AA1495">
        <v>1.3412847803698551</v>
      </c>
      <c r="AB1495" t="str">
        <f>HYPERLINK("Melting_Curves/meltCurve_P04733_MT1F.pdf", "Melting_Curves/meltCurve_P04733_MT1F.pdf")</f>
        <v>Melting_Curves/meltCurve_P04733_MT1F.pdf</v>
      </c>
    </row>
    <row r="1496" spans="1:28" x14ac:dyDescent="0.25">
      <c r="A1496" t="s">
        <v>1500</v>
      </c>
      <c r="B1496">
        <v>0.99352677808782597</v>
      </c>
      <c r="C1496">
        <v>0.85449026765268699</v>
      </c>
      <c r="D1496">
        <v>0.75655706474318396</v>
      </c>
      <c r="E1496">
        <v>0.673209672424945</v>
      </c>
      <c r="F1496">
        <v>0.59545585913962495</v>
      </c>
      <c r="G1496">
        <v>0.44711044854611498</v>
      </c>
      <c r="H1496">
        <v>0.36501138309637499</v>
      </c>
      <c r="I1496">
        <v>0.36753575469790101</v>
      </c>
      <c r="J1496">
        <v>0.39951392139958503</v>
      </c>
      <c r="K1496">
        <v>0.48470868632236003</v>
      </c>
      <c r="L1496">
        <v>561.98641444788905</v>
      </c>
      <c r="M1496">
        <v>11.56441968186</v>
      </c>
      <c r="N1496">
        <v>55.303893743025696</v>
      </c>
      <c r="O1496">
        <v>47.211223242974299</v>
      </c>
      <c r="P1496">
        <v>-3.8160126279321901E-2</v>
      </c>
      <c r="Q1496">
        <v>0.37702558709459499</v>
      </c>
      <c r="R1496">
        <v>0.948432393666091</v>
      </c>
      <c r="S1496" t="s">
        <v>7781</v>
      </c>
      <c r="T1496" t="s">
        <v>12568</v>
      </c>
      <c r="U1496" t="s">
        <v>12568</v>
      </c>
      <c r="V1496" t="s">
        <v>12568</v>
      </c>
      <c r="W1496" t="s">
        <v>14035</v>
      </c>
      <c r="X1496">
        <v>20</v>
      </c>
      <c r="Y1496" t="s">
        <v>20242</v>
      </c>
      <c r="Z1496" t="s">
        <v>26366</v>
      </c>
      <c r="AA1496">
        <v>0.58051103496644829</v>
      </c>
      <c r="AB1496" t="str">
        <f>HYPERLINK("Melting_Curves/meltCurve_P04792_HSPB1.pdf", "Melting_Curves/meltCurve_P04792_HSPB1.pdf")</f>
        <v>Melting_Curves/meltCurve_P04792_HSPB1.pdf</v>
      </c>
    </row>
    <row r="1497" spans="1:28" x14ac:dyDescent="0.25">
      <c r="A1497" t="s">
        <v>1501</v>
      </c>
      <c r="B1497">
        <v>0.99352677808782597</v>
      </c>
      <c r="C1497">
        <v>0.90736296586383802</v>
      </c>
      <c r="D1497">
        <v>0.74003968504941198</v>
      </c>
      <c r="E1497">
        <v>0.200254716819042</v>
      </c>
      <c r="F1497">
        <v>0.14915539857876001</v>
      </c>
      <c r="G1497">
        <v>8.4974161293183401E-2</v>
      </c>
      <c r="H1497">
        <v>6.1638699136292503E-2</v>
      </c>
      <c r="I1497">
        <v>5.0878690641262603E-2</v>
      </c>
      <c r="J1497">
        <v>3.7011969399859901E-2</v>
      </c>
      <c r="K1497">
        <v>3.0291125870917899E-2</v>
      </c>
      <c r="L1497">
        <v>1287.3980335912399</v>
      </c>
      <c r="M1497">
        <v>27.157271767315301</v>
      </c>
      <c r="N1497">
        <v>47.604154496189402</v>
      </c>
      <c r="O1497">
        <v>47.150474225674699</v>
      </c>
      <c r="P1497">
        <v>-0.13627153005971099</v>
      </c>
      <c r="Q1497">
        <v>5.3630313354609001E-2</v>
      </c>
      <c r="R1497">
        <v>0.99468813817949298</v>
      </c>
      <c r="S1497" t="s">
        <v>7782</v>
      </c>
      <c r="T1497" t="s">
        <v>12568</v>
      </c>
      <c r="U1497" t="s">
        <v>12568</v>
      </c>
      <c r="V1497" t="s">
        <v>12568</v>
      </c>
      <c r="W1497" t="s">
        <v>14036</v>
      </c>
      <c r="X1497">
        <v>11</v>
      </c>
      <c r="Y1497" t="s">
        <v>20243</v>
      </c>
      <c r="Z1497" t="s">
        <v>26367</v>
      </c>
      <c r="AA1497">
        <v>0.29425644044125249</v>
      </c>
      <c r="AB1497" t="str">
        <f>HYPERLINK("Melting_Curves/meltCurve_P04818_TYMS.pdf", "Melting_Curves/meltCurve_P04818_TYMS.pdf")</f>
        <v>Melting_Curves/meltCurve_P04818_TYMS.pdf</v>
      </c>
    </row>
    <row r="1498" spans="1:28" x14ac:dyDescent="0.25">
      <c r="A1498" t="s">
        <v>1502</v>
      </c>
      <c r="B1498">
        <v>0.99352677808782597</v>
      </c>
      <c r="C1498">
        <v>0.93195354740379899</v>
      </c>
      <c r="D1498">
        <v>0.87732264603512899</v>
      </c>
      <c r="E1498">
        <v>0.42101609367464998</v>
      </c>
      <c r="F1498">
        <v>0.33283009785152101</v>
      </c>
      <c r="G1498">
        <v>0.16354196208098101</v>
      </c>
      <c r="H1498">
        <v>0.104668523359546</v>
      </c>
      <c r="I1498">
        <v>9.6027110843756702E-2</v>
      </c>
      <c r="J1498">
        <v>8.8346728252846701E-2</v>
      </c>
      <c r="K1498">
        <v>9.3790281884291796E-2</v>
      </c>
      <c r="L1498">
        <v>974.08028831985598</v>
      </c>
      <c r="M1498">
        <v>19.742419025583601</v>
      </c>
      <c r="N1498">
        <v>49.857779195257898</v>
      </c>
      <c r="O1498">
        <v>48.841600078081498</v>
      </c>
      <c r="P1498">
        <v>-9.1681276672299999E-2</v>
      </c>
      <c r="Q1498">
        <v>9.2774429605316497E-2</v>
      </c>
      <c r="R1498">
        <v>0.99143317050527702</v>
      </c>
      <c r="S1498" t="s">
        <v>7783</v>
      </c>
      <c r="T1498" t="s">
        <v>12568</v>
      </c>
      <c r="U1498" t="s">
        <v>12568</v>
      </c>
      <c r="V1498" t="s">
        <v>12568</v>
      </c>
      <c r="W1498" t="s">
        <v>14037</v>
      </c>
      <c r="X1498">
        <v>5</v>
      </c>
      <c r="Y1498" t="s">
        <v>20244</v>
      </c>
      <c r="Z1498" t="s">
        <v>26368</v>
      </c>
      <c r="AA1498">
        <v>0.38821425088425199</v>
      </c>
      <c r="AB1498" t="str">
        <f>HYPERLINK("Melting_Curves/meltCurve_P04899_GNAI2.pdf", "Melting_Curves/meltCurve_P04899_GNAI2.pdf")</f>
        <v>Melting_Curves/meltCurve_P04899_GNAI2.pdf</v>
      </c>
    </row>
    <row r="1499" spans="1:28" x14ac:dyDescent="0.25">
      <c r="A1499" t="s">
        <v>1503</v>
      </c>
      <c r="B1499">
        <v>0.99352677808782597</v>
      </c>
      <c r="C1499">
        <v>1.01107395642245</v>
      </c>
      <c r="D1499">
        <v>0.97778575500639098</v>
      </c>
      <c r="E1499">
        <v>0.79572140959689597</v>
      </c>
      <c r="F1499">
        <v>0.73671580415871896</v>
      </c>
      <c r="G1499">
        <v>0.60518999044586197</v>
      </c>
      <c r="H1499">
        <v>0.55798241021584905</v>
      </c>
      <c r="I1499">
        <v>0.551431301908753</v>
      </c>
      <c r="J1499">
        <v>0.52045334562466405</v>
      </c>
      <c r="K1499">
        <v>0.43482437922595402</v>
      </c>
      <c r="L1499">
        <v>735.93757006759097</v>
      </c>
      <c r="M1499">
        <v>13.937688278460801</v>
      </c>
      <c r="N1499">
        <v>67.059162441278204</v>
      </c>
      <c r="O1499">
        <v>51.750631370270703</v>
      </c>
      <c r="P1499">
        <v>-3.5409137827574502E-2</v>
      </c>
      <c r="Q1499">
        <v>0.474174345009438</v>
      </c>
      <c r="R1499">
        <v>0.97873658272999298</v>
      </c>
      <c r="S1499" t="s">
        <v>7784</v>
      </c>
      <c r="T1499" t="s">
        <v>12568</v>
      </c>
      <c r="U1499" t="s">
        <v>12568</v>
      </c>
      <c r="V1499" t="s">
        <v>12568</v>
      </c>
      <c r="W1499" t="s">
        <v>14038</v>
      </c>
      <c r="X1499">
        <v>7</v>
      </c>
      <c r="Y1499" t="s">
        <v>20245</v>
      </c>
      <c r="Z1499" t="s">
        <v>26369</v>
      </c>
      <c r="AA1499">
        <v>0.7111829512481137</v>
      </c>
      <c r="AB1499" t="str">
        <f>HYPERLINK("Melting_Curves/meltCurve_P04920_2_SLC4A2.pdf", "Melting_Curves/meltCurve_P04920_2_SLC4A2.pdf")</f>
        <v>Melting_Curves/meltCurve_P04920_2_SLC4A2.pdf</v>
      </c>
    </row>
    <row r="1500" spans="1:28" x14ac:dyDescent="0.25">
      <c r="A1500" t="s">
        <v>1504</v>
      </c>
      <c r="B1500">
        <v>0.99352677808782597</v>
      </c>
      <c r="C1500">
        <v>0.964898543248219</v>
      </c>
      <c r="D1500">
        <v>0.78875367640697502</v>
      </c>
      <c r="E1500">
        <v>0.39873593358501502</v>
      </c>
      <c r="F1500">
        <v>0.31162941633123598</v>
      </c>
      <c r="G1500">
        <v>0.137656068249605</v>
      </c>
      <c r="H1500">
        <v>8.1307814201251397E-2</v>
      </c>
      <c r="I1500">
        <v>7.1331442152218996E-2</v>
      </c>
      <c r="J1500">
        <v>5.88386420670923E-2</v>
      </c>
      <c r="K1500">
        <v>4.4879601356414799E-2</v>
      </c>
      <c r="L1500">
        <v>869.15881328074101</v>
      </c>
      <c r="M1500">
        <v>17.700873106886299</v>
      </c>
      <c r="N1500">
        <v>49.430680524100197</v>
      </c>
      <c r="O1500">
        <v>48.488753189491298</v>
      </c>
      <c r="P1500">
        <v>-8.6209245591606296E-2</v>
      </c>
      <c r="Q1500">
        <v>5.5423292417631997E-2</v>
      </c>
      <c r="R1500">
        <v>0.99445580439625503</v>
      </c>
      <c r="S1500" t="s">
        <v>7785</v>
      </c>
      <c r="T1500" t="s">
        <v>12568</v>
      </c>
      <c r="U1500" t="s">
        <v>12568</v>
      </c>
      <c r="V1500" t="s">
        <v>12568</v>
      </c>
      <c r="W1500" t="s">
        <v>14039</v>
      </c>
      <c r="X1500">
        <v>21</v>
      </c>
      <c r="Y1500" t="s">
        <v>20246</v>
      </c>
      <c r="Z1500" t="s">
        <v>26370</v>
      </c>
      <c r="AA1500">
        <v>0.3589074918514869</v>
      </c>
      <c r="AB1500" t="str">
        <f>HYPERLINK("Melting_Curves/meltCurve_P05091_ALDH2.pdf", "Melting_Curves/meltCurve_P05091_ALDH2.pdf")</f>
        <v>Melting_Curves/meltCurve_P05091_ALDH2.pdf</v>
      </c>
    </row>
    <row r="1501" spans="1:28" x14ac:dyDescent="0.25">
      <c r="A1501" t="s">
        <v>1505</v>
      </c>
      <c r="B1501">
        <v>0.99352677808782597</v>
      </c>
      <c r="C1501">
        <v>0.91344416262834405</v>
      </c>
      <c r="D1501">
        <v>0.98979457570565699</v>
      </c>
      <c r="E1501">
        <v>1.0522589844279699</v>
      </c>
      <c r="F1501">
        <v>1.06107099032441</v>
      </c>
      <c r="G1501">
        <v>1.0978722539789501</v>
      </c>
      <c r="H1501">
        <v>0.96953685208789198</v>
      </c>
      <c r="I1501">
        <v>1.1531290936296399</v>
      </c>
      <c r="J1501">
        <v>1.0440517917310199</v>
      </c>
      <c r="K1501">
        <v>0.96453015312745705</v>
      </c>
      <c r="L1501">
        <v>157.49592676122501</v>
      </c>
      <c r="M1501">
        <v>1.0000000000000001E-5</v>
      </c>
      <c r="O1501">
        <v>65.640798082950397</v>
      </c>
      <c r="P1501">
        <v>1.3944249548443601E-3</v>
      </c>
      <c r="Q1501">
        <v>1.5</v>
      </c>
      <c r="R1501">
        <v>7.9708238917352195E-2</v>
      </c>
      <c r="S1501" t="s">
        <v>7786</v>
      </c>
      <c r="T1501" t="s">
        <v>12568</v>
      </c>
      <c r="U1501" t="s">
        <v>12568</v>
      </c>
      <c r="V1501" t="s">
        <v>12568</v>
      </c>
      <c r="W1501" t="s">
        <v>14040</v>
      </c>
      <c r="X1501">
        <v>10</v>
      </c>
      <c r="Y1501" t="s">
        <v>20247</v>
      </c>
      <c r="Z1501" t="s">
        <v>26371</v>
      </c>
      <c r="AA1501">
        <v>1.027519756370914</v>
      </c>
      <c r="AB1501" t="str">
        <f>HYPERLINK("Melting_Curves/meltCurve_P05114_HMGN1.pdf", "Melting_Curves/meltCurve_P05114_HMGN1.pdf")</f>
        <v>Melting_Curves/meltCurve_P05114_HMGN1.pdf</v>
      </c>
    </row>
    <row r="1502" spans="1:28" x14ac:dyDescent="0.25">
      <c r="A1502" t="s">
        <v>1506</v>
      </c>
      <c r="B1502">
        <v>0.99352677808782597</v>
      </c>
      <c r="C1502">
        <v>0.93407045357644003</v>
      </c>
      <c r="D1502">
        <v>1.07385490050389</v>
      </c>
      <c r="E1502">
        <v>0.65790374008575803</v>
      </c>
      <c r="F1502">
        <v>0.63195127775282001</v>
      </c>
      <c r="G1502">
        <v>0.147063363597666</v>
      </c>
      <c r="H1502">
        <v>7.7025718113938699E-2</v>
      </c>
      <c r="I1502">
        <v>6.4797907102958199E-2</v>
      </c>
      <c r="J1502">
        <v>5.0383622744949098E-2</v>
      </c>
      <c r="K1502">
        <v>4.02084285665801E-2</v>
      </c>
      <c r="L1502">
        <v>1088.5390732415999</v>
      </c>
      <c r="M1502">
        <v>20.514444805587601</v>
      </c>
      <c r="N1502">
        <v>53.193112946974601</v>
      </c>
      <c r="O1502">
        <v>52.565586253862698</v>
      </c>
      <c r="P1502">
        <v>-9.5164439482995702E-2</v>
      </c>
      <c r="Q1502">
        <v>2.4642973053148599E-2</v>
      </c>
      <c r="R1502">
        <v>0.97038539842748806</v>
      </c>
      <c r="S1502" t="s">
        <v>7787</v>
      </c>
      <c r="T1502" t="s">
        <v>12568</v>
      </c>
      <c r="U1502" t="s">
        <v>12568</v>
      </c>
      <c r="V1502" t="s">
        <v>12568</v>
      </c>
      <c r="W1502" t="s">
        <v>14041</v>
      </c>
      <c r="X1502">
        <v>4</v>
      </c>
      <c r="Y1502" t="s">
        <v>20248</v>
      </c>
      <c r="Z1502" t="s">
        <v>26372</v>
      </c>
      <c r="AA1502">
        <v>0.46215281393140228</v>
      </c>
      <c r="AB1502" t="str">
        <f>HYPERLINK("Melting_Curves/meltCurve_P05161_ISG15.pdf", "Melting_Curves/meltCurve_P05161_ISG15.pdf")</f>
        <v>Melting_Curves/meltCurve_P05161_ISG15.pdf</v>
      </c>
    </row>
    <row r="1503" spans="1:28" x14ac:dyDescent="0.25">
      <c r="A1503" t="s">
        <v>1507</v>
      </c>
      <c r="B1503">
        <v>0.99352677808782597</v>
      </c>
      <c r="C1503">
        <v>0.86188315341291499</v>
      </c>
      <c r="D1503">
        <v>0.84976016635111795</v>
      </c>
      <c r="E1503">
        <v>0.62365476912902496</v>
      </c>
      <c r="F1503">
        <v>0.50153304904775697</v>
      </c>
      <c r="G1503">
        <v>0.42252366901069599</v>
      </c>
      <c r="H1503">
        <v>0.32710287191850201</v>
      </c>
      <c r="I1503">
        <v>0.36912680745632798</v>
      </c>
      <c r="J1503">
        <v>0.36885976123675801</v>
      </c>
      <c r="K1503">
        <v>0.27836903868495599</v>
      </c>
      <c r="L1503">
        <v>638.93031798450897</v>
      </c>
      <c r="M1503">
        <v>12.9069132040485</v>
      </c>
      <c r="N1503">
        <v>53.382416328271297</v>
      </c>
      <c r="O1503">
        <v>48.3598014364185</v>
      </c>
      <c r="P1503">
        <v>-4.6428400937096201E-2</v>
      </c>
      <c r="Q1503">
        <v>0.30429208733536001</v>
      </c>
      <c r="R1503">
        <v>0.98195500389870705</v>
      </c>
      <c r="S1503" t="s">
        <v>7788</v>
      </c>
      <c r="T1503" t="s">
        <v>12568</v>
      </c>
      <c r="U1503" t="s">
        <v>12568</v>
      </c>
      <c r="V1503" t="s">
        <v>12568</v>
      </c>
      <c r="W1503" t="s">
        <v>14042</v>
      </c>
      <c r="X1503">
        <v>1</v>
      </c>
      <c r="Y1503" t="s">
        <v>20249</v>
      </c>
      <c r="Z1503" t="s">
        <v>26373</v>
      </c>
      <c r="AA1503">
        <v>0.54664800161236993</v>
      </c>
      <c r="AB1503" t="str">
        <f>HYPERLINK("Melting_Curves/meltCurve_P05162_LGALS2.pdf", "Melting_Curves/meltCurve_P05162_LGALS2.pdf")</f>
        <v>Melting_Curves/meltCurve_P05162_LGALS2.pdf</v>
      </c>
    </row>
    <row r="1504" spans="1:28" x14ac:dyDescent="0.25">
      <c r="A1504" t="s">
        <v>1508</v>
      </c>
      <c r="B1504">
        <v>0.99352677808782597</v>
      </c>
      <c r="C1504">
        <v>0.79865277047523198</v>
      </c>
      <c r="D1504">
        <v>0.94379101106241603</v>
      </c>
      <c r="E1504">
        <v>0.78478690219519598</v>
      </c>
      <c r="F1504">
        <v>0.64979038654752497</v>
      </c>
      <c r="G1504">
        <v>0.27975556698450799</v>
      </c>
      <c r="H1504">
        <v>0.11437922406341799</v>
      </c>
      <c r="I1504">
        <v>0.102831572863245</v>
      </c>
      <c r="J1504">
        <v>7.7715459728291206E-2</v>
      </c>
      <c r="K1504">
        <v>6.1340473621319398E-2</v>
      </c>
      <c r="L1504">
        <v>900.97441919555797</v>
      </c>
      <c r="M1504">
        <v>16.680502806794902</v>
      </c>
      <c r="N1504">
        <v>54.188892215945899</v>
      </c>
      <c r="O1504">
        <v>53.255222279577197</v>
      </c>
      <c r="P1504">
        <v>-7.6253296874833496E-2</v>
      </c>
      <c r="Q1504">
        <v>2.6260510594570699E-2</v>
      </c>
      <c r="R1504">
        <v>0.96876160845591897</v>
      </c>
      <c r="S1504" t="s">
        <v>7789</v>
      </c>
      <c r="T1504" t="s">
        <v>12568</v>
      </c>
      <c r="U1504" t="s">
        <v>12568</v>
      </c>
      <c r="V1504" t="s">
        <v>12568</v>
      </c>
      <c r="W1504" t="s">
        <v>12692</v>
      </c>
      <c r="X1504">
        <v>26</v>
      </c>
      <c r="Y1504" t="s">
        <v>20250</v>
      </c>
      <c r="Z1504" t="s">
        <v>26374</v>
      </c>
      <c r="AA1504">
        <v>0.49848409984920511</v>
      </c>
      <c r="AB1504" t="str">
        <f>HYPERLINK("Melting_Curves/meltCurve_P05198_EIF2S1.pdf", "Melting_Curves/meltCurve_P05198_EIF2S1.pdf")</f>
        <v>Melting_Curves/meltCurve_P05198_EIF2S1.pdf</v>
      </c>
    </row>
    <row r="1505" spans="1:28" x14ac:dyDescent="0.25">
      <c r="A1505" t="s">
        <v>1509</v>
      </c>
      <c r="B1505">
        <v>0.99352677808782597</v>
      </c>
      <c r="C1505">
        <v>1.00080594894036</v>
      </c>
      <c r="D1505">
        <v>1.0676571248212801</v>
      </c>
      <c r="E1505">
        <v>0.973980526894758</v>
      </c>
      <c r="F1505">
        <v>0.97510353665770699</v>
      </c>
      <c r="G1505">
        <v>0.99720997738207195</v>
      </c>
      <c r="H1505">
        <v>1.71960207330626</v>
      </c>
      <c r="I1505">
        <v>0.95328050256900199</v>
      </c>
      <c r="J1505">
        <v>1.07521185774891</v>
      </c>
      <c r="K1505">
        <v>0.82511526727671802</v>
      </c>
      <c r="L1505">
        <v>14581.9586729576</v>
      </c>
      <c r="M1505">
        <v>250</v>
      </c>
      <c r="O1505">
        <v>58.3240791373956</v>
      </c>
      <c r="P1505">
        <v>0.15355804364771</v>
      </c>
      <c r="Q1505">
        <v>1.14329816042851</v>
      </c>
      <c r="R1505">
        <v>9.1458848582852401E-2</v>
      </c>
      <c r="S1505" t="s">
        <v>7790</v>
      </c>
      <c r="T1505" t="s">
        <v>12568</v>
      </c>
      <c r="U1505" t="s">
        <v>12568</v>
      </c>
      <c r="V1505" t="s">
        <v>12568</v>
      </c>
      <c r="W1505" t="s">
        <v>14043</v>
      </c>
      <c r="X1505">
        <v>10</v>
      </c>
      <c r="Y1505" t="s">
        <v>20251</v>
      </c>
      <c r="Z1505" t="s">
        <v>26375</v>
      </c>
      <c r="AA1505">
        <v>1.055738658593026</v>
      </c>
      <c r="AB1505" t="str">
        <f>HYPERLINK("Melting_Curves/meltCurve_P05204_HMGN2.pdf", "Melting_Curves/meltCurve_P05204_HMGN2.pdf")</f>
        <v>Melting_Curves/meltCurve_P05204_HMGN2.pdf</v>
      </c>
    </row>
    <row r="1506" spans="1:28" x14ac:dyDescent="0.25">
      <c r="A1506" t="s">
        <v>1510</v>
      </c>
      <c r="B1506">
        <v>0.99352677808782597</v>
      </c>
      <c r="C1506">
        <v>0.99076563593373501</v>
      </c>
      <c r="D1506">
        <v>0.85752412810314504</v>
      </c>
      <c r="E1506">
        <v>0.78572634414434295</v>
      </c>
      <c r="F1506">
        <v>0.51775612157234496</v>
      </c>
      <c r="G1506">
        <v>0.30080655277094598</v>
      </c>
      <c r="H1506">
        <v>0.22464960255871599</v>
      </c>
      <c r="I1506">
        <v>0.32510443169747599</v>
      </c>
      <c r="J1506">
        <v>0.34064648099759998</v>
      </c>
      <c r="K1506">
        <v>0.248403744983553</v>
      </c>
      <c r="L1506">
        <v>1158.1607161488901</v>
      </c>
      <c r="M1506">
        <v>22.5448772964162</v>
      </c>
      <c r="N1506">
        <v>53.2044323735769</v>
      </c>
      <c r="O1506">
        <v>50.972306079878699</v>
      </c>
      <c r="P1506">
        <v>-8.0715092100881902E-2</v>
      </c>
      <c r="Q1506">
        <v>0.270051546834008</v>
      </c>
      <c r="R1506">
        <v>0.97360049207726895</v>
      </c>
      <c r="S1506" t="s">
        <v>7791</v>
      </c>
      <c r="T1506" t="s">
        <v>12568</v>
      </c>
      <c r="U1506" t="s">
        <v>12568</v>
      </c>
      <c r="V1506" t="s">
        <v>12568</v>
      </c>
      <c r="W1506" t="s">
        <v>14044</v>
      </c>
      <c r="X1506">
        <v>1</v>
      </c>
      <c r="Y1506" t="s">
        <v>20252</v>
      </c>
      <c r="Z1506" t="s">
        <v>26376</v>
      </c>
      <c r="AA1506">
        <v>0.55481903837182656</v>
      </c>
      <c r="AB1506" t="str">
        <f>HYPERLINK("Melting_Curves/meltCurve_P05386_RPLP1.pdf", "Melting_Curves/meltCurve_P05386_RPLP1.pdf")</f>
        <v>Melting_Curves/meltCurve_P05386_RPLP1.pdf</v>
      </c>
    </row>
    <row r="1507" spans="1:28" x14ac:dyDescent="0.25">
      <c r="A1507" t="s">
        <v>1511</v>
      </c>
      <c r="B1507">
        <v>0.99352677808782597</v>
      </c>
      <c r="C1507">
        <v>0.97052529129028797</v>
      </c>
      <c r="D1507">
        <v>0.95727976855750796</v>
      </c>
      <c r="E1507">
        <v>0.86079022945272698</v>
      </c>
      <c r="F1507">
        <v>0.64811527971739602</v>
      </c>
      <c r="G1507">
        <v>0.67465799289132999</v>
      </c>
      <c r="H1507">
        <v>0.78956996043849204</v>
      </c>
      <c r="I1507">
        <v>0.94259015220570197</v>
      </c>
      <c r="J1507">
        <v>1.1259342043365901</v>
      </c>
      <c r="K1507">
        <v>0.88306550725076804</v>
      </c>
      <c r="L1507">
        <v>2652.08119314653</v>
      </c>
      <c r="M1507">
        <v>56.7200893680115</v>
      </c>
      <c r="O1507">
        <v>46.699324225395998</v>
      </c>
      <c r="P1507">
        <v>-4.6815530373246102E-2</v>
      </c>
      <c r="Q1507">
        <v>0.845821601695395</v>
      </c>
      <c r="R1507">
        <v>0.17325746827962299</v>
      </c>
      <c r="S1507" t="s">
        <v>7792</v>
      </c>
      <c r="T1507" t="s">
        <v>12568</v>
      </c>
      <c r="U1507" t="s">
        <v>12568</v>
      </c>
      <c r="V1507" t="s">
        <v>12568</v>
      </c>
      <c r="W1507" t="s">
        <v>14045</v>
      </c>
      <c r="X1507">
        <v>5</v>
      </c>
      <c r="Y1507" t="s">
        <v>20253</v>
      </c>
      <c r="Z1507" t="s">
        <v>26377</v>
      </c>
      <c r="AA1507">
        <v>0.88079652876345027</v>
      </c>
      <c r="AB1507" t="str">
        <f>HYPERLINK("Melting_Curves/meltCurve_P05387_RPLP2.pdf", "Melting_Curves/meltCurve_P05387_RPLP2.pdf")</f>
        <v>Melting_Curves/meltCurve_P05387_RPLP2.pdf</v>
      </c>
    </row>
    <row r="1508" spans="1:28" x14ac:dyDescent="0.25">
      <c r="A1508" t="s">
        <v>1512</v>
      </c>
      <c r="B1508">
        <v>0.99352677808782597</v>
      </c>
      <c r="C1508">
        <v>0.92409217505774899</v>
      </c>
      <c r="D1508">
        <v>0.91660959214262705</v>
      </c>
      <c r="E1508">
        <v>0.57502143289960495</v>
      </c>
      <c r="F1508">
        <v>0.452619011384293</v>
      </c>
      <c r="G1508">
        <v>0.32324286983891298</v>
      </c>
      <c r="H1508">
        <v>0.17540669164200601</v>
      </c>
      <c r="I1508">
        <v>0.14518997983454099</v>
      </c>
      <c r="J1508">
        <v>0.13783504639851499</v>
      </c>
      <c r="K1508">
        <v>0.10479913917080801</v>
      </c>
      <c r="L1508">
        <v>718.58238838176999</v>
      </c>
      <c r="M1508">
        <v>13.9958867267231</v>
      </c>
      <c r="N1508">
        <v>52.154232494253797</v>
      </c>
      <c r="O1508">
        <v>50.328310077455598</v>
      </c>
      <c r="P1508">
        <v>-6.2726273993309101E-2</v>
      </c>
      <c r="Q1508">
        <v>9.7880778213243702E-2</v>
      </c>
      <c r="R1508">
        <v>0.99076764559689801</v>
      </c>
      <c r="S1508" t="s">
        <v>7793</v>
      </c>
      <c r="T1508" t="s">
        <v>12568</v>
      </c>
      <c r="U1508" t="s">
        <v>12568</v>
      </c>
      <c r="V1508" t="s">
        <v>12568</v>
      </c>
      <c r="W1508" t="s">
        <v>14046</v>
      </c>
      <c r="X1508">
        <v>12</v>
      </c>
      <c r="Y1508" t="s">
        <v>20254</v>
      </c>
      <c r="Z1508" t="s">
        <v>26378</v>
      </c>
      <c r="AA1508">
        <v>0.46195248659519278</v>
      </c>
      <c r="AB1508" t="str">
        <f>HYPERLINK("Melting_Curves/meltCurve_P05388_RPLP0.pdf", "Melting_Curves/meltCurve_P05388_RPLP0.pdf")</f>
        <v>Melting_Curves/meltCurve_P05388_RPLP0.pdf</v>
      </c>
    </row>
    <row r="1509" spans="1:28" x14ac:dyDescent="0.25">
      <c r="A1509" t="s">
        <v>1513</v>
      </c>
      <c r="B1509">
        <v>0.99352677808782597</v>
      </c>
      <c r="C1509">
        <v>1.04569591592623</v>
      </c>
      <c r="D1509">
        <v>1.2015703607061801</v>
      </c>
      <c r="E1509">
        <v>1.2117510577775401</v>
      </c>
      <c r="F1509">
        <v>0.95871009208149005</v>
      </c>
      <c r="G1509">
        <v>0.84676041134009805</v>
      </c>
      <c r="H1509">
        <v>0.74079596030788997</v>
      </c>
      <c r="I1509">
        <v>0.76389762686054397</v>
      </c>
      <c r="J1509">
        <v>0.77714586325732604</v>
      </c>
      <c r="K1509">
        <v>0.66435665974967895</v>
      </c>
      <c r="L1509">
        <v>2378.43037174049</v>
      </c>
      <c r="M1509">
        <v>42.0539410427007</v>
      </c>
      <c r="O1509">
        <v>56.429220820760499</v>
      </c>
      <c r="P1509">
        <v>-4.9734857590525303E-2</v>
      </c>
      <c r="Q1509">
        <v>0.73305764653069905</v>
      </c>
      <c r="R1509">
        <v>0.71244490948482597</v>
      </c>
      <c r="S1509" t="s">
        <v>7794</v>
      </c>
      <c r="T1509" t="s">
        <v>12568</v>
      </c>
      <c r="U1509" t="s">
        <v>12568</v>
      </c>
      <c r="V1509" t="s">
        <v>12568</v>
      </c>
      <c r="W1509" t="s">
        <v>14047</v>
      </c>
      <c r="X1509">
        <v>2</v>
      </c>
      <c r="Y1509" t="s">
        <v>20255</v>
      </c>
      <c r="Z1509" t="s">
        <v>26379</v>
      </c>
      <c r="AA1509">
        <v>0.88131762176495632</v>
      </c>
      <c r="AB1509" t="str">
        <f>HYPERLINK("Melting_Curves/meltCurve_P05412_JUN.pdf", "Melting_Curves/meltCurve_P05412_JUN.pdf")</f>
        <v>Melting_Curves/meltCurve_P05412_JUN.pdf</v>
      </c>
    </row>
    <row r="1510" spans="1:28" x14ac:dyDescent="0.25">
      <c r="A1510" t="s">
        <v>1514</v>
      </c>
      <c r="B1510">
        <v>0.99352677808782597</v>
      </c>
      <c r="C1510">
        <v>0.93723700846992997</v>
      </c>
      <c r="D1510">
        <v>0.87728103525603895</v>
      </c>
      <c r="E1510">
        <v>0.75133566288300002</v>
      </c>
      <c r="F1510">
        <v>0.60435424166065799</v>
      </c>
      <c r="G1510">
        <v>0.409626996816639</v>
      </c>
      <c r="H1510">
        <v>0.30601170210580902</v>
      </c>
      <c r="I1510">
        <v>0.28412737157228202</v>
      </c>
      <c r="J1510">
        <v>0.264328619831048</v>
      </c>
      <c r="K1510">
        <v>0.191580393024221</v>
      </c>
      <c r="L1510">
        <v>630.827928352904</v>
      </c>
      <c r="M1510">
        <v>11.853537613105001</v>
      </c>
      <c r="N1510">
        <v>55.143300182010002</v>
      </c>
      <c r="O1510">
        <v>51.771659441909001</v>
      </c>
      <c r="P1510">
        <v>-4.7554301485648598E-2</v>
      </c>
      <c r="Q1510">
        <v>0.16941492836400199</v>
      </c>
      <c r="R1510">
        <v>0.99648949681846399</v>
      </c>
      <c r="S1510" t="s">
        <v>7795</v>
      </c>
      <c r="T1510" t="s">
        <v>12568</v>
      </c>
      <c r="U1510" t="s">
        <v>12568</v>
      </c>
      <c r="V1510" t="s">
        <v>12568</v>
      </c>
      <c r="W1510" t="s">
        <v>14048</v>
      </c>
      <c r="X1510">
        <v>5</v>
      </c>
      <c r="Y1510" t="s">
        <v>20256</v>
      </c>
      <c r="Z1510" t="s">
        <v>26380</v>
      </c>
      <c r="AA1510">
        <v>0.55893152193391116</v>
      </c>
      <c r="AB1510" t="str">
        <f>HYPERLINK("Melting_Curves/meltCurve_P05423_POLR3D.pdf", "Melting_Curves/meltCurve_P05423_POLR3D.pdf")</f>
        <v>Melting_Curves/meltCurve_P05423_POLR3D.pdf</v>
      </c>
    </row>
    <row r="1511" spans="1:28" x14ac:dyDescent="0.25">
      <c r="A1511" t="s">
        <v>1515</v>
      </c>
      <c r="B1511">
        <v>0.99352677808782597</v>
      </c>
      <c r="C1511">
        <v>0.941058906898111</v>
      </c>
      <c r="D1511">
        <v>0.95840311624113905</v>
      </c>
      <c r="E1511">
        <v>0.88115954884849901</v>
      </c>
      <c r="F1511">
        <v>0.78514161918778402</v>
      </c>
      <c r="G1511">
        <v>0.45756832254613</v>
      </c>
      <c r="H1511">
        <v>0.21981211221841199</v>
      </c>
      <c r="I1511">
        <v>0.13530650279526299</v>
      </c>
      <c r="J1511">
        <v>0.11209606111196301</v>
      </c>
      <c r="K1511">
        <v>8.4444306622225199E-2</v>
      </c>
      <c r="L1511">
        <v>1026.2440980487499</v>
      </c>
      <c r="M1511">
        <v>18.299057288755399</v>
      </c>
      <c r="N1511">
        <v>56.4460000627531</v>
      </c>
      <c r="O1511">
        <v>55.424918045029003</v>
      </c>
      <c r="P1511">
        <v>-7.7947479727897506E-2</v>
      </c>
      <c r="Q1511">
        <v>5.56818616075173E-2</v>
      </c>
      <c r="R1511">
        <v>0.99596472338019404</v>
      </c>
      <c r="S1511" t="s">
        <v>7796</v>
      </c>
      <c r="T1511" t="s">
        <v>12568</v>
      </c>
      <c r="U1511" t="s">
        <v>12568</v>
      </c>
      <c r="V1511" t="s">
        <v>12568</v>
      </c>
      <c r="W1511" t="s">
        <v>14049</v>
      </c>
      <c r="X1511">
        <v>34</v>
      </c>
      <c r="Y1511" t="s">
        <v>20257</v>
      </c>
      <c r="Z1511" t="s">
        <v>26381</v>
      </c>
      <c r="AA1511">
        <v>0.57546899137835184</v>
      </c>
      <c r="AB1511" t="str">
        <f>HYPERLINK("Melting_Curves/meltCurve_P05455_SSB.pdf", "Melting_Curves/meltCurve_P05455_SSB.pdf")</f>
        <v>Melting_Curves/meltCurve_P05455_SSB.pdf</v>
      </c>
    </row>
    <row r="1512" spans="1:28" x14ac:dyDescent="0.25">
      <c r="A1512" t="s">
        <v>1516</v>
      </c>
      <c r="B1512">
        <v>0.99352677808782597</v>
      </c>
      <c r="C1512">
        <v>0.94043133833356796</v>
      </c>
      <c r="D1512">
        <v>0.94207298669846296</v>
      </c>
      <c r="E1512">
        <v>0.91949199348050703</v>
      </c>
      <c r="F1512">
        <v>0.84066460362899198</v>
      </c>
      <c r="G1512">
        <v>0.79875150671419703</v>
      </c>
      <c r="H1512">
        <v>0.83678361381534905</v>
      </c>
      <c r="I1512">
        <v>0.93450640342206504</v>
      </c>
      <c r="J1512">
        <v>0.92485391714589504</v>
      </c>
      <c r="K1512">
        <v>0.83232171007673506</v>
      </c>
      <c r="L1512">
        <v>778.71588012226005</v>
      </c>
      <c r="M1512">
        <v>17.102681207596302</v>
      </c>
      <c r="O1512">
        <v>44.922970718479803</v>
      </c>
      <c r="P1512">
        <v>-1.29725321826614E-2</v>
      </c>
      <c r="Q1512">
        <v>0.86371035399339202</v>
      </c>
      <c r="R1512">
        <v>0.50204557421914697</v>
      </c>
      <c r="S1512" t="s">
        <v>7797</v>
      </c>
      <c r="T1512" t="s">
        <v>12568</v>
      </c>
      <c r="U1512" t="s">
        <v>12568</v>
      </c>
      <c r="V1512" t="s">
        <v>12568</v>
      </c>
      <c r="W1512" t="s">
        <v>14050</v>
      </c>
      <c r="X1512">
        <v>14</v>
      </c>
      <c r="Y1512" t="s">
        <v>20258</v>
      </c>
      <c r="Z1512" t="s">
        <v>26382</v>
      </c>
      <c r="AA1512">
        <v>0.891962891451058</v>
      </c>
      <c r="AB1512" t="str">
        <f>HYPERLINK("Melting_Curves/meltCurve_P05556_ITGB1.pdf", "Melting_Curves/meltCurve_P05556_ITGB1.pdf")</f>
        <v>Melting_Curves/meltCurve_P05556_ITGB1.pdf</v>
      </c>
    </row>
    <row r="1513" spans="1:28" x14ac:dyDescent="0.25">
      <c r="A1513" t="s">
        <v>1517</v>
      </c>
      <c r="B1513">
        <v>0.99352677808782597</v>
      </c>
      <c r="C1513">
        <v>0.92888130751417297</v>
      </c>
      <c r="D1513">
        <v>0.96356915589210101</v>
      </c>
      <c r="E1513">
        <v>0.82232033899674795</v>
      </c>
      <c r="F1513">
        <v>0.64408408617354795</v>
      </c>
      <c r="G1513">
        <v>0.49227614010739401</v>
      </c>
      <c r="H1513">
        <v>0.30212418099420302</v>
      </c>
      <c r="I1513">
        <v>0.168395434001227</v>
      </c>
      <c r="J1513">
        <v>0.12105685078674699</v>
      </c>
      <c r="K1513">
        <v>8.6123003635003997E-2</v>
      </c>
      <c r="L1513">
        <v>669.96059512244199</v>
      </c>
      <c r="M1513">
        <v>11.901529295511001</v>
      </c>
      <c r="N1513">
        <v>56.2919588163588</v>
      </c>
      <c r="O1513">
        <v>54.773310471140903</v>
      </c>
      <c r="P1513">
        <v>-5.4335274441011397E-2</v>
      </c>
      <c r="Q1513">
        <v>0</v>
      </c>
      <c r="R1513">
        <v>0.99503806752139401</v>
      </c>
      <c r="S1513" t="s">
        <v>7798</v>
      </c>
      <c r="T1513" t="s">
        <v>12568</v>
      </c>
      <c r="U1513" t="s">
        <v>12568</v>
      </c>
      <c r="V1513" t="s">
        <v>12568</v>
      </c>
      <c r="W1513" t="s">
        <v>14051</v>
      </c>
      <c r="X1513">
        <v>44</v>
      </c>
      <c r="Y1513" t="s">
        <v>20259</v>
      </c>
      <c r="Z1513" t="s">
        <v>26383</v>
      </c>
      <c r="AA1513">
        <v>0.5625104382823467</v>
      </c>
      <c r="AB1513" t="str">
        <f>HYPERLINK("Melting_Curves/meltCurve_P05783_KRT18.pdf", "Melting_Curves/meltCurve_P05783_KRT18.pdf")</f>
        <v>Melting_Curves/meltCurve_P05783_KRT18.pdf</v>
      </c>
    </row>
    <row r="1514" spans="1:28" x14ac:dyDescent="0.25">
      <c r="A1514" t="s">
        <v>1518</v>
      </c>
      <c r="B1514">
        <v>0.99352677808782597</v>
      </c>
      <c r="C1514">
        <v>0.93270838537241596</v>
      </c>
      <c r="D1514">
        <v>0.93067922807244197</v>
      </c>
      <c r="E1514">
        <v>0.86059057129067895</v>
      </c>
      <c r="F1514">
        <v>0.76666240692181797</v>
      </c>
      <c r="G1514">
        <v>0.53630559923941201</v>
      </c>
      <c r="H1514">
        <v>0.364015926482119</v>
      </c>
      <c r="I1514">
        <v>0.25521648335359498</v>
      </c>
      <c r="J1514">
        <v>0.25152319201397999</v>
      </c>
      <c r="K1514">
        <v>0.24426784246401001</v>
      </c>
      <c r="L1514">
        <v>782.30759237184805</v>
      </c>
      <c r="M1514">
        <v>13.9853083445102</v>
      </c>
      <c r="N1514">
        <v>57.672478032557102</v>
      </c>
      <c r="O1514">
        <v>54.831350577495002</v>
      </c>
      <c r="P1514">
        <v>-5.2824359473289999E-2</v>
      </c>
      <c r="Q1514">
        <v>0.17168900461650499</v>
      </c>
      <c r="R1514">
        <v>0.99213495920869899</v>
      </c>
      <c r="S1514" t="s">
        <v>7799</v>
      </c>
      <c r="T1514" t="s">
        <v>12568</v>
      </c>
      <c r="U1514" t="s">
        <v>12568</v>
      </c>
      <c r="V1514" t="s">
        <v>12568</v>
      </c>
      <c r="W1514" t="s">
        <v>14052</v>
      </c>
      <c r="X1514">
        <v>55</v>
      </c>
      <c r="Y1514" t="s">
        <v>20260</v>
      </c>
      <c r="Z1514" t="s">
        <v>26384</v>
      </c>
      <c r="AA1514">
        <v>0.62736786109947784</v>
      </c>
      <c r="AB1514" t="str">
        <f>HYPERLINK("Melting_Curves/meltCurve_P05787_KRT8.pdf", "Melting_Curves/meltCurve_P05787_KRT8.pdf")</f>
        <v>Melting_Curves/meltCurve_P05787_KRT8.pdf</v>
      </c>
    </row>
    <row r="1515" spans="1:28" x14ac:dyDescent="0.25">
      <c r="A1515" t="s">
        <v>1519</v>
      </c>
      <c r="B1515">
        <v>0.99352677808782597</v>
      </c>
      <c r="C1515">
        <v>1.0084767967628401</v>
      </c>
      <c r="D1515">
        <v>0.959185748381995</v>
      </c>
      <c r="E1515">
        <v>0.72853849633285805</v>
      </c>
      <c r="F1515">
        <v>0.63048678276162096</v>
      </c>
      <c r="G1515">
        <v>1.0889500472212501</v>
      </c>
      <c r="H1515">
        <v>0.43354526210368699</v>
      </c>
      <c r="I1515">
        <v>0.587803859217639</v>
      </c>
      <c r="J1515">
        <v>0.40958595955578497</v>
      </c>
      <c r="K1515">
        <v>0.33309231388949101</v>
      </c>
      <c r="L1515">
        <v>429.48111260907501</v>
      </c>
      <c r="M1515">
        <v>6.6506071351815201</v>
      </c>
      <c r="N1515">
        <v>64.577730038437394</v>
      </c>
      <c r="O1515">
        <v>59.488831281642199</v>
      </c>
      <c r="P1515">
        <v>-2.8011436261845001E-2</v>
      </c>
      <c r="Q1515">
        <v>0</v>
      </c>
      <c r="R1515">
        <v>0.66556298172191597</v>
      </c>
      <c r="S1515" t="s">
        <v>7800</v>
      </c>
      <c r="T1515" t="s">
        <v>12568</v>
      </c>
      <c r="U1515" t="s">
        <v>12568</v>
      </c>
      <c r="V1515" t="s">
        <v>12568</v>
      </c>
      <c r="W1515" t="s">
        <v>14053</v>
      </c>
      <c r="X1515">
        <v>2</v>
      </c>
      <c r="Y1515" t="s">
        <v>20261</v>
      </c>
      <c r="Z1515" t="s">
        <v>26385</v>
      </c>
      <c r="AA1515">
        <v>0.73027418566977265</v>
      </c>
      <c r="AB1515" t="str">
        <f>HYPERLINK("Melting_Curves/meltCurve_P05814_CSN2.pdf", "Melting_Curves/meltCurve_P05814_CSN2.pdf")</f>
        <v>Melting_Curves/meltCurve_P05814_CSN2.pdf</v>
      </c>
    </row>
    <row r="1516" spans="1:28" x14ac:dyDescent="0.25">
      <c r="A1516" t="s">
        <v>1520</v>
      </c>
      <c r="B1516">
        <v>0.99352677808782597</v>
      </c>
      <c r="C1516">
        <v>1.01057063074275</v>
      </c>
      <c r="D1516">
        <v>0.90860836981067405</v>
      </c>
      <c r="E1516">
        <v>1.2952323450033301</v>
      </c>
      <c r="F1516">
        <v>1.1364971119965299</v>
      </c>
      <c r="G1516">
        <v>1.3008623314446499</v>
      </c>
      <c r="H1516">
        <v>1.0823531054985001</v>
      </c>
      <c r="I1516">
        <v>1.2066599448911299</v>
      </c>
      <c r="J1516">
        <v>1.30209718294237</v>
      </c>
      <c r="K1516">
        <v>1.11357777132328</v>
      </c>
      <c r="L1516">
        <v>11981.552332994401</v>
      </c>
      <c r="M1516">
        <v>250</v>
      </c>
      <c r="O1516">
        <v>47.923142260453503</v>
      </c>
      <c r="P1516">
        <v>0.26778011272097202</v>
      </c>
      <c r="Q1516">
        <v>1.20532583122243</v>
      </c>
      <c r="R1516">
        <v>0.64044445672886796</v>
      </c>
      <c r="S1516" t="s">
        <v>7801</v>
      </c>
      <c r="T1516" t="s">
        <v>12568</v>
      </c>
      <c r="U1516" t="s">
        <v>12568</v>
      </c>
      <c r="V1516" t="s">
        <v>12568</v>
      </c>
      <c r="W1516" t="s">
        <v>14054</v>
      </c>
      <c r="X1516">
        <v>2</v>
      </c>
      <c r="Y1516" t="s">
        <v>20262</v>
      </c>
      <c r="Z1516" t="s">
        <v>26386</v>
      </c>
      <c r="AA1516">
        <v>1.1510600440001031</v>
      </c>
      <c r="AB1516" t="str">
        <f>HYPERLINK("Melting_Curves/meltCurve_P05976_2_MYL1.pdf", "Melting_Curves/meltCurve_P05976_2_MYL1.pdf")</f>
        <v>Melting_Curves/meltCurve_P05976_2_MYL1.pdf</v>
      </c>
    </row>
    <row r="1517" spans="1:28" x14ac:dyDescent="0.25">
      <c r="A1517" t="s">
        <v>1521</v>
      </c>
      <c r="B1517">
        <v>0.99352677808782597</v>
      </c>
      <c r="C1517">
        <v>0.90844006841505598</v>
      </c>
      <c r="D1517">
        <v>0.87394998484575004</v>
      </c>
      <c r="E1517">
        <v>0.70130907130807196</v>
      </c>
      <c r="F1517">
        <v>0.66326131942921096</v>
      </c>
      <c r="G1517">
        <v>0.52242538725713605</v>
      </c>
      <c r="H1517">
        <v>0.55352814069853395</v>
      </c>
      <c r="I1517">
        <v>0.59003292491300796</v>
      </c>
      <c r="J1517">
        <v>0.62436120553977403</v>
      </c>
      <c r="K1517">
        <v>0.53218061300460295</v>
      </c>
      <c r="L1517">
        <v>796.18236765377003</v>
      </c>
      <c r="M1517">
        <v>16.611183146527502</v>
      </c>
      <c r="O1517">
        <v>47.252017713389698</v>
      </c>
      <c r="P1517">
        <v>-3.8747943547512202E-2</v>
      </c>
      <c r="Q1517">
        <v>0.55914166343409699</v>
      </c>
      <c r="R1517">
        <v>0.95148924148861702</v>
      </c>
      <c r="S1517" t="s">
        <v>7802</v>
      </c>
      <c r="T1517" t="s">
        <v>12568</v>
      </c>
      <c r="U1517" t="s">
        <v>12568</v>
      </c>
      <c r="V1517" t="s">
        <v>12568</v>
      </c>
      <c r="W1517" t="s">
        <v>14055</v>
      </c>
      <c r="X1517">
        <v>9</v>
      </c>
      <c r="Y1517" t="s">
        <v>20263</v>
      </c>
      <c r="Z1517" t="s">
        <v>26387</v>
      </c>
      <c r="AA1517">
        <v>0.68494330537335357</v>
      </c>
      <c r="AB1517" t="str">
        <f>HYPERLINK("Melting_Curves/meltCurve_P05997_COL5A2.pdf", "Melting_Curves/meltCurve_P05997_COL5A2.pdf")</f>
        <v>Melting_Curves/meltCurve_P05997_COL5A2.pdf</v>
      </c>
    </row>
    <row r="1518" spans="1:28" x14ac:dyDescent="0.25">
      <c r="A1518" t="s">
        <v>1522</v>
      </c>
      <c r="B1518">
        <v>0.99352677808782597</v>
      </c>
      <c r="C1518">
        <v>1.0373715754011801</v>
      </c>
      <c r="D1518">
        <v>0.97093432871974295</v>
      </c>
      <c r="E1518">
        <v>0.89104898018663803</v>
      </c>
      <c r="F1518">
        <v>0.80377717838869001</v>
      </c>
      <c r="G1518">
        <v>0.67901296865831096</v>
      </c>
      <c r="H1518">
        <v>0.62253300664144495</v>
      </c>
      <c r="I1518">
        <v>0.44917299426360902</v>
      </c>
      <c r="J1518">
        <v>0.182860922395465</v>
      </c>
      <c r="K1518">
        <v>9.6813107216450103E-2</v>
      </c>
      <c r="L1518">
        <v>740.97553627751802</v>
      </c>
      <c r="M1518">
        <v>12.0930280106371</v>
      </c>
      <c r="N1518">
        <v>61.272952996486701</v>
      </c>
      <c r="O1518">
        <v>59.669622915378298</v>
      </c>
      <c r="P1518">
        <v>-5.0678463571735798E-2</v>
      </c>
      <c r="Q1518">
        <v>0</v>
      </c>
      <c r="R1518">
        <v>0.96000313018301897</v>
      </c>
      <c r="S1518" t="s">
        <v>7803</v>
      </c>
      <c r="T1518" t="s">
        <v>12568</v>
      </c>
      <c r="U1518" t="s">
        <v>12568</v>
      </c>
      <c r="V1518" t="s">
        <v>12568</v>
      </c>
      <c r="W1518" t="s">
        <v>14056</v>
      </c>
      <c r="X1518">
        <v>11</v>
      </c>
      <c r="Y1518" t="s">
        <v>20264</v>
      </c>
      <c r="Z1518" t="s">
        <v>26388</v>
      </c>
      <c r="AA1518">
        <v>0.70348431378998788</v>
      </c>
      <c r="AB1518" t="str">
        <f>HYPERLINK("Melting_Curves/meltCurve_P06132_UROD.pdf", "Melting_Curves/meltCurve_P06132_UROD.pdf")</f>
        <v>Melting_Curves/meltCurve_P06132_UROD.pdf</v>
      </c>
    </row>
    <row r="1519" spans="1:28" x14ac:dyDescent="0.25">
      <c r="A1519" t="s">
        <v>1523</v>
      </c>
      <c r="B1519">
        <v>0.99352677808782597</v>
      </c>
      <c r="C1519">
        <v>0.95528351941216405</v>
      </c>
      <c r="D1519">
        <v>0.90099221939866103</v>
      </c>
      <c r="E1519">
        <v>0.48761719971202899</v>
      </c>
      <c r="F1519">
        <v>0.43778369055640398</v>
      </c>
      <c r="G1519">
        <v>0.242933532555972</v>
      </c>
      <c r="H1519">
        <v>0.18008141080859599</v>
      </c>
      <c r="I1519">
        <v>0.173361613444284</v>
      </c>
      <c r="J1519">
        <v>0.16373932749742001</v>
      </c>
      <c r="K1519">
        <v>0.122672938172406</v>
      </c>
      <c r="L1519">
        <v>873.26029449696102</v>
      </c>
      <c r="M1519">
        <v>17.4770069173792</v>
      </c>
      <c r="N1519">
        <v>50.987021397725002</v>
      </c>
      <c r="O1519">
        <v>49.325828746901401</v>
      </c>
      <c r="P1519">
        <v>-7.5507590414671297E-2</v>
      </c>
      <c r="Q1519">
        <v>0.14761873848714199</v>
      </c>
      <c r="R1519">
        <v>0.98684707478922296</v>
      </c>
      <c r="S1519" t="s">
        <v>7804</v>
      </c>
      <c r="T1519" t="s">
        <v>12568</v>
      </c>
      <c r="U1519" t="s">
        <v>12568</v>
      </c>
      <c r="V1519" t="s">
        <v>12568</v>
      </c>
      <c r="W1519" t="s">
        <v>14057</v>
      </c>
      <c r="X1519">
        <v>4</v>
      </c>
      <c r="Y1519" t="s">
        <v>20265</v>
      </c>
      <c r="Z1519" t="s">
        <v>26389</v>
      </c>
      <c r="AA1519">
        <v>0.44616415141631621</v>
      </c>
      <c r="AB1519" t="str">
        <f>HYPERLINK("Melting_Curves/meltCurve_P06280_GLA.pdf", "Melting_Curves/meltCurve_P06280_GLA.pdf")</f>
        <v>Melting_Curves/meltCurve_P06280_GLA.pdf</v>
      </c>
    </row>
    <row r="1520" spans="1:28" x14ac:dyDescent="0.25">
      <c r="A1520" t="s">
        <v>1524</v>
      </c>
      <c r="B1520">
        <v>0.99352677808782597</v>
      </c>
      <c r="C1520">
        <v>0.98015127025738102</v>
      </c>
      <c r="D1520">
        <v>0.93928509346032996</v>
      </c>
      <c r="E1520">
        <v>0.64360951216915896</v>
      </c>
      <c r="F1520">
        <v>0.54079121540101305</v>
      </c>
      <c r="G1520">
        <v>0.27620732770810402</v>
      </c>
      <c r="H1520">
        <v>0.16211498821081799</v>
      </c>
      <c r="I1520">
        <v>0.14766562293506699</v>
      </c>
      <c r="J1520">
        <v>0.128830568348758</v>
      </c>
      <c r="K1520">
        <v>0.100156536596615</v>
      </c>
      <c r="L1520">
        <v>819.66378704930003</v>
      </c>
      <c r="M1520">
        <v>15.6837160845906</v>
      </c>
      <c r="N1520">
        <v>52.937778879022297</v>
      </c>
      <c r="O1520">
        <v>51.434564653349703</v>
      </c>
      <c r="P1520">
        <v>-6.9322341791841297E-2</v>
      </c>
      <c r="Q1520">
        <v>9.0709868358946594E-2</v>
      </c>
      <c r="R1520">
        <v>0.99443106274653204</v>
      </c>
      <c r="S1520" t="s">
        <v>7805</v>
      </c>
      <c r="T1520" t="s">
        <v>12568</v>
      </c>
      <c r="U1520" t="s">
        <v>12568</v>
      </c>
      <c r="V1520" t="s">
        <v>12568</v>
      </c>
      <c r="W1520" t="s">
        <v>14058</v>
      </c>
      <c r="X1520">
        <v>22</v>
      </c>
      <c r="Y1520" t="s">
        <v>20266</v>
      </c>
      <c r="Z1520" t="s">
        <v>26390</v>
      </c>
      <c r="AA1520">
        <v>0.48119213497959101</v>
      </c>
      <c r="AB1520" t="str">
        <f>HYPERLINK("Melting_Curves/meltCurve_P06400_RB1.pdf", "Melting_Curves/meltCurve_P06400_RB1.pdf")</f>
        <v>Melting_Curves/meltCurve_P06400_RB1.pdf</v>
      </c>
    </row>
    <row r="1521" spans="1:28" x14ac:dyDescent="0.25">
      <c r="A1521" t="s">
        <v>1525</v>
      </c>
      <c r="B1521">
        <v>0.99352677808782597</v>
      </c>
      <c r="C1521">
        <v>1.03796572154024</v>
      </c>
      <c r="D1521">
        <v>0.51648847039511103</v>
      </c>
      <c r="E1521">
        <v>0.25191932383991</v>
      </c>
      <c r="F1521">
        <v>0.19380756957384199</v>
      </c>
      <c r="G1521">
        <v>0.12490295624570801</v>
      </c>
      <c r="H1521">
        <v>8.4599086936102894E-2</v>
      </c>
      <c r="I1521">
        <v>7.6286310850449596E-2</v>
      </c>
      <c r="J1521">
        <v>6.40027848429299E-2</v>
      </c>
      <c r="K1521">
        <v>4.7234612743548197E-2</v>
      </c>
      <c r="L1521">
        <v>1438.9331024727301</v>
      </c>
      <c r="M1521">
        <v>31.154275646699801</v>
      </c>
      <c r="N1521">
        <v>46.531100833320302</v>
      </c>
      <c r="O1521">
        <v>45.998290512899104</v>
      </c>
      <c r="P1521">
        <v>-0.15191795906340799</v>
      </c>
      <c r="Q1521">
        <v>0.10279705167164201</v>
      </c>
      <c r="R1521">
        <v>0.97430684278135404</v>
      </c>
      <c r="S1521" t="s">
        <v>7806</v>
      </c>
      <c r="T1521" t="s">
        <v>12568</v>
      </c>
      <c r="U1521" t="s">
        <v>12568</v>
      </c>
      <c r="V1521" t="s">
        <v>12568</v>
      </c>
      <c r="W1521" t="s">
        <v>14059</v>
      </c>
      <c r="X1521">
        <v>15</v>
      </c>
      <c r="Y1521" t="s">
        <v>20267</v>
      </c>
      <c r="Z1521" t="s">
        <v>26391</v>
      </c>
      <c r="AA1521">
        <v>0.29284215835235622</v>
      </c>
      <c r="AB1521" t="str">
        <f>HYPERLINK("Melting_Curves/meltCurve_P06493_CDK1.pdf", "Melting_Curves/meltCurve_P06493_CDK1.pdf")</f>
        <v>Melting_Curves/meltCurve_P06493_CDK1.pdf</v>
      </c>
    </row>
    <row r="1522" spans="1:28" x14ac:dyDescent="0.25">
      <c r="A1522" t="s">
        <v>1526</v>
      </c>
      <c r="B1522">
        <v>0.99352677808782597</v>
      </c>
      <c r="C1522">
        <v>0.99845910124317405</v>
      </c>
      <c r="D1522">
        <v>0.69156941773189196</v>
      </c>
      <c r="E1522">
        <v>0.36183431021143803</v>
      </c>
      <c r="F1522">
        <v>0.28490483799424499</v>
      </c>
      <c r="G1522">
        <v>0.182031476550962</v>
      </c>
      <c r="H1522">
        <v>0.12777499711010501</v>
      </c>
      <c r="I1522">
        <v>0.124354381005977</v>
      </c>
      <c r="J1522">
        <v>0.105547062111865</v>
      </c>
      <c r="K1522">
        <v>8.1032555809618004E-2</v>
      </c>
      <c r="L1522">
        <v>937.38288512456995</v>
      </c>
      <c r="M1522">
        <v>19.5561456991712</v>
      </c>
      <c r="N1522">
        <v>48.587086931081998</v>
      </c>
      <c r="O1522">
        <v>47.440138891652502</v>
      </c>
      <c r="P1522">
        <v>-9.1131678941578406E-2</v>
      </c>
      <c r="Q1522">
        <v>0.115746876752805</v>
      </c>
      <c r="R1522">
        <v>0.98865715257307996</v>
      </c>
      <c r="S1522" t="s">
        <v>7807</v>
      </c>
      <c r="T1522" t="s">
        <v>12568</v>
      </c>
      <c r="U1522" t="s">
        <v>12568</v>
      </c>
      <c r="V1522" t="s">
        <v>12568</v>
      </c>
      <c r="W1522" t="s">
        <v>14060</v>
      </c>
      <c r="X1522">
        <v>13</v>
      </c>
      <c r="Y1522" t="s">
        <v>20268</v>
      </c>
      <c r="Z1522" t="s">
        <v>26392</v>
      </c>
      <c r="AA1522">
        <v>0.36276885695495947</v>
      </c>
      <c r="AB1522" t="str">
        <f>HYPERLINK("Melting_Curves/meltCurve_P06576_ATP5B.pdf", "Melting_Curves/meltCurve_P06576_ATP5B.pdf")</f>
        <v>Melting_Curves/meltCurve_P06576_ATP5B.pdf</v>
      </c>
    </row>
    <row r="1523" spans="1:28" x14ac:dyDescent="0.25">
      <c r="A1523" t="s">
        <v>1527</v>
      </c>
      <c r="B1523">
        <v>0.99352677808782597</v>
      </c>
      <c r="C1523">
        <v>0.709075532326784</v>
      </c>
      <c r="D1523">
        <v>0.68321254338764703</v>
      </c>
      <c r="E1523">
        <v>0.354541527876856</v>
      </c>
      <c r="F1523">
        <v>0.31288247156973598</v>
      </c>
      <c r="G1523">
        <v>0.18314427303996</v>
      </c>
      <c r="H1523">
        <v>0.15211882990614101</v>
      </c>
      <c r="I1523">
        <v>0.16464910012300499</v>
      </c>
      <c r="J1523">
        <v>0.11426305045384499</v>
      </c>
      <c r="K1523">
        <v>9.0529875523355396E-2</v>
      </c>
      <c r="L1523">
        <v>593.33550233552501</v>
      </c>
      <c r="M1523">
        <v>12.5664686240151</v>
      </c>
      <c r="N1523">
        <v>48.069727878718197</v>
      </c>
      <c r="O1523">
        <v>46.0679574062179</v>
      </c>
      <c r="P1523">
        <v>-6.13854115907565E-2</v>
      </c>
      <c r="Q1523">
        <v>0.100039771902301</v>
      </c>
      <c r="R1523">
        <v>0.97379087989552005</v>
      </c>
      <c r="S1523" t="s">
        <v>7808</v>
      </c>
      <c r="T1523" t="s">
        <v>12568</v>
      </c>
      <c r="U1523" t="s">
        <v>12568</v>
      </c>
      <c r="V1523" t="s">
        <v>12568</v>
      </c>
      <c r="W1523" t="s">
        <v>14061</v>
      </c>
      <c r="X1523">
        <v>7</v>
      </c>
      <c r="Y1523" t="s">
        <v>20269</v>
      </c>
      <c r="Z1523" t="s">
        <v>26393</v>
      </c>
      <c r="AA1523">
        <v>0.35065424168608428</v>
      </c>
      <c r="AB1523" t="str">
        <f>HYPERLINK("Melting_Curves/meltCurve_P06730_EIF4E.pdf", "Melting_Curves/meltCurve_P06730_EIF4E.pdf")</f>
        <v>Melting_Curves/meltCurve_P06730_EIF4E.pdf</v>
      </c>
    </row>
    <row r="1524" spans="1:28" x14ac:dyDescent="0.25">
      <c r="A1524" t="s">
        <v>1528</v>
      </c>
      <c r="B1524">
        <v>0.99352677808782597</v>
      </c>
      <c r="C1524">
        <v>0.91447581665913702</v>
      </c>
      <c r="D1524">
        <v>0.95537892008444303</v>
      </c>
      <c r="E1524">
        <v>0.75354580216867595</v>
      </c>
      <c r="F1524">
        <v>0.66013142167626304</v>
      </c>
      <c r="G1524">
        <v>0.32246133180985997</v>
      </c>
      <c r="H1524">
        <v>0.113117843563074</v>
      </c>
      <c r="I1524">
        <v>8.2080670988071605E-2</v>
      </c>
      <c r="J1524">
        <v>5.9971563060870897E-2</v>
      </c>
      <c r="K1524">
        <v>4.5901848839210002E-2</v>
      </c>
      <c r="L1524">
        <v>856.12463777604603</v>
      </c>
      <c r="M1524">
        <v>15.7379135804655</v>
      </c>
      <c r="N1524">
        <v>54.3988651672232</v>
      </c>
      <c r="O1524">
        <v>53.543274188153397</v>
      </c>
      <c r="P1524">
        <v>-7.3488364654675398E-2</v>
      </c>
      <c r="Q1524">
        <v>0</v>
      </c>
      <c r="R1524">
        <v>0.99133294440367803</v>
      </c>
      <c r="S1524" t="s">
        <v>7809</v>
      </c>
      <c r="T1524" t="s">
        <v>12568</v>
      </c>
      <c r="U1524" t="s">
        <v>12568</v>
      </c>
      <c r="V1524" t="s">
        <v>12568</v>
      </c>
      <c r="W1524" t="s">
        <v>14062</v>
      </c>
      <c r="X1524">
        <v>41</v>
      </c>
      <c r="Y1524" t="s">
        <v>20270</v>
      </c>
      <c r="Z1524" t="s">
        <v>26394</v>
      </c>
      <c r="AA1524">
        <v>0.49888846470650661</v>
      </c>
      <c r="AB1524" t="str">
        <f>HYPERLINK("Melting_Curves/meltCurve_P06733_ENO1.pdf", "Melting_Curves/meltCurve_P06733_ENO1.pdf")</f>
        <v>Melting_Curves/meltCurve_P06733_ENO1.pdf</v>
      </c>
    </row>
    <row r="1525" spans="1:28" x14ac:dyDescent="0.25">
      <c r="A1525" t="s">
        <v>1529</v>
      </c>
      <c r="B1525">
        <v>0.99352677808782597</v>
      </c>
      <c r="C1525">
        <v>1.03377285632219</v>
      </c>
      <c r="D1525">
        <v>0.92921073597966197</v>
      </c>
      <c r="E1525">
        <v>0.74097278604248296</v>
      </c>
      <c r="F1525">
        <v>0.581165671565541</v>
      </c>
      <c r="G1525">
        <v>0.30255105074614402</v>
      </c>
      <c r="H1525">
        <v>0.13850445098140801</v>
      </c>
      <c r="I1525">
        <v>0.100370774056576</v>
      </c>
      <c r="J1525">
        <v>8.2346835288549497E-2</v>
      </c>
      <c r="K1525">
        <v>6.8567230337914398E-2</v>
      </c>
      <c r="L1525">
        <v>870.02772183347997</v>
      </c>
      <c r="M1525">
        <v>16.259771434776699</v>
      </c>
      <c r="N1525">
        <v>53.794589286303399</v>
      </c>
      <c r="O1525">
        <v>52.718268826747</v>
      </c>
      <c r="P1525">
        <v>-7.3913352192267703E-2</v>
      </c>
      <c r="Q1525">
        <v>4.14878370450028E-2</v>
      </c>
      <c r="R1525">
        <v>0.99706943268525805</v>
      </c>
      <c r="S1525" t="s">
        <v>7810</v>
      </c>
      <c r="T1525" t="s">
        <v>12568</v>
      </c>
      <c r="U1525" t="s">
        <v>12568</v>
      </c>
      <c r="V1525" t="s">
        <v>12568</v>
      </c>
      <c r="W1525" t="s">
        <v>14063</v>
      </c>
      <c r="X1525">
        <v>43</v>
      </c>
      <c r="Y1525" t="s">
        <v>20271</v>
      </c>
      <c r="Z1525" t="s">
        <v>26395</v>
      </c>
      <c r="AA1525">
        <v>0.49112858531917952</v>
      </c>
      <c r="AB1525" t="str">
        <f>HYPERLINK("Melting_Curves/meltCurve_P06737_2_PYGL.pdf", "Melting_Curves/meltCurve_P06737_2_PYGL.pdf")</f>
        <v>Melting_Curves/meltCurve_P06737_2_PYGL.pdf</v>
      </c>
    </row>
    <row r="1526" spans="1:28" x14ac:dyDescent="0.25">
      <c r="A1526" t="s">
        <v>1530</v>
      </c>
      <c r="B1526">
        <v>0.99352677808782597</v>
      </c>
      <c r="C1526">
        <v>0.95440495235032197</v>
      </c>
      <c r="D1526">
        <v>0.94763504617518501</v>
      </c>
      <c r="E1526">
        <v>0.77676565178549795</v>
      </c>
      <c r="F1526">
        <v>0.67311485857944497</v>
      </c>
      <c r="G1526">
        <v>0.32939315211528097</v>
      </c>
      <c r="H1526">
        <v>0.100043922741139</v>
      </c>
      <c r="I1526">
        <v>8.3579565762378794E-2</v>
      </c>
      <c r="J1526">
        <v>6.3969295389382202E-2</v>
      </c>
      <c r="K1526">
        <v>5.0731382783934097E-2</v>
      </c>
      <c r="L1526">
        <v>923.92811111635899</v>
      </c>
      <c r="M1526">
        <v>16.956138270374399</v>
      </c>
      <c r="N1526">
        <v>54.554944213764301</v>
      </c>
      <c r="O1526">
        <v>53.748336852452297</v>
      </c>
      <c r="P1526">
        <v>-7.8076664465259002E-2</v>
      </c>
      <c r="Q1526">
        <v>1.00979582411056E-2</v>
      </c>
      <c r="R1526">
        <v>0.99391384967635898</v>
      </c>
      <c r="S1526" t="s">
        <v>7811</v>
      </c>
      <c r="T1526" t="s">
        <v>12568</v>
      </c>
      <c r="U1526" t="s">
        <v>12568</v>
      </c>
      <c r="V1526" t="s">
        <v>12568</v>
      </c>
      <c r="W1526" t="s">
        <v>14064</v>
      </c>
      <c r="X1526">
        <v>38</v>
      </c>
      <c r="Y1526" t="s">
        <v>20272</v>
      </c>
      <c r="Z1526" t="s">
        <v>26396</v>
      </c>
      <c r="AA1526">
        <v>0.50514202162579369</v>
      </c>
      <c r="AB1526" t="str">
        <f>HYPERLINK("Melting_Curves/meltCurve_P06744_GPI.pdf", "Melting_Curves/meltCurve_P06744_GPI.pdf")</f>
        <v>Melting_Curves/meltCurve_P06744_GPI.pdf</v>
      </c>
    </row>
    <row r="1527" spans="1:28" x14ac:dyDescent="0.25">
      <c r="A1527" t="s">
        <v>1531</v>
      </c>
      <c r="B1527">
        <v>0.99352677808782597</v>
      </c>
      <c r="C1527">
        <v>0.97202166582020899</v>
      </c>
      <c r="D1527">
        <v>1.0155667808248301</v>
      </c>
      <c r="E1527">
        <v>1.0565804640504199</v>
      </c>
      <c r="F1527">
        <v>0.97064445536958199</v>
      </c>
      <c r="G1527">
        <v>0.86739115247277598</v>
      </c>
      <c r="H1527">
        <v>1.0105700444774299</v>
      </c>
      <c r="I1527">
        <v>1.11540824280896</v>
      </c>
      <c r="J1527">
        <v>1.37144302977051</v>
      </c>
      <c r="K1527">
        <v>1.1078962282672</v>
      </c>
      <c r="L1527">
        <v>15000</v>
      </c>
      <c r="M1527">
        <v>234.301375777126</v>
      </c>
      <c r="O1527">
        <v>64.015446482636705</v>
      </c>
      <c r="P1527">
        <v>0.21930020710106601</v>
      </c>
      <c r="Q1527">
        <v>1.23966740438773</v>
      </c>
      <c r="R1527">
        <v>0.64605585679578603</v>
      </c>
      <c r="S1527" t="s">
        <v>7812</v>
      </c>
      <c r="T1527" t="s">
        <v>12568</v>
      </c>
      <c r="U1527" t="s">
        <v>12568</v>
      </c>
      <c r="V1527" t="s">
        <v>12568</v>
      </c>
      <c r="W1527" t="s">
        <v>14065</v>
      </c>
      <c r="X1527">
        <v>22</v>
      </c>
      <c r="Y1527" t="s">
        <v>20273</v>
      </c>
      <c r="Z1527" t="s">
        <v>26397</v>
      </c>
      <c r="AA1527">
        <v>1.0477421608385999</v>
      </c>
      <c r="AB1527" t="str">
        <f>HYPERLINK("Melting_Curves/meltCurve_P06748_NPM1.pdf", "Melting_Curves/meltCurve_P06748_NPM1.pdf")</f>
        <v>Melting_Curves/meltCurve_P06748_NPM1.pdf</v>
      </c>
    </row>
    <row r="1528" spans="1:28" x14ac:dyDescent="0.25">
      <c r="A1528" t="s">
        <v>1532</v>
      </c>
      <c r="B1528">
        <v>0.99352677808782597</v>
      </c>
      <c r="C1528">
        <v>1.0097671299626001</v>
      </c>
      <c r="D1528">
        <v>1.0648113455413999</v>
      </c>
      <c r="E1528">
        <v>1.0154186280152799</v>
      </c>
      <c r="F1528">
        <v>0.93541088276333895</v>
      </c>
      <c r="G1528">
        <v>0.81631799131001803</v>
      </c>
      <c r="H1528">
        <v>0.86167008943622103</v>
      </c>
      <c r="I1528">
        <v>0.89362230059689596</v>
      </c>
      <c r="J1528">
        <v>1.04481270582231</v>
      </c>
      <c r="K1528">
        <v>0.85805662890765499</v>
      </c>
      <c r="L1528">
        <v>13225.282183596</v>
      </c>
      <c r="M1528">
        <v>250</v>
      </c>
      <c r="O1528">
        <v>52.897720383133702</v>
      </c>
      <c r="P1528">
        <v>-0.124183060721623</v>
      </c>
      <c r="Q1528">
        <v>0.89489594089484603</v>
      </c>
      <c r="R1528">
        <v>0.48599606393603301</v>
      </c>
      <c r="S1528" t="s">
        <v>7813</v>
      </c>
      <c r="T1528" t="s">
        <v>12568</v>
      </c>
      <c r="U1528" t="s">
        <v>12568</v>
      </c>
      <c r="V1528" t="s">
        <v>12568</v>
      </c>
      <c r="W1528" t="s">
        <v>14066</v>
      </c>
      <c r="X1528">
        <v>51</v>
      </c>
      <c r="Y1528" t="s">
        <v>20274</v>
      </c>
      <c r="Z1528" t="s">
        <v>26398</v>
      </c>
      <c r="AA1528">
        <v>0.9401043987255403</v>
      </c>
      <c r="AB1528" t="str">
        <f>HYPERLINK("Melting_Curves/meltCurve_P06753_2_TPM3.pdf", "Melting_Curves/meltCurve_P06753_2_TPM3.pdf")</f>
        <v>Melting_Curves/meltCurve_P06753_2_TPM3.pdf</v>
      </c>
    </row>
    <row r="1529" spans="1:28" x14ac:dyDescent="0.25">
      <c r="A1529" t="s">
        <v>1533</v>
      </c>
      <c r="B1529">
        <v>0.99352677808782597</v>
      </c>
      <c r="C1529">
        <v>0.94714892955900198</v>
      </c>
      <c r="D1529">
        <v>1.0476997075230901</v>
      </c>
      <c r="E1529">
        <v>1.0900513740665501</v>
      </c>
      <c r="F1529">
        <v>0.98320130138703998</v>
      </c>
      <c r="G1529">
        <v>0.89412499406545998</v>
      </c>
      <c r="H1529">
        <v>0.89582888163473096</v>
      </c>
      <c r="I1529">
        <v>0.98500180501911905</v>
      </c>
      <c r="J1529">
        <v>1.10805384423121</v>
      </c>
      <c r="K1529">
        <v>0.94747444575540196</v>
      </c>
      <c r="L1529">
        <v>13250.956842830399</v>
      </c>
      <c r="M1529">
        <v>250</v>
      </c>
      <c r="O1529">
        <v>53.000435349307999</v>
      </c>
      <c r="P1529">
        <v>-3.9979873178608703E-2</v>
      </c>
      <c r="Q1529">
        <v>0.96609678901863305</v>
      </c>
      <c r="R1529">
        <v>9.9174428170711898E-2</v>
      </c>
      <c r="S1529" t="s">
        <v>7814</v>
      </c>
      <c r="T1529" t="s">
        <v>12568</v>
      </c>
      <c r="U1529" t="s">
        <v>12568</v>
      </c>
      <c r="V1529" t="s">
        <v>12568</v>
      </c>
      <c r="W1529" t="s">
        <v>14067</v>
      </c>
      <c r="X1529">
        <v>49</v>
      </c>
      <c r="Y1529" t="s">
        <v>20274</v>
      </c>
      <c r="Z1529" t="s">
        <v>26399</v>
      </c>
      <c r="AA1529">
        <v>0.98079565949007053</v>
      </c>
      <c r="AB1529" t="str">
        <f>HYPERLINK("Melting_Curves/meltCurve_P06753_3_TPM3.pdf", "Melting_Curves/meltCurve_P06753_3_TPM3.pdf")</f>
        <v>Melting_Curves/meltCurve_P06753_3_TPM3.pdf</v>
      </c>
    </row>
    <row r="1530" spans="1:28" x14ac:dyDescent="0.25">
      <c r="A1530" t="s">
        <v>1534</v>
      </c>
      <c r="B1530">
        <v>0.99352677808782597</v>
      </c>
      <c r="C1530">
        <v>0.97575702277904197</v>
      </c>
      <c r="D1530">
        <v>0.90195639105820002</v>
      </c>
      <c r="E1530">
        <v>0.71028918246535</v>
      </c>
      <c r="F1530">
        <v>0.61008282112926104</v>
      </c>
      <c r="G1530">
        <v>0.45209885518618897</v>
      </c>
      <c r="H1530">
        <v>0.39695132941303402</v>
      </c>
      <c r="I1530">
        <v>0.35996217481698001</v>
      </c>
      <c r="J1530">
        <v>0.43402108719708798</v>
      </c>
      <c r="K1530">
        <v>0.28768224796441699</v>
      </c>
      <c r="L1530">
        <v>746.11750367534796</v>
      </c>
      <c r="M1530">
        <v>14.5417272579779</v>
      </c>
      <c r="N1530">
        <v>55.571283960487797</v>
      </c>
      <c r="O1530">
        <v>50.367685373354597</v>
      </c>
      <c r="P1530">
        <v>-4.7923553889074301E-2</v>
      </c>
      <c r="Q1530">
        <v>0.33611079494995999</v>
      </c>
      <c r="R1530">
        <v>0.98316271339222505</v>
      </c>
      <c r="S1530" t="s">
        <v>7815</v>
      </c>
      <c r="T1530" t="s">
        <v>12568</v>
      </c>
      <c r="U1530" t="s">
        <v>12568</v>
      </c>
      <c r="V1530" t="s">
        <v>12568</v>
      </c>
      <c r="W1530" t="s">
        <v>14068</v>
      </c>
      <c r="X1530">
        <v>7</v>
      </c>
      <c r="Y1530" t="s">
        <v>20275</v>
      </c>
      <c r="Z1530" t="s">
        <v>26400</v>
      </c>
      <c r="AA1530">
        <v>0.60233124090922796</v>
      </c>
      <c r="AB1530" t="str">
        <f>HYPERLINK("Melting_Curves/meltCurve_P06756_3_ITGAV.pdf", "Melting_Curves/meltCurve_P06756_3_ITGAV.pdf")</f>
        <v>Melting_Curves/meltCurve_P06756_3_ITGAV.pdf</v>
      </c>
    </row>
    <row r="1531" spans="1:28" x14ac:dyDescent="0.25">
      <c r="A1531" t="s">
        <v>1535</v>
      </c>
      <c r="B1531">
        <v>0.99352677808782597</v>
      </c>
      <c r="C1531">
        <v>1.02105088175042</v>
      </c>
      <c r="D1531">
        <v>0.96419799823525698</v>
      </c>
      <c r="E1531">
        <v>0.881249144938128</v>
      </c>
      <c r="F1531">
        <v>0.78764932173427904</v>
      </c>
      <c r="G1531">
        <v>0.37357389812040598</v>
      </c>
      <c r="H1531">
        <v>0.164273145890871</v>
      </c>
      <c r="I1531">
        <v>0.154737872081609</v>
      </c>
      <c r="J1531">
        <v>0.11475106647286901</v>
      </c>
      <c r="K1531">
        <v>9.3760843473142896E-2</v>
      </c>
      <c r="L1531">
        <v>1306.51242858766</v>
      </c>
      <c r="M1531">
        <v>23.676002275470001</v>
      </c>
      <c r="N1531">
        <v>55.689164886660102</v>
      </c>
      <c r="O1531">
        <v>54.793819702156703</v>
      </c>
      <c r="P1531">
        <v>-9.7567061488494297E-2</v>
      </c>
      <c r="Q1531">
        <v>9.6809761518236004E-2</v>
      </c>
      <c r="R1531">
        <v>0.99601265067670697</v>
      </c>
      <c r="S1531" t="s">
        <v>7816</v>
      </c>
      <c r="T1531" t="s">
        <v>12568</v>
      </c>
      <c r="U1531" t="s">
        <v>12568</v>
      </c>
      <c r="V1531" t="s">
        <v>12568</v>
      </c>
      <c r="W1531" t="s">
        <v>14069</v>
      </c>
      <c r="X1531">
        <v>11</v>
      </c>
      <c r="Y1531" t="s">
        <v>20276</v>
      </c>
      <c r="Z1531" t="s">
        <v>26401</v>
      </c>
      <c r="AA1531">
        <v>0.56307711386566828</v>
      </c>
      <c r="AB1531" t="str">
        <f>HYPERLINK("Melting_Curves/meltCurve_P06865_HEXA.pdf", "Melting_Curves/meltCurve_P06865_HEXA.pdf")</f>
        <v>Melting_Curves/meltCurve_P06865_HEXA.pdf</v>
      </c>
    </row>
    <row r="1532" spans="1:28" x14ac:dyDescent="0.25">
      <c r="A1532" t="s">
        <v>1536</v>
      </c>
      <c r="B1532">
        <v>0.99352677808782597</v>
      </c>
      <c r="C1532">
        <v>0.97619147403063999</v>
      </c>
      <c r="D1532">
        <v>0.83619131106623601</v>
      </c>
      <c r="E1532">
        <v>0.74142857037638898</v>
      </c>
      <c r="F1532">
        <v>0.70849254023306696</v>
      </c>
      <c r="G1532">
        <v>0.51739392266191797</v>
      </c>
      <c r="H1532">
        <v>0.579456639290444</v>
      </c>
      <c r="I1532">
        <v>0.62759263334087201</v>
      </c>
      <c r="J1532">
        <v>0.68110394843727495</v>
      </c>
      <c r="K1532">
        <v>0.61470749519954004</v>
      </c>
      <c r="L1532">
        <v>892.82139981857404</v>
      </c>
      <c r="M1532">
        <v>18.746788690751298</v>
      </c>
      <c r="O1532">
        <v>47.0933140103105</v>
      </c>
      <c r="P1532">
        <v>-3.8941141633629897E-2</v>
      </c>
      <c r="Q1532">
        <v>0.60872445378656603</v>
      </c>
      <c r="R1532">
        <v>0.90500289279944102</v>
      </c>
      <c r="S1532" t="s">
        <v>7817</v>
      </c>
      <c r="T1532" t="s">
        <v>12568</v>
      </c>
      <c r="U1532" t="s">
        <v>12568</v>
      </c>
      <c r="V1532" t="s">
        <v>12568</v>
      </c>
      <c r="W1532" t="s">
        <v>14070</v>
      </c>
      <c r="X1532">
        <v>1</v>
      </c>
      <c r="Y1532" t="s">
        <v>20277</v>
      </c>
      <c r="Z1532" t="s">
        <v>26402</v>
      </c>
      <c r="AA1532">
        <v>0.71462376801871363</v>
      </c>
      <c r="AB1532" t="str">
        <f>HYPERLINK("Melting_Curves/meltCurve_P07093_2_SERPINE2.pdf", "Melting_Curves/meltCurve_P07093_2_SERPINE2.pdf")</f>
        <v>Melting_Curves/meltCurve_P07093_2_SERPINE2.pdf</v>
      </c>
    </row>
    <row r="1533" spans="1:28" x14ac:dyDescent="0.25">
      <c r="A1533" t="s">
        <v>1537</v>
      </c>
      <c r="B1533">
        <v>0.99352677808782597</v>
      </c>
      <c r="C1533">
        <v>0.99440010514433197</v>
      </c>
      <c r="D1533">
        <v>0.82591731527735301</v>
      </c>
      <c r="E1533">
        <v>0.92210814045432499</v>
      </c>
      <c r="F1533">
        <v>0.65309724160722304</v>
      </c>
      <c r="G1533">
        <v>0.47608832394039202</v>
      </c>
      <c r="H1533">
        <v>0.23103444173545301</v>
      </c>
      <c r="I1533">
        <v>0.22874457727459799</v>
      </c>
      <c r="J1533">
        <v>0.20604916819548</v>
      </c>
      <c r="K1533">
        <v>0.108898220661213</v>
      </c>
      <c r="L1533">
        <v>766.33564760109095</v>
      </c>
      <c r="M1533">
        <v>13.8303358361302</v>
      </c>
      <c r="N1533">
        <v>56.177349772422097</v>
      </c>
      <c r="O1533">
        <v>54.289868937643597</v>
      </c>
      <c r="P1533">
        <v>-5.82123501810035E-2</v>
      </c>
      <c r="Q1533">
        <v>8.6095283034195405E-2</v>
      </c>
      <c r="R1533">
        <v>0.97324250339203899</v>
      </c>
      <c r="S1533" t="s">
        <v>7818</v>
      </c>
      <c r="T1533" t="s">
        <v>12568</v>
      </c>
      <c r="U1533" t="s">
        <v>12568</v>
      </c>
      <c r="V1533" t="s">
        <v>12568</v>
      </c>
      <c r="W1533" t="s">
        <v>14071</v>
      </c>
      <c r="X1533">
        <v>1</v>
      </c>
      <c r="Y1533" t="s">
        <v>20278</v>
      </c>
      <c r="Z1533" t="s">
        <v>26403</v>
      </c>
      <c r="AA1533">
        <v>0.57392150761313432</v>
      </c>
      <c r="AB1533" t="str">
        <f>HYPERLINK("Melting_Curves/meltCurve_P07099_EPHX1.pdf", "Melting_Curves/meltCurve_P07099_EPHX1.pdf")</f>
        <v>Melting_Curves/meltCurve_P07099_EPHX1.pdf</v>
      </c>
    </row>
    <row r="1534" spans="1:28" x14ac:dyDescent="0.25">
      <c r="A1534" t="s">
        <v>1538</v>
      </c>
      <c r="B1534">
        <v>0.99352677808782597</v>
      </c>
      <c r="C1534">
        <v>0.95715961912402803</v>
      </c>
      <c r="D1534">
        <v>1.1643290496279</v>
      </c>
      <c r="E1534">
        <v>1.03849514704938</v>
      </c>
      <c r="F1534">
        <v>0.85584654249452197</v>
      </c>
      <c r="G1534">
        <v>0.89563851871559597</v>
      </c>
      <c r="H1534">
        <v>0.81820254181616903</v>
      </c>
      <c r="I1534">
        <v>0.76157908872706603</v>
      </c>
      <c r="J1534">
        <v>0.87436573028672404</v>
      </c>
      <c r="K1534">
        <v>0.81724378014444798</v>
      </c>
      <c r="L1534">
        <v>13151.422056098299</v>
      </c>
      <c r="M1534">
        <v>250</v>
      </c>
      <c r="O1534">
        <v>52.602321836161302</v>
      </c>
      <c r="P1534">
        <v>-0.197940627069459</v>
      </c>
      <c r="Q1534">
        <v>0.83340581516748002</v>
      </c>
      <c r="R1534">
        <v>0.68813496284616804</v>
      </c>
      <c r="S1534" t="s">
        <v>7819</v>
      </c>
      <c r="T1534" t="s">
        <v>12568</v>
      </c>
      <c r="U1534" t="s">
        <v>12568</v>
      </c>
      <c r="V1534" t="s">
        <v>12568</v>
      </c>
      <c r="W1534" t="s">
        <v>14072</v>
      </c>
      <c r="X1534">
        <v>11</v>
      </c>
      <c r="Y1534" t="s">
        <v>20279</v>
      </c>
      <c r="Z1534" t="s">
        <v>26404</v>
      </c>
      <c r="AA1534">
        <v>0.90342234063634108</v>
      </c>
      <c r="AB1534" t="str">
        <f>HYPERLINK("Melting_Curves/meltCurve_P07108_DBI.pdf", "Melting_Curves/meltCurve_P07108_DBI.pdf")</f>
        <v>Melting_Curves/meltCurve_P07108_DBI.pdf</v>
      </c>
    </row>
    <row r="1535" spans="1:28" x14ac:dyDescent="0.25">
      <c r="A1535" t="s">
        <v>1539</v>
      </c>
      <c r="B1535">
        <v>0.99352677808782597</v>
      </c>
      <c r="C1535">
        <v>0.98256769679677602</v>
      </c>
      <c r="D1535">
        <v>0.96282522119201797</v>
      </c>
      <c r="E1535">
        <v>0.90048465473219397</v>
      </c>
      <c r="F1535">
        <v>0.84055889253474003</v>
      </c>
      <c r="G1535">
        <v>0.78240459355533098</v>
      </c>
      <c r="H1535">
        <v>0.62057606114442498</v>
      </c>
      <c r="I1535">
        <v>0.69146573191132099</v>
      </c>
      <c r="J1535">
        <v>0.49261733798791602</v>
      </c>
      <c r="K1535">
        <v>0.55351011693383101</v>
      </c>
      <c r="L1535">
        <v>524.48952496501897</v>
      </c>
      <c r="M1535">
        <v>8.8091484659478798</v>
      </c>
      <c r="O1535">
        <v>56.710248694490197</v>
      </c>
      <c r="P1535">
        <v>-2.3270805084394299E-2</v>
      </c>
      <c r="Q1535">
        <v>0.401233998941317</v>
      </c>
      <c r="R1535">
        <v>0.94996275061154101</v>
      </c>
      <c r="S1535" t="s">
        <v>7820</v>
      </c>
      <c r="T1535" t="s">
        <v>12568</v>
      </c>
      <c r="U1535" t="s">
        <v>12568</v>
      </c>
      <c r="V1535" t="s">
        <v>12568</v>
      </c>
      <c r="W1535" t="s">
        <v>14073</v>
      </c>
      <c r="X1535">
        <v>4</v>
      </c>
      <c r="Y1535" t="s">
        <v>20280</v>
      </c>
      <c r="Z1535" t="s">
        <v>26405</v>
      </c>
      <c r="AA1535">
        <v>0.7877406049503054</v>
      </c>
      <c r="AB1535" t="str">
        <f>HYPERLINK("Melting_Curves/meltCurve_P07148_FABP1.pdf", "Melting_Curves/meltCurve_P07148_FABP1.pdf")</f>
        <v>Melting_Curves/meltCurve_P07148_FABP1.pdf</v>
      </c>
    </row>
    <row r="1536" spans="1:28" x14ac:dyDescent="0.25">
      <c r="A1536" t="s">
        <v>1540</v>
      </c>
      <c r="B1536">
        <v>0.99352677808782597</v>
      </c>
      <c r="C1536">
        <v>1.0167954819007901</v>
      </c>
      <c r="D1536">
        <v>0.93496096588815603</v>
      </c>
      <c r="E1536">
        <v>0.88118428889372502</v>
      </c>
      <c r="F1536">
        <v>0.77573791654792701</v>
      </c>
      <c r="G1536">
        <v>0.67048947419209204</v>
      </c>
      <c r="H1536">
        <v>0.79543406317119403</v>
      </c>
      <c r="I1536">
        <v>0.51329371511520305</v>
      </c>
      <c r="J1536">
        <v>0.24589571280068501</v>
      </c>
      <c r="K1536">
        <v>9.60042347402362E-2</v>
      </c>
      <c r="L1536">
        <v>716.53435002376796</v>
      </c>
      <c r="M1536">
        <v>11.438339981704701</v>
      </c>
      <c r="N1536">
        <v>62.643211460987303</v>
      </c>
      <c r="O1536">
        <v>60.820231524668898</v>
      </c>
      <c r="P1536">
        <v>-4.7030644050305201E-2</v>
      </c>
      <c r="Q1536">
        <v>0</v>
      </c>
      <c r="R1536">
        <v>0.88276673723120203</v>
      </c>
      <c r="S1536" t="s">
        <v>7821</v>
      </c>
      <c r="T1536" t="s">
        <v>12568</v>
      </c>
      <c r="U1536" t="s">
        <v>12568</v>
      </c>
      <c r="V1536" t="s">
        <v>12568</v>
      </c>
      <c r="W1536" t="s">
        <v>14074</v>
      </c>
      <c r="X1536">
        <v>25</v>
      </c>
      <c r="Y1536" t="s">
        <v>20281</v>
      </c>
      <c r="Z1536" t="s">
        <v>26406</v>
      </c>
      <c r="AA1536">
        <v>0.73555339829950706</v>
      </c>
      <c r="AB1536" t="str">
        <f>HYPERLINK("Melting_Curves/meltCurve_P07195_LDHB.pdf", "Melting_Curves/meltCurve_P07195_LDHB.pdf")</f>
        <v>Melting_Curves/meltCurve_P07195_LDHB.pdf</v>
      </c>
    </row>
    <row r="1537" spans="1:28" x14ac:dyDescent="0.25">
      <c r="A1537" t="s">
        <v>1541</v>
      </c>
      <c r="B1537">
        <v>0.99352677808782597</v>
      </c>
      <c r="C1537">
        <v>0.90233625605409296</v>
      </c>
      <c r="D1537">
        <v>0.86381516612202502</v>
      </c>
      <c r="E1537">
        <v>0.486807250600574</v>
      </c>
      <c r="F1537">
        <v>0.457913643236667</v>
      </c>
      <c r="G1537">
        <v>0.29415239909003599</v>
      </c>
      <c r="H1537">
        <v>0.20903605688386701</v>
      </c>
      <c r="I1537">
        <v>0.172141435142938</v>
      </c>
      <c r="J1537">
        <v>0.14353605602327499</v>
      </c>
      <c r="K1537">
        <v>9.0050807375868097E-2</v>
      </c>
      <c r="L1537">
        <v>641.87061448532404</v>
      </c>
      <c r="M1537">
        <v>12.7063462365284</v>
      </c>
      <c r="N1537">
        <v>51.448538511870197</v>
      </c>
      <c r="O1537">
        <v>49.313551335632702</v>
      </c>
      <c r="P1537">
        <v>-5.7800061340373E-2</v>
      </c>
      <c r="Q1537">
        <v>0.102881102458413</v>
      </c>
      <c r="R1537">
        <v>0.98365628855001397</v>
      </c>
      <c r="S1537" t="s">
        <v>7822</v>
      </c>
      <c r="T1537" t="s">
        <v>12568</v>
      </c>
      <c r="U1537" t="s">
        <v>12568</v>
      </c>
      <c r="V1537" t="s">
        <v>12568</v>
      </c>
      <c r="W1537" t="s">
        <v>14075</v>
      </c>
      <c r="X1537">
        <v>1</v>
      </c>
      <c r="Y1537" t="s">
        <v>20282</v>
      </c>
      <c r="Z1537" t="s">
        <v>26407</v>
      </c>
      <c r="AA1537">
        <v>0.44494980029244602</v>
      </c>
      <c r="AB1537" t="str">
        <f>HYPERLINK("Melting_Curves/meltCurve_P07199_CENPB.pdf", "Melting_Curves/meltCurve_P07199_CENPB.pdf")</f>
        <v>Melting_Curves/meltCurve_P07199_CENPB.pdf</v>
      </c>
    </row>
    <row r="1538" spans="1:28" x14ac:dyDescent="0.25">
      <c r="A1538" t="s">
        <v>1542</v>
      </c>
      <c r="B1538">
        <v>0.99352677808782597</v>
      </c>
      <c r="C1538">
        <v>1.00154772392014</v>
      </c>
      <c r="D1538">
        <v>0.93657187095787897</v>
      </c>
      <c r="E1538">
        <v>0.73052879906135404</v>
      </c>
      <c r="F1538">
        <v>0.68605073356478397</v>
      </c>
      <c r="G1538">
        <v>0.48300108062508801</v>
      </c>
      <c r="H1538">
        <v>0.402425913303532</v>
      </c>
      <c r="I1538">
        <v>0.39664021240984398</v>
      </c>
      <c r="J1538">
        <v>0.33364410085954199</v>
      </c>
      <c r="K1538">
        <v>0.224917005770461</v>
      </c>
      <c r="L1538">
        <v>605.75192209843499</v>
      </c>
      <c r="M1538">
        <v>11.173553574472599</v>
      </c>
      <c r="N1538">
        <v>57.2939542909929</v>
      </c>
      <c r="O1538">
        <v>52.563475865400598</v>
      </c>
      <c r="P1538">
        <v>-4.1155040644386097E-2</v>
      </c>
      <c r="Q1538">
        <v>0.22582728222428899</v>
      </c>
      <c r="R1538">
        <v>0.98231799559033794</v>
      </c>
      <c r="S1538" t="s">
        <v>7823</v>
      </c>
      <c r="T1538" t="s">
        <v>12568</v>
      </c>
      <c r="U1538" t="s">
        <v>12568</v>
      </c>
      <c r="V1538" t="s">
        <v>12568</v>
      </c>
      <c r="W1538" t="s">
        <v>14076</v>
      </c>
      <c r="X1538">
        <v>5</v>
      </c>
      <c r="Y1538" t="s">
        <v>20283</v>
      </c>
      <c r="Z1538" t="s">
        <v>26408</v>
      </c>
      <c r="AA1538">
        <v>0.61360981193656416</v>
      </c>
      <c r="AB1538" t="str">
        <f>HYPERLINK("Melting_Curves/meltCurve_P07203_GPX1.pdf", "Melting_Curves/meltCurve_P07203_GPX1.pdf")</f>
        <v>Melting_Curves/meltCurve_P07203_GPX1.pdf</v>
      </c>
    </row>
    <row r="1539" spans="1:28" x14ac:dyDescent="0.25">
      <c r="A1539" t="s">
        <v>1543</v>
      </c>
      <c r="B1539">
        <v>0.99352677808782597</v>
      </c>
      <c r="C1539">
        <v>0.99180590006365998</v>
      </c>
      <c r="D1539">
        <v>0.95379979920198898</v>
      </c>
      <c r="E1539">
        <v>0.99057566487327597</v>
      </c>
      <c r="F1539">
        <v>0.90237150707071201</v>
      </c>
      <c r="G1539">
        <v>0.90751065508278095</v>
      </c>
      <c r="H1539">
        <v>0.87892149346061399</v>
      </c>
      <c r="I1539">
        <v>1.0071153256291501</v>
      </c>
      <c r="J1539">
        <v>0.98415917456464796</v>
      </c>
      <c r="K1539">
        <v>0.78060664951063097</v>
      </c>
      <c r="L1539">
        <v>207.65377080341599</v>
      </c>
      <c r="M1539">
        <v>0.95436489214930498</v>
      </c>
      <c r="Q1539">
        <v>0</v>
      </c>
      <c r="R1539">
        <v>0.25841759249229301</v>
      </c>
      <c r="S1539" t="s">
        <v>7824</v>
      </c>
      <c r="T1539" t="s">
        <v>12568</v>
      </c>
      <c r="U1539" t="s">
        <v>12568</v>
      </c>
      <c r="V1539" t="s">
        <v>12568</v>
      </c>
      <c r="W1539" t="s">
        <v>14077</v>
      </c>
      <c r="X1539">
        <v>2</v>
      </c>
      <c r="Y1539" t="s">
        <v>20284</v>
      </c>
      <c r="Z1539" t="s">
        <v>26409</v>
      </c>
      <c r="AA1539">
        <v>0.94048472189674648</v>
      </c>
      <c r="AB1539" t="str">
        <f>HYPERLINK("Melting_Curves/meltCurve_P07204_THBD.pdf", "Melting_Curves/meltCurve_P07204_THBD.pdf")</f>
        <v>Melting_Curves/meltCurve_P07204_THBD.pdf</v>
      </c>
    </row>
    <row r="1540" spans="1:28" x14ac:dyDescent="0.25">
      <c r="A1540" t="s">
        <v>1544</v>
      </c>
      <c r="B1540">
        <v>0.99352677808782597</v>
      </c>
      <c r="C1540">
        <v>1.0191742076038099</v>
      </c>
      <c r="D1540">
        <v>1.0003675909898999</v>
      </c>
      <c r="E1540">
        <v>1.00979890115774</v>
      </c>
      <c r="F1540">
        <v>0.86417511717932705</v>
      </c>
      <c r="G1540">
        <v>0.78113957273427004</v>
      </c>
      <c r="H1540">
        <v>0.83721153177371399</v>
      </c>
      <c r="I1540">
        <v>0.82226683869226602</v>
      </c>
      <c r="J1540">
        <v>0.95200236336692401</v>
      </c>
      <c r="K1540">
        <v>0.69112168938603902</v>
      </c>
      <c r="L1540">
        <v>13194.234503641401</v>
      </c>
      <c r="M1540">
        <v>250</v>
      </c>
      <c r="O1540">
        <v>52.773560642860097</v>
      </c>
      <c r="P1540">
        <v>-0.217025822801062</v>
      </c>
      <c r="Q1540">
        <v>0.81674839349212902</v>
      </c>
      <c r="R1540">
        <v>0.689022801352286</v>
      </c>
      <c r="S1540" t="s">
        <v>7825</v>
      </c>
      <c r="T1540" t="s">
        <v>12568</v>
      </c>
      <c r="U1540" t="s">
        <v>12568</v>
      </c>
      <c r="V1540" t="s">
        <v>12568</v>
      </c>
      <c r="W1540" t="s">
        <v>14078</v>
      </c>
      <c r="X1540">
        <v>47</v>
      </c>
      <c r="Y1540" t="s">
        <v>20285</v>
      </c>
      <c r="Z1540" t="s">
        <v>26410</v>
      </c>
      <c r="AA1540">
        <v>0.89481184733227492</v>
      </c>
      <c r="AB1540" t="str">
        <f>HYPERLINK("Melting_Curves/meltCurve_P07237_P4HB.pdf", "Melting_Curves/meltCurve_P07237_P4HB.pdf")</f>
        <v>Melting_Curves/meltCurve_P07237_P4HB.pdf</v>
      </c>
    </row>
    <row r="1541" spans="1:28" x14ac:dyDescent="0.25">
      <c r="A1541" t="s">
        <v>1545</v>
      </c>
      <c r="B1541">
        <v>0.99352677808782597</v>
      </c>
      <c r="C1541">
        <v>1.02074349336796</v>
      </c>
      <c r="D1541">
        <v>1.04194872399315</v>
      </c>
      <c r="E1541">
        <v>0.77708852275225504</v>
      </c>
      <c r="F1541">
        <v>0.70165651268447005</v>
      </c>
      <c r="G1541">
        <v>0.474501341197132</v>
      </c>
      <c r="H1541">
        <v>0.36569647717764597</v>
      </c>
      <c r="I1541">
        <v>0.39265832373120102</v>
      </c>
      <c r="J1541">
        <v>0.36426655797445101</v>
      </c>
      <c r="K1541">
        <v>0.367436331044945</v>
      </c>
      <c r="L1541">
        <v>1067.29819395191</v>
      </c>
      <c r="M1541">
        <v>20.231915741244698</v>
      </c>
      <c r="N1541">
        <v>56.241835862062104</v>
      </c>
      <c r="O1541">
        <v>52.245929685961997</v>
      </c>
      <c r="P1541">
        <v>-6.2207048925001299E-2</v>
      </c>
      <c r="Q1541">
        <v>0.357457981045049</v>
      </c>
      <c r="R1541">
        <v>0.98308885525794398</v>
      </c>
      <c r="S1541" t="s">
        <v>7826</v>
      </c>
      <c r="T1541" t="s">
        <v>12568</v>
      </c>
      <c r="U1541" t="s">
        <v>12568</v>
      </c>
      <c r="V1541" t="s">
        <v>12568</v>
      </c>
      <c r="W1541" t="s">
        <v>14079</v>
      </c>
      <c r="X1541">
        <v>3</v>
      </c>
      <c r="Y1541" t="s">
        <v>20286</v>
      </c>
      <c r="Z1541" t="s">
        <v>26411</v>
      </c>
      <c r="AA1541">
        <v>0.63928618273765425</v>
      </c>
      <c r="AB1541" t="str">
        <f>HYPERLINK("Melting_Curves/meltCurve_P07305_2_H1F0.pdf", "Melting_Curves/meltCurve_P07305_2_H1F0.pdf")</f>
        <v>Melting_Curves/meltCurve_P07305_2_H1F0.pdf</v>
      </c>
    </row>
    <row r="1542" spans="1:28" x14ac:dyDescent="0.25">
      <c r="A1542" t="s">
        <v>1546</v>
      </c>
      <c r="B1542">
        <v>0.99352677808782597</v>
      </c>
      <c r="C1542">
        <v>1.00595627945681</v>
      </c>
      <c r="D1542">
        <v>1.05061864959031</v>
      </c>
      <c r="E1542">
        <v>1.0165523952039599</v>
      </c>
      <c r="F1542">
        <v>0.89121327876045098</v>
      </c>
      <c r="G1542">
        <v>0.85793964612845197</v>
      </c>
      <c r="H1542">
        <v>0.55139456506940299</v>
      </c>
      <c r="I1542">
        <v>0.4819930866439</v>
      </c>
      <c r="J1542">
        <v>0.39526710167866802</v>
      </c>
      <c r="K1542">
        <v>0.35735863760230702</v>
      </c>
      <c r="L1542">
        <v>1255.48920188754</v>
      </c>
      <c r="M1542">
        <v>21.0740184697374</v>
      </c>
      <c r="N1542">
        <v>62.881535389756799</v>
      </c>
      <c r="O1542">
        <v>59.046552987933097</v>
      </c>
      <c r="P1542">
        <v>-5.9345709743071302E-2</v>
      </c>
      <c r="Q1542">
        <v>0.33490289584796701</v>
      </c>
      <c r="R1542">
        <v>0.98415048412465</v>
      </c>
      <c r="S1542" t="s">
        <v>7827</v>
      </c>
      <c r="T1542" t="s">
        <v>12568</v>
      </c>
      <c r="U1542" t="s">
        <v>12568</v>
      </c>
      <c r="V1542" t="s">
        <v>12568</v>
      </c>
      <c r="W1542" t="s">
        <v>14080</v>
      </c>
      <c r="X1542">
        <v>6</v>
      </c>
      <c r="Y1542" t="s">
        <v>20287</v>
      </c>
      <c r="Z1542" t="s">
        <v>26412</v>
      </c>
      <c r="AA1542">
        <v>0.77481998019977949</v>
      </c>
      <c r="AB1542" t="str">
        <f>HYPERLINK("Melting_Curves/meltCurve_P07311_ACYP1.pdf", "Melting_Curves/meltCurve_P07311_ACYP1.pdf")</f>
        <v>Melting_Curves/meltCurve_P07311_ACYP1.pdf</v>
      </c>
    </row>
    <row r="1543" spans="1:28" x14ac:dyDescent="0.25">
      <c r="A1543" t="s">
        <v>1547</v>
      </c>
      <c r="B1543">
        <v>0.99352677808782597</v>
      </c>
      <c r="C1543">
        <v>0.80467895421937796</v>
      </c>
      <c r="D1543">
        <v>1.03253206130046</v>
      </c>
      <c r="E1543">
        <v>0.73409686455033596</v>
      </c>
      <c r="F1543">
        <v>0.59365940943733297</v>
      </c>
      <c r="G1543">
        <v>0.13712769036692801</v>
      </c>
      <c r="H1543">
        <v>8.8787953216128604E-2</v>
      </c>
      <c r="I1543">
        <v>7.6103310372577102E-2</v>
      </c>
      <c r="J1543">
        <v>6.2349757838791299E-2</v>
      </c>
      <c r="K1543">
        <v>4.9532872300974598E-2</v>
      </c>
      <c r="L1543">
        <v>1190.8653989807799</v>
      </c>
      <c r="M1543">
        <v>22.481723483169201</v>
      </c>
      <c r="N1543">
        <v>53.176344266621001</v>
      </c>
      <c r="O1543">
        <v>52.556614305165098</v>
      </c>
      <c r="P1543">
        <v>-0.102483506618831</v>
      </c>
      <c r="Q1543">
        <v>4.1697021194820903E-2</v>
      </c>
      <c r="R1543">
        <v>0.96407546279787304</v>
      </c>
      <c r="S1543" t="s">
        <v>7828</v>
      </c>
      <c r="T1543" t="s">
        <v>12568</v>
      </c>
      <c r="U1543" t="s">
        <v>12568</v>
      </c>
      <c r="V1543" t="s">
        <v>12568</v>
      </c>
      <c r="W1543" t="s">
        <v>14081</v>
      </c>
      <c r="X1543">
        <v>51</v>
      </c>
      <c r="Y1543" t="s">
        <v>19434</v>
      </c>
      <c r="Z1543" t="s">
        <v>26413</v>
      </c>
      <c r="AA1543">
        <v>0.46674570519296188</v>
      </c>
      <c r="AB1543" t="str">
        <f>HYPERLINK("Melting_Curves/meltCurve_P07355_ANXA2.pdf", "Melting_Curves/meltCurve_P07355_ANXA2.pdf")</f>
        <v>Melting_Curves/meltCurve_P07355_ANXA2.pdf</v>
      </c>
    </row>
    <row r="1544" spans="1:28" x14ac:dyDescent="0.25">
      <c r="A1544" t="s">
        <v>1548</v>
      </c>
      <c r="B1544">
        <v>0.99352677808782597</v>
      </c>
      <c r="C1544">
        <v>1.12037520336987</v>
      </c>
      <c r="D1544">
        <v>1.0207766082760801</v>
      </c>
      <c r="E1544">
        <v>1.0240240612360501</v>
      </c>
      <c r="F1544">
        <v>0.80972712726135099</v>
      </c>
      <c r="G1544">
        <v>0.62338711001267599</v>
      </c>
      <c r="H1544">
        <v>0.55280428921496005</v>
      </c>
      <c r="I1544">
        <v>0.33052233995813202</v>
      </c>
      <c r="J1544">
        <v>0.19708751977858199</v>
      </c>
      <c r="K1544">
        <v>9.4757816755759602E-2</v>
      </c>
      <c r="L1544">
        <v>814.82868250109004</v>
      </c>
      <c r="M1544">
        <v>13.4843106431036</v>
      </c>
      <c r="N1544">
        <v>60.427908082092102</v>
      </c>
      <c r="O1544">
        <v>59.145326566706103</v>
      </c>
      <c r="P1544">
        <v>-5.7005250030473797E-2</v>
      </c>
      <c r="Q1544">
        <v>0</v>
      </c>
      <c r="R1544">
        <v>0.96776674007515395</v>
      </c>
      <c r="S1544" t="s">
        <v>7829</v>
      </c>
      <c r="T1544" t="s">
        <v>12568</v>
      </c>
      <c r="U1544" t="s">
        <v>12568</v>
      </c>
      <c r="V1544" t="s">
        <v>12568</v>
      </c>
      <c r="W1544" t="s">
        <v>14082</v>
      </c>
      <c r="X1544">
        <v>31</v>
      </c>
      <c r="Y1544" t="s">
        <v>20288</v>
      </c>
      <c r="Z1544" t="s">
        <v>26414</v>
      </c>
      <c r="AA1544">
        <v>0.68391223998962947</v>
      </c>
      <c r="AB1544" t="str">
        <f>HYPERLINK("Melting_Curves/meltCurve_P07384_CAPN1.pdf", "Melting_Curves/meltCurve_P07384_CAPN1.pdf")</f>
        <v>Melting_Curves/meltCurve_P07384_CAPN1.pdf</v>
      </c>
    </row>
    <row r="1545" spans="1:28" x14ac:dyDescent="0.25">
      <c r="A1545" t="s">
        <v>1549</v>
      </c>
      <c r="B1545">
        <v>0.99352677808782597</v>
      </c>
      <c r="C1545">
        <v>0.95591157425820295</v>
      </c>
      <c r="D1545">
        <v>1.01451827074834</v>
      </c>
      <c r="E1545">
        <v>1.00479873899413</v>
      </c>
      <c r="F1545">
        <v>0.91106772471960895</v>
      </c>
      <c r="G1545">
        <v>0.87406879220143496</v>
      </c>
      <c r="H1545">
        <v>0.76543478428400602</v>
      </c>
      <c r="I1545">
        <v>0.84998290546436495</v>
      </c>
      <c r="J1545">
        <v>0.867113775251387</v>
      </c>
      <c r="K1545">
        <v>0.75770839435951798</v>
      </c>
      <c r="L1545">
        <v>1515.57476061185</v>
      </c>
      <c r="M1545">
        <v>28.046148032020898</v>
      </c>
      <c r="O1545">
        <v>53.766133749711301</v>
      </c>
      <c r="P1545">
        <v>-2.4537203524812801E-2</v>
      </c>
      <c r="Q1545">
        <v>0.81184456270042205</v>
      </c>
      <c r="R1545">
        <v>0.82276235931826203</v>
      </c>
      <c r="S1545" t="s">
        <v>7830</v>
      </c>
      <c r="T1545" t="s">
        <v>12568</v>
      </c>
      <c r="U1545" t="s">
        <v>12568</v>
      </c>
      <c r="V1545" t="s">
        <v>12568</v>
      </c>
      <c r="W1545" t="s">
        <v>14083</v>
      </c>
      <c r="X1545">
        <v>19</v>
      </c>
      <c r="Y1545" t="s">
        <v>20289</v>
      </c>
      <c r="Z1545" t="s">
        <v>26415</v>
      </c>
      <c r="AA1545">
        <v>0.90129890488746722</v>
      </c>
      <c r="AB1545" t="str">
        <f>HYPERLINK("Melting_Curves/meltCurve_P07602_PSAP.pdf", "Melting_Curves/meltCurve_P07602_PSAP.pdf")</f>
        <v>Melting_Curves/meltCurve_P07602_PSAP.pdf</v>
      </c>
    </row>
    <row r="1546" spans="1:28" x14ac:dyDescent="0.25">
      <c r="A1546" t="s">
        <v>1550</v>
      </c>
      <c r="B1546">
        <v>0.99352677808782597</v>
      </c>
      <c r="C1546">
        <v>1.0521914810211199</v>
      </c>
      <c r="D1546">
        <v>0.98521421000398102</v>
      </c>
      <c r="E1546">
        <v>0.77353821358469599</v>
      </c>
      <c r="F1546">
        <v>0.64367571583609795</v>
      </c>
      <c r="G1546">
        <v>0.38986161775179401</v>
      </c>
      <c r="H1546">
        <v>0.23049838119690599</v>
      </c>
      <c r="I1546">
        <v>0.14226018011663999</v>
      </c>
      <c r="J1546">
        <v>0.116343341173073</v>
      </c>
      <c r="K1546">
        <v>9.0734405048363206E-2</v>
      </c>
      <c r="L1546">
        <v>833.20385252205995</v>
      </c>
      <c r="M1546">
        <v>15.2646461226008</v>
      </c>
      <c r="N1546">
        <v>55.065363477751603</v>
      </c>
      <c r="O1546">
        <v>53.672826858765603</v>
      </c>
      <c r="P1546">
        <v>-6.6664953386592202E-2</v>
      </c>
      <c r="Q1546">
        <v>6.2471817117750898E-2</v>
      </c>
      <c r="R1546">
        <v>0.99440141977682694</v>
      </c>
      <c r="S1546" t="s">
        <v>7831</v>
      </c>
      <c r="T1546" t="s">
        <v>12568</v>
      </c>
      <c r="U1546" t="s">
        <v>12568</v>
      </c>
      <c r="V1546" t="s">
        <v>12568</v>
      </c>
      <c r="W1546" t="s">
        <v>14084</v>
      </c>
      <c r="X1546">
        <v>16</v>
      </c>
      <c r="Y1546" t="s">
        <v>20290</v>
      </c>
      <c r="Z1546" t="s">
        <v>26416</v>
      </c>
      <c r="AA1546">
        <v>0.53645158255098491</v>
      </c>
      <c r="AB1546" t="str">
        <f>HYPERLINK("Melting_Curves/meltCurve_P07686_HEXB.pdf", "Melting_Curves/meltCurve_P07686_HEXB.pdf")</f>
        <v>Melting_Curves/meltCurve_P07686_HEXB.pdf</v>
      </c>
    </row>
    <row r="1547" spans="1:28" x14ac:dyDescent="0.25">
      <c r="A1547" t="s">
        <v>1551</v>
      </c>
      <c r="B1547">
        <v>0.99352677808782597</v>
      </c>
      <c r="C1547">
        <v>0.92326617249749598</v>
      </c>
      <c r="D1547">
        <v>0.99282319165996102</v>
      </c>
      <c r="E1547">
        <v>1.0189208692198299</v>
      </c>
      <c r="F1547">
        <v>1.0359775368648501</v>
      </c>
      <c r="G1547">
        <v>1.0057311776448801</v>
      </c>
      <c r="H1547">
        <v>0.77608899783571195</v>
      </c>
      <c r="I1547">
        <v>0.576815211864664</v>
      </c>
      <c r="J1547">
        <v>0.55975711976948395</v>
      </c>
      <c r="K1547">
        <v>0.58922165551308003</v>
      </c>
      <c r="L1547">
        <v>7512.1889389069202</v>
      </c>
      <c r="M1547">
        <v>123.25735277335301</v>
      </c>
      <c r="O1547">
        <v>60.931147322963099</v>
      </c>
      <c r="P1547">
        <v>-0.215000952943636</v>
      </c>
      <c r="Q1547">
        <v>0.57486497496729005</v>
      </c>
      <c r="R1547">
        <v>0.97786127022380498</v>
      </c>
      <c r="S1547" t="s">
        <v>7832</v>
      </c>
      <c r="T1547" t="s">
        <v>12568</v>
      </c>
      <c r="U1547" t="s">
        <v>12568</v>
      </c>
      <c r="V1547" t="s">
        <v>12568</v>
      </c>
      <c r="W1547" t="s">
        <v>14085</v>
      </c>
      <c r="X1547">
        <v>5</v>
      </c>
      <c r="Y1547" t="s">
        <v>20291</v>
      </c>
      <c r="Z1547" t="s">
        <v>26417</v>
      </c>
      <c r="AA1547">
        <v>0.87189827149787247</v>
      </c>
      <c r="AB1547" t="str">
        <f>HYPERLINK("Melting_Curves/meltCurve_P07711_CTSL1.pdf", "Melting_Curves/meltCurve_P07711_CTSL1.pdf")</f>
        <v>Melting_Curves/meltCurve_P07711_CTSL1.pdf</v>
      </c>
    </row>
    <row r="1548" spans="1:28" x14ac:dyDescent="0.25">
      <c r="A1548" t="s">
        <v>1552</v>
      </c>
      <c r="B1548">
        <v>0.99352677808782597</v>
      </c>
      <c r="C1548">
        <v>0.94333826346164296</v>
      </c>
      <c r="D1548">
        <v>0.99891269552239004</v>
      </c>
      <c r="E1548">
        <v>0.94450876297678998</v>
      </c>
      <c r="F1548">
        <v>0.89414397126876699</v>
      </c>
      <c r="G1548">
        <v>0.483428929860867</v>
      </c>
      <c r="H1548">
        <v>0.17562416202289699</v>
      </c>
      <c r="I1548">
        <v>0.14552696027211301</v>
      </c>
      <c r="J1548">
        <v>0.120914221967534</v>
      </c>
      <c r="K1548">
        <v>0.10397063561327601</v>
      </c>
      <c r="L1548">
        <v>1702.5196176919401</v>
      </c>
      <c r="M1548">
        <v>30.2023141885293</v>
      </c>
      <c r="N1548">
        <v>56.830302950894101</v>
      </c>
      <c r="O1548">
        <v>56.125103388554997</v>
      </c>
      <c r="P1548">
        <v>-0.119949178154637</v>
      </c>
      <c r="Q1548">
        <v>0.108397153863122</v>
      </c>
      <c r="R1548">
        <v>0.99658964512630299</v>
      </c>
      <c r="S1548" t="s">
        <v>7833</v>
      </c>
      <c r="T1548" t="s">
        <v>12568</v>
      </c>
      <c r="U1548" t="s">
        <v>12568</v>
      </c>
      <c r="V1548" t="s">
        <v>12568</v>
      </c>
      <c r="W1548" t="s">
        <v>14086</v>
      </c>
      <c r="X1548">
        <v>18</v>
      </c>
      <c r="Y1548" t="s">
        <v>20292</v>
      </c>
      <c r="Z1548" t="s">
        <v>26418</v>
      </c>
      <c r="AA1548">
        <v>0.6008061483315007</v>
      </c>
      <c r="AB1548" t="str">
        <f>HYPERLINK("Melting_Curves/meltCurve_P07737_PFN1.pdf", "Melting_Curves/meltCurve_P07737_PFN1.pdf")</f>
        <v>Melting_Curves/meltCurve_P07737_PFN1.pdf</v>
      </c>
    </row>
    <row r="1549" spans="1:28" x14ac:dyDescent="0.25">
      <c r="A1549" t="s">
        <v>1553</v>
      </c>
      <c r="B1549">
        <v>0.99352677808782597</v>
      </c>
      <c r="C1549">
        <v>0.939845043165219</v>
      </c>
      <c r="D1549">
        <v>0.96665899965081303</v>
      </c>
      <c r="E1549">
        <v>0.45531258767876598</v>
      </c>
      <c r="F1549">
        <v>0.38719177342250599</v>
      </c>
      <c r="G1549">
        <v>0.14839608950664099</v>
      </c>
      <c r="H1549">
        <v>0.119562305037215</v>
      </c>
      <c r="I1549">
        <v>9.3794849418308998E-2</v>
      </c>
      <c r="J1549">
        <v>8.0391345576932893E-2</v>
      </c>
      <c r="K1549">
        <v>5.5787412736696497E-2</v>
      </c>
      <c r="L1549">
        <v>1021.37935311851</v>
      </c>
      <c r="M1549">
        <v>20.371815743348701</v>
      </c>
      <c r="N1549">
        <v>50.5746993822954</v>
      </c>
      <c r="O1549">
        <v>49.661270784477601</v>
      </c>
      <c r="P1549">
        <v>-9.4266271991732806E-2</v>
      </c>
      <c r="Q1549">
        <v>8.0839676027215104E-2</v>
      </c>
      <c r="R1549">
        <v>0.98145949642515495</v>
      </c>
      <c r="S1549" t="s">
        <v>7834</v>
      </c>
      <c r="T1549" t="s">
        <v>12568</v>
      </c>
      <c r="U1549" t="s">
        <v>12568</v>
      </c>
      <c r="V1549" t="s">
        <v>12568</v>
      </c>
      <c r="W1549" t="s">
        <v>14087</v>
      </c>
      <c r="X1549">
        <v>7</v>
      </c>
      <c r="Y1549" t="s">
        <v>20293</v>
      </c>
      <c r="Z1549" t="s">
        <v>26419</v>
      </c>
      <c r="AA1549">
        <v>0.40376012736294631</v>
      </c>
      <c r="AB1549" t="str">
        <f>HYPERLINK("Melting_Curves/meltCurve_P07738_BPGM.pdf", "Melting_Curves/meltCurve_P07738_BPGM.pdf")</f>
        <v>Melting_Curves/meltCurve_P07738_BPGM.pdf</v>
      </c>
    </row>
    <row r="1550" spans="1:28" x14ac:dyDescent="0.25">
      <c r="A1550" t="s">
        <v>1554</v>
      </c>
      <c r="B1550">
        <v>0.99352677808782597</v>
      </c>
      <c r="C1550">
        <v>0.96732264959232195</v>
      </c>
      <c r="D1550">
        <v>0.96013130390910395</v>
      </c>
      <c r="E1550">
        <v>0.89525628437864302</v>
      </c>
      <c r="F1550">
        <v>0.84637727223801995</v>
      </c>
      <c r="G1550">
        <v>0.717264584773737</v>
      </c>
      <c r="H1550">
        <v>0.55696666855349397</v>
      </c>
      <c r="I1550">
        <v>0.48504134519838599</v>
      </c>
      <c r="J1550">
        <v>0.30474956555454702</v>
      </c>
      <c r="K1550">
        <v>0.11951902457963701</v>
      </c>
      <c r="L1550">
        <v>689.800739842486</v>
      </c>
      <c r="M1550">
        <v>11.1417269845169</v>
      </c>
      <c r="N1550">
        <v>61.9114739616018</v>
      </c>
      <c r="O1550">
        <v>60.017467952739999</v>
      </c>
      <c r="P1550">
        <v>-4.6425255354437103E-2</v>
      </c>
      <c r="Q1550">
        <v>0</v>
      </c>
      <c r="R1550">
        <v>0.97833766572538905</v>
      </c>
      <c r="S1550" t="s">
        <v>7835</v>
      </c>
      <c r="T1550" t="s">
        <v>12568</v>
      </c>
      <c r="U1550" t="s">
        <v>12568</v>
      </c>
      <c r="V1550" t="s">
        <v>12568</v>
      </c>
      <c r="W1550" t="s">
        <v>14088</v>
      </c>
      <c r="X1550">
        <v>12</v>
      </c>
      <c r="Y1550" t="s">
        <v>20294</v>
      </c>
      <c r="Z1550" t="s">
        <v>26420</v>
      </c>
      <c r="AA1550">
        <v>0.71609070784405049</v>
      </c>
      <c r="AB1550" t="str">
        <f>HYPERLINK("Melting_Curves/meltCurve_P07741_APRT.pdf", "Melting_Curves/meltCurve_P07741_APRT.pdf")</f>
        <v>Melting_Curves/meltCurve_P07741_APRT.pdf</v>
      </c>
    </row>
    <row r="1551" spans="1:28" x14ac:dyDescent="0.25">
      <c r="A1551" t="s">
        <v>1555</v>
      </c>
      <c r="B1551">
        <v>0.99352677808782597</v>
      </c>
      <c r="C1551">
        <v>0.66089704731365395</v>
      </c>
      <c r="D1551">
        <v>0.71452436892367399</v>
      </c>
      <c r="E1551">
        <v>0.45212083579219903</v>
      </c>
      <c r="F1551">
        <v>0.38840562189047401</v>
      </c>
      <c r="G1551">
        <v>0.24006313678176</v>
      </c>
      <c r="H1551">
        <v>0.156724109464696</v>
      </c>
      <c r="I1551">
        <v>0.117346220378736</v>
      </c>
      <c r="J1551">
        <v>8.7614400586679103E-2</v>
      </c>
      <c r="K1551">
        <v>6.21922890587484E-2</v>
      </c>
      <c r="L1551">
        <v>434.53282567381302</v>
      </c>
      <c r="M1551">
        <v>8.7818342717764306</v>
      </c>
      <c r="N1551">
        <v>49.480872979872203</v>
      </c>
      <c r="O1551">
        <v>47.116355783190201</v>
      </c>
      <c r="P1551">
        <v>-4.6633676050146199E-2</v>
      </c>
      <c r="Q1551">
        <v>0</v>
      </c>
      <c r="R1551">
        <v>0.96306591609351699</v>
      </c>
      <c r="S1551" t="s">
        <v>7836</v>
      </c>
      <c r="T1551" t="s">
        <v>12568</v>
      </c>
      <c r="U1551" t="s">
        <v>12568</v>
      </c>
      <c r="V1551" t="s">
        <v>12568</v>
      </c>
      <c r="W1551" t="s">
        <v>14089</v>
      </c>
      <c r="X1551">
        <v>52</v>
      </c>
      <c r="Y1551" t="s">
        <v>20295</v>
      </c>
      <c r="Z1551" t="s">
        <v>26421</v>
      </c>
      <c r="AA1551">
        <v>0.37217484153874519</v>
      </c>
      <c r="AB1551" t="str">
        <f>HYPERLINK("Melting_Curves/meltCurve_P07814_EPRS.pdf", "Melting_Curves/meltCurve_P07814_EPRS.pdf")</f>
        <v>Melting_Curves/meltCurve_P07814_EPRS.pdf</v>
      </c>
    </row>
    <row r="1552" spans="1:28" x14ac:dyDescent="0.25">
      <c r="A1552" t="s">
        <v>1556</v>
      </c>
      <c r="B1552">
        <v>0.99352677808782597</v>
      </c>
      <c r="C1552">
        <v>0.86353184861680399</v>
      </c>
      <c r="D1552">
        <v>0.85995339441182606</v>
      </c>
      <c r="E1552">
        <v>0.39052422677415299</v>
      </c>
      <c r="F1552">
        <v>0.30795430467262902</v>
      </c>
      <c r="G1552">
        <v>0.20446275923174501</v>
      </c>
      <c r="H1552">
        <v>0.14817187457591099</v>
      </c>
      <c r="I1552">
        <v>0.13792519361087599</v>
      </c>
      <c r="J1552">
        <v>0.133797873836034</v>
      </c>
      <c r="K1552">
        <v>0.121422672918877</v>
      </c>
      <c r="L1552">
        <v>960.88115333397695</v>
      </c>
      <c r="M1552">
        <v>19.7661307900567</v>
      </c>
      <c r="N1552">
        <v>49.395341801321401</v>
      </c>
      <c r="O1552">
        <v>48.123135536400397</v>
      </c>
      <c r="P1552">
        <v>-8.8880085548718998E-2</v>
      </c>
      <c r="Q1552">
        <v>0.13447040212511599</v>
      </c>
      <c r="R1552">
        <v>0.98451041537602801</v>
      </c>
      <c r="S1552" t="s">
        <v>7837</v>
      </c>
      <c r="T1552" t="s">
        <v>12568</v>
      </c>
      <c r="U1552" t="s">
        <v>12568</v>
      </c>
      <c r="V1552" t="s">
        <v>12568</v>
      </c>
      <c r="W1552" t="s">
        <v>14090</v>
      </c>
      <c r="X1552">
        <v>10</v>
      </c>
      <c r="Y1552" t="s">
        <v>19226</v>
      </c>
      <c r="Z1552" t="s">
        <v>26422</v>
      </c>
      <c r="AA1552">
        <v>0.39542516504651581</v>
      </c>
      <c r="AB1552" t="str">
        <f>HYPERLINK("Melting_Curves/meltCurve_P07858_CTSB.pdf", "Melting_Curves/meltCurve_P07858_CTSB.pdf")</f>
        <v>Melting_Curves/meltCurve_P07858_CTSB.pdf</v>
      </c>
    </row>
    <row r="1553" spans="1:28" x14ac:dyDescent="0.25">
      <c r="A1553" t="s">
        <v>1557</v>
      </c>
      <c r="B1553">
        <v>0.99352677808782597</v>
      </c>
      <c r="C1553">
        <v>1.0018857272658701</v>
      </c>
      <c r="D1553">
        <v>0.90316377484207699</v>
      </c>
      <c r="E1553">
        <v>0.58833141545738099</v>
      </c>
      <c r="F1553">
        <v>0.44344520493061301</v>
      </c>
      <c r="G1553">
        <v>0.29753710934130201</v>
      </c>
      <c r="H1553">
        <v>0.170438917661595</v>
      </c>
      <c r="I1553">
        <v>0.13989595934763299</v>
      </c>
      <c r="J1553">
        <v>0.14277196647663901</v>
      </c>
      <c r="K1553">
        <v>0.103982839564544</v>
      </c>
      <c r="L1553">
        <v>818.67375835061705</v>
      </c>
      <c r="M1553">
        <v>16.005592796426001</v>
      </c>
      <c r="N1553">
        <v>51.986508348635603</v>
      </c>
      <c r="O1553">
        <v>50.370763929040599</v>
      </c>
      <c r="P1553">
        <v>-7.04187665995335E-2</v>
      </c>
      <c r="Q1553">
        <v>0.113617547404588</v>
      </c>
      <c r="R1553">
        <v>0.99405538071003796</v>
      </c>
      <c r="S1553" t="s">
        <v>7838</v>
      </c>
      <c r="T1553" t="s">
        <v>12568</v>
      </c>
      <c r="U1553" t="s">
        <v>12568</v>
      </c>
      <c r="V1553" t="s">
        <v>12568</v>
      </c>
      <c r="W1553" t="s">
        <v>14091</v>
      </c>
      <c r="X1553">
        <v>64</v>
      </c>
      <c r="Y1553" t="s">
        <v>20296</v>
      </c>
      <c r="Z1553" t="s">
        <v>26423</v>
      </c>
      <c r="AA1553">
        <v>0.46132909400533167</v>
      </c>
      <c r="AB1553" t="str">
        <f>HYPERLINK("Melting_Curves/meltCurve_P07900_HSP90AA1.pdf", "Melting_Curves/meltCurve_P07900_HSP90AA1.pdf")</f>
        <v>Melting_Curves/meltCurve_P07900_HSP90AA1.pdf</v>
      </c>
    </row>
    <row r="1554" spans="1:28" x14ac:dyDescent="0.25">
      <c r="A1554" t="s">
        <v>1558</v>
      </c>
      <c r="B1554">
        <v>0.99352677808782597</v>
      </c>
      <c r="C1554">
        <v>0.97683946498362495</v>
      </c>
      <c r="D1554">
        <v>0.92628458207032105</v>
      </c>
      <c r="E1554">
        <v>0.88078109998536902</v>
      </c>
      <c r="F1554">
        <v>0.78247753999106795</v>
      </c>
      <c r="G1554">
        <v>0.64050849486401296</v>
      </c>
      <c r="H1554">
        <v>0.25319803980421601</v>
      </c>
      <c r="I1554">
        <v>0.16988071291572199</v>
      </c>
      <c r="J1554">
        <v>0.14178713348192201</v>
      </c>
      <c r="K1554">
        <v>0.10633277989154</v>
      </c>
      <c r="L1554">
        <v>881.86426521515602</v>
      </c>
      <c r="M1554">
        <v>15.2904659056921</v>
      </c>
      <c r="N1554">
        <v>57.837713190776597</v>
      </c>
      <c r="O1554">
        <v>56.714643323306198</v>
      </c>
      <c r="P1554">
        <v>-6.5980682377430405E-2</v>
      </c>
      <c r="Q1554">
        <v>2.11626436232955E-2</v>
      </c>
      <c r="R1554">
        <v>0.98606112553314396</v>
      </c>
      <c r="S1554" t="s">
        <v>7839</v>
      </c>
      <c r="T1554" t="s">
        <v>12568</v>
      </c>
      <c r="U1554" t="s">
        <v>12568</v>
      </c>
      <c r="V1554" t="s">
        <v>12568</v>
      </c>
      <c r="W1554" t="s">
        <v>14092</v>
      </c>
      <c r="X1554">
        <v>7</v>
      </c>
      <c r="Y1554" t="s">
        <v>20297</v>
      </c>
      <c r="Z1554" t="s">
        <v>26424</v>
      </c>
      <c r="AA1554">
        <v>0.61170335314141044</v>
      </c>
      <c r="AB1554" t="str">
        <f>HYPERLINK("Melting_Curves/meltCurve_P07902_GALT.pdf", "Melting_Curves/meltCurve_P07902_GALT.pdf")</f>
        <v>Melting_Curves/meltCurve_P07902_GALT.pdf</v>
      </c>
    </row>
    <row r="1555" spans="1:28" x14ac:dyDescent="0.25">
      <c r="A1555" t="s">
        <v>1559</v>
      </c>
      <c r="B1555">
        <v>0.99352677808782597</v>
      </c>
      <c r="C1555">
        <v>0.92763064917456495</v>
      </c>
      <c r="D1555">
        <v>0.86685469798036696</v>
      </c>
      <c r="E1555">
        <v>0.66600261808433403</v>
      </c>
      <c r="F1555">
        <v>0.60911815885857901</v>
      </c>
      <c r="G1555">
        <v>0.43768535322843399</v>
      </c>
      <c r="H1555">
        <v>0.32016418104405697</v>
      </c>
      <c r="I1555">
        <v>0.35020382734725902</v>
      </c>
      <c r="J1555">
        <v>0.309462433399251</v>
      </c>
      <c r="K1555">
        <v>0.31074541920646598</v>
      </c>
      <c r="L1555">
        <v>628.79030138104895</v>
      </c>
      <c r="M1555">
        <v>12.242990542087</v>
      </c>
      <c r="N1555">
        <v>54.880488350266198</v>
      </c>
      <c r="O1555">
        <v>50.046629215875797</v>
      </c>
      <c r="P1555">
        <v>-4.4528978847505903E-2</v>
      </c>
      <c r="Q1555">
        <v>0.27206401574852601</v>
      </c>
      <c r="R1555">
        <v>0.99182471386191495</v>
      </c>
      <c r="S1555" t="s">
        <v>7840</v>
      </c>
      <c r="T1555" t="s">
        <v>12568</v>
      </c>
      <c r="U1555" t="s">
        <v>12568</v>
      </c>
      <c r="V1555" t="s">
        <v>12568</v>
      </c>
      <c r="W1555" t="s">
        <v>14093</v>
      </c>
      <c r="X1555">
        <v>4</v>
      </c>
      <c r="Y1555" t="s">
        <v>20298</v>
      </c>
      <c r="Z1555" t="s">
        <v>26425</v>
      </c>
      <c r="AA1555">
        <v>0.57027216286432891</v>
      </c>
      <c r="AB1555" t="str">
        <f>HYPERLINK("Melting_Curves/meltCurve_P07919_UQCRH.pdf", "Melting_Curves/meltCurve_P07919_UQCRH.pdf")</f>
        <v>Melting_Curves/meltCurve_P07919_UQCRH.pdf</v>
      </c>
    </row>
    <row r="1556" spans="1:28" x14ac:dyDescent="0.25">
      <c r="A1556" t="s">
        <v>1560</v>
      </c>
      <c r="B1556">
        <v>0.99352677808782597</v>
      </c>
      <c r="C1556">
        <v>1.0090454912467799</v>
      </c>
      <c r="D1556">
        <v>0.927331167521244</v>
      </c>
      <c r="E1556">
        <v>0.76876339172782304</v>
      </c>
      <c r="F1556">
        <v>0.70738771657704302</v>
      </c>
      <c r="G1556">
        <v>0.50816454832986002</v>
      </c>
      <c r="H1556">
        <v>0.61293736049344105</v>
      </c>
      <c r="I1556">
        <v>0.59436091611890396</v>
      </c>
      <c r="J1556">
        <v>0.70215631590187699</v>
      </c>
      <c r="K1556">
        <v>0.47445266992330798</v>
      </c>
      <c r="L1556">
        <v>1105.5239344951699</v>
      </c>
      <c r="M1556">
        <v>22.230075723489399</v>
      </c>
      <c r="O1556">
        <v>49.3338126128764</v>
      </c>
      <c r="P1556">
        <v>-4.75206829749392E-2</v>
      </c>
      <c r="Q1556">
        <v>0.57817035342124401</v>
      </c>
      <c r="R1556">
        <v>0.88612861149528899</v>
      </c>
      <c r="S1556" t="s">
        <v>7841</v>
      </c>
      <c r="T1556" t="s">
        <v>12568</v>
      </c>
      <c r="U1556" t="s">
        <v>12568</v>
      </c>
      <c r="V1556" t="s">
        <v>12568</v>
      </c>
      <c r="W1556" t="s">
        <v>14094</v>
      </c>
      <c r="X1556">
        <v>24</v>
      </c>
      <c r="Y1556" t="s">
        <v>20299</v>
      </c>
      <c r="Z1556" t="s">
        <v>26426</v>
      </c>
      <c r="AA1556">
        <v>0.71976195269557763</v>
      </c>
      <c r="AB1556" t="str">
        <f>HYPERLINK("Melting_Curves/meltCurve_P07942_LAMB1.pdf", "Melting_Curves/meltCurve_P07942_LAMB1.pdf")</f>
        <v>Melting_Curves/meltCurve_P07942_LAMB1.pdf</v>
      </c>
    </row>
    <row r="1557" spans="1:28" x14ac:dyDescent="0.25">
      <c r="A1557" t="s">
        <v>1561</v>
      </c>
      <c r="B1557">
        <v>0.99352677808782597</v>
      </c>
      <c r="C1557">
        <v>1.0327082947991499</v>
      </c>
      <c r="D1557">
        <v>1.0745736696710499</v>
      </c>
      <c r="E1557">
        <v>0.93537794959928999</v>
      </c>
      <c r="F1557">
        <v>0.82861255834178604</v>
      </c>
      <c r="G1557">
        <v>0.63745940348942898</v>
      </c>
      <c r="H1557">
        <v>0.61416902394886796</v>
      </c>
      <c r="I1557">
        <v>0.72267674409053895</v>
      </c>
      <c r="J1557">
        <v>0.93751315696104798</v>
      </c>
      <c r="K1557">
        <v>0.79960789749245398</v>
      </c>
      <c r="L1557">
        <v>2351.43534712372</v>
      </c>
      <c r="M1557">
        <v>45.514451884794298</v>
      </c>
      <c r="O1557">
        <v>51.564051302515502</v>
      </c>
      <c r="P1557">
        <v>-5.63493493836996E-2</v>
      </c>
      <c r="Q1557">
        <v>0.74464399849857499</v>
      </c>
      <c r="R1557">
        <v>0.674536267094211</v>
      </c>
      <c r="S1557" t="s">
        <v>7842</v>
      </c>
      <c r="T1557" t="s">
        <v>12568</v>
      </c>
      <c r="U1557" t="s">
        <v>12568</v>
      </c>
      <c r="V1557" t="s">
        <v>12568</v>
      </c>
      <c r="W1557" t="s">
        <v>14095</v>
      </c>
      <c r="X1557">
        <v>50</v>
      </c>
      <c r="Y1557" t="s">
        <v>20300</v>
      </c>
      <c r="Z1557" t="s">
        <v>26427</v>
      </c>
      <c r="AA1557">
        <v>0.84462504447798803</v>
      </c>
      <c r="AB1557" t="str">
        <f>HYPERLINK("Melting_Curves/meltCurve_P07951_TPM2.pdf", "Melting_Curves/meltCurve_P07951_TPM2.pdf")</f>
        <v>Melting_Curves/meltCurve_P07951_TPM2.pdf</v>
      </c>
    </row>
    <row r="1558" spans="1:28" x14ac:dyDescent="0.25">
      <c r="A1558" t="s">
        <v>1562</v>
      </c>
      <c r="B1558">
        <v>0.99352677808782597</v>
      </c>
      <c r="C1558">
        <v>1.0242650733617</v>
      </c>
      <c r="D1558">
        <v>1.1043887044918499</v>
      </c>
      <c r="E1558">
        <v>1.1071125874065999</v>
      </c>
      <c r="F1558">
        <v>1.00024373180932</v>
      </c>
      <c r="G1558">
        <v>0.88709428263321499</v>
      </c>
      <c r="H1558">
        <v>0.93755305653076904</v>
      </c>
      <c r="I1558">
        <v>0.983212755952241</v>
      </c>
      <c r="J1558">
        <v>1.28704362856557</v>
      </c>
      <c r="K1558">
        <v>1.0853177478601399</v>
      </c>
      <c r="L1558">
        <v>15000</v>
      </c>
      <c r="M1558">
        <v>229.973420300963</v>
      </c>
      <c r="O1558">
        <v>65.219977832805</v>
      </c>
      <c r="P1558">
        <v>0.164106466877042</v>
      </c>
      <c r="Q1558">
        <v>1.1861610471543</v>
      </c>
      <c r="R1558">
        <v>0.46422591514398398</v>
      </c>
      <c r="S1558" t="s">
        <v>7843</v>
      </c>
      <c r="T1558" t="s">
        <v>12568</v>
      </c>
      <c r="U1558" t="s">
        <v>12568</v>
      </c>
      <c r="V1558" t="s">
        <v>12568</v>
      </c>
      <c r="W1558" t="s">
        <v>14096</v>
      </c>
      <c r="X1558">
        <v>52</v>
      </c>
      <c r="Y1558" t="s">
        <v>20300</v>
      </c>
      <c r="Z1558" t="s">
        <v>26428</v>
      </c>
      <c r="AA1558">
        <v>1.0296058909273</v>
      </c>
      <c r="AB1558" t="str">
        <f>HYPERLINK("Melting_Curves/meltCurve_P07951_2_TPM2.pdf", "Melting_Curves/meltCurve_P07951_2_TPM2.pdf")</f>
        <v>Melting_Curves/meltCurve_P07951_2_TPM2.pdf</v>
      </c>
    </row>
    <row r="1559" spans="1:28" x14ac:dyDescent="0.25">
      <c r="A1559" t="s">
        <v>1563</v>
      </c>
      <c r="B1559">
        <v>0.99352677808782597</v>
      </c>
      <c r="C1559">
        <v>0.94573765273980404</v>
      </c>
      <c r="D1559">
        <v>0.76118038021157897</v>
      </c>
      <c r="E1559">
        <v>0.261786512080534</v>
      </c>
      <c r="F1559">
        <v>0.20619458091399001</v>
      </c>
      <c r="G1559">
        <v>0.14231456375767201</v>
      </c>
      <c r="H1559">
        <v>0.10689452533612701</v>
      </c>
      <c r="I1559">
        <v>0.111765160751352</v>
      </c>
      <c r="J1559">
        <v>8.8360134380492103E-2</v>
      </c>
      <c r="K1559">
        <v>8.7994157069144499E-2</v>
      </c>
      <c r="L1559">
        <v>1307.6920286048301</v>
      </c>
      <c r="M1559">
        <v>27.504441241751302</v>
      </c>
      <c r="N1559">
        <v>47.976311721584203</v>
      </c>
      <c r="O1559">
        <v>47.295556935333998</v>
      </c>
      <c r="P1559">
        <v>-0.12945458680630001</v>
      </c>
      <c r="Q1559">
        <v>0.109588101392721</v>
      </c>
      <c r="R1559">
        <v>0.99601242736350404</v>
      </c>
      <c r="S1559" t="s">
        <v>7844</v>
      </c>
      <c r="T1559" t="s">
        <v>12568</v>
      </c>
      <c r="U1559" t="s">
        <v>12568</v>
      </c>
      <c r="V1559" t="s">
        <v>12568</v>
      </c>
      <c r="W1559" t="s">
        <v>14097</v>
      </c>
      <c r="X1559">
        <v>17</v>
      </c>
      <c r="Y1559" t="s">
        <v>20301</v>
      </c>
      <c r="Z1559" t="s">
        <v>26429</v>
      </c>
      <c r="AA1559">
        <v>0.33994584260484412</v>
      </c>
      <c r="AB1559" t="str">
        <f>HYPERLINK("Melting_Curves/meltCurve_P07954_2_FH.pdf", "Melting_Curves/meltCurve_P07954_2_FH.pdf")</f>
        <v>Melting_Curves/meltCurve_P07954_2_FH.pdf</v>
      </c>
    </row>
    <row r="1560" spans="1:28" x14ac:dyDescent="0.25">
      <c r="A1560" t="s">
        <v>1564</v>
      </c>
      <c r="B1560">
        <v>0.99352677808782597</v>
      </c>
      <c r="C1560">
        <v>0.96745956944136702</v>
      </c>
      <c r="D1560">
        <v>0.94388410925251198</v>
      </c>
      <c r="E1560">
        <v>0.40978184912916699</v>
      </c>
      <c r="F1560">
        <v>0.33368616624810699</v>
      </c>
      <c r="G1560">
        <v>0.21747003965931899</v>
      </c>
      <c r="H1560">
        <v>0.171085248942381</v>
      </c>
      <c r="I1560">
        <v>0.163784571175941</v>
      </c>
      <c r="J1560">
        <v>0.156991745893309</v>
      </c>
      <c r="K1560">
        <v>0.118009346910862</v>
      </c>
      <c r="L1560">
        <v>1417.50271172666</v>
      </c>
      <c r="M1560">
        <v>28.9263795138509</v>
      </c>
      <c r="N1560">
        <v>49.716990147049003</v>
      </c>
      <c r="O1560">
        <v>48.771403357697203</v>
      </c>
      <c r="P1560">
        <v>-0.123097251027875</v>
      </c>
      <c r="Q1560">
        <v>0.169812543122694</v>
      </c>
      <c r="R1560">
        <v>0.98617109084283705</v>
      </c>
      <c r="S1560" t="s">
        <v>7845</v>
      </c>
      <c r="T1560" t="s">
        <v>12568</v>
      </c>
      <c r="U1560" t="s">
        <v>12568</v>
      </c>
      <c r="V1560" t="s">
        <v>12568</v>
      </c>
      <c r="W1560" t="s">
        <v>14098</v>
      </c>
      <c r="X1560">
        <v>5</v>
      </c>
      <c r="Y1560" t="s">
        <v>20302</v>
      </c>
      <c r="Z1560" t="s">
        <v>26430</v>
      </c>
      <c r="AA1560">
        <v>0.42442327614386011</v>
      </c>
      <c r="AB1560" t="str">
        <f>HYPERLINK("Melting_Curves/meltCurve_P07992_ERCC1.pdf", "Melting_Curves/meltCurve_P07992_ERCC1.pdf")</f>
        <v>Melting_Curves/meltCurve_P07992_ERCC1.pdf</v>
      </c>
    </row>
    <row r="1561" spans="1:28" x14ac:dyDescent="0.25">
      <c r="A1561" t="s">
        <v>1565</v>
      </c>
      <c r="B1561">
        <v>0.99352677808782597</v>
      </c>
      <c r="C1561">
        <v>0.99102667388269405</v>
      </c>
      <c r="D1561">
        <v>0.86984917999009304</v>
      </c>
      <c r="E1561">
        <v>0.74786350539114899</v>
      </c>
      <c r="F1561">
        <v>0.67352507643340498</v>
      </c>
      <c r="G1561">
        <v>0.50156481377429496</v>
      </c>
      <c r="H1561">
        <v>0.43635467067616401</v>
      </c>
      <c r="I1561">
        <v>0.44308573641503302</v>
      </c>
      <c r="J1561">
        <v>0.447674052894663</v>
      </c>
      <c r="K1561">
        <v>0.39074024940541902</v>
      </c>
      <c r="L1561">
        <v>691.53790586411696</v>
      </c>
      <c r="M1561">
        <v>13.4263284251988</v>
      </c>
      <c r="N1561">
        <v>58.114144065102302</v>
      </c>
      <c r="O1561">
        <v>50.403760882454698</v>
      </c>
      <c r="P1561">
        <v>-4.05372106690347E-2</v>
      </c>
      <c r="Q1561">
        <v>0.39137206895932503</v>
      </c>
      <c r="R1561">
        <v>0.98972518124550501</v>
      </c>
      <c r="S1561" t="s">
        <v>7846</v>
      </c>
      <c r="T1561" t="s">
        <v>12568</v>
      </c>
      <c r="U1561" t="s">
        <v>12568</v>
      </c>
      <c r="V1561" t="s">
        <v>12568</v>
      </c>
      <c r="W1561" t="s">
        <v>14099</v>
      </c>
      <c r="X1561">
        <v>6</v>
      </c>
      <c r="Y1561" t="s">
        <v>20303</v>
      </c>
      <c r="Z1561" t="s">
        <v>26431</v>
      </c>
      <c r="AA1561">
        <v>0.64120571409975724</v>
      </c>
      <c r="AB1561" t="str">
        <f>HYPERLINK("Melting_Curves/meltCurve_P07996_THBS1.pdf", "Melting_Curves/meltCurve_P07996_THBS1.pdf")</f>
        <v>Melting_Curves/meltCurve_P07996_THBS1.pdf</v>
      </c>
    </row>
    <row r="1562" spans="1:28" x14ac:dyDescent="0.25">
      <c r="A1562" t="s">
        <v>1566</v>
      </c>
      <c r="B1562">
        <v>0.99352677808782597</v>
      </c>
      <c r="C1562">
        <v>0.97481407895515704</v>
      </c>
      <c r="D1562">
        <v>0.99936540948175501</v>
      </c>
      <c r="E1562">
        <v>0.88753234629429401</v>
      </c>
      <c r="F1562">
        <v>0.77349275946715801</v>
      </c>
      <c r="G1562">
        <v>0.63992491014452202</v>
      </c>
      <c r="H1562">
        <v>0.61754663003687604</v>
      </c>
      <c r="I1562">
        <v>0.59516496220246196</v>
      </c>
      <c r="J1562">
        <v>0.71531579211641105</v>
      </c>
      <c r="K1562">
        <v>0.71040705045484998</v>
      </c>
      <c r="L1562">
        <v>1605.67214980368</v>
      </c>
      <c r="M1562">
        <v>31.211243600453098</v>
      </c>
      <c r="O1562">
        <v>51.235502188860501</v>
      </c>
      <c r="P1562">
        <v>-5.2642818575062297E-2</v>
      </c>
      <c r="Q1562">
        <v>0.65433402486551595</v>
      </c>
      <c r="R1562">
        <v>0.93882710499992195</v>
      </c>
      <c r="S1562" t="s">
        <v>7847</v>
      </c>
      <c r="T1562" t="s">
        <v>12568</v>
      </c>
      <c r="U1562" t="s">
        <v>12568</v>
      </c>
      <c r="V1562" t="s">
        <v>12568</v>
      </c>
      <c r="W1562" t="s">
        <v>14100</v>
      </c>
      <c r="X1562">
        <v>9</v>
      </c>
      <c r="Y1562" t="s">
        <v>20304</v>
      </c>
      <c r="Z1562" t="s">
        <v>26432</v>
      </c>
      <c r="AA1562">
        <v>0.78823198924607851</v>
      </c>
      <c r="AB1562" t="str">
        <f>HYPERLINK("Melting_Curves/meltCurve_P08047_SP1.pdf", "Melting_Curves/meltCurve_P08047_SP1.pdf")</f>
        <v>Melting_Curves/meltCurve_P08047_SP1.pdf</v>
      </c>
    </row>
    <row r="1563" spans="1:28" x14ac:dyDescent="0.25">
      <c r="A1563" t="s">
        <v>1567</v>
      </c>
      <c r="B1563">
        <v>0.99352677808782597</v>
      </c>
      <c r="C1563">
        <v>0.89814373358648703</v>
      </c>
      <c r="D1563">
        <v>0.96834490316168498</v>
      </c>
      <c r="E1563">
        <v>0.66055263427159305</v>
      </c>
      <c r="F1563">
        <v>0.57602973896361098</v>
      </c>
      <c r="G1563">
        <v>0.18079758336754401</v>
      </c>
      <c r="H1563">
        <v>0.107573352386755</v>
      </c>
      <c r="I1563">
        <v>8.7787837486013404E-2</v>
      </c>
      <c r="J1563">
        <v>7.4917005936140396E-2</v>
      </c>
      <c r="K1563">
        <v>5.3756269913305399E-2</v>
      </c>
      <c r="L1563">
        <v>899.96148591683902</v>
      </c>
      <c r="M1563">
        <v>17.092696659808698</v>
      </c>
      <c r="N1563">
        <v>52.874552342408002</v>
      </c>
      <c r="O1563">
        <v>51.946987659396797</v>
      </c>
      <c r="P1563">
        <v>-7.9407747713902799E-2</v>
      </c>
      <c r="Q1563">
        <v>3.4735527524014501E-2</v>
      </c>
      <c r="R1563">
        <v>0.98339400313049696</v>
      </c>
      <c r="S1563" t="s">
        <v>7848</v>
      </c>
      <c r="T1563" t="s">
        <v>12568</v>
      </c>
      <c r="U1563" t="s">
        <v>12568</v>
      </c>
      <c r="V1563" t="s">
        <v>12568</v>
      </c>
      <c r="W1563" t="s">
        <v>14101</v>
      </c>
      <c r="X1563">
        <v>46</v>
      </c>
      <c r="Y1563" t="s">
        <v>20305</v>
      </c>
      <c r="Z1563" t="s">
        <v>26433</v>
      </c>
      <c r="AA1563">
        <v>0.45910104239903121</v>
      </c>
      <c r="AB1563" t="str">
        <f>HYPERLINK("Melting_Curves/meltCurve_P08107_HSPA1A.pdf", "Melting_Curves/meltCurve_P08107_HSPA1A.pdf")</f>
        <v>Melting_Curves/meltCurve_P08107_HSPA1A.pdf</v>
      </c>
    </row>
    <row r="1564" spans="1:28" x14ac:dyDescent="0.25">
      <c r="A1564" t="s">
        <v>1568</v>
      </c>
      <c r="B1564">
        <v>0.99352677808782597</v>
      </c>
      <c r="C1564">
        <v>0.698703261324784</v>
      </c>
      <c r="D1564">
        <v>1.0062837822149999</v>
      </c>
      <c r="E1564">
        <v>0.35537880021777202</v>
      </c>
      <c r="F1564">
        <v>0.27148153215281301</v>
      </c>
      <c r="G1564">
        <v>0.161021336909214</v>
      </c>
      <c r="H1564">
        <v>0.103665772284681</v>
      </c>
      <c r="I1564">
        <v>9.2394501536716897E-2</v>
      </c>
      <c r="J1564">
        <v>8.8486671816941601E-2</v>
      </c>
      <c r="K1564">
        <v>6.8250227726493806E-2</v>
      </c>
      <c r="S1564" t="s">
        <v>7849</v>
      </c>
      <c r="T1564" t="s">
        <v>12568</v>
      </c>
      <c r="U1564" t="s">
        <v>12569</v>
      </c>
      <c r="V1564" t="s">
        <v>12568</v>
      </c>
      <c r="W1564" t="s">
        <v>14102</v>
      </c>
      <c r="X1564">
        <v>42</v>
      </c>
      <c r="Y1564" t="s">
        <v>20306</v>
      </c>
      <c r="Z1564" t="s">
        <v>26434</v>
      </c>
      <c r="AB1564" t="str">
        <f>HYPERLINK("Melting_Curves/meltCurve_P08133_ANXA6.pdf", "Melting_Curves/meltCurve_P08133_ANXA6.pdf")</f>
        <v>Melting_Curves/meltCurve_P08133_ANXA6.pdf</v>
      </c>
    </row>
    <row r="1565" spans="1:28" x14ac:dyDescent="0.25">
      <c r="A1565" t="s">
        <v>1569</v>
      </c>
      <c r="B1565">
        <v>0.99352677808782597</v>
      </c>
      <c r="C1565">
        <v>0.95441606841221804</v>
      </c>
      <c r="D1565">
        <v>0.889061551917257</v>
      </c>
      <c r="E1565">
        <v>0.81378290632429895</v>
      </c>
      <c r="F1565">
        <v>0.68225865921081497</v>
      </c>
      <c r="G1565">
        <v>0.466512064224406</v>
      </c>
      <c r="H1565">
        <v>0.61979684399464996</v>
      </c>
      <c r="I1565">
        <v>0.40531229122949097</v>
      </c>
      <c r="J1565">
        <v>0.40245557789709002</v>
      </c>
      <c r="K1565">
        <v>0.41258236996159797</v>
      </c>
      <c r="L1565">
        <v>616.89898589430902</v>
      </c>
      <c r="M1565">
        <v>11.7127868049062</v>
      </c>
      <c r="N1565">
        <v>59.915463588496401</v>
      </c>
      <c r="O1565">
        <v>51.203880239077499</v>
      </c>
      <c r="P1565">
        <v>-3.5537692963228402E-2</v>
      </c>
      <c r="Q1565">
        <v>0.37873505249702299</v>
      </c>
      <c r="R1565">
        <v>0.938772262686287</v>
      </c>
      <c r="S1565" t="s">
        <v>7850</v>
      </c>
      <c r="T1565" t="s">
        <v>12568</v>
      </c>
      <c r="U1565" t="s">
        <v>12568</v>
      </c>
      <c r="V1565" t="s">
        <v>12568</v>
      </c>
      <c r="W1565" t="s">
        <v>14103</v>
      </c>
      <c r="X1565">
        <v>9</v>
      </c>
      <c r="Y1565" t="s">
        <v>20307</v>
      </c>
      <c r="Z1565" t="s">
        <v>26435</v>
      </c>
      <c r="AA1565">
        <v>0.65974813091506901</v>
      </c>
      <c r="AB1565" t="str">
        <f>HYPERLINK("Melting_Curves/meltCurve_P08195_2_SLC3A2.pdf", "Melting_Curves/meltCurve_P08195_2_SLC3A2.pdf")</f>
        <v>Melting_Curves/meltCurve_P08195_2_SLC3A2.pdf</v>
      </c>
    </row>
    <row r="1566" spans="1:28" x14ac:dyDescent="0.25">
      <c r="A1566" t="s">
        <v>1570</v>
      </c>
      <c r="B1566">
        <v>0.99352677808782597</v>
      </c>
      <c r="C1566">
        <v>0.88539264670038897</v>
      </c>
      <c r="D1566">
        <v>0.86466352784838096</v>
      </c>
      <c r="E1566">
        <v>0.76182170217696898</v>
      </c>
      <c r="F1566">
        <v>0.65368821778460395</v>
      </c>
      <c r="G1566">
        <v>0.57479095496957699</v>
      </c>
      <c r="H1566">
        <v>0.56944111893094895</v>
      </c>
      <c r="I1566">
        <v>0.33996855582984298</v>
      </c>
      <c r="J1566">
        <v>0.120912423584768</v>
      </c>
      <c r="K1566">
        <v>9.6148781346629797E-2</v>
      </c>
      <c r="L1566">
        <v>486.18405562842702</v>
      </c>
      <c r="M1566">
        <v>8.3818801872641107</v>
      </c>
      <c r="N1566">
        <v>58.0041768310777</v>
      </c>
      <c r="O1566">
        <v>54.984413602078298</v>
      </c>
      <c r="P1566">
        <v>-3.8146449804014E-2</v>
      </c>
      <c r="Q1566">
        <v>0</v>
      </c>
      <c r="R1566">
        <v>0.92801549604835298</v>
      </c>
      <c r="S1566" t="s">
        <v>7851</v>
      </c>
      <c r="T1566" t="s">
        <v>12568</v>
      </c>
      <c r="U1566" t="s">
        <v>12568</v>
      </c>
      <c r="V1566" t="s">
        <v>12568</v>
      </c>
      <c r="W1566" t="s">
        <v>14104</v>
      </c>
      <c r="X1566">
        <v>17</v>
      </c>
      <c r="Y1566" t="s">
        <v>20308</v>
      </c>
      <c r="Z1566" t="s">
        <v>26436</v>
      </c>
      <c r="AA1566">
        <v>0.60527143456397625</v>
      </c>
      <c r="AB1566" t="str">
        <f>HYPERLINK("Melting_Curves/meltCurve_P08237_PFKM.pdf", "Melting_Curves/meltCurve_P08237_PFKM.pdf")</f>
        <v>Melting_Curves/meltCurve_P08237_PFKM.pdf</v>
      </c>
    </row>
    <row r="1567" spans="1:28" x14ac:dyDescent="0.25">
      <c r="A1567" t="s">
        <v>1571</v>
      </c>
      <c r="B1567">
        <v>0.99352677808782597</v>
      </c>
      <c r="C1567">
        <v>1.0264823502534299</v>
      </c>
      <c r="D1567">
        <v>0.86609948304104001</v>
      </c>
      <c r="E1567">
        <v>0.56522291425754301</v>
      </c>
      <c r="F1567">
        <v>0.43693604723288898</v>
      </c>
      <c r="G1567">
        <v>0.27914158045114901</v>
      </c>
      <c r="H1567">
        <v>0.169222164819504</v>
      </c>
      <c r="I1567">
        <v>0.14375302532210299</v>
      </c>
      <c r="J1567">
        <v>0.140925502892255</v>
      </c>
      <c r="K1567">
        <v>0.100637179856605</v>
      </c>
      <c r="L1567">
        <v>811.06436772858797</v>
      </c>
      <c r="M1567">
        <v>15.958978128564899</v>
      </c>
      <c r="N1567">
        <v>51.664498690859403</v>
      </c>
      <c r="O1567">
        <v>50.043927355618003</v>
      </c>
      <c r="P1567">
        <v>-7.0594819456066799E-2</v>
      </c>
      <c r="Q1567">
        <v>0.114589390366444</v>
      </c>
      <c r="R1567">
        <v>0.99218274003019102</v>
      </c>
      <c r="S1567" t="s">
        <v>7852</v>
      </c>
      <c r="T1567" t="s">
        <v>12568</v>
      </c>
      <c r="U1567" t="s">
        <v>12568</v>
      </c>
      <c r="V1567" t="s">
        <v>12568</v>
      </c>
      <c r="W1567" t="s">
        <v>14105</v>
      </c>
      <c r="X1567">
        <v>68</v>
      </c>
      <c r="Y1567" t="s">
        <v>20309</v>
      </c>
      <c r="Z1567" t="s">
        <v>26437</v>
      </c>
      <c r="AA1567">
        <v>0.45249393345657879</v>
      </c>
      <c r="AB1567" t="str">
        <f>HYPERLINK("Melting_Curves/meltCurve_P08238_HSP90AB1.pdf", "Melting_Curves/meltCurve_P08238_HSP90AB1.pdf")</f>
        <v>Melting_Curves/meltCurve_P08238_HSP90AB1.pdf</v>
      </c>
    </row>
    <row r="1568" spans="1:28" x14ac:dyDescent="0.25">
      <c r="A1568" t="s">
        <v>1572</v>
      </c>
      <c r="B1568">
        <v>0.99352677808782597</v>
      </c>
      <c r="C1568">
        <v>0.966724289336788</v>
      </c>
      <c r="D1568">
        <v>0.924019588473589</v>
      </c>
      <c r="E1568">
        <v>0.294414274947086</v>
      </c>
      <c r="F1568">
        <v>0.23498710964224201</v>
      </c>
      <c r="G1568">
        <v>0.112389565737775</v>
      </c>
      <c r="H1568">
        <v>8.5640517362168503E-2</v>
      </c>
      <c r="I1568">
        <v>6.5444920328467895E-2</v>
      </c>
      <c r="J1568">
        <v>6.4321166655085096E-2</v>
      </c>
      <c r="K1568">
        <v>3.9045162171977302E-2</v>
      </c>
      <c r="L1568">
        <v>1677.53268169693</v>
      </c>
      <c r="M1568">
        <v>34.506450214129998</v>
      </c>
      <c r="N1568">
        <v>48.879854257615897</v>
      </c>
      <c r="O1568">
        <v>48.452619203795102</v>
      </c>
      <c r="P1568">
        <v>-0.162864070214436</v>
      </c>
      <c r="Q1568">
        <v>8.5253403208446293E-2</v>
      </c>
      <c r="R1568">
        <v>0.98852710086111895</v>
      </c>
      <c r="S1568" t="s">
        <v>7853</v>
      </c>
      <c r="T1568" t="s">
        <v>12568</v>
      </c>
      <c r="U1568" t="s">
        <v>12568</v>
      </c>
      <c r="V1568" t="s">
        <v>12568</v>
      </c>
      <c r="W1568" t="s">
        <v>14106</v>
      </c>
      <c r="X1568">
        <v>5</v>
      </c>
      <c r="Y1568" t="s">
        <v>20310</v>
      </c>
      <c r="Z1568" t="s">
        <v>26438</v>
      </c>
      <c r="AA1568">
        <v>0.3520979597955281</v>
      </c>
      <c r="AB1568" t="str">
        <f>HYPERLINK("Melting_Curves/meltCurve_P08240_2_SRPR.pdf", "Melting_Curves/meltCurve_P08240_2_SRPR.pdf")</f>
        <v>Melting_Curves/meltCurve_P08240_2_SRPR.pdf</v>
      </c>
    </row>
    <row r="1569" spans="1:28" x14ac:dyDescent="0.25">
      <c r="A1569" t="s">
        <v>1573</v>
      </c>
      <c r="B1569">
        <v>0.99352677808782597</v>
      </c>
      <c r="C1569">
        <v>0.93370723558614199</v>
      </c>
      <c r="D1569">
        <v>0.76243934946547498</v>
      </c>
      <c r="E1569">
        <v>0.26777952179613201</v>
      </c>
      <c r="F1569">
        <v>0.201435895495295</v>
      </c>
      <c r="G1569">
        <v>9.8130619997867499E-2</v>
      </c>
      <c r="H1569">
        <v>6.5149499837199101E-2</v>
      </c>
      <c r="I1569">
        <v>5.98173710549788E-2</v>
      </c>
      <c r="J1569">
        <v>5.0708903141818799E-2</v>
      </c>
      <c r="K1569">
        <v>3.8378654922587803E-2</v>
      </c>
      <c r="L1569">
        <v>1134.13549225877</v>
      </c>
      <c r="M1569">
        <v>23.690566253313701</v>
      </c>
      <c r="N1569">
        <v>48.136286027163798</v>
      </c>
      <c r="O1569">
        <v>47.535681152075199</v>
      </c>
      <c r="P1569">
        <v>-0.117021330706943</v>
      </c>
      <c r="Q1569">
        <v>6.0791387342454303E-2</v>
      </c>
      <c r="R1569">
        <v>0.99531167120517805</v>
      </c>
      <c r="S1569" t="s">
        <v>7854</v>
      </c>
      <c r="T1569" t="s">
        <v>12568</v>
      </c>
      <c r="U1569" t="s">
        <v>12568</v>
      </c>
      <c r="V1569" t="s">
        <v>12568</v>
      </c>
      <c r="W1569" t="s">
        <v>14107</v>
      </c>
      <c r="X1569">
        <v>20</v>
      </c>
      <c r="Y1569" t="s">
        <v>20311</v>
      </c>
      <c r="Z1569" t="s">
        <v>26439</v>
      </c>
      <c r="AA1569">
        <v>0.31658321290987751</v>
      </c>
      <c r="AB1569" t="str">
        <f>HYPERLINK("Melting_Curves/meltCurve_P08243_2_ASNS.pdf", "Melting_Curves/meltCurve_P08243_2_ASNS.pdf")</f>
        <v>Melting_Curves/meltCurve_P08243_2_ASNS.pdf</v>
      </c>
    </row>
    <row r="1570" spans="1:28" x14ac:dyDescent="0.25">
      <c r="A1570" t="s">
        <v>1574</v>
      </c>
      <c r="B1570">
        <v>0.99352677808782597</v>
      </c>
      <c r="C1570">
        <v>0.93194235321187402</v>
      </c>
      <c r="D1570">
        <v>0.957528103617726</v>
      </c>
      <c r="E1570">
        <v>0.84915133514238805</v>
      </c>
      <c r="F1570">
        <v>0.77586475969569102</v>
      </c>
      <c r="G1570">
        <v>0.72326070551130095</v>
      </c>
      <c r="H1570">
        <v>0.72408801587021399</v>
      </c>
      <c r="I1570">
        <v>0.82600821500961696</v>
      </c>
      <c r="J1570">
        <v>0.87794360285567496</v>
      </c>
      <c r="K1570">
        <v>0.67106899026456801</v>
      </c>
      <c r="L1570">
        <v>1098.3552134722099</v>
      </c>
      <c r="M1570">
        <v>22.751514251486501</v>
      </c>
      <c r="O1570">
        <v>47.9078174473768</v>
      </c>
      <c r="P1570">
        <v>-2.8251037148044601E-2</v>
      </c>
      <c r="Q1570">
        <v>0.76205204525348702</v>
      </c>
      <c r="R1570">
        <v>0.69110856362338302</v>
      </c>
      <c r="S1570" t="s">
        <v>7855</v>
      </c>
      <c r="T1570" t="s">
        <v>12568</v>
      </c>
      <c r="U1570" t="s">
        <v>12568</v>
      </c>
      <c r="V1570" t="s">
        <v>12568</v>
      </c>
      <c r="W1570" t="s">
        <v>14108</v>
      </c>
      <c r="X1570">
        <v>16</v>
      </c>
      <c r="Y1570" t="s">
        <v>20312</v>
      </c>
      <c r="Z1570" t="s">
        <v>26440</v>
      </c>
      <c r="AA1570">
        <v>0.83025980145362577</v>
      </c>
      <c r="AB1570" t="str">
        <f>HYPERLINK("Melting_Curves/meltCurve_P08397_2_HMBS.pdf", "Melting_Curves/meltCurve_P08397_2_HMBS.pdf")</f>
        <v>Melting_Curves/meltCurve_P08397_2_HMBS.pdf</v>
      </c>
    </row>
    <row r="1571" spans="1:28" x14ac:dyDescent="0.25">
      <c r="A1571" t="s">
        <v>1575</v>
      </c>
      <c r="B1571">
        <v>0.99352677808782597</v>
      </c>
      <c r="C1571">
        <v>0.86725196752322797</v>
      </c>
      <c r="D1571">
        <v>0.53329159240865398</v>
      </c>
      <c r="E1571">
        <v>0.222129861963869</v>
      </c>
      <c r="F1571">
        <v>0.16540612948458799</v>
      </c>
      <c r="G1571">
        <v>0.105041832891971</v>
      </c>
      <c r="H1571">
        <v>8.54531835639179E-2</v>
      </c>
      <c r="I1571">
        <v>5.9947642632273902E-2</v>
      </c>
      <c r="J1571">
        <v>4.6085964084525498E-2</v>
      </c>
      <c r="K1571">
        <v>4.0349317256662902E-2</v>
      </c>
      <c r="L1571">
        <v>974.25115757825301</v>
      </c>
      <c r="M1571">
        <v>21.078083118314101</v>
      </c>
      <c r="N1571">
        <v>46.540175291772002</v>
      </c>
      <c r="O1571">
        <v>45.811047808412198</v>
      </c>
      <c r="P1571">
        <v>-0.107290449737898</v>
      </c>
      <c r="Q1571">
        <v>6.7285525365103904E-2</v>
      </c>
      <c r="R1571">
        <v>0.99547357775062295</v>
      </c>
      <c r="S1571" t="s">
        <v>7856</v>
      </c>
      <c r="T1571" t="s">
        <v>12568</v>
      </c>
      <c r="U1571" t="s">
        <v>12568</v>
      </c>
      <c r="V1571" t="s">
        <v>12568</v>
      </c>
      <c r="W1571" t="s">
        <v>14109</v>
      </c>
      <c r="X1571">
        <v>10</v>
      </c>
      <c r="Y1571" t="s">
        <v>20313</v>
      </c>
      <c r="Z1571" t="s">
        <v>26441</v>
      </c>
      <c r="AA1571">
        <v>0.27330510045579709</v>
      </c>
      <c r="AB1571" t="str">
        <f>HYPERLINK("Melting_Curves/meltCurve_P08559_3_PDHA1.pdf", "Melting_Curves/meltCurve_P08559_3_PDHA1.pdf")</f>
        <v>Melting_Curves/meltCurve_P08559_3_PDHA1.pdf</v>
      </c>
    </row>
    <row r="1572" spans="1:28" x14ac:dyDescent="0.25">
      <c r="A1572" t="s">
        <v>1576</v>
      </c>
      <c r="B1572">
        <v>0.99352677808782597</v>
      </c>
      <c r="C1572">
        <v>0.95250892984985203</v>
      </c>
      <c r="D1572">
        <v>0.89945242857159602</v>
      </c>
      <c r="E1572">
        <v>0.82050375869877701</v>
      </c>
      <c r="F1572">
        <v>0.76133739907870901</v>
      </c>
      <c r="G1572">
        <v>0.554356956430889</v>
      </c>
      <c r="H1572">
        <v>0.44538869777155798</v>
      </c>
      <c r="I1572">
        <v>0.37654461001272199</v>
      </c>
      <c r="J1572">
        <v>0.38443572317673802</v>
      </c>
      <c r="K1572">
        <v>0.282759397574668</v>
      </c>
      <c r="L1572">
        <v>552.48077740808503</v>
      </c>
      <c r="M1572">
        <v>9.8017906649138506</v>
      </c>
      <c r="N1572">
        <v>59.464542063706801</v>
      </c>
      <c r="O1572">
        <v>54.169416462346199</v>
      </c>
      <c r="P1572">
        <v>-3.6207886550676902E-2</v>
      </c>
      <c r="Q1572">
        <v>0.20001113592889799</v>
      </c>
      <c r="R1572">
        <v>0.99121289030187998</v>
      </c>
      <c r="S1572" t="s">
        <v>7857</v>
      </c>
      <c r="T1572" t="s">
        <v>12568</v>
      </c>
      <c r="U1572" t="s">
        <v>12568</v>
      </c>
      <c r="V1572" t="s">
        <v>12568</v>
      </c>
      <c r="W1572" t="s">
        <v>14110</v>
      </c>
      <c r="X1572">
        <v>6</v>
      </c>
      <c r="Y1572" t="s">
        <v>20314</v>
      </c>
      <c r="Z1572" t="s">
        <v>26442</v>
      </c>
      <c r="AA1572">
        <v>0.65172214740579659</v>
      </c>
      <c r="AB1572" t="str">
        <f>HYPERLINK("Melting_Curves/meltCurve_P08572_COL4A2.pdf", "Melting_Curves/meltCurve_P08572_COL4A2.pdf")</f>
        <v>Melting_Curves/meltCurve_P08572_COL4A2.pdf</v>
      </c>
    </row>
    <row r="1573" spans="1:28" x14ac:dyDescent="0.25">
      <c r="A1573" t="s">
        <v>1577</v>
      </c>
      <c r="B1573">
        <v>0.99352677808782597</v>
      </c>
      <c r="C1573">
        <v>0.91906214910320805</v>
      </c>
      <c r="D1573">
        <v>0.83004389369548903</v>
      </c>
      <c r="E1573">
        <v>1.0600101719070201</v>
      </c>
      <c r="F1573">
        <v>0.909056799878738</v>
      </c>
      <c r="G1573">
        <v>0.56757352431111097</v>
      </c>
      <c r="H1573">
        <v>0.22292444086877899</v>
      </c>
      <c r="I1573">
        <v>0.17448276820132699</v>
      </c>
      <c r="J1573">
        <v>0.142149364894844</v>
      </c>
      <c r="K1573">
        <v>0.1142481209595</v>
      </c>
      <c r="L1573">
        <v>1766.44334589765</v>
      </c>
      <c r="M1573">
        <v>30.984294010846501</v>
      </c>
      <c r="N1573">
        <v>57.561802244151004</v>
      </c>
      <c r="O1573">
        <v>56.775025704757702</v>
      </c>
      <c r="P1573">
        <v>-0.118930501149249</v>
      </c>
      <c r="Q1573">
        <v>0.12830113116099301</v>
      </c>
      <c r="R1573">
        <v>0.97024151509420498</v>
      </c>
      <c r="S1573" t="s">
        <v>7858</v>
      </c>
      <c r="T1573" t="s">
        <v>12568</v>
      </c>
      <c r="U1573" t="s">
        <v>12568</v>
      </c>
      <c r="V1573" t="s">
        <v>12568</v>
      </c>
      <c r="W1573" t="s">
        <v>14111</v>
      </c>
      <c r="X1573">
        <v>6</v>
      </c>
      <c r="Y1573" t="s">
        <v>20315</v>
      </c>
      <c r="Z1573" t="s">
        <v>26443</v>
      </c>
      <c r="AA1573">
        <v>0.62806314794336693</v>
      </c>
      <c r="AB1573" t="str">
        <f>HYPERLINK("Melting_Curves/meltCurve_P08579_SNRPB2.pdf", "Melting_Curves/meltCurve_P08579_SNRPB2.pdf")</f>
        <v>Melting_Curves/meltCurve_P08579_SNRPB2.pdf</v>
      </c>
    </row>
    <row r="1574" spans="1:28" x14ac:dyDescent="0.25">
      <c r="A1574" t="s">
        <v>1578</v>
      </c>
      <c r="B1574">
        <v>0.99352677808782597</v>
      </c>
      <c r="C1574">
        <v>0.97692541549197298</v>
      </c>
      <c r="D1574">
        <v>0.93470845795511803</v>
      </c>
      <c r="E1574">
        <v>0.30184197367895499</v>
      </c>
      <c r="F1574">
        <v>0.248466584320399</v>
      </c>
      <c r="G1574">
        <v>0.131300993454565</v>
      </c>
      <c r="H1574">
        <v>0.113813315561147</v>
      </c>
      <c r="I1574">
        <v>0.108967278334891</v>
      </c>
      <c r="J1574">
        <v>9.0615675162172102E-2</v>
      </c>
      <c r="K1574">
        <v>6.7838622562556294E-2</v>
      </c>
      <c r="L1574">
        <v>1871.5811251329201</v>
      </c>
      <c r="M1574">
        <v>38.545525202405102</v>
      </c>
      <c r="N1574">
        <v>48.891180252030999</v>
      </c>
      <c r="O1574">
        <v>48.424944143190501</v>
      </c>
      <c r="P1574">
        <v>-0.17583571471873899</v>
      </c>
      <c r="Q1574">
        <v>0.116388828916293</v>
      </c>
      <c r="R1574">
        <v>0.98954718437685496</v>
      </c>
      <c r="S1574" t="s">
        <v>7859</v>
      </c>
      <c r="T1574" t="s">
        <v>12568</v>
      </c>
      <c r="U1574" t="s">
        <v>12568</v>
      </c>
      <c r="V1574" t="s">
        <v>12568</v>
      </c>
      <c r="W1574" t="s">
        <v>14112</v>
      </c>
      <c r="X1574">
        <v>8</v>
      </c>
      <c r="Y1574" t="s">
        <v>20316</v>
      </c>
      <c r="Z1574" t="s">
        <v>26444</v>
      </c>
      <c r="AA1574">
        <v>0.37157019736580321</v>
      </c>
      <c r="AB1574" t="str">
        <f>HYPERLINK("Melting_Curves/meltCurve_P08581_MET.pdf", "Melting_Curves/meltCurve_P08581_MET.pdf")</f>
        <v>Melting_Curves/meltCurve_P08581_MET.pdf</v>
      </c>
    </row>
    <row r="1575" spans="1:28" x14ac:dyDescent="0.25">
      <c r="A1575" t="s">
        <v>1579</v>
      </c>
      <c r="B1575">
        <v>0.99352677808782597</v>
      </c>
      <c r="C1575">
        <v>0.90697269624314603</v>
      </c>
      <c r="D1575">
        <v>0.76516059686275895</v>
      </c>
      <c r="E1575">
        <v>1.1997802491612899</v>
      </c>
      <c r="F1575">
        <v>0.91234502312567001</v>
      </c>
      <c r="G1575">
        <v>2.3648747394457299</v>
      </c>
      <c r="H1575">
        <v>0.81029767338049297</v>
      </c>
      <c r="I1575">
        <v>0.81380380204465097</v>
      </c>
      <c r="J1575">
        <v>0.53653800109990402</v>
      </c>
      <c r="K1575">
        <v>0.35379164617918402</v>
      </c>
      <c r="L1575">
        <v>2559.8072582636401</v>
      </c>
      <c r="M1575">
        <v>39.027111700842703</v>
      </c>
      <c r="N1575">
        <v>67.245486283850894</v>
      </c>
      <c r="O1575">
        <v>65.418986035064194</v>
      </c>
      <c r="P1575">
        <v>-0.103110068916151</v>
      </c>
      <c r="Q1575">
        <v>0.308650812185779</v>
      </c>
      <c r="R1575">
        <v>0.24822361305565999</v>
      </c>
      <c r="S1575" t="s">
        <v>7860</v>
      </c>
      <c r="T1575" t="s">
        <v>12568</v>
      </c>
      <c r="U1575" t="s">
        <v>12568</v>
      </c>
      <c r="V1575" t="s">
        <v>12568</v>
      </c>
      <c r="W1575" t="s">
        <v>14113</v>
      </c>
      <c r="X1575">
        <v>2</v>
      </c>
      <c r="Y1575" t="s">
        <v>20317</v>
      </c>
      <c r="Z1575" t="s">
        <v>26445</v>
      </c>
      <c r="AA1575">
        <v>0.89783505403852848</v>
      </c>
      <c r="AB1575" t="str">
        <f>HYPERLINK("Melting_Curves/meltCurve_P08582_MFI2.pdf", "Melting_Curves/meltCurve_P08582_MFI2.pdf")</f>
        <v>Melting_Curves/meltCurve_P08582_MFI2.pdf</v>
      </c>
    </row>
    <row r="1576" spans="1:28" x14ac:dyDescent="0.25">
      <c r="A1576" t="s">
        <v>1580</v>
      </c>
      <c r="B1576">
        <v>0.99352677808782597</v>
      </c>
      <c r="C1576">
        <v>0.92295026684638304</v>
      </c>
      <c r="D1576">
        <v>0.96352253984849701</v>
      </c>
      <c r="E1576">
        <v>0.53240457947499398</v>
      </c>
      <c r="F1576">
        <v>0.44585532327987698</v>
      </c>
      <c r="G1576">
        <v>0.29833107583545998</v>
      </c>
      <c r="H1576">
        <v>0.227835268950524</v>
      </c>
      <c r="I1576">
        <v>0.22904890384257201</v>
      </c>
      <c r="J1576">
        <v>0.22602158324862101</v>
      </c>
      <c r="K1576">
        <v>0.18418361087003099</v>
      </c>
      <c r="L1576">
        <v>1010.55493929529</v>
      </c>
      <c r="M1576">
        <v>20.228193513399699</v>
      </c>
      <c r="N1576">
        <v>51.387030852434599</v>
      </c>
      <c r="O1576">
        <v>49.477163691337303</v>
      </c>
      <c r="P1576">
        <v>-8.0222240161720706E-2</v>
      </c>
      <c r="Q1576">
        <v>0.21514549892193299</v>
      </c>
      <c r="R1576">
        <v>0.98224306114836901</v>
      </c>
      <c r="S1576" t="s">
        <v>7861</v>
      </c>
      <c r="T1576" t="s">
        <v>12568</v>
      </c>
      <c r="U1576" t="s">
        <v>12568</v>
      </c>
      <c r="V1576" t="s">
        <v>12568</v>
      </c>
      <c r="W1576" t="s">
        <v>14114</v>
      </c>
      <c r="X1576">
        <v>8</v>
      </c>
      <c r="Y1576" t="s">
        <v>20318</v>
      </c>
      <c r="Z1576" t="s">
        <v>26446</v>
      </c>
      <c r="AA1576">
        <v>0.48634634227839241</v>
      </c>
      <c r="AB1576" t="str">
        <f>HYPERLINK("Melting_Curves/meltCurve_P08621_SNRNP70.pdf", "Melting_Curves/meltCurve_P08621_SNRNP70.pdf")</f>
        <v>Melting_Curves/meltCurve_P08621_SNRNP70.pdf</v>
      </c>
    </row>
    <row r="1577" spans="1:28" x14ac:dyDescent="0.25">
      <c r="A1577" t="s">
        <v>1581</v>
      </c>
      <c r="B1577">
        <v>0.99352677808782597</v>
      </c>
      <c r="C1577">
        <v>0.94321786651103701</v>
      </c>
      <c r="D1577">
        <v>0.96780041462486499</v>
      </c>
      <c r="E1577">
        <v>0.87389313942287605</v>
      </c>
      <c r="F1577">
        <v>0.84004955335647302</v>
      </c>
      <c r="G1577">
        <v>0.65558194828935301</v>
      </c>
      <c r="H1577">
        <v>0.58152506523960001</v>
      </c>
      <c r="I1577">
        <v>0.52378491238946701</v>
      </c>
      <c r="J1577">
        <v>0.55936611977308004</v>
      </c>
      <c r="K1577">
        <v>0.41760888233612697</v>
      </c>
      <c r="L1577">
        <v>597.06876346569402</v>
      </c>
      <c r="M1577">
        <v>10.507870072291499</v>
      </c>
      <c r="N1577">
        <v>66.238833746474398</v>
      </c>
      <c r="O1577">
        <v>54.878890418396097</v>
      </c>
      <c r="P1577">
        <v>-2.9318644827960001E-2</v>
      </c>
      <c r="Q1577">
        <v>0.38776264410066802</v>
      </c>
      <c r="R1577">
        <v>0.97297046016377398</v>
      </c>
      <c r="S1577" t="s">
        <v>7862</v>
      </c>
      <c r="T1577" t="s">
        <v>12568</v>
      </c>
      <c r="U1577" t="s">
        <v>12568</v>
      </c>
      <c r="V1577" t="s">
        <v>12568</v>
      </c>
      <c r="W1577" t="s">
        <v>14115</v>
      </c>
      <c r="X1577">
        <v>7</v>
      </c>
      <c r="Y1577" t="s">
        <v>20319</v>
      </c>
      <c r="Z1577" t="s">
        <v>26447</v>
      </c>
      <c r="AA1577">
        <v>0.74155708302650292</v>
      </c>
      <c r="AB1577" t="str">
        <f>HYPERLINK("Melting_Curves/meltCurve_P08651_2_NFIC.pdf", "Melting_Curves/meltCurve_P08651_2_NFIC.pdf")</f>
        <v>Melting_Curves/meltCurve_P08651_2_NFIC.pdf</v>
      </c>
    </row>
    <row r="1578" spans="1:28" x14ac:dyDescent="0.25">
      <c r="A1578" t="s">
        <v>1582</v>
      </c>
      <c r="B1578">
        <v>0.99352677808782597</v>
      </c>
      <c r="C1578">
        <v>0.98392282166902001</v>
      </c>
      <c r="D1578">
        <v>0.95304112095595395</v>
      </c>
      <c r="E1578">
        <v>0.88140238671902704</v>
      </c>
      <c r="F1578">
        <v>0.76172455068427403</v>
      </c>
      <c r="G1578">
        <v>0.68200532178905704</v>
      </c>
      <c r="H1578">
        <v>0.63106166835710198</v>
      </c>
      <c r="I1578">
        <v>0.66410403108530203</v>
      </c>
      <c r="J1578">
        <v>0.75523209058094698</v>
      </c>
      <c r="K1578">
        <v>0.64374555482817397</v>
      </c>
      <c r="L1578">
        <v>1246.1762936730699</v>
      </c>
      <c r="M1578">
        <v>24.4883457431519</v>
      </c>
      <c r="O1578">
        <v>50.5528103757106</v>
      </c>
      <c r="P1578">
        <v>-3.9972913269288299E-2</v>
      </c>
      <c r="Q1578">
        <v>0.66993041932471198</v>
      </c>
      <c r="R1578">
        <v>0.94269495241896295</v>
      </c>
      <c r="S1578" t="s">
        <v>7863</v>
      </c>
      <c r="T1578" t="s">
        <v>12568</v>
      </c>
      <c r="U1578" t="s">
        <v>12568</v>
      </c>
      <c r="V1578" t="s">
        <v>12568</v>
      </c>
      <c r="W1578" t="s">
        <v>14116</v>
      </c>
      <c r="X1578">
        <v>49</v>
      </c>
      <c r="Y1578" t="s">
        <v>20320</v>
      </c>
      <c r="Z1578" t="s">
        <v>26448</v>
      </c>
      <c r="AA1578">
        <v>0.79283166602851618</v>
      </c>
      <c r="AB1578" t="str">
        <f>HYPERLINK("Melting_Curves/meltCurve_P08670_VIM.pdf", "Melting_Curves/meltCurve_P08670_VIM.pdf")</f>
        <v>Melting_Curves/meltCurve_P08670_VIM.pdf</v>
      </c>
    </row>
    <row r="1579" spans="1:28" x14ac:dyDescent="0.25">
      <c r="A1579" t="s">
        <v>1583</v>
      </c>
      <c r="B1579">
        <v>0.99352677808782597</v>
      </c>
      <c r="C1579">
        <v>1.0041470208596901</v>
      </c>
      <c r="D1579">
        <v>0.95571337686887003</v>
      </c>
      <c r="E1579">
        <v>0.83170014791653302</v>
      </c>
      <c r="F1579">
        <v>0.76113208066676297</v>
      </c>
      <c r="G1579">
        <v>0.53650084549942501</v>
      </c>
      <c r="H1579">
        <v>0.487763708753438</v>
      </c>
      <c r="I1579">
        <v>0.41499336727827701</v>
      </c>
      <c r="J1579">
        <v>0.317417343163583</v>
      </c>
      <c r="K1579">
        <v>0.24294787854772801</v>
      </c>
      <c r="L1579">
        <v>572.955000221619</v>
      </c>
      <c r="M1579">
        <v>9.9524814511525399</v>
      </c>
      <c r="N1579">
        <v>59.667933927024102</v>
      </c>
      <c r="O1579">
        <v>55.3895228241105</v>
      </c>
      <c r="P1579">
        <v>-3.8305227242003602E-2</v>
      </c>
      <c r="Q1579">
        <v>0.14768682880896999</v>
      </c>
      <c r="R1579">
        <v>0.98875970343195796</v>
      </c>
      <c r="S1579" t="s">
        <v>7864</v>
      </c>
      <c r="T1579" t="s">
        <v>12568</v>
      </c>
      <c r="U1579" t="s">
        <v>12568</v>
      </c>
      <c r="V1579" t="s">
        <v>12568</v>
      </c>
      <c r="W1579" t="s">
        <v>14117</v>
      </c>
      <c r="X1579">
        <v>27</v>
      </c>
      <c r="Y1579" t="s">
        <v>19599</v>
      </c>
      <c r="Z1579" t="s">
        <v>26449</v>
      </c>
      <c r="AA1579">
        <v>0.65744415864740469</v>
      </c>
      <c r="AB1579" t="str">
        <f>HYPERLINK("Melting_Curves/meltCurve_P08727_KRT19.pdf", "Melting_Curves/meltCurve_P08727_KRT19.pdf")</f>
        <v>Melting_Curves/meltCurve_P08727_KRT19.pdf</v>
      </c>
    </row>
    <row r="1580" spans="1:28" x14ac:dyDescent="0.25">
      <c r="A1580" t="s">
        <v>1584</v>
      </c>
      <c r="B1580">
        <v>0.99352677808782597</v>
      </c>
      <c r="C1580">
        <v>0.80710355106442699</v>
      </c>
      <c r="D1580">
        <v>0.93400334783701799</v>
      </c>
      <c r="E1580">
        <v>0.850570408751673</v>
      </c>
      <c r="F1580">
        <v>0.72498836899929298</v>
      </c>
      <c r="G1580">
        <v>0.51589257603419603</v>
      </c>
      <c r="H1580">
        <v>0.36827078571555999</v>
      </c>
      <c r="I1580">
        <v>0.226642386858251</v>
      </c>
      <c r="J1580">
        <v>0.232891696449393</v>
      </c>
      <c r="K1580">
        <v>0.22856219784305301</v>
      </c>
      <c r="L1580">
        <v>612.67305553140704</v>
      </c>
      <c r="M1580">
        <v>10.866790105356801</v>
      </c>
      <c r="N1580">
        <v>57.448107858844701</v>
      </c>
      <c r="O1580">
        <v>54.571766029863802</v>
      </c>
      <c r="P1580">
        <v>-4.5245750403461002E-2</v>
      </c>
      <c r="Q1580">
        <v>9.1445117060159398E-2</v>
      </c>
      <c r="R1580">
        <v>0.96048047349004695</v>
      </c>
      <c r="S1580" t="s">
        <v>7865</v>
      </c>
      <c r="T1580" t="s">
        <v>12568</v>
      </c>
      <c r="U1580" t="s">
        <v>12568</v>
      </c>
      <c r="V1580" t="s">
        <v>12568</v>
      </c>
      <c r="W1580" t="s">
        <v>14118</v>
      </c>
      <c r="X1580">
        <v>39</v>
      </c>
      <c r="Y1580" t="s">
        <v>20321</v>
      </c>
      <c r="Z1580" t="s">
        <v>26450</v>
      </c>
      <c r="AA1580">
        <v>0.60508898369266084</v>
      </c>
      <c r="AB1580" t="str">
        <f>HYPERLINK("Melting_Curves/meltCurve_P08729_KRT7.pdf", "Melting_Curves/meltCurve_P08729_KRT7.pdf")</f>
        <v>Melting_Curves/meltCurve_P08729_KRT7.pdf</v>
      </c>
    </row>
    <row r="1581" spans="1:28" x14ac:dyDescent="0.25">
      <c r="A1581" t="s">
        <v>1585</v>
      </c>
      <c r="B1581">
        <v>0.99352677808782597</v>
      </c>
      <c r="C1581">
        <v>0.95403168092927304</v>
      </c>
      <c r="D1581">
        <v>0.92787909379174005</v>
      </c>
      <c r="E1581">
        <v>0.482110747452418</v>
      </c>
      <c r="F1581">
        <v>0.38690471064396997</v>
      </c>
      <c r="G1581">
        <v>0.18472134311657501</v>
      </c>
      <c r="H1581">
        <v>9.9708093312440099E-2</v>
      </c>
      <c r="I1581">
        <v>9.5809060178643005E-2</v>
      </c>
      <c r="J1581">
        <v>7.8595078906167501E-2</v>
      </c>
      <c r="K1581">
        <v>5.7858195648885502E-2</v>
      </c>
      <c r="L1581">
        <v>922.64315572958196</v>
      </c>
      <c r="M1581">
        <v>18.334591864296701</v>
      </c>
      <c r="N1581">
        <v>50.750741937654801</v>
      </c>
      <c r="O1581">
        <v>49.735354366942701</v>
      </c>
      <c r="P1581">
        <v>-8.5560217050128604E-2</v>
      </c>
      <c r="Q1581">
        <v>7.1662566448210993E-2</v>
      </c>
      <c r="R1581">
        <v>0.98934834125350002</v>
      </c>
      <c r="S1581" t="s">
        <v>7866</v>
      </c>
      <c r="T1581" t="s">
        <v>12568</v>
      </c>
      <c r="U1581" t="s">
        <v>12568</v>
      </c>
      <c r="V1581" t="s">
        <v>12568</v>
      </c>
      <c r="W1581" t="s">
        <v>14119</v>
      </c>
      <c r="X1581">
        <v>9</v>
      </c>
      <c r="Y1581" t="s">
        <v>20322</v>
      </c>
      <c r="Z1581" t="s">
        <v>26451</v>
      </c>
      <c r="AA1581">
        <v>0.40632151919858112</v>
      </c>
      <c r="AB1581" t="str">
        <f>HYPERLINK("Melting_Curves/meltCurve_P08754_GNAI3.pdf", "Melting_Curves/meltCurve_P08754_GNAI3.pdf")</f>
        <v>Melting_Curves/meltCurve_P08754_GNAI3.pdf</v>
      </c>
    </row>
    <row r="1582" spans="1:28" x14ac:dyDescent="0.25">
      <c r="A1582" t="s">
        <v>1586</v>
      </c>
      <c r="B1582">
        <v>0.99352677808782597</v>
      </c>
      <c r="C1582">
        <v>0.53690528336659604</v>
      </c>
      <c r="D1582">
        <v>0.45919348114464098</v>
      </c>
      <c r="E1582">
        <v>0.48963929055095601</v>
      </c>
      <c r="F1582">
        <v>0.31305582253181902</v>
      </c>
      <c r="G1582">
        <v>0.33050423976991999</v>
      </c>
      <c r="H1582">
        <v>0.36293871338101702</v>
      </c>
      <c r="I1582">
        <v>0.278175688242216</v>
      </c>
      <c r="J1582">
        <v>0.20219718032501699</v>
      </c>
      <c r="K1582">
        <v>0.17441089378716601</v>
      </c>
      <c r="L1582">
        <v>704.22439783089305</v>
      </c>
      <c r="M1582">
        <v>16.258519146735999</v>
      </c>
      <c r="N1582">
        <v>45.604383565402699</v>
      </c>
      <c r="O1582">
        <v>42.674809185284801</v>
      </c>
      <c r="P1582">
        <v>-6.86769898907474E-2</v>
      </c>
      <c r="Q1582">
        <v>0.27900895816483701</v>
      </c>
      <c r="R1582">
        <v>0.83672896122933005</v>
      </c>
      <c r="S1582" t="s">
        <v>7867</v>
      </c>
      <c r="T1582" t="s">
        <v>12568</v>
      </c>
      <c r="U1582" t="s">
        <v>12568</v>
      </c>
      <c r="V1582" t="s">
        <v>12568</v>
      </c>
      <c r="W1582" t="s">
        <v>14120</v>
      </c>
      <c r="X1582">
        <v>9</v>
      </c>
      <c r="Y1582" t="s">
        <v>20323</v>
      </c>
      <c r="Z1582" t="s">
        <v>26452</v>
      </c>
      <c r="AA1582">
        <v>0.38327319464730653</v>
      </c>
      <c r="AB1582" t="str">
        <f>HYPERLINK("Melting_Curves/meltCurve_P08779_KRT16.pdf", "Melting_Curves/meltCurve_P08779_KRT16.pdf")</f>
        <v>Melting_Curves/meltCurve_P08779_KRT16.pdf</v>
      </c>
    </row>
    <row r="1583" spans="1:28" x14ac:dyDescent="0.25">
      <c r="A1583" t="s">
        <v>1587</v>
      </c>
      <c r="B1583">
        <v>0.99352677808782597</v>
      </c>
      <c r="C1583">
        <v>0.99161096511034197</v>
      </c>
      <c r="D1583">
        <v>0.96750355111651198</v>
      </c>
      <c r="E1583">
        <v>1.2793335374728201</v>
      </c>
      <c r="F1583">
        <v>1.1805910702422799</v>
      </c>
      <c r="G1583">
        <v>0.73770689936567202</v>
      </c>
      <c r="H1583">
        <v>0.43525964914354898</v>
      </c>
      <c r="I1583">
        <v>0.29164602733498002</v>
      </c>
      <c r="J1583">
        <v>0.25324380965247301</v>
      </c>
      <c r="K1583">
        <v>0.23117556127571501</v>
      </c>
      <c r="L1583">
        <v>2097.6456488722301</v>
      </c>
      <c r="M1583">
        <v>35.824007442522998</v>
      </c>
      <c r="N1583">
        <v>59.7177612938804</v>
      </c>
      <c r="O1583">
        <v>58.372628451744099</v>
      </c>
      <c r="P1583">
        <v>-0.11488526558232399</v>
      </c>
      <c r="Q1583">
        <v>0.25121350862335501</v>
      </c>
      <c r="R1583">
        <v>0.91423824667341202</v>
      </c>
      <c r="S1583" t="s">
        <v>7868</v>
      </c>
      <c r="T1583" t="s">
        <v>12568</v>
      </c>
      <c r="U1583" t="s">
        <v>12568</v>
      </c>
      <c r="V1583" t="s">
        <v>12568</v>
      </c>
      <c r="W1583" t="s">
        <v>14121</v>
      </c>
      <c r="X1583">
        <v>8</v>
      </c>
      <c r="Y1583" t="s">
        <v>20324</v>
      </c>
      <c r="Z1583" t="s">
        <v>26453</v>
      </c>
      <c r="AA1583">
        <v>0.71792673150452002</v>
      </c>
      <c r="AB1583" t="str">
        <f>HYPERLINK("Melting_Curves/meltCurve_P09012_SNRPA.pdf", "Melting_Curves/meltCurve_P09012_SNRPA.pdf")</f>
        <v>Melting_Curves/meltCurve_P09012_SNRPA.pdf</v>
      </c>
    </row>
    <row r="1584" spans="1:28" x14ac:dyDescent="0.25">
      <c r="A1584" t="s">
        <v>1588</v>
      </c>
      <c r="B1584">
        <v>0.99352677808782597</v>
      </c>
      <c r="C1584">
        <v>0.96877558592246404</v>
      </c>
      <c r="D1584">
        <v>1.0131964934722699</v>
      </c>
      <c r="E1584">
        <v>0.840905127167487</v>
      </c>
      <c r="F1584">
        <v>0.74994591598624205</v>
      </c>
      <c r="G1584">
        <v>0.57196363752564205</v>
      </c>
      <c r="H1584">
        <v>0.25522203461829401</v>
      </c>
      <c r="I1584">
        <v>0.140102429835682</v>
      </c>
      <c r="J1584">
        <v>7.78906400816744E-2</v>
      </c>
      <c r="K1584">
        <v>7.4632571537159006E-2</v>
      </c>
      <c r="L1584">
        <v>863.82134551746799</v>
      </c>
      <c r="M1584">
        <v>15.118931023324301</v>
      </c>
      <c r="N1584">
        <v>57.135080840277297</v>
      </c>
      <c r="O1584">
        <v>56.163477311415598</v>
      </c>
      <c r="P1584">
        <v>-6.7305358233363199E-2</v>
      </c>
      <c r="Q1584">
        <v>0</v>
      </c>
      <c r="R1584">
        <v>0.99212885964168696</v>
      </c>
      <c r="S1584" t="s">
        <v>7869</v>
      </c>
      <c r="T1584" t="s">
        <v>12568</v>
      </c>
      <c r="U1584" t="s">
        <v>12568</v>
      </c>
      <c r="V1584" t="s">
        <v>12568</v>
      </c>
      <c r="W1584" t="s">
        <v>14122</v>
      </c>
      <c r="X1584">
        <v>4</v>
      </c>
      <c r="Y1584" t="s">
        <v>20325</v>
      </c>
      <c r="Z1584" t="s">
        <v>26454</v>
      </c>
      <c r="AA1584">
        <v>0.58663019400709782</v>
      </c>
      <c r="AB1584" t="str">
        <f>HYPERLINK("Melting_Curves/meltCurve_P09038_2_FGF2.pdf", "Melting_Curves/meltCurve_P09038_2_FGF2.pdf")</f>
        <v>Melting_Curves/meltCurve_P09038_2_FGF2.pdf</v>
      </c>
    </row>
    <row r="1585" spans="1:28" x14ac:dyDescent="0.25">
      <c r="A1585" t="s">
        <v>1589</v>
      </c>
      <c r="B1585">
        <v>0.99352677808782597</v>
      </c>
      <c r="C1585">
        <v>0.95494199873584096</v>
      </c>
      <c r="D1585">
        <v>0.97822188476601002</v>
      </c>
      <c r="E1585">
        <v>0.56071867897568395</v>
      </c>
      <c r="F1585">
        <v>0.443919472979518</v>
      </c>
      <c r="G1585">
        <v>0.30976138218789301</v>
      </c>
      <c r="H1585">
        <v>0.14222976734467499</v>
      </c>
      <c r="I1585">
        <v>8.5640810861158906E-2</v>
      </c>
      <c r="J1585">
        <v>5.9464450582564499E-2</v>
      </c>
      <c r="K1585">
        <v>4.6441816031946498E-2</v>
      </c>
      <c r="L1585">
        <v>756.60691190135697</v>
      </c>
      <c r="M1585">
        <v>14.565418690999399</v>
      </c>
      <c r="N1585">
        <v>52.222562306679002</v>
      </c>
      <c r="O1585">
        <v>50.995729328645801</v>
      </c>
      <c r="P1585">
        <v>-6.8757193961688001E-2</v>
      </c>
      <c r="Q1585">
        <v>3.7191877099131597E-2</v>
      </c>
      <c r="R1585">
        <v>0.98283379842780905</v>
      </c>
      <c r="S1585" t="s">
        <v>7870</v>
      </c>
      <c r="T1585" t="s">
        <v>12568</v>
      </c>
      <c r="U1585" t="s">
        <v>12568</v>
      </c>
      <c r="V1585" t="s">
        <v>12568</v>
      </c>
      <c r="W1585" t="s">
        <v>14123</v>
      </c>
      <c r="X1585">
        <v>8</v>
      </c>
      <c r="Y1585" t="s">
        <v>20326</v>
      </c>
      <c r="Z1585" t="s">
        <v>26455</v>
      </c>
      <c r="AA1585">
        <v>0.44311515771379523</v>
      </c>
      <c r="AB1585" t="str">
        <f>HYPERLINK("Melting_Curves/meltCurve_P09110_ACAA1.pdf", "Melting_Curves/meltCurve_P09110_ACAA1.pdf")</f>
        <v>Melting_Curves/meltCurve_P09110_ACAA1.pdf</v>
      </c>
    </row>
    <row r="1586" spans="1:28" x14ac:dyDescent="0.25">
      <c r="A1586" t="s">
        <v>1590</v>
      </c>
      <c r="B1586">
        <v>0.99352677808782597</v>
      </c>
      <c r="C1586">
        <v>0.87582930059907804</v>
      </c>
      <c r="D1586">
        <v>0.74193520584955197</v>
      </c>
      <c r="E1586">
        <v>0.35940889187583602</v>
      </c>
      <c r="F1586">
        <v>0.28848087729786798</v>
      </c>
      <c r="G1586">
        <v>0.18459160819642101</v>
      </c>
      <c r="H1586">
        <v>0.112211679228555</v>
      </c>
      <c r="I1586">
        <v>0.102994556540666</v>
      </c>
      <c r="J1586">
        <v>8.0433971652567104E-2</v>
      </c>
      <c r="K1586">
        <v>6.3770317669975304E-2</v>
      </c>
      <c r="L1586">
        <v>776.04562709347795</v>
      </c>
      <c r="M1586">
        <v>16.084434727497602</v>
      </c>
      <c r="N1586">
        <v>48.784012736702799</v>
      </c>
      <c r="O1586">
        <v>47.520921235816601</v>
      </c>
      <c r="P1586">
        <v>-7.7772812697216795E-2</v>
      </c>
      <c r="Q1586">
        <v>8.0961938193539598E-2</v>
      </c>
      <c r="R1586">
        <v>0.99341955237747104</v>
      </c>
      <c r="S1586" t="s">
        <v>7871</v>
      </c>
      <c r="T1586" t="s">
        <v>12568</v>
      </c>
      <c r="U1586" t="s">
        <v>12568</v>
      </c>
      <c r="V1586" t="s">
        <v>12568</v>
      </c>
      <c r="W1586" t="s">
        <v>14124</v>
      </c>
      <c r="X1586">
        <v>4</v>
      </c>
      <c r="Y1586" t="s">
        <v>20327</v>
      </c>
      <c r="Z1586" t="s">
        <v>26456</v>
      </c>
      <c r="AA1586">
        <v>0.35400617200130069</v>
      </c>
      <c r="AB1586" t="str">
        <f>HYPERLINK("Melting_Curves/meltCurve_P09132_SRP19.pdf", "Melting_Curves/meltCurve_P09132_SRP19.pdf")</f>
        <v>Melting_Curves/meltCurve_P09132_SRP19.pdf</v>
      </c>
    </row>
    <row r="1587" spans="1:28" x14ac:dyDescent="0.25">
      <c r="A1587" t="s">
        <v>1591</v>
      </c>
      <c r="B1587">
        <v>0.99352677808782597</v>
      </c>
      <c r="C1587">
        <v>0.98184363330568702</v>
      </c>
      <c r="D1587">
        <v>1.03055674621867</v>
      </c>
      <c r="E1587">
        <v>1.4059429565266801</v>
      </c>
      <c r="F1587">
        <v>1.10656896621914</v>
      </c>
      <c r="G1587">
        <v>1.11724151665256</v>
      </c>
      <c r="H1587">
        <v>0.93351599725210899</v>
      </c>
      <c r="I1587">
        <v>0.850020823863886</v>
      </c>
      <c r="J1587">
        <v>0.882827057444871</v>
      </c>
      <c r="K1587">
        <v>0.81112758544652297</v>
      </c>
      <c r="L1587">
        <v>10326.6305713273</v>
      </c>
      <c r="M1587">
        <v>169.03673930378699</v>
      </c>
      <c r="O1587">
        <v>61.082492055454701</v>
      </c>
      <c r="P1587">
        <v>-0.105181858275697</v>
      </c>
      <c r="Q1587">
        <v>0.84796748910029396</v>
      </c>
      <c r="R1587">
        <v>0.27216357111301698</v>
      </c>
      <c r="S1587" t="s">
        <v>7872</v>
      </c>
      <c r="T1587" t="s">
        <v>12568</v>
      </c>
      <c r="U1587" t="s">
        <v>12568</v>
      </c>
      <c r="V1587" t="s">
        <v>12568</v>
      </c>
      <c r="W1587" t="s">
        <v>14125</v>
      </c>
      <c r="X1587">
        <v>3</v>
      </c>
      <c r="Y1587" t="s">
        <v>20328</v>
      </c>
      <c r="Z1587" t="s">
        <v>26457</v>
      </c>
      <c r="AA1587">
        <v>0.95488728889670327</v>
      </c>
      <c r="AB1587" t="str">
        <f>HYPERLINK("Melting_Curves/meltCurve_P09234_SNRPC.pdf", "Melting_Curves/meltCurve_P09234_SNRPC.pdf")</f>
        <v>Melting_Curves/meltCurve_P09234_SNRPC.pdf</v>
      </c>
    </row>
    <row r="1588" spans="1:28" x14ac:dyDescent="0.25">
      <c r="A1588" t="s">
        <v>1592</v>
      </c>
      <c r="B1588">
        <v>0.99352677808782597</v>
      </c>
      <c r="C1588">
        <v>1.04786686580793</v>
      </c>
      <c r="D1588">
        <v>0.94018294736844699</v>
      </c>
      <c r="E1588">
        <v>0.56846764829573704</v>
      </c>
      <c r="F1588">
        <v>0.62826710386139795</v>
      </c>
      <c r="G1588">
        <v>0.38590867080408803</v>
      </c>
      <c r="H1588">
        <v>0.52227197968970296</v>
      </c>
      <c r="I1588">
        <v>0.451962367001216</v>
      </c>
      <c r="J1588">
        <v>0.26226214146788901</v>
      </c>
      <c r="K1588">
        <v>0.23322852185218401</v>
      </c>
      <c r="L1588">
        <v>744.61489932178301</v>
      </c>
      <c r="M1588">
        <v>14.6609700015846</v>
      </c>
      <c r="N1588">
        <v>54.703398064270999</v>
      </c>
      <c r="O1588">
        <v>49.872074228036197</v>
      </c>
      <c r="P1588">
        <v>-4.9622304896037299E-2</v>
      </c>
      <c r="Q1588">
        <v>0.324875812845551</v>
      </c>
      <c r="R1588">
        <v>0.89441557655729498</v>
      </c>
      <c r="S1588" t="s">
        <v>7873</v>
      </c>
      <c r="T1588" t="s">
        <v>12568</v>
      </c>
      <c r="U1588" t="s">
        <v>12568</v>
      </c>
      <c r="V1588" t="s">
        <v>12568</v>
      </c>
      <c r="W1588" t="s">
        <v>14126</v>
      </c>
      <c r="X1588">
        <v>1</v>
      </c>
      <c r="Y1588" t="s">
        <v>20329</v>
      </c>
      <c r="Z1588" t="s">
        <v>26458</v>
      </c>
      <c r="AA1588">
        <v>0.58398452792140765</v>
      </c>
      <c r="AB1588" t="str">
        <f>HYPERLINK("Melting_Curves/meltCurve_P09327_VIL1.pdf", "Melting_Curves/meltCurve_P09327_VIL1.pdf")</f>
        <v>Melting_Curves/meltCurve_P09327_VIL1.pdf</v>
      </c>
    </row>
    <row r="1589" spans="1:28" x14ac:dyDescent="0.25">
      <c r="A1589" t="s">
        <v>1593</v>
      </c>
      <c r="B1589">
        <v>0.99352677808782597</v>
      </c>
      <c r="C1589">
        <v>1.0056193183176101</v>
      </c>
      <c r="D1589">
        <v>0.99611227813527203</v>
      </c>
      <c r="E1589">
        <v>0.98304818950744899</v>
      </c>
      <c r="F1589">
        <v>0.85684280206228403</v>
      </c>
      <c r="G1589">
        <v>0.79218890916020501</v>
      </c>
      <c r="H1589">
        <v>0.57286937809281802</v>
      </c>
      <c r="I1589">
        <v>0.499182482464328</v>
      </c>
      <c r="J1589">
        <v>0.49649868197075397</v>
      </c>
      <c r="K1589">
        <v>0.37372384862028701</v>
      </c>
      <c r="L1589">
        <v>842.25411040947699</v>
      </c>
      <c r="M1589">
        <v>14.215969533623699</v>
      </c>
      <c r="N1589">
        <v>64.323769300306594</v>
      </c>
      <c r="O1589">
        <v>58.111650173467503</v>
      </c>
      <c r="P1589">
        <v>-4.0541529663130703E-2</v>
      </c>
      <c r="Q1589">
        <v>0.33718445058859597</v>
      </c>
      <c r="R1589">
        <v>0.98538178947841604</v>
      </c>
      <c r="S1589" t="s">
        <v>7874</v>
      </c>
      <c r="T1589" t="s">
        <v>12568</v>
      </c>
      <c r="U1589" t="s">
        <v>12568</v>
      </c>
      <c r="V1589" t="s">
        <v>12568</v>
      </c>
      <c r="W1589" t="s">
        <v>14127</v>
      </c>
      <c r="X1589">
        <v>10</v>
      </c>
      <c r="Y1589" t="s">
        <v>20330</v>
      </c>
      <c r="Z1589" t="s">
        <v>26459</v>
      </c>
      <c r="AA1589">
        <v>0.7685304996044664</v>
      </c>
      <c r="AB1589" t="str">
        <f>HYPERLINK("Melting_Curves/meltCurve_P09382_LGALS1.pdf", "Melting_Curves/meltCurve_P09382_LGALS1.pdf")</f>
        <v>Melting_Curves/meltCurve_P09382_LGALS1.pdf</v>
      </c>
    </row>
    <row r="1590" spans="1:28" x14ac:dyDescent="0.25">
      <c r="A1590" t="s">
        <v>1594</v>
      </c>
      <c r="B1590">
        <v>0.99352677808782597</v>
      </c>
      <c r="C1590">
        <v>0.98048844643018096</v>
      </c>
      <c r="D1590">
        <v>1.0157924344043501</v>
      </c>
      <c r="E1590">
        <v>0.26167405355242601</v>
      </c>
      <c r="F1590">
        <v>0.18763352039991099</v>
      </c>
      <c r="G1590">
        <v>9.8852044412408496E-2</v>
      </c>
      <c r="H1590">
        <v>7.0194076718675405E-2</v>
      </c>
      <c r="I1590">
        <v>7.0495510038015199E-2</v>
      </c>
      <c r="J1590">
        <v>5.7424034141790599E-2</v>
      </c>
      <c r="K1590">
        <v>5.2575082441907402E-2</v>
      </c>
      <c r="L1590">
        <v>3285.8282618666599</v>
      </c>
      <c r="M1590">
        <v>67.121886317372301</v>
      </c>
      <c r="N1590">
        <v>49.094410480181701</v>
      </c>
      <c r="O1590">
        <v>48.909759540405297</v>
      </c>
      <c r="P1590">
        <v>-0.31296412648309702</v>
      </c>
      <c r="Q1590">
        <v>8.7808944939707603E-2</v>
      </c>
      <c r="R1590">
        <v>0.99220899368379001</v>
      </c>
      <c r="S1590" t="s">
        <v>7875</v>
      </c>
      <c r="T1590" t="s">
        <v>12568</v>
      </c>
      <c r="U1590" t="s">
        <v>12568</v>
      </c>
      <c r="V1590" t="s">
        <v>12568</v>
      </c>
      <c r="W1590" t="s">
        <v>14128</v>
      </c>
      <c r="X1590">
        <v>7</v>
      </c>
      <c r="Y1590" t="s">
        <v>20331</v>
      </c>
      <c r="Z1590" t="s">
        <v>26460</v>
      </c>
      <c r="AA1590">
        <v>0.36113222203509793</v>
      </c>
      <c r="AB1590" t="str">
        <f>HYPERLINK("Melting_Curves/meltCurve_P09417_QDPR.pdf", "Melting_Curves/meltCurve_P09417_QDPR.pdf")</f>
        <v>Melting_Curves/meltCurve_P09417_QDPR.pdf</v>
      </c>
    </row>
    <row r="1591" spans="1:28" x14ac:dyDescent="0.25">
      <c r="A1591" t="s">
        <v>1595</v>
      </c>
      <c r="B1591">
        <v>0.99352677808782597</v>
      </c>
      <c r="C1591">
        <v>0.91299432932605096</v>
      </c>
      <c r="D1591">
        <v>0.991292915860426</v>
      </c>
      <c r="E1591">
        <v>0.93158508969063003</v>
      </c>
      <c r="F1591">
        <v>0.90516748943179504</v>
      </c>
      <c r="G1591">
        <v>0.81068968851622603</v>
      </c>
      <c r="H1591">
        <v>0.68158042353763004</v>
      </c>
      <c r="I1591">
        <v>0.69432560840011204</v>
      </c>
      <c r="J1591">
        <v>0.79375640659837499</v>
      </c>
      <c r="K1591">
        <v>0.70298698063061904</v>
      </c>
      <c r="L1591">
        <v>1083.1198477825999</v>
      </c>
      <c r="M1591">
        <v>19.990641478875499</v>
      </c>
      <c r="O1591">
        <v>53.647919982880403</v>
      </c>
      <c r="P1591">
        <v>-2.68720546140301E-2</v>
      </c>
      <c r="Q1591">
        <v>0.71154856243965403</v>
      </c>
      <c r="R1591">
        <v>0.85813231954332403</v>
      </c>
      <c r="S1591" t="s">
        <v>7876</v>
      </c>
      <c r="T1591" t="s">
        <v>12568</v>
      </c>
      <c r="U1591" t="s">
        <v>12568</v>
      </c>
      <c r="V1591" t="s">
        <v>12568</v>
      </c>
      <c r="W1591" t="s">
        <v>14129</v>
      </c>
      <c r="X1591">
        <v>20</v>
      </c>
      <c r="Y1591" t="s">
        <v>20332</v>
      </c>
      <c r="Z1591" t="s">
        <v>26461</v>
      </c>
      <c r="AA1591">
        <v>0.85181453999453205</v>
      </c>
      <c r="AB1591" t="str">
        <f>HYPERLINK("Melting_Curves/meltCurve_P09429_HMGB1.pdf", "Melting_Curves/meltCurve_P09429_HMGB1.pdf")</f>
        <v>Melting_Curves/meltCurve_P09429_HMGB1.pdf</v>
      </c>
    </row>
    <row r="1592" spans="1:28" x14ac:dyDescent="0.25">
      <c r="A1592" t="s">
        <v>1596</v>
      </c>
      <c r="B1592">
        <v>0.99352677808782597</v>
      </c>
      <c r="C1592">
        <v>1.07486759160431</v>
      </c>
      <c r="D1592">
        <v>1.0576067119311701</v>
      </c>
      <c r="E1592">
        <v>0.97923088372968503</v>
      </c>
      <c r="F1592">
        <v>0.91573035616892295</v>
      </c>
      <c r="G1592">
        <v>0.64831009713514098</v>
      </c>
      <c r="H1592">
        <v>0.70875701123100099</v>
      </c>
      <c r="I1592">
        <v>0.806821331066642</v>
      </c>
      <c r="J1592">
        <v>0.936449504514835</v>
      </c>
      <c r="K1592">
        <v>0</v>
      </c>
      <c r="L1592">
        <v>849.92578299863305</v>
      </c>
      <c r="M1592">
        <v>12.5669302495713</v>
      </c>
      <c r="N1592">
        <v>67.631935179035906</v>
      </c>
      <c r="O1592">
        <v>65.987913663410794</v>
      </c>
      <c r="P1592">
        <v>-4.7620320867494001E-2</v>
      </c>
      <c r="Q1592">
        <v>0</v>
      </c>
      <c r="R1592">
        <v>0.52910584126340299</v>
      </c>
      <c r="S1592" t="s">
        <v>7877</v>
      </c>
      <c r="T1592" t="s">
        <v>12568</v>
      </c>
      <c r="U1592" t="s">
        <v>12568</v>
      </c>
      <c r="V1592" t="s">
        <v>12568</v>
      </c>
      <c r="W1592" t="s">
        <v>14130</v>
      </c>
      <c r="X1592">
        <v>51</v>
      </c>
      <c r="Y1592" t="s">
        <v>19482</v>
      </c>
      <c r="Z1592" t="s">
        <v>26462</v>
      </c>
      <c r="AA1592">
        <v>0.85080319780945757</v>
      </c>
      <c r="AB1592" t="str">
        <f>HYPERLINK("Melting_Curves/meltCurve_P09493_10_TPM1.pdf", "Melting_Curves/meltCurve_P09493_10_TPM1.pdf")</f>
        <v>Melting_Curves/meltCurve_P09493_10_TPM1.pdf</v>
      </c>
    </row>
    <row r="1593" spans="1:28" x14ac:dyDescent="0.25">
      <c r="A1593" t="s">
        <v>1597</v>
      </c>
      <c r="B1593">
        <v>0.99352677808782597</v>
      </c>
      <c r="C1593">
        <v>1.03599894571363</v>
      </c>
      <c r="D1593">
        <v>1.1336928047536601</v>
      </c>
      <c r="E1593">
        <v>1.0519684875078299</v>
      </c>
      <c r="F1593">
        <v>0.99876767713547099</v>
      </c>
      <c r="G1593">
        <v>0.81293911841066402</v>
      </c>
      <c r="H1593">
        <v>0.88776488998351699</v>
      </c>
      <c r="I1593">
        <v>0.99404959781076196</v>
      </c>
      <c r="J1593">
        <v>1.3715099286848</v>
      </c>
      <c r="K1593">
        <v>1.16770465879462</v>
      </c>
      <c r="L1593">
        <v>15000</v>
      </c>
      <c r="M1593">
        <v>230.28595659653399</v>
      </c>
      <c r="O1593">
        <v>65.131495734209295</v>
      </c>
      <c r="P1593">
        <v>0.23835961889566501</v>
      </c>
      <c r="Q1593">
        <v>1.26965983755761</v>
      </c>
      <c r="R1593">
        <v>0.58041909373549005</v>
      </c>
      <c r="S1593" t="s">
        <v>7878</v>
      </c>
      <c r="T1593" t="s">
        <v>12568</v>
      </c>
      <c r="U1593" t="s">
        <v>12568</v>
      </c>
      <c r="V1593" t="s">
        <v>12568</v>
      </c>
      <c r="W1593" t="s">
        <v>14131</v>
      </c>
      <c r="X1593">
        <v>53</v>
      </c>
      <c r="Y1593" t="s">
        <v>19482</v>
      </c>
      <c r="Z1593" t="s">
        <v>26463</v>
      </c>
      <c r="AA1593">
        <v>1.0436808514318821</v>
      </c>
      <c r="AB1593" t="str">
        <f>HYPERLINK("Melting_Curves/meltCurve_P09493_3_TPM1.pdf", "Melting_Curves/meltCurve_P09493_3_TPM1.pdf")</f>
        <v>Melting_Curves/meltCurve_P09493_3_TPM1.pdf</v>
      </c>
    </row>
    <row r="1594" spans="1:28" x14ac:dyDescent="0.25">
      <c r="A1594" t="s">
        <v>1598</v>
      </c>
      <c r="B1594">
        <v>0.99352677808782597</v>
      </c>
      <c r="C1594">
        <v>0.96259838918712404</v>
      </c>
      <c r="D1594">
        <v>0.99885535193227504</v>
      </c>
      <c r="E1594">
        <v>0.88833672071262204</v>
      </c>
      <c r="F1594">
        <v>0.85590340524587505</v>
      </c>
      <c r="G1594">
        <v>0.70627729885819301</v>
      </c>
      <c r="H1594">
        <v>0.67825643587502504</v>
      </c>
      <c r="I1594">
        <v>0.87039894845694599</v>
      </c>
      <c r="J1594">
        <v>1.0146816190735199</v>
      </c>
      <c r="K1594">
        <v>0.81794601545630896</v>
      </c>
      <c r="L1594">
        <v>2071.0056128844499</v>
      </c>
      <c r="M1594">
        <v>41.835798381040902</v>
      </c>
      <c r="O1594">
        <v>49.3904858159963</v>
      </c>
      <c r="P1594">
        <v>-3.7805267677249399E-2</v>
      </c>
      <c r="Q1594">
        <v>0.82147180816385801</v>
      </c>
      <c r="R1594">
        <v>0.40564941710700497</v>
      </c>
      <c r="S1594" t="s">
        <v>7879</v>
      </c>
      <c r="T1594" t="s">
        <v>12568</v>
      </c>
      <c r="U1594" t="s">
        <v>12568</v>
      </c>
      <c r="V1594" t="s">
        <v>12568</v>
      </c>
      <c r="W1594" t="s">
        <v>14132</v>
      </c>
      <c r="X1594">
        <v>46</v>
      </c>
      <c r="Y1594" t="s">
        <v>19482</v>
      </c>
      <c r="Z1594" t="s">
        <v>26464</v>
      </c>
      <c r="AA1594">
        <v>0.87858306583524104</v>
      </c>
      <c r="AB1594" t="str">
        <f>HYPERLINK("Melting_Curves/meltCurve_P09493_8_TPM1.pdf", "Melting_Curves/meltCurve_P09493_8_TPM1.pdf")</f>
        <v>Melting_Curves/meltCurve_P09493_8_TPM1.pdf</v>
      </c>
    </row>
    <row r="1595" spans="1:28" x14ac:dyDescent="0.25">
      <c r="A1595" t="s">
        <v>1599</v>
      </c>
      <c r="B1595">
        <v>0.99352677808782597</v>
      </c>
      <c r="C1595">
        <v>1.0990758997914301</v>
      </c>
      <c r="D1595">
        <v>1.1382573230800399</v>
      </c>
      <c r="E1595">
        <v>1.16013775945553</v>
      </c>
      <c r="F1595">
        <v>1.0044932307293899</v>
      </c>
      <c r="G1595">
        <v>0.86991642194222996</v>
      </c>
      <c r="H1595">
        <v>0.92872894014146901</v>
      </c>
      <c r="I1595">
        <v>0.93229635632270902</v>
      </c>
      <c r="J1595">
        <v>1.3895182588959401</v>
      </c>
      <c r="K1595">
        <v>1.05834973621865</v>
      </c>
      <c r="L1595">
        <v>15000</v>
      </c>
      <c r="M1595">
        <v>229.56923928672501</v>
      </c>
      <c r="O1595">
        <v>65.334817490580903</v>
      </c>
      <c r="P1595">
        <v>0.196548210101611</v>
      </c>
      <c r="Q1595">
        <v>1.2237484283059299</v>
      </c>
      <c r="R1595">
        <v>0.32851902238203401</v>
      </c>
      <c r="S1595" t="s">
        <v>7880</v>
      </c>
      <c r="T1595" t="s">
        <v>12568</v>
      </c>
      <c r="U1595" t="s">
        <v>12568</v>
      </c>
      <c r="V1595" t="s">
        <v>12568</v>
      </c>
      <c r="W1595" t="s">
        <v>14133</v>
      </c>
      <c r="X1595">
        <v>49</v>
      </c>
      <c r="Y1595" t="s">
        <v>19482</v>
      </c>
      <c r="Z1595" t="s">
        <v>26465</v>
      </c>
      <c r="AA1595">
        <v>1.034726918655704</v>
      </c>
      <c r="AB1595" t="str">
        <f>HYPERLINK("Melting_Curves/meltCurve_P09493_9_TPM1.pdf", "Melting_Curves/meltCurve_P09493_9_TPM1.pdf")</f>
        <v>Melting_Curves/meltCurve_P09493_9_TPM1.pdf</v>
      </c>
    </row>
    <row r="1596" spans="1:28" x14ac:dyDescent="0.25">
      <c r="A1596" t="s">
        <v>1600</v>
      </c>
      <c r="B1596">
        <v>0.99352677808782597</v>
      </c>
      <c r="C1596">
        <v>1.0168145520583101</v>
      </c>
      <c r="D1596">
        <v>0.90413753320258206</v>
      </c>
      <c r="E1596">
        <v>1.2236416305906801</v>
      </c>
      <c r="F1596">
        <v>1.1744055038407399</v>
      </c>
      <c r="G1596">
        <v>1.0681054668919501</v>
      </c>
      <c r="H1596">
        <v>1.1349074973080999</v>
      </c>
      <c r="I1596">
        <v>1.1824377248240301</v>
      </c>
      <c r="J1596">
        <v>1.23436202854404</v>
      </c>
      <c r="K1596">
        <v>1.0739560725110899</v>
      </c>
      <c r="L1596">
        <v>11989.2145583931</v>
      </c>
      <c r="M1596">
        <v>250</v>
      </c>
      <c r="O1596">
        <v>47.953790300282201</v>
      </c>
      <c r="P1596">
        <v>0.20328664060448301</v>
      </c>
      <c r="Q1596">
        <v>1.1559738355564499</v>
      </c>
      <c r="R1596">
        <v>0.65617303833560503</v>
      </c>
      <c r="S1596" t="s">
        <v>7881</v>
      </c>
      <c r="T1596" t="s">
        <v>12568</v>
      </c>
      <c r="U1596" t="s">
        <v>12568</v>
      </c>
      <c r="V1596" t="s">
        <v>12568</v>
      </c>
      <c r="W1596" t="s">
        <v>14134</v>
      </c>
      <c r="X1596">
        <v>15</v>
      </c>
      <c r="Y1596" t="s">
        <v>20333</v>
      </c>
      <c r="Z1596" t="s">
        <v>26466</v>
      </c>
      <c r="AA1596">
        <v>1.114591984990696</v>
      </c>
      <c r="AB1596" t="str">
        <f>HYPERLINK("Melting_Curves/meltCurve_P09496_2_CLTA.pdf", "Melting_Curves/meltCurve_P09496_2_CLTA.pdf")</f>
        <v>Melting_Curves/meltCurve_P09496_2_CLTA.pdf</v>
      </c>
    </row>
    <row r="1597" spans="1:28" x14ac:dyDescent="0.25">
      <c r="A1597" t="s">
        <v>1601</v>
      </c>
      <c r="B1597">
        <v>0.99352677808782597</v>
      </c>
      <c r="C1597">
        <v>1.0554371238737299</v>
      </c>
      <c r="D1597">
        <v>0.93570237278661506</v>
      </c>
      <c r="E1597">
        <v>1.32132048968496</v>
      </c>
      <c r="F1597">
        <v>1.3036993430274</v>
      </c>
      <c r="G1597">
        <v>1.2768819855768601</v>
      </c>
      <c r="H1597">
        <v>1.1715506730360701</v>
      </c>
      <c r="I1597">
        <v>1.3776699965477199</v>
      </c>
      <c r="J1597">
        <v>1.44100398902523</v>
      </c>
      <c r="K1597">
        <v>1.26869829427807</v>
      </c>
      <c r="L1597">
        <v>12020.162932831599</v>
      </c>
      <c r="M1597">
        <v>250</v>
      </c>
      <c r="O1597">
        <v>48.077588397425103</v>
      </c>
      <c r="P1597">
        <v>0.4012941774114</v>
      </c>
      <c r="Q1597">
        <v>1.30869201388773</v>
      </c>
      <c r="R1597">
        <v>0.80173439204155605</v>
      </c>
      <c r="S1597" t="s">
        <v>7882</v>
      </c>
      <c r="T1597" t="s">
        <v>12568</v>
      </c>
      <c r="U1597" t="s">
        <v>12568</v>
      </c>
      <c r="V1597" t="s">
        <v>12568</v>
      </c>
      <c r="W1597" t="s">
        <v>14135</v>
      </c>
      <c r="X1597">
        <v>14</v>
      </c>
      <c r="Y1597" t="s">
        <v>20334</v>
      </c>
      <c r="Z1597" t="s">
        <v>26467</v>
      </c>
      <c r="AA1597">
        <v>1.22551821099442</v>
      </c>
      <c r="AB1597" t="str">
        <f>HYPERLINK("Melting_Curves/meltCurve_P09497_2_CLTB.pdf", "Melting_Curves/meltCurve_P09497_2_CLTB.pdf")</f>
        <v>Melting_Curves/meltCurve_P09497_2_CLTB.pdf</v>
      </c>
    </row>
    <row r="1598" spans="1:28" x14ac:dyDescent="0.25">
      <c r="A1598" t="s">
        <v>1602</v>
      </c>
      <c r="B1598">
        <v>0.99352677808782597</v>
      </c>
      <c r="C1598">
        <v>0.69521865377054703</v>
      </c>
      <c r="D1598">
        <v>1.0892835929476601</v>
      </c>
      <c r="E1598">
        <v>0.23767613748523</v>
      </c>
      <c r="F1598">
        <v>0.15811952876119501</v>
      </c>
      <c r="G1598">
        <v>8.9870195856748103E-2</v>
      </c>
      <c r="H1598">
        <v>6.4625980083751103E-2</v>
      </c>
      <c r="I1598">
        <v>6.1559310923749097E-2</v>
      </c>
      <c r="J1598">
        <v>4.7870258652686702E-2</v>
      </c>
      <c r="K1598">
        <v>3.8049674663732803E-2</v>
      </c>
      <c r="L1598">
        <v>5979.7858723299696</v>
      </c>
      <c r="M1598">
        <v>121.14859137675199</v>
      </c>
      <c r="N1598">
        <v>49.426955386510798</v>
      </c>
      <c r="O1598">
        <v>49.345657871525198</v>
      </c>
      <c r="P1598">
        <v>-0.56675229039619901</v>
      </c>
      <c r="Q1598">
        <v>7.6612828904094599E-2</v>
      </c>
      <c r="R1598">
        <v>0.92878283471654</v>
      </c>
      <c r="S1598" t="s">
        <v>7883</v>
      </c>
      <c r="T1598" t="s">
        <v>12568</v>
      </c>
      <c r="U1598" t="s">
        <v>12568</v>
      </c>
      <c r="V1598" t="s">
        <v>12568</v>
      </c>
      <c r="W1598" t="s">
        <v>14136</v>
      </c>
      <c r="X1598">
        <v>43</v>
      </c>
      <c r="Y1598" t="s">
        <v>18894</v>
      </c>
      <c r="Z1598" t="s">
        <v>26468</v>
      </c>
      <c r="AA1598">
        <v>0.36502289937078791</v>
      </c>
      <c r="AB1598" t="str">
        <f>HYPERLINK("Melting_Curves/meltCurve_P09525_ANXA4.pdf", "Melting_Curves/meltCurve_P09525_ANXA4.pdf")</f>
        <v>Melting_Curves/meltCurve_P09525_ANXA4.pdf</v>
      </c>
    </row>
    <row r="1599" spans="1:28" x14ac:dyDescent="0.25">
      <c r="A1599" t="s">
        <v>1603</v>
      </c>
      <c r="B1599">
        <v>0.99352677808782597</v>
      </c>
      <c r="C1599">
        <v>0.82913327732694297</v>
      </c>
      <c r="D1599">
        <v>0.81962087361231695</v>
      </c>
      <c r="E1599">
        <v>0.45689641071821202</v>
      </c>
      <c r="F1599">
        <v>0.38672204542220301</v>
      </c>
      <c r="G1599">
        <v>0.19624859937119701</v>
      </c>
      <c r="H1599">
        <v>0.112142070503769</v>
      </c>
      <c r="I1599">
        <v>0.10163951077892899</v>
      </c>
      <c r="J1599">
        <v>9.1420760900602901E-2</v>
      </c>
      <c r="K1599">
        <v>6.5222514956758196E-2</v>
      </c>
      <c r="L1599">
        <v>645.247957396586</v>
      </c>
      <c r="M1599">
        <v>12.954678118718901</v>
      </c>
      <c r="N1599">
        <v>50.190953605804701</v>
      </c>
      <c r="O1599">
        <v>48.666055166186602</v>
      </c>
      <c r="P1599">
        <v>-6.3429377826458203E-2</v>
      </c>
      <c r="Q1599">
        <v>4.7045499974919497E-2</v>
      </c>
      <c r="R1599">
        <v>0.98742765827190504</v>
      </c>
      <c r="S1599" t="s">
        <v>7884</v>
      </c>
      <c r="T1599" t="s">
        <v>12568</v>
      </c>
      <c r="U1599" t="s">
        <v>12568</v>
      </c>
      <c r="V1599" t="s">
        <v>12568</v>
      </c>
      <c r="W1599" t="s">
        <v>14137</v>
      </c>
      <c r="X1599">
        <v>13</v>
      </c>
      <c r="Y1599" t="s">
        <v>20335</v>
      </c>
      <c r="Z1599" t="s">
        <v>26469</v>
      </c>
      <c r="AA1599">
        <v>0.38806570146212149</v>
      </c>
      <c r="AB1599" t="str">
        <f>HYPERLINK("Melting_Curves/meltCurve_P09543_2_CNP.pdf", "Melting_Curves/meltCurve_P09543_2_CNP.pdf")</f>
        <v>Melting_Curves/meltCurve_P09543_2_CNP.pdf</v>
      </c>
    </row>
    <row r="1600" spans="1:28" x14ac:dyDescent="0.25">
      <c r="A1600" t="s">
        <v>1604</v>
      </c>
      <c r="B1600">
        <v>0.99352677808782597</v>
      </c>
      <c r="C1600">
        <v>0.94831874802817395</v>
      </c>
      <c r="D1600">
        <v>0.99691142336342597</v>
      </c>
      <c r="E1600">
        <v>0.996921055765283</v>
      </c>
      <c r="F1600">
        <v>0.96799155264317005</v>
      </c>
      <c r="G1600">
        <v>0.65096290269891699</v>
      </c>
      <c r="H1600">
        <v>0.38835614446440903</v>
      </c>
      <c r="I1600">
        <v>0.33269006681663899</v>
      </c>
      <c r="J1600">
        <v>0.28888799408015797</v>
      </c>
      <c r="K1600">
        <v>0.25082340805855802</v>
      </c>
      <c r="L1600">
        <v>1702.4146475035</v>
      </c>
      <c r="M1600">
        <v>29.704222456482999</v>
      </c>
      <c r="N1600">
        <v>58.909218572880903</v>
      </c>
      <c r="O1600">
        <v>57.054337530516101</v>
      </c>
      <c r="P1600">
        <v>-9.4167499188586107E-2</v>
      </c>
      <c r="Q1600">
        <v>0.27651661046207099</v>
      </c>
      <c r="R1600">
        <v>0.99465748222332195</v>
      </c>
      <c r="S1600" t="s">
        <v>7885</v>
      </c>
      <c r="T1600" t="s">
        <v>12568</v>
      </c>
      <c r="U1600" t="s">
        <v>12568</v>
      </c>
      <c r="V1600" t="s">
        <v>12568</v>
      </c>
      <c r="W1600" t="s">
        <v>14138</v>
      </c>
      <c r="X1600">
        <v>14</v>
      </c>
      <c r="Y1600" t="s">
        <v>20336</v>
      </c>
      <c r="Z1600" t="s">
        <v>26470</v>
      </c>
      <c r="AA1600">
        <v>0.69890917816360443</v>
      </c>
      <c r="AB1600" t="str">
        <f>HYPERLINK("Melting_Curves/meltCurve_P09601_HMOX1.pdf", "Melting_Curves/meltCurve_P09601_HMOX1.pdf")</f>
        <v>Melting_Curves/meltCurve_P09601_HMOX1.pdf</v>
      </c>
    </row>
    <row r="1601" spans="1:28" x14ac:dyDescent="0.25">
      <c r="A1601" t="s">
        <v>1605</v>
      </c>
      <c r="B1601">
        <v>0.99352677808782597</v>
      </c>
      <c r="C1601">
        <v>1.01805775084768</v>
      </c>
      <c r="D1601">
        <v>0.92897742468841105</v>
      </c>
      <c r="E1601">
        <v>0.86160060140096495</v>
      </c>
      <c r="F1601">
        <v>0.803723080903054</v>
      </c>
      <c r="G1601">
        <v>0.64051790757822502</v>
      </c>
      <c r="H1601">
        <v>0.97763641245019905</v>
      </c>
      <c r="I1601">
        <v>0.99203942913246301</v>
      </c>
      <c r="J1601">
        <v>1.13810899786617</v>
      </c>
      <c r="K1601">
        <v>0.81212179109683302</v>
      </c>
      <c r="L1601">
        <v>11473.110610464701</v>
      </c>
      <c r="M1601">
        <v>250</v>
      </c>
      <c r="O1601">
        <v>45.889505736056698</v>
      </c>
      <c r="P1601">
        <v>-0.150643643680863</v>
      </c>
      <c r="Q1601">
        <v>0.88939260277271603</v>
      </c>
      <c r="R1601">
        <v>0.11914623903560601</v>
      </c>
      <c r="S1601" t="s">
        <v>7886</v>
      </c>
      <c r="T1601" t="s">
        <v>12568</v>
      </c>
      <c r="U1601" t="s">
        <v>12568</v>
      </c>
      <c r="V1601" t="s">
        <v>12568</v>
      </c>
      <c r="W1601" t="s">
        <v>14139</v>
      </c>
      <c r="X1601">
        <v>26</v>
      </c>
      <c r="Y1601" t="s">
        <v>20337</v>
      </c>
      <c r="Z1601" t="s">
        <v>26471</v>
      </c>
      <c r="AA1601">
        <v>0.91112643521043546</v>
      </c>
      <c r="AB1601" t="str">
        <f>HYPERLINK("Melting_Curves/meltCurve_P09622_DLD.pdf", "Melting_Curves/meltCurve_P09622_DLD.pdf")</f>
        <v>Melting_Curves/meltCurve_P09622_DLD.pdf</v>
      </c>
    </row>
    <row r="1602" spans="1:28" x14ac:dyDescent="0.25">
      <c r="A1602" t="s">
        <v>1606</v>
      </c>
      <c r="B1602">
        <v>0.99352677808782597</v>
      </c>
      <c r="C1602">
        <v>1.01821909778097</v>
      </c>
      <c r="D1602">
        <v>0.88763827215630098</v>
      </c>
      <c r="E1602">
        <v>1.2781823509589001</v>
      </c>
      <c r="F1602">
        <v>1.01483779648741</v>
      </c>
      <c r="G1602">
        <v>0.69319195175766402</v>
      </c>
      <c r="H1602">
        <v>0.22791017964191801</v>
      </c>
      <c r="I1602">
        <v>0.161078786677051</v>
      </c>
      <c r="J1602">
        <v>0.13538225719579</v>
      </c>
      <c r="K1602">
        <v>0.106708397473515</v>
      </c>
      <c r="L1602">
        <v>2487.5602446278999</v>
      </c>
      <c r="M1602">
        <v>42.988613621161697</v>
      </c>
      <c r="N1602">
        <v>58.278027075678203</v>
      </c>
      <c r="O1602">
        <v>57.740772195271198</v>
      </c>
      <c r="P1602">
        <v>-0.16171479853741699</v>
      </c>
      <c r="Q1602">
        <v>0.13116330637690499</v>
      </c>
      <c r="R1602">
        <v>0.94880768220385403</v>
      </c>
      <c r="S1602" t="s">
        <v>7887</v>
      </c>
      <c r="T1602" t="s">
        <v>12568</v>
      </c>
      <c r="U1602" t="s">
        <v>12568</v>
      </c>
      <c r="V1602" t="s">
        <v>12568</v>
      </c>
      <c r="W1602" t="s">
        <v>14140</v>
      </c>
      <c r="X1602">
        <v>15</v>
      </c>
      <c r="Y1602" t="s">
        <v>20338</v>
      </c>
      <c r="Z1602" t="s">
        <v>26472</v>
      </c>
      <c r="AA1602">
        <v>0.65154274786948951</v>
      </c>
      <c r="AB1602" t="str">
        <f>HYPERLINK("Melting_Curves/meltCurve_P09661_SNRPA1.pdf", "Melting_Curves/meltCurve_P09661_SNRPA1.pdf")</f>
        <v>Melting_Curves/meltCurve_P09661_SNRPA1.pdf</v>
      </c>
    </row>
    <row r="1603" spans="1:28" x14ac:dyDescent="0.25">
      <c r="A1603" t="s">
        <v>1607</v>
      </c>
      <c r="B1603">
        <v>0.99352677808782597</v>
      </c>
      <c r="C1603">
        <v>0.99809921695863302</v>
      </c>
      <c r="D1603">
        <v>0.94563943486158197</v>
      </c>
      <c r="E1603">
        <v>0.86692933665162597</v>
      </c>
      <c r="F1603">
        <v>0.77054783426087603</v>
      </c>
      <c r="G1603">
        <v>0.64235959141618004</v>
      </c>
      <c r="H1603">
        <v>0.54150124903419705</v>
      </c>
      <c r="I1603">
        <v>0.47845807562799397</v>
      </c>
      <c r="J1603">
        <v>0.47672829189662203</v>
      </c>
      <c r="K1603">
        <v>0.25472837212049498</v>
      </c>
      <c r="L1603">
        <v>448.589229804166</v>
      </c>
      <c r="M1603">
        <v>7.1480249125649102</v>
      </c>
      <c r="N1603">
        <v>62.757087980864803</v>
      </c>
      <c r="O1603">
        <v>58.4020050159859</v>
      </c>
      <c r="P1603">
        <v>-3.0650903576436999E-2</v>
      </c>
      <c r="Q1603">
        <v>0</v>
      </c>
      <c r="R1603">
        <v>0.97403563900323697</v>
      </c>
      <c r="S1603" t="s">
        <v>7888</v>
      </c>
      <c r="T1603" t="s">
        <v>12568</v>
      </c>
      <c r="U1603" t="s">
        <v>12568</v>
      </c>
      <c r="V1603" t="s">
        <v>12568</v>
      </c>
      <c r="W1603" t="s">
        <v>14141</v>
      </c>
      <c r="X1603">
        <v>2</v>
      </c>
      <c r="Y1603" t="s">
        <v>20339</v>
      </c>
      <c r="Z1603" t="s">
        <v>26473</v>
      </c>
      <c r="AA1603">
        <v>0.70283985910349522</v>
      </c>
      <c r="AB1603" t="str">
        <f>HYPERLINK("Melting_Curves/meltCurve_P09668_CTSH.pdf", "Melting_Curves/meltCurve_P09668_CTSH.pdf")</f>
        <v>Melting_Curves/meltCurve_P09668_CTSH.pdf</v>
      </c>
    </row>
    <row r="1604" spans="1:28" x14ac:dyDescent="0.25">
      <c r="A1604" t="s">
        <v>1608</v>
      </c>
      <c r="B1604">
        <v>0.99352677808782597</v>
      </c>
      <c r="C1604">
        <v>0.97992493467184705</v>
      </c>
      <c r="D1604">
        <v>0.56367442663980205</v>
      </c>
      <c r="E1604">
        <v>0.239700368649785</v>
      </c>
      <c r="F1604">
        <v>0.17961931094189801</v>
      </c>
      <c r="G1604">
        <v>0.111325747821219</v>
      </c>
      <c r="H1604">
        <v>8.0146369605167203E-2</v>
      </c>
      <c r="I1604">
        <v>8.7337600247443997E-2</v>
      </c>
      <c r="J1604">
        <v>7.2798825813132698E-2</v>
      </c>
      <c r="K1604">
        <v>6.0368480115960403E-2</v>
      </c>
      <c r="L1604">
        <v>1214.4740581736901</v>
      </c>
      <c r="M1604">
        <v>26.119532039877601</v>
      </c>
      <c r="N1604">
        <v>46.860608910456698</v>
      </c>
      <c r="O1604">
        <v>46.226795833572197</v>
      </c>
      <c r="P1604">
        <v>-0.12829530692142899</v>
      </c>
      <c r="Q1604">
        <v>9.1773340561462302E-2</v>
      </c>
      <c r="R1604">
        <v>0.990276909664634</v>
      </c>
      <c r="S1604" t="s">
        <v>7889</v>
      </c>
      <c r="T1604" t="s">
        <v>12568</v>
      </c>
      <c r="U1604" t="s">
        <v>12568</v>
      </c>
      <c r="V1604" t="s">
        <v>12568</v>
      </c>
      <c r="W1604" t="s">
        <v>14142</v>
      </c>
      <c r="X1604">
        <v>25</v>
      </c>
      <c r="Y1604" t="s">
        <v>20340</v>
      </c>
      <c r="Z1604" t="s">
        <v>26474</v>
      </c>
      <c r="AA1604">
        <v>0.29590385303046418</v>
      </c>
      <c r="AB1604" t="str">
        <f>HYPERLINK("Melting_Curves/meltCurve_P09874_PARP1.pdf", "Melting_Curves/meltCurve_P09874_PARP1.pdf")</f>
        <v>Melting_Curves/meltCurve_P09874_PARP1.pdf</v>
      </c>
    </row>
    <row r="1605" spans="1:28" x14ac:dyDescent="0.25">
      <c r="A1605" t="s">
        <v>1609</v>
      </c>
      <c r="B1605">
        <v>0.99352677808782597</v>
      </c>
      <c r="C1605">
        <v>0.99861788202865898</v>
      </c>
      <c r="D1605">
        <v>0.89167612898618898</v>
      </c>
      <c r="E1605">
        <v>0.387760531403811</v>
      </c>
      <c r="F1605">
        <v>0.29557371153476703</v>
      </c>
      <c r="G1605">
        <v>0.153728846242359</v>
      </c>
      <c r="H1605">
        <v>9.89766146247191E-2</v>
      </c>
      <c r="I1605">
        <v>9.6385052935407903E-2</v>
      </c>
      <c r="J1605">
        <v>6.9437492052899799E-2</v>
      </c>
      <c r="K1605">
        <v>5.1172684841294697E-2</v>
      </c>
      <c r="L1605">
        <v>1164.01815752792</v>
      </c>
      <c r="M1605">
        <v>23.676498448225502</v>
      </c>
      <c r="N1605">
        <v>49.5727720212546</v>
      </c>
      <c r="O1605">
        <v>48.816736734021603</v>
      </c>
      <c r="P1605">
        <v>-0.110488043061893</v>
      </c>
      <c r="Q1605">
        <v>8.8788007776571504E-2</v>
      </c>
      <c r="R1605">
        <v>0.98995155658530898</v>
      </c>
      <c r="S1605" t="s">
        <v>7890</v>
      </c>
      <c r="T1605" t="s">
        <v>12568</v>
      </c>
      <c r="U1605" t="s">
        <v>12568</v>
      </c>
      <c r="V1605" t="s">
        <v>12568</v>
      </c>
      <c r="W1605" t="s">
        <v>14143</v>
      </c>
      <c r="X1605">
        <v>20</v>
      </c>
      <c r="Y1605" t="s">
        <v>20341</v>
      </c>
      <c r="Z1605" t="s">
        <v>26475</v>
      </c>
      <c r="AA1605">
        <v>0.37615354184514521</v>
      </c>
      <c r="AB1605" t="str">
        <f>HYPERLINK("Melting_Curves/meltCurve_P09884_POLA1.pdf", "Melting_Curves/meltCurve_P09884_POLA1.pdf")</f>
        <v>Melting_Curves/meltCurve_P09884_POLA1.pdf</v>
      </c>
    </row>
    <row r="1606" spans="1:28" x14ac:dyDescent="0.25">
      <c r="A1606" t="s">
        <v>1610</v>
      </c>
      <c r="B1606">
        <v>0.99352677808782597</v>
      </c>
      <c r="C1606">
        <v>0.95732177425954301</v>
      </c>
      <c r="D1606">
        <v>1.0049160288426</v>
      </c>
      <c r="E1606">
        <v>0.885028671897238</v>
      </c>
      <c r="F1606">
        <v>0.82813522966553899</v>
      </c>
      <c r="G1606">
        <v>0.57620758959899399</v>
      </c>
      <c r="H1606">
        <v>0.42582714840450298</v>
      </c>
      <c r="I1606">
        <v>0.42638735062644301</v>
      </c>
      <c r="J1606">
        <v>0.45543763548428301</v>
      </c>
      <c r="K1606">
        <v>0.35488067948602497</v>
      </c>
      <c r="L1606">
        <v>1108.4949768218701</v>
      </c>
      <c r="M1606">
        <v>20.207310179471101</v>
      </c>
      <c r="N1606">
        <v>59.1618063200469</v>
      </c>
      <c r="O1606">
        <v>54.327384927241702</v>
      </c>
      <c r="P1606">
        <v>-5.7179422846728098E-2</v>
      </c>
      <c r="Q1606">
        <v>0.38511134491335097</v>
      </c>
      <c r="R1606">
        <v>0.98442942704514902</v>
      </c>
      <c r="S1606" t="s">
        <v>7891</v>
      </c>
      <c r="T1606" t="s">
        <v>12568</v>
      </c>
      <c r="U1606" t="s">
        <v>12568</v>
      </c>
      <c r="V1606" t="s">
        <v>12568</v>
      </c>
      <c r="W1606" t="s">
        <v>14144</v>
      </c>
      <c r="X1606">
        <v>22</v>
      </c>
      <c r="Y1606" t="s">
        <v>20342</v>
      </c>
      <c r="Z1606" t="s">
        <v>26476</v>
      </c>
      <c r="AA1606">
        <v>0.6976958820882081</v>
      </c>
      <c r="AB1606" t="str">
        <f>HYPERLINK("Melting_Curves/meltCurve_P09936_UCHL1.pdf", "Melting_Curves/meltCurve_P09936_UCHL1.pdf")</f>
        <v>Melting_Curves/meltCurve_P09936_UCHL1.pdf</v>
      </c>
    </row>
    <row r="1607" spans="1:28" x14ac:dyDescent="0.25">
      <c r="A1607" t="s">
        <v>1611</v>
      </c>
      <c r="B1607">
        <v>0.99352677808782597</v>
      </c>
      <c r="C1607">
        <v>0.62625785423815095</v>
      </c>
      <c r="D1607">
        <v>1.1225239234364199</v>
      </c>
      <c r="E1607">
        <v>0.76845923354425805</v>
      </c>
      <c r="F1607">
        <v>0.73360173654533301</v>
      </c>
      <c r="G1607">
        <v>0.44207743177414099</v>
      </c>
      <c r="H1607">
        <v>0.10756391795388601</v>
      </c>
      <c r="I1607">
        <v>9.2892937368531603E-2</v>
      </c>
      <c r="J1607">
        <v>6.9883507160189595E-2</v>
      </c>
      <c r="K1607">
        <v>5.5060083582635602E-2</v>
      </c>
      <c r="L1607">
        <v>917.16639162347997</v>
      </c>
      <c r="M1607">
        <v>16.510439858563199</v>
      </c>
      <c r="N1607">
        <v>55.550694150208599</v>
      </c>
      <c r="O1607">
        <v>54.754944081833798</v>
      </c>
      <c r="P1607">
        <v>-7.5388555133512197E-2</v>
      </c>
      <c r="Q1607">
        <v>0</v>
      </c>
      <c r="R1607">
        <v>0.87998494813613504</v>
      </c>
      <c r="S1607" t="s">
        <v>7892</v>
      </c>
      <c r="T1607" t="s">
        <v>12568</v>
      </c>
      <c r="U1607" t="s">
        <v>12568</v>
      </c>
      <c r="V1607" t="s">
        <v>12568</v>
      </c>
      <c r="W1607" t="s">
        <v>14145</v>
      </c>
      <c r="X1607">
        <v>36</v>
      </c>
      <c r="Y1607" t="s">
        <v>20343</v>
      </c>
      <c r="Z1607" t="s">
        <v>26477</v>
      </c>
      <c r="AA1607">
        <v>0.53508574949013632</v>
      </c>
      <c r="AB1607" t="str">
        <f>HYPERLINK("Melting_Curves/meltCurve_P09960_LTA4H.pdf", "Melting_Curves/meltCurve_P09960_LTA4H.pdf")</f>
        <v>Melting_Curves/meltCurve_P09960_LTA4H.pdf</v>
      </c>
    </row>
    <row r="1608" spans="1:28" x14ac:dyDescent="0.25">
      <c r="A1608" t="s">
        <v>1612</v>
      </c>
      <c r="B1608">
        <v>0.99352677808782597</v>
      </c>
      <c r="C1608">
        <v>1.08554729536534</v>
      </c>
      <c r="D1608">
        <v>0.89951974799272105</v>
      </c>
      <c r="E1608">
        <v>0.85908778864211999</v>
      </c>
      <c r="F1608">
        <v>0.749271725570685</v>
      </c>
      <c r="G1608">
        <v>0.65495546704296503</v>
      </c>
      <c r="H1608">
        <v>0.81684346911738304</v>
      </c>
      <c r="I1608">
        <v>0.50933921362635903</v>
      </c>
      <c r="J1608">
        <v>0.14909669337911899</v>
      </c>
      <c r="K1608">
        <v>9.2472110099688296E-2</v>
      </c>
      <c r="L1608">
        <v>716.58566893307102</v>
      </c>
      <c r="M1608">
        <v>11.535457815446801</v>
      </c>
      <c r="N1608">
        <v>62.120262645701303</v>
      </c>
      <c r="O1608">
        <v>60.341389376318098</v>
      </c>
      <c r="P1608">
        <v>-4.7805899641193098E-2</v>
      </c>
      <c r="Q1608">
        <v>0</v>
      </c>
      <c r="R1608">
        <v>0.84115501091881795</v>
      </c>
      <c r="S1608" t="s">
        <v>7893</v>
      </c>
      <c r="T1608" t="s">
        <v>12568</v>
      </c>
      <c r="U1608" t="s">
        <v>12568</v>
      </c>
      <c r="V1608" t="s">
        <v>12568</v>
      </c>
      <c r="W1608" t="s">
        <v>14146</v>
      </c>
      <c r="X1608">
        <v>17</v>
      </c>
      <c r="Y1608" t="s">
        <v>20344</v>
      </c>
      <c r="Z1608" t="s">
        <v>26478</v>
      </c>
      <c r="AA1608">
        <v>0.723091094844861</v>
      </c>
      <c r="AB1608" t="str">
        <f>HYPERLINK("Melting_Curves/meltCurve_P09972_ALDOC.pdf", "Melting_Curves/meltCurve_P09972_ALDOC.pdf")</f>
        <v>Melting_Curves/meltCurve_P09972_ALDOC.pdf</v>
      </c>
    </row>
    <row r="1609" spans="1:28" x14ac:dyDescent="0.25">
      <c r="A1609" t="s">
        <v>1613</v>
      </c>
      <c r="B1609">
        <v>0.99352677808782597</v>
      </c>
      <c r="C1609">
        <v>0.97301530082702403</v>
      </c>
      <c r="D1609">
        <v>0.89044187616948001</v>
      </c>
      <c r="E1609">
        <v>0.70552569407446797</v>
      </c>
      <c r="F1609">
        <v>0.61079131416725496</v>
      </c>
      <c r="G1609">
        <v>0.45350870090030299</v>
      </c>
      <c r="H1609">
        <v>0.33247308660075903</v>
      </c>
      <c r="I1609">
        <v>0.35313786081505</v>
      </c>
      <c r="J1609">
        <v>0.351285279068071</v>
      </c>
      <c r="K1609">
        <v>0.31852385734910399</v>
      </c>
      <c r="L1609">
        <v>732.05181151617296</v>
      </c>
      <c r="M1609">
        <v>14.2080564758656</v>
      </c>
      <c r="N1609">
        <v>55.183744074293699</v>
      </c>
      <c r="O1609">
        <v>50.5352613373827</v>
      </c>
      <c r="P1609">
        <v>-4.8846036994142701E-2</v>
      </c>
      <c r="Q1609">
        <v>0.30514383087854002</v>
      </c>
      <c r="R1609">
        <v>0.99482181306081496</v>
      </c>
      <c r="S1609" t="s">
        <v>7894</v>
      </c>
      <c r="T1609" t="s">
        <v>12568</v>
      </c>
      <c r="U1609" t="s">
        <v>12568</v>
      </c>
      <c r="V1609" t="s">
        <v>12568</v>
      </c>
      <c r="W1609" t="s">
        <v>14147</v>
      </c>
      <c r="X1609">
        <v>7</v>
      </c>
      <c r="Y1609" t="s">
        <v>20345</v>
      </c>
      <c r="Z1609" t="s">
        <v>26479</v>
      </c>
      <c r="AA1609">
        <v>0.58923706896251948</v>
      </c>
      <c r="AB1609" t="str">
        <f>HYPERLINK("Melting_Curves/meltCurve_P0C7T5_ATXN1L.pdf", "Melting_Curves/meltCurve_P0C7T5_ATXN1L.pdf")</f>
        <v>Melting_Curves/meltCurve_P0C7T5_ATXN1L.pdf</v>
      </c>
    </row>
    <row r="1610" spans="1:28" x14ac:dyDescent="0.25">
      <c r="A1610" t="s">
        <v>1614</v>
      </c>
      <c r="B1610">
        <v>0.99352677808782597</v>
      </c>
      <c r="C1610">
        <v>0.98678534585894495</v>
      </c>
      <c r="D1610">
        <v>0.90567994468480795</v>
      </c>
      <c r="E1610">
        <v>1.1122599341081501</v>
      </c>
      <c r="F1610">
        <v>1.0647156462244001</v>
      </c>
      <c r="G1610">
        <v>0.90665058403798804</v>
      </c>
      <c r="H1610">
        <v>0.816996686916589</v>
      </c>
      <c r="I1610">
        <v>0.81228363515587798</v>
      </c>
      <c r="J1610">
        <v>0.83158534888811597</v>
      </c>
      <c r="K1610">
        <v>0.71117593965963399</v>
      </c>
      <c r="L1610">
        <v>4007.3246189961901</v>
      </c>
      <c r="M1610">
        <v>70.055759096012807</v>
      </c>
      <c r="O1610">
        <v>57.1553698161581</v>
      </c>
      <c r="P1610">
        <v>-6.37150645628944E-2</v>
      </c>
      <c r="Q1610">
        <v>0.792070918576676</v>
      </c>
      <c r="R1610">
        <v>0.75242201056845703</v>
      </c>
      <c r="S1610" t="s">
        <v>7895</v>
      </c>
      <c r="T1610" t="s">
        <v>12568</v>
      </c>
      <c r="U1610" t="s">
        <v>12568</v>
      </c>
      <c r="V1610" t="s">
        <v>12568</v>
      </c>
      <c r="W1610" t="s">
        <v>14148</v>
      </c>
      <c r="X1610">
        <v>9</v>
      </c>
      <c r="Y1610" t="s">
        <v>20346</v>
      </c>
      <c r="Z1610" t="s">
        <v>26480</v>
      </c>
      <c r="AA1610">
        <v>0.91156346038080416</v>
      </c>
      <c r="AB1610" t="str">
        <f>HYPERLINK("Melting_Curves/meltCurve_P0CAP2_POLR2M.pdf", "Melting_Curves/meltCurve_P0CAP2_POLR2M.pdf")</f>
        <v>Melting_Curves/meltCurve_P0CAP2_POLR2M.pdf</v>
      </c>
    </row>
    <row r="1611" spans="1:28" x14ac:dyDescent="0.25">
      <c r="A1611" t="s">
        <v>1615</v>
      </c>
      <c r="B1611">
        <v>0.99352677808782597</v>
      </c>
      <c r="C1611">
        <v>1.00061381945346</v>
      </c>
      <c r="D1611">
        <v>1.0909952349130001</v>
      </c>
      <c r="E1611">
        <v>1.0345202778957601</v>
      </c>
      <c r="F1611">
        <v>0.83584730861584899</v>
      </c>
      <c r="G1611">
        <v>0.83937086737389199</v>
      </c>
      <c r="H1611">
        <v>0.80031679288459401</v>
      </c>
      <c r="I1611">
        <v>0.85982961881577602</v>
      </c>
      <c r="J1611">
        <v>0.79721189711301599</v>
      </c>
      <c r="K1611">
        <v>0.740874575824225</v>
      </c>
      <c r="L1611">
        <v>13156.880568049201</v>
      </c>
      <c r="M1611">
        <v>250</v>
      </c>
      <c r="O1611">
        <v>52.624154401044301</v>
      </c>
      <c r="P1611">
        <v>-0.22860145752349101</v>
      </c>
      <c r="Q1611">
        <v>0.807520665658227</v>
      </c>
      <c r="R1611">
        <v>0.86115800346018001</v>
      </c>
      <c r="S1611" t="s">
        <v>7896</v>
      </c>
      <c r="T1611" t="s">
        <v>12568</v>
      </c>
      <c r="U1611" t="s">
        <v>12568</v>
      </c>
      <c r="V1611" t="s">
        <v>12568</v>
      </c>
      <c r="W1611" t="s">
        <v>14149</v>
      </c>
      <c r="X1611">
        <v>7</v>
      </c>
      <c r="Y1611" t="s">
        <v>20347</v>
      </c>
      <c r="Z1611" t="s">
        <v>26481</v>
      </c>
      <c r="AA1611">
        <v>0.88855634585370091</v>
      </c>
      <c r="AB1611" t="str">
        <f>HYPERLINK("Melting_Curves/meltCurve_P0CG12_CHTF8.pdf", "Melting_Curves/meltCurve_P0CG12_CHTF8.pdf")</f>
        <v>Melting_Curves/meltCurve_P0CG12_CHTF8.pdf</v>
      </c>
    </row>
    <row r="1612" spans="1:28" x14ac:dyDescent="0.25">
      <c r="A1612" t="s">
        <v>1616</v>
      </c>
      <c r="B1612">
        <v>0.99352677808782597</v>
      </c>
      <c r="C1612">
        <v>1.2258029152171901</v>
      </c>
      <c r="D1612">
        <v>1.0018070976093201</v>
      </c>
      <c r="E1612">
        <v>1.2578676082295599</v>
      </c>
      <c r="F1612">
        <v>1.4393864244263099</v>
      </c>
      <c r="G1612">
        <v>1.5446687228182201</v>
      </c>
      <c r="H1612">
        <v>1.5468524338665</v>
      </c>
      <c r="I1612">
        <v>1.7811972726801399</v>
      </c>
      <c r="J1612">
        <v>1.94407259385929</v>
      </c>
      <c r="K1612">
        <v>1.37786991833927</v>
      </c>
      <c r="L1612">
        <v>1922.70871349804</v>
      </c>
      <c r="M1612">
        <v>38.496828910575999</v>
      </c>
      <c r="O1612">
        <v>49.810402278172397</v>
      </c>
      <c r="P1612">
        <v>9.6608643746929707E-2</v>
      </c>
      <c r="Q1612">
        <v>1.5</v>
      </c>
      <c r="R1612">
        <v>0.59609079280588695</v>
      </c>
      <c r="S1612" t="s">
        <v>7897</v>
      </c>
      <c r="T1612" t="s">
        <v>12568</v>
      </c>
      <c r="U1612" t="s">
        <v>12568</v>
      </c>
      <c r="V1612" t="s">
        <v>12568</v>
      </c>
      <c r="W1612" t="s">
        <v>14150</v>
      </c>
      <c r="X1612">
        <v>2</v>
      </c>
      <c r="Y1612" t="s">
        <v>19567</v>
      </c>
      <c r="Z1612" t="s">
        <v>26482</v>
      </c>
      <c r="AA1612">
        <v>1.332391033737981</v>
      </c>
      <c r="AB1612" t="str">
        <f>HYPERLINK("Melting_Curves/meltCurve_P0CG31_ZNF286B.pdf", "Melting_Curves/meltCurve_P0CG31_ZNF286B.pdf")</f>
        <v>Melting_Curves/meltCurve_P0CG31_ZNF286B.pdf</v>
      </c>
    </row>
    <row r="1613" spans="1:28" x14ac:dyDescent="0.25">
      <c r="A1613" t="s">
        <v>1617</v>
      </c>
      <c r="B1613">
        <v>0.99352677808782597</v>
      </c>
      <c r="C1613">
        <v>0.97708112172147599</v>
      </c>
      <c r="D1613">
        <v>0.94904441631437297</v>
      </c>
      <c r="E1613">
        <v>1.04813841706042</v>
      </c>
      <c r="F1613">
        <v>0.99856321486302702</v>
      </c>
      <c r="G1613">
        <v>1.0869980920345199</v>
      </c>
      <c r="H1613">
        <v>1.1050272801405601</v>
      </c>
      <c r="I1613">
        <v>0.96435144596339295</v>
      </c>
      <c r="J1613">
        <v>1.01647776867749</v>
      </c>
      <c r="K1613">
        <v>1.02822089128963</v>
      </c>
      <c r="L1613">
        <v>12014.49655813</v>
      </c>
      <c r="M1613">
        <v>250</v>
      </c>
      <c r="O1613">
        <v>48.054925178412901</v>
      </c>
      <c r="P1613">
        <v>4.6036951129530601E-2</v>
      </c>
      <c r="Q1613">
        <v>1.0353968253178101</v>
      </c>
      <c r="R1613">
        <v>0.25265287613849102</v>
      </c>
      <c r="S1613" t="s">
        <v>7898</v>
      </c>
      <c r="T1613" t="s">
        <v>12568</v>
      </c>
      <c r="U1613" t="s">
        <v>12568</v>
      </c>
      <c r="V1613" t="s">
        <v>12568</v>
      </c>
      <c r="W1613" t="s">
        <v>14151</v>
      </c>
      <c r="X1613">
        <v>4</v>
      </c>
      <c r="Y1613" t="s">
        <v>20348</v>
      </c>
      <c r="Z1613" t="s">
        <v>26483</v>
      </c>
      <c r="AA1613">
        <v>1.025886268877338</v>
      </c>
      <c r="AB1613" t="str">
        <f>HYPERLINK("Melting_Curves/meltCurve_P0CG35_TMSB15B.pdf", "Melting_Curves/meltCurve_P0CG35_TMSB15B.pdf")</f>
        <v>Melting_Curves/meltCurve_P0CG35_TMSB15B.pdf</v>
      </c>
    </row>
    <row r="1614" spans="1:28" x14ac:dyDescent="0.25">
      <c r="A1614" t="s">
        <v>1618</v>
      </c>
      <c r="B1614">
        <v>0.99352677808782597</v>
      </c>
      <c r="C1614">
        <v>1.07610486517865</v>
      </c>
      <c r="D1614">
        <v>1.00277290110879</v>
      </c>
      <c r="E1614">
        <v>0.89464206040361505</v>
      </c>
      <c r="F1614">
        <v>0.66644071827656903</v>
      </c>
      <c r="G1614">
        <v>0.53244176522789999</v>
      </c>
      <c r="H1614">
        <v>0.188972918958554</v>
      </c>
      <c r="I1614">
        <v>0.12873456414436299</v>
      </c>
      <c r="J1614">
        <v>0.100588482927322</v>
      </c>
      <c r="K1614">
        <v>7.6216316161992398E-2</v>
      </c>
      <c r="L1614">
        <v>915.72204553012</v>
      </c>
      <c r="M1614">
        <v>16.306652780602601</v>
      </c>
      <c r="N1614">
        <v>56.343051677523199</v>
      </c>
      <c r="O1614">
        <v>55.332179913772698</v>
      </c>
      <c r="P1614">
        <v>-7.1743848897465407E-2</v>
      </c>
      <c r="Q1614">
        <v>2.6298116304516402E-2</v>
      </c>
      <c r="R1614">
        <v>0.98653649944701705</v>
      </c>
      <c r="S1614" t="s">
        <v>7899</v>
      </c>
      <c r="T1614" t="s">
        <v>12568</v>
      </c>
      <c r="U1614" t="s">
        <v>12568</v>
      </c>
      <c r="V1614" t="s">
        <v>12568</v>
      </c>
      <c r="W1614" t="s">
        <v>14152</v>
      </c>
      <c r="X1614">
        <v>5</v>
      </c>
      <c r="Y1614" t="s">
        <v>20349</v>
      </c>
      <c r="Z1614" t="s">
        <v>26484</v>
      </c>
      <c r="AA1614">
        <v>0.56646795867629107</v>
      </c>
      <c r="AB1614" t="str">
        <f>HYPERLINK("Melting_Curves/meltCurve_P0CW22_RPS17L.pdf", "Melting_Curves/meltCurve_P0CW22_RPS17L.pdf")</f>
        <v>Melting_Curves/meltCurve_P0CW22_RPS17L.pdf</v>
      </c>
    </row>
    <row r="1615" spans="1:28" x14ac:dyDescent="0.25">
      <c r="A1615" t="s">
        <v>1619</v>
      </c>
      <c r="B1615">
        <v>0.99352677808782597</v>
      </c>
      <c r="C1615">
        <v>0.95498242994240101</v>
      </c>
      <c r="D1615">
        <v>0.88705280506327999</v>
      </c>
      <c r="E1615">
        <v>0.42851318867392901</v>
      </c>
      <c r="F1615">
        <v>0.29662865379472703</v>
      </c>
      <c r="G1615">
        <v>0.18668527061499901</v>
      </c>
      <c r="H1615">
        <v>0.131295034449709</v>
      </c>
      <c r="I1615">
        <v>0.10251170882159701</v>
      </c>
      <c r="J1615">
        <v>7.9754314760304701E-2</v>
      </c>
      <c r="K1615">
        <v>9.7654871886885694E-2</v>
      </c>
      <c r="L1615">
        <v>1084.63545669115</v>
      </c>
      <c r="M1615">
        <v>22.028473290986199</v>
      </c>
      <c r="N1615">
        <v>49.785317969802101</v>
      </c>
      <c r="O1615">
        <v>48.837501833819097</v>
      </c>
      <c r="P1615">
        <v>-0.100637637503426</v>
      </c>
      <c r="Q1615">
        <v>0.10755836896903</v>
      </c>
      <c r="R1615">
        <v>0.99353281617602895</v>
      </c>
      <c r="S1615" t="s">
        <v>7900</v>
      </c>
      <c r="T1615" t="s">
        <v>12568</v>
      </c>
      <c r="U1615" t="s">
        <v>12568</v>
      </c>
      <c r="V1615" t="s">
        <v>12568</v>
      </c>
      <c r="W1615" t="s">
        <v>14153</v>
      </c>
      <c r="X1615">
        <v>2</v>
      </c>
      <c r="Y1615" t="s">
        <v>20350</v>
      </c>
      <c r="Z1615" t="s">
        <v>26485</v>
      </c>
      <c r="AA1615">
        <v>0.39262636883267532</v>
      </c>
      <c r="AB1615" t="str">
        <f>HYPERLINK("Melting_Curves/meltCurve_P0DI82_TRAPPC2P1.pdf", "Melting_Curves/meltCurve_P0DI82_TRAPPC2P1.pdf")</f>
        <v>Melting_Curves/meltCurve_P0DI82_TRAPPC2P1.pdf</v>
      </c>
    </row>
    <row r="1616" spans="1:28" x14ac:dyDescent="0.25">
      <c r="A1616" t="s">
        <v>1620</v>
      </c>
      <c r="B1616">
        <v>0.99352677808782597</v>
      </c>
      <c r="C1616">
        <v>1.0313664486357399</v>
      </c>
      <c r="D1616">
        <v>1.2115272289465</v>
      </c>
      <c r="E1616">
        <v>1.10281926919392</v>
      </c>
      <c r="F1616">
        <v>0.97032830589941999</v>
      </c>
      <c r="G1616">
        <v>0.94027332782005801</v>
      </c>
      <c r="H1616">
        <v>0.98678432824329099</v>
      </c>
      <c r="I1616">
        <v>0.92364321413963102</v>
      </c>
      <c r="J1616">
        <v>0.98593231196833697</v>
      </c>
      <c r="K1616">
        <v>0.88949252729843797</v>
      </c>
      <c r="L1616">
        <v>735.91585153045901</v>
      </c>
      <c r="M1616">
        <v>8.2683551526972305</v>
      </c>
      <c r="Q1616">
        <v>0</v>
      </c>
      <c r="R1616">
        <v>0.18908191207618699</v>
      </c>
      <c r="S1616" t="s">
        <v>7901</v>
      </c>
      <c r="T1616" t="s">
        <v>12568</v>
      </c>
      <c r="U1616" t="s">
        <v>12568</v>
      </c>
      <c r="V1616" t="s">
        <v>12568</v>
      </c>
      <c r="W1616" t="s">
        <v>14154</v>
      </c>
      <c r="X1616">
        <v>3</v>
      </c>
      <c r="Y1616" t="s">
        <v>20351</v>
      </c>
      <c r="Z1616" t="s">
        <v>26486</v>
      </c>
      <c r="AA1616">
        <v>0.98108371206449552</v>
      </c>
      <c r="AB1616" t="str">
        <f>HYPERLINK("Melting_Curves/meltCurve_P0DI83_RAB34.pdf", "Melting_Curves/meltCurve_P0DI83_RAB34.pdf")</f>
        <v>Melting_Curves/meltCurve_P0DI83_RAB34.pdf</v>
      </c>
    </row>
    <row r="1617" spans="1:28" x14ac:dyDescent="0.25">
      <c r="A1617" t="s">
        <v>1621</v>
      </c>
      <c r="B1617">
        <v>0.99352677808782597</v>
      </c>
      <c r="C1617">
        <v>1.0705186297484801</v>
      </c>
      <c r="D1617">
        <v>1.1715196832304</v>
      </c>
      <c r="E1617">
        <v>0.69384648236011204</v>
      </c>
      <c r="F1617">
        <v>0.51840038147843304</v>
      </c>
      <c r="G1617">
        <v>0.36391297492428698</v>
      </c>
      <c r="H1617">
        <v>0.46141784881100001</v>
      </c>
      <c r="I1617">
        <v>0.383571724474293</v>
      </c>
      <c r="J1617">
        <v>0.23198814731499101</v>
      </c>
      <c r="K1617">
        <v>0.26578848037020503</v>
      </c>
      <c r="L1617">
        <v>1696.6468058296</v>
      </c>
      <c r="M1617">
        <v>33.422461738207602</v>
      </c>
      <c r="N1617">
        <v>52.572238631930198</v>
      </c>
      <c r="O1617">
        <v>50.582970925975403</v>
      </c>
      <c r="P1617">
        <v>-0.10875126252218</v>
      </c>
      <c r="Q1617">
        <v>0.34164769589722099</v>
      </c>
      <c r="R1617">
        <v>0.92531115335272496</v>
      </c>
      <c r="S1617" t="s">
        <v>7902</v>
      </c>
      <c r="T1617" t="s">
        <v>12568</v>
      </c>
      <c r="U1617" t="s">
        <v>12568</v>
      </c>
      <c r="V1617" t="s">
        <v>12568</v>
      </c>
      <c r="W1617" t="s">
        <v>14155</v>
      </c>
      <c r="X1617">
        <v>2</v>
      </c>
      <c r="Y1617" t="s">
        <v>20352</v>
      </c>
      <c r="Z1617" t="s">
        <v>26487</v>
      </c>
      <c r="AA1617">
        <v>0.58117526007592379</v>
      </c>
      <c r="AB1617" t="str">
        <f>HYPERLINK("Melting_Curves/meltCurve_P10070_GLI2.pdf", "Melting_Curves/meltCurve_P10070_GLI2.pdf")</f>
        <v>Melting_Curves/meltCurve_P10070_GLI2.pdf</v>
      </c>
    </row>
    <row r="1618" spans="1:28" x14ac:dyDescent="0.25">
      <c r="A1618" t="s">
        <v>1622</v>
      </c>
      <c r="B1618">
        <v>0.99352677808782597</v>
      </c>
      <c r="C1618">
        <v>1.1213560064941099</v>
      </c>
      <c r="D1618">
        <v>1.1272710054034301</v>
      </c>
      <c r="E1618">
        <v>0.921257754634071</v>
      </c>
      <c r="F1618">
        <v>0.85916322638915199</v>
      </c>
      <c r="G1618">
        <v>0.89497049239871795</v>
      </c>
      <c r="H1618">
        <v>0.72849086590788203</v>
      </c>
      <c r="I1618">
        <v>0.78909656934747796</v>
      </c>
      <c r="J1618">
        <v>0.66600928304997697</v>
      </c>
      <c r="K1618">
        <v>0.61349459699632103</v>
      </c>
      <c r="L1618">
        <v>646.42653732151302</v>
      </c>
      <c r="M1618">
        <v>10.4756795884702</v>
      </c>
      <c r="O1618">
        <v>59.585878502119499</v>
      </c>
      <c r="P1618">
        <v>-2.07698803823364E-2</v>
      </c>
      <c r="Q1618">
        <v>0.52763428038565996</v>
      </c>
      <c r="R1618">
        <v>0.81935032099632399</v>
      </c>
      <c r="S1618" t="s">
        <v>7903</v>
      </c>
      <c r="T1618" t="s">
        <v>12568</v>
      </c>
      <c r="U1618" t="s">
        <v>12568</v>
      </c>
      <c r="V1618" t="s">
        <v>12568</v>
      </c>
      <c r="W1618" t="s">
        <v>14156</v>
      </c>
      <c r="X1618">
        <v>1</v>
      </c>
      <c r="Y1618" t="s">
        <v>20353</v>
      </c>
      <c r="Z1618" t="s">
        <v>26488</v>
      </c>
      <c r="AA1618">
        <v>0.86195263639556252</v>
      </c>
      <c r="AB1618" t="str">
        <f>HYPERLINK("Melting_Curves/meltCurve_P10075_GLI4.pdf", "Melting_Curves/meltCurve_P10075_GLI4.pdf")</f>
        <v>Melting_Curves/meltCurve_P10075_GLI4.pdf</v>
      </c>
    </row>
    <row r="1619" spans="1:28" x14ac:dyDescent="0.25">
      <c r="A1619" t="s">
        <v>1623</v>
      </c>
      <c r="B1619">
        <v>0.99352677808782597</v>
      </c>
      <c r="C1619">
        <v>0.90691976535363805</v>
      </c>
      <c r="D1619">
        <v>0.96744443081791698</v>
      </c>
      <c r="E1619">
        <v>0.90694977898997298</v>
      </c>
      <c r="F1619">
        <v>0.86277353611358898</v>
      </c>
      <c r="G1619">
        <v>0.77904461571945904</v>
      </c>
      <c r="H1619">
        <v>0.68941497595721901</v>
      </c>
      <c r="I1619">
        <v>0.78968674968624097</v>
      </c>
      <c r="J1619">
        <v>0.75651717723262601</v>
      </c>
      <c r="K1619">
        <v>0.642836768012092</v>
      </c>
      <c r="L1619">
        <v>397.29030504251602</v>
      </c>
      <c r="M1619">
        <v>6.9924100456532896</v>
      </c>
      <c r="O1619">
        <v>52.717622654892899</v>
      </c>
      <c r="P1619">
        <v>-1.31131033389334E-2</v>
      </c>
      <c r="Q1619">
        <v>0.60528221859968101</v>
      </c>
      <c r="R1619">
        <v>0.85428785061920498</v>
      </c>
      <c r="S1619" t="s">
        <v>7904</v>
      </c>
      <c r="T1619" t="s">
        <v>12568</v>
      </c>
      <c r="U1619" t="s">
        <v>12568</v>
      </c>
      <c r="V1619" t="s">
        <v>12568</v>
      </c>
      <c r="W1619" t="s">
        <v>14157</v>
      </c>
      <c r="X1619">
        <v>7</v>
      </c>
      <c r="Y1619" t="s">
        <v>20354</v>
      </c>
      <c r="Z1619" t="s">
        <v>26489</v>
      </c>
      <c r="AA1619">
        <v>0.83056980532684621</v>
      </c>
      <c r="AB1619" t="str">
        <f>HYPERLINK("Melting_Curves/meltCurve_P10109_FDX1.pdf", "Melting_Curves/meltCurve_P10109_FDX1.pdf")</f>
        <v>Melting_Curves/meltCurve_P10109_FDX1.pdf</v>
      </c>
    </row>
    <row r="1620" spans="1:28" x14ac:dyDescent="0.25">
      <c r="A1620" t="s">
        <v>1624</v>
      </c>
      <c r="B1620">
        <v>0.99352677808782597</v>
      </c>
      <c r="C1620">
        <v>1.1253333568846</v>
      </c>
      <c r="D1620">
        <v>0.94635825084333702</v>
      </c>
      <c r="E1620">
        <v>0.86929926511949995</v>
      </c>
      <c r="F1620">
        <v>0.71123316575346995</v>
      </c>
      <c r="G1620">
        <v>0.60877004257715395</v>
      </c>
      <c r="H1620">
        <v>0.70153221392118403</v>
      </c>
      <c r="I1620">
        <v>0.44586397484500601</v>
      </c>
      <c r="J1620">
        <v>0.25688472550019298</v>
      </c>
      <c r="K1620">
        <v>0.12994946280587499</v>
      </c>
      <c r="L1620">
        <v>577.86357434822196</v>
      </c>
      <c r="M1620">
        <v>9.4343273728746802</v>
      </c>
      <c r="N1620">
        <v>61.251152973559599</v>
      </c>
      <c r="O1620">
        <v>58.688408695844203</v>
      </c>
      <c r="P1620">
        <v>-4.0212622963838797E-2</v>
      </c>
      <c r="Q1620">
        <v>0</v>
      </c>
      <c r="R1620">
        <v>0.90742029195921503</v>
      </c>
      <c r="S1620" t="s">
        <v>7905</v>
      </c>
      <c r="T1620" t="s">
        <v>12568</v>
      </c>
      <c r="U1620" t="s">
        <v>12568</v>
      </c>
      <c r="V1620" t="s">
        <v>12568</v>
      </c>
      <c r="W1620" t="s">
        <v>14158</v>
      </c>
      <c r="X1620">
        <v>26</v>
      </c>
      <c r="Y1620" t="s">
        <v>20355</v>
      </c>
      <c r="Z1620" t="s">
        <v>26490</v>
      </c>
      <c r="AA1620">
        <v>0.69074723213707778</v>
      </c>
      <c r="AB1620" t="str">
        <f>HYPERLINK("Melting_Curves/meltCurve_P10155_TROVE2.pdf", "Melting_Curves/meltCurve_P10155_TROVE2.pdf")</f>
        <v>Melting_Curves/meltCurve_P10155_TROVE2.pdf</v>
      </c>
    </row>
    <row r="1621" spans="1:28" x14ac:dyDescent="0.25">
      <c r="A1621" t="s">
        <v>1625</v>
      </c>
      <c r="B1621">
        <v>0.99352677808782597</v>
      </c>
      <c r="C1621">
        <v>1.0362400164663499</v>
      </c>
      <c r="D1621">
        <v>0.979189312949168</v>
      </c>
      <c r="E1621">
        <v>0.82359167175141501</v>
      </c>
      <c r="F1621">
        <v>0.71989412274671705</v>
      </c>
      <c r="G1621">
        <v>0.56006517718278004</v>
      </c>
      <c r="H1621">
        <v>0.46196206785404698</v>
      </c>
      <c r="I1621">
        <v>0.31142145749864902</v>
      </c>
      <c r="J1621">
        <v>0.21710510404797601</v>
      </c>
      <c r="K1621">
        <v>0.18712132619392699</v>
      </c>
      <c r="L1621">
        <v>590.48019793820799</v>
      </c>
      <c r="M1621">
        <v>10.1190491409393</v>
      </c>
      <c r="N1621">
        <v>58.7536733840004</v>
      </c>
      <c r="O1621">
        <v>56.2119002996224</v>
      </c>
      <c r="P1621">
        <v>-4.3525005379918602E-2</v>
      </c>
      <c r="Q1621">
        <v>3.3313730894425901E-2</v>
      </c>
      <c r="R1621">
        <v>0.98997012132644602</v>
      </c>
      <c r="S1621" t="s">
        <v>7906</v>
      </c>
      <c r="T1621" t="s">
        <v>12568</v>
      </c>
      <c r="U1621" t="s">
        <v>12568</v>
      </c>
      <c r="V1621" t="s">
        <v>12568</v>
      </c>
      <c r="W1621" t="s">
        <v>14159</v>
      </c>
      <c r="X1621">
        <v>18</v>
      </c>
      <c r="Y1621" t="s">
        <v>20356</v>
      </c>
      <c r="Z1621" t="s">
        <v>26491</v>
      </c>
      <c r="AA1621">
        <v>0.63240727140306974</v>
      </c>
      <c r="AB1621" t="str">
        <f>HYPERLINK("Melting_Curves/meltCurve_P10253_GAA.pdf", "Melting_Curves/meltCurve_P10253_GAA.pdf")</f>
        <v>Melting_Curves/meltCurve_P10253_GAA.pdf</v>
      </c>
    </row>
    <row r="1622" spans="1:28" x14ac:dyDescent="0.25">
      <c r="A1622" t="s">
        <v>1626</v>
      </c>
      <c r="B1622">
        <v>0.99352677808782597</v>
      </c>
      <c r="C1622">
        <v>1.0031634789852799</v>
      </c>
      <c r="D1622">
        <v>1.0194847706552801</v>
      </c>
      <c r="E1622">
        <v>0.83227484018081399</v>
      </c>
      <c r="F1622">
        <v>0.77236294454323495</v>
      </c>
      <c r="G1622">
        <v>0.48625018628498901</v>
      </c>
      <c r="H1622">
        <v>0.20935377906774799</v>
      </c>
      <c r="I1622">
        <v>0.131506093411588</v>
      </c>
      <c r="J1622">
        <v>0.10006693830645801</v>
      </c>
      <c r="K1622">
        <v>7.8048917806565907E-2</v>
      </c>
      <c r="L1622">
        <v>953.02238814638895</v>
      </c>
      <c r="M1622">
        <v>16.9355567792824</v>
      </c>
      <c r="N1622">
        <v>56.493405626432597</v>
      </c>
      <c r="O1622">
        <v>55.506442130045798</v>
      </c>
      <c r="P1622">
        <v>-7.3848527910256104E-2</v>
      </c>
      <c r="Q1622">
        <v>3.1904255423296397E-2</v>
      </c>
      <c r="R1622">
        <v>0.99447071356729799</v>
      </c>
      <c r="S1622" t="s">
        <v>7907</v>
      </c>
      <c r="T1622" t="s">
        <v>12568</v>
      </c>
      <c r="U1622" t="s">
        <v>12568</v>
      </c>
      <c r="V1622" t="s">
        <v>12568</v>
      </c>
      <c r="W1622" t="s">
        <v>14160</v>
      </c>
      <c r="X1622">
        <v>10</v>
      </c>
      <c r="Y1622" t="s">
        <v>20357</v>
      </c>
      <c r="Z1622" t="s">
        <v>26492</v>
      </c>
      <c r="AA1622">
        <v>0.57202154695353657</v>
      </c>
      <c r="AB1622" t="str">
        <f>HYPERLINK("Melting_Curves/meltCurve_P10301_RRAS.pdf", "Melting_Curves/meltCurve_P10301_RRAS.pdf")</f>
        <v>Melting_Curves/meltCurve_P10301_RRAS.pdf</v>
      </c>
    </row>
    <row r="1623" spans="1:28" x14ac:dyDescent="0.25">
      <c r="A1623" t="s">
        <v>1627</v>
      </c>
      <c r="B1623">
        <v>0.99352677808782597</v>
      </c>
      <c r="C1623">
        <v>0.837680663139316</v>
      </c>
      <c r="D1623">
        <v>0.77735757000077699</v>
      </c>
      <c r="E1623">
        <v>0.32397988694809599</v>
      </c>
      <c r="F1623">
        <v>0.26257138154302601</v>
      </c>
      <c r="G1623">
        <v>0.14385668094283699</v>
      </c>
      <c r="H1623">
        <v>8.5615809999593007E-2</v>
      </c>
      <c r="I1623">
        <v>9.1829276208833494E-2</v>
      </c>
      <c r="J1623">
        <v>7.2033574588406604E-2</v>
      </c>
      <c r="K1623">
        <v>5.4691352436093001E-2</v>
      </c>
      <c r="L1623">
        <v>832.90619308716202</v>
      </c>
      <c r="M1623">
        <v>17.304479238943799</v>
      </c>
      <c r="N1623">
        <v>48.545695096006</v>
      </c>
      <c r="O1623">
        <v>47.503417638032701</v>
      </c>
      <c r="P1623">
        <v>-8.4837415274011396E-2</v>
      </c>
      <c r="Q1623">
        <v>6.8487656932465404E-2</v>
      </c>
      <c r="R1623">
        <v>0.98750669225395404</v>
      </c>
      <c r="S1623" t="s">
        <v>7908</v>
      </c>
      <c r="T1623" t="s">
        <v>12568</v>
      </c>
      <c r="U1623" t="s">
        <v>12568</v>
      </c>
      <c r="V1623" t="s">
        <v>12568</v>
      </c>
      <c r="W1623" t="s">
        <v>14161</v>
      </c>
      <c r="X1623">
        <v>5</v>
      </c>
      <c r="Y1623" t="s">
        <v>20358</v>
      </c>
      <c r="Z1623" t="s">
        <v>26493</v>
      </c>
      <c r="AA1623">
        <v>0.33886279332255992</v>
      </c>
      <c r="AB1623" t="str">
        <f>HYPERLINK("Melting_Curves/meltCurve_P10398_ARAF.pdf", "Melting_Curves/meltCurve_P10398_ARAF.pdf")</f>
        <v>Melting_Curves/meltCurve_P10398_ARAF.pdf</v>
      </c>
    </row>
    <row r="1624" spans="1:28" x14ac:dyDescent="0.25">
      <c r="A1624" t="s">
        <v>1628</v>
      </c>
      <c r="B1624">
        <v>0.99352677808782597</v>
      </c>
      <c r="C1624">
        <v>1.03400282553478</v>
      </c>
      <c r="D1624">
        <v>1.1766079955900699</v>
      </c>
      <c r="E1624">
        <v>1.2554700206090601</v>
      </c>
      <c r="F1624">
        <v>1.06035389478001</v>
      </c>
      <c r="G1624">
        <v>1.00402482382393</v>
      </c>
      <c r="H1624">
        <v>0.92023824503767504</v>
      </c>
      <c r="I1624">
        <v>0.96350715441671897</v>
      </c>
      <c r="J1624">
        <v>0.92469128216485896</v>
      </c>
      <c r="K1624">
        <v>0.95193040164213105</v>
      </c>
      <c r="L1624">
        <v>7503.2679444942796</v>
      </c>
      <c r="M1624">
        <v>127.989914016</v>
      </c>
      <c r="O1624">
        <v>58.609584603062501</v>
      </c>
      <c r="P1624">
        <v>-3.2731148448435297E-2</v>
      </c>
      <c r="Q1624">
        <v>0.94004655102854195</v>
      </c>
      <c r="R1624">
        <v>5.7294075758245501E-2</v>
      </c>
      <c r="S1624" t="s">
        <v>7909</v>
      </c>
      <c r="T1624" t="s">
        <v>12568</v>
      </c>
      <c r="U1624" t="s">
        <v>12568</v>
      </c>
      <c r="V1624" t="s">
        <v>12568</v>
      </c>
      <c r="W1624" t="s">
        <v>14162</v>
      </c>
      <c r="X1624">
        <v>14</v>
      </c>
      <c r="Y1624" t="s">
        <v>20359</v>
      </c>
      <c r="Z1624" t="s">
        <v>26494</v>
      </c>
      <c r="AA1624">
        <v>0.97728900108650041</v>
      </c>
      <c r="AB1624" t="str">
        <f>HYPERLINK("Melting_Curves/meltCurve_P10412_HIST1H1E.pdf", "Melting_Curves/meltCurve_P10412_HIST1H1E.pdf")</f>
        <v>Melting_Curves/meltCurve_P10412_HIST1H1E.pdf</v>
      </c>
    </row>
    <row r="1625" spans="1:28" x14ac:dyDescent="0.25">
      <c r="A1625" t="s">
        <v>1629</v>
      </c>
      <c r="B1625">
        <v>0.99352677808782597</v>
      </c>
      <c r="C1625">
        <v>0.98012541348925497</v>
      </c>
      <c r="D1625">
        <v>0.94691683133753701</v>
      </c>
      <c r="E1625">
        <v>0.91251138755596795</v>
      </c>
      <c r="F1625">
        <v>0.95353182542339099</v>
      </c>
      <c r="G1625">
        <v>0.80394482717437499</v>
      </c>
      <c r="H1625">
        <v>0.74314842428071204</v>
      </c>
      <c r="I1625">
        <v>0.78191003198504005</v>
      </c>
      <c r="J1625">
        <v>0.80598771264387603</v>
      </c>
      <c r="K1625">
        <v>0.68375322627675394</v>
      </c>
      <c r="L1625">
        <v>513.46830708577102</v>
      </c>
      <c r="M1625">
        <v>9.0284686245151597</v>
      </c>
      <c r="O1625">
        <v>54.290028097301303</v>
      </c>
      <c r="P1625">
        <v>-1.3500594151283501E-2</v>
      </c>
      <c r="Q1625">
        <v>0.67550552849886802</v>
      </c>
      <c r="R1625">
        <v>0.86870610062517195</v>
      </c>
      <c r="S1625" t="s">
        <v>7910</v>
      </c>
      <c r="T1625" t="s">
        <v>12568</v>
      </c>
      <c r="U1625" t="s">
        <v>12568</v>
      </c>
      <c r="V1625" t="s">
        <v>12568</v>
      </c>
      <c r="W1625" t="s">
        <v>14163</v>
      </c>
      <c r="X1625">
        <v>3</v>
      </c>
      <c r="Y1625" t="s">
        <v>20360</v>
      </c>
      <c r="Z1625" t="s">
        <v>26495</v>
      </c>
      <c r="AA1625">
        <v>0.86295256532810005</v>
      </c>
      <c r="AB1625" t="str">
        <f>HYPERLINK("Melting_Curves/meltCurve_P10451_5_SPP1.pdf", "Melting_Curves/meltCurve_P10451_5_SPP1.pdf")</f>
        <v>Melting_Curves/meltCurve_P10451_5_SPP1.pdf</v>
      </c>
    </row>
    <row r="1626" spans="1:28" x14ac:dyDescent="0.25">
      <c r="A1626" t="s">
        <v>1630</v>
      </c>
      <c r="B1626">
        <v>0.99352677808782597</v>
      </c>
      <c r="C1626">
        <v>1.08013278730991</v>
      </c>
      <c r="D1626">
        <v>0.97896936498172604</v>
      </c>
      <c r="E1626">
        <v>1.06144369077587</v>
      </c>
      <c r="F1626">
        <v>0.98536073739813201</v>
      </c>
      <c r="G1626">
        <v>0.69100694774139804</v>
      </c>
      <c r="H1626">
        <v>0.34898287519711502</v>
      </c>
      <c r="I1626">
        <v>0.20902502681433899</v>
      </c>
      <c r="J1626">
        <v>0.18381814196785001</v>
      </c>
      <c r="K1626">
        <v>0.117617993230518</v>
      </c>
      <c r="L1626">
        <v>1651.9886862174201</v>
      </c>
      <c r="M1626">
        <v>28.291530462485401</v>
      </c>
      <c r="N1626">
        <v>59.073043285363802</v>
      </c>
      <c r="O1626">
        <v>58.102233012077903</v>
      </c>
      <c r="P1626">
        <v>-0.104784886060445</v>
      </c>
      <c r="Q1626">
        <v>0.13922143254052599</v>
      </c>
      <c r="R1626">
        <v>0.99012551159876705</v>
      </c>
      <c r="S1626" t="s">
        <v>7911</v>
      </c>
      <c r="T1626" t="s">
        <v>12568</v>
      </c>
      <c r="U1626" t="s">
        <v>12568</v>
      </c>
      <c r="V1626" t="s">
        <v>12568</v>
      </c>
      <c r="W1626" t="s">
        <v>14164</v>
      </c>
      <c r="X1626">
        <v>6</v>
      </c>
      <c r="Y1626" t="s">
        <v>20361</v>
      </c>
      <c r="Z1626" t="s">
        <v>26496</v>
      </c>
      <c r="AA1626">
        <v>0.67308263331856599</v>
      </c>
      <c r="AB1626" t="str">
        <f>HYPERLINK("Melting_Curves/meltCurve_P10515_DLAT.pdf", "Melting_Curves/meltCurve_P10515_DLAT.pdf")</f>
        <v>Melting_Curves/meltCurve_P10515_DLAT.pdf</v>
      </c>
    </row>
    <row r="1627" spans="1:28" x14ac:dyDescent="0.25">
      <c r="A1627" t="s">
        <v>1631</v>
      </c>
      <c r="B1627">
        <v>0.99352677808782597</v>
      </c>
      <c r="C1627">
        <v>0.98174922558233102</v>
      </c>
      <c r="D1627">
        <v>0.93950565825145504</v>
      </c>
      <c r="E1627">
        <v>0.489127300422453</v>
      </c>
      <c r="F1627">
        <v>0.44429241168608802</v>
      </c>
      <c r="G1627">
        <v>0.24923622987993299</v>
      </c>
      <c r="H1627">
        <v>0.209874168553013</v>
      </c>
      <c r="I1627">
        <v>0.18741893055245501</v>
      </c>
      <c r="J1627">
        <v>0.156714757828327</v>
      </c>
      <c r="K1627">
        <v>0.13278981417970401</v>
      </c>
      <c r="L1627">
        <v>965.87718194250203</v>
      </c>
      <c r="M1627">
        <v>19.311036109034099</v>
      </c>
      <c r="N1627">
        <v>51.0859103328076</v>
      </c>
      <c r="O1627">
        <v>49.489768828260601</v>
      </c>
      <c r="P1627">
        <v>-8.1338901448193904E-2</v>
      </c>
      <c r="Q1627">
        <v>0.16621944227389099</v>
      </c>
      <c r="R1627">
        <v>0.98203717270742497</v>
      </c>
      <c r="S1627" t="s">
        <v>7912</v>
      </c>
      <c r="T1627" t="s">
        <v>12568</v>
      </c>
      <c r="U1627" t="s">
        <v>12568</v>
      </c>
      <c r="V1627" t="s">
        <v>12568</v>
      </c>
      <c r="W1627" t="s">
        <v>14165</v>
      </c>
      <c r="X1627">
        <v>5</v>
      </c>
      <c r="Y1627" t="s">
        <v>20362</v>
      </c>
      <c r="Z1627" t="s">
        <v>26497</v>
      </c>
      <c r="AA1627">
        <v>0.45703870689444132</v>
      </c>
      <c r="AB1627" t="str">
        <f>HYPERLINK("Melting_Curves/meltCurve_P10586_2_PTPRF.pdf", "Melting_Curves/meltCurve_P10586_2_PTPRF.pdf")</f>
        <v>Melting_Curves/meltCurve_P10586_2_PTPRF.pdf</v>
      </c>
    </row>
    <row r="1628" spans="1:28" x14ac:dyDescent="0.25">
      <c r="A1628" t="s">
        <v>1632</v>
      </c>
      <c r="B1628">
        <v>0.99352677808782597</v>
      </c>
      <c r="C1628">
        <v>0.97213029660625405</v>
      </c>
      <c r="D1628">
        <v>0.99855581347092404</v>
      </c>
      <c r="E1628">
        <v>0.78960812743463404</v>
      </c>
      <c r="F1628">
        <v>0.71994977143325001</v>
      </c>
      <c r="G1628">
        <v>0.65889431276289401</v>
      </c>
      <c r="H1628">
        <v>0.56060402931785802</v>
      </c>
      <c r="I1628">
        <v>0.61141106544929602</v>
      </c>
      <c r="J1628">
        <v>0.60625201275796003</v>
      </c>
      <c r="K1628">
        <v>0.53754454730423495</v>
      </c>
      <c r="L1628">
        <v>959.17037185948595</v>
      </c>
      <c r="M1628">
        <v>18.836219435110799</v>
      </c>
      <c r="O1628">
        <v>50.358078367022102</v>
      </c>
      <c r="P1628">
        <v>-3.95971477631471E-2</v>
      </c>
      <c r="Q1628">
        <v>0.57657027625728696</v>
      </c>
      <c r="R1628">
        <v>0.96985202027995798</v>
      </c>
      <c r="S1628" t="s">
        <v>7913</v>
      </c>
      <c r="T1628" t="s">
        <v>12568</v>
      </c>
      <c r="U1628" t="s">
        <v>12568</v>
      </c>
      <c r="V1628" t="s">
        <v>12568</v>
      </c>
      <c r="W1628" t="s">
        <v>14166</v>
      </c>
      <c r="X1628">
        <v>6</v>
      </c>
      <c r="Y1628" t="s">
        <v>20363</v>
      </c>
      <c r="Z1628" t="s">
        <v>26498</v>
      </c>
      <c r="AA1628">
        <v>0.7372938358244524</v>
      </c>
      <c r="AB1628" t="str">
        <f>HYPERLINK("Melting_Curves/meltCurve_P10606_COX5B.pdf", "Melting_Curves/meltCurve_P10606_COX5B.pdf")</f>
        <v>Melting_Curves/meltCurve_P10606_COX5B.pdf</v>
      </c>
    </row>
    <row r="1629" spans="1:28" x14ac:dyDescent="0.25">
      <c r="A1629" t="s">
        <v>1633</v>
      </c>
      <c r="B1629">
        <v>0.99352677808782597</v>
      </c>
      <c r="C1629">
        <v>1.14502603139954</v>
      </c>
      <c r="D1629">
        <v>0.56323128472013195</v>
      </c>
      <c r="E1629">
        <v>0.308624760825079</v>
      </c>
      <c r="F1629">
        <v>0.21762165313412701</v>
      </c>
      <c r="G1629">
        <v>0.110003269592774</v>
      </c>
      <c r="H1629">
        <v>7.1126313567388202E-2</v>
      </c>
      <c r="I1629">
        <v>6.5304708085702406E-2</v>
      </c>
      <c r="J1629">
        <v>5.2475697105400801E-2</v>
      </c>
      <c r="K1629">
        <v>4.21142304803966E-2</v>
      </c>
      <c r="L1629">
        <v>1149.4253247196</v>
      </c>
      <c r="M1629">
        <v>24.339301580191599</v>
      </c>
      <c r="N1629">
        <v>47.565531118153302</v>
      </c>
      <c r="O1629">
        <v>46.909753939451001</v>
      </c>
      <c r="P1629">
        <v>-0.119345879184941</v>
      </c>
      <c r="Q1629">
        <v>7.9940564858576604E-2</v>
      </c>
      <c r="R1629">
        <v>0.951987942334662</v>
      </c>
      <c r="S1629" t="s">
        <v>7914</v>
      </c>
      <c r="T1629" t="s">
        <v>12568</v>
      </c>
      <c r="U1629" t="s">
        <v>12568</v>
      </c>
      <c r="V1629" t="s">
        <v>12568</v>
      </c>
      <c r="W1629" t="s">
        <v>14167</v>
      </c>
      <c r="X1629">
        <v>5</v>
      </c>
      <c r="Y1629" t="s">
        <v>20364</v>
      </c>
      <c r="Z1629" t="s">
        <v>26499</v>
      </c>
      <c r="AA1629">
        <v>0.31020056965040238</v>
      </c>
      <c r="AB1629" t="str">
        <f>HYPERLINK("Melting_Curves/meltCurve_P10619_CTSA.pdf", "Melting_Curves/meltCurve_P10619_CTSA.pdf")</f>
        <v>Melting_Curves/meltCurve_P10619_CTSA.pdf</v>
      </c>
    </row>
    <row r="1630" spans="1:28" x14ac:dyDescent="0.25">
      <c r="A1630" t="s">
        <v>1634</v>
      </c>
      <c r="B1630">
        <v>0.99352677808782597</v>
      </c>
      <c r="C1630">
        <v>0.93461355079353903</v>
      </c>
      <c r="D1630">
        <v>0.777758875122041</v>
      </c>
      <c r="E1630">
        <v>0.42931975484190399</v>
      </c>
      <c r="F1630">
        <v>0.36340337072874401</v>
      </c>
      <c r="G1630">
        <v>0.18505632821141299</v>
      </c>
      <c r="H1630">
        <v>0.122777959442785</v>
      </c>
      <c r="I1630">
        <v>0.123009497988053</v>
      </c>
      <c r="J1630">
        <v>0.102914509302205</v>
      </c>
      <c r="K1630">
        <v>8.5296257868569605E-2</v>
      </c>
      <c r="L1630">
        <v>776.00993183314995</v>
      </c>
      <c r="M1630">
        <v>15.7955175438455</v>
      </c>
      <c r="N1630">
        <v>49.765492725640598</v>
      </c>
      <c r="O1630">
        <v>48.361271171710698</v>
      </c>
      <c r="P1630">
        <v>-7.4186298156864894E-2</v>
      </c>
      <c r="Q1630">
        <v>9.1527619960575402E-2</v>
      </c>
      <c r="R1630">
        <v>0.99405338018489198</v>
      </c>
      <c r="S1630" t="s">
        <v>7915</v>
      </c>
      <c r="T1630" t="s">
        <v>12568</v>
      </c>
      <c r="U1630" t="s">
        <v>12568</v>
      </c>
      <c r="V1630" t="s">
        <v>12568</v>
      </c>
      <c r="W1630" t="s">
        <v>14168</v>
      </c>
      <c r="X1630">
        <v>22</v>
      </c>
      <c r="Y1630" t="s">
        <v>20365</v>
      </c>
      <c r="Z1630" t="s">
        <v>26500</v>
      </c>
      <c r="AA1630">
        <v>0.38820302600650031</v>
      </c>
      <c r="AB1630" t="str">
        <f>HYPERLINK("Melting_Curves/meltCurve_P10644_PRKAR1A.pdf", "Melting_Curves/meltCurve_P10644_PRKAR1A.pdf")</f>
        <v>Melting_Curves/meltCurve_P10644_PRKAR1A.pdf</v>
      </c>
    </row>
    <row r="1631" spans="1:28" x14ac:dyDescent="0.25">
      <c r="A1631" t="s">
        <v>1635</v>
      </c>
      <c r="B1631">
        <v>0.99352677808782597</v>
      </c>
      <c r="C1631">
        <v>0.95675037629708803</v>
      </c>
      <c r="D1631">
        <v>0.99033398271553796</v>
      </c>
      <c r="E1631">
        <v>0.36124134268510399</v>
      </c>
      <c r="F1631">
        <v>0.29260884198621601</v>
      </c>
      <c r="G1631">
        <v>0.15628970306795401</v>
      </c>
      <c r="H1631">
        <v>0.131241697297276</v>
      </c>
      <c r="I1631">
        <v>0.14344440613655501</v>
      </c>
      <c r="J1631">
        <v>0.107249214377844</v>
      </c>
      <c r="K1631">
        <v>8.8090291091089595E-2</v>
      </c>
      <c r="L1631">
        <v>1952.3210362667201</v>
      </c>
      <c r="M1631">
        <v>39.885758824609503</v>
      </c>
      <c r="N1631">
        <v>49.358798656226902</v>
      </c>
      <c r="O1631">
        <v>48.825264103351401</v>
      </c>
      <c r="P1631">
        <v>-0.17537080534388599</v>
      </c>
      <c r="Q1631">
        <v>0.14129672410290001</v>
      </c>
      <c r="R1631">
        <v>0.98370651035732504</v>
      </c>
      <c r="S1631" t="s">
        <v>7916</v>
      </c>
      <c r="T1631" t="s">
        <v>12568</v>
      </c>
      <c r="U1631" t="s">
        <v>12568</v>
      </c>
      <c r="V1631" t="s">
        <v>12568</v>
      </c>
      <c r="W1631" t="s">
        <v>14169</v>
      </c>
      <c r="X1631">
        <v>10</v>
      </c>
      <c r="Y1631" t="s">
        <v>20366</v>
      </c>
      <c r="Z1631" t="s">
        <v>26501</v>
      </c>
      <c r="AA1631">
        <v>0.40033973824562408</v>
      </c>
      <c r="AB1631" t="str">
        <f>HYPERLINK("Melting_Curves/meltCurve_P10746_UROS.pdf", "Melting_Curves/meltCurve_P10746_UROS.pdf")</f>
        <v>Melting_Curves/meltCurve_P10746_UROS.pdf</v>
      </c>
    </row>
    <row r="1632" spans="1:28" x14ac:dyDescent="0.25">
      <c r="A1632" t="s">
        <v>1636</v>
      </c>
      <c r="B1632">
        <v>0.99352677808782597</v>
      </c>
      <c r="C1632">
        <v>0.97200982967494798</v>
      </c>
      <c r="D1632">
        <v>1.02283708492876</v>
      </c>
      <c r="E1632">
        <v>0.82214011511121299</v>
      </c>
      <c r="F1632">
        <v>0.73580313560758204</v>
      </c>
      <c r="G1632">
        <v>0.36854139852121698</v>
      </c>
      <c r="H1632">
        <v>9.9437504275712504E-2</v>
      </c>
      <c r="I1632">
        <v>8.5282253126640298E-2</v>
      </c>
      <c r="J1632">
        <v>6.5454560389851396E-2</v>
      </c>
      <c r="K1632">
        <v>5.07540983875868E-2</v>
      </c>
      <c r="L1632">
        <v>1115.70939692357</v>
      </c>
      <c r="M1632">
        <v>20.2437976131264</v>
      </c>
      <c r="N1632">
        <v>55.258529453870104</v>
      </c>
      <c r="O1632">
        <v>54.584293773639899</v>
      </c>
      <c r="P1632">
        <v>-9.0324161355413102E-2</v>
      </c>
      <c r="Q1632">
        <v>2.5849335131164299E-2</v>
      </c>
      <c r="R1632">
        <v>0.99322959060331795</v>
      </c>
      <c r="S1632" t="s">
        <v>7917</v>
      </c>
      <c r="T1632" t="s">
        <v>12568</v>
      </c>
      <c r="U1632" t="s">
        <v>12568</v>
      </c>
      <c r="V1632" t="s">
        <v>12568</v>
      </c>
      <c r="W1632" t="s">
        <v>14170</v>
      </c>
      <c r="X1632">
        <v>9</v>
      </c>
      <c r="Y1632" t="s">
        <v>20367</v>
      </c>
      <c r="Z1632" t="s">
        <v>26502</v>
      </c>
      <c r="AA1632">
        <v>0.52931431898482051</v>
      </c>
      <c r="AB1632" t="str">
        <f>HYPERLINK("Melting_Curves/meltCurve_P10768_ESD.pdf", "Melting_Curves/meltCurve_P10768_ESD.pdf")</f>
        <v>Melting_Curves/meltCurve_P10768_ESD.pdf</v>
      </c>
    </row>
    <row r="1633" spans="1:28" x14ac:dyDescent="0.25">
      <c r="A1633" t="s">
        <v>1637</v>
      </c>
      <c r="B1633">
        <v>0.99352677808782597</v>
      </c>
      <c r="C1633">
        <v>1.00347610742287</v>
      </c>
      <c r="D1633">
        <v>0.63546562861725597</v>
      </c>
      <c r="E1633">
        <v>0.37252748741580199</v>
      </c>
      <c r="F1633">
        <v>0.28368780607994498</v>
      </c>
      <c r="G1633">
        <v>0.16618818204632099</v>
      </c>
      <c r="H1633">
        <v>0.106042977673768</v>
      </c>
      <c r="I1633">
        <v>9.3153014764338293E-2</v>
      </c>
      <c r="J1633">
        <v>8.2501466200920401E-2</v>
      </c>
      <c r="K1633">
        <v>5.9644354278253098E-2</v>
      </c>
      <c r="L1633">
        <v>842.56214217578304</v>
      </c>
      <c r="M1633">
        <v>17.562599268044099</v>
      </c>
      <c r="N1633">
        <v>48.5009259543829</v>
      </c>
      <c r="O1633">
        <v>47.365774711574097</v>
      </c>
      <c r="P1633">
        <v>-8.4661235484452493E-2</v>
      </c>
      <c r="Q1633">
        <v>8.6735087293024704E-2</v>
      </c>
      <c r="R1633">
        <v>0.98269953314918501</v>
      </c>
      <c r="S1633" t="s">
        <v>7918</v>
      </c>
      <c r="T1633" t="s">
        <v>12568</v>
      </c>
      <c r="U1633" t="s">
        <v>12568</v>
      </c>
      <c r="V1633" t="s">
        <v>12568</v>
      </c>
      <c r="W1633" t="s">
        <v>14171</v>
      </c>
      <c r="X1633">
        <v>44</v>
      </c>
      <c r="Y1633" t="s">
        <v>20368</v>
      </c>
      <c r="Z1633" t="s">
        <v>26503</v>
      </c>
      <c r="AA1633">
        <v>0.34657495074730421</v>
      </c>
      <c r="AB1633" t="str">
        <f>HYPERLINK("Melting_Curves/meltCurve_P10809_HSPD1.pdf", "Melting_Curves/meltCurve_P10809_HSPD1.pdf")</f>
        <v>Melting_Curves/meltCurve_P10809_HSPD1.pdf</v>
      </c>
    </row>
    <row r="1634" spans="1:28" x14ac:dyDescent="0.25">
      <c r="A1634" t="s">
        <v>1638</v>
      </c>
      <c r="B1634">
        <v>0.99352677808782597</v>
      </c>
      <c r="C1634">
        <v>0.91588879333550599</v>
      </c>
      <c r="D1634">
        <v>0.77318576849248299</v>
      </c>
      <c r="E1634">
        <v>0.63955607193368702</v>
      </c>
      <c r="F1634">
        <v>0.47876191701945597</v>
      </c>
      <c r="G1634">
        <v>0.34462569738354398</v>
      </c>
      <c r="H1634">
        <v>0.28266161688208102</v>
      </c>
      <c r="I1634">
        <v>0.25419482525458997</v>
      </c>
      <c r="J1634">
        <v>0.28914160822629298</v>
      </c>
      <c r="K1634">
        <v>0.21373495975471099</v>
      </c>
      <c r="L1634">
        <v>622.080419143119</v>
      </c>
      <c r="M1634">
        <v>12.4115740181385</v>
      </c>
      <c r="N1634">
        <v>52.472998874727402</v>
      </c>
      <c r="O1634">
        <v>48.873204345708203</v>
      </c>
      <c r="P1634">
        <v>-4.9954349102803698E-2</v>
      </c>
      <c r="Q1634">
        <v>0.21334302656332599</v>
      </c>
      <c r="R1634">
        <v>0.99337914231096003</v>
      </c>
      <c r="S1634" t="s">
        <v>7919</v>
      </c>
      <c r="T1634" t="s">
        <v>12568</v>
      </c>
      <c r="U1634" t="s">
        <v>12568</v>
      </c>
      <c r="V1634" t="s">
        <v>12568</v>
      </c>
      <c r="W1634" t="s">
        <v>14172</v>
      </c>
      <c r="X1634">
        <v>3</v>
      </c>
      <c r="Y1634" t="s">
        <v>20369</v>
      </c>
      <c r="Z1634" t="s">
        <v>26504</v>
      </c>
      <c r="AA1634">
        <v>0.5043836598729039</v>
      </c>
      <c r="AB1634" t="str">
        <f>HYPERLINK("Melting_Curves/meltCurve_P10909_4_CLU.pdf", "Melting_Curves/meltCurve_P10909_4_CLU.pdf")</f>
        <v>Melting_Curves/meltCurve_P10909_4_CLU.pdf</v>
      </c>
    </row>
    <row r="1635" spans="1:28" x14ac:dyDescent="0.25">
      <c r="A1635" t="s">
        <v>1639</v>
      </c>
      <c r="B1635">
        <v>0.99352677808782597</v>
      </c>
      <c r="C1635">
        <v>0.96581430847116301</v>
      </c>
      <c r="D1635">
        <v>0.964686664098236</v>
      </c>
      <c r="E1635">
        <v>0.89304557262973305</v>
      </c>
      <c r="F1635">
        <v>0.82773687916809902</v>
      </c>
      <c r="G1635">
        <v>0.553013961388652</v>
      </c>
      <c r="H1635">
        <v>0.34999933297274699</v>
      </c>
      <c r="I1635">
        <v>0.24232746864347901</v>
      </c>
      <c r="J1635">
        <v>0.18959390376704299</v>
      </c>
      <c r="K1635">
        <v>0.135654787763035</v>
      </c>
      <c r="L1635">
        <v>866.48982790932598</v>
      </c>
      <c r="M1635">
        <v>15.094892994716799</v>
      </c>
      <c r="N1635">
        <v>58.116537281102303</v>
      </c>
      <c r="O1635">
        <v>56.423666198178097</v>
      </c>
      <c r="P1635">
        <v>-6.1229797313981399E-2</v>
      </c>
      <c r="Q1635">
        <v>8.4599230057341504E-2</v>
      </c>
      <c r="R1635">
        <v>0.99763644764484805</v>
      </c>
      <c r="S1635" t="s">
        <v>7920</v>
      </c>
      <c r="T1635" t="s">
        <v>12568</v>
      </c>
      <c r="U1635" t="s">
        <v>12568</v>
      </c>
      <c r="V1635" t="s">
        <v>12568</v>
      </c>
      <c r="W1635" t="s">
        <v>14173</v>
      </c>
      <c r="X1635">
        <v>48</v>
      </c>
      <c r="Y1635" t="s">
        <v>20370</v>
      </c>
      <c r="Z1635" t="s">
        <v>26505</v>
      </c>
      <c r="AA1635">
        <v>0.62923740889031388</v>
      </c>
      <c r="AB1635" t="str">
        <f>HYPERLINK("Melting_Curves/meltCurve_P11021_HSPA5.pdf", "Melting_Curves/meltCurve_P11021_HSPA5.pdf")</f>
        <v>Melting_Curves/meltCurve_P11021_HSPA5.pdf</v>
      </c>
    </row>
    <row r="1636" spans="1:28" x14ac:dyDescent="0.25">
      <c r="A1636" t="s">
        <v>1640</v>
      </c>
      <c r="B1636">
        <v>0.99352677808782597</v>
      </c>
      <c r="C1636">
        <v>0.99128810908993703</v>
      </c>
      <c r="D1636">
        <v>0.863884246414516</v>
      </c>
      <c r="E1636">
        <v>0.67833622185365705</v>
      </c>
      <c r="F1636">
        <v>0.59390149623877997</v>
      </c>
      <c r="G1636">
        <v>0.40076510001829202</v>
      </c>
      <c r="H1636">
        <v>0.31053993293445298</v>
      </c>
      <c r="I1636">
        <v>0.290764843938842</v>
      </c>
      <c r="J1636">
        <v>0.30757132727832398</v>
      </c>
      <c r="K1636">
        <v>0.24476485222619401</v>
      </c>
      <c r="L1636">
        <v>698.47480151086802</v>
      </c>
      <c r="M1636">
        <v>13.5152649544635</v>
      </c>
      <c r="N1636">
        <v>54.3349305743264</v>
      </c>
      <c r="O1636">
        <v>50.588364032852297</v>
      </c>
      <c r="P1636">
        <v>-5.0658426659672302E-2</v>
      </c>
      <c r="Q1636">
        <v>0.241646271824804</v>
      </c>
      <c r="R1636">
        <v>0.99322674791784005</v>
      </c>
      <c r="S1636" t="s">
        <v>7921</v>
      </c>
      <c r="T1636" t="s">
        <v>12568</v>
      </c>
      <c r="U1636" t="s">
        <v>12568</v>
      </c>
      <c r="V1636" t="s">
        <v>12568</v>
      </c>
      <c r="W1636" t="s">
        <v>14174</v>
      </c>
      <c r="X1636">
        <v>17</v>
      </c>
      <c r="Y1636" t="s">
        <v>20371</v>
      </c>
      <c r="Z1636" t="s">
        <v>26506</v>
      </c>
      <c r="AA1636">
        <v>0.55698329260896895</v>
      </c>
      <c r="AB1636" t="str">
        <f>HYPERLINK("Melting_Curves/meltCurve_P11047_LAMC1.pdf", "Melting_Curves/meltCurve_P11047_LAMC1.pdf")</f>
        <v>Melting_Curves/meltCurve_P11047_LAMC1.pdf</v>
      </c>
    </row>
    <row r="1637" spans="1:28" x14ac:dyDescent="0.25">
      <c r="A1637" t="s">
        <v>1641</v>
      </c>
      <c r="B1637">
        <v>0.99352677808782597</v>
      </c>
      <c r="C1637">
        <v>1.1089283376388099</v>
      </c>
      <c r="D1637">
        <v>1.0192194553313001</v>
      </c>
      <c r="E1637">
        <v>0.852370560079874</v>
      </c>
      <c r="F1637">
        <v>0.752615404489274</v>
      </c>
      <c r="G1637">
        <v>0.36526865983876899</v>
      </c>
      <c r="H1637">
        <v>0.20139812824691999</v>
      </c>
      <c r="I1637">
        <v>0.19526369270655899</v>
      </c>
      <c r="J1637">
        <v>0.144900097595313</v>
      </c>
      <c r="K1637">
        <v>0.105465397815587</v>
      </c>
      <c r="L1637">
        <v>1201.8399556946599</v>
      </c>
      <c r="M1637">
        <v>21.938910873602801</v>
      </c>
      <c r="N1637">
        <v>55.5016198693448</v>
      </c>
      <c r="O1637">
        <v>54.332149004988601</v>
      </c>
      <c r="P1637">
        <v>-8.8442032233218407E-2</v>
      </c>
      <c r="Q1637">
        <v>0.12390596903645699</v>
      </c>
      <c r="R1637">
        <v>0.98678522134072599</v>
      </c>
      <c r="S1637" t="s">
        <v>7922</v>
      </c>
      <c r="T1637" t="s">
        <v>12568</v>
      </c>
      <c r="U1637" t="s">
        <v>12568</v>
      </c>
      <c r="V1637" t="s">
        <v>12568</v>
      </c>
      <c r="W1637" t="s">
        <v>14175</v>
      </c>
      <c r="X1637">
        <v>5</v>
      </c>
      <c r="Y1637" t="s">
        <v>20372</v>
      </c>
      <c r="Z1637" t="s">
        <v>26507</v>
      </c>
      <c r="AA1637">
        <v>0.56569585841425796</v>
      </c>
      <c r="AB1637" t="str">
        <f>HYPERLINK("Melting_Curves/meltCurve_P11117_ACP2.pdf", "Melting_Curves/meltCurve_P11117_ACP2.pdf")</f>
        <v>Melting_Curves/meltCurve_P11117_ACP2.pdf</v>
      </c>
    </row>
    <row r="1638" spans="1:28" x14ac:dyDescent="0.25">
      <c r="A1638" t="s">
        <v>1642</v>
      </c>
      <c r="B1638">
        <v>0.99352677808782597</v>
      </c>
      <c r="C1638">
        <v>0.97970531378256898</v>
      </c>
      <c r="D1638">
        <v>1.1241414703368</v>
      </c>
      <c r="E1638">
        <v>0.92947461622969496</v>
      </c>
      <c r="F1638">
        <v>0.82656668488242402</v>
      </c>
      <c r="G1638">
        <v>0.54462898848700703</v>
      </c>
      <c r="H1638">
        <v>0.40914497925401</v>
      </c>
      <c r="I1638">
        <v>0.41910385886227702</v>
      </c>
      <c r="J1638">
        <v>0.375794527862156</v>
      </c>
      <c r="K1638">
        <v>0.31984362527657301</v>
      </c>
      <c r="L1638">
        <v>1359.2477542199699</v>
      </c>
      <c r="M1638">
        <v>24.694155857496298</v>
      </c>
      <c r="N1638">
        <v>58.0162490925455</v>
      </c>
      <c r="O1638">
        <v>54.686135652597898</v>
      </c>
      <c r="P1638">
        <v>-7.2370677697748798E-2</v>
      </c>
      <c r="Q1638">
        <v>0.358938688992677</v>
      </c>
      <c r="R1638">
        <v>0.97510123359225598</v>
      </c>
      <c r="S1638" t="s">
        <v>7923</v>
      </c>
      <c r="T1638" t="s">
        <v>12568</v>
      </c>
      <c r="U1638" t="s">
        <v>12568</v>
      </c>
      <c r="V1638" t="s">
        <v>12568</v>
      </c>
      <c r="W1638" t="s">
        <v>14176</v>
      </c>
      <c r="X1638">
        <v>11</v>
      </c>
      <c r="Y1638" t="s">
        <v>20373</v>
      </c>
      <c r="Z1638" t="s">
        <v>26508</v>
      </c>
      <c r="AA1638">
        <v>0.68645303442269945</v>
      </c>
      <c r="AB1638" t="str">
        <f>HYPERLINK("Melting_Curves/meltCurve_P11137_3_MAP2.pdf", "Melting_Curves/meltCurve_P11137_3_MAP2.pdf")</f>
        <v>Melting_Curves/meltCurve_P11137_3_MAP2.pdf</v>
      </c>
    </row>
    <row r="1639" spans="1:28" x14ac:dyDescent="0.25">
      <c r="A1639" t="s">
        <v>1643</v>
      </c>
      <c r="B1639">
        <v>0.99352677808782597</v>
      </c>
      <c r="C1639">
        <v>0.905205483641218</v>
      </c>
      <c r="D1639">
        <v>0.91877805910892796</v>
      </c>
      <c r="E1639">
        <v>0.77976516833046405</v>
      </c>
      <c r="F1639">
        <v>0.66277983806857399</v>
      </c>
      <c r="G1639">
        <v>0.20932223556652099</v>
      </c>
      <c r="H1639">
        <v>0.115417064206311</v>
      </c>
      <c r="I1639">
        <v>9.4188267321282507E-2</v>
      </c>
      <c r="J1639">
        <v>7.9331331061524998E-2</v>
      </c>
      <c r="K1639">
        <v>6.0073881237883001E-2</v>
      </c>
      <c r="L1639">
        <v>1069.24140184885</v>
      </c>
      <c r="M1639">
        <v>19.924442651299699</v>
      </c>
      <c r="N1639">
        <v>53.924626090967401</v>
      </c>
      <c r="O1639">
        <v>53.132998023217297</v>
      </c>
      <c r="P1639">
        <v>-8.9460354990485005E-2</v>
      </c>
      <c r="Q1639">
        <v>4.5767195515885199E-2</v>
      </c>
      <c r="R1639">
        <v>0.98431481314621705</v>
      </c>
      <c r="S1639" t="s">
        <v>7924</v>
      </c>
      <c r="T1639" t="s">
        <v>12568</v>
      </c>
      <c r="U1639" t="s">
        <v>12568</v>
      </c>
      <c r="V1639" t="s">
        <v>12568</v>
      </c>
      <c r="W1639" t="s">
        <v>14177</v>
      </c>
      <c r="X1639">
        <v>66</v>
      </c>
      <c r="Y1639" t="s">
        <v>20374</v>
      </c>
      <c r="Z1639" t="s">
        <v>26509</v>
      </c>
      <c r="AA1639">
        <v>0.49352704472796832</v>
      </c>
      <c r="AB1639" t="str">
        <f>HYPERLINK("Melting_Curves/meltCurve_P11142_HSPA8.pdf", "Melting_Curves/meltCurve_P11142_HSPA8.pdf")</f>
        <v>Melting_Curves/meltCurve_P11142_HSPA8.pdf</v>
      </c>
    </row>
    <row r="1640" spans="1:28" x14ac:dyDescent="0.25">
      <c r="A1640" t="s">
        <v>1644</v>
      </c>
      <c r="B1640">
        <v>0.99352677808782597</v>
      </c>
      <c r="C1640">
        <v>0.94134309899548596</v>
      </c>
      <c r="D1640">
        <v>1.04507751004091</v>
      </c>
      <c r="E1640">
        <v>0.92464791578486405</v>
      </c>
      <c r="F1640">
        <v>0.87506380398997197</v>
      </c>
      <c r="G1640">
        <v>0.88257475093819404</v>
      </c>
      <c r="H1640">
        <v>0.71041256801657404</v>
      </c>
      <c r="I1640">
        <v>0.83238341704782004</v>
      </c>
      <c r="J1640">
        <v>0.79739486958027905</v>
      </c>
      <c r="K1640">
        <v>0.72910975655814803</v>
      </c>
      <c r="L1640">
        <v>797.34904875799896</v>
      </c>
      <c r="M1640">
        <v>14.767395874922199</v>
      </c>
      <c r="O1640">
        <v>53.032763303361797</v>
      </c>
      <c r="P1640">
        <v>-1.7045992750676801E-2</v>
      </c>
      <c r="Q1640">
        <v>0.75516359883978501</v>
      </c>
      <c r="R1640">
        <v>0.79352494683806196</v>
      </c>
      <c r="S1640" t="s">
        <v>7925</v>
      </c>
      <c r="T1640" t="s">
        <v>12568</v>
      </c>
      <c r="U1640" t="s">
        <v>12568</v>
      </c>
      <c r="V1640" t="s">
        <v>12568</v>
      </c>
      <c r="W1640" t="s">
        <v>14178</v>
      </c>
      <c r="X1640">
        <v>6</v>
      </c>
      <c r="Y1640" t="s">
        <v>20375</v>
      </c>
      <c r="Z1640" t="s">
        <v>26510</v>
      </c>
      <c r="AA1640">
        <v>0.87449326552781526</v>
      </c>
      <c r="AB1640" t="str">
        <f>HYPERLINK("Melting_Curves/meltCurve_P11171_3_EPB41.pdf", "Melting_Curves/meltCurve_P11171_3_EPB41.pdf")</f>
        <v>Melting_Curves/meltCurve_P11171_3_EPB41.pdf</v>
      </c>
    </row>
    <row r="1641" spans="1:28" x14ac:dyDescent="0.25">
      <c r="A1641" t="s">
        <v>1645</v>
      </c>
      <c r="B1641">
        <v>0.99352677808782597</v>
      </c>
      <c r="C1641">
        <v>0.80028439600905399</v>
      </c>
      <c r="D1641">
        <v>0.88299416226687899</v>
      </c>
      <c r="E1641">
        <v>0.346064427550765</v>
      </c>
      <c r="F1641">
        <v>0.26911249800520398</v>
      </c>
      <c r="G1641">
        <v>0.13116994540757801</v>
      </c>
      <c r="H1641">
        <v>6.82565730216841E-2</v>
      </c>
      <c r="I1641">
        <v>6.1353829577457802E-2</v>
      </c>
      <c r="J1641">
        <v>4.7388620478638503E-2</v>
      </c>
      <c r="K1641">
        <v>3.8267469624356502E-2</v>
      </c>
      <c r="L1641">
        <v>882.99200624330001</v>
      </c>
      <c r="M1641">
        <v>18.065361396213799</v>
      </c>
      <c r="N1641">
        <v>49.136011014515901</v>
      </c>
      <c r="O1641">
        <v>48.290514338303801</v>
      </c>
      <c r="P1641">
        <v>-8.9290914415807193E-2</v>
      </c>
      <c r="Q1641">
        <v>4.5312309830914901E-2</v>
      </c>
      <c r="R1641">
        <v>0.97054805764074203</v>
      </c>
      <c r="S1641" t="s">
        <v>7926</v>
      </c>
      <c r="T1641" t="s">
        <v>12568</v>
      </c>
      <c r="U1641" t="s">
        <v>12568</v>
      </c>
      <c r="V1641" t="s">
        <v>12568</v>
      </c>
      <c r="W1641" t="s">
        <v>14179</v>
      </c>
      <c r="X1641">
        <v>27</v>
      </c>
      <c r="Y1641" t="s">
        <v>20376</v>
      </c>
      <c r="Z1641" t="s">
        <v>26511</v>
      </c>
      <c r="AA1641">
        <v>0.34427948658793839</v>
      </c>
      <c r="AB1641" t="str">
        <f>HYPERLINK("Melting_Curves/meltCurve_P11172_UMPS.pdf", "Melting_Curves/meltCurve_P11172_UMPS.pdf")</f>
        <v>Melting_Curves/meltCurve_P11172_UMPS.pdf</v>
      </c>
    </row>
    <row r="1642" spans="1:28" x14ac:dyDescent="0.25">
      <c r="A1642" t="s">
        <v>1646</v>
      </c>
      <c r="B1642">
        <v>0.99352677808782597</v>
      </c>
      <c r="C1642">
        <v>0.67967992978922598</v>
      </c>
      <c r="D1642">
        <v>0.54939262843935099</v>
      </c>
      <c r="E1642">
        <v>0.28970966600842901</v>
      </c>
      <c r="F1642">
        <v>0.22533408646883701</v>
      </c>
      <c r="G1642">
        <v>0.113937536553693</v>
      </c>
      <c r="H1642">
        <v>8.0846909513532406E-2</v>
      </c>
      <c r="I1642">
        <v>7.4342158529420402E-2</v>
      </c>
      <c r="J1642">
        <v>6.1054966324016503E-2</v>
      </c>
      <c r="K1642">
        <v>4.1806959819327999E-2</v>
      </c>
      <c r="L1642">
        <v>630.15071482406699</v>
      </c>
      <c r="M1642">
        <v>13.639252556477</v>
      </c>
      <c r="N1642">
        <v>46.557936686813399</v>
      </c>
      <c r="O1642">
        <v>45.242036938097499</v>
      </c>
      <c r="P1642">
        <v>-7.1639938601841799E-2</v>
      </c>
      <c r="Q1642">
        <v>4.9607163666982999E-2</v>
      </c>
      <c r="R1642">
        <v>0.98274704100435195</v>
      </c>
      <c r="S1642" t="s">
        <v>7927</v>
      </c>
      <c r="T1642" t="s">
        <v>12568</v>
      </c>
      <c r="U1642" t="s">
        <v>12568</v>
      </c>
      <c r="V1642" t="s">
        <v>12568</v>
      </c>
      <c r="W1642" t="s">
        <v>14180</v>
      </c>
      <c r="X1642">
        <v>5</v>
      </c>
      <c r="Y1642" t="s">
        <v>20377</v>
      </c>
      <c r="Z1642" t="s">
        <v>26512</v>
      </c>
      <c r="AA1642">
        <v>0.27925488272385057</v>
      </c>
      <c r="AB1642" t="str">
        <f>HYPERLINK("Melting_Curves/meltCurve_P11177_3_PDHB.pdf", "Melting_Curves/meltCurve_P11177_3_PDHB.pdf")</f>
        <v>Melting_Curves/meltCurve_P11177_3_PDHB.pdf</v>
      </c>
    </row>
    <row r="1643" spans="1:28" x14ac:dyDescent="0.25">
      <c r="A1643" t="s">
        <v>1647</v>
      </c>
      <c r="B1643">
        <v>0.99352677808782597</v>
      </c>
      <c r="C1643">
        <v>0.85217783059671404</v>
      </c>
      <c r="D1643">
        <v>0.78149002908546505</v>
      </c>
      <c r="E1643">
        <v>0.86440867183347803</v>
      </c>
      <c r="F1643">
        <v>0.731464806895611</v>
      </c>
      <c r="G1643">
        <v>0.54547368420568598</v>
      </c>
      <c r="H1643">
        <v>0.368463786031202</v>
      </c>
      <c r="I1643">
        <v>0.36949853357521201</v>
      </c>
      <c r="J1643">
        <v>0.280661825465225</v>
      </c>
      <c r="K1643">
        <v>0.22801889660712299</v>
      </c>
      <c r="L1643">
        <v>424.81340247589497</v>
      </c>
      <c r="M1643">
        <v>7.2595192530737096</v>
      </c>
      <c r="N1643">
        <v>58.518122400020403</v>
      </c>
      <c r="O1643">
        <v>54.5675321592214</v>
      </c>
      <c r="P1643">
        <v>-3.3313273918858598E-2</v>
      </c>
      <c r="Q1643">
        <v>0</v>
      </c>
      <c r="R1643">
        <v>0.95475334885473595</v>
      </c>
      <c r="S1643" t="s">
        <v>7928</v>
      </c>
      <c r="T1643" t="s">
        <v>12568</v>
      </c>
      <c r="U1643" t="s">
        <v>12568</v>
      </c>
      <c r="V1643" t="s">
        <v>12568</v>
      </c>
      <c r="W1643" t="s">
        <v>14181</v>
      </c>
      <c r="X1643">
        <v>1</v>
      </c>
      <c r="Y1643" t="s">
        <v>20378</v>
      </c>
      <c r="Z1643" t="s">
        <v>26513</v>
      </c>
      <c r="AA1643">
        <v>0.61201093763782888</v>
      </c>
      <c r="AB1643" t="str">
        <f>HYPERLINK("Melting_Curves/meltCurve_P11182_DBT.pdf", "Melting_Curves/meltCurve_P11182_DBT.pdf")</f>
        <v>Melting_Curves/meltCurve_P11182_DBT.pdf</v>
      </c>
    </row>
    <row r="1644" spans="1:28" x14ac:dyDescent="0.25">
      <c r="A1644" t="s">
        <v>1648</v>
      </c>
      <c r="B1644">
        <v>0.99352677808782597</v>
      </c>
      <c r="C1644">
        <v>1.0514153484408499</v>
      </c>
      <c r="D1644">
        <v>0.79999460948566603</v>
      </c>
      <c r="E1644">
        <v>0.65814608408797703</v>
      </c>
      <c r="F1644">
        <v>0.50504325469608602</v>
      </c>
      <c r="G1644">
        <v>0.238508673215269</v>
      </c>
      <c r="H1644">
        <v>0.13329837412729301</v>
      </c>
      <c r="I1644">
        <v>0.13289926851300801</v>
      </c>
      <c r="J1644">
        <v>9.2545800611741599E-2</v>
      </c>
      <c r="K1644">
        <v>8.1792445499245803E-2</v>
      </c>
      <c r="L1644">
        <v>749.16394376661901</v>
      </c>
      <c r="M1644">
        <v>14.406750265706201</v>
      </c>
      <c r="N1644">
        <v>52.425683923686599</v>
      </c>
      <c r="O1644">
        <v>51.0297772276976</v>
      </c>
      <c r="P1644">
        <v>-6.66998556189735E-2</v>
      </c>
      <c r="Q1644">
        <v>5.5088468771687799E-2</v>
      </c>
      <c r="R1644">
        <v>0.98675240887234295</v>
      </c>
      <c r="S1644" t="s">
        <v>7929</v>
      </c>
      <c r="T1644" t="s">
        <v>12568</v>
      </c>
      <c r="U1644" t="s">
        <v>12568</v>
      </c>
      <c r="V1644" t="s">
        <v>12568</v>
      </c>
      <c r="W1644" t="s">
        <v>14182</v>
      </c>
      <c r="X1644">
        <v>62</v>
      </c>
      <c r="Y1644" t="s">
        <v>20379</v>
      </c>
      <c r="Z1644" t="s">
        <v>26514</v>
      </c>
      <c r="AA1644">
        <v>0.45552985259545992</v>
      </c>
      <c r="AB1644" t="str">
        <f>HYPERLINK("Melting_Curves/meltCurve_P11216_PYGB.pdf", "Melting_Curves/meltCurve_P11216_PYGB.pdf")</f>
        <v>Melting_Curves/meltCurve_P11216_PYGB.pdf</v>
      </c>
    </row>
    <row r="1645" spans="1:28" x14ac:dyDescent="0.25">
      <c r="A1645" t="s">
        <v>1649</v>
      </c>
      <c r="B1645">
        <v>0.99352677808782597</v>
      </c>
      <c r="C1645">
        <v>1.0464031957707201</v>
      </c>
      <c r="D1645">
        <v>1.04345527076357</v>
      </c>
      <c r="E1645">
        <v>0.793781336631047</v>
      </c>
      <c r="F1645">
        <v>0.69391583390180001</v>
      </c>
      <c r="G1645">
        <v>0.45071242076857099</v>
      </c>
      <c r="H1645">
        <v>0.231697855738526</v>
      </c>
      <c r="I1645">
        <v>0.236782308056284</v>
      </c>
      <c r="J1645">
        <v>0.169107349837955</v>
      </c>
      <c r="K1645">
        <v>0.11168211170828</v>
      </c>
      <c r="L1645">
        <v>878.21664660126305</v>
      </c>
      <c r="M1645">
        <v>15.965294468626499</v>
      </c>
      <c r="N1645">
        <v>55.8861277196348</v>
      </c>
      <c r="O1645">
        <v>54.166537455584098</v>
      </c>
      <c r="P1645">
        <v>-6.5515907578328897E-2</v>
      </c>
      <c r="Q1645">
        <v>0.110949264082043</v>
      </c>
      <c r="R1645">
        <v>0.98713543682435501</v>
      </c>
      <c r="S1645" t="s">
        <v>7930</v>
      </c>
      <c r="T1645" t="s">
        <v>12568</v>
      </c>
      <c r="U1645" t="s">
        <v>12568</v>
      </c>
      <c r="V1645" t="s">
        <v>12568</v>
      </c>
      <c r="W1645" t="s">
        <v>14183</v>
      </c>
      <c r="X1645">
        <v>2</v>
      </c>
      <c r="Y1645" t="s">
        <v>20380</v>
      </c>
      <c r="Z1645" t="s">
        <v>26515</v>
      </c>
      <c r="AA1645">
        <v>0.57169293178422209</v>
      </c>
      <c r="AB1645" t="str">
        <f>HYPERLINK("Melting_Curves/meltCurve_P11233_RALA.pdf", "Melting_Curves/meltCurve_P11233_RALA.pdf")</f>
        <v>Melting_Curves/meltCurve_P11233_RALA.pdf</v>
      </c>
    </row>
    <row r="1646" spans="1:28" x14ac:dyDescent="0.25">
      <c r="A1646" t="s">
        <v>1650</v>
      </c>
      <c r="B1646">
        <v>0.99352677808782597</v>
      </c>
      <c r="C1646">
        <v>0.97093918028135395</v>
      </c>
      <c r="D1646">
        <v>0.87134125634605697</v>
      </c>
      <c r="E1646">
        <v>0.468459952328107</v>
      </c>
      <c r="F1646">
        <v>0.416252882870426</v>
      </c>
      <c r="G1646">
        <v>0.26772848537097199</v>
      </c>
      <c r="H1646">
        <v>0.21713227269863</v>
      </c>
      <c r="I1646">
        <v>0.17485064154268001</v>
      </c>
      <c r="J1646">
        <v>0.163908641823207</v>
      </c>
      <c r="K1646">
        <v>0.13085290119036999</v>
      </c>
      <c r="L1646">
        <v>871.04990076103604</v>
      </c>
      <c r="M1646">
        <v>17.578217428521398</v>
      </c>
      <c r="N1646">
        <v>50.700974964909598</v>
      </c>
      <c r="O1646">
        <v>48.924829693981899</v>
      </c>
      <c r="P1646">
        <v>-7.5078348954339597E-2</v>
      </c>
      <c r="Q1646">
        <v>0.164193602865121</v>
      </c>
      <c r="R1646">
        <v>0.98696398374027605</v>
      </c>
      <c r="S1646" t="s">
        <v>7931</v>
      </c>
      <c r="T1646" t="s">
        <v>12568</v>
      </c>
      <c r="U1646" t="s">
        <v>12568</v>
      </c>
      <c r="V1646" t="s">
        <v>12568</v>
      </c>
      <c r="W1646" t="s">
        <v>14184</v>
      </c>
      <c r="X1646">
        <v>9</v>
      </c>
      <c r="Y1646" t="s">
        <v>20381</v>
      </c>
      <c r="Z1646" t="s">
        <v>26516</v>
      </c>
      <c r="AA1646">
        <v>0.44535295272249081</v>
      </c>
      <c r="AB1646" t="str">
        <f>HYPERLINK("Melting_Curves/meltCurve_P11274_BCR.pdf", "Melting_Curves/meltCurve_P11274_BCR.pdf")</f>
        <v>Melting_Curves/meltCurve_P11274_BCR.pdf</v>
      </c>
    </row>
    <row r="1647" spans="1:28" x14ac:dyDescent="0.25">
      <c r="A1647" t="s">
        <v>1651</v>
      </c>
      <c r="B1647">
        <v>0.99352677808782597</v>
      </c>
      <c r="C1647">
        <v>1.04382899315055</v>
      </c>
      <c r="D1647">
        <v>0.94546839762579404</v>
      </c>
      <c r="E1647">
        <v>0.81115069386772998</v>
      </c>
      <c r="F1647">
        <v>0.70001251801745101</v>
      </c>
      <c r="G1647">
        <v>0.373207604592737</v>
      </c>
      <c r="H1647">
        <v>0.28798728251210198</v>
      </c>
      <c r="I1647">
        <v>0.251163715146967</v>
      </c>
      <c r="J1647">
        <v>0.174493397485882</v>
      </c>
      <c r="K1647">
        <v>0.14668894253897499</v>
      </c>
      <c r="L1647">
        <v>887.36909133702204</v>
      </c>
      <c r="M1647">
        <v>16.326630253514999</v>
      </c>
      <c r="N1647">
        <v>55.531719025832501</v>
      </c>
      <c r="O1647">
        <v>53.555243134588203</v>
      </c>
      <c r="P1647">
        <v>-6.50423835907286E-2</v>
      </c>
      <c r="Q1647">
        <v>0.14664343071108499</v>
      </c>
      <c r="R1647">
        <v>0.99184829700354604</v>
      </c>
      <c r="S1647" t="s">
        <v>7932</v>
      </c>
      <c r="T1647" t="s">
        <v>12568</v>
      </c>
      <c r="U1647" t="s">
        <v>12568</v>
      </c>
      <c r="V1647" t="s">
        <v>12568</v>
      </c>
      <c r="W1647" t="s">
        <v>14185</v>
      </c>
      <c r="X1647">
        <v>8</v>
      </c>
      <c r="Y1647" t="s">
        <v>20382</v>
      </c>
      <c r="Z1647" t="s">
        <v>26517</v>
      </c>
      <c r="AA1647">
        <v>0.57031006037615817</v>
      </c>
      <c r="AB1647" t="str">
        <f>HYPERLINK("Melting_Curves/meltCurve_P11277_3_SPTB.pdf", "Melting_Curves/meltCurve_P11277_3_SPTB.pdf")</f>
        <v>Melting_Curves/meltCurve_P11277_3_SPTB.pdf</v>
      </c>
    </row>
    <row r="1648" spans="1:28" x14ac:dyDescent="0.25">
      <c r="A1648" t="s">
        <v>1652</v>
      </c>
      <c r="B1648">
        <v>0.99352677808782597</v>
      </c>
      <c r="C1648">
        <v>0.89312131017807805</v>
      </c>
      <c r="D1648">
        <v>0.95990332502860798</v>
      </c>
      <c r="E1648">
        <v>0.76247369673190102</v>
      </c>
      <c r="F1648">
        <v>0.81105906776772596</v>
      </c>
      <c r="G1648">
        <v>0.69034798749942905</v>
      </c>
      <c r="H1648">
        <v>0.72429655366585999</v>
      </c>
      <c r="I1648">
        <v>0.81296525457360003</v>
      </c>
      <c r="J1648">
        <v>0.85580618372097195</v>
      </c>
      <c r="K1648">
        <v>0.66536953570161605</v>
      </c>
      <c r="L1648">
        <v>844.52760741268503</v>
      </c>
      <c r="M1648">
        <v>18.053030511414999</v>
      </c>
      <c r="O1648">
        <v>46.217688077877902</v>
      </c>
      <c r="P1648">
        <v>-2.4468013354801001E-2</v>
      </c>
      <c r="Q1648">
        <v>0.74944920371854296</v>
      </c>
      <c r="R1648">
        <v>0.63743940399244903</v>
      </c>
      <c r="S1648" t="s">
        <v>7933</v>
      </c>
      <c r="T1648" t="s">
        <v>12568</v>
      </c>
      <c r="U1648" t="s">
        <v>12568</v>
      </c>
      <c r="V1648" t="s">
        <v>12568</v>
      </c>
      <c r="W1648" t="s">
        <v>14186</v>
      </c>
      <c r="X1648">
        <v>2</v>
      </c>
      <c r="Y1648" t="s">
        <v>20383</v>
      </c>
      <c r="Z1648" t="s">
        <v>26518</v>
      </c>
      <c r="AA1648">
        <v>0.81072214106576079</v>
      </c>
      <c r="AB1648" t="str">
        <f>HYPERLINK("Melting_Curves/meltCurve_P11279_LAMP1.pdf", "Melting_Curves/meltCurve_P11279_LAMP1.pdf")</f>
        <v>Melting_Curves/meltCurve_P11279_LAMP1.pdf</v>
      </c>
    </row>
    <row r="1649" spans="1:28" x14ac:dyDescent="0.25">
      <c r="A1649" t="s">
        <v>1653</v>
      </c>
      <c r="B1649">
        <v>0.99352677808782597</v>
      </c>
      <c r="C1649">
        <v>0.93599187436174702</v>
      </c>
      <c r="D1649">
        <v>0.75753112752412299</v>
      </c>
      <c r="E1649">
        <v>0.32673051546076398</v>
      </c>
      <c r="F1649">
        <v>0.264334615152504</v>
      </c>
      <c r="G1649">
        <v>0.13706606109296299</v>
      </c>
      <c r="H1649">
        <v>9.17982309395875E-2</v>
      </c>
      <c r="I1649">
        <v>8.1581420822459699E-2</v>
      </c>
      <c r="J1649">
        <v>7.0192078152566395E-2</v>
      </c>
      <c r="K1649">
        <v>6.4174352296431605E-2</v>
      </c>
      <c r="L1649">
        <v>958.644993474432</v>
      </c>
      <c r="M1649">
        <v>19.901058248537399</v>
      </c>
      <c r="N1649">
        <v>48.592116307125998</v>
      </c>
      <c r="O1649">
        <v>47.6920805226721</v>
      </c>
      <c r="P1649">
        <v>-9.6053016646230005E-2</v>
      </c>
      <c r="Q1649">
        <v>7.9281906564474994E-2</v>
      </c>
      <c r="R1649">
        <v>0.99443059484107699</v>
      </c>
      <c r="S1649" t="s">
        <v>7934</v>
      </c>
      <c r="T1649" t="s">
        <v>12568</v>
      </c>
      <c r="U1649" t="s">
        <v>12568</v>
      </c>
      <c r="V1649" t="s">
        <v>12568</v>
      </c>
      <c r="W1649" t="s">
        <v>14187</v>
      </c>
      <c r="X1649">
        <v>5</v>
      </c>
      <c r="Y1649" t="s">
        <v>20384</v>
      </c>
      <c r="Z1649" t="s">
        <v>26519</v>
      </c>
      <c r="AA1649">
        <v>0.34321930084474173</v>
      </c>
      <c r="AB1649" t="str">
        <f>HYPERLINK("Melting_Curves/meltCurve_P11310_ACADM.pdf", "Melting_Curves/meltCurve_P11310_ACADM.pdf")</f>
        <v>Melting_Curves/meltCurve_P11310_ACADM.pdf</v>
      </c>
    </row>
    <row r="1650" spans="1:28" x14ac:dyDescent="0.25">
      <c r="A1650" t="s">
        <v>1654</v>
      </c>
      <c r="B1650">
        <v>0.99352677808782597</v>
      </c>
      <c r="C1650">
        <v>0.90528168406257004</v>
      </c>
      <c r="D1650">
        <v>0.90029952999725604</v>
      </c>
      <c r="E1650">
        <v>0.453656696677885</v>
      </c>
      <c r="F1650">
        <v>0.40617440040995301</v>
      </c>
      <c r="G1650">
        <v>0.28538022642150501</v>
      </c>
      <c r="H1650">
        <v>0.228669646723413</v>
      </c>
      <c r="I1650">
        <v>0.25185182033025599</v>
      </c>
      <c r="J1650">
        <v>0.18885076186032801</v>
      </c>
      <c r="K1650">
        <v>0.14610165393361199</v>
      </c>
      <c r="L1650">
        <v>928.74217895801996</v>
      </c>
      <c r="M1650">
        <v>18.914307374801499</v>
      </c>
      <c r="N1650">
        <v>50.484245426569501</v>
      </c>
      <c r="O1650">
        <v>48.563629513443701</v>
      </c>
      <c r="P1650">
        <v>-7.7699988112034907E-2</v>
      </c>
      <c r="Q1650">
        <v>0.20203469960131701</v>
      </c>
      <c r="R1650">
        <v>0.97698907849352301</v>
      </c>
      <c r="S1650" t="s">
        <v>7935</v>
      </c>
      <c r="T1650" t="s">
        <v>12568</v>
      </c>
      <c r="U1650" t="s">
        <v>12568</v>
      </c>
      <c r="V1650" t="s">
        <v>12568</v>
      </c>
      <c r="W1650" t="s">
        <v>14188</v>
      </c>
      <c r="X1650">
        <v>9</v>
      </c>
      <c r="Y1650" t="s">
        <v>20385</v>
      </c>
      <c r="Z1650" t="s">
        <v>26520</v>
      </c>
      <c r="AA1650">
        <v>0.45665088761900791</v>
      </c>
      <c r="AB1650" t="str">
        <f>HYPERLINK("Melting_Curves/meltCurve_P11387_TOP1.pdf", "Melting_Curves/meltCurve_P11387_TOP1.pdf")</f>
        <v>Melting_Curves/meltCurve_P11387_TOP1.pdf</v>
      </c>
    </row>
    <row r="1651" spans="1:28" x14ac:dyDescent="0.25">
      <c r="A1651" t="s">
        <v>1655</v>
      </c>
      <c r="B1651">
        <v>0.99352677808782597</v>
      </c>
      <c r="C1651">
        <v>0.95400659637251195</v>
      </c>
      <c r="D1651">
        <v>1.0550127371720801</v>
      </c>
      <c r="E1651">
        <v>0.812134842584883</v>
      </c>
      <c r="F1651">
        <v>0.72059604450085202</v>
      </c>
      <c r="G1651">
        <v>0.68597891079887297</v>
      </c>
      <c r="H1651">
        <v>0.729401005216883</v>
      </c>
      <c r="I1651">
        <v>0.70012492644815905</v>
      </c>
      <c r="J1651">
        <v>0.68165286783210299</v>
      </c>
      <c r="K1651">
        <v>0.54669114881133296</v>
      </c>
      <c r="L1651">
        <v>2406.9085617829301</v>
      </c>
      <c r="M1651">
        <v>48.312635001998501</v>
      </c>
      <c r="O1651">
        <v>49.734297986410802</v>
      </c>
      <c r="P1651">
        <v>-7.9314972483768995E-2</v>
      </c>
      <c r="Q1651">
        <v>0.67340456126774995</v>
      </c>
      <c r="R1651">
        <v>0.88636420169363594</v>
      </c>
      <c r="S1651" t="s">
        <v>7936</v>
      </c>
      <c r="T1651" t="s">
        <v>12568</v>
      </c>
      <c r="U1651" t="s">
        <v>12568</v>
      </c>
      <c r="V1651" t="s">
        <v>12568</v>
      </c>
      <c r="W1651" t="s">
        <v>14189</v>
      </c>
      <c r="X1651">
        <v>7</v>
      </c>
      <c r="Y1651" t="s">
        <v>20386</v>
      </c>
      <c r="Z1651" t="s">
        <v>26521</v>
      </c>
      <c r="AA1651">
        <v>0.78107312847040733</v>
      </c>
      <c r="AB1651" t="str">
        <f>HYPERLINK("Melting_Curves/meltCurve_P11388_TOP2A.pdf", "Melting_Curves/meltCurve_P11388_TOP2A.pdf")</f>
        <v>Melting_Curves/meltCurve_P11388_TOP2A.pdf</v>
      </c>
    </row>
    <row r="1652" spans="1:28" x14ac:dyDescent="0.25">
      <c r="A1652" t="s">
        <v>1656</v>
      </c>
      <c r="B1652">
        <v>0.99352677808782597</v>
      </c>
      <c r="C1652">
        <v>0.92908334596550002</v>
      </c>
      <c r="D1652">
        <v>0.81676124889838697</v>
      </c>
      <c r="E1652">
        <v>0.31254413898109101</v>
      </c>
      <c r="F1652">
        <v>0.21478710692733699</v>
      </c>
      <c r="G1652">
        <v>0.10638010819029201</v>
      </c>
      <c r="H1652">
        <v>6.8703719391385504E-2</v>
      </c>
      <c r="I1652">
        <v>6.3657228012872394E-2</v>
      </c>
      <c r="J1652">
        <v>5.0219404018987099E-2</v>
      </c>
      <c r="K1652">
        <v>3.97824036714624E-2</v>
      </c>
      <c r="L1652">
        <v>1134.6995530341901</v>
      </c>
      <c r="M1652">
        <v>23.463400499962798</v>
      </c>
      <c r="N1652">
        <v>48.631474636716398</v>
      </c>
      <c r="O1652">
        <v>48.013205096850797</v>
      </c>
      <c r="P1652">
        <v>-0.114684860398862</v>
      </c>
      <c r="Q1652">
        <v>6.1296299583028999E-2</v>
      </c>
      <c r="R1652">
        <v>0.99490665722557803</v>
      </c>
      <c r="S1652" t="s">
        <v>7937</v>
      </c>
      <c r="T1652" t="s">
        <v>12568</v>
      </c>
      <c r="U1652" t="s">
        <v>12568</v>
      </c>
      <c r="V1652" t="s">
        <v>12568</v>
      </c>
      <c r="W1652" t="s">
        <v>14190</v>
      </c>
      <c r="X1652">
        <v>49</v>
      </c>
      <c r="Y1652" t="s">
        <v>19130</v>
      </c>
      <c r="Z1652" t="s">
        <v>26522</v>
      </c>
      <c r="AA1652">
        <v>0.33237318027888091</v>
      </c>
      <c r="AB1652" t="str">
        <f>HYPERLINK("Melting_Curves/meltCurve_P11413_G6PD.pdf", "Melting_Curves/meltCurve_P11413_G6PD.pdf")</f>
        <v>Melting_Curves/meltCurve_P11413_G6PD.pdf</v>
      </c>
    </row>
    <row r="1653" spans="1:28" x14ac:dyDescent="0.25">
      <c r="A1653" t="s">
        <v>1657</v>
      </c>
      <c r="B1653">
        <v>0.99352677808782597</v>
      </c>
      <c r="C1653">
        <v>1.02729188526712</v>
      </c>
      <c r="D1653">
        <v>0.87921180847510105</v>
      </c>
      <c r="E1653">
        <v>0.90606168533798903</v>
      </c>
      <c r="F1653">
        <v>0.76714997400491403</v>
      </c>
      <c r="G1653">
        <v>0.612210529922669</v>
      </c>
      <c r="H1653">
        <v>0.47418099190881902</v>
      </c>
      <c r="I1653">
        <v>0.40039715670366399</v>
      </c>
      <c r="J1653">
        <v>0.39064405368124899</v>
      </c>
      <c r="K1653">
        <v>0.25184150523207099</v>
      </c>
      <c r="L1653">
        <v>577.65421295152998</v>
      </c>
      <c r="M1653">
        <v>9.8995175607111303</v>
      </c>
      <c r="N1653">
        <v>60.565642859868198</v>
      </c>
      <c r="O1653">
        <v>56.120365735788099</v>
      </c>
      <c r="P1653">
        <v>-3.7423642674710003E-2</v>
      </c>
      <c r="Q1653">
        <v>0.15181030810806401</v>
      </c>
      <c r="R1653">
        <v>0.98131933666986804</v>
      </c>
      <c r="S1653" t="s">
        <v>7938</v>
      </c>
      <c r="T1653" t="s">
        <v>12568</v>
      </c>
      <c r="U1653" t="s">
        <v>12568</v>
      </c>
      <c r="V1653" t="s">
        <v>12568</v>
      </c>
      <c r="W1653" t="s">
        <v>14191</v>
      </c>
      <c r="X1653">
        <v>6</v>
      </c>
      <c r="Y1653" t="s">
        <v>20387</v>
      </c>
      <c r="Z1653" t="s">
        <v>26523</v>
      </c>
      <c r="AA1653">
        <v>0.67696928907061205</v>
      </c>
      <c r="AB1653" t="str">
        <f>HYPERLINK("Melting_Curves/meltCurve_P11441_UBL4A.pdf", "Melting_Curves/meltCurve_P11441_UBL4A.pdf")</f>
        <v>Melting_Curves/meltCurve_P11441_UBL4A.pdf</v>
      </c>
    </row>
    <row r="1654" spans="1:28" x14ac:dyDescent="0.25">
      <c r="A1654" t="s">
        <v>1658</v>
      </c>
      <c r="B1654">
        <v>0.99352677808782597</v>
      </c>
      <c r="C1654">
        <v>0.74793989899510405</v>
      </c>
      <c r="D1654">
        <v>0.47087020119115902</v>
      </c>
      <c r="E1654">
        <v>0.20450352015817899</v>
      </c>
      <c r="F1654">
        <v>0.15035176576864201</v>
      </c>
      <c r="G1654">
        <v>8.9724476815271403E-2</v>
      </c>
      <c r="H1654">
        <v>5.7200553578954101E-2</v>
      </c>
      <c r="I1654">
        <v>6.2569240750621494E-2</v>
      </c>
      <c r="J1654">
        <v>4.2876587857948401E-2</v>
      </c>
      <c r="K1654">
        <v>4.17439171022276E-2</v>
      </c>
      <c r="L1654">
        <v>854.26643148071605</v>
      </c>
      <c r="M1654">
        <v>18.778901768223498</v>
      </c>
      <c r="N1654">
        <v>45.783483518179402</v>
      </c>
      <c r="O1654">
        <v>44.984305071780902</v>
      </c>
      <c r="P1654">
        <v>-9.8463808677451498E-2</v>
      </c>
      <c r="Q1654">
        <v>5.6570670620781603E-2</v>
      </c>
      <c r="R1654">
        <v>0.99423963336405397</v>
      </c>
      <c r="S1654" t="s">
        <v>7939</v>
      </c>
      <c r="T1654" t="s">
        <v>12568</v>
      </c>
      <c r="U1654" t="s">
        <v>12568</v>
      </c>
      <c r="V1654" t="s">
        <v>12568</v>
      </c>
      <c r="W1654" t="s">
        <v>14192</v>
      </c>
      <c r="X1654">
        <v>15</v>
      </c>
      <c r="Y1654" t="s">
        <v>20388</v>
      </c>
      <c r="Z1654" t="s">
        <v>26524</v>
      </c>
      <c r="AA1654">
        <v>0.24680827570699351</v>
      </c>
      <c r="AB1654" t="str">
        <f>HYPERLINK("Melting_Curves/meltCurve_P11498_PC.pdf", "Melting_Curves/meltCurve_P11498_PC.pdf")</f>
        <v>Melting_Curves/meltCurve_P11498_PC.pdf</v>
      </c>
    </row>
    <row r="1655" spans="1:28" x14ac:dyDescent="0.25">
      <c r="A1655" t="s">
        <v>1659</v>
      </c>
      <c r="B1655">
        <v>0.99352677808782597</v>
      </c>
      <c r="C1655">
        <v>0.95562174403553901</v>
      </c>
      <c r="D1655">
        <v>0.35179777566693998</v>
      </c>
      <c r="E1655">
        <v>0.17519264049497801</v>
      </c>
      <c r="F1655">
        <v>0.12281300705987699</v>
      </c>
      <c r="G1655">
        <v>7.0649639074449794E-2</v>
      </c>
      <c r="H1655">
        <v>4.95675335225855E-2</v>
      </c>
      <c r="I1655">
        <v>4.5410219971652802E-2</v>
      </c>
      <c r="J1655">
        <v>3.5672803529842603E-2</v>
      </c>
      <c r="K1655">
        <v>2.9439233478649799E-2</v>
      </c>
      <c r="L1655">
        <v>2181.64091068784</v>
      </c>
      <c r="M1655">
        <v>48.222136229770001</v>
      </c>
      <c r="N1655">
        <v>45.3903949253721</v>
      </c>
      <c r="O1655">
        <v>45.163881916909901</v>
      </c>
      <c r="P1655">
        <v>-0.24739996678460999</v>
      </c>
      <c r="Q1655">
        <v>7.31615940268113E-2</v>
      </c>
      <c r="R1655">
        <v>0.98745556750831398</v>
      </c>
      <c r="S1655" t="s">
        <v>7940</v>
      </c>
      <c r="T1655" t="s">
        <v>12568</v>
      </c>
      <c r="U1655" t="s">
        <v>12568</v>
      </c>
      <c r="V1655" t="s">
        <v>12568</v>
      </c>
      <c r="W1655" t="s">
        <v>14193</v>
      </c>
      <c r="X1655">
        <v>49</v>
      </c>
      <c r="Y1655" t="s">
        <v>20389</v>
      </c>
      <c r="Z1655" t="s">
        <v>26525</v>
      </c>
      <c r="AA1655">
        <v>0.23712388568430981</v>
      </c>
      <c r="AB1655" t="str">
        <f>HYPERLINK("Melting_Curves/meltCurve_P11586_MTHFD1.pdf", "Melting_Curves/meltCurve_P11586_MTHFD1.pdf")</f>
        <v>Melting_Curves/meltCurve_P11586_MTHFD1.pdf</v>
      </c>
    </row>
    <row r="1656" spans="1:28" x14ac:dyDescent="0.25">
      <c r="A1656" t="s">
        <v>1660</v>
      </c>
      <c r="B1656">
        <v>0.99352677808782597</v>
      </c>
      <c r="C1656">
        <v>0.88255373759933198</v>
      </c>
      <c r="D1656">
        <v>0.85507916399108796</v>
      </c>
      <c r="E1656">
        <v>0.74695661300773097</v>
      </c>
      <c r="F1656">
        <v>0.68404554044279398</v>
      </c>
      <c r="G1656">
        <v>0.61228424928150005</v>
      </c>
      <c r="H1656">
        <v>0.59963694578502003</v>
      </c>
      <c r="I1656">
        <v>0.58831674573842296</v>
      </c>
      <c r="J1656">
        <v>0.56849307837774299</v>
      </c>
      <c r="K1656">
        <v>0.48851339961693302</v>
      </c>
      <c r="L1656">
        <v>456.83519168889899</v>
      </c>
      <c r="M1656">
        <v>9.1218240087621307</v>
      </c>
      <c r="O1656">
        <v>47.8507009399937</v>
      </c>
      <c r="P1656">
        <v>-2.3796315127178998E-2</v>
      </c>
      <c r="Q1656">
        <v>0.501027417310695</v>
      </c>
      <c r="R1656">
        <v>0.97332260975298901</v>
      </c>
      <c r="S1656" t="s">
        <v>7941</v>
      </c>
      <c r="T1656" t="s">
        <v>12568</v>
      </c>
      <c r="U1656" t="s">
        <v>12568</v>
      </c>
      <c r="V1656" t="s">
        <v>12568</v>
      </c>
      <c r="W1656" t="s">
        <v>14194</v>
      </c>
      <c r="X1656">
        <v>9</v>
      </c>
      <c r="Y1656" t="s">
        <v>20390</v>
      </c>
      <c r="Z1656" t="s">
        <v>26526</v>
      </c>
      <c r="AA1656">
        <v>0.69397035352069891</v>
      </c>
      <c r="AB1656" t="str">
        <f>HYPERLINK("Melting_Curves/meltCurve_P11717_IGF2R.pdf", "Melting_Curves/meltCurve_P11717_IGF2R.pdf")</f>
        <v>Melting_Curves/meltCurve_P11717_IGF2R.pdf</v>
      </c>
    </row>
    <row r="1657" spans="1:28" x14ac:dyDescent="0.25">
      <c r="A1657" t="s">
        <v>1661</v>
      </c>
      <c r="B1657">
        <v>0.99352677808782597</v>
      </c>
      <c r="C1657">
        <v>0.86825434664179602</v>
      </c>
      <c r="D1657">
        <v>1.0261187241162899</v>
      </c>
      <c r="E1657">
        <v>0.83098541656626501</v>
      </c>
      <c r="F1657">
        <v>0.72054503114840596</v>
      </c>
      <c r="G1657">
        <v>0.48207114172117299</v>
      </c>
      <c r="H1657">
        <v>0.233548520669387</v>
      </c>
      <c r="I1657">
        <v>0.12585833152371101</v>
      </c>
      <c r="J1657">
        <v>0.103803912363077</v>
      </c>
      <c r="K1657">
        <v>7.1122156355579794E-2</v>
      </c>
      <c r="L1657">
        <v>816.95084258890699</v>
      </c>
      <c r="M1657">
        <v>14.5068875352358</v>
      </c>
      <c r="N1657">
        <v>56.338645508530902</v>
      </c>
      <c r="O1657">
        <v>55.2770360338681</v>
      </c>
      <c r="P1657">
        <v>-6.5415669871352805E-2</v>
      </c>
      <c r="Q1657">
        <v>3.0754757477193398E-3</v>
      </c>
      <c r="R1657">
        <v>0.98401360500712698</v>
      </c>
      <c r="S1657" t="s">
        <v>7942</v>
      </c>
      <c r="T1657" t="s">
        <v>12568</v>
      </c>
      <c r="U1657" t="s">
        <v>12568</v>
      </c>
      <c r="V1657" t="s">
        <v>12568</v>
      </c>
      <c r="W1657" t="s">
        <v>14195</v>
      </c>
      <c r="X1657">
        <v>15</v>
      </c>
      <c r="Y1657" t="s">
        <v>20391</v>
      </c>
      <c r="Z1657" t="s">
        <v>26527</v>
      </c>
      <c r="AA1657">
        <v>0.56278070779601641</v>
      </c>
      <c r="AB1657" t="str">
        <f>HYPERLINK("Melting_Curves/meltCurve_P11766_ADH5.pdf", "Melting_Curves/meltCurve_P11766_ADH5.pdf")</f>
        <v>Melting_Curves/meltCurve_P11766_ADH5.pdf</v>
      </c>
    </row>
    <row r="1658" spans="1:28" x14ac:dyDescent="0.25">
      <c r="A1658" t="s">
        <v>1662</v>
      </c>
      <c r="B1658">
        <v>0.99352677808782597</v>
      </c>
      <c r="C1658">
        <v>0.92679685582038596</v>
      </c>
      <c r="D1658">
        <v>0.81074737855270596</v>
      </c>
      <c r="E1658">
        <v>0.350384139215343</v>
      </c>
      <c r="F1658">
        <v>0.34315720558153301</v>
      </c>
      <c r="G1658">
        <v>0.233625174351657</v>
      </c>
      <c r="H1658">
        <v>0.166040699468224</v>
      </c>
      <c r="I1658">
        <v>0.14919259040560501</v>
      </c>
      <c r="J1658">
        <v>0.112999507088321</v>
      </c>
      <c r="K1658">
        <v>9.2618727359390501E-2</v>
      </c>
      <c r="L1658">
        <v>912.26372824930195</v>
      </c>
      <c r="M1658">
        <v>18.849451034806599</v>
      </c>
      <c r="N1658">
        <v>49.2270883361223</v>
      </c>
      <c r="O1658">
        <v>47.862512891818199</v>
      </c>
      <c r="P1658">
        <v>-8.5060578170402495E-2</v>
      </c>
      <c r="Q1658">
        <v>0.13609252015182999</v>
      </c>
      <c r="R1658">
        <v>0.981764086280982</v>
      </c>
      <c r="S1658" t="s">
        <v>7943</v>
      </c>
      <c r="T1658" t="s">
        <v>12568</v>
      </c>
      <c r="U1658" t="s">
        <v>12568</v>
      </c>
      <c r="V1658" t="s">
        <v>12568</v>
      </c>
      <c r="W1658" t="s">
        <v>14196</v>
      </c>
      <c r="X1658">
        <v>10</v>
      </c>
      <c r="Y1658" t="s">
        <v>20392</v>
      </c>
      <c r="Z1658" t="s">
        <v>26528</v>
      </c>
      <c r="AA1658">
        <v>0.39169755479842738</v>
      </c>
      <c r="AB1658" t="str">
        <f>HYPERLINK("Melting_Curves/meltCurve_P11802_CDK4.pdf", "Melting_Curves/meltCurve_P11802_CDK4.pdf")</f>
        <v>Melting_Curves/meltCurve_P11802_CDK4.pdf</v>
      </c>
    </row>
    <row r="1659" spans="1:28" x14ac:dyDescent="0.25">
      <c r="A1659" t="s">
        <v>1663</v>
      </c>
      <c r="B1659">
        <v>0.99352677808782597</v>
      </c>
      <c r="C1659">
        <v>1.0357834962287999</v>
      </c>
      <c r="D1659">
        <v>1.05499998142749</v>
      </c>
      <c r="E1659">
        <v>1.19388813582614</v>
      </c>
      <c r="F1659">
        <v>0.97411364099665199</v>
      </c>
      <c r="G1659">
        <v>0.39834324400193499</v>
      </c>
      <c r="H1659">
        <v>0.16152186776720101</v>
      </c>
      <c r="I1659">
        <v>0.115745443317627</v>
      </c>
      <c r="J1659">
        <v>8.8464818347410601E-2</v>
      </c>
      <c r="K1659">
        <v>6.2190063739215699E-2</v>
      </c>
      <c r="L1659">
        <v>3020.5583210601399</v>
      </c>
      <c r="M1659">
        <v>53.675889756558497</v>
      </c>
      <c r="N1659">
        <v>56.514851368186498</v>
      </c>
      <c r="O1659">
        <v>56.196076368075602</v>
      </c>
      <c r="P1659">
        <v>-0.21437829936171601</v>
      </c>
      <c r="Q1659">
        <v>0.102225483133592</v>
      </c>
      <c r="R1659">
        <v>0.97748697974561405</v>
      </c>
      <c r="S1659" t="s">
        <v>7944</v>
      </c>
      <c r="T1659" t="s">
        <v>12568</v>
      </c>
      <c r="U1659" t="s">
        <v>12568</v>
      </c>
      <c r="V1659" t="s">
        <v>12568</v>
      </c>
      <c r="W1659" t="s">
        <v>14197</v>
      </c>
      <c r="X1659">
        <v>14</v>
      </c>
      <c r="Y1659" t="s">
        <v>20393</v>
      </c>
      <c r="Z1659" t="s">
        <v>26529</v>
      </c>
      <c r="AA1659">
        <v>0.59116989010548116</v>
      </c>
      <c r="AB1659" t="str">
        <f>HYPERLINK("Melting_Curves/meltCurve_P11908_PRPS2.pdf", "Melting_Curves/meltCurve_P11908_PRPS2.pdf")</f>
        <v>Melting_Curves/meltCurve_P11908_PRPS2.pdf</v>
      </c>
    </row>
    <row r="1660" spans="1:28" x14ac:dyDescent="0.25">
      <c r="A1660" t="s">
        <v>1664</v>
      </c>
      <c r="B1660">
        <v>0.99352677808782597</v>
      </c>
      <c r="C1660">
        <v>1.0447464766397501</v>
      </c>
      <c r="D1660">
        <v>1.0250634350204599</v>
      </c>
      <c r="E1660">
        <v>1.0140699855986499</v>
      </c>
      <c r="F1660">
        <v>0.77695031024471595</v>
      </c>
      <c r="G1660">
        <v>0.65853698474920896</v>
      </c>
      <c r="H1660">
        <v>0.80311982522206904</v>
      </c>
      <c r="I1660">
        <v>0.79588334777119596</v>
      </c>
      <c r="J1660">
        <v>0.874309191617611</v>
      </c>
      <c r="K1660">
        <v>0.57184266247429905</v>
      </c>
      <c r="L1660">
        <v>13153.646147885</v>
      </c>
      <c r="M1660">
        <v>250</v>
      </c>
      <c r="O1660">
        <v>52.611217562920899</v>
      </c>
      <c r="P1660">
        <v>-0.30799234511080498</v>
      </c>
      <c r="Q1660">
        <v>0.74073836366470203</v>
      </c>
      <c r="R1660">
        <v>0.73871818794870403</v>
      </c>
      <c r="S1660" t="s">
        <v>7945</v>
      </c>
      <c r="T1660" t="s">
        <v>12568</v>
      </c>
      <c r="U1660" t="s">
        <v>12568</v>
      </c>
      <c r="V1660" t="s">
        <v>12568</v>
      </c>
      <c r="W1660" t="s">
        <v>14198</v>
      </c>
      <c r="X1660">
        <v>1</v>
      </c>
      <c r="Y1660" t="s">
        <v>20394</v>
      </c>
      <c r="Z1660" t="s">
        <v>26530</v>
      </c>
      <c r="AA1660">
        <v>0.8497782314043103</v>
      </c>
      <c r="AB1660" t="str">
        <f>HYPERLINK("Melting_Curves/meltCurve_P11926_ODC1.pdf", "Melting_Curves/meltCurve_P11926_ODC1.pdf")</f>
        <v>Melting_Curves/meltCurve_P11926_ODC1.pdf</v>
      </c>
    </row>
    <row r="1661" spans="1:28" x14ac:dyDescent="0.25">
      <c r="A1661" t="s">
        <v>1665</v>
      </c>
      <c r="B1661">
        <v>0.99352677808782597</v>
      </c>
      <c r="C1661">
        <v>0.97362781284528999</v>
      </c>
      <c r="D1661">
        <v>0.969963301264263</v>
      </c>
      <c r="E1661">
        <v>0.51515467888913902</v>
      </c>
      <c r="F1661">
        <v>0.408034140010819</v>
      </c>
      <c r="G1661">
        <v>0.15981077875140701</v>
      </c>
      <c r="H1661">
        <v>0.123314274608049</v>
      </c>
      <c r="I1661">
        <v>0.119213931086259</v>
      </c>
      <c r="J1661">
        <v>0.113485051258031</v>
      </c>
      <c r="K1661">
        <v>9.0078508612331201E-2</v>
      </c>
      <c r="L1661">
        <v>1073.76385444772</v>
      </c>
      <c r="M1661">
        <v>21.292376087041401</v>
      </c>
      <c r="N1661">
        <v>50.989313363033602</v>
      </c>
      <c r="O1661">
        <v>49.990998024165897</v>
      </c>
      <c r="P1661">
        <v>-9.5385223279717504E-2</v>
      </c>
      <c r="Q1661">
        <v>0.104227482713039</v>
      </c>
      <c r="R1661">
        <v>0.98807717822269503</v>
      </c>
      <c r="S1661" t="s">
        <v>7946</v>
      </c>
      <c r="T1661" t="s">
        <v>12568</v>
      </c>
      <c r="U1661" t="s">
        <v>12568</v>
      </c>
      <c r="V1661" t="s">
        <v>12568</v>
      </c>
      <c r="W1661" t="s">
        <v>14199</v>
      </c>
      <c r="X1661">
        <v>34</v>
      </c>
      <c r="Y1661" t="s">
        <v>20395</v>
      </c>
      <c r="Z1661" t="s">
        <v>26531</v>
      </c>
      <c r="AA1661">
        <v>0.42667745228828852</v>
      </c>
      <c r="AB1661" t="str">
        <f>HYPERLINK("Melting_Curves/meltCurve_P11940_PABPC1.pdf", "Melting_Curves/meltCurve_P11940_PABPC1.pdf")</f>
        <v>Melting_Curves/meltCurve_P11940_PABPC1.pdf</v>
      </c>
    </row>
    <row r="1662" spans="1:28" x14ac:dyDescent="0.25">
      <c r="A1662" t="s">
        <v>1666</v>
      </c>
      <c r="B1662">
        <v>0.99352677808782597</v>
      </c>
      <c r="C1662">
        <v>0.98318138814106903</v>
      </c>
      <c r="D1662">
        <v>0.92382965517623505</v>
      </c>
      <c r="E1662">
        <v>0.76160533099025296</v>
      </c>
      <c r="F1662">
        <v>0.68602987448993402</v>
      </c>
      <c r="G1662">
        <v>0.384858129851604</v>
      </c>
      <c r="H1662">
        <v>0.18195071490502501</v>
      </c>
      <c r="I1662">
        <v>0.140343810104225</v>
      </c>
      <c r="J1662">
        <v>0.103356847307165</v>
      </c>
      <c r="K1662">
        <v>7.0542566186673206E-2</v>
      </c>
      <c r="L1662">
        <v>761.68266101839799</v>
      </c>
      <c r="M1662">
        <v>13.8542035152275</v>
      </c>
      <c r="N1662">
        <v>55.108205194026802</v>
      </c>
      <c r="O1662">
        <v>53.870971519271599</v>
      </c>
      <c r="P1662">
        <v>-6.3270468426901302E-2</v>
      </c>
      <c r="Q1662">
        <v>1.6046846196532599E-2</v>
      </c>
      <c r="R1662">
        <v>0.99546352723760101</v>
      </c>
      <c r="S1662" t="s">
        <v>7947</v>
      </c>
      <c r="T1662" t="s">
        <v>12568</v>
      </c>
      <c r="U1662" t="s">
        <v>12568</v>
      </c>
      <c r="V1662" t="s">
        <v>12568</v>
      </c>
      <c r="W1662" t="s">
        <v>14200</v>
      </c>
      <c r="X1662">
        <v>19</v>
      </c>
      <c r="Y1662" t="s">
        <v>20396</v>
      </c>
      <c r="Z1662" t="s">
        <v>26532</v>
      </c>
      <c r="AA1662">
        <v>0.52789329187866607</v>
      </c>
      <c r="AB1662" t="str">
        <f>HYPERLINK("Melting_Curves/meltCurve_P12004_PCNA.pdf", "Melting_Curves/meltCurve_P12004_PCNA.pdf")</f>
        <v>Melting_Curves/meltCurve_P12004_PCNA.pdf</v>
      </c>
    </row>
    <row r="1663" spans="1:28" x14ac:dyDescent="0.25">
      <c r="A1663" t="s">
        <v>1667</v>
      </c>
      <c r="B1663">
        <v>0.99352677808782597</v>
      </c>
      <c r="C1663">
        <v>1.0279617070112199</v>
      </c>
      <c r="D1663">
        <v>0.88236139012519299</v>
      </c>
      <c r="E1663">
        <v>0.737823915597418</v>
      </c>
      <c r="F1663">
        <v>0.61147286354630803</v>
      </c>
      <c r="G1663">
        <v>0.52327095322396799</v>
      </c>
      <c r="H1663">
        <v>0.44081363513361199</v>
      </c>
      <c r="I1663">
        <v>0.45502012990129598</v>
      </c>
      <c r="J1663">
        <v>0.53007863336606298</v>
      </c>
      <c r="K1663">
        <v>0.48859773834812098</v>
      </c>
      <c r="L1663">
        <v>969.89056580704198</v>
      </c>
      <c r="M1663">
        <v>19.445892745904501</v>
      </c>
      <c r="N1663">
        <v>58.995421157255599</v>
      </c>
      <c r="O1663">
        <v>49.357901217813499</v>
      </c>
      <c r="P1663">
        <v>-5.1686755711330599E-2</v>
      </c>
      <c r="Q1663">
        <v>0.47525028706564698</v>
      </c>
      <c r="R1663">
        <v>0.97916749297738104</v>
      </c>
      <c r="S1663" t="s">
        <v>7948</v>
      </c>
      <c r="T1663" t="s">
        <v>12568</v>
      </c>
      <c r="U1663" t="s">
        <v>12568</v>
      </c>
      <c r="V1663" t="s">
        <v>12568</v>
      </c>
      <c r="W1663" t="s">
        <v>14201</v>
      </c>
      <c r="X1663">
        <v>1</v>
      </c>
      <c r="Y1663" t="s">
        <v>20397</v>
      </c>
      <c r="Z1663" t="s">
        <v>26533</v>
      </c>
      <c r="AA1663">
        <v>0.65572591209172482</v>
      </c>
      <c r="AB1663" t="str">
        <f>HYPERLINK("Melting_Curves/meltCurve_P12109_COL6A1.pdf", "Melting_Curves/meltCurve_P12109_COL6A1.pdf")</f>
        <v>Melting_Curves/meltCurve_P12109_COL6A1.pdf</v>
      </c>
    </row>
    <row r="1664" spans="1:28" x14ac:dyDescent="0.25">
      <c r="A1664" t="s">
        <v>1668</v>
      </c>
      <c r="B1664">
        <v>0.99352677808782597</v>
      </c>
      <c r="C1664">
        <v>1.0601749165076799</v>
      </c>
      <c r="D1664">
        <v>0.94805287431549801</v>
      </c>
      <c r="E1664">
        <v>0.84314754216296495</v>
      </c>
      <c r="F1664">
        <v>0.74750167961583003</v>
      </c>
      <c r="G1664">
        <v>0.56328908219381002</v>
      </c>
      <c r="H1664">
        <v>0.655392402000471</v>
      </c>
      <c r="I1664">
        <v>0.503655687508201</v>
      </c>
      <c r="J1664">
        <v>0.61017868821469401</v>
      </c>
      <c r="K1664">
        <v>0.40327004387528598</v>
      </c>
      <c r="L1664">
        <v>810.661680580557</v>
      </c>
      <c r="M1664">
        <v>15.3699596007213</v>
      </c>
      <c r="O1664">
        <v>51.874603125577401</v>
      </c>
      <c r="P1664">
        <v>-3.6943975261411501E-2</v>
      </c>
      <c r="Q1664">
        <v>0.50129261777379397</v>
      </c>
      <c r="R1664">
        <v>0.91067967508594505</v>
      </c>
      <c r="S1664" t="s">
        <v>7949</v>
      </c>
      <c r="T1664" t="s">
        <v>12568</v>
      </c>
      <c r="U1664" t="s">
        <v>12568</v>
      </c>
      <c r="V1664" t="s">
        <v>12568</v>
      </c>
      <c r="W1664" t="s">
        <v>14202</v>
      </c>
      <c r="X1664">
        <v>133</v>
      </c>
      <c r="Y1664" t="s">
        <v>20398</v>
      </c>
      <c r="Z1664" t="s">
        <v>26534</v>
      </c>
      <c r="AA1664">
        <v>0.72360180630420956</v>
      </c>
      <c r="AB1664" t="str">
        <f>HYPERLINK("Melting_Curves/meltCurve_P12270_TPR.pdf", "Melting_Curves/meltCurve_P12270_TPR.pdf")</f>
        <v>Melting_Curves/meltCurve_P12270_TPR.pdf</v>
      </c>
    </row>
    <row r="1665" spans="1:28" x14ac:dyDescent="0.25">
      <c r="A1665" t="s">
        <v>1669</v>
      </c>
      <c r="B1665">
        <v>0.99352677808782597</v>
      </c>
      <c r="C1665">
        <v>1.0360386190491599</v>
      </c>
      <c r="D1665">
        <v>0.98910562094696097</v>
      </c>
      <c r="E1665">
        <v>0.88681911066850305</v>
      </c>
      <c r="F1665">
        <v>0.79398546985571405</v>
      </c>
      <c r="G1665">
        <v>0.66740271763663295</v>
      </c>
      <c r="H1665">
        <v>0.53843949582983797</v>
      </c>
      <c r="I1665">
        <v>0.238003465887131</v>
      </c>
      <c r="J1665">
        <v>0.134769476350315</v>
      </c>
      <c r="K1665">
        <v>9.0623233455228103E-2</v>
      </c>
      <c r="L1665">
        <v>818.96116054839899</v>
      </c>
      <c r="M1665">
        <v>13.716815505232899</v>
      </c>
      <c r="N1665">
        <v>59.704904720367601</v>
      </c>
      <c r="O1665">
        <v>58.478845895094501</v>
      </c>
      <c r="P1665">
        <v>-5.8648502396740403E-2</v>
      </c>
      <c r="Q1665">
        <v>0</v>
      </c>
      <c r="R1665">
        <v>0.97963773515727104</v>
      </c>
      <c r="S1665" t="s">
        <v>7950</v>
      </c>
      <c r="T1665" t="s">
        <v>12568</v>
      </c>
      <c r="U1665" t="s">
        <v>12568</v>
      </c>
      <c r="V1665" t="s">
        <v>12568</v>
      </c>
      <c r="W1665" t="s">
        <v>14203</v>
      </c>
      <c r="X1665">
        <v>6</v>
      </c>
      <c r="Y1665" t="s">
        <v>20399</v>
      </c>
      <c r="Z1665" t="s">
        <v>26535</v>
      </c>
      <c r="AA1665">
        <v>0.663668581045467</v>
      </c>
      <c r="AB1665" t="str">
        <f>HYPERLINK("Melting_Curves/meltCurve_P12277_CKB.pdf", "Melting_Curves/meltCurve_P12277_CKB.pdf")</f>
        <v>Melting_Curves/meltCurve_P12277_CKB.pdf</v>
      </c>
    </row>
    <row r="1666" spans="1:28" x14ac:dyDescent="0.25">
      <c r="A1666" t="s">
        <v>1670</v>
      </c>
      <c r="B1666">
        <v>0.99352677808782597</v>
      </c>
      <c r="C1666">
        <v>0.85054187682306803</v>
      </c>
      <c r="D1666">
        <v>0.99017393434645196</v>
      </c>
      <c r="E1666">
        <v>0.316982198302803</v>
      </c>
      <c r="F1666">
        <v>0.22483254278010001</v>
      </c>
      <c r="G1666">
        <v>9.8096980650486901E-2</v>
      </c>
      <c r="H1666">
        <v>6.5473330349321401E-2</v>
      </c>
      <c r="I1666">
        <v>6.1004556010741902E-2</v>
      </c>
      <c r="J1666">
        <v>4.7605830848597402E-2</v>
      </c>
      <c r="K1666">
        <v>3.84141327913399E-2</v>
      </c>
      <c r="L1666">
        <v>1903.0474979958501</v>
      </c>
      <c r="M1666">
        <v>38.886566845048101</v>
      </c>
      <c r="N1666">
        <v>49.147427534104402</v>
      </c>
      <c r="O1666">
        <v>48.809552225106899</v>
      </c>
      <c r="P1666">
        <v>-0.18399663005887501</v>
      </c>
      <c r="Q1666">
        <v>7.6208408087679605E-2</v>
      </c>
      <c r="R1666">
        <v>0.97314993428231999</v>
      </c>
      <c r="S1666" t="s">
        <v>7951</v>
      </c>
      <c r="T1666" t="s">
        <v>12568</v>
      </c>
      <c r="U1666" t="s">
        <v>12568</v>
      </c>
      <c r="V1666" t="s">
        <v>12568</v>
      </c>
      <c r="W1666" t="s">
        <v>14204</v>
      </c>
      <c r="X1666">
        <v>31</v>
      </c>
      <c r="Y1666" t="s">
        <v>20400</v>
      </c>
      <c r="Z1666" t="s">
        <v>26536</v>
      </c>
      <c r="AA1666">
        <v>0.35476255815349877</v>
      </c>
      <c r="AB1666" t="str">
        <f>HYPERLINK("Melting_Curves/meltCurve_P12429_ANXA3.pdf", "Melting_Curves/meltCurve_P12429_ANXA3.pdf")</f>
        <v>Melting_Curves/meltCurve_P12429_ANXA3.pdf</v>
      </c>
    </row>
    <row r="1667" spans="1:28" x14ac:dyDescent="0.25">
      <c r="A1667" t="s">
        <v>1671</v>
      </c>
      <c r="B1667">
        <v>0.99352677808782597</v>
      </c>
      <c r="C1667">
        <v>1.0107135907663201</v>
      </c>
      <c r="D1667">
        <v>0.93683528198841004</v>
      </c>
      <c r="E1667">
        <v>1.0176436929930901</v>
      </c>
      <c r="F1667">
        <v>0.76879263943771903</v>
      </c>
      <c r="G1667">
        <v>0.63824361953553899</v>
      </c>
      <c r="H1667">
        <v>0.56977363908869605</v>
      </c>
      <c r="I1667">
        <v>0.44017219899999999</v>
      </c>
      <c r="J1667">
        <v>0.33321971489625901</v>
      </c>
      <c r="K1667">
        <v>0.213900118945861</v>
      </c>
      <c r="L1667">
        <v>595.37119830665301</v>
      </c>
      <c r="M1667">
        <v>9.6327467580915407</v>
      </c>
      <c r="N1667">
        <v>61.806980204968703</v>
      </c>
      <c r="O1667">
        <v>59.319482279137198</v>
      </c>
      <c r="P1667">
        <v>-4.0619669681715501E-2</v>
      </c>
      <c r="Q1667">
        <v>0</v>
      </c>
      <c r="R1667">
        <v>0.97052888841719298</v>
      </c>
      <c r="S1667" t="s">
        <v>7952</v>
      </c>
      <c r="T1667" t="s">
        <v>12568</v>
      </c>
      <c r="U1667" t="s">
        <v>12568</v>
      </c>
      <c r="V1667" t="s">
        <v>12568</v>
      </c>
      <c r="W1667" t="s">
        <v>14205</v>
      </c>
      <c r="X1667">
        <v>4</v>
      </c>
      <c r="Y1667" t="s">
        <v>20401</v>
      </c>
      <c r="Z1667" t="s">
        <v>26537</v>
      </c>
      <c r="AA1667">
        <v>0.70523104258950287</v>
      </c>
      <c r="AB1667" t="str">
        <f>HYPERLINK("Melting_Curves/meltCurve_P12532_CKMT1A.pdf", "Melting_Curves/meltCurve_P12532_CKMT1A.pdf")</f>
        <v>Melting_Curves/meltCurve_P12532_CKMT1A.pdf</v>
      </c>
    </row>
    <row r="1668" spans="1:28" x14ac:dyDescent="0.25">
      <c r="A1668" t="s">
        <v>1672</v>
      </c>
      <c r="B1668">
        <v>0.99352677808782597</v>
      </c>
      <c r="C1668">
        <v>0.94006413641370701</v>
      </c>
      <c r="D1668">
        <v>0.70056000342392699</v>
      </c>
      <c r="E1668">
        <v>0.41002209757232999</v>
      </c>
      <c r="F1668">
        <v>0.33804591524281202</v>
      </c>
      <c r="G1668">
        <v>0.19791191024412699</v>
      </c>
      <c r="H1668">
        <v>8.8176823859357406E-2</v>
      </c>
      <c r="I1668">
        <v>0.136509480328105</v>
      </c>
      <c r="J1668">
        <v>5.2470182082038602E-2</v>
      </c>
      <c r="K1668">
        <v>9.8812525285761801E-2</v>
      </c>
      <c r="L1668">
        <v>732.223152558842</v>
      </c>
      <c r="M1668">
        <v>15.043787727474299</v>
      </c>
      <c r="N1668">
        <v>49.247873237835897</v>
      </c>
      <c r="O1668">
        <v>47.837043856752302</v>
      </c>
      <c r="P1668">
        <v>-7.2294137045652795E-2</v>
      </c>
      <c r="Q1668">
        <v>8.0552813500564105E-2</v>
      </c>
      <c r="R1668">
        <v>0.98914340628226605</v>
      </c>
      <c r="S1668" t="s">
        <v>7953</v>
      </c>
      <c r="T1668" t="s">
        <v>12568</v>
      </c>
      <c r="U1668" t="s">
        <v>12568</v>
      </c>
      <c r="V1668" t="s">
        <v>12568</v>
      </c>
      <c r="W1668" t="s">
        <v>14206</v>
      </c>
      <c r="X1668">
        <v>2</v>
      </c>
      <c r="Y1668" t="s">
        <v>20402</v>
      </c>
      <c r="Z1668" t="s">
        <v>26538</v>
      </c>
      <c r="AA1668">
        <v>0.36921116300625351</v>
      </c>
      <c r="AB1668" t="str">
        <f>HYPERLINK("Melting_Curves/meltCurve_P12694_BCKDHA.pdf", "Melting_Curves/meltCurve_P12694_BCKDHA.pdf")</f>
        <v>Melting_Curves/meltCurve_P12694_BCKDHA.pdf</v>
      </c>
    </row>
    <row r="1669" spans="1:28" x14ac:dyDescent="0.25">
      <c r="A1669" t="s">
        <v>1673</v>
      </c>
      <c r="B1669">
        <v>0.99352677808782597</v>
      </c>
      <c r="C1669">
        <v>0.99937912486738001</v>
      </c>
      <c r="D1669">
        <v>0.91925154655577501</v>
      </c>
      <c r="E1669">
        <v>1.1331186205408399</v>
      </c>
      <c r="F1669">
        <v>0.95384397146254396</v>
      </c>
      <c r="G1669">
        <v>0.85267647952883197</v>
      </c>
      <c r="H1669">
        <v>0.63570583042309403</v>
      </c>
      <c r="I1669">
        <v>0.16496379312794399</v>
      </c>
      <c r="J1669">
        <v>0.122763346057623</v>
      </c>
      <c r="K1669">
        <v>8.2556777183329502E-2</v>
      </c>
      <c r="L1669">
        <v>2179.0728718873302</v>
      </c>
      <c r="M1669">
        <v>35.514855300052197</v>
      </c>
      <c r="N1669">
        <v>61.5638032314152</v>
      </c>
      <c r="O1669">
        <v>61.163079771857902</v>
      </c>
      <c r="P1669">
        <v>-0.136988899322219</v>
      </c>
      <c r="Q1669">
        <v>5.63230191325058E-2</v>
      </c>
      <c r="R1669">
        <v>0.97149004078920698</v>
      </c>
      <c r="S1669" t="s">
        <v>7954</v>
      </c>
      <c r="T1669" t="s">
        <v>12568</v>
      </c>
      <c r="U1669" t="s">
        <v>12568</v>
      </c>
      <c r="V1669" t="s">
        <v>12568</v>
      </c>
      <c r="W1669" t="s">
        <v>14207</v>
      </c>
      <c r="X1669">
        <v>49</v>
      </c>
      <c r="Y1669" t="s">
        <v>20403</v>
      </c>
      <c r="Z1669" t="s">
        <v>26539</v>
      </c>
      <c r="AA1669">
        <v>0.7322679992986848</v>
      </c>
      <c r="AB1669" t="str">
        <f>HYPERLINK("Melting_Curves/meltCurve_P12814_ACTN1.pdf", "Melting_Curves/meltCurve_P12814_ACTN1.pdf")</f>
        <v>Melting_Curves/meltCurve_P12814_ACTN1.pdf</v>
      </c>
    </row>
    <row r="1670" spans="1:28" x14ac:dyDescent="0.25">
      <c r="A1670" t="s">
        <v>1674</v>
      </c>
      <c r="B1670">
        <v>0.99352677808782597</v>
      </c>
      <c r="C1670">
        <v>0.99203053026881205</v>
      </c>
      <c r="D1670">
        <v>1.0000147293311401</v>
      </c>
      <c r="E1670">
        <v>0.91782503602377996</v>
      </c>
      <c r="F1670">
        <v>0.79904535587161796</v>
      </c>
      <c r="G1670">
        <v>0.71970222296953701</v>
      </c>
      <c r="H1670">
        <v>0.71349213015580504</v>
      </c>
      <c r="I1670">
        <v>0.75338371711574004</v>
      </c>
      <c r="J1670">
        <v>0.82180413321119805</v>
      </c>
      <c r="K1670">
        <v>0.70383440439277001</v>
      </c>
      <c r="L1670">
        <v>1996.18783898833</v>
      </c>
      <c r="M1670">
        <v>39.107593951899403</v>
      </c>
      <c r="O1670">
        <v>50.910568023138403</v>
      </c>
      <c r="P1670">
        <v>-4.9436941382801601E-2</v>
      </c>
      <c r="Q1670">
        <v>0.74257103530962698</v>
      </c>
      <c r="R1670">
        <v>0.92929622303306403</v>
      </c>
      <c r="S1670" t="s">
        <v>7955</v>
      </c>
      <c r="T1670" t="s">
        <v>12568</v>
      </c>
      <c r="U1670" t="s">
        <v>12568</v>
      </c>
      <c r="V1670" t="s">
        <v>12568</v>
      </c>
      <c r="W1670" t="s">
        <v>14208</v>
      </c>
      <c r="X1670">
        <v>8</v>
      </c>
      <c r="Y1670" t="s">
        <v>20404</v>
      </c>
      <c r="Z1670" t="s">
        <v>26540</v>
      </c>
      <c r="AA1670">
        <v>0.83828522302963648</v>
      </c>
      <c r="AB1670" t="str">
        <f>HYPERLINK("Melting_Curves/meltCurve_P12830_CDH1.pdf", "Melting_Curves/meltCurve_P12830_CDH1.pdf")</f>
        <v>Melting_Curves/meltCurve_P12830_CDH1.pdf</v>
      </c>
    </row>
    <row r="1671" spans="1:28" x14ac:dyDescent="0.25">
      <c r="A1671" t="s">
        <v>1675</v>
      </c>
      <c r="B1671">
        <v>0.99352677808782597</v>
      </c>
      <c r="C1671">
        <v>0.99126542565670495</v>
      </c>
      <c r="D1671">
        <v>0.98682783057352597</v>
      </c>
      <c r="E1671">
        <v>0.66152325152737201</v>
      </c>
      <c r="F1671">
        <v>0.56186430759629902</v>
      </c>
      <c r="G1671">
        <v>0.26780690582213701</v>
      </c>
      <c r="H1671">
        <v>9.5887384493025002E-2</v>
      </c>
      <c r="I1671">
        <v>9.3668969883463099E-2</v>
      </c>
      <c r="J1671">
        <v>6.9998234971706194E-2</v>
      </c>
      <c r="K1671">
        <v>5.8469115294818297E-2</v>
      </c>
      <c r="L1671">
        <v>880.31736500740203</v>
      </c>
      <c r="M1671">
        <v>16.626580289772001</v>
      </c>
      <c r="N1671">
        <v>53.179857266463401</v>
      </c>
      <c r="O1671">
        <v>52.198255067157497</v>
      </c>
      <c r="P1671">
        <v>-7.6834555819741301E-2</v>
      </c>
      <c r="Q1671">
        <v>3.5193225663314599E-2</v>
      </c>
      <c r="R1671">
        <v>0.99133631955506596</v>
      </c>
      <c r="S1671" t="s">
        <v>7956</v>
      </c>
      <c r="T1671" t="s">
        <v>12568</v>
      </c>
      <c r="U1671" t="s">
        <v>12568</v>
      </c>
      <c r="V1671" t="s">
        <v>12568</v>
      </c>
      <c r="W1671" t="s">
        <v>14209</v>
      </c>
      <c r="X1671">
        <v>19</v>
      </c>
      <c r="Y1671" t="s">
        <v>20405</v>
      </c>
      <c r="Z1671" t="s">
        <v>26541</v>
      </c>
      <c r="AA1671">
        <v>0.4694556074353804</v>
      </c>
      <c r="AB1671" t="str">
        <f>HYPERLINK("Melting_Curves/meltCurve_P12931_SRC.pdf", "Melting_Curves/meltCurve_P12931_SRC.pdf")</f>
        <v>Melting_Curves/meltCurve_P12931_SRC.pdf</v>
      </c>
    </row>
    <row r="1672" spans="1:28" x14ac:dyDescent="0.25">
      <c r="A1672" t="s">
        <v>1676</v>
      </c>
      <c r="B1672">
        <v>0.99352677808782597</v>
      </c>
      <c r="C1672">
        <v>0.99597033669194601</v>
      </c>
      <c r="D1672">
        <v>0.94365847110609802</v>
      </c>
      <c r="E1672">
        <v>0.83243341122249204</v>
      </c>
      <c r="F1672">
        <v>0.73165510490568098</v>
      </c>
      <c r="G1672">
        <v>0.45847046436291</v>
      </c>
      <c r="H1672">
        <v>0.28001454683427202</v>
      </c>
      <c r="I1672">
        <v>0.125585445030752</v>
      </c>
      <c r="J1672">
        <v>8.4607591795442305E-2</v>
      </c>
      <c r="K1672">
        <v>6.7973789197464204E-2</v>
      </c>
      <c r="L1672">
        <v>794.68305570471205</v>
      </c>
      <c r="M1672">
        <v>14.0973832632697</v>
      </c>
      <c r="N1672">
        <v>56.370958702377301</v>
      </c>
      <c r="O1672">
        <v>55.273031153851299</v>
      </c>
      <c r="P1672">
        <v>-6.3770709062506994E-2</v>
      </c>
      <c r="Q1672">
        <v>0</v>
      </c>
      <c r="R1672">
        <v>0.99764488058733503</v>
      </c>
      <c r="S1672" t="s">
        <v>7957</v>
      </c>
      <c r="T1672" t="s">
        <v>12568</v>
      </c>
      <c r="U1672" t="s">
        <v>12568</v>
      </c>
      <c r="V1672" t="s">
        <v>12568</v>
      </c>
      <c r="W1672" t="s">
        <v>14210</v>
      </c>
      <c r="X1672">
        <v>18</v>
      </c>
      <c r="Y1672" t="s">
        <v>20406</v>
      </c>
      <c r="Z1672" t="s">
        <v>26542</v>
      </c>
      <c r="AA1672">
        <v>0.56352153894699086</v>
      </c>
      <c r="AB1672" t="str">
        <f>HYPERLINK("Melting_Curves/meltCurve_P12955_PEPD.pdf", "Melting_Curves/meltCurve_P12955_PEPD.pdf")</f>
        <v>Melting_Curves/meltCurve_P12955_PEPD.pdf</v>
      </c>
    </row>
    <row r="1673" spans="1:28" x14ac:dyDescent="0.25">
      <c r="A1673" t="s">
        <v>1677</v>
      </c>
      <c r="B1673">
        <v>0.99352677808782597</v>
      </c>
      <c r="C1673">
        <v>0.88392024233247701</v>
      </c>
      <c r="D1673">
        <v>0.990662778640923</v>
      </c>
      <c r="E1673">
        <v>0.48032477657539502</v>
      </c>
      <c r="F1673">
        <v>0.36267891739990799</v>
      </c>
      <c r="G1673">
        <v>0.16902965480070301</v>
      </c>
      <c r="H1673">
        <v>9.7890352288310098E-2</v>
      </c>
      <c r="I1673">
        <v>8.5093773822611393E-2</v>
      </c>
      <c r="J1673">
        <v>7.1840891040511598E-2</v>
      </c>
      <c r="K1673">
        <v>5.55096856259404E-2</v>
      </c>
      <c r="L1673">
        <v>1024.43030603018</v>
      </c>
      <c r="M1673">
        <v>20.370928484585601</v>
      </c>
      <c r="N1673">
        <v>50.679609190379999</v>
      </c>
      <c r="O1673">
        <v>49.811741833589601</v>
      </c>
      <c r="P1673">
        <v>-9.4811788643505798E-2</v>
      </c>
      <c r="Q1673">
        <v>7.2679005432978394E-2</v>
      </c>
      <c r="R1673">
        <v>0.97841801537230999</v>
      </c>
      <c r="S1673" t="s">
        <v>7958</v>
      </c>
      <c r="T1673" t="s">
        <v>12568</v>
      </c>
      <c r="U1673" t="s">
        <v>12568</v>
      </c>
      <c r="V1673" t="s">
        <v>12568</v>
      </c>
      <c r="W1673" t="s">
        <v>14211</v>
      </c>
      <c r="X1673">
        <v>35</v>
      </c>
      <c r="Y1673" t="s">
        <v>20407</v>
      </c>
      <c r="Z1673" t="s">
        <v>26543</v>
      </c>
      <c r="AA1673">
        <v>0.40316108044773069</v>
      </c>
      <c r="AB1673" t="str">
        <f>HYPERLINK("Melting_Curves/meltCurve_P12956_XRCC6.pdf", "Melting_Curves/meltCurve_P12956_XRCC6.pdf")</f>
        <v>Melting_Curves/meltCurve_P12956_XRCC6.pdf</v>
      </c>
    </row>
    <row r="1674" spans="1:28" x14ac:dyDescent="0.25">
      <c r="A1674" t="s">
        <v>1678</v>
      </c>
      <c r="B1674">
        <v>0.99352677808782597</v>
      </c>
      <c r="C1674">
        <v>0.96484407404208095</v>
      </c>
      <c r="D1674">
        <v>0.57931039878128099</v>
      </c>
      <c r="E1674">
        <v>0.301542564400615</v>
      </c>
      <c r="F1674">
        <v>0.22071499545809301</v>
      </c>
      <c r="G1674">
        <v>0.14410556778677899</v>
      </c>
      <c r="H1674">
        <v>9.1336310874877605E-2</v>
      </c>
      <c r="I1674">
        <v>8.13123703341187E-2</v>
      </c>
      <c r="J1674">
        <v>6.7488842250940206E-2</v>
      </c>
      <c r="K1674">
        <v>5.4416259677434103E-2</v>
      </c>
      <c r="L1674">
        <v>944.246309598312</v>
      </c>
      <c r="M1674">
        <v>20.0822999856744</v>
      </c>
      <c r="N1674">
        <v>47.462690422543602</v>
      </c>
      <c r="O1674">
        <v>46.560055481941703</v>
      </c>
      <c r="P1674">
        <v>-9.8601764461966196E-2</v>
      </c>
      <c r="Q1674">
        <v>8.5611388677477002E-2</v>
      </c>
      <c r="R1674">
        <v>0.98680517327857897</v>
      </c>
      <c r="S1674" t="s">
        <v>7959</v>
      </c>
      <c r="T1674" t="s">
        <v>12568</v>
      </c>
      <c r="U1674" t="s">
        <v>12568</v>
      </c>
      <c r="V1674" t="s">
        <v>12568</v>
      </c>
      <c r="W1674" t="s">
        <v>14212</v>
      </c>
      <c r="X1674">
        <v>39</v>
      </c>
      <c r="Y1674" t="s">
        <v>20408</v>
      </c>
      <c r="Z1674" t="s">
        <v>26544</v>
      </c>
      <c r="AA1674">
        <v>0.31279797495565181</v>
      </c>
      <c r="AB1674" t="str">
        <f>HYPERLINK("Melting_Curves/meltCurve_P13010_XRCC5.pdf", "Melting_Curves/meltCurve_P13010_XRCC5.pdf")</f>
        <v>Melting_Curves/meltCurve_P13010_XRCC5.pdf</v>
      </c>
    </row>
    <row r="1675" spans="1:28" x14ac:dyDescent="0.25">
      <c r="A1675" t="s">
        <v>1679</v>
      </c>
      <c r="B1675">
        <v>0.99352677808782597</v>
      </c>
      <c r="C1675">
        <v>0.97172830048287295</v>
      </c>
      <c r="D1675">
        <v>0.988428475538496</v>
      </c>
      <c r="E1675">
        <v>0.30548581562328198</v>
      </c>
      <c r="F1675">
        <v>0.24583969838056899</v>
      </c>
      <c r="G1675">
        <v>0.15246092766816199</v>
      </c>
      <c r="H1675">
        <v>0.12798884604616501</v>
      </c>
      <c r="I1675">
        <v>0.13052013184351699</v>
      </c>
      <c r="J1675">
        <v>0.117961154791055</v>
      </c>
      <c r="K1675">
        <v>8.3777404865670604E-2</v>
      </c>
      <c r="L1675">
        <v>2593.8979957039301</v>
      </c>
      <c r="M1675">
        <v>53.213166885526398</v>
      </c>
      <c r="N1675">
        <v>49.046289881197403</v>
      </c>
      <c r="O1675">
        <v>48.676720459894497</v>
      </c>
      <c r="P1675">
        <v>-0.23524044766010699</v>
      </c>
      <c r="Q1675">
        <v>0.13925620015354401</v>
      </c>
      <c r="R1675">
        <v>0.99004428523235999</v>
      </c>
      <c r="S1675" t="s">
        <v>7960</v>
      </c>
      <c r="T1675" t="s">
        <v>12568</v>
      </c>
      <c r="U1675" t="s">
        <v>12568</v>
      </c>
      <c r="V1675" t="s">
        <v>12568</v>
      </c>
      <c r="W1675" t="s">
        <v>14213</v>
      </c>
      <c r="X1675">
        <v>5</v>
      </c>
      <c r="Y1675" t="s">
        <v>20409</v>
      </c>
      <c r="Z1675" t="s">
        <v>26545</v>
      </c>
      <c r="AA1675">
        <v>0.39180803967046562</v>
      </c>
      <c r="AB1675" t="str">
        <f>HYPERLINK("Melting_Curves/meltCurve_P13051_UNG.pdf", "Melting_Curves/meltCurve_P13051_UNG.pdf")</f>
        <v>Melting_Curves/meltCurve_P13051_UNG.pdf</v>
      </c>
    </row>
    <row r="1676" spans="1:28" x14ac:dyDescent="0.25">
      <c r="A1676" t="s">
        <v>1680</v>
      </c>
      <c r="B1676">
        <v>0.99352677808782597</v>
      </c>
      <c r="C1676">
        <v>0.99783313575488497</v>
      </c>
      <c r="D1676">
        <v>1.01654674189529</v>
      </c>
      <c r="E1676">
        <v>0.86228657898515204</v>
      </c>
      <c r="F1676">
        <v>0.81584779919642203</v>
      </c>
      <c r="G1676">
        <v>0.227328014802681</v>
      </c>
      <c r="H1676">
        <v>0.10956199570150101</v>
      </c>
      <c r="I1676">
        <v>9.2978696287632098E-2</v>
      </c>
      <c r="J1676">
        <v>7.0053357908797298E-2</v>
      </c>
      <c r="K1676">
        <v>5.1684995193141597E-2</v>
      </c>
      <c r="L1676">
        <v>1944.00453711311</v>
      </c>
      <c r="M1676">
        <v>35.517090286502103</v>
      </c>
      <c r="N1676">
        <v>54.966452170059597</v>
      </c>
      <c r="O1676">
        <v>54.561696527432403</v>
      </c>
      <c r="P1676">
        <v>-0.15140599200656199</v>
      </c>
      <c r="Q1676">
        <v>6.9637747844793998E-2</v>
      </c>
      <c r="R1676">
        <v>0.99168246866173404</v>
      </c>
      <c r="S1676" t="s">
        <v>7961</v>
      </c>
      <c r="T1676" t="s">
        <v>12568</v>
      </c>
      <c r="U1676" t="s">
        <v>12568</v>
      </c>
      <c r="V1676" t="s">
        <v>12568</v>
      </c>
      <c r="W1676" t="s">
        <v>14214</v>
      </c>
      <c r="X1676">
        <v>26</v>
      </c>
      <c r="Y1676" t="s">
        <v>20410</v>
      </c>
      <c r="Z1676" t="s">
        <v>26546</v>
      </c>
      <c r="AA1676">
        <v>0.53102033086414857</v>
      </c>
      <c r="AB1676" t="str">
        <f>HYPERLINK("Melting_Curves/meltCurve_P13489_RNH1.pdf", "Melting_Curves/meltCurve_P13489_RNH1.pdf")</f>
        <v>Melting_Curves/meltCurve_P13489_RNH1.pdf</v>
      </c>
    </row>
    <row r="1677" spans="1:28" x14ac:dyDescent="0.25">
      <c r="A1677" t="s">
        <v>1681</v>
      </c>
      <c r="B1677">
        <v>0.99352677808782597</v>
      </c>
      <c r="C1677">
        <v>0.96567642265083098</v>
      </c>
      <c r="D1677">
        <v>0.98276520544527302</v>
      </c>
      <c r="E1677">
        <v>0.90829537930621695</v>
      </c>
      <c r="F1677">
        <v>0.79141788925113499</v>
      </c>
      <c r="G1677">
        <v>0.52704973650548204</v>
      </c>
      <c r="H1677">
        <v>0.16681992919615099</v>
      </c>
      <c r="I1677">
        <v>0.111004194208716</v>
      </c>
      <c r="J1677">
        <v>8.5571938165321895E-2</v>
      </c>
      <c r="K1677">
        <v>6.6028736156212603E-2</v>
      </c>
      <c r="L1677">
        <v>1137.4055428577201</v>
      </c>
      <c r="M1677">
        <v>20.092218352462201</v>
      </c>
      <c r="N1677">
        <v>56.792148165515002</v>
      </c>
      <c r="O1677">
        <v>56.0574338878899</v>
      </c>
      <c r="P1677">
        <v>-8.6801132058880404E-2</v>
      </c>
      <c r="Q1677">
        <v>3.1327747123319302E-2</v>
      </c>
      <c r="R1677">
        <v>0.99546589088542203</v>
      </c>
      <c r="S1677" t="s">
        <v>7962</v>
      </c>
      <c r="T1677" t="s">
        <v>12568</v>
      </c>
      <c r="U1677" t="s">
        <v>12568</v>
      </c>
      <c r="V1677" t="s">
        <v>12568</v>
      </c>
      <c r="W1677" t="s">
        <v>14215</v>
      </c>
      <c r="X1677">
        <v>69</v>
      </c>
      <c r="Y1677" t="s">
        <v>20411</v>
      </c>
      <c r="Z1677" t="s">
        <v>26547</v>
      </c>
      <c r="AA1677">
        <v>0.5796825519190637</v>
      </c>
      <c r="AB1677" t="str">
        <f>HYPERLINK("Melting_Curves/meltCurve_P13639_EEF2.pdf", "Melting_Curves/meltCurve_P13639_EEF2.pdf")</f>
        <v>Melting_Curves/meltCurve_P13639_EEF2.pdf</v>
      </c>
    </row>
    <row r="1678" spans="1:28" x14ac:dyDescent="0.25">
      <c r="A1678" t="s">
        <v>1682</v>
      </c>
      <c r="B1678">
        <v>0.99352677808782597</v>
      </c>
      <c r="C1678">
        <v>0.60041568853955996</v>
      </c>
      <c r="D1678">
        <v>0.42365407741793298</v>
      </c>
      <c r="E1678">
        <v>0.38832174911865303</v>
      </c>
      <c r="F1678">
        <v>0.69221353345870196</v>
      </c>
      <c r="G1678">
        <v>0.28313258735254498</v>
      </c>
      <c r="H1678">
        <v>0.40909058231138401</v>
      </c>
      <c r="I1678">
        <v>0.51468973083024405</v>
      </c>
      <c r="J1678">
        <v>0.19679828697234</v>
      </c>
      <c r="K1678">
        <v>0.32015512508982003</v>
      </c>
      <c r="L1678">
        <v>2716.1428720058602</v>
      </c>
      <c r="M1678">
        <v>64.010434190349898</v>
      </c>
      <c r="N1678">
        <v>43.547793976027499</v>
      </c>
      <c r="O1678">
        <v>42.3914532818021</v>
      </c>
      <c r="P1678">
        <v>-0.22540282855101301</v>
      </c>
      <c r="Q1678">
        <v>0.402900394245016</v>
      </c>
      <c r="R1678">
        <v>0.66957783195968101</v>
      </c>
      <c r="S1678" t="s">
        <v>7963</v>
      </c>
      <c r="T1678" t="s">
        <v>12568</v>
      </c>
      <c r="U1678" t="s">
        <v>12568</v>
      </c>
      <c r="V1678" t="s">
        <v>12568</v>
      </c>
      <c r="W1678" t="s">
        <v>14216</v>
      </c>
      <c r="X1678">
        <v>16</v>
      </c>
      <c r="Y1678" t="s">
        <v>20412</v>
      </c>
      <c r="Z1678" t="s">
        <v>26548</v>
      </c>
      <c r="AA1678">
        <v>0.45223174629082052</v>
      </c>
      <c r="AB1678" t="str">
        <f>HYPERLINK("Melting_Curves/meltCurve_P13647_KRT5.pdf", "Melting_Curves/meltCurve_P13647_KRT5.pdf")</f>
        <v>Melting_Curves/meltCurve_P13647_KRT5.pdf</v>
      </c>
    </row>
    <row r="1679" spans="1:28" x14ac:dyDescent="0.25">
      <c r="A1679" t="s">
        <v>1683</v>
      </c>
      <c r="B1679">
        <v>0.99352677808782597</v>
      </c>
      <c r="C1679">
        <v>0.95827831021992305</v>
      </c>
      <c r="D1679">
        <v>0.97605398178935598</v>
      </c>
      <c r="E1679">
        <v>0.70792000381012399</v>
      </c>
      <c r="F1679">
        <v>0.62164141710348098</v>
      </c>
      <c r="G1679">
        <v>0.38029908696908699</v>
      </c>
      <c r="H1679">
        <v>0.229998425386787</v>
      </c>
      <c r="I1679">
        <v>0.192690970400443</v>
      </c>
      <c r="J1679">
        <v>0.15469447402821199</v>
      </c>
      <c r="K1679">
        <v>0.102361615160902</v>
      </c>
      <c r="L1679">
        <v>724.24891479623898</v>
      </c>
      <c r="M1679">
        <v>13.423679971943701</v>
      </c>
      <c r="N1679">
        <v>54.656757679129299</v>
      </c>
      <c r="O1679">
        <v>52.797918407643699</v>
      </c>
      <c r="P1679">
        <v>-5.8526805647373899E-2</v>
      </c>
      <c r="Q1679">
        <v>7.9354602882459102E-2</v>
      </c>
      <c r="R1679">
        <v>0.993145664617887</v>
      </c>
      <c r="S1679" t="s">
        <v>7964</v>
      </c>
      <c r="T1679" t="s">
        <v>12568</v>
      </c>
      <c r="U1679" t="s">
        <v>12568</v>
      </c>
      <c r="V1679" t="s">
        <v>12568</v>
      </c>
      <c r="W1679" t="s">
        <v>14217</v>
      </c>
      <c r="X1679">
        <v>51</v>
      </c>
      <c r="Y1679" t="s">
        <v>20413</v>
      </c>
      <c r="Z1679" t="s">
        <v>26549</v>
      </c>
      <c r="AA1679">
        <v>0.52911147939101011</v>
      </c>
      <c r="AB1679" t="str">
        <f>HYPERLINK("Melting_Curves/meltCurve_P13667_PDIA4.pdf", "Melting_Curves/meltCurve_P13667_PDIA4.pdf")</f>
        <v>Melting_Curves/meltCurve_P13667_PDIA4.pdf</v>
      </c>
    </row>
    <row r="1680" spans="1:28" x14ac:dyDescent="0.25">
      <c r="A1680" t="s">
        <v>1684</v>
      </c>
      <c r="B1680">
        <v>0.99352677808782597</v>
      </c>
      <c r="C1680">
        <v>0.92711206575726102</v>
      </c>
      <c r="D1680">
        <v>0.70735940718715895</v>
      </c>
      <c r="E1680">
        <v>0.446535695410958</v>
      </c>
      <c r="F1680">
        <v>0.37855797372382599</v>
      </c>
      <c r="G1680">
        <v>0.223989939151751</v>
      </c>
      <c r="H1680">
        <v>0.124625435436341</v>
      </c>
      <c r="I1680">
        <v>8.2001971116839295E-2</v>
      </c>
      <c r="J1680">
        <v>7.2545894804828495E-2</v>
      </c>
      <c r="K1680">
        <v>5.1507703402827197E-2</v>
      </c>
      <c r="L1680">
        <v>621.58004878493296</v>
      </c>
      <c r="M1680">
        <v>12.5310541038435</v>
      </c>
      <c r="N1680">
        <v>49.930499240220399</v>
      </c>
      <c r="O1680">
        <v>48.390769334129303</v>
      </c>
      <c r="P1680">
        <v>-6.21987153588714E-2</v>
      </c>
      <c r="Q1680">
        <v>3.9432628304906299E-2</v>
      </c>
      <c r="R1680">
        <v>0.99162087207147898</v>
      </c>
      <c r="S1680" t="s">
        <v>7965</v>
      </c>
      <c r="T1680" t="s">
        <v>12568</v>
      </c>
      <c r="U1680" t="s">
        <v>12568</v>
      </c>
      <c r="V1680" t="s">
        <v>12568</v>
      </c>
      <c r="W1680" t="s">
        <v>14218</v>
      </c>
      <c r="X1680">
        <v>10</v>
      </c>
      <c r="Y1680" t="s">
        <v>20414</v>
      </c>
      <c r="Z1680" t="s">
        <v>26550</v>
      </c>
      <c r="AA1680">
        <v>0.37863402437824578</v>
      </c>
      <c r="AB1680" t="str">
        <f>HYPERLINK("Melting_Curves/meltCurve_P13674_2_P4HA1.pdf", "Melting_Curves/meltCurve_P13674_2_P4HA1.pdf")</f>
        <v>Melting_Curves/meltCurve_P13674_2_P4HA1.pdf</v>
      </c>
    </row>
    <row r="1681" spans="1:28" x14ac:dyDescent="0.25">
      <c r="A1681" t="s">
        <v>1685</v>
      </c>
      <c r="B1681">
        <v>0.99352677808782597</v>
      </c>
      <c r="C1681">
        <v>0.78385335350014496</v>
      </c>
      <c r="D1681">
        <v>1.1340689220903499</v>
      </c>
      <c r="E1681">
        <v>0.74462973723048198</v>
      </c>
      <c r="F1681">
        <v>0.67477922634680498</v>
      </c>
      <c r="G1681">
        <v>0.43617492597252899</v>
      </c>
      <c r="H1681">
        <v>0.34641559492766999</v>
      </c>
      <c r="I1681">
        <v>0.37888949311153702</v>
      </c>
      <c r="J1681">
        <v>0.42508801729505802</v>
      </c>
      <c r="K1681">
        <v>0.31303062128739501</v>
      </c>
      <c r="L1681">
        <v>1135.91785914668</v>
      </c>
      <c r="M1681">
        <v>21.747966859502899</v>
      </c>
      <c r="N1681">
        <v>55.393739991885603</v>
      </c>
      <c r="O1681">
        <v>51.7953940095544</v>
      </c>
      <c r="P1681">
        <v>-6.7649215035384902E-2</v>
      </c>
      <c r="Q1681">
        <v>0.355556152314632</v>
      </c>
      <c r="R1681">
        <v>0.88228879195290799</v>
      </c>
      <c r="S1681" t="s">
        <v>7966</v>
      </c>
      <c r="T1681" t="s">
        <v>12568</v>
      </c>
      <c r="U1681" t="s">
        <v>12568</v>
      </c>
      <c r="V1681" t="s">
        <v>12568</v>
      </c>
      <c r="W1681" t="s">
        <v>14219</v>
      </c>
      <c r="X1681">
        <v>12</v>
      </c>
      <c r="Y1681" t="s">
        <v>20415</v>
      </c>
      <c r="Z1681" t="s">
        <v>26551</v>
      </c>
      <c r="AA1681">
        <v>0.62595441850658284</v>
      </c>
      <c r="AB1681" t="str">
        <f>HYPERLINK("Melting_Curves/meltCurve_P13693_TPT1.pdf", "Melting_Curves/meltCurve_P13693_TPT1.pdf")</f>
        <v>Melting_Curves/meltCurve_P13693_TPT1.pdf</v>
      </c>
    </row>
    <row r="1682" spans="1:28" x14ac:dyDescent="0.25">
      <c r="A1682" t="s">
        <v>1686</v>
      </c>
      <c r="B1682">
        <v>0.99352677808782597</v>
      </c>
      <c r="C1682">
        <v>0.93742024269806601</v>
      </c>
      <c r="D1682">
        <v>0.96095597214856099</v>
      </c>
      <c r="E1682">
        <v>0.92493865234469097</v>
      </c>
      <c r="F1682">
        <v>0.84619015144022702</v>
      </c>
      <c r="G1682">
        <v>0.471385249090366</v>
      </c>
      <c r="H1682">
        <v>0.164813874239574</v>
      </c>
      <c r="I1682">
        <v>0.12681616374419899</v>
      </c>
      <c r="J1682">
        <v>0.109587397423832</v>
      </c>
      <c r="K1682">
        <v>8.2024520023437297E-2</v>
      </c>
      <c r="L1682">
        <v>1411.34939692235</v>
      </c>
      <c r="M1682">
        <v>25.102984236712899</v>
      </c>
      <c r="N1682">
        <v>56.608710932639298</v>
      </c>
      <c r="O1682">
        <v>55.869228283501698</v>
      </c>
      <c r="P1682">
        <v>-0.103487108944842</v>
      </c>
      <c r="Q1682">
        <v>7.8728110312230898E-2</v>
      </c>
      <c r="R1682">
        <v>0.99482084605082899</v>
      </c>
      <c r="S1682" t="s">
        <v>7967</v>
      </c>
      <c r="T1682" t="s">
        <v>12568</v>
      </c>
      <c r="U1682" t="s">
        <v>12568</v>
      </c>
      <c r="V1682" t="s">
        <v>12568</v>
      </c>
      <c r="W1682" t="s">
        <v>14220</v>
      </c>
      <c r="X1682">
        <v>48</v>
      </c>
      <c r="Y1682" t="s">
        <v>20416</v>
      </c>
      <c r="Z1682" t="s">
        <v>26552</v>
      </c>
      <c r="AA1682">
        <v>0.58527628532311193</v>
      </c>
      <c r="AB1682" t="str">
        <f>HYPERLINK("Melting_Curves/meltCurve_P13797_PLS3.pdf", "Melting_Curves/meltCurve_P13797_PLS3.pdf")</f>
        <v>Melting_Curves/meltCurve_P13797_PLS3.pdf</v>
      </c>
    </row>
    <row r="1683" spans="1:28" x14ac:dyDescent="0.25">
      <c r="A1683" t="s">
        <v>1687</v>
      </c>
      <c r="B1683">
        <v>0.99352677808782597</v>
      </c>
      <c r="C1683">
        <v>1.10355552870318</v>
      </c>
      <c r="D1683">
        <v>0.91658081159761595</v>
      </c>
      <c r="E1683">
        <v>0.87928561206018796</v>
      </c>
      <c r="F1683">
        <v>0.75114596330709404</v>
      </c>
      <c r="G1683">
        <v>0.69488576097435395</v>
      </c>
      <c r="H1683">
        <v>1.1519166329003001</v>
      </c>
      <c r="I1683">
        <v>0.90286883617382996</v>
      </c>
      <c r="J1683">
        <v>0.309616021695725</v>
      </c>
      <c r="K1683">
        <v>0.115108248042477</v>
      </c>
      <c r="L1683">
        <v>4930.2621545330103</v>
      </c>
      <c r="M1683">
        <v>74.821347634776004</v>
      </c>
      <c r="N1683">
        <v>66.103430679270005</v>
      </c>
      <c r="O1683">
        <v>65.846766383244301</v>
      </c>
      <c r="P1683">
        <v>-0.25407067846601</v>
      </c>
      <c r="Q1683">
        <v>0.10561733078921599</v>
      </c>
      <c r="R1683">
        <v>0.78959821963143795</v>
      </c>
      <c r="S1683" t="s">
        <v>7968</v>
      </c>
      <c r="T1683" t="s">
        <v>12568</v>
      </c>
      <c r="U1683" t="s">
        <v>12568</v>
      </c>
      <c r="V1683" t="s">
        <v>12568</v>
      </c>
      <c r="W1683" t="s">
        <v>14221</v>
      </c>
      <c r="X1683">
        <v>23</v>
      </c>
      <c r="Y1683" t="s">
        <v>20417</v>
      </c>
      <c r="Z1683" t="s">
        <v>26553</v>
      </c>
      <c r="AA1683">
        <v>0.8783634658767675</v>
      </c>
      <c r="AB1683" t="str">
        <f>HYPERLINK("Melting_Curves/meltCurve_P13798_APEH.pdf", "Melting_Curves/meltCurve_P13798_APEH.pdf")</f>
        <v>Melting_Curves/meltCurve_P13798_APEH.pdf</v>
      </c>
    </row>
    <row r="1684" spans="1:28" x14ac:dyDescent="0.25">
      <c r="A1684" t="s">
        <v>1688</v>
      </c>
      <c r="B1684">
        <v>0.99352677808782597</v>
      </c>
      <c r="C1684">
        <v>0.76329643236504197</v>
      </c>
      <c r="D1684">
        <v>0.50022251760935998</v>
      </c>
      <c r="E1684">
        <v>0.26724270746672002</v>
      </c>
      <c r="F1684">
        <v>0.22551303680189799</v>
      </c>
      <c r="G1684">
        <v>0.14245528284918699</v>
      </c>
      <c r="H1684">
        <v>8.1886925095989702E-2</v>
      </c>
      <c r="I1684">
        <v>6.9772557999343301E-2</v>
      </c>
      <c r="J1684">
        <v>5.3129692561525402E-2</v>
      </c>
      <c r="K1684">
        <v>4.4165178812127497E-2</v>
      </c>
      <c r="L1684">
        <v>720.03759575984702</v>
      </c>
      <c r="M1684">
        <v>15.6427018771949</v>
      </c>
      <c r="N1684">
        <v>46.452448355134898</v>
      </c>
      <c r="O1684">
        <v>45.297680336866598</v>
      </c>
      <c r="P1684">
        <v>-8.0618970193398296E-2</v>
      </c>
      <c r="Q1684">
        <v>6.6263738001982805E-2</v>
      </c>
      <c r="R1684">
        <v>0.98788474839827201</v>
      </c>
      <c r="S1684" t="s">
        <v>7969</v>
      </c>
      <c r="T1684" t="s">
        <v>12568</v>
      </c>
      <c r="U1684" t="s">
        <v>12568</v>
      </c>
      <c r="V1684" t="s">
        <v>12568</v>
      </c>
      <c r="W1684" t="s">
        <v>14222</v>
      </c>
      <c r="X1684">
        <v>15</v>
      </c>
      <c r="Y1684" t="s">
        <v>20418</v>
      </c>
      <c r="Z1684" t="s">
        <v>26554</v>
      </c>
      <c r="AA1684">
        <v>0.27883793566070969</v>
      </c>
      <c r="AB1684" t="str">
        <f>HYPERLINK("Melting_Curves/meltCurve_P13804_ETFA.pdf", "Melting_Curves/meltCurve_P13804_ETFA.pdf")</f>
        <v>Melting_Curves/meltCurve_P13804_ETFA.pdf</v>
      </c>
    </row>
    <row r="1685" spans="1:28" x14ac:dyDescent="0.25">
      <c r="A1685" t="s">
        <v>1689</v>
      </c>
      <c r="B1685">
        <v>0.99352677808782597</v>
      </c>
      <c r="C1685">
        <v>0.95659847566199097</v>
      </c>
      <c r="D1685">
        <v>0.74970549164290201</v>
      </c>
      <c r="E1685">
        <v>0.70495348222397802</v>
      </c>
      <c r="F1685">
        <v>0.51842654485250805</v>
      </c>
      <c r="G1685">
        <v>0.27803413842692798</v>
      </c>
      <c r="H1685">
        <v>0.123400086120546</v>
      </c>
      <c r="I1685">
        <v>0.100143512633614</v>
      </c>
      <c r="J1685">
        <v>7.0288325223563E-2</v>
      </c>
      <c r="K1685">
        <v>5.6776280490186501E-2</v>
      </c>
      <c r="L1685">
        <v>630.74010492926595</v>
      </c>
      <c r="M1685">
        <v>11.968046483693399</v>
      </c>
      <c r="N1685">
        <v>52.702020404114599</v>
      </c>
      <c r="O1685">
        <v>51.295263481212999</v>
      </c>
      <c r="P1685">
        <v>-5.8343404058107499E-2</v>
      </c>
      <c r="Q1685">
        <v>0</v>
      </c>
      <c r="R1685">
        <v>0.98712604687810301</v>
      </c>
      <c r="S1685" t="s">
        <v>7970</v>
      </c>
      <c r="T1685" t="s">
        <v>12568</v>
      </c>
      <c r="U1685" t="s">
        <v>12568</v>
      </c>
      <c r="V1685" t="s">
        <v>12568</v>
      </c>
      <c r="W1685" t="s">
        <v>14223</v>
      </c>
      <c r="X1685">
        <v>5</v>
      </c>
      <c r="Y1685" t="s">
        <v>20419</v>
      </c>
      <c r="Z1685" t="s">
        <v>26555</v>
      </c>
      <c r="AA1685">
        <v>0.45261630176832218</v>
      </c>
      <c r="AB1685" t="str">
        <f>HYPERLINK("Melting_Curves/meltCurve_P13807_2_GYS1.pdf", "Melting_Curves/meltCurve_P13807_2_GYS1.pdf")</f>
        <v>Melting_Curves/meltCurve_P13807_2_GYS1.pdf</v>
      </c>
    </row>
    <row r="1686" spans="1:28" x14ac:dyDescent="0.25">
      <c r="A1686" t="s">
        <v>1690</v>
      </c>
      <c r="B1686">
        <v>0.99352677808782597</v>
      </c>
      <c r="C1686">
        <v>0.948158542339266</v>
      </c>
      <c r="D1686">
        <v>0.692751556303424</v>
      </c>
      <c r="E1686">
        <v>0.39977087218914997</v>
      </c>
      <c r="F1686">
        <v>0.314679207059539</v>
      </c>
      <c r="G1686">
        <v>0.187652514518066</v>
      </c>
      <c r="H1686">
        <v>0.10094861023837499</v>
      </c>
      <c r="I1686">
        <v>9.2154392005626196E-2</v>
      </c>
      <c r="J1686">
        <v>8.0796527814320701E-2</v>
      </c>
      <c r="K1686">
        <v>6.3737994756425401E-2</v>
      </c>
      <c r="L1686">
        <v>751.14364040867599</v>
      </c>
      <c r="M1686">
        <v>15.466048796011099</v>
      </c>
      <c r="N1686">
        <v>49.069381617882897</v>
      </c>
      <c r="O1686">
        <v>47.777028744776104</v>
      </c>
      <c r="P1686">
        <v>-7.5012102863827396E-2</v>
      </c>
      <c r="Q1686">
        <v>7.3186869352366998E-2</v>
      </c>
      <c r="R1686">
        <v>0.99239936105294801</v>
      </c>
      <c r="S1686" t="s">
        <v>7971</v>
      </c>
      <c r="T1686" t="s">
        <v>12568</v>
      </c>
      <c r="U1686" t="s">
        <v>12568</v>
      </c>
      <c r="V1686" t="s">
        <v>12568</v>
      </c>
      <c r="W1686" t="s">
        <v>14224</v>
      </c>
      <c r="X1686">
        <v>16</v>
      </c>
      <c r="Y1686" t="s">
        <v>20420</v>
      </c>
      <c r="Z1686" t="s">
        <v>26556</v>
      </c>
      <c r="AA1686">
        <v>0.35978704635597297</v>
      </c>
      <c r="AB1686" t="str">
        <f>HYPERLINK("Melting_Curves/meltCurve_P13861_PRKAR2A.pdf", "Melting_Curves/meltCurve_P13861_PRKAR2A.pdf")</f>
        <v>Melting_Curves/meltCurve_P13861_PRKAR2A.pdf</v>
      </c>
    </row>
    <row r="1687" spans="1:28" x14ac:dyDescent="0.25">
      <c r="A1687" t="s">
        <v>1691</v>
      </c>
      <c r="B1687">
        <v>0.99352677808782597</v>
      </c>
      <c r="C1687">
        <v>0.76987170389151505</v>
      </c>
      <c r="D1687">
        <v>1.0681570632128401</v>
      </c>
      <c r="E1687">
        <v>0.23356508925328801</v>
      </c>
      <c r="F1687">
        <v>0.184064997566286</v>
      </c>
      <c r="G1687">
        <v>0.10027229101268401</v>
      </c>
      <c r="H1687">
        <v>8.8839963185811499E-2</v>
      </c>
      <c r="I1687">
        <v>0.10269335299913999</v>
      </c>
      <c r="J1687">
        <v>6.5097951125747802E-2</v>
      </c>
      <c r="K1687">
        <v>5.1887919059870898E-2</v>
      </c>
      <c r="L1687">
        <v>6063.0197375622702</v>
      </c>
      <c r="M1687">
        <v>122.996484057801</v>
      </c>
      <c r="N1687">
        <v>49.382614375939902</v>
      </c>
      <c r="O1687">
        <v>49.281221091461198</v>
      </c>
      <c r="P1687">
        <v>-0.56233552341638704</v>
      </c>
      <c r="Q1687">
        <v>9.8752043472317905E-2</v>
      </c>
      <c r="R1687">
        <v>0.95462450857148295</v>
      </c>
      <c r="S1687" t="s">
        <v>7972</v>
      </c>
      <c r="T1687" t="s">
        <v>12568</v>
      </c>
      <c r="U1687" t="s">
        <v>12568</v>
      </c>
      <c r="V1687" t="s">
        <v>12568</v>
      </c>
      <c r="W1687" t="s">
        <v>14225</v>
      </c>
      <c r="X1687">
        <v>16</v>
      </c>
      <c r="Y1687" t="s">
        <v>20421</v>
      </c>
      <c r="Z1687" t="s">
        <v>26557</v>
      </c>
      <c r="AA1687">
        <v>0.37828858156283929</v>
      </c>
      <c r="AB1687" t="str">
        <f>HYPERLINK("Melting_Curves/meltCurve_P13928_ANXA8.pdf", "Melting_Curves/meltCurve_P13928_ANXA8.pdf")</f>
        <v>Melting_Curves/meltCurve_P13928_ANXA8.pdf</v>
      </c>
    </row>
    <row r="1688" spans="1:28" x14ac:dyDescent="0.25">
      <c r="A1688" t="s">
        <v>1692</v>
      </c>
      <c r="B1688">
        <v>0.99352677808782597</v>
      </c>
      <c r="C1688">
        <v>0.99958955664039995</v>
      </c>
      <c r="D1688">
        <v>0.96782166894396504</v>
      </c>
      <c r="E1688">
        <v>0.82886932854241402</v>
      </c>
      <c r="F1688">
        <v>0.75763543999701599</v>
      </c>
      <c r="G1688">
        <v>0.47711822754282002</v>
      </c>
      <c r="H1688">
        <v>0.170399211642034</v>
      </c>
      <c r="I1688">
        <v>0.12800594744857899</v>
      </c>
      <c r="J1688">
        <v>9.9457420489461199E-2</v>
      </c>
      <c r="K1688">
        <v>9.2072493529476093E-2</v>
      </c>
      <c r="L1688">
        <v>955.09738369417505</v>
      </c>
      <c r="M1688">
        <v>17.082698996091899</v>
      </c>
      <c r="N1688">
        <v>56.170843343464099</v>
      </c>
      <c r="O1688">
        <v>55.160904580030497</v>
      </c>
      <c r="P1688">
        <v>-7.4476776277484003E-2</v>
      </c>
      <c r="Q1688">
        <v>3.8101091675322399E-2</v>
      </c>
      <c r="R1688">
        <v>0.99352849512235697</v>
      </c>
      <c r="S1688" t="s">
        <v>7973</v>
      </c>
      <c r="T1688" t="s">
        <v>12568</v>
      </c>
      <c r="U1688" t="s">
        <v>12568</v>
      </c>
      <c r="V1688" t="s">
        <v>12568</v>
      </c>
      <c r="W1688" t="s">
        <v>14226</v>
      </c>
      <c r="X1688">
        <v>15</v>
      </c>
      <c r="Y1688" t="s">
        <v>20422</v>
      </c>
      <c r="Z1688" t="s">
        <v>26558</v>
      </c>
      <c r="AA1688">
        <v>0.5633664160051024</v>
      </c>
      <c r="AB1688" t="str">
        <f>HYPERLINK("Melting_Curves/meltCurve_P13929_ENO3.pdf", "Melting_Curves/meltCurve_P13929_ENO3.pdf")</f>
        <v>Melting_Curves/meltCurve_P13929_ENO3.pdf</v>
      </c>
    </row>
    <row r="1689" spans="1:28" x14ac:dyDescent="0.25">
      <c r="A1689" t="s">
        <v>1693</v>
      </c>
      <c r="B1689">
        <v>0.99352677808782597</v>
      </c>
      <c r="C1689">
        <v>0.98205812399477399</v>
      </c>
      <c r="D1689">
        <v>1.02747231311065</v>
      </c>
      <c r="E1689">
        <v>0.88080284757496596</v>
      </c>
      <c r="F1689">
        <v>0.73168188536724899</v>
      </c>
      <c r="G1689">
        <v>0.413979836188129</v>
      </c>
      <c r="H1689">
        <v>0.28273501016380898</v>
      </c>
      <c r="I1689">
        <v>0.242506502162955</v>
      </c>
      <c r="J1689">
        <v>0.26949237283845801</v>
      </c>
      <c r="K1689">
        <v>0.21234131471652001</v>
      </c>
      <c r="L1689">
        <v>1253.1125134710401</v>
      </c>
      <c r="M1689">
        <v>23.093295572497698</v>
      </c>
      <c r="N1689">
        <v>55.7357523410572</v>
      </c>
      <c r="O1689">
        <v>53.861060160539303</v>
      </c>
      <c r="P1689">
        <v>-8.2711108312501502E-2</v>
      </c>
      <c r="Q1689">
        <v>0.228377599950712</v>
      </c>
      <c r="R1689">
        <v>0.99620580064853603</v>
      </c>
      <c r="S1689" t="s">
        <v>7974</v>
      </c>
      <c r="T1689" t="s">
        <v>12568</v>
      </c>
      <c r="U1689" t="s">
        <v>12568</v>
      </c>
      <c r="V1689" t="s">
        <v>12568</v>
      </c>
      <c r="W1689" t="s">
        <v>14227</v>
      </c>
      <c r="X1689">
        <v>13</v>
      </c>
      <c r="Y1689" t="s">
        <v>20423</v>
      </c>
      <c r="Z1689" t="s">
        <v>26559</v>
      </c>
      <c r="AA1689">
        <v>0.60345544251648475</v>
      </c>
      <c r="AB1689" t="str">
        <f>HYPERLINK("Melting_Curves/meltCurve_P13984_GTF2F2.pdf", "Melting_Curves/meltCurve_P13984_GTF2F2.pdf")</f>
        <v>Melting_Curves/meltCurve_P13984_GTF2F2.pdf</v>
      </c>
    </row>
    <row r="1690" spans="1:28" x14ac:dyDescent="0.25">
      <c r="A1690" t="s">
        <v>1694</v>
      </c>
      <c r="B1690">
        <v>0.99352677808782597</v>
      </c>
      <c r="C1690">
        <v>0.78976463530213303</v>
      </c>
      <c r="D1690">
        <v>0.59781122560416999</v>
      </c>
      <c r="E1690">
        <v>0.19896074394361801</v>
      </c>
      <c r="F1690">
        <v>0.146975746948625</v>
      </c>
      <c r="G1690">
        <v>8.8684444987004493E-2</v>
      </c>
      <c r="H1690">
        <v>5.0838754052206503E-2</v>
      </c>
      <c r="I1690">
        <v>5.4485489479973899E-2</v>
      </c>
      <c r="J1690">
        <v>3.8701222055983101E-2</v>
      </c>
      <c r="K1690">
        <v>3.1314827929308002E-2</v>
      </c>
      <c r="L1690">
        <v>879.78000074769898</v>
      </c>
      <c r="M1690">
        <v>18.9551581245797</v>
      </c>
      <c r="N1690">
        <v>46.634553136250503</v>
      </c>
      <c r="O1690">
        <v>45.906423722398699</v>
      </c>
      <c r="P1690">
        <v>-9.8800731017945301E-2</v>
      </c>
      <c r="Q1690">
        <v>4.2918953142765698E-2</v>
      </c>
      <c r="R1690">
        <v>0.99381249096364699</v>
      </c>
      <c r="S1690" t="s">
        <v>7975</v>
      </c>
      <c r="T1690" t="s">
        <v>12568</v>
      </c>
      <c r="U1690" t="s">
        <v>12568</v>
      </c>
      <c r="V1690" t="s">
        <v>12568</v>
      </c>
      <c r="W1690" t="s">
        <v>14228</v>
      </c>
      <c r="X1690">
        <v>6</v>
      </c>
      <c r="Y1690" t="s">
        <v>20424</v>
      </c>
      <c r="Z1690" t="s">
        <v>26560</v>
      </c>
      <c r="AA1690">
        <v>0.26379763806070827</v>
      </c>
      <c r="AB1690" t="str">
        <f>HYPERLINK("Melting_Curves/meltCurve_P13995_MTHFD2.pdf", "Melting_Curves/meltCurve_P13995_MTHFD2.pdf")</f>
        <v>Melting_Curves/meltCurve_P13995_MTHFD2.pdf</v>
      </c>
    </row>
    <row r="1691" spans="1:28" x14ac:dyDescent="0.25">
      <c r="A1691" t="s">
        <v>1695</v>
      </c>
      <c r="B1691">
        <v>0.99352677808782597</v>
      </c>
      <c r="C1691">
        <v>1.0118105365516701</v>
      </c>
      <c r="D1691">
        <v>0.97516892013856404</v>
      </c>
      <c r="E1691">
        <v>0.92843811554991695</v>
      </c>
      <c r="F1691">
        <v>0.78009853383660199</v>
      </c>
      <c r="G1691">
        <v>0.77951962596290203</v>
      </c>
      <c r="H1691">
        <v>0.71504305183903405</v>
      </c>
      <c r="I1691">
        <v>0.76516625320784104</v>
      </c>
      <c r="J1691">
        <v>0.72761618186835297</v>
      </c>
      <c r="K1691">
        <v>0.54320189206473901</v>
      </c>
      <c r="L1691">
        <v>406.90298313780897</v>
      </c>
      <c r="M1691">
        <v>6.6213158649600796</v>
      </c>
      <c r="O1691">
        <v>56.573317363088599</v>
      </c>
      <c r="P1691">
        <v>-1.5871382244713701E-2</v>
      </c>
      <c r="Q1691">
        <v>0.45880115790419901</v>
      </c>
      <c r="R1691">
        <v>0.86705674410162503</v>
      </c>
      <c r="S1691" t="s">
        <v>7976</v>
      </c>
      <c r="T1691" t="s">
        <v>12568</v>
      </c>
      <c r="U1691" t="s">
        <v>12568</v>
      </c>
      <c r="V1691" t="s">
        <v>12568</v>
      </c>
      <c r="W1691" t="s">
        <v>14229</v>
      </c>
      <c r="X1691">
        <v>7</v>
      </c>
      <c r="Y1691" t="s">
        <v>20425</v>
      </c>
      <c r="Z1691" t="s">
        <v>26561</v>
      </c>
      <c r="AA1691">
        <v>0.82130054379233064</v>
      </c>
      <c r="AB1691" t="str">
        <f>HYPERLINK("Melting_Curves/meltCurve_P14174_MIF.pdf", "Melting_Curves/meltCurve_P14174_MIF.pdf")</f>
        <v>Melting_Curves/meltCurve_P14174_MIF.pdf</v>
      </c>
    </row>
    <row r="1692" spans="1:28" x14ac:dyDescent="0.25">
      <c r="A1692" t="s">
        <v>1696</v>
      </c>
      <c r="B1692">
        <v>0.99352677808782597</v>
      </c>
      <c r="C1692">
        <v>1.00611881301003</v>
      </c>
      <c r="D1692">
        <v>0.84957583291718397</v>
      </c>
      <c r="E1692">
        <v>0.87577517205265099</v>
      </c>
      <c r="F1692">
        <v>1.1292163952849299</v>
      </c>
      <c r="G1692">
        <v>1.18206319619904</v>
      </c>
      <c r="H1692">
        <v>1.03361473225978</v>
      </c>
      <c r="I1692">
        <v>1.0781150104049899</v>
      </c>
      <c r="J1692">
        <v>1.17765427771008</v>
      </c>
      <c r="K1692">
        <v>1.1811951686387501</v>
      </c>
      <c r="L1692">
        <v>13020.1937663106</v>
      </c>
      <c r="M1692">
        <v>250</v>
      </c>
      <c r="O1692">
        <v>52.077431164319698</v>
      </c>
      <c r="P1692">
        <v>0.156725345354641</v>
      </c>
      <c r="Q1692">
        <v>1.1305896818661401</v>
      </c>
      <c r="R1692">
        <v>0.56896460267718996</v>
      </c>
      <c r="S1692" t="s">
        <v>7977</v>
      </c>
      <c r="T1692" t="s">
        <v>12568</v>
      </c>
      <c r="U1692" t="s">
        <v>12568</v>
      </c>
      <c r="V1692" t="s">
        <v>12568</v>
      </c>
      <c r="W1692" t="s">
        <v>14230</v>
      </c>
      <c r="X1692">
        <v>1</v>
      </c>
      <c r="Y1692" t="s">
        <v>20426</v>
      </c>
      <c r="Z1692" t="s">
        <v>26562</v>
      </c>
      <c r="AA1692">
        <v>1.077990260096318</v>
      </c>
      <c r="AB1692" t="str">
        <f>HYPERLINK("Melting_Curves/meltCurve_P14209_3_CD99.pdf", "Melting_Curves/meltCurve_P14209_3_CD99.pdf")</f>
        <v>Melting_Curves/meltCurve_P14209_3_CD99.pdf</v>
      </c>
    </row>
    <row r="1693" spans="1:28" x14ac:dyDescent="0.25">
      <c r="A1693" t="s">
        <v>1697</v>
      </c>
      <c r="B1693">
        <v>0.99352677808782597</v>
      </c>
      <c r="C1693">
        <v>1.04628999130519</v>
      </c>
      <c r="D1693">
        <v>0.93950300622112903</v>
      </c>
      <c r="E1693">
        <v>1.13261378957128</v>
      </c>
      <c r="F1693">
        <v>1.0724375683331699</v>
      </c>
      <c r="G1693">
        <v>0.83405352549327205</v>
      </c>
      <c r="H1693">
        <v>0.90357630865893901</v>
      </c>
      <c r="I1693">
        <v>0.937476212546973</v>
      </c>
      <c r="J1693">
        <v>1.20055516401846</v>
      </c>
      <c r="K1693">
        <v>0.86861063656588899</v>
      </c>
      <c r="S1693" t="s">
        <v>7978</v>
      </c>
      <c r="T1693" t="s">
        <v>12568</v>
      </c>
      <c r="U1693" t="s">
        <v>12569</v>
      </c>
      <c r="V1693" t="s">
        <v>12568</v>
      </c>
      <c r="W1693" t="s">
        <v>14231</v>
      </c>
      <c r="X1693">
        <v>19</v>
      </c>
      <c r="Y1693" t="s">
        <v>20427</v>
      </c>
      <c r="Z1693" t="s">
        <v>26563</v>
      </c>
      <c r="AB1693" t="str">
        <f>HYPERLINK("Melting_Curves/meltCurve_P14314_2_PRKCSH.pdf", "Melting_Curves/meltCurve_P14314_2_PRKCSH.pdf")</f>
        <v>Melting_Curves/meltCurve_P14314_2_PRKCSH.pdf</v>
      </c>
    </row>
    <row r="1694" spans="1:28" x14ac:dyDescent="0.25">
      <c r="A1694" t="s">
        <v>1698</v>
      </c>
      <c r="B1694">
        <v>0.99352677808782597</v>
      </c>
      <c r="C1694">
        <v>0.98109158087814197</v>
      </c>
      <c r="D1694">
        <v>0.66766019729166604</v>
      </c>
      <c r="E1694">
        <v>0.215232221272181</v>
      </c>
      <c r="F1694">
        <v>0.16318250738700699</v>
      </c>
      <c r="G1694">
        <v>9.3557177030002395E-2</v>
      </c>
      <c r="H1694">
        <v>7.1001664754986399E-2</v>
      </c>
      <c r="I1694">
        <v>7.5310474910532901E-2</v>
      </c>
      <c r="J1694">
        <v>5.6107623070758603E-2</v>
      </c>
      <c r="K1694">
        <v>4.15671633696022E-2</v>
      </c>
      <c r="L1694">
        <v>1302.77880453744</v>
      </c>
      <c r="M1694">
        <v>27.675196296271601</v>
      </c>
      <c r="N1694">
        <v>47.343238342747597</v>
      </c>
      <c r="O1694">
        <v>46.830152871570299</v>
      </c>
      <c r="P1694">
        <v>-0.136981500999902</v>
      </c>
      <c r="Q1694">
        <v>7.2843860785915204E-2</v>
      </c>
      <c r="R1694">
        <v>0.99569752349646801</v>
      </c>
      <c r="S1694" t="s">
        <v>7979</v>
      </c>
      <c r="T1694" t="s">
        <v>12568</v>
      </c>
      <c r="U1694" t="s">
        <v>12568</v>
      </c>
      <c r="V1694" t="s">
        <v>12568</v>
      </c>
      <c r="W1694" t="s">
        <v>14232</v>
      </c>
      <c r="X1694">
        <v>11</v>
      </c>
      <c r="Y1694" t="s">
        <v>20428</v>
      </c>
      <c r="Z1694" t="s">
        <v>26564</v>
      </c>
      <c r="AA1694">
        <v>0.29808220291175441</v>
      </c>
      <c r="AB1694" t="str">
        <f>HYPERLINK("Melting_Curves/meltCurve_P14324_2_FDPS.pdf", "Melting_Curves/meltCurve_P14324_2_FDPS.pdf")</f>
        <v>Melting_Curves/meltCurve_P14324_2_FDPS.pdf</v>
      </c>
    </row>
    <row r="1695" spans="1:28" x14ac:dyDescent="0.25">
      <c r="A1695" t="s">
        <v>1699</v>
      </c>
      <c r="B1695">
        <v>0.99352677808782597</v>
      </c>
      <c r="C1695">
        <v>0.95634675897312105</v>
      </c>
      <c r="D1695">
        <v>0.99232153954851998</v>
      </c>
      <c r="E1695">
        <v>0.34734488810792902</v>
      </c>
      <c r="F1695">
        <v>0.27021844011274099</v>
      </c>
      <c r="G1695">
        <v>0.13784199011414799</v>
      </c>
      <c r="H1695">
        <v>9.8127720141287497E-2</v>
      </c>
      <c r="I1695">
        <v>9.1966547445976196E-2</v>
      </c>
      <c r="J1695">
        <v>7.3974456875600794E-2</v>
      </c>
      <c r="K1695">
        <v>5.7483876641149997E-2</v>
      </c>
      <c r="L1695">
        <v>1856.49752166237</v>
      </c>
      <c r="M1695">
        <v>37.876497511459696</v>
      </c>
      <c r="N1695">
        <v>49.3280800057628</v>
      </c>
      <c r="O1695">
        <v>48.878468878696999</v>
      </c>
      <c r="P1695">
        <v>-0.172999679743704</v>
      </c>
      <c r="Q1695">
        <v>0.106998984041903</v>
      </c>
      <c r="R1695">
        <v>0.983333804465231</v>
      </c>
      <c r="S1695" t="s">
        <v>7980</v>
      </c>
      <c r="T1695" t="s">
        <v>12568</v>
      </c>
      <c r="U1695" t="s">
        <v>12568</v>
      </c>
      <c r="V1695" t="s">
        <v>12568</v>
      </c>
      <c r="W1695" t="s">
        <v>14233</v>
      </c>
      <c r="X1695">
        <v>21</v>
      </c>
      <c r="Y1695" t="s">
        <v>20429</v>
      </c>
      <c r="Z1695" t="s">
        <v>26565</v>
      </c>
      <c r="AA1695">
        <v>0.3787133967246718</v>
      </c>
      <c r="AB1695" t="str">
        <f>HYPERLINK("Melting_Curves/meltCurve_P14550_AKR1A1.pdf", "Melting_Curves/meltCurve_P14550_AKR1A1.pdf")</f>
        <v>Melting_Curves/meltCurve_P14550_AKR1A1.pdf</v>
      </c>
    </row>
    <row r="1696" spans="1:28" x14ac:dyDescent="0.25">
      <c r="A1696" t="s">
        <v>1700</v>
      </c>
      <c r="B1696">
        <v>0.99352677808782597</v>
      </c>
      <c r="C1696">
        <v>1.01412213457199</v>
      </c>
      <c r="D1696">
        <v>0.80873739510721698</v>
      </c>
      <c r="E1696">
        <v>0.75448608654703297</v>
      </c>
      <c r="F1696">
        <v>0.66611937303455904</v>
      </c>
      <c r="G1696">
        <v>0.41048096166819698</v>
      </c>
      <c r="H1696">
        <v>0.10088679583108601</v>
      </c>
      <c r="I1696">
        <v>8.6365740705400901E-2</v>
      </c>
      <c r="J1696">
        <v>6.4980611556042706E-2</v>
      </c>
      <c r="K1696">
        <v>4.99826504017244E-2</v>
      </c>
      <c r="L1696">
        <v>763.049867349637</v>
      </c>
      <c r="M1696">
        <v>13.9800308358701</v>
      </c>
      <c r="N1696">
        <v>54.581415226595396</v>
      </c>
      <c r="O1696">
        <v>53.500971538434598</v>
      </c>
      <c r="P1696">
        <v>-6.5334728514908305E-2</v>
      </c>
      <c r="Q1696">
        <v>0</v>
      </c>
      <c r="R1696">
        <v>0.97736238246646601</v>
      </c>
      <c r="S1696" t="s">
        <v>7981</v>
      </c>
      <c r="T1696" t="s">
        <v>12568</v>
      </c>
      <c r="U1696" t="s">
        <v>12568</v>
      </c>
      <c r="V1696" t="s">
        <v>12568</v>
      </c>
      <c r="W1696" t="s">
        <v>14234</v>
      </c>
      <c r="X1696">
        <v>57</v>
      </c>
      <c r="Y1696" t="s">
        <v>20430</v>
      </c>
      <c r="Z1696" t="s">
        <v>26566</v>
      </c>
      <c r="AA1696">
        <v>0.50745631871067809</v>
      </c>
      <c r="AB1696" t="str">
        <f>HYPERLINK("Melting_Curves/meltCurve_P14618_PKM.pdf", "Melting_Curves/meltCurve_P14618_PKM.pdf")</f>
        <v>Melting_Curves/meltCurve_P14618_PKM.pdf</v>
      </c>
    </row>
    <row r="1697" spans="1:28" x14ac:dyDescent="0.25">
      <c r="A1697" t="s">
        <v>1701</v>
      </c>
      <c r="B1697">
        <v>0.99352677808782597</v>
      </c>
      <c r="C1697">
        <v>1.2476119667178101</v>
      </c>
      <c r="D1697">
        <v>0.37818928990879602</v>
      </c>
      <c r="E1697">
        <v>0.844972598370339</v>
      </c>
      <c r="F1697">
        <v>0.72036912175939005</v>
      </c>
      <c r="G1697">
        <v>0.66363210005195505</v>
      </c>
      <c r="H1697">
        <v>0.157993672230992</v>
      </c>
      <c r="I1697">
        <v>0.10250005208250999</v>
      </c>
      <c r="J1697">
        <v>4.1031554527697897E-2</v>
      </c>
      <c r="K1697">
        <v>3.2461173521821998E-2</v>
      </c>
      <c r="L1697">
        <v>680.61577909438699</v>
      </c>
      <c r="M1697">
        <v>12.164907176202499</v>
      </c>
      <c r="N1697">
        <v>55.949116700203099</v>
      </c>
      <c r="O1697">
        <v>54.501599222488203</v>
      </c>
      <c r="P1697">
        <v>-5.58134468021017E-2</v>
      </c>
      <c r="Q1697">
        <v>0</v>
      </c>
      <c r="R1697">
        <v>0.73132013822068698</v>
      </c>
      <c r="S1697" t="s">
        <v>7982</v>
      </c>
      <c r="T1697" t="s">
        <v>12568</v>
      </c>
      <c r="U1697" t="s">
        <v>12568</v>
      </c>
      <c r="V1697" t="s">
        <v>12568</v>
      </c>
      <c r="W1697" t="s">
        <v>14235</v>
      </c>
      <c r="X1697">
        <v>56</v>
      </c>
      <c r="Y1697" t="s">
        <v>20430</v>
      </c>
      <c r="Z1697" t="s">
        <v>26567</v>
      </c>
      <c r="AA1697">
        <v>0.55207092243684586</v>
      </c>
      <c r="AB1697" t="str">
        <f>HYPERLINK("Melting_Curves/meltCurve_P14618_2_PKM.pdf", "Melting_Curves/meltCurve_P14618_2_PKM.pdf")</f>
        <v>Melting_Curves/meltCurve_P14618_2_PKM.pdf</v>
      </c>
    </row>
    <row r="1698" spans="1:28" x14ac:dyDescent="0.25">
      <c r="A1698" t="s">
        <v>1702</v>
      </c>
      <c r="B1698">
        <v>0.99352677808782597</v>
      </c>
      <c r="C1698">
        <v>0.99613135114306295</v>
      </c>
      <c r="D1698">
        <v>1.09814633545063</v>
      </c>
      <c r="E1698">
        <v>0.92581268830605301</v>
      </c>
      <c r="F1698">
        <v>0.88854373088509997</v>
      </c>
      <c r="G1698">
        <v>0.69666528579632003</v>
      </c>
      <c r="H1698">
        <v>0.44217342986890101</v>
      </c>
      <c r="I1698">
        <v>0.37379181962376201</v>
      </c>
      <c r="J1698">
        <v>0.31849233636997598</v>
      </c>
      <c r="K1698">
        <v>0.29639434195256598</v>
      </c>
      <c r="L1698">
        <v>1134.10712417532</v>
      </c>
      <c r="M1698">
        <v>19.655603823041002</v>
      </c>
      <c r="N1698">
        <v>60.124764895867997</v>
      </c>
      <c r="O1698">
        <v>57.111643304072302</v>
      </c>
      <c r="P1698">
        <v>-6.2487372703798401E-2</v>
      </c>
      <c r="Q1698">
        <v>0.27376800900517601</v>
      </c>
      <c r="R1698">
        <v>0.985583903428362</v>
      </c>
      <c r="S1698" t="s">
        <v>7983</v>
      </c>
      <c r="T1698" t="s">
        <v>12568</v>
      </c>
      <c r="U1698" t="s">
        <v>12568</v>
      </c>
      <c r="V1698" t="s">
        <v>12568</v>
      </c>
      <c r="W1698" t="s">
        <v>14236</v>
      </c>
      <c r="X1698">
        <v>4</v>
      </c>
      <c r="Y1698" t="s">
        <v>20431</v>
      </c>
      <c r="Z1698" t="s">
        <v>26568</v>
      </c>
      <c r="AA1698">
        <v>0.71082026432687284</v>
      </c>
      <c r="AB1698" t="str">
        <f>HYPERLINK("Melting_Curves/meltCurve_P14621_ACYP2.pdf", "Melting_Curves/meltCurve_P14621_ACYP2.pdf")</f>
        <v>Melting_Curves/meltCurve_P14621_ACYP2.pdf</v>
      </c>
    </row>
    <row r="1699" spans="1:28" x14ac:dyDescent="0.25">
      <c r="A1699" t="s">
        <v>1703</v>
      </c>
      <c r="B1699">
        <v>0.99352677808782597</v>
      </c>
      <c r="C1699">
        <v>0.92292523593599496</v>
      </c>
      <c r="D1699">
        <v>1.03329683750415</v>
      </c>
      <c r="E1699">
        <v>0.694179291431265</v>
      </c>
      <c r="F1699">
        <v>0.57666048161152605</v>
      </c>
      <c r="G1699">
        <v>0.34534474763816098</v>
      </c>
      <c r="H1699">
        <v>0.22667482225265401</v>
      </c>
      <c r="I1699">
        <v>0.18527163795782101</v>
      </c>
      <c r="J1699">
        <v>0.201434492718958</v>
      </c>
      <c r="K1699">
        <v>0.145016735801799</v>
      </c>
      <c r="L1699">
        <v>891.99721476860202</v>
      </c>
      <c r="M1699">
        <v>16.9356557853087</v>
      </c>
      <c r="N1699">
        <v>53.837438793602999</v>
      </c>
      <c r="O1699">
        <v>51.951869007254402</v>
      </c>
      <c r="P1699">
        <v>-6.8975066467260093E-2</v>
      </c>
      <c r="Q1699">
        <v>0.15370069766408601</v>
      </c>
      <c r="R1699">
        <v>0.983355907768099</v>
      </c>
      <c r="S1699" t="s">
        <v>7984</v>
      </c>
      <c r="T1699" t="s">
        <v>12568</v>
      </c>
      <c r="U1699" t="s">
        <v>12568</v>
      </c>
      <c r="V1699" t="s">
        <v>12568</v>
      </c>
      <c r="W1699" t="s">
        <v>14237</v>
      </c>
      <c r="X1699">
        <v>60</v>
      </c>
      <c r="Y1699" t="s">
        <v>20432</v>
      </c>
      <c r="Z1699" t="s">
        <v>26569</v>
      </c>
      <c r="AA1699">
        <v>0.52648768941023183</v>
      </c>
      <c r="AB1699" t="str">
        <f>HYPERLINK("Melting_Curves/meltCurve_P14625_HSP90B1.pdf", "Melting_Curves/meltCurve_P14625_HSP90B1.pdf")</f>
        <v>Melting_Curves/meltCurve_P14625_HSP90B1.pdf</v>
      </c>
    </row>
    <row r="1700" spans="1:28" x14ac:dyDescent="0.25">
      <c r="A1700" t="s">
        <v>1704</v>
      </c>
      <c r="B1700">
        <v>0.99352677808782597</v>
      </c>
      <c r="C1700">
        <v>0.82613548094482903</v>
      </c>
      <c r="D1700">
        <v>0.77622832259837704</v>
      </c>
      <c r="E1700">
        <v>0.41536914942825298</v>
      </c>
      <c r="F1700">
        <v>0.40105537746014802</v>
      </c>
      <c r="G1700">
        <v>0.22436402231764399</v>
      </c>
      <c r="H1700">
        <v>0.19598430406550199</v>
      </c>
      <c r="I1700">
        <v>0.147715857209646</v>
      </c>
      <c r="J1700">
        <v>0.12384853319964</v>
      </c>
      <c r="K1700">
        <v>0.10661794332878299</v>
      </c>
      <c r="L1700">
        <v>621.166924247672</v>
      </c>
      <c r="M1700">
        <v>12.6969369972847</v>
      </c>
      <c r="N1700">
        <v>49.839162241860002</v>
      </c>
      <c r="O1700">
        <v>47.756634226536796</v>
      </c>
      <c r="P1700">
        <v>-5.9557618923682297E-2</v>
      </c>
      <c r="Q1700">
        <v>0.104123842478081</v>
      </c>
      <c r="R1700">
        <v>0.98337913213949202</v>
      </c>
      <c r="S1700" t="s">
        <v>7985</v>
      </c>
      <c r="T1700" t="s">
        <v>12568</v>
      </c>
      <c r="U1700" t="s">
        <v>12568</v>
      </c>
      <c r="V1700" t="s">
        <v>12568</v>
      </c>
      <c r="W1700" t="s">
        <v>14238</v>
      </c>
      <c r="X1700">
        <v>6</v>
      </c>
      <c r="Y1700" t="s">
        <v>20433</v>
      </c>
      <c r="Z1700" t="s">
        <v>26570</v>
      </c>
      <c r="AA1700">
        <v>0.40059772277058781</v>
      </c>
      <c r="AB1700" t="str">
        <f>HYPERLINK("Melting_Curves/meltCurve_P14635_CCNB1.pdf", "Melting_Curves/meltCurve_P14635_CCNB1.pdf")</f>
        <v>Melting_Curves/meltCurve_P14635_CCNB1.pdf</v>
      </c>
    </row>
    <row r="1701" spans="1:28" x14ac:dyDescent="0.25">
      <c r="A1701" t="s">
        <v>1705</v>
      </c>
      <c r="B1701">
        <v>0.99352677808782597</v>
      </c>
      <c r="C1701">
        <v>1.03144925789515</v>
      </c>
      <c r="D1701">
        <v>0.92227579294750806</v>
      </c>
      <c r="E1701">
        <v>1.0352686190134699</v>
      </c>
      <c r="F1701">
        <v>0.91557902475038799</v>
      </c>
      <c r="G1701">
        <v>0.93121929507850298</v>
      </c>
      <c r="H1701">
        <v>0.81828204105727598</v>
      </c>
      <c r="I1701">
        <v>0.87642481950295603</v>
      </c>
      <c r="J1701">
        <v>0.90918276615981497</v>
      </c>
      <c r="K1701">
        <v>0.78081275447300902</v>
      </c>
      <c r="L1701">
        <v>680.64388812389598</v>
      </c>
      <c r="M1701">
        <v>11.881472847684099</v>
      </c>
      <c r="O1701">
        <v>55.735658295081599</v>
      </c>
      <c r="P1701">
        <v>-9.9897336861672504E-3</v>
      </c>
      <c r="Q1701">
        <v>0.812600629053148</v>
      </c>
      <c r="R1701">
        <v>0.64599869979515501</v>
      </c>
      <c r="S1701" t="s">
        <v>7986</v>
      </c>
      <c r="T1701" t="s">
        <v>12568</v>
      </c>
      <c r="U1701" t="s">
        <v>12568</v>
      </c>
      <c r="V1701" t="s">
        <v>12568</v>
      </c>
      <c r="W1701" t="s">
        <v>14239</v>
      </c>
      <c r="X1701">
        <v>8</v>
      </c>
      <c r="Y1701" t="s">
        <v>20434</v>
      </c>
      <c r="Z1701" t="s">
        <v>26571</v>
      </c>
      <c r="AA1701">
        <v>0.92351918505032871</v>
      </c>
      <c r="AB1701" t="str">
        <f>HYPERLINK("Melting_Curves/meltCurve_P14649_MYL6B.pdf", "Melting_Curves/meltCurve_P14649_MYL6B.pdf")</f>
        <v>Melting_Curves/meltCurve_P14649_MYL6B.pdf</v>
      </c>
    </row>
    <row r="1702" spans="1:28" x14ac:dyDescent="0.25">
      <c r="A1702" t="s">
        <v>1706</v>
      </c>
      <c r="B1702">
        <v>0.99352677808782597</v>
      </c>
      <c r="C1702">
        <v>0.93530079192786797</v>
      </c>
      <c r="D1702">
        <v>0.904892327565329</v>
      </c>
      <c r="E1702">
        <v>1.11133120158457</v>
      </c>
      <c r="F1702">
        <v>0.94324772635094001</v>
      </c>
      <c r="G1702">
        <v>0.79689427158030202</v>
      </c>
      <c r="H1702">
        <v>0.70451181872603996</v>
      </c>
      <c r="I1702">
        <v>0.64679637777661003</v>
      </c>
      <c r="J1702">
        <v>0.65658777455330597</v>
      </c>
      <c r="K1702">
        <v>0.28889698835524502</v>
      </c>
      <c r="L1702">
        <v>696.98511393985098</v>
      </c>
      <c r="M1702">
        <v>10.355781799087101</v>
      </c>
      <c r="N1702">
        <v>67.303958050992705</v>
      </c>
      <c r="O1702">
        <v>64.939276531579495</v>
      </c>
      <c r="P1702">
        <v>-3.9884134868570002E-2</v>
      </c>
      <c r="Q1702">
        <v>0</v>
      </c>
      <c r="R1702">
        <v>0.85761642781005099</v>
      </c>
      <c r="S1702" t="s">
        <v>7987</v>
      </c>
      <c r="T1702" t="s">
        <v>12568</v>
      </c>
      <c r="U1702" t="s">
        <v>12568</v>
      </c>
      <c r="V1702" t="s">
        <v>12568</v>
      </c>
      <c r="W1702" t="s">
        <v>14240</v>
      </c>
      <c r="X1702">
        <v>12</v>
      </c>
      <c r="Y1702" t="s">
        <v>20435</v>
      </c>
      <c r="Z1702" t="s">
        <v>26572</v>
      </c>
      <c r="AA1702">
        <v>0.82695805633346497</v>
      </c>
      <c r="AB1702" t="str">
        <f>HYPERLINK("Melting_Curves/meltCurve_P14678_2_SNRPB.pdf", "Melting_Curves/meltCurve_P14678_2_SNRPB.pdf")</f>
        <v>Melting_Curves/meltCurve_P14678_2_SNRPB.pdf</v>
      </c>
    </row>
    <row r="1703" spans="1:28" x14ac:dyDescent="0.25">
      <c r="A1703" t="s">
        <v>1707</v>
      </c>
      <c r="B1703">
        <v>0.99352677808782597</v>
      </c>
      <c r="C1703">
        <v>1.02943457373491</v>
      </c>
      <c r="D1703">
        <v>0.88549213483821998</v>
      </c>
      <c r="E1703">
        <v>0.54349249876084604</v>
      </c>
      <c r="F1703">
        <v>0.42549996459734801</v>
      </c>
      <c r="G1703">
        <v>0.223790607094533</v>
      </c>
      <c r="H1703">
        <v>0.11378518843809</v>
      </c>
      <c r="I1703">
        <v>9.9354228176137399E-2</v>
      </c>
      <c r="J1703">
        <v>7.8668608534337395E-2</v>
      </c>
      <c r="K1703">
        <v>6.0392366318672203E-2</v>
      </c>
      <c r="L1703">
        <v>843.89846020599202</v>
      </c>
      <c r="M1703">
        <v>16.553715625968799</v>
      </c>
      <c r="N1703">
        <v>51.405484238845801</v>
      </c>
      <c r="O1703">
        <v>50.252861882586402</v>
      </c>
      <c r="P1703">
        <v>-7.7078132088858997E-2</v>
      </c>
      <c r="Q1703">
        <v>6.4106098236677803E-2</v>
      </c>
      <c r="R1703">
        <v>0.99198624414494996</v>
      </c>
      <c r="S1703" t="s">
        <v>7988</v>
      </c>
      <c r="T1703" t="s">
        <v>12568</v>
      </c>
      <c r="U1703" t="s">
        <v>12568</v>
      </c>
      <c r="V1703" t="s">
        <v>12568</v>
      </c>
      <c r="W1703" t="s">
        <v>14241</v>
      </c>
      <c r="X1703">
        <v>42</v>
      </c>
      <c r="Y1703" t="s">
        <v>20436</v>
      </c>
      <c r="Z1703" t="s">
        <v>26573</v>
      </c>
      <c r="AA1703">
        <v>0.42492477823492142</v>
      </c>
      <c r="AB1703" t="str">
        <f>HYPERLINK("Melting_Curves/meltCurve_P14735_IDE.pdf", "Melting_Curves/meltCurve_P14735_IDE.pdf")</f>
        <v>Melting_Curves/meltCurve_P14735_IDE.pdf</v>
      </c>
    </row>
    <row r="1704" spans="1:28" x14ac:dyDescent="0.25">
      <c r="A1704" t="s">
        <v>1708</v>
      </c>
      <c r="B1704">
        <v>0.99352677808782597</v>
      </c>
      <c r="C1704">
        <v>0.98026285244218003</v>
      </c>
      <c r="D1704">
        <v>0.94359309847610495</v>
      </c>
      <c r="E1704">
        <v>0.88020240575439002</v>
      </c>
      <c r="F1704">
        <v>0.796151549894342</v>
      </c>
      <c r="G1704">
        <v>0.69755456880431899</v>
      </c>
      <c r="H1704">
        <v>0.57649834006801803</v>
      </c>
      <c r="I1704">
        <v>0.627399534106579</v>
      </c>
      <c r="J1704">
        <v>0.60292099924791398</v>
      </c>
      <c r="K1704">
        <v>0.51061708056192801</v>
      </c>
      <c r="L1704">
        <v>644.74758123544302</v>
      </c>
      <c r="M1704">
        <v>11.8671167256309</v>
      </c>
      <c r="O1704">
        <v>52.856715239125599</v>
      </c>
      <c r="P1704">
        <v>-2.7023902351173999E-2</v>
      </c>
      <c r="Q1704">
        <v>0.51865803139197597</v>
      </c>
      <c r="R1704">
        <v>0.97693727462922197</v>
      </c>
      <c r="S1704" t="s">
        <v>7989</v>
      </c>
      <c r="T1704" t="s">
        <v>12568</v>
      </c>
      <c r="U1704" t="s">
        <v>12568</v>
      </c>
      <c r="V1704" t="s">
        <v>12568</v>
      </c>
      <c r="W1704" t="s">
        <v>14242</v>
      </c>
      <c r="X1704">
        <v>7</v>
      </c>
      <c r="Y1704" t="s">
        <v>20437</v>
      </c>
      <c r="Z1704" t="s">
        <v>26574</v>
      </c>
      <c r="AA1704">
        <v>0.76086941744559533</v>
      </c>
      <c r="AB1704" t="str">
        <f>HYPERLINK("Melting_Curves/meltCurve_P14854_COX6B1.pdf", "Melting_Curves/meltCurve_P14854_COX6B1.pdf")</f>
        <v>Melting_Curves/meltCurve_P14854_COX6B1.pdf</v>
      </c>
    </row>
    <row r="1705" spans="1:28" x14ac:dyDescent="0.25">
      <c r="A1705" t="s">
        <v>1709</v>
      </c>
      <c r="B1705">
        <v>0.99352677808782597</v>
      </c>
      <c r="C1705">
        <v>0.89115019395802297</v>
      </c>
      <c r="D1705">
        <v>0.97739476638330602</v>
      </c>
      <c r="E1705">
        <v>0.44324703336140397</v>
      </c>
      <c r="F1705">
        <v>0.36436435244363902</v>
      </c>
      <c r="G1705">
        <v>0.23012256405583301</v>
      </c>
      <c r="H1705">
        <v>9.4325898115294099E-2</v>
      </c>
      <c r="I1705">
        <v>6.14336124818749E-2</v>
      </c>
      <c r="J1705">
        <v>4.57723701674628E-2</v>
      </c>
      <c r="K1705">
        <v>3.8124595246997899E-2</v>
      </c>
      <c r="L1705">
        <v>872.56022563777697</v>
      </c>
      <c r="M1705">
        <v>17.323062529992999</v>
      </c>
      <c r="N1705">
        <v>50.679648609985897</v>
      </c>
      <c r="O1705">
        <v>49.713015498435198</v>
      </c>
      <c r="P1705">
        <v>-8.2743556820750699E-2</v>
      </c>
      <c r="Q1705">
        <v>5.02384477739811E-2</v>
      </c>
      <c r="R1705">
        <v>0.97158136097620096</v>
      </c>
      <c r="S1705" t="s">
        <v>7990</v>
      </c>
      <c r="T1705" t="s">
        <v>12568</v>
      </c>
      <c r="U1705" t="s">
        <v>12568</v>
      </c>
      <c r="V1705" t="s">
        <v>12568</v>
      </c>
      <c r="W1705" t="s">
        <v>14243</v>
      </c>
      <c r="X1705">
        <v>8</v>
      </c>
      <c r="Y1705" t="s">
        <v>20438</v>
      </c>
      <c r="Z1705" t="s">
        <v>26575</v>
      </c>
      <c r="AA1705">
        <v>0.3958425898179081</v>
      </c>
      <c r="AB1705" t="str">
        <f>HYPERLINK("Melting_Curves/meltCurve_P14866_HNRNPL.pdf", "Melting_Curves/meltCurve_P14866_HNRNPL.pdf")</f>
        <v>Melting_Curves/meltCurve_P14866_HNRNPL.pdf</v>
      </c>
    </row>
    <row r="1706" spans="1:28" x14ac:dyDescent="0.25">
      <c r="A1706" t="s">
        <v>1710</v>
      </c>
      <c r="B1706">
        <v>0.99352677808782597</v>
      </c>
      <c r="C1706">
        <v>0.876415702970465</v>
      </c>
      <c r="D1706">
        <v>0.89429033034273298</v>
      </c>
      <c r="E1706">
        <v>0.45766113384103502</v>
      </c>
      <c r="F1706">
        <v>0.38777831857560102</v>
      </c>
      <c r="G1706">
        <v>0.193983888910397</v>
      </c>
      <c r="H1706">
        <v>0.116020019865808</v>
      </c>
      <c r="I1706">
        <v>0.107044231887106</v>
      </c>
      <c r="J1706">
        <v>8.1279364751589103E-2</v>
      </c>
      <c r="K1706">
        <v>6.0220641183057901E-2</v>
      </c>
      <c r="L1706">
        <v>778.46878273608195</v>
      </c>
      <c r="M1706">
        <v>15.5502319350666</v>
      </c>
      <c r="N1706">
        <v>50.516802901938703</v>
      </c>
      <c r="O1706">
        <v>49.2555821526038</v>
      </c>
      <c r="P1706">
        <v>-7.3772539290968206E-2</v>
      </c>
      <c r="Q1706">
        <v>6.53799353334681E-2</v>
      </c>
      <c r="R1706">
        <v>0.98456927900598001</v>
      </c>
      <c r="S1706" t="s">
        <v>7991</v>
      </c>
      <c r="T1706" t="s">
        <v>12568</v>
      </c>
      <c r="U1706" t="s">
        <v>12568</v>
      </c>
      <c r="V1706" t="s">
        <v>12568</v>
      </c>
      <c r="W1706" t="s">
        <v>14244</v>
      </c>
      <c r="X1706">
        <v>26</v>
      </c>
      <c r="Y1706" t="s">
        <v>20439</v>
      </c>
      <c r="Z1706" t="s">
        <v>26576</v>
      </c>
      <c r="AA1706">
        <v>0.39970002570640489</v>
      </c>
      <c r="AB1706" t="str">
        <f>HYPERLINK("Melting_Curves/meltCurve_P14868_DARS.pdf", "Melting_Curves/meltCurve_P14868_DARS.pdf")</f>
        <v>Melting_Curves/meltCurve_P14868_DARS.pdf</v>
      </c>
    </row>
    <row r="1707" spans="1:28" x14ac:dyDescent="0.25">
      <c r="A1707" t="s">
        <v>1711</v>
      </c>
      <c r="B1707">
        <v>0.99352677808782597</v>
      </c>
      <c r="C1707">
        <v>0.99288960880629695</v>
      </c>
      <c r="D1707">
        <v>0.95510253200472905</v>
      </c>
      <c r="E1707">
        <v>0.693788475821145</v>
      </c>
      <c r="F1707">
        <v>0.59249536127077895</v>
      </c>
      <c r="G1707">
        <v>0.43132513178798998</v>
      </c>
      <c r="H1707">
        <v>0.21637069549773899</v>
      </c>
      <c r="I1707">
        <v>0.12875458609047299</v>
      </c>
      <c r="J1707">
        <v>9.7698199843178096E-2</v>
      </c>
      <c r="K1707">
        <v>7.5120952896379795E-2</v>
      </c>
      <c r="L1707">
        <v>655.63809540652005</v>
      </c>
      <c r="M1707">
        <v>11.980068817843801</v>
      </c>
      <c r="N1707">
        <v>54.727406416370499</v>
      </c>
      <c r="O1707">
        <v>53.269401295157103</v>
      </c>
      <c r="P1707">
        <v>-5.6237611290005401E-2</v>
      </c>
      <c r="Q1707">
        <v>0</v>
      </c>
      <c r="R1707">
        <v>0.992275860748003</v>
      </c>
      <c r="S1707" t="s">
        <v>7992</v>
      </c>
      <c r="T1707" t="s">
        <v>12568</v>
      </c>
      <c r="U1707" t="s">
        <v>12568</v>
      </c>
      <c r="V1707" t="s">
        <v>12568</v>
      </c>
      <c r="W1707" t="s">
        <v>13004</v>
      </c>
      <c r="X1707">
        <v>23</v>
      </c>
      <c r="Y1707" t="s">
        <v>19235</v>
      </c>
      <c r="Z1707" t="s">
        <v>26577</v>
      </c>
      <c r="AA1707">
        <v>0.51515821992015776</v>
      </c>
      <c r="AB1707" t="str">
        <f>HYPERLINK("Melting_Curves/meltCurve_P14923_JUP.pdf", "Melting_Curves/meltCurve_P14923_JUP.pdf")</f>
        <v>Melting_Curves/meltCurve_P14923_JUP.pdf</v>
      </c>
    </row>
    <row r="1708" spans="1:28" x14ac:dyDescent="0.25">
      <c r="A1708" t="s">
        <v>1712</v>
      </c>
      <c r="B1708">
        <v>0.99352677808782597</v>
      </c>
      <c r="C1708">
        <v>0.95535336263192905</v>
      </c>
      <c r="D1708">
        <v>1.0231895658454799</v>
      </c>
      <c r="E1708">
        <v>0.863118419195256</v>
      </c>
      <c r="F1708">
        <v>0.765842781948331</v>
      </c>
      <c r="G1708">
        <v>0.68165976332198297</v>
      </c>
      <c r="H1708">
        <v>0.58805051495889904</v>
      </c>
      <c r="I1708">
        <v>0.67047142130238402</v>
      </c>
      <c r="J1708">
        <v>0.72388820471179705</v>
      </c>
      <c r="K1708">
        <v>0.64758106504137203</v>
      </c>
      <c r="L1708">
        <v>1444.7125606693</v>
      </c>
      <c r="M1708">
        <v>28.274394903514501</v>
      </c>
      <c r="O1708">
        <v>50.842596830753699</v>
      </c>
      <c r="P1708">
        <v>-4.7367557068319299E-2</v>
      </c>
      <c r="Q1708">
        <v>0.65930026061189695</v>
      </c>
      <c r="R1708">
        <v>0.93728428933358698</v>
      </c>
      <c r="S1708" t="s">
        <v>7993</v>
      </c>
      <c r="T1708" t="s">
        <v>12568</v>
      </c>
      <c r="U1708" t="s">
        <v>12568</v>
      </c>
      <c r="V1708" t="s">
        <v>12568</v>
      </c>
      <c r="W1708" t="s">
        <v>14245</v>
      </c>
      <c r="X1708">
        <v>4</v>
      </c>
      <c r="Y1708" t="s">
        <v>20440</v>
      </c>
      <c r="Z1708" t="s">
        <v>26578</v>
      </c>
      <c r="AA1708">
        <v>0.78773032076845895</v>
      </c>
      <c r="AB1708" t="str">
        <f>HYPERLINK("Melting_Curves/meltCurve_P14927_UQCRB.pdf", "Melting_Curves/meltCurve_P14927_UQCRB.pdf")</f>
        <v>Melting_Curves/meltCurve_P14927_UQCRB.pdf</v>
      </c>
    </row>
    <row r="1709" spans="1:28" x14ac:dyDescent="0.25">
      <c r="A1709" t="s">
        <v>1713</v>
      </c>
      <c r="B1709">
        <v>0.99352677808782597</v>
      </c>
      <c r="C1709">
        <v>0.85272985579018101</v>
      </c>
      <c r="D1709">
        <v>0.87757851840851997</v>
      </c>
      <c r="E1709">
        <v>0.59674051687103902</v>
      </c>
      <c r="F1709">
        <v>0.48802861201110798</v>
      </c>
      <c r="G1709">
        <v>0.41981866184217598</v>
      </c>
      <c r="H1709">
        <v>0.21985325950192799</v>
      </c>
      <c r="I1709">
        <v>0.145252989033027</v>
      </c>
      <c r="J1709">
        <v>0.12004949290898199</v>
      </c>
      <c r="K1709">
        <v>9.0723218874928596E-2</v>
      </c>
      <c r="L1709">
        <v>502.77796586761201</v>
      </c>
      <c r="M1709">
        <v>9.4495235122207504</v>
      </c>
      <c r="N1709">
        <v>53.206699403424203</v>
      </c>
      <c r="O1709">
        <v>50.9871764498536</v>
      </c>
      <c r="P1709">
        <v>-4.6360810267912902E-2</v>
      </c>
      <c r="Q1709">
        <v>0</v>
      </c>
      <c r="R1709">
        <v>0.98364295709430105</v>
      </c>
      <c r="S1709" t="s">
        <v>7994</v>
      </c>
      <c r="T1709" t="s">
        <v>12568</v>
      </c>
      <c r="U1709" t="s">
        <v>12568</v>
      </c>
      <c r="V1709" t="s">
        <v>12568</v>
      </c>
      <c r="W1709" t="s">
        <v>14246</v>
      </c>
      <c r="X1709">
        <v>4</v>
      </c>
      <c r="Y1709" t="s">
        <v>20441</v>
      </c>
      <c r="Z1709" t="s">
        <v>26579</v>
      </c>
      <c r="AA1709">
        <v>0.47522892070625261</v>
      </c>
      <c r="AB1709" t="str">
        <f>HYPERLINK("Melting_Curves/meltCurve_P15056_BRAF.pdf", "Melting_Curves/meltCurve_P15056_BRAF.pdf")</f>
        <v>Melting_Curves/meltCurve_P15056_BRAF.pdf</v>
      </c>
    </row>
    <row r="1710" spans="1:28" x14ac:dyDescent="0.25">
      <c r="A1710" t="s">
        <v>1714</v>
      </c>
      <c r="B1710">
        <v>0.99352677808782597</v>
      </c>
      <c r="C1710">
        <v>0.82158054582799001</v>
      </c>
      <c r="D1710">
        <v>1.0335757777812</v>
      </c>
      <c r="E1710">
        <v>0.79961440781558102</v>
      </c>
      <c r="F1710">
        <v>0.71605450496472001</v>
      </c>
      <c r="G1710">
        <v>0.171484354621772</v>
      </c>
      <c r="H1710">
        <v>9.4530258989190902E-2</v>
      </c>
      <c r="I1710">
        <v>8.1644826939864107E-2</v>
      </c>
      <c r="J1710">
        <v>6.5790739406358906E-2</v>
      </c>
      <c r="K1710">
        <v>4.9609544679934899E-2</v>
      </c>
      <c r="L1710">
        <v>1477.9251154743499</v>
      </c>
      <c r="M1710">
        <v>27.389759913904399</v>
      </c>
      <c r="N1710">
        <v>54.1721527628603</v>
      </c>
      <c r="O1710">
        <v>53.673865744929003</v>
      </c>
      <c r="P1710">
        <v>-0.12106021135171</v>
      </c>
      <c r="Q1710">
        <v>5.1074769551734199E-2</v>
      </c>
      <c r="R1710">
        <v>0.96666536291952598</v>
      </c>
      <c r="S1710" t="s">
        <v>7995</v>
      </c>
      <c r="T1710" t="s">
        <v>12568</v>
      </c>
      <c r="U1710" t="s">
        <v>12568</v>
      </c>
      <c r="V1710" t="s">
        <v>12568</v>
      </c>
      <c r="W1710" t="s">
        <v>14247</v>
      </c>
      <c r="X1710">
        <v>24</v>
      </c>
      <c r="Y1710" t="s">
        <v>20442</v>
      </c>
      <c r="Z1710" t="s">
        <v>26580</v>
      </c>
      <c r="AA1710">
        <v>0.50002308224326675</v>
      </c>
      <c r="AB1710" t="str">
        <f>HYPERLINK("Melting_Curves/meltCurve_P15121_AKR1B1.pdf", "Melting_Curves/meltCurve_P15121_AKR1B1.pdf")</f>
        <v>Melting_Curves/meltCurve_P15121_AKR1B1.pdf</v>
      </c>
    </row>
    <row r="1711" spans="1:28" x14ac:dyDescent="0.25">
      <c r="A1711" t="s">
        <v>1715</v>
      </c>
      <c r="B1711">
        <v>0.99352677808782597</v>
      </c>
      <c r="C1711">
        <v>0.91695752619192294</v>
      </c>
      <c r="D1711">
        <v>0.921699568392785</v>
      </c>
      <c r="E1711">
        <v>0.82577374647448498</v>
      </c>
      <c r="F1711">
        <v>0.77677750294211201</v>
      </c>
      <c r="G1711">
        <v>0.55786498715678201</v>
      </c>
      <c r="H1711">
        <v>0.53439152736217799</v>
      </c>
      <c r="I1711">
        <v>0.59649681028171397</v>
      </c>
      <c r="J1711">
        <v>0.63966942643203695</v>
      </c>
      <c r="K1711">
        <v>0.48168203353474198</v>
      </c>
      <c r="L1711">
        <v>712.20818100581505</v>
      </c>
      <c r="M1711">
        <v>13.8023549958638</v>
      </c>
      <c r="O1711">
        <v>50.5534840386753</v>
      </c>
      <c r="P1711">
        <v>-3.2139446960004502E-2</v>
      </c>
      <c r="Q1711">
        <v>0.529200971419583</v>
      </c>
      <c r="R1711">
        <v>0.91325575963398598</v>
      </c>
      <c r="S1711" t="s">
        <v>7996</v>
      </c>
      <c r="T1711" t="s">
        <v>12568</v>
      </c>
      <c r="U1711" t="s">
        <v>12568</v>
      </c>
      <c r="V1711" t="s">
        <v>12568</v>
      </c>
      <c r="W1711" t="s">
        <v>14248</v>
      </c>
      <c r="X1711">
        <v>1</v>
      </c>
      <c r="Y1711" t="s">
        <v>20443</v>
      </c>
      <c r="Z1711" t="s">
        <v>26581</v>
      </c>
      <c r="AA1711">
        <v>0.72337591964126247</v>
      </c>
      <c r="AB1711" t="str">
        <f>HYPERLINK("Melting_Curves/meltCurve_P15151_3_PVR.pdf", "Melting_Curves/meltCurve_P15151_3_PVR.pdf")</f>
        <v>Melting_Curves/meltCurve_P15151_3_PVR.pdf</v>
      </c>
    </row>
    <row r="1712" spans="1:28" x14ac:dyDescent="0.25">
      <c r="A1712" t="s">
        <v>1716</v>
      </c>
      <c r="B1712">
        <v>0.99352677808782597</v>
      </c>
      <c r="C1712">
        <v>0.90254710618849199</v>
      </c>
      <c r="D1712">
        <v>0.97032966113652397</v>
      </c>
      <c r="E1712">
        <v>0.73128468175623795</v>
      </c>
      <c r="F1712">
        <v>0.659656182094007</v>
      </c>
      <c r="G1712">
        <v>0.31495721137418198</v>
      </c>
      <c r="H1712">
        <v>0.170637546992846</v>
      </c>
      <c r="I1712">
        <v>0.13809556372124199</v>
      </c>
      <c r="J1712">
        <v>0.12340270492310999</v>
      </c>
      <c r="K1712">
        <v>8.9851925725074805E-2</v>
      </c>
      <c r="L1712">
        <v>830.778967487155</v>
      </c>
      <c r="M1712">
        <v>15.412151316587201</v>
      </c>
      <c r="N1712">
        <v>54.3581977474254</v>
      </c>
      <c r="O1712">
        <v>53.021105564613002</v>
      </c>
      <c r="P1712">
        <v>-6.8287205622166502E-2</v>
      </c>
      <c r="Q1712">
        <v>6.0394833755419201E-2</v>
      </c>
      <c r="R1712">
        <v>0.98716950922062596</v>
      </c>
      <c r="S1712" t="s">
        <v>7997</v>
      </c>
      <c r="T1712" t="s">
        <v>12568</v>
      </c>
      <c r="U1712" t="s">
        <v>12568</v>
      </c>
      <c r="V1712" t="s">
        <v>12568</v>
      </c>
      <c r="W1712" t="s">
        <v>14249</v>
      </c>
      <c r="X1712">
        <v>32</v>
      </c>
      <c r="Y1712" t="s">
        <v>20444</v>
      </c>
      <c r="Z1712" t="s">
        <v>26582</v>
      </c>
      <c r="AA1712">
        <v>0.51459473921398446</v>
      </c>
      <c r="AB1712" t="str">
        <f>HYPERLINK("Melting_Curves/meltCurve_P15170_2_GSPT1.pdf", "Melting_Curves/meltCurve_P15170_2_GSPT1.pdf")</f>
        <v>Melting_Curves/meltCurve_P15170_2_GSPT1.pdf</v>
      </c>
    </row>
    <row r="1713" spans="1:28" x14ac:dyDescent="0.25">
      <c r="A1713" t="s">
        <v>1717</v>
      </c>
      <c r="B1713">
        <v>0.99352677808782597</v>
      </c>
      <c r="C1713">
        <v>1.09541052368777</v>
      </c>
      <c r="D1713">
        <v>1.0249070229681001</v>
      </c>
      <c r="E1713">
        <v>0.84812687499432304</v>
      </c>
      <c r="F1713">
        <v>0.75332177752646901</v>
      </c>
      <c r="G1713">
        <v>0.80217796117757301</v>
      </c>
      <c r="H1713">
        <v>0.61381891689714096</v>
      </c>
      <c r="I1713">
        <v>0.671584606470641</v>
      </c>
      <c r="J1713">
        <v>0.74417487711630204</v>
      </c>
      <c r="K1713">
        <v>0.86950146128040895</v>
      </c>
      <c r="L1713">
        <v>3563.1981862857501</v>
      </c>
      <c r="M1713">
        <v>71.608594055796402</v>
      </c>
      <c r="O1713">
        <v>49.720607989641103</v>
      </c>
      <c r="P1713">
        <v>-9.2961643887853898E-2</v>
      </c>
      <c r="Q1713">
        <v>0.74181267741540602</v>
      </c>
      <c r="R1713">
        <v>0.76918329786857298</v>
      </c>
      <c r="S1713" t="s">
        <v>7998</v>
      </c>
      <c r="T1713" t="s">
        <v>12568</v>
      </c>
      <c r="U1713" t="s">
        <v>12568</v>
      </c>
      <c r="V1713" t="s">
        <v>12568</v>
      </c>
      <c r="W1713" t="s">
        <v>14250</v>
      </c>
      <c r="X1713">
        <v>1</v>
      </c>
      <c r="Y1713" t="s">
        <v>20445</v>
      </c>
      <c r="Z1713" t="s">
        <v>26583</v>
      </c>
      <c r="AA1713">
        <v>0.82607965118483606</v>
      </c>
      <c r="AB1713" t="str">
        <f>HYPERLINK("Melting_Curves/meltCurve_P15248_IL9.pdf", "Melting_Curves/meltCurve_P15248_IL9.pdf")</f>
        <v>Melting_Curves/meltCurve_P15248_IL9.pdf</v>
      </c>
    </row>
    <row r="1714" spans="1:28" x14ac:dyDescent="0.25">
      <c r="A1714" t="s">
        <v>1718</v>
      </c>
      <c r="B1714">
        <v>0.99352677808782597</v>
      </c>
      <c r="C1714">
        <v>0.95923517251846302</v>
      </c>
      <c r="D1714">
        <v>0.90067174502955805</v>
      </c>
      <c r="E1714">
        <v>0.74769789162884903</v>
      </c>
      <c r="F1714">
        <v>0.72169922134307096</v>
      </c>
      <c r="G1714">
        <v>0.53856683183458798</v>
      </c>
      <c r="H1714">
        <v>0.67603167122497299</v>
      </c>
      <c r="I1714">
        <v>0.75140008756875598</v>
      </c>
      <c r="J1714">
        <v>0.54581460654486502</v>
      </c>
      <c r="K1714">
        <v>0.38111760330563799</v>
      </c>
      <c r="L1714">
        <v>415.69992417913198</v>
      </c>
      <c r="M1714">
        <v>7.8002054845652697</v>
      </c>
      <c r="O1714">
        <v>50.130987754127801</v>
      </c>
      <c r="P1714">
        <v>-2.1470512000306599E-2</v>
      </c>
      <c r="Q1714">
        <v>0.448731580703564</v>
      </c>
      <c r="R1714">
        <v>0.77212585525847</v>
      </c>
      <c r="S1714" t="s">
        <v>7999</v>
      </c>
      <c r="T1714" t="s">
        <v>12568</v>
      </c>
      <c r="U1714" t="s">
        <v>12568</v>
      </c>
      <c r="V1714" t="s">
        <v>12568</v>
      </c>
      <c r="W1714" t="s">
        <v>14251</v>
      </c>
      <c r="X1714">
        <v>6</v>
      </c>
      <c r="Y1714" t="s">
        <v>20446</v>
      </c>
      <c r="Z1714" t="s">
        <v>26584</v>
      </c>
      <c r="AA1714">
        <v>0.71472213966302811</v>
      </c>
      <c r="AB1714" t="str">
        <f>HYPERLINK("Melting_Curves/meltCurve_P15289_ARSA.pdf", "Melting_Curves/meltCurve_P15289_ARSA.pdf")</f>
        <v>Melting_Curves/meltCurve_P15289_ARSA.pdf</v>
      </c>
    </row>
    <row r="1715" spans="1:28" x14ac:dyDescent="0.25">
      <c r="A1715" t="s">
        <v>1719</v>
      </c>
      <c r="B1715">
        <v>0.99352677808782597</v>
      </c>
      <c r="C1715">
        <v>0.89078089948922001</v>
      </c>
      <c r="D1715">
        <v>0.89356981044634498</v>
      </c>
      <c r="E1715">
        <v>0.89906356144322297</v>
      </c>
      <c r="F1715">
        <v>0.85678874182290798</v>
      </c>
      <c r="G1715">
        <v>0.20597485460180701</v>
      </c>
      <c r="H1715">
        <v>0.140153491261123</v>
      </c>
      <c r="I1715">
        <v>0.102257707670855</v>
      </c>
      <c r="J1715">
        <v>8.3426261438767996E-2</v>
      </c>
      <c r="K1715">
        <v>6.8564099929025193E-2</v>
      </c>
      <c r="L1715">
        <v>2553.1775570792502</v>
      </c>
      <c r="M1715">
        <v>46.625090303101501</v>
      </c>
      <c r="N1715">
        <v>55.005188423892101</v>
      </c>
      <c r="O1715">
        <v>54.659290715767099</v>
      </c>
      <c r="P1715">
        <v>-0.193224418069569</v>
      </c>
      <c r="Q1715">
        <v>9.3921633943453098E-2</v>
      </c>
      <c r="R1715">
        <v>0.978244424529779</v>
      </c>
      <c r="S1715" t="s">
        <v>8000</v>
      </c>
      <c r="T1715" t="s">
        <v>12568</v>
      </c>
      <c r="U1715" t="s">
        <v>12568</v>
      </c>
      <c r="V1715" t="s">
        <v>12568</v>
      </c>
      <c r="W1715" t="s">
        <v>14252</v>
      </c>
      <c r="X1715">
        <v>65</v>
      </c>
      <c r="Y1715" t="s">
        <v>20447</v>
      </c>
      <c r="Z1715" t="s">
        <v>26585</v>
      </c>
      <c r="AA1715">
        <v>0.54222081982370307</v>
      </c>
      <c r="AB1715" t="str">
        <f>HYPERLINK("Melting_Curves/meltCurve_P15311_EZR.pdf", "Melting_Curves/meltCurve_P15311_EZR.pdf")</f>
        <v>Melting_Curves/meltCurve_P15311_EZR.pdf</v>
      </c>
    </row>
    <row r="1716" spans="1:28" x14ac:dyDescent="0.25">
      <c r="A1716" t="s">
        <v>1720</v>
      </c>
      <c r="B1716">
        <v>0.99352677808782597</v>
      </c>
      <c r="C1716">
        <v>0.99592967273523003</v>
      </c>
      <c r="D1716">
        <v>1.0184821806403599</v>
      </c>
      <c r="E1716">
        <v>0.83868379326978404</v>
      </c>
      <c r="F1716">
        <v>0.76210692719319495</v>
      </c>
      <c r="G1716">
        <v>0.51291659204143303</v>
      </c>
      <c r="H1716">
        <v>0.30494738875050198</v>
      </c>
      <c r="I1716">
        <v>0.249881602267191</v>
      </c>
      <c r="J1716">
        <v>0.21579176170795999</v>
      </c>
      <c r="K1716">
        <v>0.14744863999681301</v>
      </c>
      <c r="L1716">
        <v>852.90376379981001</v>
      </c>
      <c r="M1716">
        <v>15.211273734396</v>
      </c>
      <c r="N1716">
        <v>57.158348158424403</v>
      </c>
      <c r="O1716">
        <v>55.128224386384701</v>
      </c>
      <c r="P1716">
        <v>-6.0317373794243602E-2</v>
      </c>
      <c r="Q1716">
        <v>0.12568223589900901</v>
      </c>
      <c r="R1716">
        <v>0.99489111634321603</v>
      </c>
      <c r="S1716" t="s">
        <v>8001</v>
      </c>
      <c r="T1716" t="s">
        <v>12568</v>
      </c>
      <c r="U1716" t="s">
        <v>12568</v>
      </c>
      <c r="V1716" t="s">
        <v>12568</v>
      </c>
      <c r="W1716" t="s">
        <v>14253</v>
      </c>
      <c r="X1716">
        <v>12</v>
      </c>
      <c r="Y1716" t="s">
        <v>20448</v>
      </c>
      <c r="Z1716" t="s">
        <v>26586</v>
      </c>
      <c r="AA1716">
        <v>0.60926436730043854</v>
      </c>
      <c r="AB1716" t="str">
        <f>HYPERLINK("Melting_Curves/meltCurve_P15374_UCHL3.pdf", "Melting_Curves/meltCurve_P15374_UCHL3.pdf")</f>
        <v>Melting_Curves/meltCurve_P15374_UCHL3.pdf</v>
      </c>
    </row>
    <row r="1717" spans="1:28" x14ac:dyDescent="0.25">
      <c r="A1717" t="s">
        <v>1721</v>
      </c>
      <c r="B1717">
        <v>0.99352677808782597</v>
      </c>
      <c r="C1717">
        <v>1.1360280486961001</v>
      </c>
      <c r="D1717">
        <v>0.61207800249362398</v>
      </c>
      <c r="E1717">
        <v>0.22583801065112399</v>
      </c>
      <c r="F1717">
        <v>0.15915037370197799</v>
      </c>
      <c r="G1717">
        <v>9.3951868553008799E-2</v>
      </c>
      <c r="H1717">
        <v>6.3521406835032504E-2</v>
      </c>
      <c r="I1717">
        <v>6.1304670472212698E-2</v>
      </c>
      <c r="J1717">
        <v>5.4253701253792599E-2</v>
      </c>
      <c r="K1717">
        <v>3.9182515715128201E-2</v>
      </c>
      <c r="L1717">
        <v>1607.48060039045</v>
      </c>
      <c r="M1717">
        <v>34.372463475723798</v>
      </c>
      <c r="N1717">
        <v>47.009567749901002</v>
      </c>
      <c r="O1717">
        <v>46.6090820000069</v>
      </c>
      <c r="P1717">
        <v>-0.169358741188466</v>
      </c>
      <c r="Q1717">
        <v>8.1401349004126405E-2</v>
      </c>
      <c r="R1717">
        <v>0.97173717059318199</v>
      </c>
      <c r="S1717" t="s">
        <v>8002</v>
      </c>
      <c r="T1717" t="s">
        <v>12568</v>
      </c>
      <c r="U1717" t="s">
        <v>12568</v>
      </c>
      <c r="V1717" t="s">
        <v>12568</v>
      </c>
      <c r="W1717" t="s">
        <v>14254</v>
      </c>
      <c r="X1717">
        <v>12</v>
      </c>
      <c r="Y1717" t="s">
        <v>20449</v>
      </c>
      <c r="Z1717" t="s">
        <v>26587</v>
      </c>
      <c r="AA1717">
        <v>0.29271281908608082</v>
      </c>
      <c r="AB1717" t="str">
        <f>HYPERLINK("Melting_Curves/meltCurve_P15428_HPGD.pdf", "Melting_Curves/meltCurve_P15428_HPGD.pdf")</f>
        <v>Melting_Curves/meltCurve_P15428_HPGD.pdf</v>
      </c>
    </row>
    <row r="1718" spans="1:28" x14ac:dyDescent="0.25">
      <c r="A1718" t="s">
        <v>1722</v>
      </c>
      <c r="B1718">
        <v>0.99352677808782597</v>
      </c>
      <c r="C1718">
        <v>0.93070994832056297</v>
      </c>
      <c r="D1718">
        <v>0.97035481269806301</v>
      </c>
      <c r="E1718">
        <v>0.928714739994284</v>
      </c>
      <c r="F1718">
        <v>0.81796956494534101</v>
      </c>
      <c r="G1718">
        <v>0.71930473264523098</v>
      </c>
      <c r="H1718">
        <v>0.70558519333464997</v>
      </c>
      <c r="I1718">
        <v>0.84200643473901904</v>
      </c>
      <c r="J1718">
        <v>0.82063100300588299</v>
      </c>
      <c r="K1718">
        <v>0.69682809513925303</v>
      </c>
      <c r="L1718">
        <v>1914.9918034157099</v>
      </c>
      <c r="M1718">
        <v>37.419615256611699</v>
      </c>
      <c r="O1718">
        <v>51.030649361043899</v>
      </c>
      <c r="P1718">
        <v>-4.4529380772719701E-2</v>
      </c>
      <c r="Q1718">
        <v>0.757094564041076</v>
      </c>
      <c r="R1718">
        <v>0.77409670729378599</v>
      </c>
      <c r="S1718" t="s">
        <v>8003</v>
      </c>
      <c r="T1718" t="s">
        <v>12568</v>
      </c>
      <c r="U1718" t="s">
        <v>12568</v>
      </c>
      <c r="V1718" t="s">
        <v>12568</v>
      </c>
      <c r="W1718" t="s">
        <v>14255</v>
      </c>
      <c r="X1718">
        <v>5</v>
      </c>
      <c r="Y1718" t="s">
        <v>20450</v>
      </c>
      <c r="Z1718" t="s">
        <v>26588</v>
      </c>
      <c r="AA1718">
        <v>0.84856876455993213</v>
      </c>
      <c r="AB1718" t="str">
        <f>HYPERLINK("Melting_Curves/meltCurve_P15529_15_CD46.pdf", "Melting_Curves/meltCurve_P15529_15_CD46.pdf")</f>
        <v>Melting_Curves/meltCurve_P15529_15_CD46.pdf</v>
      </c>
    </row>
    <row r="1719" spans="1:28" x14ac:dyDescent="0.25">
      <c r="A1719" t="s">
        <v>1723</v>
      </c>
      <c r="B1719">
        <v>0.99352677808782597</v>
      </c>
      <c r="C1719">
        <v>0.99538140974654998</v>
      </c>
      <c r="D1719">
        <v>0.95226880390273105</v>
      </c>
      <c r="E1719">
        <v>0.91634009166707198</v>
      </c>
      <c r="F1719">
        <v>0.78467251576595498</v>
      </c>
      <c r="G1719">
        <v>0.69357950025826598</v>
      </c>
      <c r="H1719">
        <v>0.776012000883474</v>
      </c>
      <c r="I1719">
        <v>0.45033546931915802</v>
      </c>
      <c r="J1719">
        <v>0.24120454894370499</v>
      </c>
      <c r="K1719">
        <v>0.17531789738884601</v>
      </c>
      <c r="L1719">
        <v>707.98218815294399</v>
      </c>
      <c r="M1719">
        <v>11.304281390631701</v>
      </c>
      <c r="N1719">
        <v>62.6295616578169</v>
      </c>
      <c r="O1719">
        <v>60.765620318186301</v>
      </c>
      <c r="P1719">
        <v>-4.6521840946935997E-2</v>
      </c>
      <c r="Q1719">
        <v>0</v>
      </c>
      <c r="R1719">
        <v>0.92135996998289504</v>
      </c>
      <c r="S1719" t="s">
        <v>8004</v>
      </c>
      <c r="T1719" t="s">
        <v>12568</v>
      </c>
      <c r="U1719" t="s">
        <v>12568</v>
      </c>
      <c r="V1719" t="s">
        <v>12568</v>
      </c>
      <c r="W1719" t="s">
        <v>14256</v>
      </c>
      <c r="X1719">
        <v>14</v>
      </c>
      <c r="Y1719" t="s">
        <v>20451</v>
      </c>
      <c r="Z1719" t="s">
        <v>26589</v>
      </c>
      <c r="AA1719">
        <v>0.73454932187986277</v>
      </c>
      <c r="AB1719" t="str">
        <f>HYPERLINK("Melting_Curves/meltCurve_P15531_NME1.pdf", "Melting_Curves/meltCurve_P15531_NME1.pdf")</f>
        <v>Melting_Curves/meltCurve_P15531_NME1.pdf</v>
      </c>
    </row>
    <row r="1720" spans="1:28" x14ac:dyDescent="0.25">
      <c r="A1720" t="s">
        <v>1724</v>
      </c>
      <c r="B1720">
        <v>0.99352677808782597</v>
      </c>
      <c r="C1720">
        <v>0.95337503252998401</v>
      </c>
      <c r="D1720">
        <v>0.84830457466402698</v>
      </c>
      <c r="E1720">
        <v>0.54679651461211798</v>
      </c>
      <c r="F1720">
        <v>0.46234368482469701</v>
      </c>
      <c r="G1720">
        <v>0.34495123709229403</v>
      </c>
      <c r="H1720">
        <v>0.32129572577881699</v>
      </c>
      <c r="I1720">
        <v>0.249663358374135</v>
      </c>
      <c r="J1720">
        <v>0.26354984917174901</v>
      </c>
      <c r="K1720">
        <v>0.204316697271757</v>
      </c>
      <c r="L1720">
        <v>773.98278164885096</v>
      </c>
      <c r="M1720">
        <v>15.615379815330099</v>
      </c>
      <c r="N1720">
        <v>51.749469685224398</v>
      </c>
      <c r="O1720">
        <v>48.773887501112199</v>
      </c>
      <c r="P1720">
        <v>-6.0729252386529098E-2</v>
      </c>
      <c r="Q1720">
        <v>0.24132588747085501</v>
      </c>
      <c r="R1720">
        <v>0.99064834992014394</v>
      </c>
      <c r="S1720" t="s">
        <v>8005</v>
      </c>
      <c r="T1720" t="s">
        <v>12568</v>
      </c>
      <c r="U1720" t="s">
        <v>12568</v>
      </c>
      <c r="V1720" t="s">
        <v>12568</v>
      </c>
      <c r="W1720" t="s">
        <v>14257</v>
      </c>
      <c r="X1720">
        <v>5</v>
      </c>
      <c r="Y1720" t="s">
        <v>20452</v>
      </c>
      <c r="Z1720" t="s">
        <v>26590</v>
      </c>
      <c r="AA1720">
        <v>0.5002741693103232</v>
      </c>
      <c r="AB1720" t="str">
        <f>HYPERLINK("Melting_Curves/meltCurve_P15735_2_PHKG2.pdf", "Melting_Curves/meltCurve_P15735_2_PHKG2.pdf")</f>
        <v>Melting_Curves/meltCurve_P15735_2_PHKG2.pdf</v>
      </c>
    </row>
    <row r="1721" spans="1:28" x14ac:dyDescent="0.25">
      <c r="A1721" t="s">
        <v>1725</v>
      </c>
      <c r="B1721">
        <v>0.99352677808782597</v>
      </c>
      <c r="C1721">
        <v>0.96419737829770702</v>
      </c>
      <c r="D1721">
        <v>0.91350771472093995</v>
      </c>
      <c r="E1721">
        <v>0.90141938740789596</v>
      </c>
      <c r="F1721">
        <v>0.83966396141442701</v>
      </c>
      <c r="G1721">
        <v>0.72870383164680197</v>
      </c>
      <c r="H1721">
        <v>0.74174499365196001</v>
      </c>
      <c r="I1721">
        <v>0.74116271572437398</v>
      </c>
      <c r="J1721">
        <v>0.58037897036573605</v>
      </c>
      <c r="K1721">
        <v>0.30274562646174702</v>
      </c>
      <c r="L1721">
        <v>460.24039702548902</v>
      </c>
      <c r="M1721">
        <v>6.7499020367793303</v>
      </c>
      <c r="N1721">
        <v>68.184752090505896</v>
      </c>
      <c r="O1721">
        <v>62.949235036022301</v>
      </c>
      <c r="P1721">
        <v>-2.6863693709754201E-2</v>
      </c>
      <c r="Q1721">
        <v>0</v>
      </c>
      <c r="R1721">
        <v>0.85940603931855097</v>
      </c>
      <c r="S1721" t="s">
        <v>8006</v>
      </c>
      <c r="T1721" t="s">
        <v>12568</v>
      </c>
      <c r="U1721" t="s">
        <v>12568</v>
      </c>
      <c r="V1721" t="s">
        <v>12568</v>
      </c>
      <c r="W1721" t="s">
        <v>14258</v>
      </c>
      <c r="X1721">
        <v>7</v>
      </c>
      <c r="Y1721" t="s">
        <v>20453</v>
      </c>
      <c r="Z1721" t="s">
        <v>26591</v>
      </c>
      <c r="AA1721">
        <v>0.79254465586231437</v>
      </c>
      <c r="AB1721" t="str">
        <f>HYPERLINK("Melting_Curves/meltCurve_P15848_ARSB.pdf", "Melting_Curves/meltCurve_P15848_ARSB.pdf")</f>
        <v>Melting_Curves/meltCurve_P15848_ARSB.pdf</v>
      </c>
    </row>
    <row r="1722" spans="1:28" x14ac:dyDescent="0.25">
      <c r="A1722" t="s">
        <v>1726</v>
      </c>
      <c r="B1722">
        <v>0.99352677808782597</v>
      </c>
      <c r="C1722">
        <v>0.87404241711133102</v>
      </c>
      <c r="D1722">
        <v>1.18959141521114</v>
      </c>
      <c r="E1722">
        <v>0.48060595151394703</v>
      </c>
      <c r="F1722">
        <v>0.41723847945745601</v>
      </c>
      <c r="G1722">
        <v>0.17757788475212799</v>
      </c>
      <c r="H1722">
        <v>9.7584269256984504E-2</v>
      </c>
      <c r="I1722">
        <v>8.2477416363837999E-2</v>
      </c>
      <c r="J1722">
        <v>7.6461987006274906E-2</v>
      </c>
      <c r="K1722">
        <v>5.30844702081716E-2</v>
      </c>
      <c r="L1722">
        <v>1271.5637512578101</v>
      </c>
      <c r="M1722">
        <v>25.058937412435601</v>
      </c>
      <c r="N1722">
        <v>51.135258383109303</v>
      </c>
      <c r="O1722">
        <v>50.423085209575603</v>
      </c>
      <c r="P1722">
        <v>-0.11337910632791399</v>
      </c>
      <c r="Q1722">
        <v>8.74556140994769E-2</v>
      </c>
      <c r="R1722">
        <v>0.93251137114304605</v>
      </c>
      <c r="S1722" t="s">
        <v>8007</v>
      </c>
      <c r="T1722" t="s">
        <v>12568</v>
      </c>
      <c r="U1722" t="s">
        <v>12568</v>
      </c>
      <c r="V1722" t="s">
        <v>12568</v>
      </c>
      <c r="W1722" t="s">
        <v>14259</v>
      </c>
      <c r="X1722">
        <v>10</v>
      </c>
      <c r="Y1722" t="s">
        <v>20454</v>
      </c>
      <c r="Z1722" t="s">
        <v>26592</v>
      </c>
      <c r="AA1722">
        <v>0.42241799946465253</v>
      </c>
      <c r="AB1722" t="str">
        <f>HYPERLINK("Melting_Curves/meltCurve_P15880_RPS2.pdf", "Melting_Curves/meltCurve_P15880_RPS2.pdf")</f>
        <v>Melting_Curves/meltCurve_P15880_RPS2.pdf</v>
      </c>
    </row>
    <row r="1723" spans="1:28" x14ac:dyDescent="0.25">
      <c r="A1723" t="s">
        <v>1727</v>
      </c>
      <c r="B1723">
        <v>0.99352677808782597</v>
      </c>
      <c r="C1723">
        <v>0.920471204296754</v>
      </c>
      <c r="D1723">
        <v>0.94626686826621798</v>
      </c>
      <c r="E1723">
        <v>0.44432520242985502</v>
      </c>
      <c r="F1723">
        <v>0.32957005826059599</v>
      </c>
      <c r="G1723">
        <v>0.200531626500628</v>
      </c>
      <c r="H1723">
        <v>0.173047244339158</v>
      </c>
      <c r="I1723">
        <v>0.14593955210614301</v>
      </c>
      <c r="J1723">
        <v>0.142099786914098</v>
      </c>
      <c r="K1723">
        <v>0.10493631203548499</v>
      </c>
      <c r="L1723">
        <v>1227.21423300991</v>
      </c>
      <c r="M1723">
        <v>24.8804626747139</v>
      </c>
      <c r="N1723">
        <v>50.033759788077099</v>
      </c>
      <c r="O1723">
        <v>49.009095629214002</v>
      </c>
      <c r="P1723">
        <v>-0.108057118401315</v>
      </c>
      <c r="Q1723">
        <v>0.14861580698917901</v>
      </c>
      <c r="R1723">
        <v>0.98594531564409604</v>
      </c>
      <c r="S1723" t="s">
        <v>8008</v>
      </c>
      <c r="T1723" t="s">
        <v>12568</v>
      </c>
      <c r="U1723" t="s">
        <v>12568</v>
      </c>
      <c r="V1723" t="s">
        <v>12568</v>
      </c>
      <c r="W1723" t="s">
        <v>14260</v>
      </c>
      <c r="X1723">
        <v>7</v>
      </c>
      <c r="Y1723" t="s">
        <v>20455</v>
      </c>
      <c r="Z1723" t="s">
        <v>26593</v>
      </c>
      <c r="AA1723">
        <v>0.42087442894170429</v>
      </c>
      <c r="AB1723" t="str">
        <f>HYPERLINK("Melting_Curves/meltCurve_P15882_CHN1.pdf", "Melting_Curves/meltCurve_P15882_CHN1.pdf")</f>
        <v>Melting_Curves/meltCurve_P15882_CHN1.pdf</v>
      </c>
    </row>
    <row r="1724" spans="1:28" x14ac:dyDescent="0.25">
      <c r="A1724" t="s">
        <v>1728</v>
      </c>
      <c r="B1724">
        <v>0.99352677808782597</v>
      </c>
      <c r="C1724">
        <v>0.98015865994953699</v>
      </c>
      <c r="D1724">
        <v>0.86924230133541203</v>
      </c>
      <c r="E1724">
        <v>0.38288808189652901</v>
      </c>
      <c r="F1724">
        <v>0.31857682260667097</v>
      </c>
      <c r="G1724">
        <v>0.219156097750176</v>
      </c>
      <c r="H1724">
        <v>0.18479821005882699</v>
      </c>
      <c r="I1724">
        <v>0.172758137858703</v>
      </c>
      <c r="J1724">
        <v>0.16316668740316001</v>
      </c>
      <c r="K1724">
        <v>0.12800073442861301</v>
      </c>
      <c r="L1724">
        <v>1291.3128575871799</v>
      </c>
      <c r="M1724">
        <v>26.626589243529001</v>
      </c>
      <c r="N1724">
        <v>49.297689867918301</v>
      </c>
      <c r="O1724">
        <v>48.226045848955799</v>
      </c>
      <c r="P1724">
        <v>-0.11380341842491901</v>
      </c>
      <c r="Q1724">
        <v>0.17552618210505899</v>
      </c>
      <c r="R1724">
        <v>0.99083645413389498</v>
      </c>
      <c r="S1724" t="s">
        <v>8009</v>
      </c>
      <c r="T1724" t="s">
        <v>12568</v>
      </c>
      <c r="U1724" t="s">
        <v>12568</v>
      </c>
      <c r="V1724" t="s">
        <v>12568</v>
      </c>
      <c r="W1724" t="s">
        <v>14261</v>
      </c>
      <c r="X1724">
        <v>75</v>
      </c>
      <c r="Y1724" t="s">
        <v>20456</v>
      </c>
      <c r="Z1724" t="s">
        <v>26594</v>
      </c>
      <c r="AA1724">
        <v>0.41543793776744992</v>
      </c>
      <c r="AB1724" t="str">
        <f>HYPERLINK("Melting_Curves/meltCurve_P15924_DSP.pdf", "Melting_Curves/meltCurve_P15924_DSP.pdf")</f>
        <v>Melting_Curves/meltCurve_P15924_DSP.pdf</v>
      </c>
    </row>
    <row r="1725" spans="1:28" x14ac:dyDescent="0.25">
      <c r="A1725" t="s">
        <v>1729</v>
      </c>
      <c r="B1725">
        <v>0.99352677808782597</v>
      </c>
      <c r="C1725">
        <v>0.97779754325771695</v>
      </c>
      <c r="D1725">
        <v>0.95811050712221502</v>
      </c>
      <c r="E1725">
        <v>0.80234218681817304</v>
      </c>
      <c r="F1725">
        <v>0.69831460129829404</v>
      </c>
      <c r="G1725">
        <v>0.49939854993313398</v>
      </c>
      <c r="H1725">
        <v>0.23711662802793301</v>
      </c>
      <c r="I1725">
        <v>0.23288291302848699</v>
      </c>
      <c r="J1725">
        <v>0.18959001456361901</v>
      </c>
      <c r="K1725">
        <v>0.13122717833790201</v>
      </c>
      <c r="L1725">
        <v>745.35515419720696</v>
      </c>
      <c r="M1725">
        <v>13.4146648020778</v>
      </c>
      <c r="N1725">
        <v>56.334138419714499</v>
      </c>
      <c r="O1725">
        <v>54.371550987290398</v>
      </c>
      <c r="P1725">
        <v>-5.65139882573336E-2</v>
      </c>
      <c r="Q1725">
        <v>8.3906176102091307E-2</v>
      </c>
      <c r="R1725">
        <v>0.99413492319771302</v>
      </c>
      <c r="S1725" t="s">
        <v>8010</v>
      </c>
      <c r="T1725" t="s">
        <v>12568</v>
      </c>
      <c r="U1725" t="s">
        <v>12568</v>
      </c>
      <c r="V1725" t="s">
        <v>12568</v>
      </c>
      <c r="W1725" t="s">
        <v>14262</v>
      </c>
      <c r="X1725">
        <v>6</v>
      </c>
      <c r="Y1725" t="s">
        <v>20457</v>
      </c>
      <c r="Z1725" t="s">
        <v>26595</v>
      </c>
      <c r="AA1725">
        <v>0.57772118842958486</v>
      </c>
      <c r="AB1725" t="str">
        <f>HYPERLINK("Melting_Curves/meltCurve_P15927_RPA2.pdf", "Melting_Curves/meltCurve_P15927_RPA2.pdf")</f>
        <v>Melting_Curves/meltCurve_P15927_RPA2.pdf</v>
      </c>
    </row>
    <row r="1726" spans="1:28" x14ac:dyDescent="0.25">
      <c r="A1726" t="s">
        <v>1730</v>
      </c>
      <c r="B1726">
        <v>0.99352677808782597</v>
      </c>
      <c r="C1726">
        <v>0.97211931103806803</v>
      </c>
      <c r="D1726">
        <v>0.91871405331242895</v>
      </c>
      <c r="E1726">
        <v>0.680665681419378</v>
      </c>
      <c r="F1726">
        <v>0.63362688909848197</v>
      </c>
      <c r="G1726">
        <v>0.49321139876546</v>
      </c>
      <c r="H1726">
        <v>0.45538682903766697</v>
      </c>
      <c r="I1726">
        <v>0.40089529250497502</v>
      </c>
      <c r="J1726">
        <v>0.32171723756145099</v>
      </c>
      <c r="K1726">
        <v>0.27452870758005299</v>
      </c>
      <c r="L1726">
        <v>556.29523371430196</v>
      </c>
      <c r="M1726">
        <v>10.4818477752682</v>
      </c>
      <c r="N1726">
        <v>57.059151907436501</v>
      </c>
      <c r="O1726">
        <v>51.249663081555902</v>
      </c>
      <c r="P1726">
        <v>-3.7871806458512597E-2</v>
      </c>
      <c r="Q1726">
        <v>0.25962312597349801</v>
      </c>
      <c r="R1726">
        <v>0.98156254013775202</v>
      </c>
      <c r="S1726" t="s">
        <v>8011</v>
      </c>
      <c r="T1726" t="s">
        <v>12568</v>
      </c>
      <c r="U1726" t="s">
        <v>12568</v>
      </c>
      <c r="V1726" t="s">
        <v>12568</v>
      </c>
      <c r="W1726" t="s">
        <v>14263</v>
      </c>
      <c r="X1726">
        <v>2</v>
      </c>
      <c r="Y1726" t="s">
        <v>20458</v>
      </c>
      <c r="Z1726" t="s">
        <v>26596</v>
      </c>
      <c r="AA1726">
        <v>0.60630070426044869</v>
      </c>
      <c r="AB1726" t="str">
        <f>HYPERLINK("Melting_Curves/meltCurve_P16035_TIMP2.pdf", "Melting_Curves/meltCurve_P16035_TIMP2.pdf")</f>
        <v>Melting_Curves/meltCurve_P16035_TIMP2.pdf</v>
      </c>
    </row>
    <row r="1727" spans="1:28" x14ac:dyDescent="0.25">
      <c r="A1727" t="s">
        <v>1731</v>
      </c>
      <c r="B1727">
        <v>0.99352677808782597</v>
      </c>
      <c r="C1727">
        <v>0.97158483650583705</v>
      </c>
      <c r="D1727">
        <v>0.95664213878869597</v>
      </c>
      <c r="E1727">
        <v>0.91582169354666598</v>
      </c>
      <c r="F1727">
        <v>0.92261173916475903</v>
      </c>
      <c r="G1727">
        <v>0.76767603326425604</v>
      </c>
      <c r="H1727">
        <v>0.84800362533697904</v>
      </c>
      <c r="I1727">
        <v>0.86993833040214597</v>
      </c>
      <c r="J1727">
        <v>1.09037423270295</v>
      </c>
      <c r="K1727">
        <v>0.74223962326483195</v>
      </c>
      <c r="L1727">
        <v>895.76094166051803</v>
      </c>
      <c r="M1727">
        <v>18.783440527859</v>
      </c>
      <c r="O1727">
        <v>47.158200431526197</v>
      </c>
      <c r="P1727">
        <v>-1.29893352280223E-2</v>
      </c>
      <c r="Q1727">
        <v>0.86955997387797201</v>
      </c>
      <c r="R1727">
        <v>0.210795978196233</v>
      </c>
      <c r="S1727" t="s">
        <v>8012</v>
      </c>
      <c r="T1727" t="s">
        <v>12568</v>
      </c>
      <c r="U1727" t="s">
        <v>12568</v>
      </c>
      <c r="V1727" t="s">
        <v>12568</v>
      </c>
      <c r="W1727" t="s">
        <v>14264</v>
      </c>
      <c r="X1727">
        <v>7</v>
      </c>
      <c r="Y1727" t="s">
        <v>20459</v>
      </c>
      <c r="Z1727" t="s">
        <v>26597</v>
      </c>
      <c r="AA1727">
        <v>0.90512683889957324</v>
      </c>
      <c r="AB1727" t="str">
        <f>HYPERLINK("Melting_Curves/meltCurve_P16070_18_CD44.pdf", "Melting_Curves/meltCurve_P16070_18_CD44.pdf")</f>
        <v>Melting_Curves/meltCurve_P16070_18_CD44.pdf</v>
      </c>
    </row>
    <row r="1728" spans="1:28" x14ac:dyDescent="0.25">
      <c r="A1728" t="s">
        <v>1732</v>
      </c>
      <c r="B1728">
        <v>0.99352677808782597</v>
      </c>
      <c r="C1728">
        <v>0.94275828845663301</v>
      </c>
      <c r="D1728">
        <v>0.99917428903380601</v>
      </c>
      <c r="E1728">
        <v>0.89605458480832101</v>
      </c>
      <c r="F1728">
        <v>0.83265542207995702</v>
      </c>
      <c r="G1728">
        <v>0.63706235468812999</v>
      </c>
      <c r="H1728">
        <v>0.50577287455407005</v>
      </c>
      <c r="I1728">
        <v>0.48100154664199002</v>
      </c>
      <c r="J1728">
        <v>0.43001953043642199</v>
      </c>
      <c r="K1728">
        <v>0.34381940497593999</v>
      </c>
      <c r="L1728">
        <v>734.66040930913096</v>
      </c>
      <c r="M1728">
        <v>12.894094213328399</v>
      </c>
      <c r="N1728">
        <v>61.831136911308199</v>
      </c>
      <c r="O1728">
        <v>55.658250964021803</v>
      </c>
      <c r="P1728">
        <v>-3.9487566374469402E-2</v>
      </c>
      <c r="Q1728">
        <v>0.31832106136009197</v>
      </c>
      <c r="R1728">
        <v>0.98828186056302103</v>
      </c>
      <c r="S1728" t="s">
        <v>8013</v>
      </c>
      <c r="T1728" t="s">
        <v>12568</v>
      </c>
      <c r="U1728" t="s">
        <v>12568</v>
      </c>
      <c r="V1728" t="s">
        <v>12568</v>
      </c>
      <c r="W1728" t="s">
        <v>14265</v>
      </c>
      <c r="X1728">
        <v>11</v>
      </c>
      <c r="Y1728" t="s">
        <v>20460</v>
      </c>
      <c r="Z1728" t="s">
        <v>26598</v>
      </c>
      <c r="AA1728">
        <v>0.7155397495903334</v>
      </c>
      <c r="AB1728" t="str">
        <f>HYPERLINK("Melting_Curves/meltCurve_P16144_4_ITGB4.pdf", "Melting_Curves/meltCurve_P16144_4_ITGB4.pdf")</f>
        <v>Melting_Curves/meltCurve_P16144_4_ITGB4.pdf</v>
      </c>
    </row>
    <row r="1729" spans="1:28" x14ac:dyDescent="0.25">
      <c r="A1729" t="s">
        <v>1733</v>
      </c>
      <c r="B1729">
        <v>0.99352677808782597</v>
      </c>
      <c r="C1729">
        <v>0.84367247593239103</v>
      </c>
      <c r="D1729">
        <v>1.06105392149987</v>
      </c>
      <c r="E1729">
        <v>0.63750144693593602</v>
      </c>
      <c r="F1729">
        <v>0.57129597049510805</v>
      </c>
      <c r="G1729">
        <v>0.19771512808608599</v>
      </c>
      <c r="H1729">
        <v>9.9880450751057101E-2</v>
      </c>
      <c r="I1729">
        <v>8.0157866774738198E-2</v>
      </c>
      <c r="J1729">
        <v>6.7649365950652393E-2</v>
      </c>
      <c r="K1729">
        <v>4.8070744542591699E-2</v>
      </c>
      <c r="L1729">
        <v>940.98665980169699</v>
      </c>
      <c r="M1729">
        <v>17.856698830235398</v>
      </c>
      <c r="N1729">
        <v>52.909987643929</v>
      </c>
      <c r="O1729">
        <v>52.0489997692749</v>
      </c>
      <c r="P1729">
        <v>-8.2792622736191299E-2</v>
      </c>
      <c r="Q1729">
        <v>3.4747920937845102E-2</v>
      </c>
      <c r="R1729">
        <v>0.96473305003117105</v>
      </c>
      <c r="S1729" t="s">
        <v>8014</v>
      </c>
      <c r="T1729" t="s">
        <v>12568</v>
      </c>
      <c r="U1729" t="s">
        <v>12568</v>
      </c>
      <c r="V1729" t="s">
        <v>12568</v>
      </c>
      <c r="W1729" t="s">
        <v>14266</v>
      </c>
      <c r="X1729">
        <v>24</v>
      </c>
      <c r="Y1729" t="s">
        <v>20461</v>
      </c>
      <c r="Z1729" t="s">
        <v>26599</v>
      </c>
      <c r="AA1729">
        <v>0.45936106292781093</v>
      </c>
      <c r="AB1729" t="str">
        <f>HYPERLINK("Melting_Curves/meltCurve_P16152_CBR1.pdf", "Melting_Curves/meltCurve_P16152_CBR1.pdf")</f>
        <v>Melting_Curves/meltCurve_P16152_CBR1.pdf</v>
      </c>
    </row>
    <row r="1730" spans="1:28" x14ac:dyDescent="0.25">
      <c r="A1730" t="s">
        <v>1734</v>
      </c>
      <c r="B1730">
        <v>0.99352677808782597</v>
      </c>
      <c r="C1730">
        <v>0.93536348211448295</v>
      </c>
      <c r="D1730">
        <v>0.65653579857334698</v>
      </c>
      <c r="E1730">
        <v>0.35793354704392499</v>
      </c>
      <c r="F1730">
        <v>0.26630302300063802</v>
      </c>
      <c r="G1730">
        <v>0.18678792521287199</v>
      </c>
      <c r="H1730">
        <v>0.13477664859476499</v>
      </c>
      <c r="I1730">
        <v>0.12934361393990301</v>
      </c>
      <c r="J1730">
        <v>0.119221284832843</v>
      </c>
      <c r="K1730">
        <v>0.107813995036089</v>
      </c>
      <c r="L1730">
        <v>883.962734225963</v>
      </c>
      <c r="M1730">
        <v>18.630653846296699</v>
      </c>
      <c r="N1730">
        <v>48.195191357811098</v>
      </c>
      <c r="O1730">
        <v>46.910166668888301</v>
      </c>
      <c r="P1730">
        <v>-8.6819777667241901E-2</v>
      </c>
      <c r="Q1730">
        <v>0.12562249902819</v>
      </c>
      <c r="R1730">
        <v>0.99500072217154101</v>
      </c>
      <c r="S1730" t="s">
        <v>8015</v>
      </c>
      <c r="T1730" t="s">
        <v>12568</v>
      </c>
      <c r="U1730" t="s">
        <v>12568</v>
      </c>
      <c r="V1730" t="s">
        <v>12568</v>
      </c>
      <c r="W1730" t="s">
        <v>14267</v>
      </c>
      <c r="X1730">
        <v>12</v>
      </c>
      <c r="Y1730" t="s">
        <v>20462</v>
      </c>
      <c r="Z1730" t="s">
        <v>26600</v>
      </c>
      <c r="AA1730">
        <v>0.35735228192371132</v>
      </c>
      <c r="AB1730" t="str">
        <f>HYPERLINK("Melting_Curves/meltCurve_P16157_11_ANK1.pdf", "Melting_Curves/meltCurve_P16157_11_ANK1.pdf")</f>
        <v>Melting_Curves/meltCurve_P16157_11_ANK1.pdf</v>
      </c>
    </row>
    <row r="1731" spans="1:28" x14ac:dyDescent="0.25">
      <c r="A1731" t="s">
        <v>1735</v>
      </c>
      <c r="B1731">
        <v>0.99352677808782597</v>
      </c>
      <c r="C1731">
        <v>0.96616927604807001</v>
      </c>
      <c r="D1731">
        <v>0.94079802135800905</v>
      </c>
      <c r="E1731">
        <v>0.94825847943197505</v>
      </c>
      <c r="F1731">
        <v>0.833807833866265</v>
      </c>
      <c r="G1731">
        <v>0.74408375410566796</v>
      </c>
      <c r="H1731">
        <v>0.69317239752804605</v>
      </c>
      <c r="I1731">
        <v>0.77739910015918501</v>
      </c>
      <c r="J1731">
        <v>0.72895358800001298</v>
      </c>
      <c r="K1731">
        <v>0.59833474615285198</v>
      </c>
      <c r="L1731">
        <v>551.45352542831597</v>
      </c>
      <c r="M1731">
        <v>10.038888474834</v>
      </c>
      <c r="O1731">
        <v>52.885524480867602</v>
      </c>
      <c r="P1731">
        <v>-1.7646464551520202E-2</v>
      </c>
      <c r="Q1731">
        <v>0.628327235345575</v>
      </c>
      <c r="R1731">
        <v>0.887502322704248</v>
      </c>
      <c r="S1731" t="s">
        <v>8016</v>
      </c>
      <c r="T1731" t="s">
        <v>12568</v>
      </c>
      <c r="U1731" t="s">
        <v>12568</v>
      </c>
      <c r="V1731" t="s">
        <v>12568</v>
      </c>
      <c r="W1731" t="s">
        <v>14268</v>
      </c>
      <c r="X1731">
        <v>4</v>
      </c>
      <c r="Y1731" t="s">
        <v>20463</v>
      </c>
      <c r="Z1731" t="s">
        <v>26601</v>
      </c>
      <c r="AA1731">
        <v>0.82303271458737215</v>
      </c>
      <c r="AB1731" t="str">
        <f>HYPERLINK("Melting_Curves/meltCurve_P16220_2_CREB1.pdf", "Melting_Curves/meltCurve_P16220_2_CREB1.pdf")</f>
        <v>Melting_Curves/meltCurve_P16220_2_CREB1.pdf</v>
      </c>
    </row>
    <row r="1732" spans="1:28" x14ac:dyDescent="0.25">
      <c r="A1732" t="s">
        <v>1736</v>
      </c>
      <c r="B1732">
        <v>0.99352677808782597</v>
      </c>
      <c r="C1732">
        <v>0.95060034571068497</v>
      </c>
      <c r="D1732">
        <v>0.795404789575056</v>
      </c>
      <c r="E1732">
        <v>0.27420119928328901</v>
      </c>
      <c r="F1732">
        <v>0.20565774218852101</v>
      </c>
      <c r="G1732">
        <v>0.13734249327404699</v>
      </c>
      <c r="H1732">
        <v>0.121905809532488</v>
      </c>
      <c r="I1732">
        <v>0.12528583047818001</v>
      </c>
      <c r="J1732">
        <v>8.1652100651424295E-2</v>
      </c>
      <c r="K1732">
        <v>5.07239905480509E-2</v>
      </c>
      <c r="L1732">
        <v>1352.6793349781301</v>
      </c>
      <c r="M1732">
        <v>28.296492376511001</v>
      </c>
      <c r="N1732">
        <v>48.208099642558103</v>
      </c>
      <c r="O1732">
        <v>47.566935487669902</v>
      </c>
      <c r="P1732">
        <v>-0.13301098935303499</v>
      </c>
      <c r="Q1732">
        <v>0.105631405932317</v>
      </c>
      <c r="R1732">
        <v>0.993486247679776</v>
      </c>
      <c r="S1732" t="s">
        <v>8017</v>
      </c>
      <c r="T1732" t="s">
        <v>12568</v>
      </c>
      <c r="U1732" t="s">
        <v>12568</v>
      </c>
      <c r="V1732" t="s">
        <v>12568</v>
      </c>
      <c r="W1732" t="s">
        <v>14269</v>
      </c>
      <c r="X1732">
        <v>8</v>
      </c>
      <c r="Y1732" t="s">
        <v>20464</v>
      </c>
      <c r="Z1732" t="s">
        <v>26602</v>
      </c>
      <c r="AA1732">
        <v>0.34435869985567957</v>
      </c>
      <c r="AB1732" t="str">
        <f>HYPERLINK("Melting_Curves/meltCurve_P16278_3_GLB1.pdf", "Melting_Curves/meltCurve_P16278_3_GLB1.pdf")</f>
        <v>Melting_Curves/meltCurve_P16278_3_GLB1.pdf</v>
      </c>
    </row>
    <row r="1733" spans="1:28" x14ac:dyDescent="0.25">
      <c r="A1733" t="s">
        <v>1737</v>
      </c>
      <c r="B1733">
        <v>0.99352677808782597</v>
      </c>
      <c r="C1733">
        <v>1.03169667967951</v>
      </c>
      <c r="D1733">
        <v>0.92702269171432505</v>
      </c>
      <c r="E1733">
        <v>0.78206687022135501</v>
      </c>
      <c r="F1733">
        <v>0.67408718832525705</v>
      </c>
      <c r="G1733">
        <v>0.45002058440475901</v>
      </c>
      <c r="H1733">
        <v>0.27552179518744802</v>
      </c>
      <c r="I1733">
        <v>0.22400129344095199</v>
      </c>
      <c r="J1733">
        <v>0.18111627365204999</v>
      </c>
      <c r="K1733">
        <v>0.119341155259506</v>
      </c>
      <c r="L1733">
        <v>704.26621460587103</v>
      </c>
      <c r="M1733">
        <v>12.752038337416799</v>
      </c>
      <c r="N1733">
        <v>55.9575119948977</v>
      </c>
      <c r="O1733">
        <v>53.922431216500598</v>
      </c>
      <c r="P1733">
        <v>-5.4603372683725199E-2</v>
      </c>
      <c r="Q1733">
        <v>7.6606886089320106E-2</v>
      </c>
      <c r="R1733">
        <v>0.99590947379101602</v>
      </c>
      <c r="S1733" t="s">
        <v>8018</v>
      </c>
      <c r="T1733" t="s">
        <v>12568</v>
      </c>
      <c r="U1733" t="s">
        <v>12568</v>
      </c>
      <c r="V1733" t="s">
        <v>12568</v>
      </c>
      <c r="W1733" t="s">
        <v>14270</v>
      </c>
      <c r="X1733">
        <v>12</v>
      </c>
      <c r="Y1733" t="s">
        <v>20465</v>
      </c>
      <c r="Z1733" t="s">
        <v>26603</v>
      </c>
      <c r="AA1733">
        <v>0.56550347060041017</v>
      </c>
      <c r="AB1733" t="str">
        <f>HYPERLINK("Melting_Curves/meltCurve_P16298_PPP3CB.pdf", "Melting_Curves/meltCurve_P16298_PPP3CB.pdf")</f>
        <v>Melting_Curves/meltCurve_P16298_PPP3CB.pdf</v>
      </c>
    </row>
    <row r="1734" spans="1:28" x14ac:dyDescent="0.25">
      <c r="A1734" t="s">
        <v>1738</v>
      </c>
      <c r="B1734">
        <v>0.99352677808782597</v>
      </c>
      <c r="C1734">
        <v>0.97550515335392196</v>
      </c>
      <c r="D1734">
        <v>1.0654891882805999</v>
      </c>
      <c r="E1734">
        <v>0.36742329597781398</v>
      </c>
      <c r="F1734">
        <v>0.28194569533149</v>
      </c>
      <c r="G1734">
        <v>0.164389951608167</v>
      </c>
      <c r="H1734">
        <v>0.14330239001348399</v>
      </c>
      <c r="I1734">
        <v>0.154877778144005</v>
      </c>
      <c r="J1734">
        <v>0.126415722258683</v>
      </c>
      <c r="K1734">
        <v>9.7003806576907103E-2</v>
      </c>
      <c r="L1734">
        <v>3416.68346377129</v>
      </c>
      <c r="M1734">
        <v>69.400393277481001</v>
      </c>
      <c r="N1734">
        <v>49.505269802225698</v>
      </c>
      <c r="O1734">
        <v>49.190641722515402</v>
      </c>
      <c r="P1734">
        <v>-0.29649868856714301</v>
      </c>
      <c r="Q1734">
        <v>0.15937321951116001</v>
      </c>
      <c r="R1734">
        <v>0.98324806985525903</v>
      </c>
      <c r="S1734" t="s">
        <v>8019</v>
      </c>
      <c r="T1734" t="s">
        <v>12568</v>
      </c>
      <c r="U1734" t="s">
        <v>12568</v>
      </c>
      <c r="V1734" t="s">
        <v>12568</v>
      </c>
      <c r="W1734" t="s">
        <v>14271</v>
      </c>
      <c r="X1734">
        <v>8</v>
      </c>
      <c r="Y1734" t="s">
        <v>20466</v>
      </c>
      <c r="Z1734" t="s">
        <v>26604</v>
      </c>
      <c r="AA1734">
        <v>0.41899228477130901</v>
      </c>
      <c r="AB1734" t="str">
        <f>HYPERLINK("Melting_Curves/meltCurve_P16333_NCK1.pdf", "Melting_Curves/meltCurve_P16333_NCK1.pdf")</f>
        <v>Melting_Curves/meltCurve_P16333_NCK1.pdf</v>
      </c>
    </row>
    <row r="1735" spans="1:28" x14ac:dyDescent="0.25">
      <c r="A1735" t="s">
        <v>1739</v>
      </c>
      <c r="B1735">
        <v>0.99352677808782597</v>
      </c>
      <c r="C1735">
        <v>0.94615088716565798</v>
      </c>
      <c r="D1735">
        <v>0.95848321014028803</v>
      </c>
      <c r="E1735">
        <v>0.54052846810638899</v>
      </c>
      <c r="F1735">
        <v>0.48924676175833898</v>
      </c>
      <c r="G1735">
        <v>0.39262916406068499</v>
      </c>
      <c r="H1735">
        <v>0.33054109907618401</v>
      </c>
      <c r="I1735">
        <v>0.35353941187028698</v>
      </c>
      <c r="J1735">
        <v>0.32211846972695801</v>
      </c>
      <c r="K1735">
        <v>0.28691772653775499</v>
      </c>
      <c r="L1735">
        <v>1202.2096485950699</v>
      </c>
      <c r="M1735">
        <v>24.430368502559102</v>
      </c>
      <c r="N1735">
        <v>51.537891102605698</v>
      </c>
      <c r="O1735">
        <v>48.883477845684503</v>
      </c>
      <c r="P1735">
        <v>-8.3191057386187803E-2</v>
      </c>
      <c r="Q1735">
        <v>0.334171600542158</v>
      </c>
      <c r="R1735">
        <v>0.97847175220357896</v>
      </c>
      <c r="S1735" t="s">
        <v>8020</v>
      </c>
      <c r="T1735" t="s">
        <v>12568</v>
      </c>
      <c r="U1735" t="s">
        <v>12568</v>
      </c>
      <c r="V1735" t="s">
        <v>12568</v>
      </c>
      <c r="W1735" t="s">
        <v>14272</v>
      </c>
      <c r="X1735">
        <v>8</v>
      </c>
      <c r="Y1735" t="s">
        <v>20467</v>
      </c>
      <c r="Z1735" t="s">
        <v>26605</v>
      </c>
      <c r="AA1735">
        <v>0.54476748974684452</v>
      </c>
      <c r="AB1735" t="str">
        <f>HYPERLINK("Melting_Curves/meltCurve_P16383_GCFC2.pdf", "Melting_Curves/meltCurve_P16383_GCFC2.pdf")</f>
        <v>Melting_Curves/meltCurve_P16383_GCFC2.pdf</v>
      </c>
    </row>
    <row r="1736" spans="1:28" x14ac:dyDescent="0.25">
      <c r="A1736" t="s">
        <v>1740</v>
      </c>
      <c r="B1736">
        <v>0.99352677808782597</v>
      </c>
      <c r="C1736">
        <v>1.09194643228397</v>
      </c>
      <c r="D1736">
        <v>1.1846720063089</v>
      </c>
      <c r="E1736">
        <v>1.0549845419180801</v>
      </c>
      <c r="F1736">
        <v>0.91015168569435501</v>
      </c>
      <c r="G1736">
        <v>0.69998853326906996</v>
      </c>
      <c r="H1736">
        <v>0.65356515626022005</v>
      </c>
      <c r="I1736">
        <v>0.590944734770943</v>
      </c>
      <c r="J1736">
        <v>0.69298036740008795</v>
      </c>
      <c r="K1736">
        <v>0.65833755786830805</v>
      </c>
      <c r="L1736">
        <v>2504.1253003912302</v>
      </c>
      <c r="M1736">
        <v>46.000942019335398</v>
      </c>
      <c r="O1736">
        <v>54.333815805446598</v>
      </c>
      <c r="P1736">
        <v>-7.4039395558731194E-2</v>
      </c>
      <c r="Q1736">
        <v>0.65019516141340705</v>
      </c>
      <c r="R1736">
        <v>0.877968013494829</v>
      </c>
      <c r="S1736" t="s">
        <v>8021</v>
      </c>
      <c r="T1736" t="s">
        <v>12568</v>
      </c>
      <c r="U1736" t="s">
        <v>12568</v>
      </c>
      <c r="V1736" t="s">
        <v>12568</v>
      </c>
      <c r="W1736" t="s">
        <v>14273</v>
      </c>
      <c r="X1736">
        <v>13</v>
      </c>
      <c r="Y1736" t="s">
        <v>20468</v>
      </c>
      <c r="Z1736" t="s">
        <v>26606</v>
      </c>
      <c r="AA1736">
        <v>0.81951830625449429</v>
      </c>
      <c r="AB1736" t="str">
        <f>HYPERLINK("Melting_Curves/meltCurve_P16401_HIST1H1B.pdf", "Melting_Curves/meltCurve_P16401_HIST1H1B.pdf")</f>
        <v>Melting_Curves/meltCurve_P16401_HIST1H1B.pdf</v>
      </c>
    </row>
    <row r="1737" spans="1:28" x14ac:dyDescent="0.25">
      <c r="A1737" t="s">
        <v>1741</v>
      </c>
      <c r="B1737">
        <v>0.99352677808782597</v>
      </c>
      <c r="C1737">
        <v>1.0457378538773801</v>
      </c>
      <c r="D1737">
        <v>1.10555000070072</v>
      </c>
      <c r="E1737">
        <v>0.96594003564347897</v>
      </c>
      <c r="F1737">
        <v>0.84914538356199298</v>
      </c>
      <c r="G1737">
        <v>0.61192930948417201</v>
      </c>
      <c r="H1737">
        <v>0.54252890529342201</v>
      </c>
      <c r="I1737">
        <v>0.497143998589888</v>
      </c>
      <c r="J1737">
        <v>0.60329533850047201</v>
      </c>
      <c r="K1737">
        <v>0.559342855189496</v>
      </c>
      <c r="L1737">
        <v>1978.34773840514</v>
      </c>
      <c r="M1737">
        <v>36.644654092997399</v>
      </c>
      <c r="O1737">
        <v>53.827328809315098</v>
      </c>
      <c r="P1737">
        <v>-7.66437795088077E-2</v>
      </c>
      <c r="Q1737">
        <v>0.549673180519341</v>
      </c>
      <c r="R1737">
        <v>0.96121861912394402</v>
      </c>
      <c r="S1737" t="s">
        <v>8022</v>
      </c>
      <c r="T1737" t="s">
        <v>12568</v>
      </c>
      <c r="U1737" t="s">
        <v>12568</v>
      </c>
      <c r="V1737" t="s">
        <v>12568</v>
      </c>
      <c r="W1737" t="s">
        <v>14274</v>
      </c>
      <c r="X1737">
        <v>14</v>
      </c>
      <c r="Y1737" t="s">
        <v>20469</v>
      </c>
      <c r="Z1737" t="s">
        <v>26607</v>
      </c>
      <c r="AA1737">
        <v>0.76163300702442849</v>
      </c>
      <c r="AB1737" t="str">
        <f>HYPERLINK("Melting_Curves/meltCurve_P16403_HIST1H1C.pdf", "Melting_Curves/meltCurve_P16403_HIST1H1C.pdf")</f>
        <v>Melting_Curves/meltCurve_P16403_HIST1H1C.pdf</v>
      </c>
    </row>
    <row r="1738" spans="1:28" x14ac:dyDescent="0.25">
      <c r="A1738" t="s">
        <v>1742</v>
      </c>
      <c r="B1738">
        <v>0.99352677808782597</v>
      </c>
      <c r="C1738">
        <v>0.92413321781033497</v>
      </c>
      <c r="D1738">
        <v>0.92577089681981695</v>
      </c>
      <c r="E1738">
        <v>0.50671012339783505</v>
      </c>
      <c r="F1738">
        <v>0.39681552449601398</v>
      </c>
      <c r="G1738">
        <v>0.221009243054442</v>
      </c>
      <c r="H1738">
        <v>0.18829979372243699</v>
      </c>
      <c r="I1738">
        <v>0.17873887302663</v>
      </c>
      <c r="J1738">
        <v>0.13998785416211301</v>
      </c>
      <c r="K1738">
        <v>0.10960022798137201</v>
      </c>
      <c r="L1738">
        <v>945.75129626759599</v>
      </c>
      <c r="M1738">
        <v>18.931222519309699</v>
      </c>
      <c r="N1738">
        <v>50.865014035131203</v>
      </c>
      <c r="O1738">
        <v>49.4098106597867</v>
      </c>
      <c r="P1738">
        <v>-8.20587398350313E-2</v>
      </c>
      <c r="Q1738">
        <v>0.14335328694288499</v>
      </c>
      <c r="R1738">
        <v>0.98837684594393604</v>
      </c>
      <c r="S1738" t="s">
        <v>8023</v>
      </c>
      <c r="T1738" t="s">
        <v>12568</v>
      </c>
      <c r="U1738" t="s">
        <v>12568</v>
      </c>
      <c r="V1738" t="s">
        <v>12568</v>
      </c>
      <c r="W1738" t="s">
        <v>14275</v>
      </c>
      <c r="X1738">
        <v>4</v>
      </c>
      <c r="Y1738" t="s">
        <v>20470</v>
      </c>
      <c r="Z1738" t="s">
        <v>26608</v>
      </c>
      <c r="AA1738">
        <v>0.44095089499253332</v>
      </c>
      <c r="AB1738" t="str">
        <f>HYPERLINK("Melting_Curves/meltCurve_P16455_MGMT.pdf", "Melting_Curves/meltCurve_P16455_MGMT.pdf")</f>
        <v>Melting_Curves/meltCurve_P16455_MGMT.pdf</v>
      </c>
    </row>
    <row r="1739" spans="1:28" x14ac:dyDescent="0.25">
      <c r="A1739" t="s">
        <v>1743</v>
      </c>
      <c r="B1739">
        <v>0.99352677808782597</v>
      </c>
      <c r="C1739">
        <v>1.0813978530386701</v>
      </c>
      <c r="D1739">
        <v>0.856184730672918</v>
      </c>
      <c r="E1739">
        <v>0.79275887809767598</v>
      </c>
      <c r="F1739">
        <v>0.65289211690631399</v>
      </c>
      <c r="G1739">
        <v>0.50134763692239204</v>
      </c>
      <c r="H1739">
        <v>0.74645639850929701</v>
      </c>
      <c r="I1739">
        <v>0.53097388730795003</v>
      </c>
      <c r="J1739">
        <v>0.798688689174193</v>
      </c>
      <c r="K1739">
        <v>0.26236344308724402</v>
      </c>
      <c r="L1739">
        <v>933.72172867707195</v>
      </c>
      <c r="M1739">
        <v>18.816037797321499</v>
      </c>
      <c r="O1739">
        <v>49.073398466962402</v>
      </c>
      <c r="P1739">
        <v>-4.2443185526319399E-2</v>
      </c>
      <c r="Q1739">
        <v>0.55724045484014495</v>
      </c>
      <c r="R1739">
        <v>0.62377993596331205</v>
      </c>
      <c r="S1739" t="s">
        <v>8024</v>
      </c>
      <c r="T1739" t="s">
        <v>12568</v>
      </c>
      <c r="U1739" t="s">
        <v>12568</v>
      </c>
      <c r="V1739" t="s">
        <v>12568</v>
      </c>
      <c r="W1739" t="s">
        <v>14276</v>
      </c>
      <c r="X1739">
        <v>4</v>
      </c>
      <c r="Y1739" t="s">
        <v>20471</v>
      </c>
      <c r="Z1739" t="s">
        <v>26609</v>
      </c>
      <c r="AA1739">
        <v>0.70623620803289688</v>
      </c>
      <c r="AB1739" t="str">
        <f>HYPERLINK("Melting_Curves/meltCurve_P16885_PLCG2.pdf", "Melting_Curves/meltCurve_P16885_PLCG2.pdf")</f>
        <v>Melting_Curves/meltCurve_P16885_PLCG2.pdf</v>
      </c>
    </row>
    <row r="1740" spans="1:28" x14ac:dyDescent="0.25">
      <c r="A1740" t="s">
        <v>1744</v>
      </c>
      <c r="B1740">
        <v>0.99352677808782597</v>
      </c>
      <c r="C1740">
        <v>1.01013697868451</v>
      </c>
      <c r="D1740">
        <v>0.98972056359386396</v>
      </c>
      <c r="E1740">
        <v>0.94002010155169002</v>
      </c>
      <c r="F1740">
        <v>0.82968364200252098</v>
      </c>
      <c r="G1740">
        <v>0.70966645304871501</v>
      </c>
      <c r="H1740">
        <v>0.93574864687592796</v>
      </c>
      <c r="I1740">
        <v>1.00814565526817</v>
      </c>
      <c r="J1740">
        <v>1.0130570938738901</v>
      </c>
      <c r="K1740">
        <v>0.33165104761599701</v>
      </c>
      <c r="L1740">
        <v>15000</v>
      </c>
      <c r="M1740">
        <v>214.98640452224299</v>
      </c>
      <c r="N1740">
        <v>69.7718711734246</v>
      </c>
      <c r="O1740">
        <v>69.7658164002532</v>
      </c>
      <c r="P1740">
        <v>-0.77038590023368703</v>
      </c>
      <c r="Q1740">
        <v>0</v>
      </c>
      <c r="R1740">
        <v>0.70703128582967001</v>
      </c>
      <c r="S1740" t="s">
        <v>8025</v>
      </c>
      <c r="T1740" t="s">
        <v>12568</v>
      </c>
      <c r="U1740" t="s">
        <v>12568</v>
      </c>
      <c r="V1740" t="s">
        <v>12568</v>
      </c>
      <c r="W1740" t="s">
        <v>14277</v>
      </c>
      <c r="X1740">
        <v>12</v>
      </c>
      <c r="Y1740" t="s">
        <v>20472</v>
      </c>
      <c r="Z1740" t="s">
        <v>26610</v>
      </c>
      <c r="AA1740">
        <v>0.98812702541677078</v>
      </c>
      <c r="AB1740" t="str">
        <f>HYPERLINK("Melting_Curves/meltCurve_P16930_FAH.pdf", "Melting_Curves/meltCurve_P16930_FAH.pdf")</f>
        <v>Melting_Curves/meltCurve_P16930_FAH.pdf</v>
      </c>
    </row>
    <row r="1741" spans="1:28" x14ac:dyDescent="0.25">
      <c r="A1741" t="s">
        <v>1745</v>
      </c>
      <c r="B1741">
        <v>0.99352677808782597</v>
      </c>
      <c r="C1741">
        <v>0.99181124827208</v>
      </c>
      <c r="D1741">
        <v>0.98582558148375998</v>
      </c>
      <c r="E1741">
        <v>0.99122000526681298</v>
      </c>
      <c r="F1741">
        <v>0.94566878370213803</v>
      </c>
      <c r="G1741">
        <v>0.82480473278650701</v>
      </c>
      <c r="H1741">
        <v>0.92962221872020601</v>
      </c>
      <c r="I1741">
        <v>0.81074121349615702</v>
      </c>
      <c r="J1741">
        <v>1.06143032578608</v>
      </c>
      <c r="K1741">
        <v>0.71537615256666698</v>
      </c>
      <c r="L1741">
        <v>12835.685118466799</v>
      </c>
      <c r="M1741">
        <v>241.83048129007599</v>
      </c>
      <c r="O1741">
        <v>53.073571371666702</v>
      </c>
      <c r="P1741">
        <v>-0.14991509559284499</v>
      </c>
      <c r="Q1741">
        <v>0.86839492752087399</v>
      </c>
      <c r="R1741">
        <v>0.32228146904760702</v>
      </c>
      <c r="S1741" t="s">
        <v>8026</v>
      </c>
      <c r="T1741" t="s">
        <v>12568</v>
      </c>
      <c r="U1741" t="s">
        <v>12568</v>
      </c>
      <c r="V1741" t="s">
        <v>12568</v>
      </c>
      <c r="W1741" t="s">
        <v>12853</v>
      </c>
      <c r="X1741">
        <v>21</v>
      </c>
      <c r="Y1741" t="s">
        <v>20473</v>
      </c>
      <c r="Z1741" t="s">
        <v>26611</v>
      </c>
      <c r="AA1741">
        <v>0.92577556279062867</v>
      </c>
      <c r="AB1741" t="str">
        <f>HYPERLINK("Melting_Curves/meltCurve_P16949_STMN1.pdf", "Melting_Curves/meltCurve_P16949_STMN1.pdf")</f>
        <v>Melting_Curves/meltCurve_P16949_STMN1.pdf</v>
      </c>
    </row>
    <row r="1742" spans="1:28" x14ac:dyDescent="0.25">
      <c r="A1742" t="s">
        <v>1746</v>
      </c>
      <c r="B1742">
        <v>0.99352677808782597</v>
      </c>
      <c r="C1742">
        <v>0.98896573604438298</v>
      </c>
      <c r="D1742">
        <v>0.96466402571014997</v>
      </c>
      <c r="E1742">
        <v>0.91266816716124999</v>
      </c>
      <c r="F1742">
        <v>0.83400132781883196</v>
      </c>
      <c r="G1742">
        <v>0.72338273783166396</v>
      </c>
      <c r="H1742">
        <v>0.84499386163159196</v>
      </c>
      <c r="I1742">
        <v>0.90600210187724095</v>
      </c>
      <c r="J1742">
        <v>1.0429958974399101</v>
      </c>
      <c r="K1742">
        <v>0.80424915352539905</v>
      </c>
      <c r="L1742">
        <v>1617.7707730995</v>
      </c>
      <c r="M1742">
        <v>33.654938757101199</v>
      </c>
      <c r="O1742">
        <v>47.900595052851003</v>
      </c>
      <c r="P1742">
        <v>-2.44099795804349E-2</v>
      </c>
      <c r="Q1742">
        <v>0.86103112089825895</v>
      </c>
      <c r="R1742">
        <v>0.33265121705477002</v>
      </c>
      <c r="S1742" t="s">
        <v>8027</v>
      </c>
      <c r="T1742" t="s">
        <v>12568</v>
      </c>
      <c r="U1742" t="s">
        <v>12568</v>
      </c>
      <c r="V1742" t="s">
        <v>12568</v>
      </c>
      <c r="W1742" t="s">
        <v>14278</v>
      </c>
      <c r="X1742">
        <v>12</v>
      </c>
      <c r="Y1742" t="s">
        <v>20474</v>
      </c>
      <c r="Z1742" t="s">
        <v>26612</v>
      </c>
      <c r="AA1742">
        <v>0.89907009552257611</v>
      </c>
      <c r="AB1742" t="str">
        <f>HYPERLINK("Melting_Curves/meltCurve_P16989_YBX3.pdf", "Melting_Curves/meltCurve_P16989_YBX3.pdf")</f>
        <v>Melting_Curves/meltCurve_P16989_YBX3.pdf</v>
      </c>
    </row>
    <row r="1743" spans="1:28" x14ac:dyDescent="0.25">
      <c r="A1743" t="s">
        <v>1747</v>
      </c>
      <c r="B1743">
        <v>0.99352677808782597</v>
      </c>
      <c r="C1743">
        <v>0.96199431806894498</v>
      </c>
      <c r="D1743">
        <v>0.85672963862735496</v>
      </c>
      <c r="E1743">
        <v>0.71819349148899103</v>
      </c>
      <c r="F1743">
        <v>0.66994221010954202</v>
      </c>
      <c r="G1743">
        <v>0.53119097305915597</v>
      </c>
      <c r="H1743">
        <v>0.75555386226697996</v>
      </c>
      <c r="I1743">
        <v>0.77771804560898405</v>
      </c>
      <c r="J1743">
        <v>0.75146898457895706</v>
      </c>
      <c r="K1743">
        <v>0.624004773916781</v>
      </c>
      <c r="L1743">
        <v>1448.1373515994801</v>
      </c>
      <c r="M1743">
        <v>31.358798782255299</v>
      </c>
      <c r="O1743">
        <v>45.9930427479283</v>
      </c>
      <c r="P1743">
        <v>-5.3656040382878398E-2</v>
      </c>
      <c r="Q1743">
        <v>0.68521868954820198</v>
      </c>
      <c r="R1743">
        <v>0.75095748437052101</v>
      </c>
      <c r="S1743" t="s">
        <v>8028</v>
      </c>
      <c r="T1743" t="s">
        <v>12568</v>
      </c>
      <c r="U1743" t="s">
        <v>12568</v>
      </c>
      <c r="V1743" t="s">
        <v>12568</v>
      </c>
      <c r="W1743" t="s">
        <v>14279</v>
      </c>
      <c r="X1743">
        <v>10</v>
      </c>
      <c r="Y1743" t="s">
        <v>20474</v>
      </c>
      <c r="Z1743" t="s">
        <v>26613</v>
      </c>
      <c r="AA1743">
        <v>0.75178954742143511</v>
      </c>
      <c r="AB1743" t="str">
        <f>HYPERLINK("Melting_Curves/meltCurve_P16989_2_YBX3.pdf", "Melting_Curves/meltCurve_P16989_2_YBX3.pdf")</f>
        <v>Melting_Curves/meltCurve_P16989_2_YBX3.pdf</v>
      </c>
    </row>
    <row r="1744" spans="1:28" x14ac:dyDescent="0.25">
      <c r="A1744" t="s">
        <v>1748</v>
      </c>
      <c r="B1744">
        <v>0.99352677808782597</v>
      </c>
      <c r="C1744">
        <v>1.07677140840359</v>
      </c>
      <c r="D1744">
        <v>1.2486561926219</v>
      </c>
      <c r="E1744">
        <v>0.86178978016918195</v>
      </c>
      <c r="F1744">
        <v>0.81067468296752299</v>
      </c>
      <c r="G1744">
        <v>0.411414904444864</v>
      </c>
      <c r="H1744">
        <v>0.39995231625541799</v>
      </c>
      <c r="I1744">
        <v>0.41343862003214099</v>
      </c>
      <c r="J1744">
        <v>0.66264820281509096</v>
      </c>
      <c r="K1744">
        <v>0.41109563937311999</v>
      </c>
      <c r="L1744">
        <v>2686.77388031585</v>
      </c>
      <c r="M1744">
        <v>50.277588370641702</v>
      </c>
      <c r="N1744">
        <v>56.178308935385601</v>
      </c>
      <c r="O1744">
        <v>53.354464907333401</v>
      </c>
      <c r="P1744">
        <v>-0.12793826865060601</v>
      </c>
      <c r="Q1744">
        <v>0.45692928132141297</v>
      </c>
      <c r="R1744">
        <v>0.84695808450334897</v>
      </c>
      <c r="S1744" t="s">
        <v>8029</v>
      </c>
      <c r="T1744" t="s">
        <v>12568</v>
      </c>
      <c r="U1744" t="s">
        <v>12568</v>
      </c>
      <c r="V1744" t="s">
        <v>12568</v>
      </c>
      <c r="W1744" t="s">
        <v>14280</v>
      </c>
      <c r="X1744">
        <v>1</v>
      </c>
      <c r="Y1744" t="s">
        <v>20475</v>
      </c>
      <c r="Z1744" t="s">
        <v>26614</v>
      </c>
      <c r="AA1744">
        <v>0.70146891988126059</v>
      </c>
      <c r="AB1744" t="str">
        <f>HYPERLINK("Melting_Curves/meltCurve_P17010_2_ZFX.pdf", "Melting_Curves/meltCurve_P17010_2_ZFX.pdf")</f>
        <v>Melting_Curves/meltCurve_P17010_2_ZFX.pdf</v>
      </c>
    </row>
    <row r="1745" spans="1:28" x14ac:dyDescent="0.25">
      <c r="A1745" t="s">
        <v>1749</v>
      </c>
      <c r="B1745">
        <v>0.99352677808782597</v>
      </c>
      <c r="C1745">
        <v>0.88645297808657797</v>
      </c>
      <c r="D1745">
        <v>0.92459927224354099</v>
      </c>
      <c r="E1745">
        <v>0.774555139876141</v>
      </c>
      <c r="F1745">
        <v>0.695175112875691</v>
      </c>
      <c r="G1745">
        <v>0.48147065830672697</v>
      </c>
      <c r="H1745">
        <v>0.29031577322611501</v>
      </c>
      <c r="I1745">
        <v>0.27775141002014397</v>
      </c>
      <c r="J1745">
        <v>0.25871841136208201</v>
      </c>
      <c r="K1745">
        <v>0.22842148383202099</v>
      </c>
      <c r="L1745">
        <v>639.581565570419</v>
      </c>
      <c r="M1745">
        <v>11.7083884396095</v>
      </c>
      <c r="N1745">
        <v>56.3887609780597</v>
      </c>
      <c r="O1745">
        <v>53.105430031383698</v>
      </c>
      <c r="P1745">
        <v>-4.6683499732917501E-2</v>
      </c>
      <c r="Q1745">
        <v>0.15326002623371299</v>
      </c>
      <c r="R1745">
        <v>0.98551026543687004</v>
      </c>
      <c r="S1745" t="s">
        <v>8030</v>
      </c>
      <c r="T1745" t="s">
        <v>12568</v>
      </c>
      <c r="U1745" t="s">
        <v>12568</v>
      </c>
      <c r="V1745" t="s">
        <v>12568</v>
      </c>
      <c r="W1745" t="s">
        <v>14281</v>
      </c>
      <c r="X1745">
        <v>3</v>
      </c>
      <c r="Y1745" t="s">
        <v>20476</v>
      </c>
      <c r="Z1745" t="s">
        <v>26615</v>
      </c>
      <c r="AA1745">
        <v>0.58720284301661985</v>
      </c>
      <c r="AB1745" t="str">
        <f>HYPERLINK("Melting_Curves/meltCurve_P17028_ZNF24.pdf", "Melting_Curves/meltCurve_P17028_ZNF24.pdf")</f>
        <v>Melting_Curves/meltCurve_P17028_ZNF24.pdf</v>
      </c>
    </row>
    <row r="1746" spans="1:28" x14ac:dyDescent="0.25">
      <c r="A1746" t="s">
        <v>1750</v>
      </c>
      <c r="B1746">
        <v>0.99352677808782597</v>
      </c>
      <c r="C1746">
        <v>0.88967699695313796</v>
      </c>
      <c r="D1746">
        <v>0.956243081353224</v>
      </c>
      <c r="E1746">
        <v>0.64859498712742802</v>
      </c>
      <c r="F1746">
        <v>0.67214267975595499</v>
      </c>
      <c r="G1746">
        <v>0.41683023498393001</v>
      </c>
      <c r="H1746">
        <v>0.393944031242903</v>
      </c>
      <c r="I1746">
        <v>0.36845426509229701</v>
      </c>
      <c r="J1746">
        <v>0.377546704183777</v>
      </c>
      <c r="K1746">
        <v>0.29743571103761901</v>
      </c>
      <c r="L1746">
        <v>662.63710218063704</v>
      </c>
      <c r="M1746">
        <v>12.8302493044757</v>
      </c>
      <c r="N1746">
        <v>55.756518685657603</v>
      </c>
      <c r="O1746">
        <v>50.440074888723998</v>
      </c>
      <c r="P1746">
        <v>-4.4152878388338999E-2</v>
      </c>
      <c r="Q1746">
        <v>0.30580913067447602</v>
      </c>
      <c r="R1746">
        <v>0.95936226730430196</v>
      </c>
      <c r="S1746" t="s">
        <v>8031</v>
      </c>
      <c r="T1746" t="s">
        <v>12568</v>
      </c>
      <c r="U1746" t="s">
        <v>12568</v>
      </c>
      <c r="V1746" t="s">
        <v>12568</v>
      </c>
      <c r="W1746" t="s">
        <v>14282</v>
      </c>
      <c r="X1746">
        <v>2</v>
      </c>
      <c r="Y1746" t="s">
        <v>20477</v>
      </c>
      <c r="Z1746" t="s">
        <v>26616</v>
      </c>
      <c r="AA1746">
        <v>0.59513926269325956</v>
      </c>
      <c r="AB1746" t="str">
        <f>HYPERLINK("Melting_Curves/meltCurve_P17029_ZKSCAN1.pdf", "Melting_Curves/meltCurve_P17029_ZKSCAN1.pdf")</f>
        <v>Melting_Curves/meltCurve_P17029_ZKSCAN1.pdf</v>
      </c>
    </row>
    <row r="1747" spans="1:28" x14ac:dyDescent="0.25">
      <c r="A1747" t="s">
        <v>1751</v>
      </c>
      <c r="B1747">
        <v>0.99352677808782597</v>
      </c>
      <c r="C1747">
        <v>0.96642143652467405</v>
      </c>
      <c r="D1747">
        <v>1.1524038797881599</v>
      </c>
      <c r="E1747">
        <v>1.0130442593486899</v>
      </c>
      <c r="F1747">
        <v>0.99506371560877005</v>
      </c>
      <c r="G1747">
        <v>0.92956688588398595</v>
      </c>
      <c r="H1747">
        <v>0.928757015178023</v>
      </c>
      <c r="I1747">
        <v>1.09899535199521</v>
      </c>
      <c r="J1747">
        <v>1.59239661749913</v>
      </c>
      <c r="K1747">
        <v>1.29611043156812</v>
      </c>
      <c r="L1747">
        <v>15000</v>
      </c>
      <c r="M1747">
        <v>233.12682223414399</v>
      </c>
      <c r="O1747">
        <v>64.337917057946896</v>
      </c>
      <c r="P1747">
        <v>0.402439944828695</v>
      </c>
      <c r="Q1747">
        <v>1.4442586388817</v>
      </c>
      <c r="R1747">
        <v>0.79846384483753996</v>
      </c>
      <c r="S1747" t="s">
        <v>8032</v>
      </c>
      <c r="T1747" t="s">
        <v>12568</v>
      </c>
      <c r="U1747" t="s">
        <v>12568</v>
      </c>
      <c r="V1747" t="s">
        <v>12568</v>
      </c>
      <c r="W1747" t="s">
        <v>14283</v>
      </c>
      <c r="X1747">
        <v>3</v>
      </c>
      <c r="Y1747" t="s">
        <v>20478</v>
      </c>
      <c r="Z1747" t="s">
        <v>26617</v>
      </c>
      <c r="AA1747">
        <v>1.083719704401144</v>
      </c>
      <c r="AB1747" t="str">
        <f>HYPERLINK("Melting_Curves/meltCurve_P17039_ZNF30.pdf", "Melting_Curves/meltCurve_P17039_ZNF30.pdf")</f>
        <v>Melting_Curves/meltCurve_P17039_ZNF30.pdf</v>
      </c>
    </row>
    <row r="1748" spans="1:28" x14ac:dyDescent="0.25">
      <c r="A1748" t="s">
        <v>1752</v>
      </c>
      <c r="B1748">
        <v>0.99352677808782597</v>
      </c>
      <c r="C1748">
        <v>0.98912744597471502</v>
      </c>
      <c r="D1748">
        <v>0.925639046024331</v>
      </c>
      <c r="E1748">
        <v>0.88637030059265598</v>
      </c>
      <c r="F1748">
        <v>0.78710208971527196</v>
      </c>
      <c r="G1748">
        <v>0.48227567338398902</v>
      </c>
      <c r="H1748">
        <v>0.275348531150788</v>
      </c>
      <c r="I1748">
        <v>0.18232675664636799</v>
      </c>
      <c r="J1748">
        <v>0.139447603312184</v>
      </c>
      <c r="K1748">
        <v>0.105605627916613</v>
      </c>
      <c r="L1748">
        <v>915.63767666976901</v>
      </c>
      <c r="M1748">
        <v>16.231406471171798</v>
      </c>
      <c r="N1748">
        <v>56.911679948497202</v>
      </c>
      <c r="O1748">
        <v>55.576049597697001</v>
      </c>
      <c r="P1748">
        <v>-6.8165841268476399E-2</v>
      </c>
      <c r="Q1748">
        <v>6.6474391183015097E-2</v>
      </c>
      <c r="R1748">
        <v>0.99694490955391202</v>
      </c>
      <c r="S1748" t="s">
        <v>8033</v>
      </c>
      <c r="T1748" t="s">
        <v>12568</v>
      </c>
      <c r="U1748" t="s">
        <v>12568</v>
      </c>
      <c r="V1748" t="s">
        <v>12568</v>
      </c>
      <c r="W1748" t="s">
        <v>14284</v>
      </c>
      <c r="X1748">
        <v>3</v>
      </c>
      <c r="Y1748" t="s">
        <v>20479</v>
      </c>
      <c r="Z1748" t="s">
        <v>26618</v>
      </c>
      <c r="AA1748">
        <v>0.59202972240221252</v>
      </c>
      <c r="AB1748" t="str">
        <f>HYPERLINK("Melting_Curves/meltCurve_P17050_NAGA.pdf", "Melting_Curves/meltCurve_P17050_NAGA.pdf")</f>
        <v>Melting_Curves/meltCurve_P17050_NAGA.pdf</v>
      </c>
    </row>
    <row r="1749" spans="1:28" x14ac:dyDescent="0.25">
      <c r="A1749" t="s">
        <v>1753</v>
      </c>
      <c r="B1749">
        <v>0.99352677808782597</v>
      </c>
      <c r="C1749">
        <v>0.97119802311896897</v>
      </c>
      <c r="D1749">
        <v>0.92083033924496505</v>
      </c>
      <c r="E1749">
        <v>0.73025380066971801</v>
      </c>
      <c r="F1749">
        <v>0.70247506804227899</v>
      </c>
      <c r="G1749">
        <v>0.22678706148466199</v>
      </c>
      <c r="H1749">
        <v>0.14022781788469799</v>
      </c>
      <c r="I1749">
        <v>0.115699263775794</v>
      </c>
      <c r="J1749">
        <v>9.4057962147380006E-2</v>
      </c>
      <c r="K1749">
        <v>6.2173551166183803E-2</v>
      </c>
      <c r="L1749">
        <v>944.07175218180396</v>
      </c>
      <c r="M1749">
        <v>17.547559936610899</v>
      </c>
      <c r="N1749">
        <v>54.095061827458103</v>
      </c>
      <c r="O1749">
        <v>53.116600066216499</v>
      </c>
      <c r="P1749">
        <v>-7.8834038154605796E-2</v>
      </c>
      <c r="Q1749">
        <v>4.55269594959316E-2</v>
      </c>
      <c r="R1749">
        <v>0.98134775839212196</v>
      </c>
      <c r="S1749" t="s">
        <v>8034</v>
      </c>
      <c r="T1749" t="s">
        <v>12568</v>
      </c>
      <c r="U1749" t="s">
        <v>12568</v>
      </c>
      <c r="V1749" t="s">
        <v>12568</v>
      </c>
      <c r="W1749" t="s">
        <v>14285</v>
      </c>
      <c r="X1749">
        <v>16</v>
      </c>
      <c r="Y1749" t="s">
        <v>20480</v>
      </c>
      <c r="Z1749" t="s">
        <v>26619</v>
      </c>
      <c r="AA1749">
        <v>0.50055592989314779</v>
      </c>
      <c r="AB1749" t="str">
        <f>HYPERLINK("Melting_Curves/meltCurve_P17066_HSPA6.pdf", "Melting_Curves/meltCurve_P17066_HSPA6.pdf")</f>
        <v>Melting_Curves/meltCurve_P17066_HSPA6.pdf</v>
      </c>
    </row>
    <row r="1750" spans="1:28" x14ac:dyDescent="0.25">
      <c r="A1750" t="s">
        <v>1754</v>
      </c>
      <c r="B1750">
        <v>0.99352677808782597</v>
      </c>
      <c r="C1750">
        <v>0.92540332878690001</v>
      </c>
      <c r="D1750">
        <v>0.91303934247484397</v>
      </c>
      <c r="E1750">
        <v>1.01221811028736</v>
      </c>
      <c r="F1750">
        <v>0.94293278075421305</v>
      </c>
      <c r="G1750">
        <v>0.91519501555582305</v>
      </c>
      <c r="H1750">
        <v>0.826003086900015</v>
      </c>
      <c r="I1750">
        <v>0.88461797193048097</v>
      </c>
      <c r="J1750">
        <v>0.81599580979568698</v>
      </c>
      <c r="K1750">
        <v>0.82607136354607003</v>
      </c>
      <c r="L1750">
        <v>226.70802130700099</v>
      </c>
      <c r="M1750">
        <v>1.75199859298521</v>
      </c>
      <c r="Q1750">
        <v>0</v>
      </c>
      <c r="R1750">
        <v>0.67217746010464596</v>
      </c>
      <c r="S1750" t="s">
        <v>8035</v>
      </c>
      <c r="T1750" t="s">
        <v>12568</v>
      </c>
      <c r="U1750" t="s">
        <v>12568</v>
      </c>
      <c r="V1750" t="s">
        <v>12568</v>
      </c>
      <c r="W1750" t="s">
        <v>14286</v>
      </c>
      <c r="X1750">
        <v>3</v>
      </c>
      <c r="Y1750" t="s">
        <v>20481</v>
      </c>
      <c r="Z1750" t="s">
        <v>26620</v>
      </c>
      <c r="AA1750">
        <v>0.90894193439645288</v>
      </c>
      <c r="AB1750" t="str">
        <f>HYPERLINK("Melting_Curves/meltCurve_P17096_HMGA1.pdf", "Melting_Curves/meltCurve_P17096_HMGA1.pdf")</f>
        <v>Melting_Curves/meltCurve_P17096_HMGA1.pdf</v>
      </c>
    </row>
    <row r="1751" spans="1:28" x14ac:dyDescent="0.25">
      <c r="A1751" t="s">
        <v>1755</v>
      </c>
      <c r="B1751">
        <v>0.99352677808782597</v>
      </c>
      <c r="C1751">
        <v>0.91582806713267495</v>
      </c>
      <c r="D1751">
        <v>1.0338929573047799</v>
      </c>
      <c r="E1751">
        <v>0.80598038946376904</v>
      </c>
      <c r="F1751">
        <v>0.88328414866043903</v>
      </c>
      <c r="G1751">
        <v>0.65364988586065997</v>
      </c>
      <c r="H1751">
        <v>0.681022228056543</v>
      </c>
      <c r="I1751">
        <v>0.68854167225446195</v>
      </c>
      <c r="J1751">
        <v>0.75791693357694501</v>
      </c>
      <c r="K1751">
        <v>0.56762165302863499</v>
      </c>
      <c r="L1751">
        <v>802.54723711120096</v>
      </c>
      <c r="M1751">
        <v>15.4182780305309</v>
      </c>
      <c r="O1751">
        <v>51.199635938194703</v>
      </c>
      <c r="P1751">
        <v>-2.6404723803579999E-2</v>
      </c>
      <c r="Q1751">
        <v>0.64930204733153896</v>
      </c>
      <c r="R1751">
        <v>0.79083502880465295</v>
      </c>
      <c r="S1751" t="s">
        <v>8036</v>
      </c>
      <c r="T1751" t="s">
        <v>12568</v>
      </c>
      <c r="U1751" t="s">
        <v>12568</v>
      </c>
      <c r="V1751" t="s">
        <v>12568</v>
      </c>
      <c r="W1751" t="s">
        <v>14287</v>
      </c>
      <c r="X1751">
        <v>4</v>
      </c>
      <c r="Y1751" t="s">
        <v>20482</v>
      </c>
      <c r="Z1751" t="s">
        <v>26621</v>
      </c>
      <c r="AA1751">
        <v>0.79768786412650461</v>
      </c>
      <c r="AB1751" t="str">
        <f>HYPERLINK("Melting_Curves/meltCurve_P17098_ZNF8.pdf", "Melting_Curves/meltCurve_P17098_ZNF8.pdf")</f>
        <v>Melting_Curves/meltCurve_P17098_ZNF8.pdf</v>
      </c>
    </row>
    <row r="1752" spans="1:28" x14ac:dyDescent="0.25">
      <c r="A1752" t="s">
        <v>1756</v>
      </c>
      <c r="B1752">
        <v>0.99352677808782597</v>
      </c>
      <c r="C1752">
        <v>1.0047769421360599</v>
      </c>
      <c r="D1752">
        <v>0.97181124509406902</v>
      </c>
      <c r="E1752">
        <v>0.89166315299727195</v>
      </c>
      <c r="F1752">
        <v>0.82780695416055805</v>
      </c>
      <c r="G1752">
        <v>0.64464600658188298</v>
      </c>
      <c r="H1752">
        <v>0.84583778224606199</v>
      </c>
      <c r="I1752">
        <v>0.88390852756195504</v>
      </c>
      <c r="J1752">
        <v>1.05424061831245</v>
      </c>
      <c r="K1752">
        <v>0.55677982395066306</v>
      </c>
      <c r="L1752">
        <v>1934.2701786912</v>
      </c>
      <c r="M1752">
        <v>38.918105642290797</v>
      </c>
      <c r="O1752">
        <v>49.570361931448097</v>
      </c>
      <c r="P1752">
        <v>-3.9369435163411702E-2</v>
      </c>
      <c r="Q1752">
        <v>0.79941959616423097</v>
      </c>
      <c r="R1752">
        <v>0.31148490000019102</v>
      </c>
      <c r="S1752" t="s">
        <v>8037</v>
      </c>
      <c r="T1752" t="s">
        <v>12568</v>
      </c>
      <c r="U1752" t="s">
        <v>12568</v>
      </c>
      <c r="V1752" t="s">
        <v>12568</v>
      </c>
      <c r="W1752" t="s">
        <v>14288</v>
      </c>
      <c r="X1752">
        <v>25</v>
      </c>
      <c r="Y1752" t="s">
        <v>20483</v>
      </c>
      <c r="Z1752" t="s">
        <v>26622</v>
      </c>
      <c r="AA1752">
        <v>0.8650095587383696</v>
      </c>
      <c r="AB1752" t="str">
        <f>HYPERLINK("Melting_Curves/meltCurve_P17174_GOT1.pdf", "Melting_Curves/meltCurve_P17174_GOT1.pdf")</f>
        <v>Melting_Curves/meltCurve_P17174_GOT1.pdf</v>
      </c>
    </row>
    <row r="1753" spans="1:28" x14ac:dyDescent="0.25">
      <c r="A1753" t="s">
        <v>1757</v>
      </c>
      <c r="B1753">
        <v>0.99352677808782597</v>
      </c>
      <c r="C1753">
        <v>0.90792393311835395</v>
      </c>
      <c r="D1753">
        <v>0.88405334460690399</v>
      </c>
      <c r="E1753">
        <v>0.25400961715625597</v>
      </c>
      <c r="F1753">
        <v>0.20380504434782101</v>
      </c>
      <c r="G1753">
        <v>0.12711356211236099</v>
      </c>
      <c r="H1753">
        <v>0.10174869825493101</v>
      </c>
      <c r="I1753">
        <v>0.10151853668996499</v>
      </c>
      <c r="J1753">
        <v>8.8185652645170406E-2</v>
      </c>
      <c r="K1753">
        <v>7.2932192332037404E-2</v>
      </c>
      <c r="L1753">
        <v>1779.6840242854601</v>
      </c>
      <c r="M1753">
        <v>37.005913355992497</v>
      </c>
      <c r="N1753">
        <v>48.4069755704502</v>
      </c>
      <c r="O1753">
        <v>47.952090408406903</v>
      </c>
      <c r="P1753">
        <v>-0.17228360212933999</v>
      </c>
      <c r="Q1753">
        <v>0.107025363075115</v>
      </c>
      <c r="R1753">
        <v>0.98912520642555701</v>
      </c>
      <c r="S1753" t="s">
        <v>8038</v>
      </c>
      <c r="T1753" t="s">
        <v>12568</v>
      </c>
      <c r="U1753" t="s">
        <v>12568</v>
      </c>
      <c r="V1753" t="s">
        <v>12568</v>
      </c>
      <c r="W1753" t="s">
        <v>14289</v>
      </c>
      <c r="X1753">
        <v>19</v>
      </c>
      <c r="Y1753" t="s">
        <v>20484</v>
      </c>
      <c r="Z1753" t="s">
        <v>26623</v>
      </c>
      <c r="AA1753">
        <v>0.35137489183738813</v>
      </c>
      <c r="AB1753" t="str">
        <f>HYPERLINK("Melting_Curves/meltCurve_P17252_PRKCA.pdf", "Melting_Curves/meltCurve_P17252_PRKCA.pdf")</f>
        <v>Melting_Curves/meltCurve_P17252_PRKCA.pdf</v>
      </c>
    </row>
    <row r="1754" spans="1:28" x14ac:dyDescent="0.25">
      <c r="A1754" t="s">
        <v>1758</v>
      </c>
      <c r="B1754">
        <v>0.99352677808782597</v>
      </c>
      <c r="C1754">
        <v>0.94815753268963499</v>
      </c>
      <c r="D1754">
        <v>1.0898557465663199</v>
      </c>
      <c r="E1754">
        <v>1.08580115347308</v>
      </c>
      <c r="F1754">
        <v>0.91545602563712303</v>
      </c>
      <c r="G1754">
        <v>0.85569338766793701</v>
      </c>
      <c r="H1754">
        <v>0.74169392440031401</v>
      </c>
      <c r="I1754">
        <v>0.72557386704459703</v>
      </c>
      <c r="J1754">
        <v>0.780812046036236</v>
      </c>
      <c r="K1754">
        <v>0.68310549137179</v>
      </c>
      <c r="L1754">
        <v>1585.5018249094001</v>
      </c>
      <c r="M1754">
        <v>28.129855380306701</v>
      </c>
      <c r="O1754">
        <v>56.081124406307502</v>
      </c>
      <c r="P1754">
        <v>-3.4655456176954598E-2</v>
      </c>
      <c r="Q1754">
        <v>0.72363873658058897</v>
      </c>
      <c r="R1754">
        <v>0.86482127407335496</v>
      </c>
      <c r="S1754" t="s">
        <v>8039</v>
      </c>
      <c r="T1754" t="s">
        <v>12568</v>
      </c>
      <c r="U1754" t="s">
        <v>12568</v>
      </c>
      <c r="V1754" t="s">
        <v>12568</v>
      </c>
      <c r="W1754" t="s">
        <v>14290</v>
      </c>
      <c r="X1754">
        <v>2</v>
      </c>
      <c r="Y1754" t="s">
        <v>20485</v>
      </c>
      <c r="Z1754" t="s">
        <v>26624</v>
      </c>
      <c r="AA1754">
        <v>0.87644900439651396</v>
      </c>
      <c r="AB1754" t="str">
        <f>HYPERLINK("Melting_Curves/meltCurve_P17275_JUNB.pdf", "Melting_Curves/meltCurve_P17275_JUNB.pdf")</f>
        <v>Melting_Curves/meltCurve_P17275_JUNB.pdf</v>
      </c>
    </row>
    <row r="1755" spans="1:28" x14ac:dyDescent="0.25">
      <c r="A1755" t="s">
        <v>1759</v>
      </c>
      <c r="B1755">
        <v>0.99352677808782597</v>
      </c>
      <c r="C1755">
        <v>0.87932288004972803</v>
      </c>
      <c r="D1755">
        <v>0.91390910099505496</v>
      </c>
      <c r="E1755">
        <v>0.72590577801765599</v>
      </c>
      <c r="F1755">
        <v>0.67227772242985995</v>
      </c>
      <c r="G1755">
        <v>0.60758547315629596</v>
      </c>
      <c r="H1755">
        <v>0.432581358365277</v>
      </c>
      <c r="I1755">
        <v>0.45014665439331503</v>
      </c>
      <c r="J1755">
        <v>0.52663119539246495</v>
      </c>
      <c r="K1755">
        <v>0.438007657405313</v>
      </c>
      <c r="L1755">
        <v>555.27766687797805</v>
      </c>
      <c r="M1755">
        <v>10.8136395636341</v>
      </c>
      <c r="N1755">
        <v>61.506965741101197</v>
      </c>
      <c r="O1755">
        <v>49.6872198196114</v>
      </c>
      <c r="P1755">
        <v>-3.1777069441850297E-2</v>
      </c>
      <c r="Q1755">
        <v>0.41616494000647802</v>
      </c>
      <c r="R1755">
        <v>0.95188406894493804</v>
      </c>
      <c r="S1755" t="s">
        <v>8040</v>
      </c>
      <c r="T1755" t="s">
        <v>12568</v>
      </c>
      <c r="U1755" t="s">
        <v>12568</v>
      </c>
      <c r="V1755" t="s">
        <v>12568</v>
      </c>
      <c r="W1755" t="s">
        <v>14291</v>
      </c>
      <c r="X1755">
        <v>2</v>
      </c>
      <c r="Y1755" t="s">
        <v>20486</v>
      </c>
      <c r="Z1755" t="s">
        <v>26625</v>
      </c>
      <c r="AA1755">
        <v>0.65843606452210546</v>
      </c>
      <c r="AB1755" t="str">
        <f>HYPERLINK("Melting_Curves/meltCurve_P17302_GJA1.pdf", "Melting_Curves/meltCurve_P17302_GJA1.pdf")</f>
        <v>Melting_Curves/meltCurve_P17302_GJA1.pdf</v>
      </c>
    </row>
    <row r="1756" spans="1:28" x14ac:dyDescent="0.25">
      <c r="A1756" t="s">
        <v>1760</v>
      </c>
      <c r="B1756">
        <v>0.99352677808782597</v>
      </c>
      <c r="C1756">
        <v>1.0043926549465201</v>
      </c>
      <c r="D1756">
        <v>0.95721548328733297</v>
      </c>
      <c r="E1756">
        <v>0.594872319246745</v>
      </c>
      <c r="F1756">
        <v>0.54057350593771902</v>
      </c>
      <c r="G1756">
        <v>0.34952582164220403</v>
      </c>
      <c r="H1756">
        <v>0.279679340237726</v>
      </c>
      <c r="I1756">
        <v>0.290605060369443</v>
      </c>
      <c r="J1756">
        <v>0.27846786617379699</v>
      </c>
      <c r="K1756">
        <v>0.181535782481271</v>
      </c>
      <c r="L1756">
        <v>890.18181624838803</v>
      </c>
      <c r="M1756">
        <v>17.499683013281299</v>
      </c>
      <c r="N1756">
        <v>52.860634406318297</v>
      </c>
      <c r="O1756">
        <v>50.218155897318901</v>
      </c>
      <c r="P1756">
        <v>-6.6087291424334005E-2</v>
      </c>
      <c r="Q1756">
        <v>0.24144965779909699</v>
      </c>
      <c r="R1756">
        <v>0.97935772924722997</v>
      </c>
      <c r="S1756" t="s">
        <v>8041</v>
      </c>
      <c r="T1756" t="s">
        <v>12568</v>
      </c>
      <c r="U1756" t="s">
        <v>12568</v>
      </c>
      <c r="V1756" t="s">
        <v>12568</v>
      </c>
      <c r="W1756" t="s">
        <v>14292</v>
      </c>
      <c r="X1756">
        <v>9</v>
      </c>
      <c r="Y1756" t="s">
        <v>20487</v>
      </c>
      <c r="Z1756" t="s">
        <v>26626</v>
      </c>
      <c r="AA1756">
        <v>0.52972796000987687</v>
      </c>
      <c r="AB1756" t="str">
        <f>HYPERLINK("Melting_Curves/meltCurve_P17480_2_UBTF.pdf", "Melting_Curves/meltCurve_P17480_2_UBTF.pdf")</f>
        <v>Melting_Curves/meltCurve_P17480_2_UBTF.pdf</v>
      </c>
    </row>
    <row r="1757" spans="1:28" x14ac:dyDescent="0.25">
      <c r="A1757" t="s">
        <v>1761</v>
      </c>
      <c r="B1757">
        <v>0.99352677808782597</v>
      </c>
      <c r="C1757">
        <v>1.14560980817245</v>
      </c>
      <c r="D1757">
        <v>1.13497280873721</v>
      </c>
      <c r="E1757">
        <v>0.99888111613395902</v>
      </c>
      <c r="F1757">
        <v>0.93798916656356601</v>
      </c>
      <c r="G1757">
        <v>0.68794218353325498</v>
      </c>
      <c r="H1757">
        <v>0.79384645469809501</v>
      </c>
      <c r="I1757">
        <v>0.77830561640566498</v>
      </c>
      <c r="J1757">
        <v>0.95254500064956205</v>
      </c>
      <c r="K1757">
        <v>0.71781346037558702</v>
      </c>
      <c r="L1757">
        <v>13297.482894594201</v>
      </c>
      <c r="M1757">
        <v>250</v>
      </c>
      <c r="O1757">
        <v>53.186509694989702</v>
      </c>
      <c r="P1757">
        <v>-0.25136705841272999</v>
      </c>
      <c r="Q1757">
        <v>0.78609054331793304</v>
      </c>
      <c r="R1757">
        <v>0.66077113251342601</v>
      </c>
      <c r="S1757" t="s">
        <v>8042</v>
      </c>
      <c r="T1757" t="s">
        <v>12568</v>
      </c>
      <c r="U1757" t="s">
        <v>12568</v>
      </c>
      <c r="V1757" t="s">
        <v>12568</v>
      </c>
      <c r="W1757" t="s">
        <v>14293</v>
      </c>
      <c r="X1757">
        <v>2</v>
      </c>
      <c r="Y1757" t="s">
        <v>20488</v>
      </c>
      <c r="Z1757" t="s">
        <v>26627</v>
      </c>
      <c r="AA1757">
        <v>0.88015888115153096</v>
      </c>
      <c r="AB1757" t="str">
        <f>HYPERLINK("Melting_Curves/meltCurve_P17535_JUND.pdf", "Melting_Curves/meltCurve_P17535_JUND.pdf")</f>
        <v>Melting_Curves/meltCurve_P17535_JUND.pdf</v>
      </c>
    </row>
    <row r="1758" spans="1:28" x14ac:dyDescent="0.25">
      <c r="A1758" t="s">
        <v>1762</v>
      </c>
      <c r="B1758">
        <v>0.99352677808782597</v>
      </c>
      <c r="C1758">
        <v>1.0384184072163101</v>
      </c>
      <c r="D1758">
        <v>0.99149364564326603</v>
      </c>
      <c r="E1758">
        <v>1.01653127251334</v>
      </c>
      <c r="F1758">
        <v>0.90437794039144703</v>
      </c>
      <c r="G1758">
        <v>0.90330544659368195</v>
      </c>
      <c r="H1758">
        <v>0.869257104587979</v>
      </c>
      <c r="I1758">
        <v>1.05474508872456</v>
      </c>
      <c r="J1758">
        <v>0.93020897305150396</v>
      </c>
      <c r="K1758">
        <v>0.74075282376727702</v>
      </c>
      <c r="L1758">
        <v>15000</v>
      </c>
      <c r="M1758">
        <v>222.88163520744101</v>
      </c>
      <c r="O1758">
        <v>67.2948776382961</v>
      </c>
      <c r="P1758">
        <v>-0.21469747828872199</v>
      </c>
      <c r="Q1758">
        <v>0.74070469361486502</v>
      </c>
      <c r="R1758">
        <v>0.50346254188438699</v>
      </c>
      <c r="S1758" t="s">
        <v>8043</v>
      </c>
      <c r="T1758" t="s">
        <v>12568</v>
      </c>
      <c r="U1758" t="s">
        <v>12568</v>
      </c>
      <c r="V1758" t="s">
        <v>12568</v>
      </c>
      <c r="W1758" t="s">
        <v>14294</v>
      </c>
      <c r="X1758">
        <v>5</v>
      </c>
      <c r="Y1758" t="s">
        <v>20489</v>
      </c>
      <c r="Z1758" t="s">
        <v>26628</v>
      </c>
      <c r="AA1758">
        <v>0.97670398684680604</v>
      </c>
      <c r="AB1758" t="str">
        <f>HYPERLINK("Melting_Curves/meltCurve_P17544_4_ATF7.pdf", "Melting_Curves/meltCurve_P17544_4_ATF7.pdf")</f>
        <v>Melting_Curves/meltCurve_P17544_4_ATF7.pdf</v>
      </c>
    </row>
    <row r="1759" spans="1:28" x14ac:dyDescent="0.25">
      <c r="A1759" t="s">
        <v>1763</v>
      </c>
      <c r="B1759">
        <v>0.99352677808782597</v>
      </c>
      <c r="C1759">
        <v>1.00714488752107</v>
      </c>
      <c r="D1759">
        <v>0.84091129466097003</v>
      </c>
      <c r="E1759">
        <v>0.52330942291197902</v>
      </c>
      <c r="F1759">
        <v>0.46628283753607203</v>
      </c>
      <c r="G1759">
        <v>0.203427295295704</v>
      </c>
      <c r="H1759">
        <v>0.12019249387184699</v>
      </c>
      <c r="I1759">
        <v>0.102942912696161</v>
      </c>
      <c r="J1759">
        <v>8.7577854336202701E-2</v>
      </c>
      <c r="K1759">
        <v>6.9391469090433797E-2</v>
      </c>
      <c r="L1759">
        <v>760.81670749150703</v>
      </c>
      <c r="M1759">
        <v>14.940243945292</v>
      </c>
      <c r="N1759">
        <v>51.346314948523997</v>
      </c>
      <c r="O1759">
        <v>50.037761275513503</v>
      </c>
      <c r="P1759">
        <v>-7.0336252682473399E-2</v>
      </c>
      <c r="Q1759">
        <v>5.7817931445294998E-2</v>
      </c>
      <c r="R1759">
        <v>0.98928633812173905</v>
      </c>
      <c r="S1759" t="s">
        <v>8044</v>
      </c>
      <c r="T1759" t="s">
        <v>12568</v>
      </c>
      <c r="U1759" t="s">
        <v>12568</v>
      </c>
      <c r="V1759" t="s">
        <v>12568</v>
      </c>
      <c r="W1759" t="s">
        <v>14295</v>
      </c>
      <c r="X1759">
        <v>9</v>
      </c>
      <c r="Y1759" t="s">
        <v>20490</v>
      </c>
      <c r="Z1759" t="s">
        <v>26629</v>
      </c>
      <c r="AA1759">
        <v>0.42286363177922298</v>
      </c>
      <c r="AB1759" t="str">
        <f>HYPERLINK("Melting_Curves/meltCurve_P17612_PRKACA.pdf", "Melting_Curves/meltCurve_P17612_PRKACA.pdf")</f>
        <v>Melting_Curves/meltCurve_P17612_PRKACA.pdf</v>
      </c>
    </row>
    <row r="1760" spans="1:28" x14ac:dyDescent="0.25">
      <c r="A1760" t="s">
        <v>1764</v>
      </c>
      <c r="B1760">
        <v>0.99352677808782597</v>
      </c>
      <c r="C1760">
        <v>1.04262626484837</v>
      </c>
      <c r="D1760">
        <v>0.98066915029119195</v>
      </c>
      <c r="E1760">
        <v>0.88879742737809597</v>
      </c>
      <c r="F1760">
        <v>0.77019823386420505</v>
      </c>
      <c r="G1760">
        <v>0.379331122925127</v>
      </c>
      <c r="H1760">
        <v>0.12263283741019999</v>
      </c>
      <c r="I1760">
        <v>0.110564760124269</v>
      </c>
      <c r="J1760">
        <v>8.5504886124122298E-2</v>
      </c>
      <c r="K1760">
        <v>6.5256853567936202E-2</v>
      </c>
      <c r="L1760">
        <v>1292.5537707958899</v>
      </c>
      <c r="M1760">
        <v>23.3658572454062</v>
      </c>
      <c r="N1760">
        <v>55.616924526518197</v>
      </c>
      <c r="O1760">
        <v>54.917655983239598</v>
      </c>
      <c r="P1760">
        <v>-0.10009385183875601</v>
      </c>
      <c r="Q1760">
        <v>5.8999265603625603E-2</v>
      </c>
      <c r="R1760">
        <v>0.99675708870096602</v>
      </c>
      <c r="S1760" t="s">
        <v>8045</v>
      </c>
      <c r="T1760" t="s">
        <v>12568</v>
      </c>
      <c r="U1760" t="s">
        <v>12568</v>
      </c>
      <c r="V1760" t="s">
        <v>12568</v>
      </c>
      <c r="W1760" t="s">
        <v>14296</v>
      </c>
      <c r="X1760">
        <v>32</v>
      </c>
      <c r="Y1760" t="s">
        <v>20491</v>
      </c>
      <c r="Z1760" t="s">
        <v>26630</v>
      </c>
      <c r="AA1760">
        <v>0.54922054553675359</v>
      </c>
      <c r="AB1760" t="str">
        <f>HYPERLINK("Melting_Curves/meltCurve_P17655_CAPN2.pdf", "Melting_Curves/meltCurve_P17655_CAPN2.pdf")</f>
        <v>Melting_Curves/meltCurve_P17655_CAPN2.pdf</v>
      </c>
    </row>
    <row r="1761" spans="1:28" x14ac:dyDescent="0.25">
      <c r="A1761" t="s">
        <v>1765</v>
      </c>
      <c r="B1761">
        <v>0.99352677808782597</v>
      </c>
      <c r="C1761">
        <v>0.92358271022619698</v>
      </c>
      <c r="D1761">
        <v>0.85935180286294299</v>
      </c>
      <c r="E1761">
        <v>0.45838704582853002</v>
      </c>
      <c r="F1761">
        <v>0.37243285781617702</v>
      </c>
      <c r="G1761">
        <v>0.27721763738616401</v>
      </c>
      <c r="H1761">
        <v>0.22930910523505299</v>
      </c>
      <c r="I1761">
        <v>0.14992816582187299</v>
      </c>
      <c r="J1761">
        <v>7.9286876848712898E-2</v>
      </c>
      <c r="K1761">
        <v>5.1801705460069403E-2</v>
      </c>
      <c r="L1761">
        <v>704.11413507405905</v>
      </c>
      <c r="M1761">
        <v>14.0868127086279</v>
      </c>
      <c r="N1761">
        <v>50.725827357790003</v>
      </c>
      <c r="O1761">
        <v>49.008966319428701</v>
      </c>
      <c r="P1761">
        <v>-6.5177035689152202E-2</v>
      </c>
      <c r="Q1761">
        <v>9.3096031665803602E-2</v>
      </c>
      <c r="R1761">
        <v>0.97870521738133498</v>
      </c>
      <c r="S1761" t="s">
        <v>8046</v>
      </c>
      <c r="T1761" t="s">
        <v>12568</v>
      </c>
      <c r="U1761" t="s">
        <v>12568</v>
      </c>
      <c r="V1761" t="s">
        <v>12568</v>
      </c>
      <c r="W1761" t="s">
        <v>14297</v>
      </c>
      <c r="X1761">
        <v>3</v>
      </c>
      <c r="Y1761" t="s">
        <v>20492</v>
      </c>
      <c r="Z1761" t="s">
        <v>26631</v>
      </c>
      <c r="AA1761">
        <v>0.41905745380515019</v>
      </c>
      <c r="AB1761" t="str">
        <f>HYPERLINK("Melting_Curves/meltCurve_P17706_2_PTPN2.pdf", "Melting_Curves/meltCurve_P17706_2_PTPN2.pdf")</f>
        <v>Melting_Curves/meltCurve_P17706_2_PTPN2.pdf</v>
      </c>
    </row>
    <row r="1762" spans="1:28" x14ac:dyDescent="0.25">
      <c r="A1762" t="s">
        <v>1766</v>
      </c>
      <c r="B1762">
        <v>0.99352677808782597</v>
      </c>
      <c r="C1762">
        <v>0.97627352644423004</v>
      </c>
      <c r="D1762">
        <v>0.95643896984509802</v>
      </c>
      <c r="E1762">
        <v>0.68538721920150203</v>
      </c>
      <c r="F1762">
        <v>0.56073505184746197</v>
      </c>
      <c r="G1762">
        <v>0.46053813353640199</v>
      </c>
      <c r="H1762">
        <v>0.43431628947099299</v>
      </c>
      <c r="I1762">
        <v>0.42823542166420903</v>
      </c>
      <c r="J1762">
        <v>0.39604964005496501</v>
      </c>
      <c r="K1762">
        <v>0.39935377459571098</v>
      </c>
      <c r="L1762">
        <v>1100.6376394809599</v>
      </c>
      <c r="M1762">
        <v>21.982519940837399</v>
      </c>
      <c r="N1762">
        <v>54.377809854429302</v>
      </c>
      <c r="O1762">
        <v>49.659944198359398</v>
      </c>
      <c r="P1762">
        <v>-6.50271251170675E-2</v>
      </c>
      <c r="Q1762">
        <v>0.41241111515717999</v>
      </c>
      <c r="R1762">
        <v>0.99532877840170797</v>
      </c>
      <c r="S1762" t="s">
        <v>8047</v>
      </c>
      <c r="T1762" t="s">
        <v>12568</v>
      </c>
      <c r="U1762" t="s">
        <v>12568</v>
      </c>
      <c r="V1762" t="s">
        <v>12568</v>
      </c>
      <c r="W1762" t="s">
        <v>14298</v>
      </c>
      <c r="X1762">
        <v>5</v>
      </c>
      <c r="Y1762" t="s">
        <v>20493</v>
      </c>
      <c r="Z1762" t="s">
        <v>26632</v>
      </c>
      <c r="AA1762">
        <v>0.61641384385530695</v>
      </c>
      <c r="AB1762" t="str">
        <f>HYPERLINK("Melting_Curves/meltCurve_P17707_AMD1.pdf", "Melting_Curves/meltCurve_P17707_AMD1.pdf")</f>
        <v>Melting_Curves/meltCurve_P17707_AMD1.pdf</v>
      </c>
    </row>
    <row r="1763" spans="1:28" x14ac:dyDescent="0.25">
      <c r="A1763" t="s">
        <v>1767</v>
      </c>
      <c r="B1763">
        <v>0.99352677808782597</v>
      </c>
      <c r="C1763">
        <v>0.93003727677453296</v>
      </c>
      <c r="D1763">
        <v>0.80547638412972999</v>
      </c>
      <c r="E1763">
        <v>0.32362261528261199</v>
      </c>
      <c r="F1763">
        <v>0.25627016387745699</v>
      </c>
      <c r="G1763">
        <v>0.15244407061922099</v>
      </c>
      <c r="H1763">
        <v>9.9633416691320698E-2</v>
      </c>
      <c r="I1763">
        <v>8.7535493148873295E-2</v>
      </c>
      <c r="J1763">
        <v>6.9506956858261901E-2</v>
      </c>
      <c r="K1763">
        <v>5.25353523861826E-2</v>
      </c>
      <c r="L1763">
        <v>1041.5934501870299</v>
      </c>
      <c r="M1763">
        <v>21.555033956362401</v>
      </c>
      <c r="N1763">
        <v>48.741519357013097</v>
      </c>
      <c r="O1763">
        <v>47.912366213431298</v>
      </c>
      <c r="P1763">
        <v>-0.102961803882324</v>
      </c>
      <c r="Q1763">
        <v>8.4571228169819795E-2</v>
      </c>
      <c r="R1763">
        <v>0.991887603539227</v>
      </c>
      <c r="S1763" t="s">
        <v>8048</v>
      </c>
      <c r="T1763" t="s">
        <v>12568</v>
      </c>
      <c r="U1763" t="s">
        <v>12568</v>
      </c>
      <c r="V1763" t="s">
        <v>12568</v>
      </c>
      <c r="W1763" t="s">
        <v>14299</v>
      </c>
      <c r="X1763">
        <v>30</v>
      </c>
      <c r="Y1763" t="s">
        <v>20494</v>
      </c>
      <c r="Z1763" t="s">
        <v>26633</v>
      </c>
      <c r="AA1763">
        <v>0.34957920993096681</v>
      </c>
      <c r="AB1763" t="str">
        <f>HYPERLINK("Melting_Curves/meltCurve_P17812_CTPS1.pdf", "Melting_Curves/meltCurve_P17812_CTPS1.pdf")</f>
        <v>Melting_Curves/meltCurve_P17812_CTPS1.pdf</v>
      </c>
    </row>
    <row r="1764" spans="1:28" x14ac:dyDescent="0.25">
      <c r="A1764" t="s">
        <v>1768</v>
      </c>
      <c r="B1764">
        <v>0.99352677808782597</v>
      </c>
      <c r="C1764">
        <v>0.807810898377327</v>
      </c>
      <c r="D1764">
        <v>0.83138011132871603</v>
      </c>
      <c r="E1764">
        <v>0.56750754539273895</v>
      </c>
      <c r="F1764">
        <v>0.47751079208244801</v>
      </c>
      <c r="G1764">
        <v>0.29485407562729798</v>
      </c>
      <c r="H1764">
        <v>0.20971748507023499</v>
      </c>
      <c r="I1764">
        <v>0.18480591022774001</v>
      </c>
      <c r="J1764">
        <v>0.14965528246346499</v>
      </c>
      <c r="K1764">
        <v>0.121007728131463</v>
      </c>
      <c r="L1764">
        <v>525.02119194243801</v>
      </c>
      <c r="M1764">
        <v>10.251381621692699</v>
      </c>
      <c r="N1764">
        <v>51.954854856377104</v>
      </c>
      <c r="O1764">
        <v>49.380608874295</v>
      </c>
      <c r="P1764">
        <v>-4.83950839511769E-2</v>
      </c>
      <c r="Q1764">
        <v>6.7941449132579407E-2</v>
      </c>
      <c r="R1764">
        <v>0.98634917179675297</v>
      </c>
      <c r="S1764" t="s">
        <v>8049</v>
      </c>
      <c r="T1764" t="s">
        <v>12568</v>
      </c>
      <c r="U1764" t="s">
        <v>12568</v>
      </c>
      <c r="V1764" t="s">
        <v>12568</v>
      </c>
      <c r="W1764" t="s">
        <v>14300</v>
      </c>
      <c r="X1764">
        <v>14</v>
      </c>
      <c r="Y1764" t="s">
        <v>20495</v>
      </c>
      <c r="Z1764" t="s">
        <v>26634</v>
      </c>
      <c r="AA1764">
        <v>0.45327762308652769</v>
      </c>
      <c r="AB1764" t="str">
        <f>HYPERLINK("Melting_Curves/meltCurve_P17858_PFKL.pdf", "Melting_Curves/meltCurve_P17858_PFKL.pdf")</f>
        <v>Melting_Curves/meltCurve_P17858_PFKL.pdf</v>
      </c>
    </row>
    <row r="1765" spans="1:28" x14ac:dyDescent="0.25">
      <c r="A1765" t="s">
        <v>1769</v>
      </c>
      <c r="B1765">
        <v>0.99352677808782597</v>
      </c>
      <c r="C1765">
        <v>1.07778349144279</v>
      </c>
      <c r="D1765">
        <v>0.98871036979648097</v>
      </c>
      <c r="E1765">
        <v>0.927733193667032</v>
      </c>
      <c r="F1765">
        <v>0.78208788604550705</v>
      </c>
      <c r="G1765">
        <v>0.65506724785828996</v>
      </c>
      <c r="H1765">
        <v>0.95923891684737606</v>
      </c>
      <c r="I1765">
        <v>0.87084384156879202</v>
      </c>
      <c r="J1765">
        <v>1.0234418124789399</v>
      </c>
      <c r="K1765">
        <v>0.49123905284776498</v>
      </c>
      <c r="L1765">
        <v>12529.644791386499</v>
      </c>
      <c r="M1765">
        <v>250</v>
      </c>
      <c r="O1765">
        <v>50.115371616052798</v>
      </c>
      <c r="P1765">
        <v>-0.253182765540166</v>
      </c>
      <c r="Q1765">
        <v>0.79698642494230199</v>
      </c>
      <c r="R1765">
        <v>0.33240310262019701</v>
      </c>
      <c r="S1765" t="s">
        <v>8050</v>
      </c>
      <c r="T1765" t="s">
        <v>12568</v>
      </c>
      <c r="U1765" t="s">
        <v>12568</v>
      </c>
      <c r="V1765" t="s">
        <v>12568</v>
      </c>
      <c r="W1765" t="s">
        <v>14301</v>
      </c>
      <c r="X1765">
        <v>5</v>
      </c>
      <c r="Y1765" t="s">
        <v>20496</v>
      </c>
      <c r="Z1765" t="s">
        <v>26635</v>
      </c>
      <c r="AA1765">
        <v>0.86547791250365158</v>
      </c>
      <c r="AB1765" t="str">
        <f>HYPERLINK("Melting_Curves/meltCurve_P17900_GM2A.pdf", "Melting_Curves/meltCurve_P17900_GM2A.pdf")</f>
        <v>Melting_Curves/meltCurve_P17900_GM2A.pdf</v>
      </c>
    </row>
    <row r="1766" spans="1:28" x14ac:dyDescent="0.25">
      <c r="A1766" t="s">
        <v>1770</v>
      </c>
      <c r="B1766">
        <v>0.99352677808782597</v>
      </c>
      <c r="C1766">
        <v>1.0082817893404501</v>
      </c>
      <c r="D1766">
        <v>1.03149929092341</v>
      </c>
      <c r="E1766">
        <v>0.92045546834279401</v>
      </c>
      <c r="F1766">
        <v>0.82174929144228304</v>
      </c>
      <c r="G1766">
        <v>0.55975917647683404</v>
      </c>
      <c r="H1766">
        <v>0.35438518401346802</v>
      </c>
      <c r="I1766">
        <v>0.175567772737515</v>
      </c>
      <c r="J1766">
        <v>0.15357396614156199</v>
      </c>
      <c r="K1766">
        <v>0.11891908597173401</v>
      </c>
      <c r="L1766">
        <v>980.51340012494904</v>
      </c>
      <c r="M1766">
        <v>17.060540267071801</v>
      </c>
      <c r="N1766">
        <v>57.997245460788001</v>
      </c>
      <c r="O1766">
        <v>56.7003578784391</v>
      </c>
      <c r="P1766">
        <v>-6.9847662808592198E-2</v>
      </c>
      <c r="Q1766">
        <v>7.1507058909075896E-2</v>
      </c>
      <c r="R1766">
        <v>0.99655829945323404</v>
      </c>
      <c r="S1766" t="s">
        <v>8051</v>
      </c>
      <c r="T1766" t="s">
        <v>12568</v>
      </c>
      <c r="U1766" t="s">
        <v>12568</v>
      </c>
      <c r="V1766" t="s">
        <v>12568</v>
      </c>
      <c r="W1766" t="s">
        <v>14302</v>
      </c>
      <c r="X1766">
        <v>9</v>
      </c>
      <c r="Y1766" t="s">
        <v>20497</v>
      </c>
      <c r="Z1766" t="s">
        <v>26636</v>
      </c>
      <c r="AA1766">
        <v>0.62500441902985826</v>
      </c>
      <c r="AB1766" t="str">
        <f>HYPERLINK("Melting_Curves/meltCurve_P17931_LGALS3.pdf", "Melting_Curves/meltCurve_P17931_LGALS3.pdf")</f>
        <v>Melting_Curves/meltCurve_P17931_LGALS3.pdf</v>
      </c>
    </row>
    <row r="1767" spans="1:28" x14ac:dyDescent="0.25">
      <c r="A1767" t="s">
        <v>1771</v>
      </c>
      <c r="B1767">
        <v>0.99352677808782597</v>
      </c>
      <c r="C1767">
        <v>0.80657865745676305</v>
      </c>
      <c r="D1767">
        <v>0.67580154143756199</v>
      </c>
      <c r="E1767">
        <v>0.84399175861740905</v>
      </c>
      <c r="F1767">
        <v>0.51311116636159504</v>
      </c>
      <c r="G1767">
        <v>0.49752800693257498</v>
      </c>
      <c r="H1767">
        <v>0.38584035465403899</v>
      </c>
      <c r="I1767">
        <v>0.27122610027100202</v>
      </c>
      <c r="J1767">
        <v>0.31300296015380302</v>
      </c>
      <c r="K1767">
        <v>0.24832896567484999</v>
      </c>
      <c r="L1767">
        <v>332.12951921984597</v>
      </c>
      <c r="M1767">
        <v>5.9271868390046603</v>
      </c>
      <c r="N1767">
        <v>56.183640104536302</v>
      </c>
      <c r="O1767">
        <v>50.650759412095802</v>
      </c>
      <c r="P1767">
        <v>-2.91256656987724E-2</v>
      </c>
      <c r="Q1767">
        <v>7.78282770289946E-3</v>
      </c>
      <c r="R1767">
        <v>0.90271576045935698</v>
      </c>
      <c r="S1767" t="s">
        <v>8052</v>
      </c>
      <c r="T1767" t="s">
        <v>12568</v>
      </c>
      <c r="U1767" t="s">
        <v>12568</v>
      </c>
      <c r="V1767" t="s">
        <v>12568</v>
      </c>
      <c r="W1767" t="s">
        <v>14303</v>
      </c>
      <c r="X1767">
        <v>1</v>
      </c>
      <c r="Y1767" t="s">
        <v>20498</v>
      </c>
      <c r="Z1767" t="s">
        <v>26637</v>
      </c>
      <c r="AA1767">
        <v>0.55229770145694734</v>
      </c>
      <c r="AB1767" t="str">
        <f>HYPERLINK("Melting_Curves/meltCurve_P17936_IGFBP3.pdf", "Melting_Curves/meltCurve_P17936_IGFBP3.pdf")</f>
        <v>Melting_Curves/meltCurve_P17936_IGFBP3.pdf</v>
      </c>
    </row>
    <row r="1768" spans="1:28" x14ac:dyDescent="0.25">
      <c r="A1768" t="s">
        <v>1772</v>
      </c>
      <c r="B1768">
        <v>0.99352677808782597</v>
      </c>
      <c r="C1768">
        <v>0.90218512825236497</v>
      </c>
      <c r="D1768">
        <v>0.68838813462102699</v>
      </c>
      <c r="E1768">
        <v>1.7491045547897599</v>
      </c>
      <c r="F1768">
        <v>1.22455609442142</v>
      </c>
      <c r="G1768">
        <v>0.85386497293080799</v>
      </c>
      <c r="H1768">
        <v>0.261570872840516</v>
      </c>
      <c r="I1768">
        <v>0.23432107615678999</v>
      </c>
      <c r="J1768">
        <v>0.183320013066366</v>
      </c>
      <c r="K1768">
        <v>0.13597680022650399</v>
      </c>
      <c r="L1768">
        <v>3340.3083246353299</v>
      </c>
      <c r="M1768">
        <v>57.011216409324703</v>
      </c>
      <c r="N1768">
        <v>59.059912641745001</v>
      </c>
      <c r="O1768">
        <v>58.5184050073062</v>
      </c>
      <c r="P1768">
        <v>-0.199179353637818</v>
      </c>
      <c r="Q1768">
        <v>0.18222029561682401</v>
      </c>
      <c r="R1768">
        <v>0.71238123518600605</v>
      </c>
      <c r="S1768" t="s">
        <v>8053</v>
      </c>
      <c r="T1768" t="s">
        <v>12568</v>
      </c>
      <c r="U1768" t="s">
        <v>12568</v>
      </c>
      <c r="V1768" t="s">
        <v>12568</v>
      </c>
      <c r="W1768" t="s">
        <v>14304</v>
      </c>
      <c r="X1768">
        <v>30</v>
      </c>
      <c r="Y1768" t="s">
        <v>20499</v>
      </c>
      <c r="Z1768" t="s">
        <v>26638</v>
      </c>
      <c r="AA1768">
        <v>0.69060091316681005</v>
      </c>
      <c r="AB1768" t="str">
        <f>HYPERLINK("Melting_Curves/meltCurve_P17987_TCP1.pdf", "Melting_Curves/meltCurve_P17987_TCP1.pdf")</f>
        <v>Melting_Curves/meltCurve_P17987_TCP1.pdf</v>
      </c>
    </row>
    <row r="1769" spans="1:28" x14ac:dyDescent="0.25">
      <c r="A1769" t="s">
        <v>1773</v>
      </c>
      <c r="B1769">
        <v>0.99352677808782597</v>
      </c>
      <c r="C1769">
        <v>0.93441819901954704</v>
      </c>
      <c r="D1769">
        <v>0.94691401459896896</v>
      </c>
      <c r="E1769">
        <v>0.376840928724682</v>
      </c>
      <c r="F1769">
        <v>0.32180990727689202</v>
      </c>
      <c r="G1769">
        <v>0.20092030365220601</v>
      </c>
      <c r="H1769">
        <v>0.15717125091425599</v>
      </c>
      <c r="I1769">
        <v>0.151042810552873</v>
      </c>
      <c r="J1769">
        <v>0.133650015400547</v>
      </c>
      <c r="K1769">
        <v>0.10665484934901</v>
      </c>
      <c r="L1769">
        <v>1478.95526014337</v>
      </c>
      <c r="M1769">
        <v>30.272457168733201</v>
      </c>
      <c r="N1769">
        <v>49.471402624772601</v>
      </c>
      <c r="O1769">
        <v>48.6431095638128</v>
      </c>
      <c r="P1769">
        <v>-0.13113586253319201</v>
      </c>
      <c r="Q1769">
        <v>0.157145897830576</v>
      </c>
      <c r="R1769">
        <v>0.98174592964254703</v>
      </c>
      <c r="S1769" t="s">
        <v>8054</v>
      </c>
      <c r="T1769" t="s">
        <v>12568</v>
      </c>
      <c r="U1769" t="s">
        <v>12568</v>
      </c>
      <c r="V1769" t="s">
        <v>12568</v>
      </c>
      <c r="W1769" t="s">
        <v>14305</v>
      </c>
      <c r="X1769">
        <v>5</v>
      </c>
      <c r="Y1769" t="s">
        <v>20500</v>
      </c>
      <c r="Z1769" t="s">
        <v>26639</v>
      </c>
      <c r="AA1769">
        <v>0.41095196248473742</v>
      </c>
      <c r="AB1769" t="str">
        <f>HYPERLINK("Melting_Curves/meltCurve_P18031_PTPN1.pdf", "Melting_Curves/meltCurve_P18031_PTPN1.pdf")</f>
        <v>Melting_Curves/meltCurve_P18031_PTPN1.pdf</v>
      </c>
    </row>
    <row r="1770" spans="1:28" x14ac:dyDescent="0.25">
      <c r="A1770" t="s">
        <v>1774</v>
      </c>
      <c r="B1770">
        <v>0.99352677808782597</v>
      </c>
      <c r="C1770">
        <v>0.95080703765447505</v>
      </c>
      <c r="D1770">
        <v>0.93149472765733798</v>
      </c>
      <c r="E1770">
        <v>0.87141680634095597</v>
      </c>
      <c r="F1770">
        <v>0.79772517083169603</v>
      </c>
      <c r="G1770">
        <v>0.74703536480569399</v>
      </c>
      <c r="H1770">
        <v>0.67450322478810998</v>
      </c>
      <c r="I1770">
        <v>0.68117569092255303</v>
      </c>
      <c r="J1770">
        <v>0.67816127027028805</v>
      </c>
      <c r="K1770">
        <v>0.56370873569073199</v>
      </c>
      <c r="L1770">
        <v>416.06651751652402</v>
      </c>
      <c r="M1770">
        <v>7.3629639340316198</v>
      </c>
      <c r="O1770">
        <v>52.788300423425497</v>
      </c>
      <c r="P1770">
        <v>-1.6975278020588801E-2</v>
      </c>
      <c r="Q1770">
        <v>0.51393560726656096</v>
      </c>
      <c r="R1770">
        <v>0.96845635872520697</v>
      </c>
      <c r="S1770" t="s">
        <v>8055</v>
      </c>
      <c r="T1770" t="s">
        <v>12568</v>
      </c>
      <c r="U1770" t="s">
        <v>12568</v>
      </c>
      <c r="V1770" t="s">
        <v>12568</v>
      </c>
      <c r="W1770" t="s">
        <v>14306</v>
      </c>
      <c r="X1770">
        <v>6</v>
      </c>
      <c r="Y1770" t="s">
        <v>20501</v>
      </c>
      <c r="Z1770" t="s">
        <v>26640</v>
      </c>
      <c r="AA1770">
        <v>0.78835164774767164</v>
      </c>
      <c r="AB1770" t="str">
        <f>HYPERLINK("Melting_Curves/meltCurve_P18065_IGFBP2.pdf", "Melting_Curves/meltCurve_P18065_IGFBP2.pdf")</f>
        <v>Melting_Curves/meltCurve_P18065_IGFBP2.pdf</v>
      </c>
    </row>
    <row r="1771" spans="1:28" x14ac:dyDescent="0.25">
      <c r="A1771" t="s">
        <v>1775</v>
      </c>
      <c r="B1771">
        <v>0.99352677808782597</v>
      </c>
      <c r="C1771">
        <v>0.95550191840739296</v>
      </c>
      <c r="D1771">
        <v>0.88470048500823795</v>
      </c>
      <c r="E1771">
        <v>0.53991055320273196</v>
      </c>
      <c r="F1771">
        <v>0.50817774437911001</v>
      </c>
      <c r="G1771">
        <v>0.35928934298889498</v>
      </c>
      <c r="H1771">
        <v>0.27338381916726201</v>
      </c>
      <c r="I1771">
        <v>0.294665102798709</v>
      </c>
      <c r="J1771">
        <v>0.28563062384472299</v>
      </c>
      <c r="K1771">
        <v>0.233037132504407</v>
      </c>
      <c r="L1771">
        <v>816.97059293500797</v>
      </c>
      <c r="M1771">
        <v>16.4334008432559</v>
      </c>
      <c r="N1771">
        <v>52.0480555840401</v>
      </c>
      <c r="O1771">
        <v>48.995354742667701</v>
      </c>
      <c r="P1771">
        <v>-6.1995158386429099E-2</v>
      </c>
      <c r="Q1771">
        <v>0.260710434332803</v>
      </c>
      <c r="R1771">
        <v>0.98536018533873004</v>
      </c>
      <c r="S1771" t="s">
        <v>8056</v>
      </c>
      <c r="T1771" t="s">
        <v>12568</v>
      </c>
      <c r="U1771" t="s">
        <v>12568</v>
      </c>
      <c r="V1771" t="s">
        <v>12568</v>
      </c>
      <c r="W1771" t="s">
        <v>14307</v>
      </c>
      <c r="X1771">
        <v>7</v>
      </c>
      <c r="Y1771" t="s">
        <v>20502</v>
      </c>
      <c r="Z1771" t="s">
        <v>26641</v>
      </c>
      <c r="AA1771">
        <v>0.5151397500013819</v>
      </c>
      <c r="AB1771" t="str">
        <f>HYPERLINK("Melting_Curves/meltCurve_P18084_ITGB5.pdf", "Melting_Curves/meltCurve_P18084_ITGB5.pdf")</f>
        <v>Melting_Curves/meltCurve_P18084_ITGB5.pdf</v>
      </c>
    </row>
    <row r="1772" spans="1:28" x14ac:dyDescent="0.25">
      <c r="A1772" t="s">
        <v>1776</v>
      </c>
      <c r="B1772">
        <v>0.99352677808782597</v>
      </c>
      <c r="C1772">
        <v>0.95470259882508901</v>
      </c>
      <c r="D1772">
        <v>0.92516125985976805</v>
      </c>
      <c r="E1772">
        <v>0.29346745537201202</v>
      </c>
      <c r="F1772">
        <v>0.19735296279501599</v>
      </c>
      <c r="G1772">
        <v>0.101896411675107</v>
      </c>
      <c r="H1772">
        <v>6.2639846692426907E-2</v>
      </c>
      <c r="I1772">
        <v>5.1706410618783998E-2</v>
      </c>
      <c r="J1772">
        <v>4.5360799514761803E-2</v>
      </c>
      <c r="K1772">
        <v>3.02290643732708E-2</v>
      </c>
      <c r="L1772">
        <v>1703.6856879454799</v>
      </c>
      <c r="M1772">
        <v>35.011430430503303</v>
      </c>
      <c r="N1772">
        <v>48.863435641001999</v>
      </c>
      <c r="O1772">
        <v>48.502911527853001</v>
      </c>
      <c r="P1772">
        <v>-0.168269314820504</v>
      </c>
      <c r="Q1772">
        <v>6.7559040903271403E-2</v>
      </c>
      <c r="R1772">
        <v>0.99154136408155702</v>
      </c>
      <c r="S1772" t="s">
        <v>8057</v>
      </c>
      <c r="T1772" t="s">
        <v>12568</v>
      </c>
      <c r="U1772" t="s">
        <v>12568</v>
      </c>
      <c r="V1772" t="s">
        <v>12568</v>
      </c>
      <c r="W1772" t="s">
        <v>14308</v>
      </c>
      <c r="X1772">
        <v>7</v>
      </c>
      <c r="Y1772" t="s">
        <v>20503</v>
      </c>
      <c r="Z1772" t="s">
        <v>26642</v>
      </c>
      <c r="AA1772">
        <v>0.34086796803737218</v>
      </c>
      <c r="AB1772" t="str">
        <f>HYPERLINK("Melting_Curves/meltCurve_P18085_ARF4.pdf", "Melting_Curves/meltCurve_P18085_ARF4.pdf")</f>
        <v>Melting_Curves/meltCurve_P18085_ARF4.pdf</v>
      </c>
    </row>
    <row r="1773" spans="1:28" x14ac:dyDescent="0.25">
      <c r="A1773" t="s">
        <v>1777</v>
      </c>
      <c r="B1773">
        <v>0.99352677808782597</v>
      </c>
      <c r="C1773">
        <v>0.88640592268977203</v>
      </c>
      <c r="D1773">
        <v>1.76865583021015</v>
      </c>
      <c r="E1773">
        <v>0.78396302391984796</v>
      </c>
      <c r="F1773">
        <v>0.65646309037478301</v>
      </c>
      <c r="G1773">
        <v>0.36779493742768998</v>
      </c>
      <c r="H1773">
        <v>0.223609509566777</v>
      </c>
      <c r="I1773">
        <v>0.214777803321993</v>
      </c>
      <c r="J1773">
        <v>0.18601826739470501</v>
      </c>
      <c r="K1773">
        <v>0.14801200258097899</v>
      </c>
      <c r="L1773">
        <v>1462.3644693379099</v>
      </c>
      <c r="M1773">
        <v>27.247700933339399</v>
      </c>
      <c r="N1773">
        <v>54.617331645218599</v>
      </c>
      <c r="O1773">
        <v>53.382713214933801</v>
      </c>
      <c r="P1773">
        <v>-0.10356241558352999</v>
      </c>
      <c r="Q1773">
        <v>0.18842499375834701</v>
      </c>
      <c r="R1773">
        <v>0.73028691254071099</v>
      </c>
      <c r="S1773" t="s">
        <v>8058</v>
      </c>
      <c r="T1773" t="s">
        <v>12568</v>
      </c>
      <c r="U1773" t="s">
        <v>12568</v>
      </c>
      <c r="V1773" t="s">
        <v>12568</v>
      </c>
      <c r="W1773" t="s">
        <v>14309</v>
      </c>
      <c r="X1773">
        <v>9</v>
      </c>
      <c r="Y1773" t="s">
        <v>20504</v>
      </c>
      <c r="Z1773" t="s">
        <v>26643</v>
      </c>
      <c r="AA1773">
        <v>0.56459959438675467</v>
      </c>
      <c r="AB1773" t="str">
        <f>HYPERLINK("Melting_Curves/meltCurve_P18124_RPL7.pdf", "Melting_Curves/meltCurve_P18124_RPL7.pdf")</f>
        <v>Melting_Curves/meltCurve_P18124_RPL7.pdf</v>
      </c>
    </row>
    <row r="1774" spans="1:28" x14ac:dyDescent="0.25">
      <c r="A1774" t="s">
        <v>1778</v>
      </c>
      <c r="B1774">
        <v>0.99352677808782597</v>
      </c>
      <c r="C1774">
        <v>1.09159679255978</v>
      </c>
      <c r="D1774">
        <v>0.97016896243595996</v>
      </c>
      <c r="E1774">
        <v>0.89996385299201997</v>
      </c>
      <c r="F1774">
        <v>0.77057599020533996</v>
      </c>
      <c r="G1774">
        <v>0.659319251852167</v>
      </c>
      <c r="H1774">
        <v>0.931707107475792</v>
      </c>
      <c r="I1774">
        <v>0.82027933643372497</v>
      </c>
      <c r="J1774">
        <v>0.650382170590037</v>
      </c>
      <c r="K1774">
        <v>0.117676883553675</v>
      </c>
      <c r="L1774">
        <v>2788.2870038670299</v>
      </c>
      <c r="M1774">
        <v>41.312912205353001</v>
      </c>
      <c r="N1774">
        <v>67.491924685576393</v>
      </c>
      <c r="O1774">
        <v>67.334340992177403</v>
      </c>
      <c r="P1774">
        <v>-0.15338750964630399</v>
      </c>
      <c r="Q1774">
        <v>0</v>
      </c>
      <c r="R1774">
        <v>0.69683933757598804</v>
      </c>
      <c r="S1774" t="s">
        <v>8059</v>
      </c>
      <c r="T1774" t="s">
        <v>12568</v>
      </c>
      <c r="U1774" t="s">
        <v>12568</v>
      </c>
      <c r="V1774" t="s">
        <v>12568</v>
      </c>
      <c r="W1774" t="s">
        <v>14310</v>
      </c>
      <c r="X1774">
        <v>121</v>
      </c>
      <c r="Y1774" t="s">
        <v>20505</v>
      </c>
      <c r="Z1774" t="s">
        <v>26644</v>
      </c>
      <c r="AA1774">
        <v>0.90806812435485018</v>
      </c>
      <c r="AB1774" t="str">
        <f>HYPERLINK("Melting_Curves/meltCurve_P18206_2_VCL.pdf", "Melting_Curves/meltCurve_P18206_2_VCL.pdf")</f>
        <v>Melting_Curves/meltCurve_P18206_2_VCL.pdf</v>
      </c>
    </row>
    <row r="1775" spans="1:28" x14ac:dyDescent="0.25">
      <c r="A1775" t="s">
        <v>1779</v>
      </c>
      <c r="B1775">
        <v>0.99352677808782597</v>
      </c>
      <c r="C1775">
        <v>1.03460702069666</v>
      </c>
      <c r="D1775">
        <v>0.96800603410462305</v>
      </c>
      <c r="E1775">
        <v>0.71366111053071601</v>
      </c>
      <c r="F1775">
        <v>0.51630455690397903</v>
      </c>
      <c r="G1775">
        <v>0.36466171712223799</v>
      </c>
      <c r="H1775">
        <v>0.259022347989117</v>
      </c>
      <c r="I1775">
        <v>0.21890688155125099</v>
      </c>
      <c r="J1775">
        <v>0.202473539197535</v>
      </c>
      <c r="K1775">
        <v>0.12493073414691599</v>
      </c>
      <c r="L1775">
        <v>876.18808166460406</v>
      </c>
      <c r="M1775">
        <v>16.7410994954956</v>
      </c>
      <c r="N1775">
        <v>53.642711630407803</v>
      </c>
      <c r="O1775">
        <v>51.607868388439996</v>
      </c>
      <c r="P1775">
        <v>-6.7535609038354802E-2</v>
      </c>
      <c r="Q1775">
        <v>0.16728526952380801</v>
      </c>
      <c r="R1775">
        <v>0.99076930104109195</v>
      </c>
      <c r="S1775" t="s">
        <v>8060</v>
      </c>
      <c r="T1775" t="s">
        <v>12568</v>
      </c>
      <c r="U1775" t="s">
        <v>12568</v>
      </c>
      <c r="V1775" t="s">
        <v>12568</v>
      </c>
      <c r="W1775" t="s">
        <v>14311</v>
      </c>
      <c r="X1775">
        <v>8</v>
      </c>
      <c r="Y1775" t="s">
        <v>20506</v>
      </c>
      <c r="Z1775" t="s">
        <v>26645</v>
      </c>
      <c r="AA1775">
        <v>0.52526700829963735</v>
      </c>
      <c r="AB1775" t="str">
        <f>HYPERLINK("Melting_Curves/meltCurve_P18283_GPX2.pdf", "Melting_Curves/meltCurve_P18283_GPX2.pdf")</f>
        <v>Melting_Curves/meltCurve_P18283_GPX2.pdf</v>
      </c>
    </row>
    <row r="1776" spans="1:28" x14ac:dyDescent="0.25">
      <c r="A1776" t="s">
        <v>1780</v>
      </c>
      <c r="B1776">
        <v>0.99352677808782597</v>
      </c>
      <c r="C1776">
        <v>0.99181735419630901</v>
      </c>
      <c r="D1776">
        <v>0.95714912545674102</v>
      </c>
      <c r="E1776">
        <v>0.277701053701569</v>
      </c>
      <c r="F1776">
        <v>0.18192334468062499</v>
      </c>
      <c r="G1776">
        <v>0.121797374485261</v>
      </c>
      <c r="H1776">
        <v>8.0662334407615693E-2</v>
      </c>
      <c r="I1776">
        <v>6.7964336378896706E-2</v>
      </c>
      <c r="J1776">
        <v>5.9678510652493702E-2</v>
      </c>
      <c r="K1776">
        <v>5.8592388780198998E-2</v>
      </c>
      <c r="L1776">
        <v>2232.2191896389199</v>
      </c>
      <c r="M1776">
        <v>45.887000611214198</v>
      </c>
      <c r="N1776">
        <v>48.855675494085098</v>
      </c>
      <c r="O1776">
        <v>48.553901480221498</v>
      </c>
      <c r="P1776">
        <v>-0.21515116063904299</v>
      </c>
      <c r="Q1776">
        <v>8.9379418870649194E-2</v>
      </c>
      <c r="R1776">
        <v>0.99423899352004597</v>
      </c>
      <c r="S1776" t="s">
        <v>8061</v>
      </c>
      <c r="T1776" t="s">
        <v>12568</v>
      </c>
      <c r="U1776" t="s">
        <v>12568</v>
      </c>
      <c r="V1776" t="s">
        <v>12568</v>
      </c>
      <c r="W1776" t="s">
        <v>14312</v>
      </c>
      <c r="X1776">
        <v>3</v>
      </c>
      <c r="Y1776" t="s">
        <v>20507</v>
      </c>
      <c r="Z1776" t="s">
        <v>26646</v>
      </c>
      <c r="AA1776">
        <v>0.35414380016053371</v>
      </c>
      <c r="AB1776" t="str">
        <f>HYPERLINK("Melting_Curves/meltCurve_P18440_NAT1.pdf", "Melting_Curves/meltCurve_P18440_NAT1.pdf")</f>
        <v>Melting_Curves/meltCurve_P18440_NAT1.pdf</v>
      </c>
    </row>
    <row r="1777" spans="1:28" x14ac:dyDescent="0.25">
      <c r="A1777" t="s">
        <v>1781</v>
      </c>
      <c r="B1777">
        <v>0.99352677808782597</v>
      </c>
      <c r="C1777">
        <v>0.91832620563648604</v>
      </c>
      <c r="D1777">
        <v>0.92221396045569204</v>
      </c>
      <c r="E1777">
        <v>0.77456682648081099</v>
      </c>
      <c r="F1777">
        <v>0.65760081950104399</v>
      </c>
      <c r="G1777">
        <v>0.53255457151936603</v>
      </c>
      <c r="H1777">
        <v>0.53631786219745003</v>
      </c>
      <c r="I1777">
        <v>0.54995123394850798</v>
      </c>
      <c r="J1777">
        <v>0.64392112151454395</v>
      </c>
      <c r="K1777">
        <v>0.57909059300561805</v>
      </c>
      <c r="L1777">
        <v>1003.19404033039</v>
      </c>
      <c r="M1777">
        <v>20.318092691263299</v>
      </c>
      <c r="O1777">
        <v>48.903583317214903</v>
      </c>
      <c r="P1777">
        <v>-4.5340349462543103E-2</v>
      </c>
      <c r="Q1777">
        <v>0.56349476193484005</v>
      </c>
      <c r="R1777">
        <v>0.94489091831129501</v>
      </c>
      <c r="S1777" t="s">
        <v>8062</v>
      </c>
      <c r="T1777" t="s">
        <v>12568</v>
      </c>
      <c r="U1777" t="s">
        <v>12568</v>
      </c>
      <c r="V1777" t="s">
        <v>12568</v>
      </c>
      <c r="W1777" t="s">
        <v>14313</v>
      </c>
      <c r="X1777">
        <v>6</v>
      </c>
      <c r="Y1777" t="s">
        <v>20508</v>
      </c>
      <c r="Z1777" t="s">
        <v>26647</v>
      </c>
      <c r="AA1777">
        <v>0.70580069070240137</v>
      </c>
      <c r="AB1777" t="str">
        <f>HYPERLINK("Melting_Curves/meltCurve_P18583_10_SON.pdf", "Melting_Curves/meltCurve_P18583_10_SON.pdf")</f>
        <v>Melting_Curves/meltCurve_P18583_10_SON.pdf</v>
      </c>
    </row>
    <row r="1778" spans="1:28" x14ac:dyDescent="0.25">
      <c r="A1778" t="s">
        <v>1782</v>
      </c>
      <c r="B1778">
        <v>0.99352677808782597</v>
      </c>
      <c r="C1778">
        <v>1.01429984388412</v>
      </c>
      <c r="D1778">
        <v>1.0119966996705201</v>
      </c>
      <c r="E1778">
        <v>0.97005070602675103</v>
      </c>
      <c r="F1778">
        <v>0.81799265118215403</v>
      </c>
      <c r="G1778">
        <v>0.72795410203697097</v>
      </c>
      <c r="H1778">
        <v>0.64337938736079003</v>
      </c>
      <c r="I1778">
        <v>0.69303470114581001</v>
      </c>
      <c r="J1778">
        <v>0.75868967040961599</v>
      </c>
      <c r="K1778">
        <v>0.60531899320975102</v>
      </c>
      <c r="L1778">
        <v>1820.0523975000499</v>
      </c>
      <c r="M1778">
        <v>34.472707624567697</v>
      </c>
      <c r="O1778">
        <v>52.620186901155797</v>
      </c>
      <c r="P1778">
        <v>-5.2577019889063499E-2</v>
      </c>
      <c r="Q1778">
        <v>0.67898056886272096</v>
      </c>
      <c r="R1778">
        <v>0.93657964266072302</v>
      </c>
      <c r="S1778" t="s">
        <v>8063</v>
      </c>
      <c r="T1778" t="s">
        <v>12568</v>
      </c>
      <c r="U1778" t="s">
        <v>12568</v>
      </c>
      <c r="V1778" t="s">
        <v>12568</v>
      </c>
      <c r="W1778" t="s">
        <v>14314</v>
      </c>
      <c r="X1778">
        <v>16</v>
      </c>
      <c r="Y1778" t="s">
        <v>20509</v>
      </c>
      <c r="Z1778" t="s">
        <v>26648</v>
      </c>
      <c r="AA1778">
        <v>0.81749209400445233</v>
      </c>
      <c r="AB1778" t="str">
        <f>HYPERLINK("Melting_Curves/meltCurve_P18615_NELFE.pdf", "Melting_Curves/meltCurve_P18615_NELFE.pdf")</f>
        <v>Melting_Curves/meltCurve_P18615_NELFE.pdf</v>
      </c>
    </row>
    <row r="1779" spans="1:28" x14ac:dyDescent="0.25">
      <c r="A1779" t="s">
        <v>1783</v>
      </c>
      <c r="B1779">
        <v>0.99352677808782597</v>
      </c>
      <c r="C1779">
        <v>0.86949160723507701</v>
      </c>
      <c r="D1779">
        <v>0.95563583988296397</v>
      </c>
      <c r="E1779">
        <v>0.90369758441787995</v>
      </c>
      <c r="F1779">
        <v>0.88110050353233105</v>
      </c>
      <c r="G1779">
        <v>0.69914304178379505</v>
      </c>
      <c r="H1779">
        <v>0.26849421911827898</v>
      </c>
      <c r="I1779">
        <v>0.13826694481176</v>
      </c>
      <c r="J1779">
        <v>0.107196160460868</v>
      </c>
      <c r="K1779">
        <v>9.04083887948441E-2</v>
      </c>
      <c r="L1779">
        <v>1383.1125689919099</v>
      </c>
      <c r="M1779">
        <v>23.735411358228699</v>
      </c>
      <c r="N1779">
        <v>58.566583127022</v>
      </c>
      <c r="O1779">
        <v>57.863203536127102</v>
      </c>
      <c r="P1779">
        <v>-9.6783135975071793E-2</v>
      </c>
      <c r="Q1779">
        <v>5.6247281134792097E-2</v>
      </c>
      <c r="R1779">
        <v>0.97764950437565101</v>
      </c>
      <c r="S1779" t="s">
        <v>8064</v>
      </c>
      <c r="T1779" t="s">
        <v>12568</v>
      </c>
      <c r="U1779" t="s">
        <v>12568</v>
      </c>
      <c r="V1779" t="s">
        <v>12568</v>
      </c>
      <c r="W1779" t="s">
        <v>14315</v>
      </c>
      <c r="X1779">
        <v>22</v>
      </c>
      <c r="Y1779" t="s">
        <v>20510</v>
      </c>
      <c r="Z1779" t="s">
        <v>26649</v>
      </c>
      <c r="AA1779">
        <v>0.63972199037787159</v>
      </c>
      <c r="AB1779" t="str">
        <f>HYPERLINK("Melting_Curves/meltCurve_P18669_PGAM1.pdf", "Melting_Curves/meltCurve_P18669_PGAM1.pdf")</f>
        <v>Melting_Curves/meltCurve_P18669_PGAM1.pdf</v>
      </c>
    </row>
    <row r="1780" spans="1:28" x14ac:dyDescent="0.25">
      <c r="A1780" t="s">
        <v>1784</v>
      </c>
      <c r="B1780">
        <v>0.99352677808782597</v>
      </c>
      <c r="C1780">
        <v>0.928403037595674</v>
      </c>
      <c r="D1780">
        <v>0.99506729034977703</v>
      </c>
      <c r="E1780">
        <v>1.0358387197280601</v>
      </c>
      <c r="F1780">
        <v>1.02798031433653</v>
      </c>
      <c r="G1780">
        <v>0.93582827418179504</v>
      </c>
      <c r="H1780">
        <v>0.77797988600993695</v>
      </c>
      <c r="I1780">
        <v>0.80761515948035101</v>
      </c>
      <c r="J1780">
        <v>0.871331469396744</v>
      </c>
      <c r="K1780">
        <v>0.78916495560153199</v>
      </c>
      <c r="L1780">
        <v>14287.6871667286</v>
      </c>
      <c r="M1780">
        <v>250</v>
      </c>
      <c r="O1780">
        <v>57.147071156321701</v>
      </c>
      <c r="P1780">
        <v>-0.20613159333806</v>
      </c>
      <c r="Q1780">
        <v>0.811522863778669</v>
      </c>
      <c r="R1780">
        <v>0.85915745093989704</v>
      </c>
      <c r="S1780" t="s">
        <v>8065</v>
      </c>
      <c r="T1780" t="s">
        <v>12568</v>
      </c>
      <c r="U1780" t="s">
        <v>12568</v>
      </c>
      <c r="V1780" t="s">
        <v>12568</v>
      </c>
      <c r="W1780" t="s">
        <v>14316</v>
      </c>
      <c r="X1780">
        <v>2</v>
      </c>
      <c r="Y1780" t="s">
        <v>20511</v>
      </c>
      <c r="Z1780" t="s">
        <v>26650</v>
      </c>
      <c r="AA1780">
        <v>0.91929256754532385</v>
      </c>
      <c r="AB1780" t="str">
        <f>HYPERLINK("Melting_Curves/meltCurve_P18827_SDC1.pdf", "Melting_Curves/meltCurve_P18827_SDC1.pdf")</f>
        <v>Melting_Curves/meltCurve_P18827_SDC1.pdf</v>
      </c>
    </row>
    <row r="1781" spans="1:28" x14ac:dyDescent="0.25">
      <c r="A1781" t="s">
        <v>1785</v>
      </c>
      <c r="B1781">
        <v>0.99352677808782597</v>
      </c>
      <c r="C1781">
        <v>0.88827708730667798</v>
      </c>
      <c r="D1781">
        <v>0.97360604388801497</v>
      </c>
      <c r="E1781">
        <v>0.95698957022553699</v>
      </c>
      <c r="F1781">
        <v>1.0391741094956599</v>
      </c>
      <c r="G1781">
        <v>0.84277035954402302</v>
      </c>
      <c r="H1781">
        <v>1.05576418939474</v>
      </c>
      <c r="I1781">
        <v>1.16681367975878</v>
      </c>
      <c r="J1781">
        <v>1.1375081365944</v>
      </c>
      <c r="K1781">
        <v>0.96563646125862101</v>
      </c>
      <c r="L1781">
        <v>15000</v>
      </c>
      <c r="M1781">
        <v>246.390007764286</v>
      </c>
      <c r="O1781">
        <v>60.875068947377599</v>
      </c>
      <c r="P1781">
        <v>9.1053600245241104E-2</v>
      </c>
      <c r="Q1781">
        <v>1.0899857160567701</v>
      </c>
      <c r="R1781">
        <v>0.29640631934824302</v>
      </c>
      <c r="S1781" t="s">
        <v>8066</v>
      </c>
      <c r="T1781" t="s">
        <v>12568</v>
      </c>
      <c r="U1781" t="s">
        <v>12568</v>
      </c>
      <c r="V1781" t="s">
        <v>12568</v>
      </c>
      <c r="W1781" t="s">
        <v>14317</v>
      </c>
      <c r="X1781">
        <v>3</v>
      </c>
      <c r="Y1781" t="s">
        <v>20512</v>
      </c>
      <c r="Z1781" t="s">
        <v>26651</v>
      </c>
      <c r="AA1781">
        <v>1.0273484825505459</v>
      </c>
      <c r="AB1781" t="str">
        <f>HYPERLINK("Melting_Curves/meltCurve_P18846_ATF1.pdf", "Melting_Curves/meltCurve_P18846_ATF1.pdf")</f>
        <v>Melting_Curves/meltCurve_P18846_ATF1.pdf</v>
      </c>
    </row>
    <row r="1782" spans="1:28" x14ac:dyDescent="0.25">
      <c r="A1782" t="s">
        <v>1786</v>
      </c>
      <c r="B1782">
        <v>0.99352677808782597</v>
      </c>
      <c r="C1782">
        <v>0.92918823199204603</v>
      </c>
      <c r="D1782">
        <v>0.90456794704064303</v>
      </c>
      <c r="E1782">
        <v>0.316071380767035</v>
      </c>
      <c r="F1782">
        <v>0.23999860480465099</v>
      </c>
      <c r="G1782">
        <v>0.16393674023948501</v>
      </c>
      <c r="H1782">
        <v>0.108953080407296</v>
      </c>
      <c r="I1782">
        <v>0.108542651396889</v>
      </c>
      <c r="J1782">
        <v>9.2553701681002104E-2</v>
      </c>
      <c r="K1782">
        <v>7.8058042023126897E-2</v>
      </c>
      <c r="L1782">
        <v>1572.3485097871201</v>
      </c>
      <c r="M1782">
        <v>32.437081325510697</v>
      </c>
      <c r="N1782">
        <v>48.875637301893597</v>
      </c>
      <c r="O1782">
        <v>48.290696739761302</v>
      </c>
      <c r="P1782">
        <v>-0.14827220870791499</v>
      </c>
      <c r="Q1782">
        <v>0.117043769006956</v>
      </c>
      <c r="R1782">
        <v>0.98866975195512796</v>
      </c>
      <c r="S1782" t="s">
        <v>8067</v>
      </c>
      <c r="T1782" t="s">
        <v>12568</v>
      </c>
      <c r="U1782" t="s">
        <v>12568</v>
      </c>
      <c r="V1782" t="s">
        <v>12568</v>
      </c>
      <c r="W1782" t="s">
        <v>14318</v>
      </c>
      <c r="X1782">
        <v>36</v>
      </c>
      <c r="Y1782" t="s">
        <v>18927</v>
      </c>
      <c r="Z1782" t="s">
        <v>26652</v>
      </c>
      <c r="AA1782">
        <v>0.37098966022037078</v>
      </c>
      <c r="AB1782" t="str">
        <f>HYPERLINK("Melting_Curves/meltCurve_P18858_LIG1.pdf", "Melting_Curves/meltCurve_P18858_LIG1.pdf")</f>
        <v>Melting_Curves/meltCurve_P18858_LIG1.pdf</v>
      </c>
    </row>
    <row r="1783" spans="1:28" x14ac:dyDescent="0.25">
      <c r="A1783" t="s">
        <v>1787</v>
      </c>
      <c r="B1783">
        <v>0.99352677808782597</v>
      </c>
      <c r="C1783">
        <v>0.97935036656052699</v>
      </c>
      <c r="D1783">
        <v>1.05892103481247</v>
      </c>
      <c r="E1783">
        <v>0.92890637496549699</v>
      </c>
      <c r="F1783">
        <v>0.98175739035778098</v>
      </c>
      <c r="G1783">
        <v>0.88088384925645102</v>
      </c>
      <c r="H1783">
        <v>0.65498410621576098</v>
      </c>
      <c r="I1783">
        <v>0.85567358507917102</v>
      </c>
      <c r="J1783">
        <v>0.91310363937858696</v>
      </c>
      <c r="K1783">
        <v>0.84640021254186704</v>
      </c>
      <c r="L1783">
        <v>14214.0028964249</v>
      </c>
      <c r="M1783">
        <v>250</v>
      </c>
      <c r="O1783">
        <v>56.852395394351099</v>
      </c>
      <c r="P1783">
        <v>-0.20058486508255599</v>
      </c>
      <c r="Q1783">
        <v>0.81754039012213897</v>
      </c>
      <c r="R1783">
        <v>0.58015285231357205</v>
      </c>
      <c r="S1783" t="s">
        <v>8068</v>
      </c>
      <c r="T1783" t="s">
        <v>12568</v>
      </c>
      <c r="U1783" t="s">
        <v>12568</v>
      </c>
      <c r="V1783" t="s">
        <v>12568</v>
      </c>
      <c r="W1783" t="s">
        <v>14319</v>
      </c>
      <c r="X1783">
        <v>1</v>
      </c>
      <c r="Y1783" t="s">
        <v>20513</v>
      </c>
      <c r="Z1783" t="s">
        <v>26653</v>
      </c>
      <c r="AA1783">
        <v>0.92007663946772489</v>
      </c>
      <c r="AB1783" t="str">
        <f>HYPERLINK("Melting_Curves/meltCurve_P18859_ATP5J.pdf", "Melting_Curves/meltCurve_P18859_ATP5J.pdf")</f>
        <v>Melting_Curves/meltCurve_P18859_ATP5J.pdf</v>
      </c>
    </row>
    <row r="1784" spans="1:28" x14ac:dyDescent="0.25">
      <c r="A1784" t="s">
        <v>1788</v>
      </c>
      <c r="B1784">
        <v>0.99352677808782597</v>
      </c>
      <c r="C1784">
        <v>0.887364188435806</v>
      </c>
      <c r="D1784">
        <v>0.92991504557173199</v>
      </c>
      <c r="E1784">
        <v>0.384873886904469</v>
      </c>
      <c r="F1784">
        <v>0.35297695024230802</v>
      </c>
      <c r="G1784">
        <v>0.181816341943732</v>
      </c>
      <c r="H1784">
        <v>0.12576720110731099</v>
      </c>
      <c r="I1784">
        <v>0.125612184675676</v>
      </c>
      <c r="J1784">
        <v>9.8503600416139703E-2</v>
      </c>
      <c r="K1784">
        <v>8.4711902981714896E-2</v>
      </c>
      <c r="L1784">
        <v>1029.0562434973399</v>
      </c>
      <c r="M1784">
        <v>20.905158325479601</v>
      </c>
      <c r="N1784">
        <v>49.828781274510298</v>
      </c>
      <c r="O1784">
        <v>48.7812003012601</v>
      </c>
      <c r="P1784">
        <v>-9.5152648055984904E-2</v>
      </c>
      <c r="Q1784">
        <v>0.11188741086276199</v>
      </c>
      <c r="R1784">
        <v>0.97429797336103896</v>
      </c>
      <c r="S1784" t="s">
        <v>8069</v>
      </c>
      <c r="T1784" t="s">
        <v>12568</v>
      </c>
      <c r="U1784" t="s">
        <v>12568</v>
      </c>
      <c r="V1784" t="s">
        <v>12568</v>
      </c>
      <c r="W1784" t="s">
        <v>14320</v>
      </c>
      <c r="X1784">
        <v>16</v>
      </c>
      <c r="Y1784" t="s">
        <v>20514</v>
      </c>
      <c r="Z1784" t="s">
        <v>26654</v>
      </c>
      <c r="AA1784">
        <v>0.39633635306492448</v>
      </c>
      <c r="AB1784" t="str">
        <f>HYPERLINK("Melting_Curves/meltCurve_P18887_XRCC1.pdf", "Melting_Curves/meltCurve_P18887_XRCC1.pdf")</f>
        <v>Melting_Curves/meltCurve_P18887_XRCC1.pdf</v>
      </c>
    </row>
    <row r="1785" spans="1:28" x14ac:dyDescent="0.25">
      <c r="A1785" t="s">
        <v>1789</v>
      </c>
      <c r="B1785">
        <v>0.99352677808782597</v>
      </c>
      <c r="C1785">
        <v>0.80984606429214601</v>
      </c>
      <c r="D1785">
        <v>0.71158746877034695</v>
      </c>
      <c r="E1785">
        <v>0.54034999603260303</v>
      </c>
      <c r="F1785">
        <v>0.47826249576688501</v>
      </c>
      <c r="G1785">
        <v>0.34109327448878501</v>
      </c>
      <c r="H1785">
        <v>0.39573828422893798</v>
      </c>
      <c r="I1785">
        <v>0.270291307459325</v>
      </c>
      <c r="J1785">
        <v>0.163450417715888</v>
      </c>
      <c r="K1785">
        <v>4.7652433535683901E-2</v>
      </c>
      <c r="L1785">
        <v>370.205319403256</v>
      </c>
      <c r="M1785">
        <v>7.0444124931082603</v>
      </c>
      <c r="N1785">
        <v>52.553043395125997</v>
      </c>
      <c r="O1785">
        <v>48.8103870427679</v>
      </c>
      <c r="P1785">
        <v>-3.6145857484880597E-2</v>
      </c>
      <c r="Q1785">
        <v>0</v>
      </c>
      <c r="R1785">
        <v>0.94935591705903999</v>
      </c>
      <c r="S1785" t="s">
        <v>8070</v>
      </c>
      <c r="T1785" t="s">
        <v>12568</v>
      </c>
      <c r="U1785" t="s">
        <v>12568</v>
      </c>
      <c r="V1785" t="s">
        <v>12568</v>
      </c>
      <c r="W1785" t="s">
        <v>14321</v>
      </c>
      <c r="X1785">
        <v>7</v>
      </c>
      <c r="Y1785" t="s">
        <v>20515</v>
      </c>
      <c r="Z1785" t="s">
        <v>26655</v>
      </c>
      <c r="AA1785">
        <v>0.46610837291573598</v>
      </c>
      <c r="AB1785" t="str">
        <f>HYPERLINK("Melting_Curves/meltCurve_P19013_KRT4.pdf", "Melting_Curves/meltCurve_P19013_KRT4.pdf")</f>
        <v>Melting_Curves/meltCurve_P19013_KRT4.pdf</v>
      </c>
    </row>
    <row r="1786" spans="1:28" x14ac:dyDescent="0.25">
      <c r="A1786" t="s">
        <v>1790</v>
      </c>
      <c r="B1786">
        <v>0.99352677808782597</v>
      </c>
      <c r="C1786">
        <v>1.04852504394728</v>
      </c>
      <c r="D1786">
        <v>0.883552766478095</v>
      </c>
      <c r="E1786">
        <v>0.76616915934295404</v>
      </c>
      <c r="F1786">
        <v>0.63266126329655503</v>
      </c>
      <c r="G1786">
        <v>0.54278727198219701</v>
      </c>
      <c r="H1786">
        <v>0.41821149003690899</v>
      </c>
      <c r="I1786">
        <v>0.43000847713393803</v>
      </c>
      <c r="J1786">
        <v>0.47726861696386302</v>
      </c>
      <c r="K1786">
        <v>0.37048281272344402</v>
      </c>
      <c r="L1786">
        <v>788.91563783748097</v>
      </c>
      <c r="M1786">
        <v>15.3204822657677</v>
      </c>
      <c r="N1786">
        <v>57.656434773315802</v>
      </c>
      <c r="O1786">
        <v>50.6407621381871</v>
      </c>
      <c r="P1786">
        <v>-4.5175279034117097E-2</v>
      </c>
      <c r="Q1786">
        <v>0.40276088098351498</v>
      </c>
      <c r="R1786">
        <v>0.97524657022664396</v>
      </c>
      <c r="S1786" t="s">
        <v>8071</v>
      </c>
      <c r="T1786" t="s">
        <v>12568</v>
      </c>
      <c r="U1786" t="s">
        <v>12568</v>
      </c>
      <c r="V1786" t="s">
        <v>12568</v>
      </c>
      <c r="W1786" t="s">
        <v>14322</v>
      </c>
      <c r="X1786">
        <v>13</v>
      </c>
      <c r="Y1786" t="s">
        <v>20516</v>
      </c>
      <c r="Z1786" t="s">
        <v>26656</v>
      </c>
      <c r="AA1786">
        <v>0.64471610584138295</v>
      </c>
      <c r="AB1786" t="str">
        <f>HYPERLINK("Melting_Curves/meltCurve_P19105_MYL12A.pdf", "Melting_Curves/meltCurve_P19105_MYL12A.pdf")</f>
        <v>Melting_Curves/meltCurve_P19105_MYL12A.pdf</v>
      </c>
    </row>
    <row r="1787" spans="1:28" x14ac:dyDescent="0.25">
      <c r="A1787" t="s">
        <v>1791</v>
      </c>
      <c r="B1787">
        <v>0.99352677808782597</v>
      </c>
      <c r="C1787">
        <v>0.99452461921290802</v>
      </c>
      <c r="D1787">
        <v>0.91087953226721796</v>
      </c>
      <c r="E1787">
        <v>0.26809440698067299</v>
      </c>
      <c r="F1787">
        <v>0.20783340522597801</v>
      </c>
      <c r="G1787">
        <v>0.12791091368607199</v>
      </c>
      <c r="H1787">
        <v>8.0450387249014405E-2</v>
      </c>
      <c r="I1787">
        <v>7.2796479383680404E-2</v>
      </c>
      <c r="J1787">
        <v>5.9459729036557198E-2</v>
      </c>
      <c r="K1787">
        <v>4.2677998910679603E-2</v>
      </c>
      <c r="L1787">
        <v>1847.7315276572101</v>
      </c>
      <c r="M1787">
        <v>38.169539157112197</v>
      </c>
      <c r="N1787">
        <v>48.657517960869903</v>
      </c>
      <c r="O1787">
        <v>48.276211081090601</v>
      </c>
      <c r="P1787">
        <v>-0.18012759141110599</v>
      </c>
      <c r="Q1787">
        <v>8.8712066981797594E-2</v>
      </c>
      <c r="R1787">
        <v>0.991274467019302</v>
      </c>
      <c r="S1787" t="s">
        <v>8072</v>
      </c>
      <c r="T1787" t="s">
        <v>12568</v>
      </c>
      <c r="U1787" t="s">
        <v>12568</v>
      </c>
      <c r="V1787" t="s">
        <v>12568</v>
      </c>
      <c r="W1787" t="s">
        <v>14323</v>
      </c>
      <c r="X1787">
        <v>13</v>
      </c>
      <c r="Y1787" t="s">
        <v>20517</v>
      </c>
      <c r="Z1787" t="s">
        <v>26657</v>
      </c>
      <c r="AA1787">
        <v>0.34749225946654461</v>
      </c>
      <c r="AB1787" t="str">
        <f>HYPERLINK("Melting_Curves/meltCurve_P19174_2_PLCG1.pdf", "Melting_Curves/meltCurve_P19174_2_PLCG1.pdf")</f>
        <v>Melting_Curves/meltCurve_P19174_2_PLCG1.pdf</v>
      </c>
    </row>
    <row r="1788" spans="1:28" x14ac:dyDescent="0.25">
      <c r="A1788" t="s">
        <v>1792</v>
      </c>
      <c r="B1788">
        <v>0.99352677808782597</v>
      </c>
      <c r="C1788">
        <v>1.07251737111884</v>
      </c>
      <c r="D1788">
        <v>1.1470386865822799</v>
      </c>
      <c r="E1788">
        <v>1.25564200345356</v>
      </c>
      <c r="F1788">
        <v>1.0620323700491401</v>
      </c>
      <c r="G1788">
        <v>0.95052449258426497</v>
      </c>
      <c r="H1788">
        <v>1.1151784842211501</v>
      </c>
      <c r="I1788">
        <v>0.94142409860755005</v>
      </c>
      <c r="J1788">
        <v>1.3171972325716601</v>
      </c>
      <c r="K1788">
        <v>1.02303036214766</v>
      </c>
      <c r="L1788">
        <v>10685.667668530699</v>
      </c>
      <c r="M1788">
        <v>250</v>
      </c>
      <c r="O1788">
        <v>42.739933539607499</v>
      </c>
      <c r="P1788">
        <v>0.14843913728254099</v>
      </c>
      <c r="Q1788">
        <v>1.10150846616016</v>
      </c>
      <c r="R1788">
        <v>7.5967085077237706E-2</v>
      </c>
      <c r="S1788" t="s">
        <v>8073</v>
      </c>
      <c r="T1788" t="s">
        <v>12568</v>
      </c>
      <c r="U1788" t="s">
        <v>12568</v>
      </c>
      <c r="V1788" t="s">
        <v>12568</v>
      </c>
      <c r="W1788" t="s">
        <v>14324</v>
      </c>
      <c r="X1788">
        <v>48</v>
      </c>
      <c r="Y1788" t="s">
        <v>20518</v>
      </c>
      <c r="Z1788" t="s">
        <v>26658</v>
      </c>
      <c r="AA1788">
        <v>1.0922207086053359</v>
      </c>
      <c r="AB1788" t="str">
        <f>HYPERLINK("Melting_Curves/meltCurve_P19338_NCL.pdf", "Melting_Curves/meltCurve_P19338_NCL.pdf")</f>
        <v>Melting_Curves/meltCurve_P19338_NCL.pdf</v>
      </c>
    </row>
    <row r="1789" spans="1:28" x14ac:dyDescent="0.25">
      <c r="A1789" t="s">
        <v>1793</v>
      </c>
      <c r="B1789">
        <v>0.99352677808782597</v>
      </c>
      <c r="C1789">
        <v>1.00617948815522</v>
      </c>
      <c r="D1789">
        <v>0.78568709138715798</v>
      </c>
      <c r="E1789">
        <v>0.29732207327714499</v>
      </c>
      <c r="F1789">
        <v>0.230349190642856</v>
      </c>
      <c r="G1789">
        <v>0.14920812045371801</v>
      </c>
      <c r="H1789">
        <v>0.106186034841642</v>
      </c>
      <c r="I1789">
        <v>9.4038062570737296E-2</v>
      </c>
      <c r="J1789">
        <v>7.9924330405984401E-2</v>
      </c>
      <c r="K1789">
        <v>6.5631072404613106E-2</v>
      </c>
      <c r="L1789">
        <v>1275.7445717586099</v>
      </c>
      <c r="M1789">
        <v>26.580557262831601</v>
      </c>
      <c r="N1789">
        <v>48.410023253937503</v>
      </c>
      <c r="O1789">
        <v>47.726225784841198</v>
      </c>
      <c r="P1789">
        <v>-0.125061792251832</v>
      </c>
      <c r="Q1789">
        <v>0.101800183203043</v>
      </c>
      <c r="R1789">
        <v>0.99277569665881704</v>
      </c>
      <c r="S1789" t="s">
        <v>8074</v>
      </c>
      <c r="T1789" t="s">
        <v>12568</v>
      </c>
      <c r="U1789" t="s">
        <v>12568</v>
      </c>
      <c r="V1789" t="s">
        <v>12568</v>
      </c>
      <c r="W1789" t="s">
        <v>14325</v>
      </c>
      <c r="X1789">
        <v>32</v>
      </c>
      <c r="Y1789" t="s">
        <v>20519</v>
      </c>
      <c r="Z1789" t="s">
        <v>26659</v>
      </c>
      <c r="AA1789">
        <v>0.34815415468107669</v>
      </c>
      <c r="AB1789" t="str">
        <f>HYPERLINK("Melting_Curves/meltCurve_P19367_4_HK1.pdf", "Melting_Curves/meltCurve_P19367_4_HK1.pdf")</f>
        <v>Melting_Curves/meltCurve_P19367_4_HK1.pdf</v>
      </c>
    </row>
    <row r="1790" spans="1:28" x14ac:dyDescent="0.25">
      <c r="A1790" t="s">
        <v>1794</v>
      </c>
      <c r="B1790">
        <v>0.99352677808782597</v>
      </c>
      <c r="C1790">
        <v>0.83293930274879102</v>
      </c>
      <c r="D1790">
        <v>0.63657686903252997</v>
      </c>
      <c r="E1790">
        <v>0.32915229860859602</v>
      </c>
      <c r="F1790">
        <v>0.25716536672243401</v>
      </c>
      <c r="G1790">
        <v>0.184035664868473</v>
      </c>
      <c r="H1790">
        <v>0.121567588771027</v>
      </c>
      <c r="I1790">
        <v>0.120030455429449</v>
      </c>
      <c r="J1790">
        <v>0.11743944757788401</v>
      </c>
      <c r="K1790">
        <v>9.0119844532753804E-2</v>
      </c>
      <c r="L1790">
        <v>765.74806373514605</v>
      </c>
      <c r="M1790">
        <v>16.284407013158699</v>
      </c>
      <c r="N1790">
        <v>47.7440423857729</v>
      </c>
      <c r="O1790">
        <v>46.331443040203098</v>
      </c>
      <c r="P1790">
        <v>-7.8300957068621904E-2</v>
      </c>
      <c r="Q1790">
        <v>0.10895636727635299</v>
      </c>
      <c r="R1790">
        <v>0.995453136471393</v>
      </c>
      <c r="S1790" t="s">
        <v>8075</v>
      </c>
      <c r="T1790" t="s">
        <v>12568</v>
      </c>
      <c r="U1790" t="s">
        <v>12568</v>
      </c>
      <c r="V1790" t="s">
        <v>12568</v>
      </c>
      <c r="W1790" t="s">
        <v>14326</v>
      </c>
      <c r="X1790">
        <v>3</v>
      </c>
      <c r="Y1790" t="s">
        <v>20520</v>
      </c>
      <c r="Z1790" t="s">
        <v>26660</v>
      </c>
      <c r="AA1790">
        <v>0.33792400943839102</v>
      </c>
      <c r="AB1790" t="str">
        <f>HYPERLINK("Melting_Curves/meltCurve_P19387_POLR2C.pdf", "Melting_Curves/meltCurve_P19387_POLR2C.pdf")</f>
        <v>Melting_Curves/meltCurve_P19387_POLR2C.pdf</v>
      </c>
    </row>
    <row r="1791" spans="1:28" x14ac:dyDescent="0.25">
      <c r="A1791" t="s">
        <v>1795</v>
      </c>
      <c r="B1791">
        <v>0.99352677808782597</v>
      </c>
      <c r="C1791">
        <v>0.95134096956914205</v>
      </c>
      <c r="D1791">
        <v>0.85604777064508897</v>
      </c>
      <c r="E1791">
        <v>0.44630095619540999</v>
      </c>
      <c r="F1791">
        <v>0.344187726082953</v>
      </c>
      <c r="G1791">
        <v>0.20920050317967701</v>
      </c>
      <c r="H1791">
        <v>0.141601232480175</v>
      </c>
      <c r="I1791">
        <v>8.9106260793674799E-2</v>
      </c>
      <c r="J1791">
        <v>7.8947623788161406E-2</v>
      </c>
      <c r="K1791">
        <v>6.2151412654889299E-2</v>
      </c>
      <c r="L1791">
        <v>850.63749232008104</v>
      </c>
      <c r="M1791">
        <v>17.130096837950099</v>
      </c>
      <c r="N1791">
        <v>50.180833282518002</v>
      </c>
      <c r="O1791">
        <v>48.995569039158703</v>
      </c>
      <c r="P1791">
        <v>-8.0261104711758499E-2</v>
      </c>
      <c r="Q1791">
        <v>8.1802580624312296E-2</v>
      </c>
      <c r="R1791">
        <v>0.99193349527897201</v>
      </c>
      <c r="S1791" t="s">
        <v>8076</v>
      </c>
      <c r="T1791" t="s">
        <v>12568</v>
      </c>
      <c r="U1791" t="s">
        <v>12568</v>
      </c>
      <c r="V1791" t="s">
        <v>12568</v>
      </c>
      <c r="W1791" t="s">
        <v>14327</v>
      </c>
      <c r="X1791">
        <v>5</v>
      </c>
      <c r="Y1791" t="s">
        <v>20521</v>
      </c>
      <c r="Z1791" t="s">
        <v>26661</v>
      </c>
      <c r="AA1791">
        <v>0.39468523071480521</v>
      </c>
      <c r="AB1791" t="str">
        <f>HYPERLINK("Melting_Curves/meltCurve_P19388_POLR2E.pdf", "Melting_Curves/meltCurve_P19388_POLR2E.pdf")</f>
        <v>Melting_Curves/meltCurve_P19388_POLR2E.pdf</v>
      </c>
    </row>
    <row r="1792" spans="1:28" x14ac:dyDescent="0.25">
      <c r="A1792" t="s">
        <v>1796</v>
      </c>
      <c r="B1792">
        <v>0.99352677808782597</v>
      </c>
      <c r="C1792">
        <v>1.0058424067427201</v>
      </c>
      <c r="D1792">
        <v>1.0166800536412901</v>
      </c>
      <c r="E1792">
        <v>0.93124018974717704</v>
      </c>
      <c r="F1792">
        <v>0.84905888182308198</v>
      </c>
      <c r="G1792">
        <v>0.71598066438002705</v>
      </c>
      <c r="H1792">
        <v>0.53062373102118598</v>
      </c>
      <c r="I1792">
        <v>0.51634149821611697</v>
      </c>
      <c r="J1792">
        <v>0.50462688784919096</v>
      </c>
      <c r="K1792">
        <v>0.34018198057429799</v>
      </c>
      <c r="L1792">
        <v>752.94351567207798</v>
      </c>
      <c r="M1792">
        <v>12.919803840877901</v>
      </c>
      <c r="N1792">
        <v>63.598773179195703</v>
      </c>
      <c r="O1792">
        <v>56.935033053223897</v>
      </c>
      <c r="P1792">
        <v>-3.7996716420719098E-2</v>
      </c>
      <c r="Q1792">
        <v>0.33034498102529197</v>
      </c>
      <c r="R1792">
        <v>0.97855816222151204</v>
      </c>
      <c r="S1792" t="s">
        <v>8077</v>
      </c>
      <c r="T1792" t="s">
        <v>12568</v>
      </c>
      <c r="U1792" t="s">
        <v>12568</v>
      </c>
      <c r="V1792" t="s">
        <v>12568</v>
      </c>
      <c r="W1792" t="s">
        <v>14328</v>
      </c>
      <c r="X1792">
        <v>7</v>
      </c>
      <c r="Y1792" t="s">
        <v>20522</v>
      </c>
      <c r="Z1792" t="s">
        <v>26662</v>
      </c>
      <c r="AA1792">
        <v>0.74649357626753199</v>
      </c>
      <c r="AB1792" t="str">
        <f>HYPERLINK("Melting_Curves/meltCurve_P19404_NDUFV2.pdf", "Melting_Curves/meltCurve_P19404_NDUFV2.pdf")</f>
        <v>Melting_Curves/meltCurve_P19404_NDUFV2.pdf</v>
      </c>
    </row>
    <row r="1793" spans="1:28" x14ac:dyDescent="0.25">
      <c r="A1793" t="s">
        <v>1797</v>
      </c>
      <c r="B1793">
        <v>0.99352677808782597</v>
      </c>
      <c r="C1793">
        <v>0.95307528940955</v>
      </c>
      <c r="D1793">
        <v>0.85603761744458196</v>
      </c>
      <c r="E1793">
        <v>0.67136660412953697</v>
      </c>
      <c r="F1793">
        <v>0.59549908874317103</v>
      </c>
      <c r="G1793">
        <v>0.44702392964611798</v>
      </c>
      <c r="H1793">
        <v>0.408594190963392</v>
      </c>
      <c r="I1793">
        <v>0.40725641514896199</v>
      </c>
      <c r="J1793">
        <v>0.394438422875731</v>
      </c>
      <c r="K1793">
        <v>0.35937837280232099</v>
      </c>
      <c r="L1793">
        <v>700.00820490600699</v>
      </c>
      <c r="M1793">
        <v>13.9575539274498</v>
      </c>
      <c r="N1793">
        <v>55.313363207334902</v>
      </c>
      <c r="O1793">
        <v>49.156802787154597</v>
      </c>
      <c r="P1793">
        <v>-4.5149693615920403E-2</v>
      </c>
      <c r="Q1793">
        <v>0.36403846791099298</v>
      </c>
      <c r="R1793">
        <v>0.996014050964241</v>
      </c>
      <c r="S1793" t="s">
        <v>8078</v>
      </c>
      <c r="T1793" t="s">
        <v>12568</v>
      </c>
      <c r="U1793" t="s">
        <v>12568</v>
      </c>
      <c r="V1793" t="s">
        <v>12568</v>
      </c>
      <c r="W1793" t="s">
        <v>14329</v>
      </c>
      <c r="X1793">
        <v>2</v>
      </c>
      <c r="Y1793" t="s">
        <v>20523</v>
      </c>
      <c r="Z1793" t="s">
        <v>26663</v>
      </c>
      <c r="AA1793">
        <v>0.5963464560281474</v>
      </c>
      <c r="AB1793" t="str">
        <f>HYPERLINK("Melting_Curves/meltCurve_P19419_ELK1.pdf", "Melting_Curves/meltCurve_P19419_ELK1.pdf")</f>
        <v>Melting_Curves/meltCurve_P19419_ELK1.pdf</v>
      </c>
    </row>
    <row r="1794" spans="1:28" x14ac:dyDescent="0.25">
      <c r="A1794" t="s">
        <v>1798</v>
      </c>
      <c r="B1794">
        <v>0.99352677808782597</v>
      </c>
      <c r="C1794">
        <v>0.93844956916797495</v>
      </c>
      <c r="D1794">
        <v>0.94809230342739603</v>
      </c>
      <c r="E1794">
        <v>0.26315503997779499</v>
      </c>
      <c r="F1794">
        <v>0.200090118751582</v>
      </c>
      <c r="G1794">
        <v>0.132096927754532</v>
      </c>
      <c r="H1794">
        <v>0.11383448827552201</v>
      </c>
      <c r="I1794">
        <v>0.116784329930069</v>
      </c>
      <c r="J1794">
        <v>9.8182200835674097E-2</v>
      </c>
      <c r="K1794">
        <v>6.8377868899596905E-2</v>
      </c>
      <c r="L1794">
        <v>2324.4224680334301</v>
      </c>
      <c r="M1794">
        <v>48.007663917967399</v>
      </c>
      <c r="N1794">
        <v>48.689129562501201</v>
      </c>
      <c r="O1794">
        <v>48.333948026971903</v>
      </c>
      <c r="P1794">
        <v>-0.21916301064402899</v>
      </c>
      <c r="Q1794">
        <v>0.11739067452855299</v>
      </c>
      <c r="R1794">
        <v>0.99184443582826798</v>
      </c>
      <c r="S1794" t="s">
        <v>8079</v>
      </c>
      <c r="T1794" t="s">
        <v>12568</v>
      </c>
      <c r="U1794" t="s">
        <v>12568</v>
      </c>
      <c r="V1794" t="s">
        <v>12568</v>
      </c>
      <c r="W1794" t="s">
        <v>14330</v>
      </c>
      <c r="X1794">
        <v>2</v>
      </c>
      <c r="Y1794" t="s">
        <v>20524</v>
      </c>
      <c r="Z1794" t="s">
        <v>26664</v>
      </c>
      <c r="AA1794">
        <v>0.36708960055499301</v>
      </c>
      <c r="AB1794" t="str">
        <f>HYPERLINK("Melting_Curves/meltCurve_P19440_GGT1.pdf", "Melting_Curves/meltCurve_P19440_GGT1.pdf")</f>
        <v>Melting_Curves/meltCurve_P19440_GGT1.pdf</v>
      </c>
    </row>
    <row r="1795" spans="1:28" x14ac:dyDescent="0.25">
      <c r="A1795" t="s">
        <v>1799</v>
      </c>
      <c r="B1795">
        <v>0.99352677808782597</v>
      </c>
      <c r="C1795">
        <v>0.89385364811354695</v>
      </c>
      <c r="D1795">
        <v>0.85448491012883898</v>
      </c>
      <c r="E1795">
        <v>0.62017062129586198</v>
      </c>
      <c r="F1795">
        <v>0.49413619141540499</v>
      </c>
      <c r="G1795">
        <v>0.43521309737782199</v>
      </c>
      <c r="H1795">
        <v>0.32540195142040301</v>
      </c>
      <c r="I1795">
        <v>0.25364089158869202</v>
      </c>
      <c r="J1795">
        <v>0.25674313119835401</v>
      </c>
      <c r="K1795">
        <v>0.17540603053836701</v>
      </c>
      <c r="L1795">
        <v>531.16572490333897</v>
      </c>
      <c r="M1795">
        <v>10.270825541005401</v>
      </c>
      <c r="N1795">
        <v>53.729821942114597</v>
      </c>
      <c r="O1795">
        <v>49.870544488782002</v>
      </c>
      <c r="P1795">
        <v>-4.3280732665704702E-2</v>
      </c>
      <c r="Q1795">
        <v>0.15976127132262399</v>
      </c>
      <c r="R1795">
        <v>0.98836233501216297</v>
      </c>
      <c r="S1795" t="s">
        <v>8080</v>
      </c>
      <c r="T1795" t="s">
        <v>12568</v>
      </c>
      <c r="U1795" t="s">
        <v>12568</v>
      </c>
      <c r="V1795" t="s">
        <v>12568</v>
      </c>
      <c r="W1795" t="s">
        <v>14331</v>
      </c>
      <c r="X1795">
        <v>1</v>
      </c>
      <c r="Y1795" t="s">
        <v>20525</v>
      </c>
      <c r="Z1795" t="s">
        <v>26665</v>
      </c>
      <c r="AA1795">
        <v>0.51968880967746744</v>
      </c>
      <c r="AB1795" t="str">
        <f>HYPERLINK("Melting_Curves/meltCurve_P19447_ERCC3.pdf", "Melting_Curves/meltCurve_P19447_ERCC3.pdf")</f>
        <v>Melting_Curves/meltCurve_P19447_ERCC3.pdf</v>
      </c>
    </row>
    <row r="1796" spans="1:28" x14ac:dyDescent="0.25">
      <c r="A1796" t="s">
        <v>1800</v>
      </c>
      <c r="B1796">
        <v>0.99352677808782597</v>
      </c>
      <c r="C1796">
        <v>0.64732261539587899</v>
      </c>
      <c r="D1796">
        <v>0.60954686963371196</v>
      </c>
      <c r="E1796">
        <v>0.35012710401703301</v>
      </c>
      <c r="F1796">
        <v>0.30104995352573599</v>
      </c>
      <c r="G1796">
        <v>0.18943437291692</v>
      </c>
      <c r="H1796">
        <v>0.13002679293220401</v>
      </c>
      <c r="I1796">
        <v>0.116750495921791</v>
      </c>
      <c r="J1796">
        <v>0.111010531045175</v>
      </c>
      <c r="K1796">
        <v>9.8228028013381902E-2</v>
      </c>
      <c r="L1796">
        <v>544.901542105712</v>
      </c>
      <c r="M1796">
        <v>11.6939928083026</v>
      </c>
      <c r="N1796">
        <v>47.360942650307798</v>
      </c>
      <c r="O1796">
        <v>45.296651358692102</v>
      </c>
      <c r="P1796">
        <v>-5.9007474492461097E-2</v>
      </c>
      <c r="Q1796">
        <v>8.5982305103035395E-2</v>
      </c>
      <c r="R1796">
        <v>0.96753982020026597</v>
      </c>
      <c r="S1796" t="s">
        <v>8081</v>
      </c>
      <c r="T1796" t="s">
        <v>12568</v>
      </c>
      <c r="U1796" t="s">
        <v>12568</v>
      </c>
      <c r="V1796" t="s">
        <v>12568</v>
      </c>
      <c r="W1796" t="s">
        <v>14332</v>
      </c>
      <c r="X1796">
        <v>11</v>
      </c>
      <c r="Y1796" t="s">
        <v>20526</v>
      </c>
      <c r="Z1796" t="s">
        <v>26666</v>
      </c>
      <c r="AA1796">
        <v>0.32846789399364729</v>
      </c>
      <c r="AB1796" t="str">
        <f>HYPERLINK("Melting_Curves/meltCurve_P19525_EIF2AK2.pdf", "Melting_Curves/meltCurve_P19525_EIF2AK2.pdf")</f>
        <v>Melting_Curves/meltCurve_P19525_EIF2AK2.pdf</v>
      </c>
    </row>
    <row r="1797" spans="1:28" x14ac:dyDescent="0.25">
      <c r="A1797" t="s">
        <v>1801</v>
      </c>
      <c r="B1797">
        <v>0.99352677808782597</v>
      </c>
      <c r="C1797">
        <v>0.99324455751583296</v>
      </c>
      <c r="D1797">
        <v>1.03169525588508</v>
      </c>
      <c r="E1797">
        <v>0.84201310438690802</v>
      </c>
      <c r="F1797">
        <v>0.70293436417242905</v>
      </c>
      <c r="G1797">
        <v>0.68251295826365799</v>
      </c>
      <c r="H1797">
        <v>0.53911576061198097</v>
      </c>
      <c r="I1797">
        <v>0.51046804384359201</v>
      </c>
      <c r="J1797">
        <v>0.57165445564435802</v>
      </c>
      <c r="K1797">
        <v>0.47763447704047501</v>
      </c>
      <c r="L1797">
        <v>890.51322687315997</v>
      </c>
      <c r="M1797">
        <v>16.882967974008</v>
      </c>
      <c r="O1797">
        <v>52.0228750242809</v>
      </c>
      <c r="P1797">
        <v>-3.9773601239867E-2</v>
      </c>
      <c r="Q1797">
        <v>0.50980024828792303</v>
      </c>
      <c r="R1797">
        <v>0.96198008593824502</v>
      </c>
      <c r="S1797" t="s">
        <v>8082</v>
      </c>
      <c r="T1797" t="s">
        <v>12568</v>
      </c>
      <c r="U1797" t="s">
        <v>12568</v>
      </c>
      <c r="V1797" t="s">
        <v>12568</v>
      </c>
      <c r="W1797" t="s">
        <v>14333</v>
      </c>
      <c r="X1797">
        <v>3</v>
      </c>
      <c r="Y1797" t="s">
        <v>20527</v>
      </c>
      <c r="Z1797" t="s">
        <v>26667</v>
      </c>
      <c r="AA1797">
        <v>0.72700526584163394</v>
      </c>
      <c r="AB1797" t="str">
        <f>HYPERLINK("Melting_Curves/meltCurve_P19532_TFE3.pdf", "Melting_Curves/meltCurve_P19532_TFE3.pdf")</f>
        <v>Melting_Curves/meltCurve_P19532_TFE3.pdf</v>
      </c>
    </row>
    <row r="1798" spans="1:28" x14ac:dyDescent="0.25">
      <c r="A1798" t="s">
        <v>1802</v>
      </c>
      <c r="B1798">
        <v>0.99352677808782597</v>
      </c>
      <c r="C1798">
        <v>0.73610485694967798</v>
      </c>
      <c r="D1798">
        <v>1.1242241262266599</v>
      </c>
      <c r="E1798">
        <v>0.25904248682160402</v>
      </c>
      <c r="F1798">
        <v>0.178095528308093</v>
      </c>
      <c r="G1798">
        <v>0.10342831391271</v>
      </c>
      <c r="H1798">
        <v>6.9541285295242894E-2</v>
      </c>
      <c r="I1798">
        <v>6.1481704899397902E-2</v>
      </c>
      <c r="J1798">
        <v>5.6488019998501497E-2</v>
      </c>
      <c r="K1798">
        <v>4.4218845784554803E-2</v>
      </c>
      <c r="L1798">
        <v>5971.8198115496398</v>
      </c>
      <c r="M1798">
        <v>120.885789106568</v>
      </c>
      <c r="N1798">
        <v>49.477223863314997</v>
      </c>
      <c r="O1798">
        <v>49.386995643197203</v>
      </c>
      <c r="P1798">
        <v>-0.55963380832673104</v>
      </c>
      <c r="Q1798">
        <v>8.5462998926124897E-2</v>
      </c>
      <c r="R1798">
        <v>0.93918911403893501</v>
      </c>
      <c r="S1798" t="s">
        <v>8083</v>
      </c>
      <c r="T1798" t="s">
        <v>12568</v>
      </c>
      <c r="U1798" t="s">
        <v>12568</v>
      </c>
      <c r="V1798" t="s">
        <v>12568</v>
      </c>
      <c r="W1798" t="s">
        <v>14334</v>
      </c>
      <c r="X1798">
        <v>9</v>
      </c>
      <c r="Y1798" t="s">
        <v>20528</v>
      </c>
      <c r="Z1798" t="s">
        <v>26668</v>
      </c>
      <c r="AA1798">
        <v>0.37237287022263288</v>
      </c>
      <c r="AB1798" t="str">
        <f>HYPERLINK("Melting_Curves/meltCurve_P19623_SRM.pdf", "Melting_Curves/meltCurve_P19623_SRM.pdf")</f>
        <v>Melting_Curves/meltCurve_P19623_SRM.pdf</v>
      </c>
    </row>
    <row r="1799" spans="1:28" x14ac:dyDescent="0.25">
      <c r="A1799" t="s">
        <v>1803</v>
      </c>
      <c r="B1799">
        <v>0.99352677808782597</v>
      </c>
      <c r="C1799">
        <v>0.98500042107779895</v>
      </c>
      <c r="D1799">
        <v>0.86519599608936804</v>
      </c>
      <c r="E1799">
        <v>0.37776497278560001</v>
      </c>
      <c r="F1799">
        <v>0.31990040388926599</v>
      </c>
      <c r="G1799">
        <v>0.17961919757054601</v>
      </c>
      <c r="H1799">
        <v>0.12705131613743201</v>
      </c>
      <c r="I1799">
        <v>0.114836598477516</v>
      </c>
      <c r="J1799">
        <v>0.104081625568058</v>
      </c>
      <c r="K1799">
        <v>7.7352906325932405E-2</v>
      </c>
      <c r="L1799">
        <v>1103.46341270894</v>
      </c>
      <c r="M1799">
        <v>22.566176588129402</v>
      </c>
      <c r="N1799">
        <v>49.472999893732698</v>
      </c>
      <c r="O1799">
        <v>48.5198660706887</v>
      </c>
      <c r="P1799">
        <v>-0.102883243005125</v>
      </c>
      <c r="Q1799">
        <v>0.115175066710105</v>
      </c>
      <c r="R1799">
        <v>0.98856267385629604</v>
      </c>
      <c r="S1799" t="s">
        <v>8084</v>
      </c>
      <c r="T1799" t="s">
        <v>12568</v>
      </c>
      <c r="U1799" t="s">
        <v>12568</v>
      </c>
      <c r="V1799" t="s">
        <v>12568</v>
      </c>
      <c r="W1799" t="s">
        <v>12899</v>
      </c>
      <c r="X1799">
        <v>13</v>
      </c>
      <c r="Y1799" t="s">
        <v>20529</v>
      </c>
      <c r="Z1799" t="s">
        <v>26669</v>
      </c>
      <c r="AA1799">
        <v>0.3873256433783473</v>
      </c>
      <c r="AB1799" t="str">
        <f>HYPERLINK("Melting_Curves/meltCurve_P19784_CSNK2A2.pdf", "Melting_Curves/meltCurve_P19784_CSNK2A2.pdf")</f>
        <v>Melting_Curves/meltCurve_P19784_CSNK2A2.pdf</v>
      </c>
    </row>
    <row r="1800" spans="1:28" x14ac:dyDescent="0.25">
      <c r="A1800" t="s">
        <v>1804</v>
      </c>
      <c r="B1800">
        <v>0.99352677808782597</v>
      </c>
      <c r="C1800">
        <v>0.97698877987875099</v>
      </c>
      <c r="D1800">
        <v>0.94668344915853997</v>
      </c>
      <c r="E1800">
        <v>0.75637347974112201</v>
      </c>
      <c r="F1800">
        <v>0.67064296594754802</v>
      </c>
      <c r="G1800">
        <v>0.75210033512799102</v>
      </c>
      <c r="H1800">
        <v>0.54955903275338003</v>
      </c>
      <c r="I1800">
        <v>0.58936409761750097</v>
      </c>
      <c r="J1800">
        <v>0.55363768298929406</v>
      </c>
      <c r="K1800">
        <v>0.47817628062992401</v>
      </c>
      <c r="L1800">
        <v>523.53452210208195</v>
      </c>
      <c r="M1800">
        <v>9.9252816912653898</v>
      </c>
      <c r="O1800">
        <v>50.740303066482902</v>
      </c>
      <c r="P1800">
        <v>-2.5403005726322599E-2</v>
      </c>
      <c r="Q1800">
        <v>0.48079613336675497</v>
      </c>
      <c r="R1800">
        <v>0.92343585529597605</v>
      </c>
      <c r="S1800" t="s">
        <v>8085</v>
      </c>
      <c r="T1800" t="s">
        <v>12568</v>
      </c>
      <c r="U1800" t="s">
        <v>12568</v>
      </c>
      <c r="V1800" t="s">
        <v>12568</v>
      </c>
      <c r="W1800" t="s">
        <v>14335</v>
      </c>
      <c r="X1800">
        <v>4</v>
      </c>
      <c r="Y1800" t="s">
        <v>20530</v>
      </c>
      <c r="Z1800" t="s">
        <v>26670</v>
      </c>
      <c r="AA1800">
        <v>0.71980954258821261</v>
      </c>
      <c r="AB1800" t="str">
        <f>HYPERLINK("Melting_Curves/meltCurve_P19835_CEL.pdf", "Melting_Curves/meltCurve_P19835_CEL.pdf")</f>
        <v>Melting_Curves/meltCurve_P19835_CEL.pdf</v>
      </c>
    </row>
    <row r="1801" spans="1:28" x14ac:dyDescent="0.25">
      <c r="A1801" t="s">
        <v>1805</v>
      </c>
      <c r="B1801">
        <v>0.99352677808782597</v>
      </c>
      <c r="C1801">
        <v>0.97702785821621196</v>
      </c>
      <c r="D1801">
        <v>0.88594739498101904</v>
      </c>
      <c r="E1801">
        <v>0.45655010967142001</v>
      </c>
      <c r="F1801">
        <v>0.36371349252387702</v>
      </c>
      <c r="G1801">
        <v>0.20397963375424399</v>
      </c>
      <c r="H1801">
        <v>0.15698132697050299</v>
      </c>
      <c r="I1801">
        <v>0.13190346912300999</v>
      </c>
      <c r="J1801">
        <v>0.112698696074817</v>
      </c>
      <c r="K1801">
        <v>9.0773277197392699E-2</v>
      </c>
      <c r="L1801">
        <v>970.83523205461995</v>
      </c>
      <c r="M1801">
        <v>19.5758637154096</v>
      </c>
      <c r="N1801">
        <v>50.2975678390643</v>
      </c>
      <c r="O1801">
        <v>49.084648794471299</v>
      </c>
      <c r="P1801">
        <v>-8.7758603442671099E-2</v>
      </c>
      <c r="Q1801">
        <v>0.119845130914842</v>
      </c>
      <c r="R1801">
        <v>0.99126029449249098</v>
      </c>
      <c r="S1801" t="s">
        <v>8086</v>
      </c>
      <c r="T1801" t="s">
        <v>12568</v>
      </c>
      <c r="U1801" t="s">
        <v>12568</v>
      </c>
      <c r="V1801" t="s">
        <v>12568</v>
      </c>
      <c r="W1801" t="s">
        <v>14336</v>
      </c>
      <c r="X1801">
        <v>11</v>
      </c>
      <c r="Y1801" t="s">
        <v>20531</v>
      </c>
      <c r="Z1801" t="s">
        <v>26671</v>
      </c>
      <c r="AA1801">
        <v>0.41411144319494031</v>
      </c>
      <c r="AB1801" t="str">
        <f>HYPERLINK("Melting_Curves/meltCurve_P19838_NFKB1.pdf", "Melting_Curves/meltCurve_P19838_NFKB1.pdf")</f>
        <v>Melting_Curves/meltCurve_P19838_NFKB1.pdf</v>
      </c>
    </row>
    <row r="1802" spans="1:28" x14ac:dyDescent="0.25">
      <c r="A1802" t="s">
        <v>1806</v>
      </c>
      <c r="B1802">
        <v>0.99352677808782597</v>
      </c>
      <c r="C1802">
        <v>0.99569005935552601</v>
      </c>
      <c r="D1802">
        <v>0.96805259121189402</v>
      </c>
      <c r="E1802">
        <v>0.81439156014370795</v>
      </c>
      <c r="F1802">
        <v>0.74873132819155297</v>
      </c>
      <c r="G1802">
        <v>0.58089234205217999</v>
      </c>
      <c r="H1802">
        <v>0.49209193818192298</v>
      </c>
      <c r="I1802">
        <v>0.463859339676579</v>
      </c>
      <c r="J1802">
        <v>0.27461502070122301</v>
      </c>
      <c r="K1802">
        <v>0.11554482072908399</v>
      </c>
      <c r="L1802">
        <v>536.62489974131097</v>
      </c>
      <c r="M1802">
        <v>8.9527448273119603</v>
      </c>
      <c r="N1802">
        <v>59.939704224664197</v>
      </c>
      <c r="O1802">
        <v>57.1755498908094</v>
      </c>
      <c r="P1802">
        <v>-3.9174853656237803E-2</v>
      </c>
      <c r="Q1802">
        <v>0</v>
      </c>
      <c r="R1802">
        <v>0.96989921618024499</v>
      </c>
      <c r="S1802" t="s">
        <v>8087</v>
      </c>
      <c r="T1802" t="s">
        <v>12568</v>
      </c>
      <c r="U1802" t="s">
        <v>12568</v>
      </c>
      <c r="V1802" t="s">
        <v>12568</v>
      </c>
      <c r="W1802" t="s">
        <v>14337</v>
      </c>
      <c r="X1802">
        <v>14</v>
      </c>
      <c r="Y1802" t="s">
        <v>20532</v>
      </c>
      <c r="Z1802" t="s">
        <v>26672</v>
      </c>
      <c r="AA1802">
        <v>0.65612343452781918</v>
      </c>
      <c r="AB1802" t="str">
        <f>HYPERLINK("Melting_Curves/meltCurve_P19971_TYMP.pdf", "Melting_Curves/meltCurve_P19971_TYMP.pdf")</f>
        <v>Melting_Curves/meltCurve_P19971_TYMP.pdf</v>
      </c>
    </row>
    <row r="1803" spans="1:28" x14ac:dyDescent="0.25">
      <c r="A1803" t="s">
        <v>1807</v>
      </c>
      <c r="B1803">
        <v>0.99352677808782597</v>
      </c>
      <c r="C1803">
        <v>0.95884541671471502</v>
      </c>
      <c r="D1803">
        <v>0.962235363320735</v>
      </c>
      <c r="E1803">
        <v>0.91177690626159902</v>
      </c>
      <c r="F1803">
        <v>0.78749132362093799</v>
      </c>
      <c r="G1803">
        <v>0.38998189468977401</v>
      </c>
      <c r="H1803">
        <v>0.19125095616857801</v>
      </c>
      <c r="I1803">
        <v>0.15447540649475699</v>
      </c>
      <c r="J1803">
        <v>0.14481793091564801</v>
      </c>
      <c r="K1803">
        <v>9.7192657153120698E-2</v>
      </c>
      <c r="L1803">
        <v>1326.9956087285</v>
      </c>
      <c r="M1803">
        <v>24.010390618071298</v>
      </c>
      <c r="N1803">
        <v>55.858815213193601</v>
      </c>
      <c r="O1803">
        <v>54.888450867399101</v>
      </c>
      <c r="P1803">
        <v>-9.7090189339569505E-2</v>
      </c>
      <c r="Q1803">
        <v>0.112209854794223</v>
      </c>
      <c r="R1803">
        <v>0.99668373925281195</v>
      </c>
      <c r="S1803" t="s">
        <v>8088</v>
      </c>
      <c r="T1803" t="s">
        <v>12568</v>
      </c>
      <c r="U1803" t="s">
        <v>12568</v>
      </c>
      <c r="V1803" t="s">
        <v>12568</v>
      </c>
      <c r="W1803" t="s">
        <v>14338</v>
      </c>
      <c r="X1803">
        <v>20</v>
      </c>
      <c r="Y1803" t="s">
        <v>20533</v>
      </c>
      <c r="Z1803" t="s">
        <v>26673</v>
      </c>
      <c r="AA1803">
        <v>0.57281242317100267</v>
      </c>
      <c r="AB1803" t="str">
        <f>HYPERLINK("Melting_Curves/meltCurve_P20042_EIF2S2.pdf", "Melting_Curves/meltCurve_P20042_EIF2S2.pdf")</f>
        <v>Melting_Curves/meltCurve_P20042_EIF2S2.pdf</v>
      </c>
    </row>
    <row r="1804" spans="1:28" x14ac:dyDescent="0.25">
      <c r="A1804" t="s">
        <v>1808</v>
      </c>
      <c r="B1804">
        <v>0.99352677808782597</v>
      </c>
      <c r="C1804">
        <v>0.97966603464906898</v>
      </c>
      <c r="D1804">
        <v>0.96755459900145202</v>
      </c>
      <c r="E1804">
        <v>0.87429883207666903</v>
      </c>
      <c r="F1804">
        <v>0.88182206834829702</v>
      </c>
      <c r="G1804">
        <v>0.69746005744258499</v>
      </c>
      <c r="H1804">
        <v>0.562399170209535</v>
      </c>
      <c r="I1804">
        <v>0.65852313295075204</v>
      </c>
      <c r="J1804">
        <v>0.67828972318195901</v>
      </c>
      <c r="K1804">
        <v>0.56022965389059698</v>
      </c>
      <c r="L1804">
        <v>939.40145148923102</v>
      </c>
      <c r="M1804">
        <v>17.45499162534</v>
      </c>
      <c r="O1804">
        <v>53.127008491084197</v>
      </c>
      <c r="P1804">
        <v>-3.3186055500849902E-2</v>
      </c>
      <c r="Q1804">
        <v>0.595994565015735</v>
      </c>
      <c r="R1804">
        <v>0.92526470909127201</v>
      </c>
      <c r="S1804" t="s">
        <v>8089</v>
      </c>
      <c r="T1804" t="s">
        <v>12568</v>
      </c>
      <c r="U1804" t="s">
        <v>12568</v>
      </c>
      <c r="V1804" t="s">
        <v>12568</v>
      </c>
      <c r="W1804" t="s">
        <v>14339</v>
      </c>
      <c r="X1804">
        <v>3</v>
      </c>
      <c r="Y1804" t="s">
        <v>20534</v>
      </c>
      <c r="Z1804" t="s">
        <v>26674</v>
      </c>
      <c r="AA1804">
        <v>0.78888574570362668</v>
      </c>
      <c r="AB1804" t="str">
        <f>HYPERLINK("Melting_Curves/meltCurve_P20248_CCNA2.pdf", "Melting_Curves/meltCurve_P20248_CCNA2.pdf")</f>
        <v>Melting_Curves/meltCurve_P20248_CCNA2.pdf</v>
      </c>
    </row>
    <row r="1805" spans="1:28" x14ac:dyDescent="0.25">
      <c r="A1805" t="s">
        <v>1809</v>
      </c>
      <c r="B1805">
        <v>0.99352677808782597</v>
      </c>
      <c r="C1805">
        <v>0.98152202190308702</v>
      </c>
      <c r="D1805">
        <v>1.0580131830821</v>
      </c>
      <c r="E1805">
        <v>1.06648651342687</v>
      </c>
      <c r="F1805">
        <v>1.0873327490767</v>
      </c>
      <c r="G1805">
        <v>1.0403182709201699</v>
      </c>
      <c r="H1805">
        <v>1.02740488610198</v>
      </c>
      <c r="I1805">
        <v>1.1551410177390999</v>
      </c>
      <c r="J1805">
        <v>1.1731675675384901</v>
      </c>
      <c r="K1805">
        <v>0.9163498733405</v>
      </c>
      <c r="L1805">
        <v>11412.120464228999</v>
      </c>
      <c r="M1805">
        <v>250</v>
      </c>
      <c r="O1805">
        <v>45.645558487127502</v>
      </c>
      <c r="P1805">
        <v>9.1191956446744105E-2</v>
      </c>
      <c r="Q1805">
        <v>1.06660012759482</v>
      </c>
      <c r="R1805">
        <v>0.174738185662104</v>
      </c>
      <c r="S1805" t="s">
        <v>8090</v>
      </c>
      <c r="T1805" t="s">
        <v>12568</v>
      </c>
      <c r="U1805" t="s">
        <v>12568</v>
      </c>
      <c r="V1805" t="s">
        <v>12568</v>
      </c>
      <c r="W1805" t="s">
        <v>14340</v>
      </c>
      <c r="X1805">
        <v>10</v>
      </c>
      <c r="Y1805" t="s">
        <v>20535</v>
      </c>
      <c r="Z1805" t="s">
        <v>26675</v>
      </c>
      <c r="AA1805">
        <v>1.054055138354155</v>
      </c>
      <c r="AB1805" t="str">
        <f>HYPERLINK("Melting_Curves/meltCurve_P20290_BTF3.pdf", "Melting_Curves/meltCurve_P20290_BTF3.pdf")</f>
        <v>Melting_Curves/meltCurve_P20290_BTF3.pdf</v>
      </c>
    </row>
    <row r="1806" spans="1:28" x14ac:dyDescent="0.25">
      <c r="A1806" t="s">
        <v>1810</v>
      </c>
      <c r="B1806">
        <v>0.99352677808782597</v>
      </c>
      <c r="C1806">
        <v>0.93891239479728295</v>
      </c>
      <c r="D1806">
        <v>1.0067869432462699</v>
      </c>
      <c r="E1806">
        <v>1.06769939394939</v>
      </c>
      <c r="F1806">
        <v>1.0609057545555201</v>
      </c>
      <c r="G1806">
        <v>1.0016144241673</v>
      </c>
      <c r="H1806">
        <v>0.988856996775202</v>
      </c>
      <c r="I1806">
        <v>1.1971011374168601</v>
      </c>
      <c r="J1806">
        <v>1.19912866292664</v>
      </c>
      <c r="K1806">
        <v>1.1008740890744699</v>
      </c>
      <c r="L1806">
        <v>15000</v>
      </c>
      <c r="M1806">
        <v>240.626966179128</v>
      </c>
      <c r="O1806">
        <v>62.3328350871925</v>
      </c>
      <c r="P1806">
        <v>0.159979736831627</v>
      </c>
      <c r="Q1806">
        <v>1.16576683172924</v>
      </c>
      <c r="R1806">
        <v>0.734762883700525</v>
      </c>
      <c r="S1806" t="s">
        <v>8091</v>
      </c>
      <c r="T1806" t="s">
        <v>12568</v>
      </c>
      <c r="U1806" t="s">
        <v>12568</v>
      </c>
      <c r="V1806" t="s">
        <v>12568</v>
      </c>
      <c r="W1806" t="s">
        <v>14341</v>
      </c>
      <c r="X1806">
        <v>8</v>
      </c>
      <c r="Y1806" t="s">
        <v>20535</v>
      </c>
      <c r="Z1806" t="s">
        <v>26676</v>
      </c>
      <c r="AA1806">
        <v>1.0423219534430139</v>
      </c>
      <c r="AB1806" t="str">
        <f>HYPERLINK("Melting_Curves/meltCurve_P20290_2_BTF3.pdf", "Melting_Curves/meltCurve_P20290_2_BTF3.pdf")</f>
        <v>Melting_Curves/meltCurve_P20290_2_BTF3.pdf</v>
      </c>
    </row>
    <row r="1807" spans="1:28" x14ac:dyDescent="0.25">
      <c r="A1807" t="s">
        <v>1811</v>
      </c>
      <c r="B1807">
        <v>0.99352677808782597</v>
      </c>
      <c r="C1807">
        <v>0.99475265226032805</v>
      </c>
      <c r="D1807">
        <v>0.974909200403697</v>
      </c>
      <c r="E1807">
        <v>0.87997977576657904</v>
      </c>
      <c r="F1807">
        <v>0.84522335007385896</v>
      </c>
      <c r="G1807">
        <v>0.688731846020184</v>
      </c>
      <c r="H1807">
        <v>0.33473343199426597</v>
      </c>
      <c r="I1807">
        <v>0.24368119970330501</v>
      </c>
      <c r="J1807">
        <v>0.14041033590383001</v>
      </c>
      <c r="K1807">
        <v>0.101223906196185</v>
      </c>
      <c r="L1807">
        <v>884.63427053725695</v>
      </c>
      <c r="M1807">
        <v>14.9856006686498</v>
      </c>
      <c r="N1807">
        <v>59.039999699392403</v>
      </c>
      <c r="O1807">
        <v>58.0109994864535</v>
      </c>
      <c r="P1807">
        <v>-6.4524257630237197E-2</v>
      </c>
      <c r="Q1807">
        <v>9.7790026198272509E-4</v>
      </c>
      <c r="R1807">
        <v>0.99258937931235303</v>
      </c>
      <c r="S1807" t="s">
        <v>8092</v>
      </c>
      <c r="T1807" t="s">
        <v>12568</v>
      </c>
      <c r="U1807" t="s">
        <v>12568</v>
      </c>
      <c r="V1807" t="s">
        <v>12568</v>
      </c>
      <c r="W1807" t="s">
        <v>14342</v>
      </c>
      <c r="X1807">
        <v>7</v>
      </c>
      <c r="Y1807" t="s">
        <v>20536</v>
      </c>
      <c r="Z1807" t="s">
        <v>26677</v>
      </c>
      <c r="AA1807">
        <v>0.64512988167689611</v>
      </c>
      <c r="AB1807" t="str">
        <f>HYPERLINK("Melting_Curves/meltCurve_P20338_RAB4A.pdf", "Melting_Curves/meltCurve_P20338_RAB4A.pdf")</f>
        <v>Melting_Curves/meltCurve_P20338_RAB4A.pdf</v>
      </c>
    </row>
    <row r="1808" spans="1:28" x14ac:dyDescent="0.25">
      <c r="A1808" t="s">
        <v>1812</v>
      </c>
      <c r="B1808">
        <v>0.99352677808782597</v>
      </c>
      <c r="C1808">
        <v>0.97450073686348604</v>
      </c>
      <c r="D1808">
        <v>0.93753309024168596</v>
      </c>
      <c r="E1808">
        <v>0.81127984317787305</v>
      </c>
      <c r="F1808">
        <v>0.74359101404084504</v>
      </c>
      <c r="G1808">
        <v>0.52326558954343005</v>
      </c>
      <c r="H1808">
        <v>0.27530019428163199</v>
      </c>
      <c r="I1808">
        <v>0.23902765054986</v>
      </c>
      <c r="J1808">
        <v>0.187682079195825</v>
      </c>
      <c r="K1808">
        <v>0.135964917724129</v>
      </c>
      <c r="L1808">
        <v>705.84957621329897</v>
      </c>
      <c r="M1808">
        <v>12.5006458016954</v>
      </c>
      <c r="N1808">
        <v>57.018127134901498</v>
      </c>
      <c r="O1808">
        <v>55.078475493832897</v>
      </c>
      <c r="P1808">
        <v>-5.3511508101804099E-2</v>
      </c>
      <c r="Q1808">
        <v>5.7096369154848899E-2</v>
      </c>
      <c r="R1808">
        <v>0.99507735390854901</v>
      </c>
      <c r="S1808" t="s">
        <v>8093</v>
      </c>
      <c r="T1808" t="s">
        <v>12568</v>
      </c>
      <c r="U1808" t="s">
        <v>12568</v>
      </c>
      <c r="V1808" t="s">
        <v>12568</v>
      </c>
      <c r="W1808" t="s">
        <v>14343</v>
      </c>
      <c r="X1808">
        <v>12</v>
      </c>
      <c r="Y1808" t="s">
        <v>20537</v>
      </c>
      <c r="Z1808" t="s">
        <v>26678</v>
      </c>
      <c r="AA1808">
        <v>0.59213008545767543</v>
      </c>
      <c r="AB1808" t="str">
        <f>HYPERLINK("Melting_Curves/meltCurve_P20340_2_RAB6A.pdf", "Melting_Curves/meltCurve_P20340_2_RAB6A.pdf")</f>
        <v>Melting_Curves/meltCurve_P20340_2_RAB6A.pdf</v>
      </c>
    </row>
    <row r="1809" spans="1:28" x14ac:dyDescent="0.25">
      <c r="A1809" t="s">
        <v>1813</v>
      </c>
      <c r="B1809">
        <v>0.99352677808782597</v>
      </c>
      <c r="C1809">
        <v>0.99509475947207704</v>
      </c>
      <c r="D1809">
        <v>0.92050417963263098</v>
      </c>
      <c r="E1809">
        <v>0.56210948004209904</v>
      </c>
      <c r="F1809">
        <v>0.51471104142818802</v>
      </c>
      <c r="G1809">
        <v>0.39509952759914402</v>
      </c>
      <c r="H1809">
        <v>0.37262968397875601</v>
      </c>
      <c r="I1809">
        <v>0.39660709266211502</v>
      </c>
      <c r="J1809">
        <v>0.37807712236350899</v>
      </c>
      <c r="K1809">
        <v>0.31290489348123002</v>
      </c>
      <c r="L1809">
        <v>1188.3033533335699</v>
      </c>
      <c r="M1809">
        <v>24.250198844547999</v>
      </c>
      <c r="N1809">
        <v>51.886980909525199</v>
      </c>
      <c r="O1809">
        <v>48.672226685702498</v>
      </c>
      <c r="P1809">
        <v>-7.8451143827878794E-2</v>
      </c>
      <c r="Q1809">
        <v>0.37017693072822999</v>
      </c>
      <c r="R1809">
        <v>0.98453286850143795</v>
      </c>
      <c r="S1809" t="s">
        <v>8094</v>
      </c>
      <c r="T1809" t="s">
        <v>12568</v>
      </c>
      <c r="U1809" t="s">
        <v>12568</v>
      </c>
      <c r="V1809" t="s">
        <v>12568</v>
      </c>
      <c r="W1809" t="s">
        <v>14344</v>
      </c>
      <c r="X1809">
        <v>22</v>
      </c>
      <c r="Y1809" t="s">
        <v>20538</v>
      </c>
      <c r="Z1809" t="s">
        <v>26679</v>
      </c>
      <c r="AA1809">
        <v>0.56510418479493851</v>
      </c>
      <c r="AB1809" t="str">
        <f>HYPERLINK("Melting_Curves/meltCurve_P20585_MSH3.pdf", "Melting_Curves/meltCurve_P20585_MSH3.pdf")</f>
        <v>Melting_Curves/meltCurve_P20585_MSH3.pdf</v>
      </c>
    </row>
    <row r="1810" spans="1:28" x14ac:dyDescent="0.25">
      <c r="A1810" t="s">
        <v>1814</v>
      </c>
      <c r="B1810">
        <v>0.99352677808782597</v>
      </c>
      <c r="C1810">
        <v>1.0055633205074499</v>
      </c>
      <c r="D1810">
        <v>0.85589913814775698</v>
      </c>
      <c r="E1810">
        <v>1.2247245708783501</v>
      </c>
      <c r="F1810">
        <v>0.98979317908421205</v>
      </c>
      <c r="G1810">
        <v>0.96950426806661705</v>
      </c>
      <c r="H1810">
        <v>1.3324574310221</v>
      </c>
      <c r="I1810">
        <v>1.1836582639800799</v>
      </c>
      <c r="J1810">
        <v>1.56510055285242</v>
      </c>
      <c r="K1810">
        <v>1.1566636086020099</v>
      </c>
      <c r="L1810">
        <v>8738.3359081912804</v>
      </c>
      <c r="M1810">
        <v>148.13095620810799</v>
      </c>
      <c r="O1810">
        <v>58.979862750643697</v>
      </c>
      <c r="P1810">
        <v>0.19460055764699599</v>
      </c>
      <c r="Q1810">
        <v>1.30992884513721</v>
      </c>
      <c r="R1810">
        <v>0.55305271501384901</v>
      </c>
      <c r="S1810" t="s">
        <v>8095</v>
      </c>
      <c r="T1810" t="s">
        <v>12568</v>
      </c>
      <c r="U1810" t="s">
        <v>12568</v>
      </c>
      <c r="V1810" t="s">
        <v>12568</v>
      </c>
      <c r="W1810" t="s">
        <v>14345</v>
      </c>
      <c r="X1810">
        <v>16</v>
      </c>
      <c r="Y1810" t="s">
        <v>20539</v>
      </c>
      <c r="Z1810" t="s">
        <v>26680</v>
      </c>
      <c r="AA1810">
        <v>1.113646124418344</v>
      </c>
      <c r="AB1810" t="str">
        <f>HYPERLINK("Melting_Curves/meltCurve_P20618_PSMB1.pdf", "Melting_Curves/meltCurve_P20618_PSMB1.pdf")</f>
        <v>Melting_Curves/meltCurve_P20618_PSMB1.pdf</v>
      </c>
    </row>
    <row r="1811" spans="1:28" x14ac:dyDescent="0.25">
      <c r="A1811" t="s">
        <v>1815</v>
      </c>
      <c r="B1811">
        <v>0.99352677808782597</v>
      </c>
      <c r="C1811">
        <v>1.0031529719171399</v>
      </c>
      <c r="D1811">
        <v>0.98508609730436003</v>
      </c>
      <c r="E1811">
        <v>0.90328814945923597</v>
      </c>
      <c r="F1811">
        <v>0.85359867223046804</v>
      </c>
      <c r="G1811">
        <v>0.74353014617221103</v>
      </c>
      <c r="H1811">
        <v>0.65534956732990302</v>
      </c>
      <c r="I1811">
        <v>0.75205933353332199</v>
      </c>
      <c r="J1811">
        <v>0.77767708626541499</v>
      </c>
      <c r="K1811">
        <v>0.66045793400211095</v>
      </c>
      <c r="L1811">
        <v>1137.80325119073</v>
      </c>
      <c r="M1811">
        <v>21.778139538696198</v>
      </c>
      <c r="O1811">
        <v>51.810674090697603</v>
      </c>
      <c r="P1811">
        <v>-3.0733960447145801E-2</v>
      </c>
      <c r="Q1811">
        <v>0.70753971881893196</v>
      </c>
      <c r="R1811">
        <v>0.91680852450602801</v>
      </c>
      <c r="S1811" t="s">
        <v>8096</v>
      </c>
      <c r="T1811" t="s">
        <v>12568</v>
      </c>
      <c r="U1811" t="s">
        <v>12568</v>
      </c>
      <c r="V1811" t="s">
        <v>12568</v>
      </c>
      <c r="W1811" t="s">
        <v>14346</v>
      </c>
      <c r="X1811">
        <v>5</v>
      </c>
      <c r="Y1811" t="s">
        <v>20540</v>
      </c>
      <c r="Z1811" t="s">
        <v>26681</v>
      </c>
      <c r="AA1811">
        <v>0.83038110352124439</v>
      </c>
      <c r="AB1811" t="str">
        <f>HYPERLINK("Melting_Curves/meltCurve_P20674_COX5A.pdf", "Melting_Curves/meltCurve_P20674_COX5A.pdf")</f>
        <v>Melting_Curves/meltCurve_P20674_COX5A.pdf</v>
      </c>
    </row>
    <row r="1812" spans="1:28" x14ac:dyDescent="0.25">
      <c r="A1812" t="s">
        <v>1816</v>
      </c>
      <c r="B1812">
        <v>0.99352677808782597</v>
      </c>
      <c r="C1812">
        <v>0.99294832237196795</v>
      </c>
      <c r="D1812">
        <v>0.97149743190530802</v>
      </c>
      <c r="E1812">
        <v>0.881699712668369</v>
      </c>
      <c r="F1812">
        <v>0.79900884278621398</v>
      </c>
      <c r="G1812">
        <v>0.63715050065967005</v>
      </c>
      <c r="H1812">
        <v>0.50195110356470496</v>
      </c>
      <c r="I1812">
        <v>0.48674213529840299</v>
      </c>
      <c r="J1812">
        <v>0.476899133924646</v>
      </c>
      <c r="K1812">
        <v>0.39574528735373399</v>
      </c>
      <c r="L1812">
        <v>779.03399709888402</v>
      </c>
      <c r="M1812">
        <v>14.069125342118699</v>
      </c>
      <c r="N1812">
        <v>62.248012602992397</v>
      </c>
      <c r="O1812">
        <v>54.289207672733497</v>
      </c>
      <c r="P1812">
        <v>-3.9246280389417798E-2</v>
      </c>
      <c r="Q1812">
        <v>0.39431262749169799</v>
      </c>
      <c r="R1812">
        <v>0.994421612004462</v>
      </c>
      <c r="S1812" t="s">
        <v>8097</v>
      </c>
      <c r="T1812" t="s">
        <v>12568</v>
      </c>
      <c r="U1812" t="s">
        <v>12568</v>
      </c>
      <c r="V1812" t="s">
        <v>12568</v>
      </c>
      <c r="W1812" t="s">
        <v>14347</v>
      </c>
      <c r="X1812">
        <v>25</v>
      </c>
      <c r="Y1812" t="s">
        <v>20541</v>
      </c>
      <c r="Z1812" t="s">
        <v>26682</v>
      </c>
      <c r="AA1812">
        <v>0.7167196692617902</v>
      </c>
      <c r="AB1812" t="str">
        <f>HYPERLINK("Melting_Curves/meltCurve_P20700_LMNB1.pdf", "Melting_Curves/meltCurve_P20700_LMNB1.pdf")</f>
        <v>Melting_Curves/meltCurve_P20700_LMNB1.pdf</v>
      </c>
    </row>
    <row r="1813" spans="1:28" x14ac:dyDescent="0.25">
      <c r="A1813" t="s">
        <v>1817</v>
      </c>
      <c r="B1813">
        <v>0.99352677808782597</v>
      </c>
      <c r="C1813">
        <v>0.92540651388580797</v>
      </c>
      <c r="D1813">
        <v>0.82448566800326395</v>
      </c>
      <c r="E1813">
        <v>0.40035639065779399</v>
      </c>
      <c r="F1813">
        <v>0.39101419713532498</v>
      </c>
      <c r="G1813">
        <v>0.21739314063685899</v>
      </c>
      <c r="H1813">
        <v>0.14747080737391299</v>
      </c>
      <c r="I1813">
        <v>0.14983136509720299</v>
      </c>
      <c r="J1813">
        <v>0.12810288059275601</v>
      </c>
      <c r="K1813">
        <v>9.1405569726285704E-2</v>
      </c>
      <c r="L1813">
        <v>807.03029216945401</v>
      </c>
      <c r="M1813">
        <v>16.446551518284402</v>
      </c>
      <c r="N1813">
        <v>49.895168300576003</v>
      </c>
      <c r="O1813">
        <v>48.361622086423402</v>
      </c>
      <c r="P1813">
        <v>-7.4899387828775796E-2</v>
      </c>
      <c r="Q1813">
        <v>0.119085584158294</v>
      </c>
      <c r="R1813">
        <v>0.98457850796468005</v>
      </c>
      <c r="S1813" t="s">
        <v>8098</v>
      </c>
      <c r="T1813" t="s">
        <v>12568</v>
      </c>
      <c r="U1813" t="s">
        <v>12568</v>
      </c>
      <c r="V1813" t="s">
        <v>12568</v>
      </c>
      <c r="W1813" t="s">
        <v>14348</v>
      </c>
      <c r="X1813">
        <v>6</v>
      </c>
      <c r="Y1813" t="s">
        <v>20542</v>
      </c>
      <c r="Z1813" t="s">
        <v>26683</v>
      </c>
      <c r="AA1813">
        <v>0.40360532738414329</v>
      </c>
      <c r="AB1813" t="str">
        <f>HYPERLINK("Melting_Curves/meltCurve_P20749_BCL3.pdf", "Melting_Curves/meltCurve_P20749_BCL3.pdf")</f>
        <v>Melting_Curves/meltCurve_P20749_BCL3.pdf</v>
      </c>
    </row>
    <row r="1814" spans="1:28" x14ac:dyDescent="0.25">
      <c r="A1814" t="s">
        <v>1818</v>
      </c>
      <c r="B1814">
        <v>0.99352677808782597</v>
      </c>
      <c r="C1814">
        <v>0.97817317242749202</v>
      </c>
      <c r="D1814">
        <v>0.97366660477489997</v>
      </c>
      <c r="E1814">
        <v>0.99394425844602596</v>
      </c>
      <c r="F1814">
        <v>0.94854105185787796</v>
      </c>
      <c r="G1814">
        <v>0.86853435438939397</v>
      </c>
      <c r="H1814">
        <v>0.95274838828111996</v>
      </c>
      <c r="I1814">
        <v>1.01389052730253</v>
      </c>
      <c r="J1814">
        <v>1.2157411484585099</v>
      </c>
      <c r="K1814">
        <v>1.0103783053580799</v>
      </c>
      <c r="L1814">
        <v>15000</v>
      </c>
      <c r="M1814">
        <v>232.42440707582699</v>
      </c>
      <c r="O1814">
        <v>64.532334237296794</v>
      </c>
      <c r="P1814">
        <v>0.10179169013765101</v>
      </c>
      <c r="Q1814">
        <v>1.1130493206613099</v>
      </c>
      <c r="R1814">
        <v>0.36421774355675901</v>
      </c>
      <c r="S1814" t="s">
        <v>8099</v>
      </c>
      <c r="T1814" t="s">
        <v>12568</v>
      </c>
      <c r="U1814" t="s">
        <v>12568</v>
      </c>
      <c r="V1814" t="s">
        <v>12568</v>
      </c>
      <c r="W1814" t="s">
        <v>14349</v>
      </c>
      <c r="X1814">
        <v>46</v>
      </c>
      <c r="Y1814" t="s">
        <v>20543</v>
      </c>
      <c r="Z1814" t="s">
        <v>26684</v>
      </c>
      <c r="AA1814">
        <v>1.0205710447691561</v>
      </c>
      <c r="AB1814" t="str">
        <f>HYPERLINK("Melting_Curves/meltCurve_P20810_5_CAST.pdf", "Melting_Curves/meltCurve_P20810_5_CAST.pdf")</f>
        <v>Melting_Curves/meltCurve_P20810_5_CAST.pdf</v>
      </c>
    </row>
    <row r="1815" spans="1:28" x14ac:dyDescent="0.25">
      <c r="A1815" t="s">
        <v>1819</v>
      </c>
      <c r="B1815">
        <v>0.99352677808782597</v>
      </c>
      <c r="C1815">
        <v>0.96805551751006602</v>
      </c>
      <c r="D1815">
        <v>1.0525894367927999</v>
      </c>
      <c r="E1815">
        <v>1.0336396873614599</v>
      </c>
      <c r="F1815">
        <v>0.86860884130912597</v>
      </c>
      <c r="G1815">
        <v>0.92252315580117905</v>
      </c>
      <c r="H1815">
        <v>0.87129109333371801</v>
      </c>
      <c r="I1815">
        <v>0.91255143183738696</v>
      </c>
      <c r="J1815">
        <v>0.90493659731656295</v>
      </c>
      <c r="K1815">
        <v>0.79206230689660695</v>
      </c>
      <c r="L1815">
        <v>12896.3697621725</v>
      </c>
      <c r="M1815">
        <v>250</v>
      </c>
      <c r="O1815">
        <v>51.5821779341601</v>
      </c>
      <c r="P1815">
        <v>-0.14704589131262499</v>
      </c>
      <c r="Q1815">
        <v>0.87864084289231803</v>
      </c>
      <c r="R1815">
        <v>0.71968135457058902</v>
      </c>
      <c r="S1815" t="s">
        <v>8100</v>
      </c>
      <c r="T1815" t="s">
        <v>12568</v>
      </c>
      <c r="U1815" t="s">
        <v>12568</v>
      </c>
      <c r="V1815" t="s">
        <v>12568</v>
      </c>
      <c r="W1815" t="s">
        <v>14350</v>
      </c>
      <c r="X1815">
        <v>46</v>
      </c>
      <c r="Y1815" t="s">
        <v>20543</v>
      </c>
      <c r="Z1815" t="s">
        <v>26685</v>
      </c>
      <c r="AA1815">
        <v>0.9255186288126106</v>
      </c>
      <c r="AB1815" t="str">
        <f>HYPERLINK("Melting_Curves/meltCurve_P20810_6_CAST.pdf", "Melting_Curves/meltCurve_P20810_6_CAST.pdf")</f>
        <v>Melting_Curves/meltCurve_P20810_6_CAST.pdf</v>
      </c>
    </row>
    <row r="1816" spans="1:28" x14ac:dyDescent="0.25">
      <c r="A1816" t="s">
        <v>1820</v>
      </c>
      <c r="B1816">
        <v>0.99352677808782597</v>
      </c>
      <c r="C1816">
        <v>1.0096950667609601</v>
      </c>
      <c r="D1816">
        <v>0.91111779088264899</v>
      </c>
      <c r="E1816">
        <v>0.57743903694847898</v>
      </c>
      <c r="F1816">
        <v>0.53667643020835798</v>
      </c>
      <c r="G1816">
        <v>0.34241114368449699</v>
      </c>
      <c r="H1816">
        <v>0.30043030717890401</v>
      </c>
      <c r="I1816">
        <v>0.26448812684806899</v>
      </c>
      <c r="J1816">
        <v>0.29497445032164499</v>
      </c>
      <c r="K1816">
        <v>0.22948795802993099</v>
      </c>
      <c r="L1816">
        <v>877.73231919549903</v>
      </c>
      <c r="M1816">
        <v>17.434845098168498</v>
      </c>
      <c r="N1816">
        <v>52.541010521682203</v>
      </c>
      <c r="O1816">
        <v>49.695281974136599</v>
      </c>
      <c r="P1816">
        <v>-6.5009107967054003E-2</v>
      </c>
      <c r="Q1816">
        <v>0.25884875482930297</v>
      </c>
      <c r="R1816">
        <v>0.98425639317864699</v>
      </c>
      <c r="S1816" t="s">
        <v>8101</v>
      </c>
      <c r="T1816" t="s">
        <v>12568</v>
      </c>
      <c r="U1816" t="s">
        <v>12568</v>
      </c>
      <c r="V1816" t="s">
        <v>12568</v>
      </c>
      <c r="W1816" t="s">
        <v>14351</v>
      </c>
      <c r="X1816">
        <v>2</v>
      </c>
      <c r="Y1816" t="s">
        <v>20544</v>
      </c>
      <c r="Z1816" t="s">
        <v>26686</v>
      </c>
      <c r="AA1816">
        <v>0.52773952842082605</v>
      </c>
      <c r="AB1816" t="str">
        <f>HYPERLINK("Melting_Curves/meltCurve_P20823_3_HNF1A.pdf", "Melting_Curves/meltCurve_P20823_3_HNF1A.pdf")</f>
        <v>Melting_Curves/meltCurve_P20823_3_HNF1A.pdf</v>
      </c>
    </row>
    <row r="1817" spans="1:28" x14ac:dyDescent="0.25">
      <c r="A1817" t="s">
        <v>1821</v>
      </c>
      <c r="B1817">
        <v>0.99352677808782597</v>
      </c>
      <c r="C1817">
        <v>0.93752534448265301</v>
      </c>
      <c r="D1817">
        <v>0.86851825694483298</v>
      </c>
      <c r="E1817">
        <v>1.18509191808827</v>
      </c>
      <c r="F1817">
        <v>0.88255928676763096</v>
      </c>
      <c r="G1817">
        <v>0.40522579853097201</v>
      </c>
      <c r="H1817">
        <v>0.19556373206773001</v>
      </c>
      <c r="I1817">
        <v>0.170545579081886</v>
      </c>
      <c r="J1817">
        <v>0.16817575459275699</v>
      </c>
      <c r="K1817">
        <v>0.12887175781417201</v>
      </c>
      <c r="L1817">
        <v>2288.4275333503801</v>
      </c>
      <c r="M1817">
        <v>41.045400247766203</v>
      </c>
      <c r="N1817">
        <v>56.276648565284503</v>
      </c>
      <c r="O1817">
        <v>55.621724479781598</v>
      </c>
      <c r="P1817">
        <v>-0.155228943628024</v>
      </c>
      <c r="Q1817">
        <v>0.15858206035710301</v>
      </c>
      <c r="R1817">
        <v>0.96129678626075299</v>
      </c>
      <c r="S1817" t="s">
        <v>8102</v>
      </c>
      <c r="T1817" t="s">
        <v>12568</v>
      </c>
      <c r="U1817" t="s">
        <v>12568</v>
      </c>
      <c r="V1817" t="s">
        <v>12568</v>
      </c>
      <c r="W1817" t="s">
        <v>14352</v>
      </c>
      <c r="X1817">
        <v>6</v>
      </c>
      <c r="Y1817" t="s">
        <v>20545</v>
      </c>
      <c r="Z1817" t="s">
        <v>26687</v>
      </c>
      <c r="AA1817">
        <v>0.60349059453871923</v>
      </c>
      <c r="AB1817" t="str">
        <f>HYPERLINK("Melting_Curves/meltCurve_P20839_2_IMPDH1.pdf", "Melting_Curves/meltCurve_P20839_2_IMPDH1.pdf")</f>
        <v>Melting_Curves/meltCurve_P20839_2_IMPDH1.pdf</v>
      </c>
    </row>
    <row r="1818" spans="1:28" x14ac:dyDescent="0.25">
      <c r="A1818" t="s">
        <v>1822</v>
      </c>
      <c r="B1818">
        <v>0.99352677808782597</v>
      </c>
      <c r="C1818">
        <v>1.0653334046314</v>
      </c>
      <c r="D1818">
        <v>1.0616957137235301</v>
      </c>
      <c r="E1818">
        <v>0.77908681763729104</v>
      </c>
      <c r="F1818">
        <v>0.72579699064543302</v>
      </c>
      <c r="G1818">
        <v>0.50578413850342896</v>
      </c>
      <c r="H1818">
        <v>0.41889047711042499</v>
      </c>
      <c r="I1818">
        <v>0.37582004277412401</v>
      </c>
      <c r="J1818">
        <v>0.298210754890253</v>
      </c>
      <c r="K1818">
        <v>0.30947463983382401</v>
      </c>
      <c r="L1818">
        <v>884.45049184722598</v>
      </c>
      <c r="M1818">
        <v>16.3580493036498</v>
      </c>
      <c r="N1818">
        <v>57.289833662516699</v>
      </c>
      <c r="O1818">
        <v>53.279549513204202</v>
      </c>
      <c r="P1818">
        <v>-5.3677980604567202E-2</v>
      </c>
      <c r="Q1818">
        <v>0.30071537395477699</v>
      </c>
      <c r="R1818">
        <v>0.97288488474157997</v>
      </c>
      <c r="S1818" t="s">
        <v>8103</v>
      </c>
      <c r="T1818" t="s">
        <v>12568</v>
      </c>
      <c r="U1818" t="s">
        <v>12568</v>
      </c>
      <c r="V1818" t="s">
        <v>12568</v>
      </c>
      <c r="W1818" t="s">
        <v>14353</v>
      </c>
      <c r="X1818">
        <v>3</v>
      </c>
      <c r="Y1818" t="s">
        <v>20546</v>
      </c>
      <c r="Z1818" t="s">
        <v>26688</v>
      </c>
      <c r="AA1818">
        <v>0.64142149857406394</v>
      </c>
      <c r="AB1818" t="str">
        <f>HYPERLINK("Melting_Curves/meltCurve_P20908_COL5A1.pdf", "Melting_Curves/meltCurve_P20908_COL5A1.pdf")</f>
        <v>Melting_Curves/meltCurve_P20908_COL5A1.pdf</v>
      </c>
    </row>
    <row r="1819" spans="1:28" x14ac:dyDescent="0.25">
      <c r="A1819" t="s">
        <v>1823</v>
      </c>
      <c r="B1819">
        <v>0.99352677808782597</v>
      </c>
      <c r="C1819">
        <v>1.01972221025173</v>
      </c>
      <c r="D1819">
        <v>0.95782679569447304</v>
      </c>
      <c r="E1819">
        <v>0.309623083663424</v>
      </c>
      <c r="F1819">
        <v>0.231117178829503</v>
      </c>
      <c r="G1819">
        <v>0.12750146013317501</v>
      </c>
      <c r="H1819">
        <v>7.8120991428054801E-2</v>
      </c>
      <c r="I1819">
        <v>7.4309384912382107E-2</v>
      </c>
      <c r="J1819">
        <v>6.5285689458890794E-2</v>
      </c>
      <c r="K1819">
        <v>4.5484039543477503E-2</v>
      </c>
      <c r="L1819">
        <v>1934.73976931587</v>
      </c>
      <c r="M1819">
        <v>39.658411781310697</v>
      </c>
      <c r="N1819">
        <v>49.038349486904501</v>
      </c>
      <c r="O1819">
        <v>48.6615558802145</v>
      </c>
      <c r="P1819">
        <v>-0.184879817230304</v>
      </c>
      <c r="Q1819">
        <v>9.25990476460717E-2</v>
      </c>
      <c r="R1819">
        <v>0.98900405605196096</v>
      </c>
      <c r="S1819" t="s">
        <v>8104</v>
      </c>
      <c r="T1819" t="s">
        <v>12568</v>
      </c>
      <c r="U1819" t="s">
        <v>12568</v>
      </c>
      <c r="V1819" t="s">
        <v>12568</v>
      </c>
      <c r="W1819" t="s">
        <v>14354</v>
      </c>
      <c r="X1819">
        <v>11</v>
      </c>
      <c r="Y1819" t="s">
        <v>20547</v>
      </c>
      <c r="Z1819" t="s">
        <v>26689</v>
      </c>
      <c r="AA1819">
        <v>0.36143714676692529</v>
      </c>
      <c r="AB1819" t="str">
        <f>HYPERLINK("Melting_Curves/meltCurve_P20936_2_RASA1.pdf", "Melting_Curves/meltCurve_P20936_2_RASA1.pdf")</f>
        <v>Melting_Curves/meltCurve_P20936_2_RASA1.pdf</v>
      </c>
    </row>
    <row r="1820" spans="1:28" x14ac:dyDescent="0.25">
      <c r="A1820" t="s">
        <v>1824</v>
      </c>
      <c r="B1820">
        <v>0.99352677808782597</v>
      </c>
      <c r="C1820">
        <v>0.96168922658212797</v>
      </c>
      <c r="D1820">
        <v>0.94737743470554403</v>
      </c>
      <c r="E1820">
        <v>0.92946181328211996</v>
      </c>
      <c r="F1820">
        <v>0.918222482353796</v>
      </c>
      <c r="G1820">
        <v>0.88658089733225098</v>
      </c>
      <c r="H1820">
        <v>0.77295043842900701</v>
      </c>
      <c r="I1820">
        <v>0.84295988728774096</v>
      </c>
      <c r="J1820">
        <v>0.83195549530981305</v>
      </c>
      <c r="K1820">
        <v>0.72810819425782203</v>
      </c>
      <c r="L1820">
        <v>262.87062067556798</v>
      </c>
      <c r="M1820">
        <v>2.96883744786882</v>
      </c>
      <c r="O1820">
        <v>64.893532056606205</v>
      </c>
      <c r="P1820">
        <v>-9.1142481843093405E-3</v>
      </c>
      <c r="Q1820">
        <v>0.22769789582525399</v>
      </c>
      <c r="R1820">
        <v>0.86392599620121302</v>
      </c>
      <c r="S1820" t="s">
        <v>8105</v>
      </c>
      <c r="T1820" t="s">
        <v>12568</v>
      </c>
      <c r="U1820" t="s">
        <v>12568</v>
      </c>
      <c r="V1820" t="s">
        <v>12568</v>
      </c>
      <c r="W1820" t="s">
        <v>14355</v>
      </c>
      <c r="X1820">
        <v>4</v>
      </c>
      <c r="Y1820" t="s">
        <v>20548</v>
      </c>
      <c r="Z1820" t="s">
        <v>26690</v>
      </c>
      <c r="AA1820">
        <v>0.88375660053759986</v>
      </c>
      <c r="AB1820" t="str">
        <f>HYPERLINK("Melting_Curves/meltCurve_P20962_PTMS.pdf", "Melting_Curves/meltCurve_P20962_PTMS.pdf")</f>
        <v>Melting_Curves/meltCurve_P20962_PTMS.pdf</v>
      </c>
    </row>
    <row r="1821" spans="1:28" x14ac:dyDescent="0.25">
      <c r="A1821" t="s">
        <v>1825</v>
      </c>
      <c r="B1821">
        <v>0.99352677808782597</v>
      </c>
      <c r="C1821">
        <v>0.73319727789153599</v>
      </c>
      <c r="D1821">
        <v>0.60526297451228905</v>
      </c>
      <c r="E1821">
        <v>0.38696023676600899</v>
      </c>
      <c r="F1821">
        <v>0.33647007752977498</v>
      </c>
      <c r="G1821">
        <v>0.22795971969632201</v>
      </c>
      <c r="H1821">
        <v>0.191135888547766</v>
      </c>
      <c r="I1821">
        <v>0.19496128328134499</v>
      </c>
      <c r="J1821">
        <v>0.20480143265885001</v>
      </c>
      <c r="K1821">
        <v>0.16939081786073901</v>
      </c>
      <c r="L1821">
        <v>637.54547334358404</v>
      </c>
      <c r="M1821">
        <v>13.7927217950472</v>
      </c>
      <c r="N1821">
        <v>47.750303784258698</v>
      </c>
      <c r="O1821">
        <v>45.284173134374399</v>
      </c>
      <c r="P1821">
        <v>-6.2575470762178703E-2</v>
      </c>
      <c r="Q1821">
        <v>0.17832587055805299</v>
      </c>
      <c r="R1821">
        <v>0.98351554083803705</v>
      </c>
      <c r="S1821" t="s">
        <v>8106</v>
      </c>
      <c r="T1821" t="s">
        <v>12568</v>
      </c>
      <c r="U1821" t="s">
        <v>12568</v>
      </c>
      <c r="V1821" t="s">
        <v>12568</v>
      </c>
      <c r="W1821" t="s">
        <v>14356</v>
      </c>
      <c r="X1821">
        <v>11</v>
      </c>
      <c r="Y1821" t="s">
        <v>20549</v>
      </c>
      <c r="Z1821" t="s">
        <v>26691</v>
      </c>
      <c r="AA1821">
        <v>0.37678702748893611</v>
      </c>
      <c r="AB1821" t="str">
        <f>HYPERLINK("Melting_Curves/meltCurve_P21127_8_CDK11B.pdf", "Melting_Curves/meltCurve_P21127_8_CDK11B.pdf")</f>
        <v>Melting_Curves/meltCurve_P21127_8_CDK11B.pdf</v>
      </c>
    </row>
    <row r="1822" spans="1:28" x14ac:dyDescent="0.25">
      <c r="A1822" t="s">
        <v>1826</v>
      </c>
      <c r="B1822">
        <v>0.99352677808782597</v>
      </c>
      <c r="C1822">
        <v>0.88873476130890305</v>
      </c>
      <c r="D1822">
        <v>0.84821964755569002</v>
      </c>
      <c r="E1822">
        <v>0.25108652986902302</v>
      </c>
      <c r="F1822">
        <v>0.18707188661628599</v>
      </c>
      <c r="G1822">
        <v>0.121563076110309</v>
      </c>
      <c r="H1822">
        <v>9.4862566966515197E-2</v>
      </c>
      <c r="I1822">
        <v>8.3546886538071199E-2</v>
      </c>
      <c r="J1822">
        <v>6.9980846003128205E-2</v>
      </c>
      <c r="K1822">
        <v>5.2520682215794902E-2</v>
      </c>
      <c r="L1822">
        <v>1502.9030339206199</v>
      </c>
      <c r="M1822">
        <v>31.322780319702101</v>
      </c>
      <c r="N1822">
        <v>48.280610331308601</v>
      </c>
      <c r="O1822">
        <v>47.7868300555145</v>
      </c>
      <c r="P1822">
        <v>-0.14940086120570201</v>
      </c>
      <c r="Q1822">
        <v>8.8285597421526904E-2</v>
      </c>
      <c r="R1822">
        <v>0.98801483642148502</v>
      </c>
      <c r="S1822" t="s">
        <v>8107</v>
      </c>
      <c r="T1822" t="s">
        <v>12568</v>
      </c>
      <c r="U1822" t="s">
        <v>12568</v>
      </c>
      <c r="V1822" t="s">
        <v>12568</v>
      </c>
      <c r="W1822" t="s">
        <v>14357</v>
      </c>
      <c r="X1822">
        <v>12</v>
      </c>
      <c r="Y1822" t="s">
        <v>20550</v>
      </c>
      <c r="Z1822" t="s">
        <v>26692</v>
      </c>
      <c r="AA1822">
        <v>0.33585084573920898</v>
      </c>
      <c r="AB1822" t="str">
        <f>HYPERLINK("Melting_Curves/meltCurve_P21266_GSTM3.pdf", "Melting_Curves/meltCurve_P21266_GSTM3.pdf")</f>
        <v>Melting_Curves/meltCurve_P21266_GSTM3.pdf</v>
      </c>
    </row>
    <row r="1823" spans="1:28" x14ac:dyDescent="0.25">
      <c r="A1823" t="s">
        <v>1827</v>
      </c>
      <c r="B1823">
        <v>0.99352677808782597</v>
      </c>
      <c r="C1823">
        <v>0.99381195445233095</v>
      </c>
      <c r="D1823">
        <v>0.99601570095315095</v>
      </c>
      <c r="E1823">
        <v>0.80526276761984605</v>
      </c>
      <c r="F1823">
        <v>0.68324474168383897</v>
      </c>
      <c r="G1823">
        <v>0.41444948768826001</v>
      </c>
      <c r="H1823">
        <v>0.37736290317289201</v>
      </c>
      <c r="I1823">
        <v>0.16186957623697401</v>
      </c>
      <c r="J1823">
        <v>7.9893545372096794E-2</v>
      </c>
      <c r="K1823">
        <v>7.4286691652671294E-2</v>
      </c>
      <c r="L1823">
        <v>703.09904258921995</v>
      </c>
      <c r="M1823">
        <v>12.487037305689601</v>
      </c>
      <c r="N1823">
        <v>56.306313926019499</v>
      </c>
      <c r="O1823">
        <v>54.920747281529501</v>
      </c>
      <c r="P1823">
        <v>-5.6852911413925802E-2</v>
      </c>
      <c r="Q1823">
        <v>0</v>
      </c>
      <c r="R1823">
        <v>0.98634493798913603</v>
      </c>
      <c r="S1823" t="s">
        <v>8108</v>
      </c>
      <c r="T1823" t="s">
        <v>12568</v>
      </c>
      <c r="U1823" t="s">
        <v>12568</v>
      </c>
      <c r="V1823" t="s">
        <v>12568</v>
      </c>
      <c r="W1823" t="s">
        <v>14358</v>
      </c>
      <c r="X1823">
        <v>20</v>
      </c>
      <c r="Y1823" t="s">
        <v>20551</v>
      </c>
      <c r="Z1823" t="s">
        <v>26693</v>
      </c>
      <c r="AA1823">
        <v>0.56264867950814645</v>
      </c>
      <c r="AB1823" t="str">
        <f>HYPERLINK("Melting_Curves/meltCurve_P21281_ATP6V1B2.pdf", "Melting_Curves/meltCurve_P21281_ATP6V1B2.pdf")</f>
        <v>Melting_Curves/meltCurve_P21281_ATP6V1B2.pdf</v>
      </c>
    </row>
    <row r="1824" spans="1:28" x14ac:dyDescent="0.25">
      <c r="A1824" t="s">
        <v>1828</v>
      </c>
      <c r="B1824">
        <v>0.99352677808782597</v>
      </c>
      <c r="C1824">
        <v>0.86300559224329099</v>
      </c>
      <c r="D1824">
        <v>1.03993296464917</v>
      </c>
      <c r="E1824">
        <v>0.68383374722990398</v>
      </c>
      <c r="F1824">
        <v>0.58547579571028596</v>
      </c>
      <c r="G1824">
        <v>0.186348287787446</v>
      </c>
      <c r="H1824">
        <v>8.9611417496970699E-2</v>
      </c>
      <c r="I1824">
        <v>7.6257615888329897E-2</v>
      </c>
      <c r="J1824">
        <v>6.0961018514860701E-2</v>
      </c>
      <c r="K1824">
        <v>4.5911430352283303E-2</v>
      </c>
      <c r="L1824">
        <v>1011.5815998843</v>
      </c>
      <c r="M1824">
        <v>19.109667823742999</v>
      </c>
      <c r="N1824">
        <v>53.120541445932901</v>
      </c>
      <c r="O1824">
        <v>52.366130782861298</v>
      </c>
      <c r="P1824">
        <v>-8.8298604713572204E-2</v>
      </c>
      <c r="Q1824">
        <v>3.2180768951168698E-2</v>
      </c>
      <c r="R1824">
        <v>0.97509693786648599</v>
      </c>
      <c r="S1824" t="s">
        <v>8109</v>
      </c>
      <c r="T1824" t="s">
        <v>12568</v>
      </c>
      <c r="U1824" t="s">
        <v>12568</v>
      </c>
      <c r="V1824" t="s">
        <v>12568</v>
      </c>
      <c r="W1824" t="s">
        <v>14359</v>
      </c>
      <c r="X1824">
        <v>22</v>
      </c>
      <c r="Y1824" t="s">
        <v>20552</v>
      </c>
      <c r="Z1824" t="s">
        <v>26694</v>
      </c>
      <c r="AA1824">
        <v>0.46387578823891962</v>
      </c>
      <c r="AB1824" t="str">
        <f>HYPERLINK("Melting_Curves/meltCurve_P21283_ATP6V1C1.pdf", "Melting_Curves/meltCurve_P21283_ATP6V1C1.pdf")</f>
        <v>Melting_Curves/meltCurve_P21283_ATP6V1C1.pdf</v>
      </c>
    </row>
    <row r="1825" spans="1:28" x14ac:dyDescent="0.25">
      <c r="A1825" t="s">
        <v>1829</v>
      </c>
      <c r="B1825">
        <v>0.99352677808782597</v>
      </c>
      <c r="C1825">
        <v>0.93501855923775201</v>
      </c>
      <c r="D1825">
        <v>1.0137468359100399</v>
      </c>
      <c r="E1825">
        <v>0.96452388409352796</v>
      </c>
      <c r="F1825">
        <v>0.87070452361959705</v>
      </c>
      <c r="G1825">
        <v>0.85995600852306997</v>
      </c>
      <c r="H1825">
        <v>0.74955193826988098</v>
      </c>
      <c r="I1825">
        <v>0.77203517533249599</v>
      </c>
      <c r="J1825">
        <v>0.88323916259644497</v>
      </c>
      <c r="K1825">
        <v>0.77168511499816606</v>
      </c>
      <c r="L1825">
        <v>1380.5367911635501</v>
      </c>
      <c r="M1825">
        <v>26.306999414123101</v>
      </c>
      <c r="O1825">
        <v>52.177501670067201</v>
      </c>
      <c r="P1825">
        <v>-2.52955854346665E-2</v>
      </c>
      <c r="Q1825">
        <v>0.79931638235242497</v>
      </c>
      <c r="R1825">
        <v>0.78155230856720603</v>
      </c>
      <c r="S1825" t="s">
        <v>8110</v>
      </c>
      <c r="T1825" t="s">
        <v>12568</v>
      </c>
      <c r="U1825" t="s">
        <v>12568</v>
      </c>
      <c r="V1825" t="s">
        <v>12568</v>
      </c>
      <c r="W1825" t="s">
        <v>14360</v>
      </c>
      <c r="X1825">
        <v>18</v>
      </c>
      <c r="Y1825" t="s">
        <v>19221</v>
      </c>
      <c r="Z1825" t="s">
        <v>26695</v>
      </c>
      <c r="AA1825">
        <v>0.8844559280209443</v>
      </c>
      <c r="AB1825" t="str">
        <f>HYPERLINK("Melting_Curves/meltCurve_P21291_CSRP1.pdf", "Melting_Curves/meltCurve_P21291_CSRP1.pdf")</f>
        <v>Melting_Curves/meltCurve_P21291_CSRP1.pdf</v>
      </c>
    </row>
    <row r="1826" spans="1:28" x14ac:dyDescent="0.25">
      <c r="A1826" t="s">
        <v>1830</v>
      </c>
      <c r="B1826">
        <v>0.99352677808782597</v>
      </c>
      <c r="C1826">
        <v>1.0468130824694499</v>
      </c>
      <c r="D1826">
        <v>0.89574793774845196</v>
      </c>
      <c r="E1826">
        <v>0.67000864615589095</v>
      </c>
      <c r="F1826">
        <v>0.55246397648381396</v>
      </c>
      <c r="G1826">
        <v>0.25543132925662299</v>
      </c>
      <c r="H1826">
        <v>0.14753478479245299</v>
      </c>
      <c r="I1826">
        <v>0.123697615786194</v>
      </c>
      <c r="J1826">
        <v>0.11015386420305499</v>
      </c>
      <c r="K1826">
        <v>8.1574643649244702E-2</v>
      </c>
      <c r="L1826">
        <v>835.51701503066295</v>
      </c>
      <c r="M1826">
        <v>15.9044443065285</v>
      </c>
      <c r="N1826">
        <v>53.021729925491101</v>
      </c>
      <c r="O1826">
        <v>51.724076807164003</v>
      </c>
      <c r="P1826">
        <v>-7.1641738810500802E-2</v>
      </c>
      <c r="Q1826">
        <v>6.8108213968941803E-2</v>
      </c>
      <c r="R1826">
        <v>0.99227784914716699</v>
      </c>
      <c r="S1826" t="s">
        <v>8111</v>
      </c>
      <c r="T1826" t="s">
        <v>12568</v>
      </c>
      <c r="U1826" t="s">
        <v>12568</v>
      </c>
      <c r="V1826" t="s">
        <v>12568</v>
      </c>
      <c r="W1826" t="s">
        <v>14361</v>
      </c>
      <c r="X1826">
        <v>181</v>
      </c>
      <c r="Y1826" t="s">
        <v>20553</v>
      </c>
      <c r="Z1826" t="s">
        <v>26696</v>
      </c>
      <c r="AA1826">
        <v>0.4761643293137176</v>
      </c>
      <c r="AB1826" t="str">
        <f>HYPERLINK("Melting_Curves/meltCurve_P21333_2_FLNA.pdf", "Melting_Curves/meltCurve_P21333_2_FLNA.pdf")</f>
        <v>Melting_Curves/meltCurve_P21333_2_FLNA.pdf</v>
      </c>
    </row>
    <row r="1827" spans="1:28" x14ac:dyDescent="0.25">
      <c r="A1827" t="s">
        <v>1831</v>
      </c>
      <c r="B1827">
        <v>0.99352677808782597</v>
      </c>
      <c r="C1827">
        <v>0.91846646489376405</v>
      </c>
      <c r="D1827">
        <v>0.88605318397500898</v>
      </c>
      <c r="E1827">
        <v>0.40769917322638399</v>
      </c>
      <c r="F1827">
        <v>0.32365013049359698</v>
      </c>
      <c r="G1827">
        <v>0.18218799582030801</v>
      </c>
      <c r="H1827">
        <v>0.12766511271808101</v>
      </c>
      <c r="I1827">
        <v>0.13061221388459099</v>
      </c>
      <c r="J1827">
        <v>7.9965990842693194E-2</v>
      </c>
      <c r="K1827">
        <v>7.01739103199603E-2</v>
      </c>
      <c r="L1827">
        <v>981.49185155876205</v>
      </c>
      <c r="M1827">
        <v>19.944650416838599</v>
      </c>
      <c r="N1827">
        <v>49.776550102012699</v>
      </c>
      <c r="O1827">
        <v>48.724081751868098</v>
      </c>
      <c r="P1827">
        <v>-9.1959191257891801E-2</v>
      </c>
      <c r="Q1827">
        <v>0.10141736096239901</v>
      </c>
      <c r="R1827">
        <v>0.98730675427278403</v>
      </c>
      <c r="S1827" t="s">
        <v>8112</v>
      </c>
      <c r="T1827" t="s">
        <v>12568</v>
      </c>
      <c r="U1827" t="s">
        <v>12568</v>
      </c>
      <c r="V1827" t="s">
        <v>12568</v>
      </c>
      <c r="W1827" t="s">
        <v>14362</v>
      </c>
      <c r="X1827">
        <v>2</v>
      </c>
      <c r="Y1827" t="s">
        <v>20554</v>
      </c>
      <c r="Z1827" t="s">
        <v>26697</v>
      </c>
      <c r="AA1827">
        <v>0.38994048822585442</v>
      </c>
      <c r="AB1827" t="str">
        <f>HYPERLINK("Melting_Curves/meltCurve_P21359_2_NF1.pdf", "Melting_Curves/meltCurve_P21359_2_NF1.pdf")</f>
        <v>Melting_Curves/meltCurve_P21359_2_NF1.pdf</v>
      </c>
    </row>
    <row r="1828" spans="1:28" x14ac:dyDescent="0.25">
      <c r="A1828" t="s">
        <v>1832</v>
      </c>
      <c r="B1828">
        <v>0.99352677808782597</v>
      </c>
      <c r="C1828">
        <v>0.95238921283842803</v>
      </c>
      <c r="D1828">
        <v>0.61005934858688504</v>
      </c>
      <c r="E1828">
        <v>0.24825831175006699</v>
      </c>
      <c r="F1828">
        <v>0.185625378218922</v>
      </c>
      <c r="G1828">
        <v>9.0572414003662699E-2</v>
      </c>
      <c r="H1828">
        <v>6.0558548317234298E-2</v>
      </c>
      <c r="I1828">
        <v>5.9866857424696801E-2</v>
      </c>
      <c r="J1828">
        <v>5.0862179765947597E-2</v>
      </c>
      <c r="K1828">
        <v>3.7347062106944599E-2</v>
      </c>
      <c r="L1828">
        <v>1046.21653282848</v>
      </c>
      <c r="M1828">
        <v>22.258848515680299</v>
      </c>
      <c r="N1828">
        <v>47.280795271979898</v>
      </c>
      <c r="O1828">
        <v>46.627842404354602</v>
      </c>
      <c r="P1828">
        <v>-0.112012555109456</v>
      </c>
      <c r="Q1828">
        <v>6.1444375471603897E-2</v>
      </c>
      <c r="R1828">
        <v>0.99395682589625001</v>
      </c>
      <c r="S1828" t="s">
        <v>8113</v>
      </c>
      <c r="T1828" t="s">
        <v>12568</v>
      </c>
      <c r="U1828" t="s">
        <v>12568</v>
      </c>
      <c r="V1828" t="s">
        <v>12568</v>
      </c>
      <c r="W1828" t="s">
        <v>14363</v>
      </c>
      <c r="X1828">
        <v>24</v>
      </c>
      <c r="Y1828" t="s">
        <v>20555</v>
      </c>
      <c r="Z1828" t="s">
        <v>26698</v>
      </c>
      <c r="AA1828">
        <v>0.29134890814626402</v>
      </c>
      <c r="AB1828" t="str">
        <f>HYPERLINK("Melting_Curves/meltCurve_P21399_ACO1.pdf", "Melting_Curves/meltCurve_P21399_ACO1.pdf")</f>
        <v>Melting_Curves/meltCurve_P21399_ACO1.pdf</v>
      </c>
    </row>
    <row r="1829" spans="1:28" x14ac:dyDescent="0.25">
      <c r="A1829" t="s">
        <v>1833</v>
      </c>
      <c r="B1829">
        <v>0.99352677808782597</v>
      </c>
      <c r="C1829">
        <v>0.89216272363412996</v>
      </c>
      <c r="D1829">
        <v>0.73055211296698797</v>
      </c>
      <c r="E1829">
        <v>0.65111668018632496</v>
      </c>
      <c r="F1829">
        <v>0.59644363096725495</v>
      </c>
      <c r="G1829">
        <v>0.512191679073422</v>
      </c>
      <c r="H1829">
        <v>0.32363890479469998</v>
      </c>
      <c r="I1829">
        <v>0.34250795413502699</v>
      </c>
      <c r="J1829">
        <v>0.13311850787728599</v>
      </c>
      <c r="K1829">
        <v>6.9922974026466106E-2</v>
      </c>
      <c r="L1829">
        <v>415.43281901968902</v>
      </c>
      <c r="M1829">
        <v>7.5517596751896496</v>
      </c>
      <c r="N1829">
        <v>55.011392934803403</v>
      </c>
      <c r="O1829">
        <v>51.550833539886597</v>
      </c>
      <c r="P1829">
        <v>-3.6674209680652797E-2</v>
      </c>
      <c r="Q1829">
        <v>0</v>
      </c>
      <c r="R1829">
        <v>0.95459236050330198</v>
      </c>
      <c r="S1829" t="s">
        <v>8114</v>
      </c>
      <c r="T1829" t="s">
        <v>12568</v>
      </c>
      <c r="U1829" t="s">
        <v>12568</v>
      </c>
      <c r="V1829" t="s">
        <v>12568</v>
      </c>
      <c r="W1829" t="s">
        <v>14364</v>
      </c>
      <c r="X1829">
        <v>1</v>
      </c>
      <c r="Y1829" t="s">
        <v>20556</v>
      </c>
      <c r="Z1829" t="s">
        <v>26699</v>
      </c>
      <c r="AA1829">
        <v>0.52747382662641884</v>
      </c>
      <c r="AB1829" t="str">
        <f>HYPERLINK("Melting_Curves/meltCurve_P21549_AGXT.pdf", "Melting_Curves/meltCurve_P21549_AGXT.pdf")</f>
        <v>Melting_Curves/meltCurve_P21549_AGXT.pdf</v>
      </c>
    </row>
    <row r="1830" spans="1:28" x14ac:dyDescent="0.25">
      <c r="A1830" t="s">
        <v>1834</v>
      </c>
      <c r="B1830">
        <v>0.99352677808782597</v>
      </c>
      <c r="C1830">
        <v>1.0888969818933001</v>
      </c>
      <c r="D1830">
        <v>0.93099409556824197</v>
      </c>
      <c r="E1830">
        <v>0.70942164338676805</v>
      </c>
      <c r="F1830">
        <v>0.58303380371552804</v>
      </c>
      <c r="G1830">
        <v>0.27959212748999801</v>
      </c>
      <c r="H1830">
        <v>0.12705619152398101</v>
      </c>
      <c r="I1830">
        <v>0.104478050777846</v>
      </c>
      <c r="J1830">
        <v>9.3440619139969303E-2</v>
      </c>
      <c r="K1830">
        <v>7.7563171607418394E-2</v>
      </c>
      <c r="L1830">
        <v>908.60713292897299</v>
      </c>
      <c r="M1830">
        <v>17.094616012705298</v>
      </c>
      <c r="N1830">
        <v>53.527441890607598</v>
      </c>
      <c r="O1830">
        <v>52.440286431554803</v>
      </c>
      <c r="P1830">
        <v>-7.6892022523980599E-2</v>
      </c>
      <c r="Q1830">
        <v>5.6546016731799403E-2</v>
      </c>
      <c r="R1830">
        <v>0.98933376273854501</v>
      </c>
      <c r="S1830" t="s">
        <v>8115</v>
      </c>
      <c r="T1830" t="s">
        <v>12568</v>
      </c>
      <c r="U1830" t="s">
        <v>12568</v>
      </c>
      <c r="V1830" t="s">
        <v>12568</v>
      </c>
      <c r="W1830" t="s">
        <v>14365</v>
      </c>
      <c r="X1830">
        <v>1</v>
      </c>
      <c r="Y1830" t="s">
        <v>20557</v>
      </c>
      <c r="Z1830" t="s">
        <v>26700</v>
      </c>
      <c r="AA1830">
        <v>0.48683498419029603</v>
      </c>
      <c r="AB1830" t="str">
        <f>HYPERLINK("Melting_Curves/meltCurve_P21580_TNFAIP3.pdf", "Melting_Curves/meltCurve_P21580_TNFAIP3.pdf")</f>
        <v>Melting_Curves/meltCurve_P21580_TNFAIP3.pdf</v>
      </c>
    </row>
    <row r="1831" spans="1:28" x14ac:dyDescent="0.25">
      <c r="A1831" t="s">
        <v>1835</v>
      </c>
      <c r="B1831">
        <v>0.99352677808782597</v>
      </c>
      <c r="C1831">
        <v>0.92701031693025404</v>
      </c>
      <c r="D1831">
        <v>0.88837722921578999</v>
      </c>
      <c r="E1831">
        <v>0.784439878073795</v>
      </c>
      <c r="F1831">
        <v>0.74722274734659799</v>
      </c>
      <c r="G1831">
        <v>0.56229934446769603</v>
      </c>
      <c r="H1831">
        <v>0.75859258409316499</v>
      </c>
      <c r="I1831">
        <v>0.74513138971861803</v>
      </c>
      <c r="J1831">
        <v>0.673597750894947</v>
      </c>
      <c r="K1831">
        <v>0.48456504714961901</v>
      </c>
      <c r="L1831">
        <v>558.13996211713697</v>
      </c>
      <c r="M1831">
        <v>11.370220550418001</v>
      </c>
      <c r="O1831">
        <v>47.643032746045499</v>
      </c>
      <c r="P1831">
        <v>-2.2878017971204499E-2</v>
      </c>
      <c r="Q1831">
        <v>0.61666369323368397</v>
      </c>
      <c r="R1831">
        <v>0.73338365963409002</v>
      </c>
      <c r="S1831" t="s">
        <v>8116</v>
      </c>
      <c r="T1831" t="s">
        <v>12568</v>
      </c>
      <c r="U1831" t="s">
        <v>12568</v>
      </c>
      <c r="V1831" t="s">
        <v>12568</v>
      </c>
      <c r="W1831" t="s">
        <v>14366</v>
      </c>
      <c r="X1831">
        <v>1</v>
      </c>
      <c r="Y1831" t="s">
        <v>20558</v>
      </c>
      <c r="Z1831" t="s">
        <v>26701</v>
      </c>
      <c r="AA1831">
        <v>0.74808731204888923</v>
      </c>
      <c r="AB1831" t="str">
        <f>HYPERLINK("Melting_Curves/meltCurve_P21589_2_NT5E.pdf", "Melting_Curves/meltCurve_P21589_2_NT5E.pdf")</f>
        <v>Melting_Curves/meltCurve_P21589_2_NT5E.pdf</v>
      </c>
    </row>
    <row r="1832" spans="1:28" x14ac:dyDescent="0.25">
      <c r="A1832" t="s">
        <v>1836</v>
      </c>
      <c r="B1832">
        <v>0.99352677808782597</v>
      </c>
      <c r="C1832">
        <v>0.83688641058416402</v>
      </c>
      <c r="D1832">
        <v>0.73028781788727903</v>
      </c>
      <c r="E1832">
        <v>0.51423778097249295</v>
      </c>
      <c r="F1832">
        <v>0.39852742670802999</v>
      </c>
      <c r="G1832">
        <v>0.30264745898074202</v>
      </c>
      <c r="H1832">
        <v>0.163499365674977</v>
      </c>
      <c r="I1832">
        <v>0.146148193500169</v>
      </c>
      <c r="J1832">
        <v>0.104686882805627</v>
      </c>
      <c r="K1832">
        <v>7.9157737102396097E-2</v>
      </c>
      <c r="L1832">
        <v>508.07567597948298</v>
      </c>
      <c r="M1832">
        <v>10.0872624460807</v>
      </c>
      <c r="N1832">
        <v>50.747032832252302</v>
      </c>
      <c r="O1832">
        <v>48.508694444334303</v>
      </c>
      <c r="P1832">
        <v>-5.0124209689632999E-2</v>
      </c>
      <c r="Q1832">
        <v>3.62830300918651E-2</v>
      </c>
      <c r="R1832">
        <v>0.99348249682034095</v>
      </c>
      <c r="S1832" t="s">
        <v>8117</v>
      </c>
      <c r="T1832" t="s">
        <v>12568</v>
      </c>
      <c r="U1832" t="s">
        <v>12568</v>
      </c>
      <c r="V1832" t="s">
        <v>12568</v>
      </c>
      <c r="W1832" t="s">
        <v>14367</v>
      </c>
      <c r="X1832">
        <v>1</v>
      </c>
      <c r="Y1832" t="s">
        <v>20559</v>
      </c>
      <c r="Z1832" t="s">
        <v>26702</v>
      </c>
      <c r="AA1832">
        <v>0.41113808141258928</v>
      </c>
      <c r="AB1832" t="str">
        <f>HYPERLINK("Melting_Curves/meltCurve_P21953_BCKDHB.pdf", "Melting_Curves/meltCurve_P21953_BCKDHB.pdf")</f>
        <v>Melting_Curves/meltCurve_P21953_BCKDHB.pdf</v>
      </c>
    </row>
    <row r="1833" spans="1:28" x14ac:dyDescent="0.25">
      <c r="A1833" t="s">
        <v>1837</v>
      </c>
      <c r="B1833">
        <v>0.99352677808782597</v>
      </c>
      <c r="C1833">
        <v>0.89506153757597995</v>
      </c>
      <c r="D1833">
        <v>0.90813129991421604</v>
      </c>
      <c r="E1833">
        <v>0.39035569735640202</v>
      </c>
      <c r="F1833">
        <v>0.310122513279453</v>
      </c>
      <c r="G1833">
        <v>0.206658630465132</v>
      </c>
      <c r="H1833">
        <v>0.13211826322734699</v>
      </c>
      <c r="I1833">
        <v>0.121818061298261</v>
      </c>
      <c r="J1833">
        <v>8.8961460793990699E-2</v>
      </c>
      <c r="K1833">
        <v>6.9586637835282197E-2</v>
      </c>
      <c r="L1833">
        <v>1035.2509155955099</v>
      </c>
      <c r="M1833">
        <v>21.0915105791534</v>
      </c>
      <c r="N1833">
        <v>49.667942493778</v>
      </c>
      <c r="O1833">
        <v>48.648925930091998</v>
      </c>
      <c r="P1833">
        <v>-9.6483036881653703E-2</v>
      </c>
      <c r="Q1833">
        <v>0.109846165133484</v>
      </c>
      <c r="R1833">
        <v>0.98054889474067897</v>
      </c>
      <c r="S1833" t="s">
        <v>8118</v>
      </c>
      <c r="T1833" t="s">
        <v>12568</v>
      </c>
      <c r="U1833" t="s">
        <v>12568</v>
      </c>
      <c r="V1833" t="s">
        <v>12568</v>
      </c>
      <c r="W1833" t="s">
        <v>14368</v>
      </c>
      <c r="X1833">
        <v>5</v>
      </c>
      <c r="Y1833" t="s">
        <v>20560</v>
      </c>
      <c r="Z1833" t="s">
        <v>26703</v>
      </c>
      <c r="AA1833">
        <v>0.3905618995825505</v>
      </c>
      <c r="AB1833" t="str">
        <f>HYPERLINK("Melting_Curves/meltCurve_P21964_2_COMT.pdf", "Melting_Curves/meltCurve_P21964_2_COMT.pdf")</f>
        <v>Melting_Curves/meltCurve_P21964_2_COMT.pdf</v>
      </c>
    </row>
    <row r="1834" spans="1:28" x14ac:dyDescent="0.25">
      <c r="A1834" t="s">
        <v>1838</v>
      </c>
      <c r="B1834">
        <v>0.99352677808782597</v>
      </c>
      <c r="C1834">
        <v>0.890213581395776</v>
      </c>
      <c r="D1834">
        <v>0.97497058193050801</v>
      </c>
      <c r="E1834">
        <v>0.55429101837346795</v>
      </c>
      <c r="F1834">
        <v>0.41744820805178101</v>
      </c>
      <c r="G1834">
        <v>0.18773080866199701</v>
      </c>
      <c r="H1834">
        <v>0.10952931001194401</v>
      </c>
      <c r="I1834">
        <v>9.2892777801207402E-2</v>
      </c>
      <c r="J1834">
        <v>8.7044689172252193E-2</v>
      </c>
      <c r="K1834">
        <v>6.1364414526862303E-2</v>
      </c>
      <c r="L1834">
        <v>921.08366745637295</v>
      </c>
      <c r="M1834">
        <v>18.059681509622902</v>
      </c>
      <c r="N1834">
        <v>51.413272802830598</v>
      </c>
      <c r="O1834">
        <v>50.389202439143197</v>
      </c>
      <c r="P1834">
        <v>-8.3581528958175E-2</v>
      </c>
      <c r="Q1834">
        <v>6.72257998774142E-2</v>
      </c>
      <c r="R1834">
        <v>0.985413047167223</v>
      </c>
      <c r="S1834" t="s">
        <v>8119</v>
      </c>
      <c r="T1834" t="s">
        <v>12568</v>
      </c>
      <c r="U1834" t="s">
        <v>12568</v>
      </c>
      <c r="V1834" t="s">
        <v>12568</v>
      </c>
      <c r="W1834" t="s">
        <v>14369</v>
      </c>
      <c r="X1834">
        <v>37</v>
      </c>
      <c r="Y1834" t="s">
        <v>20561</v>
      </c>
      <c r="Z1834" t="s">
        <v>26704</v>
      </c>
      <c r="AA1834">
        <v>0.42493436527027822</v>
      </c>
      <c r="AB1834" t="str">
        <f>HYPERLINK("Melting_Curves/meltCurve_P21980_TGM2.pdf", "Melting_Curves/meltCurve_P21980_TGM2.pdf")</f>
        <v>Melting_Curves/meltCurve_P21980_TGM2.pdf</v>
      </c>
    </row>
    <row r="1835" spans="1:28" x14ac:dyDescent="0.25">
      <c r="A1835" t="s">
        <v>1839</v>
      </c>
      <c r="B1835">
        <v>0.99352677808782597</v>
      </c>
      <c r="C1835">
        <v>1.0112974683957101</v>
      </c>
      <c r="D1835">
        <v>0.91836346092670795</v>
      </c>
      <c r="E1835">
        <v>0.40131976053684498</v>
      </c>
      <c r="F1835">
        <v>0.31216342043254802</v>
      </c>
      <c r="G1835">
        <v>0.16173142084699399</v>
      </c>
      <c r="H1835">
        <v>0.124624032188178</v>
      </c>
      <c r="I1835">
        <v>0.106469090389795</v>
      </c>
      <c r="J1835">
        <v>8.8617967644048098E-2</v>
      </c>
      <c r="K1835">
        <v>5.98227643102947E-2</v>
      </c>
      <c r="L1835">
        <v>1233.9324628464201</v>
      </c>
      <c r="M1835">
        <v>25.048143048029701</v>
      </c>
      <c r="N1835">
        <v>49.736129549711201</v>
      </c>
      <c r="O1835">
        <v>48.951660867056297</v>
      </c>
      <c r="P1835">
        <v>-0.11434931462723601</v>
      </c>
      <c r="Q1835">
        <v>0.10611909817579</v>
      </c>
      <c r="R1835">
        <v>0.98786126806357</v>
      </c>
      <c r="S1835" t="s">
        <v>8120</v>
      </c>
      <c r="T1835" t="s">
        <v>12568</v>
      </c>
      <c r="U1835" t="s">
        <v>12568</v>
      </c>
      <c r="V1835" t="s">
        <v>12568</v>
      </c>
      <c r="W1835" t="s">
        <v>14370</v>
      </c>
      <c r="X1835">
        <v>10</v>
      </c>
      <c r="Y1835" t="s">
        <v>20562</v>
      </c>
      <c r="Z1835" t="s">
        <v>26705</v>
      </c>
      <c r="AA1835">
        <v>0.39000747658109791</v>
      </c>
      <c r="AB1835" t="str">
        <f>HYPERLINK("Melting_Curves/meltCurve_P22033_MUT.pdf", "Melting_Curves/meltCurve_P22033_MUT.pdf")</f>
        <v>Melting_Curves/meltCurve_P22033_MUT.pdf</v>
      </c>
    </row>
    <row r="1836" spans="1:28" x14ac:dyDescent="0.25">
      <c r="A1836" t="s">
        <v>1840</v>
      </c>
      <c r="B1836">
        <v>0.99352677808782597</v>
      </c>
      <c r="C1836">
        <v>1.0587242809039501</v>
      </c>
      <c r="D1836">
        <v>0.95960556426064003</v>
      </c>
      <c r="E1836">
        <v>0.85565882398288295</v>
      </c>
      <c r="F1836">
        <v>0.72511921375788801</v>
      </c>
      <c r="G1836">
        <v>0.58968285051744995</v>
      </c>
      <c r="H1836">
        <v>0.46577217569931501</v>
      </c>
      <c r="I1836">
        <v>0.15607275910458701</v>
      </c>
      <c r="J1836">
        <v>0.111754633734178</v>
      </c>
      <c r="K1836">
        <v>8.9630889312719994E-2</v>
      </c>
      <c r="L1836">
        <v>743.78608524625702</v>
      </c>
      <c r="M1836">
        <v>12.798880091183699</v>
      </c>
      <c r="N1836">
        <v>58.1133724411374</v>
      </c>
      <c r="O1836">
        <v>56.749504522113703</v>
      </c>
      <c r="P1836">
        <v>-5.6393799712198101E-2</v>
      </c>
      <c r="Q1836">
        <v>0</v>
      </c>
      <c r="R1836">
        <v>0.97658683728829898</v>
      </c>
      <c r="S1836" t="s">
        <v>8121</v>
      </c>
      <c r="T1836" t="s">
        <v>12568</v>
      </c>
      <c r="U1836" t="s">
        <v>12568</v>
      </c>
      <c r="V1836" t="s">
        <v>12568</v>
      </c>
      <c r="W1836" t="s">
        <v>14371</v>
      </c>
      <c r="X1836">
        <v>24</v>
      </c>
      <c r="Y1836" t="s">
        <v>20563</v>
      </c>
      <c r="Z1836" t="s">
        <v>26706</v>
      </c>
      <c r="AA1836">
        <v>0.61652857403489114</v>
      </c>
      <c r="AB1836" t="str">
        <f>HYPERLINK("Melting_Curves/meltCurve_P22059_OSBP.pdf", "Melting_Curves/meltCurve_P22059_OSBP.pdf")</f>
        <v>Melting_Curves/meltCurve_P22059_OSBP.pdf</v>
      </c>
    </row>
    <row r="1837" spans="1:28" x14ac:dyDescent="0.25">
      <c r="A1837" t="s">
        <v>1841</v>
      </c>
      <c r="B1837">
        <v>0.99352677808782597</v>
      </c>
      <c r="C1837">
        <v>0.95110610186986499</v>
      </c>
      <c r="D1837">
        <v>1.0104488028756999</v>
      </c>
      <c r="E1837">
        <v>0.55121410549240901</v>
      </c>
      <c r="F1837">
        <v>0.46862128079934701</v>
      </c>
      <c r="G1837">
        <v>0.14521477102308</v>
      </c>
      <c r="H1837">
        <v>9.3467980778661197E-2</v>
      </c>
      <c r="I1837">
        <v>8.9415379411135407E-2</v>
      </c>
      <c r="J1837">
        <v>7.4007962684541795E-2</v>
      </c>
      <c r="K1837">
        <v>6.0011071317356397E-2</v>
      </c>
      <c r="L1837">
        <v>1008.66514815057</v>
      </c>
      <c r="M1837">
        <v>19.6593722662796</v>
      </c>
      <c r="N1837">
        <v>51.6465919581766</v>
      </c>
      <c r="O1837">
        <v>50.7850634525877</v>
      </c>
      <c r="P1837">
        <v>-9.0914395950105004E-2</v>
      </c>
      <c r="Q1837">
        <v>6.0614426014783597E-2</v>
      </c>
      <c r="R1837">
        <v>0.98166045318870598</v>
      </c>
      <c r="S1837" t="s">
        <v>8122</v>
      </c>
      <c r="T1837" t="s">
        <v>12568</v>
      </c>
      <c r="U1837" t="s">
        <v>12568</v>
      </c>
      <c r="V1837" t="s">
        <v>12568</v>
      </c>
      <c r="W1837" t="s">
        <v>14372</v>
      </c>
      <c r="X1837">
        <v>15</v>
      </c>
      <c r="Y1837" t="s">
        <v>20564</v>
      </c>
      <c r="Z1837" t="s">
        <v>26707</v>
      </c>
      <c r="AA1837">
        <v>0.42812045247273989</v>
      </c>
      <c r="AB1837" t="str">
        <f>HYPERLINK("Melting_Curves/meltCurve_P22061_PCMT1.pdf", "Melting_Curves/meltCurve_P22061_PCMT1.pdf")</f>
        <v>Melting_Curves/meltCurve_P22061_PCMT1.pdf</v>
      </c>
    </row>
    <row r="1838" spans="1:28" x14ac:dyDescent="0.25">
      <c r="A1838" t="s">
        <v>1842</v>
      </c>
      <c r="B1838">
        <v>0.99352677808782597</v>
      </c>
      <c r="C1838">
        <v>0.91119913974075495</v>
      </c>
      <c r="D1838">
        <v>1.2135332884498</v>
      </c>
      <c r="E1838">
        <v>0.69817958514137402</v>
      </c>
      <c r="F1838">
        <v>0.55495207723739304</v>
      </c>
      <c r="G1838">
        <v>0.416019047195199</v>
      </c>
      <c r="H1838">
        <v>0.31035544483669703</v>
      </c>
      <c r="I1838">
        <v>0.283231089991822</v>
      </c>
      <c r="J1838">
        <v>0.33355331059496002</v>
      </c>
      <c r="K1838">
        <v>0.26371058687873999</v>
      </c>
      <c r="L1838">
        <v>1363.78394771032</v>
      </c>
      <c r="M1838">
        <v>26.486762935827599</v>
      </c>
      <c r="N1838">
        <v>53.412537756935798</v>
      </c>
      <c r="O1838">
        <v>51.198437878146102</v>
      </c>
      <c r="P1838">
        <v>-8.9583993161339207E-2</v>
      </c>
      <c r="Q1838">
        <v>0.30735023802342798</v>
      </c>
      <c r="R1838">
        <v>0.92261656186804997</v>
      </c>
      <c r="S1838" t="s">
        <v>8123</v>
      </c>
      <c r="T1838" t="s">
        <v>12568</v>
      </c>
      <c r="U1838" t="s">
        <v>12568</v>
      </c>
      <c r="V1838" t="s">
        <v>12568</v>
      </c>
      <c r="W1838" t="s">
        <v>14373</v>
      </c>
      <c r="X1838">
        <v>3</v>
      </c>
      <c r="Y1838" t="s">
        <v>20565</v>
      </c>
      <c r="Z1838" t="s">
        <v>26708</v>
      </c>
      <c r="AA1838">
        <v>0.57823623086519305</v>
      </c>
      <c r="AB1838" t="str">
        <f>HYPERLINK("Melting_Curves/meltCurve_P22087_FBL.pdf", "Melting_Curves/meltCurve_P22087_FBL.pdf")</f>
        <v>Melting_Curves/meltCurve_P22087_FBL.pdf</v>
      </c>
    </row>
    <row r="1839" spans="1:28" x14ac:dyDescent="0.25">
      <c r="A1839" t="s">
        <v>1843</v>
      </c>
      <c r="B1839">
        <v>0.99352677808782597</v>
      </c>
      <c r="C1839">
        <v>0.935051181170656</v>
      </c>
      <c r="D1839">
        <v>0.64413065484630105</v>
      </c>
      <c r="E1839">
        <v>0.26857299231976101</v>
      </c>
      <c r="F1839">
        <v>0.19621290241843001</v>
      </c>
      <c r="G1839">
        <v>0.124164239328975</v>
      </c>
      <c r="H1839">
        <v>7.98439384325247E-2</v>
      </c>
      <c r="I1839">
        <v>7.2828446626889407E-2</v>
      </c>
      <c r="J1839">
        <v>5.70326462262871E-2</v>
      </c>
      <c r="K1839">
        <v>4.5585426512331301E-2</v>
      </c>
      <c r="L1839">
        <v>1003.63189169502</v>
      </c>
      <c r="M1839">
        <v>21.2658798234378</v>
      </c>
      <c r="N1839">
        <v>47.544453266525103</v>
      </c>
      <c r="O1839">
        <v>46.783088521499799</v>
      </c>
      <c r="P1839">
        <v>-0.105409977530303</v>
      </c>
      <c r="Q1839">
        <v>7.2452504210151994E-2</v>
      </c>
      <c r="R1839">
        <v>0.99553428068706995</v>
      </c>
      <c r="S1839" t="s">
        <v>8124</v>
      </c>
      <c r="T1839" t="s">
        <v>12568</v>
      </c>
      <c r="U1839" t="s">
        <v>12568</v>
      </c>
      <c r="V1839" t="s">
        <v>12568</v>
      </c>
      <c r="W1839" t="s">
        <v>14374</v>
      </c>
      <c r="X1839">
        <v>36</v>
      </c>
      <c r="Y1839" t="s">
        <v>20566</v>
      </c>
      <c r="Z1839" t="s">
        <v>26709</v>
      </c>
      <c r="AA1839">
        <v>0.30667096344973521</v>
      </c>
      <c r="AB1839" t="str">
        <f>HYPERLINK("Melting_Curves/meltCurve_P22102_GART.pdf", "Melting_Curves/meltCurve_P22102_GART.pdf")</f>
        <v>Melting_Curves/meltCurve_P22102_GART.pdf</v>
      </c>
    </row>
    <row r="1840" spans="1:28" x14ac:dyDescent="0.25">
      <c r="A1840" t="s">
        <v>1844</v>
      </c>
      <c r="B1840">
        <v>0.99352677808782597</v>
      </c>
      <c r="C1840">
        <v>1.0117083734288601</v>
      </c>
      <c r="D1840">
        <v>1.00274648290936</v>
      </c>
      <c r="E1840">
        <v>0.87435142164480895</v>
      </c>
      <c r="F1840">
        <v>0.75295774875669197</v>
      </c>
      <c r="G1840">
        <v>0.68208258857436299</v>
      </c>
      <c r="H1840">
        <v>0.51881666784863401</v>
      </c>
      <c r="I1840">
        <v>0.50789469695336598</v>
      </c>
      <c r="J1840">
        <v>0.53065943041296804</v>
      </c>
      <c r="K1840">
        <v>0.36025499211866002</v>
      </c>
      <c r="L1840">
        <v>667.62408861562096</v>
      </c>
      <c r="M1840">
        <v>11.910280600814501</v>
      </c>
      <c r="N1840">
        <v>63.4774176618129</v>
      </c>
      <c r="O1840">
        <v>54.544304020736199</v>
      </c>
      <c r="P1840">
        <v>-3.4083087305059899E-2</v>
      </c>
      <c r="Q1840">
        <v>0.37580747168326301</v>
      </c>
      <c r="R1840">
        <v>0.967683787173238</v>
      </c>
      <c r="S1840" t="s">
        <v>8125</v>
      </c>
      <c r="T1840" t="s">
        <v>12568</v>
      </c>
      <c r="U1840" t="s">
        <v>12568</v>
      </c>
      <c r="V1840" t="s">
        <v>12568</v>
      </c>
      <c r="W1840" t="s">
        <v>14375</v>
      </c>
      <c r="X1840">
        <v>13</v>
      </c>
      <c r="Y1840" t="s">
        <v>20567</v>
      </c>
      <c r="Z1840" t="s">
        <v>26710</v>
      </c>
      <c r="AA1840">
        <v>0.72248850821386112</v>
      </c>
      <c r="AB1840" t="str">
        <f>HYPERLINK("Melting_Curves/meltCurve_P22307_7_SCP2.pdf", "Melting_Curves/meltCurve_P22307_7_SCP2.pdf")</f>
        <v>Melting_Curves/meltCurve_P22307_7_SCP2.pdf</v>
      </c>
    </row>
    <row r="1841" spans="1:28" x14ac:dyDescent="0.25">
      <c r="A1841" t="s">
        <v>1845</v>
      </c>
      <c r="B1841">
        <v>0.99352677808782597</v>
      </c>
      <c r="C1841">
        <v>1.04797664577765</v>
      </c>
      <c r="D1841">
        <v>0.86082357349205996</v>
      </c>
      <c r="E1841">
        <v>0.28506078975120902</v>
      </c>
      <c r="F1841">
        <v>0.19176907380660699</v>
      </c>
      <c r="G1841">
        <v>0.111690522002782</v>
      </c>
      <c r="H1841">
        <v>7.6467722139256997E-2</v>
      </c>
      <c r="I1841">
        <v>7.1137051393272199E-2</v>
      </c>
      <c r="J1841">
        <v>6.0881181761898301E-2</v>
      </c>
      <c r="K1841">
        <v>4.5442379661875101E-2</v>
      </c>
      <c r="L1841">
        <v>1602.3161604731399</v>
      </c>
      <c r="M1841">
        <v>33.1445573540379</v>
      </c>
      <c r="N1841">
        <v>48.600003348092201</v>
      </c>
      <c r="O1841">
        <v>48.168319548473299</v>
      </c>
      <c r="P1841">
        <v>-0.15821014396441199</v>
      </c>
      <c r="Q1841">
        <v>8.0309842390882499E-2</v>
      </c>
      <c r="R1841">
        <v>0.99304563976480997</v>
      </c>
      <c r="S1841" t="s">
        <v>8126</v>
      </c>
      <c r="T1841" t="s">
        <v>12568</v>
      </c>
      <c r="U1841" t="s">
        <v>12568</v>
      </c>
      <c r="V1841" t="s">
        <v>12568</v>
      </c>
      <c r="W1841" t="s">
        <v>14376</v>
      </c>
      <c r="X1841">
        <v>46</v>
      </c>
      <c r="Y1841" t="s">
        <v>20568</v>
      </c>
      <c r="Z1841" t="s">
        <v>26711</v>
      </c>
      <c r="AA1841">
        <v>0.34060494652438111</v>
      </c>
      <c r="AB1841" t="str">
        <f>HYPERLINK("Melting_Curves/meltCurve_P22314_UBA1.pdf", "Melting_Curves/meltCurve_P22314_UBA1.pdf")</f>
        <v>Melting_Curves/meltCurve_P22314_UBA1.pdf</v>
      </c>
    </row>
    <row r="1842" spans="1:28" x14ac:dyDescent="0.25">
      <c r="A1842" t="s">
        <v>1846</v>
      </c>
      <c r="B1842">
        <v>0.99352677808782597</v>
      </c>
      <c r="C1842">
        <v>1.0364948079535801</v>
      </c>
      <c r="D1842">
        <v>0.97909875131857704</v>
      </c>
      <c r="E1842">
        <v>0.92394523033468001</v>
      </c>
      <c r="F1842">
        <v>0.78711137854333202</v>
      </c>
      <c r="G1842">
        <v>0.70590784121435901</v>
      </c>
      <c r="H1842">
        <v>0.79873503173496996</v>
      </c>
      <c r="I1842">
        <v>0.47574585812257902</v>
      </c>
      <c r="J1842">
        <v>0.16063275862319301</v>
      </c>
      <c r="K1842">
        <v>6.9025565639048603E-2</v>
      </c>
      <c r="L1842">
        <v>1017.50902755103</v>
      </c>
      <c r="M1842">
        <v>16.220666457325301</v>
      </c>
      <c r="N1842">
        <v>62.729175405718898</v>
      </c>
      <c r="O1842">
        <v>61.798997955217601</v>
      </c>
      <c r="P1842">
        <v>-6.5623523788741506E-2</v>
      </c>
      <c r="Q1842">
        <v>0</v>
      </c>
      <c r="R1842">
        <v>0.90312986153019603</v>
      </c>
      <c r="S1842" t="s">
        <v>8127</v>
      </c>
      <c r="T1842" t="s">
        <v>12568</v>
      </c>
      <c r="U1842" t="s">
        <v>12568</v>
      </c>
      <c r="V1842" t="s">
        <v>12568</v>
      </c>
      <c r="W1842" t="s">
        <v>14377</v>
      </c>
      <c r="X1842">
        <v>21</v>
      </c>
      <c r="Y1842" t="s">
        <v>19304</v>
      </c>
      <c r="Z1842" t="s">
        <v>26712</v>
      </c>
      <c r="AA1842">
        <v>0.75293917772459706</v>
      </c>
      <c r="AB1842" t="str">
        <f>HYPERLINK("Melting_Curves/meltCurve_P22392_2_NME2.pdf", "Melting_Curves/meltCurve_P22392_2_NME2.pdf")</f>
        <v>Melting_Curves/meltCurve_P22392_2_NME2.pdf</v>
      </c>
    </row>
    <row r="1843" spans="1:28" x14ac:dyDescent="0.25">
      <c r="A1843" t="s">
        <v>1847</v>
      </c>
      <c r="B1843">
        <v>0.99352677808782597</v>
      </c>
      <c r="C1843">
        <v>0.72268626049705798</v>
      </c>
      <c r="D1843">
        <v>0.41408863668872697</v>
      </c>
      <c r="E1843">
        <v>0.24789029200082899</v>
      </c>
      <c r="F1843">
        <v>0.24688114467518901</v>
      </c>
      <c r="G1843">
        <v>0.124862483394445</v>
      </c>
      <c r="H1843">
        <v>6.8904622356002296E-2</v>
      </c>
      <c r="I1843">
        <v>5.84674336288089E-2</v>
      </c>
      <c r="J1843">
        <v>5.4418484891489802E-2</v>
      </c>
      <c r="K1843">
        <v>4.8486628412577198E-2</v>
      </c>
      <c r="L1843">
        <v>743.60191583613096</v>
      </c>
      <c r="M1843">
        <v>16.4267030050916</v>
      </c>
      <c r="N1843">
        <v>45.708911332540303</v>
      </c>
      <c r="O1843">
        <v>44.612953325180897</v>
      </c>
      <c r="P1843">
        <v>-8.5310937445095394E-2</v>
      </c>
      <c r="Q1843">
        <v>7.3288485955403104E-2</v>
      </c>
      <c r="R1843">
        <v>0.97465849298387497</v>
      </c>
      <c r="S1843" t="s">
        <v>8128</v>
      </c>
      <c r="T1843" t="s">
        <v>12568</v>
      </c>
      <c r="U1843" t="s">
        <v>12568</v>
      </c>
      <c r="V1843" t="s">
        <v>12568</v>
      </c>
      <c r="W1843" t="s">
        <v>13348</v>
      </c>
      <c r="X1843">
        <v>18</v>
      </c>
      <c r="Y1843" t="s">
        <v>19573</v>
      </c>
      <c r="Z1843" t="s">
        <v>26713</v>
      </c>
      <c r="AA1843">
        <v>0.25982500426075211</v>
      </c>
      <c r="AB1843" t="str">
        <f>HYPERLINK("Melting_Curves/meltCurve_P22570_FDXR.pdf", "Melting_Curves/meltCurve_P22570_FDXR.pdf")</f>
        <v>Melting_Curves/meltCurve_P22570_FDXR.pdf</v>
      </c>
    </row>
    <row r="1844" spans="1:28" x14ac:dyDescent="0.25">
      <c r="A1844" t="s">
        <v>1848</v>
      </c>
      <c r="B1844">
        <v>0.99352677808782597</v>
      </c>
      <c r="C1844">
        <v>0.96911054964376198</v>
      </c>
      <c r="D1844">
        <v>1.0175499081424699</v>
      </c>
      <c r="E1844">
        <v>0.83048497809528499</v>
      </c>
      <c r="F1844">
        <v>0.75532217624495002</v>
      </c>
      <c r="G1844">
        <v>0.511819861973001</v>
      </c>
      <c r="H1844">
        <v>0.380378974606707</v>
      </c>
      <c r="I1844">
        <v>0.40127061479199799</v>
      </c>
      <c r="J1844">
        <v>0.36635513922565099</v>
      </c>
      <c r="K1844">
        <v>0.33130026822724201</v>
      </c>
      <c r="L1844">
        <v>985.09072722767098</v>
      </c>
      <c r="M1844">
        <v>18.251080924245901</v>
      </c>
      <c r="N1844">
        <v>57.492567204384699</v>
      </c>
      <c r="O1844">
        <v>53.3389150843838</v>
      </c>
      <c r="P1844">
        <v>-5.6773614117094598E-2</v>
      </c>
      <c r="Q1844">
        <v>0.336345828141345</v>
      </c>
      <c r="R1844">
        <v>0.98966161068550296</v>
      </c>
      <c r="S1844" t="s">
        <v>8129</v>
      </c>
      <c r="T1844" t="s">
        <v>12568</v>
      </c>
      <c r="U1844" t="s">
        <v>12568</v>
      </c>
      <c r="V1844" t="s">
        <v>12568</v>
      </c>
      <c r="W1844" t="s">
        <v>14378</v>
      </c>
      <c r="X1844">
        <v>21</v>
      </c>
      <c r="Y1844" t="s">
        <v>20569</v>
      </c>
      <c r="Z1844" t="s">
        <v>26714</v>
      </c>
      <c r="AA1844">
        <v>0.65589224020404502</v>
      </c>
      <c r="AB1844" t="str">
        <f>HYPERLINK("Melting_Curves/meltCurve_P22626_HNRNPA2B1.pdf", "Melting_Curves/meltCurve_P22626_HNRNPA2B1.pdf")</f>
        <v>Melting_Curves/meltCurve_P22626_HNRNPA2B1.pdf</v>
      </c>
    </row>
    <row r="1845" spans="1:28" x14ac:dyDescent="0.25">
      <c r="A1845" t="s">
        <v>1849</v>
      </c>
      <c r="B1845">
        <v>0.99352677808782597</v>
      </c>
      <c r="C1845">
        <v>1.02102807996117</v>
      </c>
      <c r="D1845">
        <v>0.97562621137966099</v>
      </c>
      <c r="E1845">
        <v>0.850616748515298</v>
      </c>
      <c r="F1845">
        <v>0.737175988993096</v>
      </c>
      <c r="G1845">
        <v>0.56516265856508596</v>
      </c>
      <c r="H1845">
        <v>0.38685096849161998</v>
      </c>
      <c r="I1845">
        <v>0.31607388948335602</v>
      </c>
      <c r="J1845">
        <v>0.27527028073732102</v>
      </c>
      <c r="K1845">
        <v>0.238712873816182</v>
      </c>
      <c r="L1845">
        <v>753.17338970703997</v>
      </c>
      <c r="M1845">
        <v>13.434659212019501</v>
      </c>
      <c r="N1845">
        <v>58.1177475943256</v>
      </c>
      <c r="O1845">
        <v>54.863552028056098</v>
      </c>
      <c r="P1845">
        <v>-4.9648197799198802E-2</v>
      </c>
      <c r="Q1845">
        <v>0.18912627012379499</v>
      </c>
      <c r="R1845">
        <v>0.997720978208404</v>
      </c>
      <c r="S1845" t="s">
        <v>8130</v>
      </c>
      <c r="T1845" t="s">
        <v>12568</v>
      </c>
      <c r="U1845" t="s">
        <v>12568</v>
      </c>
      <c r="V1845" t="s">
        <v>12568</v>
      </c>
      <c r="W1845" t="s">
        <v>14379</v>
      </c>
      <c r="X1845">
        <v>4</v>
      </c>
      <c r="Y1845" t="s">
        <v>20570</v>
      </c>
      <c r="Z1845" t="s">
        <v>26715</v>
      </c>
      <c r="AA1845">
        <v>0.63875101853661531</v>
      </c>
      <c r="AB1845" t="str">
        <f>HYPERLINK("Melting_Curves/meltCurve_P22670_RFX1.pdf", "Melting_Curves/meltCurve_P22670_RFX1.pdf")</f>
        <v>Melting_Curves/meltCurve_P22670_RFX1.pdf</v>
      </c>
    </row>
    <row r="1846" spans="1:28" x14ac:dyDescent="0.25">
      <c r="A1846" t="s">
        <v>1850</v>
      </c>
      <c r="B1846">
        <v>0.99352677808782597</v>
      </c>
      <c r="C1846">
        <v>1.09949687066463</v>
      </c>
      <c r="D1846">
        <v>1.09044729984903</v>
      </c>
      <c r="E1846">
        <v>0.90128314350514105</v>
      </c>
      <c r="F1846">
        <v>0.75592467729564805</v>
      </c>
      <c r="G1846">
        <v>0.69207804066881695</v>
      </c>
      <c r="H1846">
        <v>0.60590004945739795</v>
      </c>
      <c r="I1846">
        <v>0.66724613493350204</v>
      </c>
      <c r="J1846">
        <v>0.65361334475602995</v>
      </c>
      <c r="K1846">
        <v>0.45321728736698702</v>
      </c>
      <c r="L1846">
        <v>1213.35523546228</v>
      </c>
      <c r="M1846">
        <v>22.976714294209899</v>
      </c>
      <c r="O1846">
        <v>52.412902794364001</v>
      </c>
      <c r="P1846">
        <v>-4.4775935995267899E-2</v>
      </c>
      <c r="Q1846">
        <v>0.59144849714797199</v>
      </c>
      <c r="R1846">
        <v>0.88124755969398505</v>
      </c>
      <c r="S1846" t="s">
        <v>8131</v>
      </c>
      <c r="T1846" t="s">
        <v>12568</v>
      </c>
      <c r="U1846" t="s">
        <v>12568</v>
      </c>
      <c r="V1846" t="s">
        <v>12568</v>
      </c>
      <c r="W1846" t="s">
        <v>14380</v>
      </c>
      <c r="X1846">
        <v>10</v>
      </c>
      <c r="Y1846" t="s">
        <v>20571</v>
      </c>
      <c r="Z1846" t="s">
        <v>26716</v>
      </c>
      <c r="AA1846">
        <v>0.77026864093994785</v>
      </c>
      <c r="AB1846" t="str">
        <f>HYPERLINK("Melting_Curves/meltCurve_P22676_CALB2.pdf", "Melting_Curves/meltCurve_P22676_CALB2.pdf")</f>
        <v>Melting_Curves/meltCurve_P22676_CALB2.pdf</v>
      </c>
    </row>
    <row r="1847" spans="1:28" x14ac:dyDescent="0.25">
      <c r="A1847" t="s">
        <v>1851</v>
      </c>
      <c r="B1847">
        <v>0.99352677808782597</v>
      </c>
      <c r="C1847">
        <v>1.02108120676957</v>
      </c>
      <c r="D1847">
        <v>0.97763146835952397</v>
      </c>
      <c r="E1847">
        <v>0.91208184118753399</v>
      </c>
      <c r="F1847">
        <v>0.78362704278170603</v>
      </c>
      <c r="G1847">
        <v>0.59887927662224305</v>
      </c>
      <c r="H1847">
        <v>0.35320300064736498</v>
      </c>
      <c r="I1847">
        <v>0.16951406381360301</v>
      </c>
      <c r="J1847">
        <v>0.138823058614825</v>
      </c>
      <c r="K1847">
        <v>0.12354666399228199</v>
      </c>
      <c r="L1847">
        <v>876.45148806259795</v>
      </c>
      <c r="M1847">
        <v>15.1481256194923</v>
      </c>
      <c r="N1847">
        <v>58.124832927631097</v>
      </c>
      <c r="O1847">
        <v>56.878519429165202</v>
      </c>
      <c r="P1847">
        <v>-6.43569400756073E-2</v>
      </c>
      <c r="Q1847">
        <v>3.3498539452661701E-2</v>
      </c>
      <c r="R1847">
        <v>0.99601597015617804</v>
      </c>
      <c r="S1847" t="s">
        <v>8132</v>
      </c>
      <c r="T1847" t="s">
        <v>12568</v>
      </c>
      <c r="U1847" t="s">
        <v>12568</v>
      </c>
      <c r="V1847" t="s">
        <v>12568</v>
      </c>
      <c r="W1847" t="s">
        <v>14381</v>
      </c>
      <c r="X1847">
        <v>18</v>
      </c>
      <c r="Y1847" t="s">
        <v>20572</v>
      </c>
      <c r="Z1847" t="s">
        <v>26717</v>
      </c>
      <c r="AA1847">
        <v>0.6221529448583456</v>
      </c>
      <c r="AB1847" t="str">
        <f>HYPERLINK("Melting_Curves/meltCurve_P22681_CBL.pdf", "Melting_Curves/meltCurve_P22681_CBL.pdf")</f>
        <v>Melting_Curves/meltCurve_P22681_CBL.pdf</v>
      </c>
    </row>
    <row r="1848" spans="1:28" x14ac:dyDescent="0.25">
      <c r="A1848" t="s">
        <v>1852</v>
      </c>
      <c r="B1848">
        <v>0.99352677808782597</v>
      </c>
      <c r="C1848">
        <v>0.96476090974976603</v>
      </c>
      <c r="D1848">
        <v>0.95974436248817796</v>
      </c>
      <c r="E1848">
        <v>0.89663621612441602</v>
      </c>
      <c r="F1848">
        <v>0.84007102754998697</v>
      </c>
      <c r="G1848">
        <v>0.73931470290970402</v>
      </c>
      <c r="H1848">
        <v>0.677576075532762</v>
      </c>
      <c r="I1848">
        <v>0.71032069379497598</v>
      </c>
      <c r="J1848">
        <v>0.64721862086049697</v>
      </c>
      <c r="K1848">
        <v>0.55766124133197603</v>
      </c>
      <c r="L1848">
        <v>457.44979499497202</v>
      </c>
      <c r="M1848">
        <v>7.8338128883328597</v>
      </c>
      <c r="O1848">
        <v>54.955950080721401</v>
      </c>
      <c r="P1848">
        <v>-1.83677097099447E-2</v>
      </c>
      <c r="Q1848">
        <v>0.48521527947093201</v>
      </c>
      <c r="R1848">
        <v>0.96931261956956405</v>
      </c>
      <c r="S1848" t="s">
        <v>8133</v>
      </c>
      <c r="T1848" t="s">
        <v>12568</v>
      </c>
      <c r="U1848" t="s">
        <v>12568</v>
      </c>
      <c r="V1848" t="s">
        <v>12568</v>
      </c>
      <c r="W1848" t="s">
        <v>14382</v>
      </c>
      <c r="X1848">
        <v>10</v>
      </c>
      <c r="Y1848" t="s">
        <v>20573</v>
      </c>
      <c r="Z1848" t="s">
        <v>26718</v>
      </c>
      <c r="AA1848">
        <v>0.80047495061163443</v>
      </c>
      <c r="AB1848" t="str">
        <f>HYPERLINK("Melting_Curves/meltCurve_P22692_IGFBP4.pdf", "Melting_Curves/meltCurve_P22692_IGFBP4.pdf")</f>
        <v>Melting_Curves/meltCurve_P22692_IGFBP4.pdf</v>
      </c>
    </row>
    <row r="1849" spans="1:28" x14ac:dyDescent="0.25">
      <c r="A1849" t="s">
        <v>1853</v>
      </c>
      <c r="B1849">
        <v>0.99352677808782597</v>
      </c>
      <c r="C1849">
        <v>0.95986914584841099</v>
      </c>
      <c r="D1849">
        <v>0.78752434694114604</v>
      </c>
      <c r="E1849">
        <v>0.367890808458889</v>
      </c>
      <c r="F1849">
        <v>0.31905565270237701</v>
      </c>
      <c r="G1849">
        <v>0.147669749293728</v>
      </c>
      <c r="H1849">
        <v>8.9356934590172493E-2</v>
      </c>
      <c r="I1849">
        <v>8.2117315455102993E-2</v>
      </c>
      <c r="J1849">
        <v>6.9083311736998498E-2</v>
      </c>
      <c r="K1849">
        <v>5.1577610856847499E-2</v>
      </c>
      <c r="L1849">
        <v>884.78609639777301</v>
      </c>
      <c r="M1849">
        <v>18.1163687758009</v>
      </c>
      <c r="N1849">
        <v>49.244417533121002</v>
      </c>
      <c r="O1849">
        <v>48.2556247004771</v>
      </c>
      <c r="P1849">
        <v>-8.7358805604555501E-2</v>
      </c>
      <c r="Q1849">
        <v>6.9272392635015001E-2</v>
      </c>
      <c r="R1849">
        <v>0.99109644248712103</v>
      </c>
      <c r="S1849" t="s">
        <v>8134</v>
      </c>
      <c r="T1849" t="s">
        <v>12568</v>
      </c>
      <c r="U1849" t="s">
        <v>12568</v>
      </c>
      <c r="V1849" t="s">
        <v>12568</v>
      </c>
      <c r="W1849" t="s">
        <v>14383</v>
      </c>
      <c r="X1849">
        <v>9</v>
      </c>
      <c r="Y1849" t="s">
        <v>20574</v>
      </c>
      <c r="Z1849" t="s">
        <v>26719</v>
      </c>
      <c r="AA1849">
        <v>0.35946065323766879</v>
      </c>
      <c r="AB1849" t="str">
        <f>HYPERLINK("Melting_Curves/meltCurve_P22694_PRKACB.pdf", "Melting_Curves/meltCurve_P22694_PRKACB.pdf")</f>
        <v>Melting_Curves/meltCurve_P22694_PRKACB.pdf</v>
      </c>
    </row>
    <row r="1850" spans="1:28" x14ac:dyDescent="0.25">
      <c r="A1850" t="s">
        <v>1854</v>
      </c>
      <c r="B1850">
        <v>0.99352677808782597</v>
      </c>
      <c r="C1850">
        <v>0.97512026288297504</v>
      </c>
      <c r="D1850">
        <v>0.83905481458040498</v>
      </c>
      <c r="E1850">
        <v>0.33932134454566198</v>
      </c>
      <c r="F1850">
        <v>0.26740581877618602</v>
      </c>
      <c r="G1850">
        <v>0.151818819968985</v>
      </c>
      <c r="H1850">
        <v>0.102768184076817</v>
      </c>
      <c r="I1850">
        <v>9.2350104669216906E-2</v>
      </c>
      <c r="J1850">
        <v>8.3766625309788997E-2</v>
      </c>
      <c r="K1850">
        <v>6.5827210999558197E-2</v>
      </c>
      <c r="L1850">
        <v>1174.9386172971101</v>
      </c>
      <c r="M1850">
        <v>24.2082067094797</v>
      </c>
      <c r="N1850">
        <v>48.974115370939799</v>
      </c>
      <c r="O1850">
        <v>48.2071738300966</v>
      </c>
      <c r="P1850">
        <v>-0.113289698864712</v>
      </c>
      <c r="Q1850">
        <v>9.76130839726706E-2</v>
      </c>
      <c r="R1850">
        <v>0.99218719010790501</v>
      </c>
      <c r="S1850" t="s">
        <v>8135</v>
      </c>
      <c r="T1850" t="s">
        <v>12568</v>
      </c>
      <c r="U1850" t="s">
        <v>12568</v>
      </c>
      <c r="V1850" t="s">
        <v>12568</v>
      </c>
      <c r="W1850" t="s">
        <v>14384</v>
      </c>
      <c r="X1850">
        <v>11</v>
      </c>
      <c r="Y1850" t="s">
        <v>20575</v>
      </c>
      <c r="Z1850" t="s">
        <v>26720</v>
      </c>
      <c r="AA1850">
        <v>0.36286694968259231</v>
      </c>
      <c r="AB1850" t="str">
        <f>HYPERLINK("Melting_Curves/meltCurve_P22830_FECH.pdf", "Melting_Curves/meltCurve_P22830_FECH.pdf")</f>
        <v>Melting_Curves/meltCurve_P22830_FECH.pdf</v>
      </c>
    </row>
    <row r="1851" spans="1:28" x14ac:dyDescent="0.25">
      <c r="A1851" t="s">
        <v>1855</v>
      </c>
      <c r="B1851">
        <v>0.99352677808782597</v>
      </c>
      <c r="C1851">
        <v>0.95291175632689695</v>
      </c>
      <c r="D1851">
        <v>0.91403250663596303</v>
      </c>
      <c r="E1851">
        <v>0.55438994462696101</v>
      </c>
      <c r="F1851">
        <v>0.50760278126213099</v>
      </c>
      <c r="G1851">
        <v>0.35248156396504998</v>
      </c>
      <c r="H1851">
        <v>0.20269241651032599</v>
      </c>
      <c r="I1851">
        <v>0.17478125449614601</v>
      </c>
      <c r="J1851">
        <v>0.176122414490225</v>
      </c>
      <c r="K1851">
        <v>0.14267814624147601</v>
      </c>
      <c r="L1851">
        <v>703.16804192787902</v>
      </c>
      <c r="M1851">
        <v>13.6949956816654</v>
      </c>
      <c r="N1851">
        <v>52.519423370620501</v>
      </c>
      <c r="O1851">
        <v>50.287218096459902</v>
      </c>
      <c r="P1851">
        <v>-5.9111718505671901E-2</v>
      </c>
      <c r="Q1851">
        <v>0.131905844680238</v>
      </c>
      <c r="R1851">
        <v>0.98529932307146095</v>
      </c>
      <c r="S1851" t="s">
        <v>8136</v>
      </c>
      <c r="T1851" t="s">
        <v>12568</v>
      </c>
      <c r="U1851" t="s">
        <v>12568</v>
      </c>
      <c r="V1851" t="s">
        <v>12568</v>
      </c>
      <c r="W1851" t="s">
        <v>14385</v>
      </c>
      <c r="X1851">
        <v>2</v>
      </c>
      <c r="Y1851" t="s">
        <v>20576</v>
      </c>
      <c r="Z1851" t="s">
        <v>26721</v>
      </c>
      <c r="AA1851">
        <v>0.48306494325769628</v>
      </c>
      <c r="AB1851" t="str">
        <f>HYPERLINK("Melting_Curves/meltCurve_P23025_XPA.pdf", "Melting_Curves/meltCurve_P23025_XPA.pdf")</f>
        <v>Melting_Curves/meltCurve_P23025_XPA.pdf</v>
      </c>
    </row>
    <row r="1852" spans="1:28" x14ac:dyDescent="0.25">
      <c r="A1852" t="s">
        <v>1856</v>
      </c>
      <c r="B1852">
        <v>0.99352677808782597</v>
      </c>
      <c r="C1852">
        <v>0.97308965680020498</v>
      </c>
      <c r="D1852">
        <v>0.87399056101931805</v>
      </c>
      <c r="E1852">
        <v>0.624650485721015</v>
      </c>
      <c r="F1852">
        <v>0.49781629314826797</v>
      </c>
      <c r="G1852">
        <v>0.26325892329559603</v>
      </c>
      <c r="H1852">
        <v>0.150775452047094</v>
      </c>
      <c r="I1852">
        <v>0.13280981894333799</v>
      </c>
      <c r="J1852">
        <v>0.100784324355185</v>
      </c>
      <c r="K1852">
        <v>6.5945591943308499E-2</v>
      </c>
      <c r="L1852">
        <v>721.88127735630599</v>
      </c>
      <c r="M1852">
        <v>13.868003157674</v>
      </c>
      <c r="N1852">
        <v>52.469835539449797</v>
      </c>
      <c r="O1852">
        <v>51.007180577914703</v>
      </c>
      <c r="P1852">
        <v>-6.4440212586911294E-2</v>
      </c>
      <c r="Q1852">
        <v>5.2073400044863903E-2</v>
      </c>
      <c r="R1852">
        <v>0.99758364543876099</v>
      </c>
      <c r="S1852" t="s">
        <v>8137</v>
      </c>
      <c r="T1852" t="s">
        <v>12568</v>
      </c>
      <c r="U1852" t="s">
        <v>12568</v>
      </c>
      <c r="V1852" t="s">
        <v>12568</v>
      </c>
      <c r="W1852" t="s">
        <v>14386</v>
      </c>
      <c r="X1852">
        <v>11</v>
      </c>
      <c r="Y1852" t="s">
        <v>20577</v>
      </c>
      <c r="Z1852" t="s">
        <v>26722</v>
      </c>
      <c r="AA1852">
        <v>0.45669723514267019</v>
      </c>
      <c r="AB1852" t="str">
        <f>HYPERLINK("Melting_Curves/meltCurve_P23141_3_CES1.pdf", "Melting_Curves/meltCurve_P23141_3_CES1.pdf")</f>
        <v>Melting_Curves/meltCurve_P23141_3_CES1.pdf</v>
      </c>
    </row>
    <row r="1853" spans="1:28" x14ac:dyDescent="0.25">
      <c r="A1853" t="s">
        <v>1857</v>
      </c>
      <c r="B1853">
        <v>0.99352677808782597</v>
      </c>
      <c r="C1853">
        <v>0.99465761522827001</v>
      </c>
      <c r="D1853">
        <v>0.89022202527644201</v>
      </c>
      <c r="E1853">
        <v>0.74590306408358997</v>
      </c>
      <c r="F1853">
        <v>0.67429944631748995</v>
      </c>
      <c r="G1853">
        <v>0.46103520702258299</v>
      </c>
      <c r="H1853">
        <v>0.38721671801041602</v>
      </c>
      <c r="I1853">
        <v>0.27886231467676897</v>
      </c>
      <c r="J1853">
        <v>0.31962775675114102</v>
      </c>
      <c r="K1853">
        <v>0.175050611067359</v>
      </c>
      <c r="L1853">
        <v>571.532390109522</v>
      </c>
      <c r="M1853">
        <v>10.414338769787101</v>
      </c>
      <c r="N1853">
        <v>56.690193644988398</v>
      </c>
      <c r="O1853">
        <v>52.971613294266099</v>
      </c>
      <c r="P1853">
        <v>-4.22136810470988E-2</v>
      </c>
      <c r="Q1853">
        <v>0.14149280863664801</v>
      </c>
      <c r="R1853">
        <v>0.98669264451671901</v>
      </c>
      <c r="S1853" t="s">
        <v>8138</v>
      </c>
      <c r="T1853" t="s">
        <v>12568</v>
      </c>
      <c r="U1853" t="s">
        <v>12568</v>
      </c>
      <c r="V1853" t="s">
        <v>12568</v>
      </c>
      <c r="W1853" t="s">
        <v>14387</v>
      </c>
      <c r="X1853">
        <v>5</v>
      </c>
      <c r="Y1853" t="s">
        <v>20578</v>
      </c>
      <c r="Z1853" t="s">
        <v>26723</v>
      </c>
      <c r="AA1853">
        <v>0.58955240478601489</v>
      </c>
      <c r="AB1853" t="str">
        <f>HYPERLINK("Melting_Curves/meltCurve_P23142_3_FBLN1.pdf", "Melting_Curves/meltCurve_P23142_3_FBLN1.pdf")</f>
        <v>Melting_Curves/meltCurve_P23142_3_FBLN1.pdf</v>
      </c>
    </row>
    <row r="1854" spans="1:28" x14ac:dyDescent="0.25">
      <c r="A1854" t="s">
        <v>1858</v>
      </c>
      <c r="B1854">
        <v>0.99352677808782597</v>
      </c>
      <c r="C1854">
        <v>0.86340562696155798</v>
      </c>
      <c r="D1854">
        <v>0.94976611539332501</v>
      </c>
      <c r="E1854">
        <v>0.92261789789392101</v>
      </c>
      <c r="F1854">
        <v>0.81252902092831802</v>
      </c>
      <c r="G1854">
        <v>0.64386853057222404</v>
      </c>
      <c r="H1854">
        <v>0.49126737079106703</v>
      </c>
      <c r="I1854">
        <v>0.50080946314837804</v>
      </c>
      <c r="J1854">
        <v>0.52966671127742004</v>
      </c>
      <c r="K1854">
        <v>0.42386005953141498</v>
      </c>
      <c r="L1854">
        <v>843.88535826046996</v>
      </c>
      <c r="M1854">
        <v>15.3412996721721</v>
      </c>
      <c r="N1854">
        <v>63.483652401265999</v>
      </c>
      <c r="O1854">
        <v>54.098194728662598</v>
      </c>
      <c r="P1854">
        <v>-4.0022463058769699E-2</v>
      </c>
      <c r="Q1854">
        <v>0.43552568000035302</v>
      </c>
      <c r="R1854">
        <v>0.94179979568639005</v>
      </c>
      <c r="S1854" t="s">
        <v>8139</v>
      </c>
      <c r="T1854" t="s">
        <v>12568</v>
      </c>
      <c r="U1854" t="s">
        <v>12568</v>
      </c>
      <c r="V1854" t="s">
        <v>12568</v>
      </c>
      <c r="W1854" t="s">
        <v>14388</v>
      </c>
      <c r="X1854">
        <v>29</v>
      </c>
      <c r="Y1854" t="s">
        <v>20579</v>
      </c>
      <c r="Z1854" t="s">
        <v>26724</v>
      </c>
      <c r="AA1854">
        <v>0.72852014472817916</v>
      </c>
      <c r="AB1854" t="str">
        <f>HYPERLINK("Melting_Curves/meltCurve_P23193_TCEA1.pdf", "Melting_Curves/meltCurve_P23193_TCEA1.pdf")</f>
        <v>Melting_Curves/meltCurve_P23193_TCEA1.pdf</v>
      </c>
    </row>
    <row r="1855" spans="1:28" x14ac:dyDescent="0.25">
      <c r="A1855" t="s">
        <v>1859</v>
      </c>
      <c r="B1855">
        <v>0.99352677808782597</v>
      </c>
      <c r="C1855">
        <v>0.89892960701779201</v>
      </c>
      <c r="D1855">
        <v>0.92721690530253398</v>
      </c>
      <c r="E1855">
        <v>0.62964865271196901</v>
      </c>
      <c r="F1855">
        <v>0.54978221344953404</v>
      </c>
      <c r="G1855">
        <v>0.34770735020056198</v>
      </c>
      <c r="H1855">
        <v>0.28234536806265298</v>
      </c>
      <c r="I1855">
        <v>0.28073945619790602</v>
      </c>
      <c r="J1855">
        <v>0.24191221363798401</v>
      </c>
      <c r="K1855">
        <v>0.20613100436574699</v>
      </c>
      <c r="L1855">
        <v>714.3108333504</v>
      </c>
      <c r="M1855">
        <v>13.919988483633301</v>
      </c>
      <c r="N1855">
        <v>53.370467581349303</v>
      </c>
      <c r="O1855">
        <v>50.291193309560903</v>
      </c>
      <c r="P1855">
        <v>-5.4849310999011802E-2</v>
      </c>
      <c r="Q1855">
        <v>0.207451959865153</v>
      </c>
      <c r="R1855">
        <v>0.98730180709859305</v>
      </c>
      <c r="S1855" t="s">
        <v>8140</v>
      </c>
      <c r="T1855" t="s">
        <v>12568</v>
      </c>
      <c r="U1855" t="s">
        <v>12568</v>
      </c>
      <c r="V1855" t="s">
        <v>12568</v>
      </c>
      <c r="W1855" t="s">
        <v>14389</v>
      </c>
      <c r="X1855">
        <v>20</v>
      </c>
      <c r="Y1855" t="s">
        <v>20580</v>
      </c>
      <c r="Z1855" t="s">
        <v>26725</v>
      </c>
      <c r="AA1855">
        <v>0.52678530994480888</v>
      </c>
      <c r="AB1855" t="str">
        <f>HYPERLINK("Melting_Curves/meltCurve_P23246_SFPQ.pdf", "Melting_Curves/meltCurve_P23246_SFPQ.pdf")</f>
        <v>Melting_Curves/meltCurve_P23246_SFPQ.pdf</v>
      </c>
    </row>
    <row r="1856" spans="1:28" x14ac:dyDescent="0.25">
      <c r="A1856" t="s">
        <v>1860</v>
      </c>
      <c r="B1856">
        <v>0.99352677808782597</v>
      </c>
      <c r="C1856">
        <v>0.92184947038670495</v>
      </c>
      <c r="D1856">
        <v>0.86114247379682995</v>
      </c>
      <c r="E1856">
        <v>0.48538255198790697</v>
      </c>
      <c r="F1856">
        <v>0.39148662030291598</v>
      </c>
      <c r="G1856">
        <v>0.20093689949303101</v>
      </c>
      <c r="H1856">
        <v>0.118129039180009</v>
      </c>
      <c r="I1856">
        <v>0.100174631819969</v>
      </c>
      <c r="J1856">
        <v>8.6620584483379004E-2</v>
      </c>
      <c r="K1856">
        <v>6.7938919494763605E-2</v>
      </c>
      <c r="L1856">
        <v>775.76990980733603</v>
      </c>
      <c r="M1856">
        <v>15.4581558519554</v>
      </c>
      <c r="N1856">
        <v>50.653333489587503</v>
      </c>
      <c r="O1856">
        <v>49.367805118366199</v>
      </c>
      <c r="P1856">
        <v>-7.3076024661055505E-2</v>
      </c>
      <c r="Q1856">
        <v>6.6569778280057501E-2</v>
      </c>
      <c r="R1856">
        <v>0.99372647753487198</v>
      </c>
      <c r="S1856" t="s">
        <v>8141</v>
      </c>
      <c r="T1856" t="s">
        <v>12568</v>
      </c>
      <c r="U1856" t="s">
        <v>12568</v>
      </c>
      <c r="V1856" t="s">
        <v>12568</v>
      </c>
      <c r="W1856" t="s">
        <v>14390</v>
      </c>
      <c r="X1856">
        <v>7</v>
      </c>
      <c r="Y1856" t="s">
        <v>20581</v>
      </c>
      <c r="Z1856" t="s">
        <v>26726</v>
      </c>
      <c r="AA1856">
        <v>0.40445855217858551</v>
      </c>
      <c r="AB1856" t="str">
        <f>HYPERLINK("Melting_Curves/meltCurve_P23258_TUBG1.pdf", "Melting_Curves/meltCurve_P23258_TUBG1.pdf")</f>
        <v>Melting_Curves/meltCurve_P23258_TUBG1.pdf</v>
      </c>
    </row>
    <row r="1857" spans="1:28" x14ac:dyDescent="0.25">
      <c r="A1857" t="s">
        <v>1861</v>
      </c>
      <c r="B1857">
        <v>0.99352677808782597</v>
      </c>
      <c r="C1857">
        <v>0.64102639361459701</v>
      </c>
      <c r="D1857">
        <v>1.1396545508887801</v>
      </c>
      <c r="E1857">
        <v>0.36426134960902301</v>
      </c>
      <c r="F1857">
        <v>0.27658664009599998</v>
      </c>
      <c r="G1857">
        <v>0.109233279527925</v>
      </c>
      <c r="H1857">
        <v>7.6980321683410805E-2</v>
      </c>
      <c r="I1857">
        <v>6.6628756964094399E-2</v>
      </c>
      <c r="J1857">
        <v>6.3840177886111502E-2</v>
      </c>
      <c r="K1857">
        <v>4.0782631094561997E-2</v>
      </c>
      <c r="L1857">
        <v>3132.9065803241401</v>
      </c>
      <c r="M1857">
        <v>63.457879129109799</v>
      </c>
      <c r="N1857">
        <v>49.547567127618599</v>
      </c>
      <c r="O1857">
        <v>49.320904831708802</v>
      </c>
      <c r="P1857">
        <v>-0.28892377750861598</v>
      </c>
      <c r="Q1857">
        <v>0.10176788647570501</v>
      </c>
      <c r="R1857">
        <v>0.87767933609667304</v>
      </c>
      <c r="S1857" t="s">
        <v>8142</v>
      </c>
      <c r="T1857" t="s">
        <v>12568</v>
      </c>
      <c r="U1857" t="s">
        <v>12568</v>
      </c>
      <c r="V1857" t="s">
        <v>12568</v>
      </c>
      <c r="W1857" t="s">
        <v>14391</v>
      </c>
      <c r="X1857">
        <v>22</v>
      </c>
      <c r="Y1857" t="s">
        <v>20582</v>
      </c>
      <c r="Z1857" t="s">
        <v>26727</v>
      </c>
      <c r="AA1857">
        <v>0.38352333026821372</v>
      </c>
      <c r="AB1857" t="str">
        <f>HYPERLINK("Melting_Curves/meltCurve_P23284_PPIB.pdf", "Melting_Curves/meltCurve_P23284_PPIB.pdf")</f>
        <v>Melting_Curves/meltCurve_P23284_PPIB.pdf</v>
      </c>
    </row>
    <row r="1858" spans="1:28" x14ac:dyDescent="0.25">
      <c r="A1858" t="s">
        <v>1862</v>
      </c>
      <c r="B1858">
        <v>0.99352677808782597</v>
      </c>
      <c r="C1858">
        <v>1.02024514509562</v>
      </c>
      <c r="D1858">
        <v>0.963035215185855</v>
      </c>
      <c r="E1858">
        <v>0.67679430488073999</v>
      </c>
      <c r="F1858">
        <v>0.63161679349100197</v>
      </c>
      <c r="G1858">
        <v>0.22425889927096401</v>
      </c>
      <c r="H1858">
        <v>0.17476411424112701</v>
      </c>
      <c r="I1858">
        <v>0.152612628384001</v>
      </c>
      <c r="J1858">
        <v>0.12862118179627299</v>
      </c>
      <c r="K1858">
        <v>7.8211781816196299E-2</v>
      </c>
      <c r="L1858">
        <v>920.15759606234894</v>
      </c>
      <c r="M1858">
        <v>17.387450399404202</v>
      </c>
      <c r="N1858">
        <v>53.507872481461298</v>
      </c>
      <c r="O1858">
        <v>52.235659700632397</v>
      </c>
      <c r="P1858">
        <v>-7.59941603159036E-2</v>
      </c>
      <c r="Q1858">
        <v>8.6840100249469199E-2</v>
      </c>
      <c r="R1858">
        <v>0.983457698857648</v>
      </c>
      <c r="S1858" t="s">
        <v>8143</v>
      </c>
      <c r="T1858" t="s">
        <v>12568</v>
      </c>
      <c r="U1858" t="s">
        <v>12568</v>
      </c>
      <c r="V1858" t="s">
        <v>12568</v>
      </c>
      <c r="W1858" t="s">
        <v>14392</v>
      </c>
      <c r="X1858">
        <v>10</v>
      </c>
      <c r="Y1858" t="s">
        <v>20583</v>
      </c>
      <c r="Z1858" t="s">
        <v>26728</v>
      </c>
      <c r="AA1858">
        <v>0.49595413138136912</v>
      </c>
      <c r="AB1858" t="str">
        <f>HYPERLINK("Melting_Curves/meltCurve_P23368_ME2.pdf", "Melting_Curves/meltCurve_P23368_ME2.pdf")</f>
        <v>Melting_Curves/meltCurve_P23368_ME2.pdf</v>
      </c>
    </row>
    <row r="1859" spans="1:28" x14ac:dyDescent="0.25">
      <c r="A1859" t="s">
        <v>1863</v>
      </c>
      <c r="B1859">
        <v>0.99352677808782597</v>
      </c>
      <c r="C1859">
        <v>0.99531845143771702</v>
      </c>
      <c r="D1859">
        <v>0.88913967098021796</v>
      </c>
      <c r="E1859">
        <v>0.85538569532182696</v>
      </c>
      <c r="F1859">
        <v>0.66312066532177205</v>
      </c>
      <c r="G1859">
        <v>0.52867061819077199</v>
      </c>
      <c r="H1859">
        <v>0.25844794044696801</v>
      </c>
      <c r="I1859">
        <v>0.114913316792069</v>
      </c>
      <c r="J1859">
        <v>7.2627029055831599E-2</v>
      </c>
      <c r="K1859">
        <v>4.8609084183634001E-2</v>
      </c>
      <c r="L1859">
        <v>775.32660164059996</v>
      </c>
      <c r="M1859">
        <v>13.7805454776222</v>
      </c>
      <c r="N1859">
        <v>56.262402160290797</v>
      </c>
      <c r="O1859">
        <v>55.117337100975199</v>
      </c>
      <c r="P1859">
        <v>-6.2514312320568199E-2</v>
      </c>
      <c r="Q1859">
        <v>0</v>
      </c>
      <c r="R1859">
        <v>0.98967470636483001</v>
      </c>
      <c r="S1859" t="s">
        <v>8144</v>
      </c>
      <c r="T1859" t="s">
        <v>12568</v>
      </c>
      <c r="U1859" t="s">
        <v>12568</v>
      </c>
      <c r="V1859" t="s">
        <v>12568</v>
      </c>
      <c r="W1859" t="s">
        <v>14393</v>
      </c>
      <c r="X1859">
        <v>8</v>
      </c>
      <c r="Y1859" t="s">
        <v>20584</v>
      </c>
      <c r="Z1859" t="s">
        <v>26729</v>
      </c>
      <c r="AA1859">
        <v>0.56040504663570656</v>
      </c>
      <c r="AB1859" t="str">
        <f>HYPERLINK("Melting_Curves/meltCurve_P23378_GLDC.pdf", "Melting_Curves/meltCurve_P23378_GLDC.pdf")</f>
        <v>Melting_Curves/meltCurve_P23378_GLDC.pdf</v>
      </c>
    </row>
    <row r="1860" spans="1:28" x14ac:dyDescent="0.25">
      <c r="A1860" t="s">
        <v>1864</v>
      </c>
      <c r="B1860">
        <v>0.99352677808782597</v>
      </c>
      <c r="C1860">
        <v>1.0194131203233801</v>
      </c>
      <c r="D1860">
        <v>0.97070128945939405</v>
      </c>
      <c r="E1860">
        <v>0.96969610733160705</v>
      </c>
      <c r="F1860">
        <v>0.80522722347783604</v>
      </c>
      <c r="G1860">
        <v>0.68484192083505901</v>
      </c>
      <c r="H1860">
        <v>0.83342512395805202</v>
      </c>
      <c r="I1860">
        <v>0.81915371983527396</v>
      </c>
      <c r="J1860">
        <v>1.07563616228707</v>
      </c>
      <c r="K1860">
        <v>0.64137378546916701</v>
      </c>
      <c r="L1860">
        <v>12583.1174804249</v>
      </c>
      <c r="M1860">
        <v>250</v>
      </c>
      <c r="O1860">
        <v>50.329244916045603</v>
      </c>
      <c r="P1860">
        <v>-0.236017223716357</v>
      </c>
      <c r="Q1860">
        <v>0.80994288635706202</v>
      </c>
      <c r="R1860">
        <v>0.39696095535386899</v>
      </c>
      <c r="S1860" t="s">
        <v>8145</v>
      </c>
      <c r="T1860" t="s">
        <v>12568</v>
      </c>
      <c r="U1860" t="s">
        <v>12568</v>
      </c>
      <c r="V1860" t="s">
        <v>12568</v>
      </c>
      <c r="W1860" t="s">
        <v>14394</v>
      </c>
      <c r="X1860">
        <v>26</v>
      </c>
      <c r="Y1860" t="s">
        <v>20585</v>
      </c>
      <c r="Z1860" t="s">
        <v>26730</v>
      </c>
      <c r="AA1860">
        <v>0.87541832161934718</v>
      </c>
      <c r="AB1860" t="str">
        <f>HYPERLINK("Melting_Curves/meltCurve_P23381_WARS.pdf", "Melting_Curves/meltCurve_P23381_WARS.pdf")</f>
        <v>Melting_Curves/meltCurve_P23381_WARS.pdf</v>
      </c>
    </row>
    <row r="1861" spans="1:28" x14ac:dyDescent="0.25">
      <c r="A1861" t="s">
        <v>1865</v>
      </c>
      <c r="B1861">
        <v>0.99352677808782597</v>
      </c>
      <c r="C1861">
        <v>0.733733479319854</v>
      </c>
      <c r="D1861">
        <v>0.87101038481907</v>
      </c>
      <c r="E1861">
        <v>0.43717873518623901</v>
      </c>
      <c r="F1861">
        <v>0.374786313332656</v>
      </c>
      <c r="G1861">
        <v>0.20312474958628501</v>
      </c>
      <c r="H1861">
        <v>0.124708771104419</v>
      </c>
      <c r="I1861">
        <v>0.10859661344336401</v>
      </c>
      <c r="J1861">
        <v>9.5879426260716397E-2</v>
      </c>
      <c r="K1861">
        <v>6.9520326943919103E-2</v>
      </c>
      <c r="L1861">
        <v>601.35216525591898</v>
      </c>
      <c r="M1861">
        <v>12.102326704102</v>
      </c>
      <c r="N1861">
        <v>50.070262725786897</v>
      </c>
      <c r="O1861">
        <v>48.390663249310997</v>
      </c>
      <c r="P1861">
        <v>-5.9785667198051499E-2</v>
      </c>
      <c r="Q1861">
        <v>4.4020720392531097E-2</v>
      </c>
      <c r="R1861">
        <v>0.958036061095769</v>
      </c>
      <c r="S1861" t="s">
        <v>8146</v>
      </c>
      <c r="T1861" t="s">
        <v>12568</v>
      </c>
      <c r="U1861" t="s">
        <v>12568</v>
      </c>
      <c r="V1861" t="s">
        <v>12568</v>
      </c>
      <c r="W1861" t="s">
        <v>14395</v>
      </c>
      <c r="X1861">
        <v>21</v>
      </c>
      <c r="Y1861" t="s">
        <v>20586</v>
      </c>
      <c r="Z1861" t="s">
        <v>26731</v>
      </c>
      <c r="AA1861">
        <v>0.38601836982913651</v>
      </c>
      <c r="AB1861" t="str">
        <f>HYPERLINK("Melting_Curves/meltCurve_P23396_RPS3.pdf", "Melting_Curves/meltCurve_P23396_RPS3.pdf")</f>
        <v>Melting_Curves/meltCurve_P23396_RPS3.pdf</v>
      </c>
    </row>
    <row r="1862" spans="1:28" x14ac:dyDescent="0.25">
      <c r="A1862" t="s">
        <v>1866</v>
      </c>
      <c r="B1862">
        <v>0.99352677808782597</v>
      </c>
      <c r="C1862">
        <v>0.97584187250836596</v>
      </c>
      <c r="D1862">
        <v>1.0136735325356701</v>
      </c>
      <c r="E1862">
        <v>0.873126095678602</v>
      </c>
      <c r="F1862">
        <v>0.806623218928331</v>
      </c>
      <c r="G1862">
        <v>0.34453244559295398</v>
      </c>
      <c r="H1862">
        <v>0.28913361416011302</v>
      </c>
      <c r="I1862">
        <v>6.7689392693963096E-2</v>
      </c>
      <c r="J1862">
        <v>3.6890083322335003E-2</v>
      </c>
      <c r="K1862">
        <v>5.4776646958031798E-2</v>
      </c>
      <c r="L1862">
        <v>1074.02570483673</v>
      </c>
      <c r="M1862">
        <v>19.210575155230099</v>
      </c>
      <c r="N1862">
        <v>56.0571127898219</v>
      </c>
      <c r="O1862">
        <v>55.312799503118796</v>
      </c>
      <c r="P1862">
        <v>-8.4667868542353503E-2</v>
      </c>
      <c r="Q1862">
        <v>2.4904201351345901E-2</v>
      </c>
      <c r="R1862">
        <v>0.984748784191259</v>
      </c>
      <c r="S1862" t="s">
        <v>8147</v>
      </c>
      <c r="T1862" t="s">
        <v>12568</v>
      </c>
      <c r="U1862" t="s">
        <v>12568</v>
      </c>
      <c r="V1862" t="s">
        <v>12568</v>
      </c>
      <c r="W1862" t="s">
        <v>14396</v>
      </c>
      <c r="X1862">
        <v>1</v>
      </c>
      <c r="Y1862" t="s">
        <v>20587</v>
      </c>
      <c r="Z1862" t="s">
        <v>26732</v>
      </c>
      <c r="AA1862">
        <v>0.55527341495609883</v>
      </c>
      <c r="AB1862" t="str">
        <f>HYPERLINK("Melting_Curves/meltCurve_P23409_MYF6.pdf", "Melting_Curves/meltCurve_P23409_MYF6.pdf")</f>
        <v>Melting_Curves/meltCurve_P23409_MYF6.pdf</v>
      </c>
    </row>
    <row r="1863" spans="1:28" x14ac:dyDescent="0.25">
      <c r="A1863" t="s">
        <v>1867</v>
      </c>
      <c r="B1863">
        <v>0.99352677808782597</v>
      </c>
      <c r="C1863">
        <v>1.0055378332789</v>
      </c>
      <c r="D1863">
        <v>1.03907433897816</v>
      </c>
      <c r="E1863">
        <v>1.0153009478869199</v>
      </c>
      <c r="F1863">
        <v>0.89799624435542502</v>
      </c>
      <c r="G1863">
        <v>0.85338580708924505</v>
      </c>
      <c r="H1863">
        <v>0.751108544746803</v>
      </c>
      <c r="I1863">
        <v>0.82078661007039999</v>
      </c>
      <c r="J1863">
        <v>0.88754431646382503</v>
      </c>
      <c r="K1863">
        <v>0.75152439051622399</v>
      </c>
      <c r="L1863">
        <v>13240.4137389183</v>
      </c>
      <c r="M1863">
        <v>250</v>
      </c>
      <c r="O1863">
        <v>52.958252293162097</v>
      </c>
      <c r="P1863">
        <v>-0.22084615404372801</v>
      </c>
      <c r="Q1863">
        <v>0.812869930939498</v>
      </c>
      <c r="R1863">
        <v>0.84150983752854303</v>
      </c>
      <c r="S1863" t="s">
        <v>8148</v>
      </c>
      <c r="T1863" t="s">
        <v>12568</v>
      </c>
      <c r="U1863" t="s">
        <v>12568</v>
      </c>
      <c r="V1863" t="s">
        <v>12568</v>
      </c>
      <c r="W1863" t="s">
        <v>14397</v>
      </c>
      <c r="X1863">
        <v>2</v>
      </c>
      <c r="Y1863" t="s">
        <v>20588</v>
      </c>
      <c r="Z1863" t="s">
        <v>26733</v>
      </c>
      <c r="AA1863">
        <v>0.89373783699538978</v>
      </c>
      <c r="AB1863" t="str">
        <f>HYPERLINK("Melting_Curves/meltCurve_P23434_GCSH.pdf", "Melting_Curves/meltCurve_P23434_GCSH.pdf")</f>
        <v>Melting_Curves/meltCurve_P23434_GCSH.pdf</v>
      </c>
    </row>
    <row r="1864" spans="1:28" x14ac:dyDescent="0.25">
      <c r="A1864" t="s">
        <v>1868</v>
      </c>
      <c r="B1864">
        <v>0.99352677808782597</v>
      </c>
      <c r="C1864">
        <v>0.98725465246711697</v>
      </c>
      <c r="D1864">
        <v>1.0070608199161299</v>
      </c>
      <c r="E1864">
        <v>0.87469054386480105</v>
      </c>
      <c r="F1864">
        <v>0.79098476524138495</v>
      </c>
      <c r="G1864">
        <v>0.74106761118910103</v>
      </c>
      <c r="H1864">
        <v>0.64057301805564704</v>
      </c>
      <c r="I1864">
        <v>0.71656119416157404</v>
      </c>
      <c r="J1864">
        <v>0.77467068229717395</v>
      </c>
      <c r="K1864">
        <v>0.61532450031348496</v>
      </c>
      <c r="L1864">
        <v>1179.1947789851399</v>
      </c>
      <c r="M1864">
        <v>22.998494163172399</v>
      </c>
      <c r="O1864">
        <v>50.889746897918997</v>
      </c>
      <c r="P1864">
        <v>-3.5156834867375301E-2</v>
      </c>
      <c r="Q1864">
        <v>0.68883360746398103</v>
      </c>
      <c r="R1864">
        <v>0.90479942068458896</v>
      </c>
      <c r="S1864" t="s">
        <v>8149</v>
      </c>
      <c r="T1864" t="s">
        <v>12568</v>
      </c>
      <c r="U1864" t="s">
        <v>12568</v>
      </c>
      <c r="V1864" t="s">
        <v>12568</v>
      </c>
      <c r="W1864" t="s">
        <v>14398</v>
      </c>
      <c r="X1864">
        <v>11</v>
      </c>
      <c r="Y1864" t="s">
        <v>20589</v>
      </c>
      <c r="Z1864" t="s">
        <v>26734</v>
      </c>
      <c r="AA1864">
        <v>0.80907148352128577</v>
      </c>
      <c r="AB1864" t="str">
        <f>HYPERLINK("Melting_Curves/meltCurve_P23497_SP100.pdf", "Melting_Curves/meltCurve_P23497_SP100.pdf")</f>
        <v>Melting_Curves/meltCurve_P23497_SP100.pdf</v>
      </c>
    </row>
    <row r="1865" spans="1:28" x14ac:dyDescent="0.25">
      <c r="A1865" t="s">
        <v>1869</v>
      </c>
      <c r="B1865">
        <v>0.99352677808782597</v>
      </c>
      <c r="C1865">
        <v>1.0151887773094099</v>
      </c>
      <c r="D1865">
        <v>0.91133424700090004</v>
      </c>
      <c r="E1865">
        <v>0.79759984869047895</v>
      </c>
      <c r="F1865">
        <v>0.69439951653696697</v>
      </c>
      <c r="G1865">
        <v>0.57117914625447497</v>
      </c>
      <c r="H1865">
        <v>0.48625989100858003</v>
      </c>
      <c r="I1865">
        <v>0.45561013987146898</v>
      </c>
      <c r="J1865">
        <v>0.46207401206223903</v>
      </c>
      <c r="K1865">
        <v>0.39602569963367701</v>
      </c>
      <c r="L1865">
        <v>691.05336453817097</v>
      </c>
      <c r="M1865">
        <v>13.0786004490274</v>
      </c>
      <c r="N1865">
        <v>60.219801624767399</v>
      </c>
      <c r="O1865">
        <v>51.648946875318202</v>
      </c>
      <c r="P1865">
        <v>-3.8030078074375397E-2</v>
      </c>
      <c r="Q1865">
        <v>0.39936246726144897</v>
      </c>
      <c r="R1865">
        <v>0.99292699725600597</v>
      </c>
      <c r="S1865" t="s">
        <v>8150</v>
      </c>
      <c r="T1865" t="s">
        <v>12568</v>
      </c>
      <c r="U1865" t="s">
        <v>12568</v>
      </c>
      <c r="V1865" t="s">
        <v>12568</v>
      </c>
      <c r="W1865" t="s">
        <v>14399</v>
      </c>
      <c r="X1865">
        <v>2</v>
      </c>
      <c r="Y1865" t="s">
        <v>20590</v>
      </c>
      <c r="Z1865" t="s">
        <v>26735</v>
      </c>
      <c r="AA1865">
        <v>0.67202435756469703</v>
      </c>
      <c r="AB1865" t="str">
        <f>HYPERLINK("Melting_Curves/meltCurve_P23511_2_NFYA.pdf", "Melting_Curves/meltCurve_P23511_2_NFYA.pdf")</f>
        <v>Melting_Curves/meltCurve_P23511_2_NFYA.pdf</v>
      </c>
    </row>
    <row r="1866" spans="1:28" x14ac:dyDescent="0.25">
      <c r="A1866" t="s">
        <v>1870</v>
      </c>
      <c r="B1866">
        <v>0.99352677808782597</v>
      </c>
      <c r="C1866">
        <v>1.0803885321186799</v>
      </c>
      <c r="D1866">
        <v>0.95385784463392498</v>
      </c>
      <c r="E1866">
        <v>0.69845560169041898</v>
      </c>
      <c r="F1866">
        <v>0.55917625185775099</v>
      </c>
      <c r="G1866">
        <v>0.31576637589802897</v>
      </c>
      <c r="H1866">
        <v>0.17028980806176899</v>
      </c>
      <c r="I1866">
        <v>9.7220471504781705E-2</v>
      </c>
      <c r="J1866">
        <v>7.0972399555314897E-2</v>
      </c>
      <c r="K1866">
        <v>5.2650127373766203E-2</v>
      </c>
      <c r="L1866">
        <v>821.22263116037004</v>
      </c>
      <c r="M1866">
        <v>15.362684720038301</v>
      </c>
      <c r="N1866">
        <v>53.695975988219899</v>
      </c>
      <c r="O1866">
        <v>52.574490528371101</v>
      </c>
      <c r="P1866">
        <v>-7.0631759053057006E-2</v>
      </c>
      <c r="Q1866">
        <v>3.3219461075590297E-2</v>
      </c>
      <c r="R1866">
        <v>0.99043197699145102</v>
      </c>
      <c r="S1866" t="s">
        <v>8151</v>
      </c>
      <c r="T1866" t="s">
        <v>12568</v>
      </c>
      <c r="U1866" t="s">
        <v>12568</v>
      </c>
      <c r="V1866" t="s">
        <v>12568</v>
      </c>
      <c r="W1866" t="s">
        <v>14400</v>
      </c>
      <c r="X1866">
        <v>27</v>
      </c>
      <c r="Y1866" t="s">
        <v>20591</v>
      </c>
      <c r="Z1866" t="s">
        <v>26736</v>
      </c>
      <c r="AA1866">
        <v>0.48658625687430118</v>
      </c>
      <c r="AB1866" t="str">
        <f>HYPERLINK("Melting_Curves/meltCurve_P23526_AHCY.pdf", "Melting_Curves/meltCurve_P23526_AHCY.pdf")</f>
        <v>Melting_Curves/meltCurve_P23526_AHCY.pdf</v>
      </c>
    </row>
    <row r="1867" spans="1:28" x14ac:dyDescent="0.25">
      <c r="A1867" t="s">
        <v>1871</v>
      </c>
      <c r="B1867">
        <v>0.99352677808782597</v>
      </c>
      <c r="C1867">
        <v>0.95495184666781596</v>
      </c>
      <c r="D1867">
        <v>1.00068791133143</v>
      </c>
      <c r="E1867">
        <v>0.93793469522671602</v>
      </c>
      <c r="F1867">
        <v>0.91630601111945698</v>
      </c>
      <c r="G1867">
        <v>0.86446300159552203</v>
      </c>
      <c r="H1867">
        <v>0.56490044263325601</v>
      </c>
      <c r="I1867">
        <v>0.47770378595246199</v>
      </c>
      <c r="J1867">
        <v>0.46754884025225801</v>
      </c>
      <c r="K1867">
        <v>0.37567675086741498</v>
      </c>
      <c r="L1867">
        <v>1243.8008321177001</v>
      </c>
      <c r="M1867">
        <v>20.952461150610599</v>
      </c>
      <c r="N1867">
        <v>63.505371191915401</v>
      </c>
      <c r="O1867">
        <v>58.830173224983596</v>
      </c>
      <c r="P1867">
        <v>-5.5870393358472298E-2</v>
      </c>
      <c r="Q1867">
        <v>0.37252691612731897</v>
      </c>
      <c r="R1867">
        <v>0.97894499084142494</v>
      </c>
      <c r="S1867" t="s">
        <v>8152</v>
      </c>
      <c r="T1867" t="s">
        <v>12568</v>
      </c>
      <c r="U1867" t="s">
        <v>12568</v>
      </c>
      <c r="V1867" t="s">
        <v>12568</v>
      </c>
      <c r="W1867" t="s">
        <v>14401</v>
      </c>
      <c r="X1867">
        <v>21</v>
      </c>
      <c r="Y1867" t="s">
        <v>20592</v>
      </c>
      <c r="Z1867" t="s">
        <v>26737</v>
      </c>
      <c r="AA1867">
        <v>0.78333113808965449</v>
      </c>
      <c r="AB1867" t="str">
        <f>HYPERLINK("Melting_Curves/meltCurve_P23528_CFL1.pdf", "Melting_Curves/meltCurve_P23528_CFL1.pdf")</f>
        <v>Melting_Curves/meltCurve_P23528_CFL1.pdf</v>
      </c>
    </row>
    <row r="1868" spans="1:28" x14ac:dyDescent="0.25">
      <c r="A1868" t="s">
        <v>1872</v>
      </c>
      <c r="B1868">
        <v>0.99352677808782597</v>
      </c>
      <c r="C1868">
        <v>0.94345588093350696</v>
      </c>
      <c r="D1868">
        <v>0.94812824961756503</v>
      </c>
      <c r="E1868">
        <v>1.01352771267193</v>
      </c>
      <c r="F1868">
        <v>0.99222972957533295</v>
      </c>
      <c r="G1868">
        <v>0.960327206116806</v>
      </c>
      <c r="H1868">
        <v>0.97787078539343197</v>
      </c>
      <c r="I1868">
        <v>1.0714257490022401</v>
      </c>
      <c r="J1868">
        <v>1.1345865177372101</v>
      </c>
      <c r="K1868">
        <v>0.97162578163402802</v>
      </c>
      <c r="L1868">
        <v>7963.0777941310098</v>
      </c>
      <c r="M1868">
        <v>127.218989315843</v>
      </c>
      <c r="O1868">
        <v>62.578004049933099</v>
      </c>
      <c r="P1868">
        <v>3.0389347721656901E-2</v>
      </c>
      <c r="Q1868">
        <v>1.0597931087288099</v>
      </c>
      <c r="R1868">
        <v>0.320054142376753</v>
      </c>
      <c r="S1868" t="s">
        <v>8153</v>
      </c>
      <c r="T1868" t="s">
        <v>12568</v>
      </c>
      <c r="U1868" t="s">
        <v>12568</v>
      </c>
      <c r="V1868" t="s">
        <v>12568</v>
      </c>
      <c r="W1868" t="s">
        <v>14402</v>
      </c>
      <c r="X1868">
        <v>49</v>
      </c>
      <c r="Y1868" t="s">
        <v>20593</v>
      </c>
      <c r="Z1868" t="s">
        <v>26738</v>
      </c>
      <c r="AA1868">
        <v>1.014736605881188</v>
      </c>
      <c r="AB1868" t="str">
        <f>HYPERLINK("Melting_Curves/meltCurve_P23588_EIF4B.pdf", "Melting_Curves/meltCurve_P23588_EIF4B.pdf")</f>
        <v>Melting_Curves/meltCurve_P23588_EIF4B.pdf</v>
      </c>
    </row>
    <row r="1869" spans="1:28" x14ac:dyDescent="0.25">
      <c r="A1869" t="s">
        <v>1873</v>
      </c>
      <c r="B1869">
        <v>0.99352677808782597</v>
      </c>
      <c r="C1869">
        <v>0.92166439479860196</v>
      </c>
      <c r="D1869">
        <v>0.74285954483212102</v>
      </c>
      <c r="E1869">
        <v>0.23980202198514899</v>
      </c>
      <c r="F1869">
        <v>0.15810541775312401</v>
      </c>
      <c r="G1869">
        <v>0.11361880724328299</v>
      </c>
      <c r="H1869">
        <v>6.1898274752454602E-2</v>
      </c>
      <c r="I1869">
        <v>6.3466732902963299E-2</v>
      </c>
      <c r="J1869">
        <v>7.5902134581903993E-2</v>
      </c>
      <c r="K1869">
        <v>7.5448550748956594E-2</v>
      </c>
      <c r="L1869">
        <v>1268.7728838051601</v>
      </c>
      <c r="M1869">
        <v>26.7310649521486</v>
      </c>
      <c r="N1869">
        <v>47.763260297091797</v>
      </c>
      <c r="O1869">
        <v>47.201109990130199</v>
      </c>
      <c r="P1869">
        <v>-0.130676872805287</v>
      </c>
      <c r="Q1869">
        <v>7.7024441118498294E-2</v>
      </c>
      <c r="R1869">
        <v>0.99711154438159999</v>
      </c>
      <c r="S1869" t="s">
        <v>8154</v>
      </c>
      <c r="T1869" t="s">
        <v>12568</v>
      </c>
      <c r="U1869" t="s">
        <v>12568</v>
      </c>
      <c r="V1869" t="s">
        <v>12568</v>
      </c>
      <c r="W1869" t="s">
        <v>14403</v>
      </c>
      <c r="X1869">
        <v>4</v>
      </c>
      <c r="Y1869" t="s">
        <v>20594</v>
      </c>
      <c r="Z1869" t="s">
        <v>26739</v>
      </c>
      <c r="AA1869">
        <v>0.31375503177451658</v>
      </c>
      <c r="AB1869" t="str">
        <f>HYPERLINK("Melting_Curves/meltCurve_P23610_F8A1.pdf", "Melting_Curves/meltCurve_P23610_F8A1.pdf")</f>
        <v>Melting_Curves/meltCurve_P23610_F8A1.pdf</v>
      </c>
    </row>
    <row r="1870" spans="1:28" x14ac:dyDescent="0.25">
      <c r="A1870" t="s">
        <v>1874</v>
      </c>
      <c r="B1870">
        <v>0.99352677808782597</v>
      </c>
      <c r="C1870">
        <v>0.58239396594711601</v>
      </c>
      <c r="D1870">
        <v>0.45313850817668699</v>
      </c>
      <c r="E1870">
        <v>0.23162242034663799</v>
      </c>
      <c r="F1870">
        <v>0.21006453289424701</v>
      </c>
      <c r="G1870">
        <v>0.11921260905879801</v>
      </c>
      <c r="H1870">
        <v>9.5411166943676795E-2</v>
      </c>
      <c r="I1870">
        <v>8.86610088331026E-2</v>
      </c>
      <c r="J1870">
        <v>8.1577177672902998E-2</v>
      </c>
      <c r="K1870">
        <v>7.5395544222702296E-2</v>
      </c>
      <c r="L1870">
        <v>718.67525501188697</v>
      </c>
      <c r="M1870">
        <v>16.130194753449601</v>
      </c>
      <c r="N1870">
        <v>45.121363871623402</v>
      </c>
      <c r="O1870">
        <v>43.886728797853401</v>
      </c>
      <c r="P1870">
        <v>-8.3466253299137594E-2</v>
      </c>
      <c r="Q1870">
        <v>9.1695375861698195E-2</v>
      </c>
      <c r="R1870">
        <v>0.96543624918998605</v>
      </c>
      <c r="S1870" t="s">
        <v>8155</v>
      </c>
      <c r="T1870" t="s">
        <v>12568</v>
      </c>
      <c r="U1870" t="s">
        <v>12568</v>
      </c>
      <c r="V1870" t="s">
        <v>12568</v>
      </c>
      <c r="W1870" t="s">
        <v>14404</v>
      </c>
      <c r="X1870">
        <v>2</v>
      </c>
      <c r="Y1870" t="s">
        <v>20595</v>
      </c>
      <c r="Z1870" t="s">
        <v>26740</v>
      </c>
      <c r="AA1870">
        <v>0.25592055199807212</v>
      </c>
      <c r="AB1870" t="str">
        <f>HYPERLINK("Melting_Curves/meltCurve_P23743_DGKA.pdf", "Melting_Curves/meltCurve_P23743_DGKA.pdf")</f>
        <v>Melting_Curves/meltCurve_P23743_DGKA.pdf</v>
      </c>
    </row>
    <row r="1871" spans="1:28" x14ac:dyDescent="0.25">
      <c r="A1871" t="s">
        <v>1875</v>
      </c>
      <c r="B1871">
        <v>0.99352677808782597</v>
      </c>
      <c r="C1871">
        <v>0.90518525593342203</v>
      </c>
      <c r="D1871">
        <v>0.82081938290357404</v>
      </c>
      <c r="E1871">
        <v>0.249794956214414</v>
      </c>
      <c r="F1871">
        <v>0.17416979940639399</v>
      </c>
      <c r="G1871">
        <v>0.10409258882016199</v>
      </c>
      <c r="H1871">
        <v>6.7323783695610401E-2</v>
      </c>
      <c r="I1871">
        <v>6.6611748626379599E-2</v>
      </c>
      <c r="J1871">
        <v>5.2228105547857298E-2</v>
      </c>
      <c r="K1871">
        <v>4.2727575115941697E-2</v>
      </c>
      <c r="L1871">
        <v>1368.2190376071501</v>
      </c>
      <c r="M1871">
        <v>28.532568296297899</v>
      </c>
      <c r="N1871">
        <v>48.200357045628799</v>
      </c>
      <c r="O1871">
        <v>47.719165106672797</v>
      </c>
      <c r="P1871">
        <v>-0.139298543795636</v>
      </c>
      <c r="Q1871">
        <v>6.8130055639614995E-2</v>
      </c>
      <c r="R1871">
        <v>0.99227006123589501</v>
      </c>
      <c r="S1871" t="s">
        <v>8156</v>
      </c>
      <c r="T1871" t="s">
        <v>12568</v>
      </c>
      <c r="U1871" t="s">
        <v>12568</v>
      </c>
      <c r="V1871" t="s">
        <v>12568</v>
      </c>
      <c r="W1871" t="s">
        <v>14405</v>
      </c>
      <c r="X1871">
        <v>17</v>
      </c>
      <c r="Y1871" t="s">
        <v>20596</v>
      </c>
      <c r="Z1871" t="s">
        <v>26741</v>
      </c>
      <c r="AA1871">
        <v>0.3213932929054823</v>
      </c>
      <c r="AB1871" t="str">
        <f>HYPERLINK("Melting_Curves/meltCurve_P23919_DTYMK.pdf", "Melting_Curves/meltCurve_P23919_DTYMK.pdf")</f>
        <v>Melting_Curves/meltCurve_P23919_DTYMK.pdf</v>
      </c>
    </row>
    <row r="1872" spans="1:28" x14ac:dyDescent="0.25">
      <c r="A1872" t="s">
        <v>1876</v>
      </c>
      <c r="B1872">
        <v>0.99352677808782597</v>
      </c>
      <c r="C1872">
        <v>1.13402113773888</v>
      </c>
      <c r="D1872">
        <v>0.55305583661254099</v>
      </c>
      <c r="E1872">
        <v>0.308284172663773</v>
      </c>
      <c r="F1872">
        <v>0.23022337993825501</v>
      </c>
      <c r="G1872">
        <v>0.132097748586677</v>
      </c>
      <c r="H1872">
        <v>8.57382036576331E-2</v>
      </c>
      <c r="I1872">
        <v>7.3532776624227705E-2</v>
      </c>
      <c r="J1872">
        <v>6.7128244302052498E-2</v>
      </c>
      <c r="K1872">
        <v>4.5113809501326797E-2</v>
      </c>
      <c r="L1872">
        <v>1167.97912246293</v>
      </c>
      <c r="M1872">
        <v>24.826741160150799</v>
      </c>
      <c r="N1872">
        <v>47.447577777859102</v>
      </c>
      <c r="O1872">
        <v>46.743179747540999</v>
      </c>
      <c r="P1872">
        <v>-0.120179815239876</v>
      </c>
      <c r="Q1872">
        <v>9.4926451127133896E-2</v>
      </c>
      <c r="R1872">
        <v>0.95081934722574801</v>
      </c>
      <c r="S1872" t="s">
        <v>8157</v>
      </c>
      <c r="T1872" t="s">
        <v>12568</v>
      </c>
      <c r="U1872" t="s">
        <v>12568</v>
      </c>
      <c r="V1872" t="s">
        <v>12568</v>
      </c>
      <c r="W1872" t="s">
        <v>14406</v>
      </c>
      <c r="X1872">
        <v>23</v>
      </c>
      <c r="Y1872" t="s">
        <v>20597</v>
      </c>
      <c r="Z1872" t="s">
        <v>26742</v>
      </c>
      <c r="AA1872">
        <v>0.31567247674631049</v>
      </c>
      <c r="AB1872" t="str">
        <f>HYPERLINK("Melting_Curves/meltCurve_P23921_RRM1.pdf", "Melting_Curves/meltCurve_P23921_RRM1.pdf")</f>
        <v>Melting_Curves/meltCurve_P23921_RRM1.pdf</v>
      </c>
    </row>
    <row r="1873" spans="1:28" x14ac:dyDescent="0.25">
      <c r="A1873" t="s">
        <v>1877</v>
      </c>
      <c r="B1873">
        <v>0.99352677808782597</v>
      </c>
      <c r="C1873">
        <v>1.0262310764300799</v>
      </c>
      <c r="D1873">
        <v>0.93151988366234595</v>
      </c>
      <c r="E1873">
        <v>0.86223349604189803</v>
      </c>
      <c r="F1873">
        <v>0.70490069652350396</v>
      </c>
      <c r="G1873">
        <v>0.68029419557770998</v>
      </c>
      <c r="H1873">
        <v>0.86148717745682901</v>
      </c>
      <c r="I1873">
        <v>1.0692954140051001</v>
      </c>
      <c r="J1873">
        <v>1.38127512362315</v>
      </c>
      <c r="K1873">
        <v>1.0624478780258999</v>
      </c>
      <c r="L1873">
        <v>11116.6986808242</v>
      </c>
      <c r="M1873">
        <v>250</v>
      </c>
      <c r="O1873">
        <v>44.463936004069801</v>
      </c>
      <c r="P1873">
        <v>-7.8461021886946106E-2</v>
      </c>
      <c r="Q1873">
        <v>0.94418100979846198</v>
      </c>
      <c r="R1873">
        <v>1.8197077874047701E-2</v>
      </c>
      <c r="S1873" t="s">
        <v>8158</v>
      </c>
      <c r="T1873" t="s">
        <v>12568</v>
      </c>
      <c r="U1873" t="s">
        <v>12568</v>
      </c>
      <c r="V1873" t="s">
        <v>12568</v>
      </c>
      <c r="W1873" t="s">
        <v>14407</v>
      </c>
      <c r="X1873">
        <v>12</v>
      </c>
      <c r="Y1873" t="s">
        <v>20598</v>
      </c>
      <c r="Z1873" t="s">
        <v>26743</v>
      </c>
      <c r="AA1873">
        <v>0.95249643152695285</v>
      </c>
      <c r="AB1873" t="str">
        <f>HYPERLINK("Melting_Curves/meltCurve_P24534_EEF1B2.pdf", "Melting_Curves/meltCurve_P24534_EEF1B2.pdf")</f>
        <v>Melting_Curves/meltCurve_P24534_EEF1B2.pdf</v>
      </c>
    </row>
    <row r="1874" spans="1:28" x14ac:dyDescent="0.25">
      <c r="A1874" t="s">
        <v>1878</v>
      </c>
      <c r="B1874">
        <v>0.99352677808782597</v>
      </c>
      <c r="C1874">
        <v>1.04827619067524</v>
      </c>
      <c r="D1874">
        <v>0.95854705839062304</v>
      </c>
      <c r="E1874">
        <v>0.71738939789363898</v>
      </c>
      <c r="F1874">
        <v>0.88557939005894004</v>
      </c>
      <c r="G1874">
        <v>0.56325939654190604</v>
      </c>
      <c r="H1874">
        <v>0.738712917699617</v>
      </c>
      <c r="I1874">
        <v>0.86720675854534601</v>
      </c>
      <c r="J1874">
        <v>0.98777832850158898</v>
      </c>
      <c r="K1874">
        <v>0.70878636576079401</v>
      </c>
      <c r="L1874">
        <v>11566.8517028529</v>
      </c>
      <c r="M1874">
        <v>250</v>
      </c>
      <c r="O1874">
        <v>46.264434448245503</v>
      </c>
      <c r="P1874">
        <v>-0.29552303162405802</v>
      </c>
      <c r="Q1874">
        <v>0.78124465060941295</v>
      </c>
      <c r="R1874">
        <v>0.45621624452090098</v>
      </c>
      <c r="S1874" t="s">
        <v>8159</v>
      </c>
      <c r="T1874" t="s">
        <v>12568</v>
      </c>
      <c r="U1874" t="s">
        <v>12568</v>
      </c>
      <c r="V1874" t="s">
        <v>12568</v>
      </c>
      <c r="W1874" t="s">
        <v>14408</v>
      </c>
      <c r="X1874">
        <v>1</v>
      </c>
      <c r="Y1874" t="s">
        <v>20599</v>
      </c>
      <c r="Z1874" t="s">
        <v>26744</v>
      </c>
      <c r="AA1874">
        <v>0.82696337212634741</v>
      </c>
      <c r="AB1874" t="str">
        <f>HYPERLINK("Melting_Curves/meltCurve_P24588_AKAP5.pdf", "Melting_Curves/meltCurve_P24588_AKAP5.pdf")</f>
        <v>Melting_Curves/meltCurve_P24588_AKAP5.pdf</v>
      </c>
    </row>
    <row r="1875" spans="1:28" x14ac:dyDescent="0.25">
      <c r="A1875" t="s">
        <v>1879</v>
      </c>
      <c r="B1875">
        <v>0.99352677808782597</v>
      </c>
      <c r="C1875">
        <v>0.77867116589809804</v>
      </c>
      <c r="D1875">
        <v>0.869330189061297</v>
      </c>
      <c r="E1875">
        <v>0.27390994507528099</v>
      </c>
      <c r="F1875">
        <v>0.206742183503447</v>
      </c>
      <c r="G1875">
        <v>0.109625719056115</v>
      </c>
      <c r="H1875">
        <v>6.9176534655872493E-2</v>
      </c>
      <c r="I1875">
        <v>7.1374337493605805E-2</v>
      </c>
      <c r="J1875">
        <v>6.5052815771131201E-2</v>
      </c>
      <c r="K1875">
        <v>5.8322390891725598E-2</v>
      </c>
      <c r="L1875">
        <v>1114.7252867155701</v>
      </c>
      <c r="M1875">
        <v>23.148534484085499</v>
      </c>
      <c r="N1875">
        <v>48.458825989182898</v>
      </c>
      <c r="O1875">
        <v>47.800273623740701</v>
      </c>
      <c r="P1875">
        <v>-0.112901737313675</v>
      </c>
      <c r="Q1875">
        <v>6.7476984250961894E-2</v>
      </c>
      <c r="R1875">
        <v>0.96317719278712599</v>
      </c>
      <c r="S1875" t="s">
        <v>8160</v>
      </c>
      <c r="T1875" t="s">
        <v>12568</v>
      </c>
      <c r="U1875" t="s">
        <v>12568</v>
      </c>
      <c r="V1875" t="s">
        <v>12568</v>
      </c>
      <c r="W1875" t="s">
        <v>14409</v>
      </c>
      <c r="X1875">
        <v>12</v>
      </c>
      <c r="Y1875" t="s">
        <v>20600</v>
      </c>
      <c r="Z1875" t="s">
        <v>26745</v>
      </c>
      <c r="AA1875">
        <v>0.33067560140075952</v>
      </c>
      <c r="AB1875" t="str">
        <f>HYPERLINK("Melting_Curves/meltCurve_P24666_ACP1.pdf", "Melting_Curves/meltCurve_P24666_ACP1.pdf")</f>
        <v>Melting_Curves/meltCurve_P24666_ACP1.pdf</v>
      </c>
    </row>
    <row r="1876" spans="1:28" x14ac:dyDescent="0.25">
      <c r="A1876" t="s">
        <v>1880</v>
      </c>
      <c r="B1876">
        <v>0.99352677808782597</v>
      </c>
      <c r="C1876">
        <v>1.02321283047546</v>
      </c>
      <c r="D1876">
        <v>0.99974005246915898</v>
      </c>
      <c r="E1876">
        <v>0.78962820615881202</v>
      </c>
      <c r="F1876">
        <v>0.67345105001407402</v>
      </c>
      <c r="G1876">
        <v>0.36880244708278398</v>
      </c>
      <c r="H1876">
        <v>0.308445081921221</v>
      </c>
      <c r="I1876">
        <v>0.28065183349020201</v>
      </c>
      <c r="J1876">
        <v>0.31891259412101403</v>
      </c>
      <c r="K1876">
        <v>0.140254938567724</v>
      </c>
      <c r="L1876">
        <v>992.26602299721401</v>
      </c>
      <c r="M1876">
        <v>18.585895035367599</v>
      </c>
      <c r="N1876">
        <v>55.151297994035602</v>
      </c>
      <c r="O1876">
        <v>52.781581198394001</v>
      </c>
      <c r="P1876">
        <v>-6.8316363908522498E-2</v>
      </c>
      <c r="Q1876">
        <v>0.22399456037583901</v>
      </c>
      <c r="R1876">
        <v>0.97937372749636298</v>
      </c>
      <c r="S1876" t="s">
        <v>8161</v>
      </c>
      <c r="T1876" t="s">
        <v>12568</v>
      </c>
      <c r="U1876" t="s">
        <v>12568</v>
      </c>
      <c r="V1876" t="s">
        <v>12568</v>
      </c>
      <c r="W1876" t="s">
        <v>14410</v>
      </c>
      <c r="X1876">
        <v>8</v>
      </c>
      <c r="Y1876" t="s">
        <v>20600</v>
      </c>
      <c r="Z1876" t="s">
        <v>26746</v>
      </c>
      <c r="AA1876">
        <v>0.58228820265343717</v>
      </c>
      <c r="AB1876" t="str">
        <f>HYPERLINK("Melting_Curves/meltCurve_P24666_2_ACP1.pdf", "Melting_Curves/meltCurve_P24666_2_ACP1.pdf")</f>
        <v>Melting_Curves/meltCurve_P24666_2_ACP1.pdf</v>
      </c>
    </row>
    <row r="1877" spans="1:28" x14ac:dyDescent="0.25">
      <c r="A1877" t="s">
        <v>1881</v>
      </c>
      <c r="B1877">
        <v>0.99352677808782597</v>
      </c>
      <c r="C1877">
        <v>0.93796117662654099</v>
      </c>
      <c r="D1877">
        <v>0.68821565038495203</v>
      </c>
      <c r="E1877">
        <v>0.27149614637647701</v>
      </c>
      <c r="F1877">
        <v>0.20128237846810601</v>
      </c>
      <c r="G1877">
        <v>0.118500429340893</v>
      </c>
      <c r="H1877">
        <v>8.4875951976981903E-2</v>
      </c>
      <c r="I1877">
        <v>7.2029861356176103E-2</v>
      </c>
      <c r="J1877">
        <v>6.56814096490098E-2</v>
      </c>
      <c r="K1877">
        <v>5.3488605181150103E-2</v>
      </c>
      <c r="L1877">
        <v>1051.6913065962899</v>
      </c>
      <c r="M1877">
        <v>22.177113159859999</v>
      </c>
      <c r="N1877">
        <v>47.777945212957597</v>
      </c>
      <c r="O1877">
        <v>47.041821448938499</v>
      </c>
      <c r="P1877">
        <v>-0.10889492789125101</v>
      </c>
      <c r="Q1877">
        <v>7.6073371183978097E-2</v>
      </c>
      <c r="R1877">
        <v>0.99662814677058997</v>
      </c>
      <c r="S1877" t="s">
        <v>8162</v>
      </c>
      <c r="T1877" t="s">
        <v>12568</v>
      </c>
      <c r="U1877" t="s">
        <v>12568</v>
      </c>
      <c r="V1877" t="s">
        <v>12568</v>
      </c>
      <c r="W1877" t="s">
        <v>14411</v>
      </c>
      <c r="X1877">
        <v>17</v>
      </c>
      <c r="Y1877" t="s">
        <v>20601</v>
      </c>
      <c r="Z1877" t="s">
        <v>26747</v>
      </c>
      <c r="AA1877">
        <v>0.3153031084613423</v>
      </c>
      <c r="AB1877" t="str">
        <f>HYPERLINK("Melting_Curves/meltCurve_P24752_ACAT1.pdf", "Melting_Curves/meltCurve_P24752_ACAT1.pdf")</f>
        <v>Melting_Curves/meltCurve_P24752_ACAT1.pdf</v>
      </c>
    </row>
    <row r="1878" spans="1:28" x14ac:dyDescent="0.25">
      <c r="A1878" t="s">
        <v>1882</v>
      </c>
      <c r="B1878">
        <v>0.99352677808782597</v>
      </c>
      <c r="C1878">
        <v>1.0828755012153299</v>
      </c>
      <c r="D1878">
        <v>0.928039416647926</v>
      </c>
      <c r="E1878">
        <v>0.73700080407539204</v>
      </c>
      <c r="F1878">
        <v>0.81201252176233396</v>
      </c>
      <c r="G1878">
        <v>0.509075616279413</v>
      </c>
      <c r="H1878">
        <v>0.36352852923118201</v>
      </c>
      <c r="I1878">
        <v>0.37926625415390802</v>
      </c>
      <c r="J1878">
        <v>0.311110098724864</v>
      </c>
      <c r="K1878">
        <v>0.23833783522834801</v>
      </c>
      <c r="L1878">
        <v>681.06484445335798</v>
      </c>
      <c r="M1878">
        <v>12.2799523068654</v>
      </c>
      <c r="N1878">
        <v>57.980119671770602</v>
      </c>
      <c r="O1878">
        <v>54.0522643059873</v>
      </c>
      <c r="P1878">
        <v>-4.5066377843157E-2</v>
      </c>
      <c r="Q1878">
        <v>0.20670607910026401</v>
      </c>
      <c r="R1878">
        <v>0.95912994569793297</v>
      </c>
      <c r="S1878" t="s">
        <v>8163</v>
      </c>
      <c r="T1878" t="s">
        <v>12568</v>
      </c>
      <c r="U1878" t="s">
        <v>12568</v>
      </c>
      <c r="V1878" t="s">
        <v>12568</v>
      </c>
      <c r="W1878" t="s">
        <v>14412</v>
      </c>
      <c r="X1878">
        <v>9</v>
      </c>
      <c r="Y1878" t="s">
        <v>20602</v>
      </c>
      <c r="Z1878" t="s">
        <v>26748</v>
      </c>
      <c r="AA1878">
        <v>0.63284754515073738</v>
      </c>
      <c r="AB1878" t="str">
        <f>HYPERLINK("Melting_Curves/meltCurve_P24844_MYL9.pdf", "Melting_Curves/meltCurve_P24844_MYL9.pdf")</f>
        <v>Melting_Curves/meltCurve_P24844_MYL9.pdf</v>
      </c>
    </row>
    <row r="1879" spans="1:28" x14ac:dyDescent="0.25">
      <c r="A1879" t="s">
        <v>1883</v>
      </c>
      <c r="B1879">
        <v>0.99352677808782597</v>
      </c>
      <c r="C1879">
        <v>0.84751029643945097</v>
      </c>
      <c r="D1879">
        <v>0.89113581335695102</v>
      </c>
      <c r="E1879">
        <v>0.56220818222302704</v>
      </c>
      <c r="F1879">
        <v>0.489610745674184</v>
      </c>
      <c r="G1879">
        <v>0.34115806481635103</v>
      </c>
      <c r="H1879">
        <v>0.25434956602194903</v>
      </c>
      <c r="I1879">
        <v>0.232049014319131</v>
      </c>
      <c r="J1879">
        <v>0.19955956055923799</v>
      </c>
      <c r="K1879">
        <v>0.185602964371957</v>
      </c>
      <c r="L1879">
        <v>621.43190313968603</v>
      </c>
      <c r="M1879">
        <v>12.2636449773092</v>
      </c>
      <c r="N1879">
        <v>52.363581256561801</v>
      </c>
      <c r="O1879">
        <v>49.3818357953324</v>
      </c>
      <c r="P1879">
        <v>-5.19463253922288E-2</v>
      </c>
      <c r="Q1879">
        <v>0.16349942896716299</v>
      </c>
      <c r="R1879">
        <v>0.98264187645082202</v>
      </c>
      <c r="S1879" t="s">
        <v>8164</v>
      </c>
      <c r="T1879" t="s">
        <v>12568</v>
      </c>
      <c r="U1879" t="s">
        <v>12568</v>
      </c>
      <c r="V1879" t="s">
        <v>12568</v>
      </c>
      <c r="W1879" t="s">
        <v>14413</v>
      </c>
      <c r="X1879">
        <v>24</v>
      </c>
      <c r="Y1879" t="s">
        <v>20603</v>
      </c>
      <c r="Z1879" t="s">
        <v>26749</v>
      </c>
      <c r="AA1879">
        <v>0.48803129086133562</v>
      </c>
      <c r="AB1879" t="str">
        <f>HYPERLINK("Melting_Curves/meltCurve_P24928_POLR2A.pdf", "Melting_Curves/meltCurve_P24928_POLR2A.pdf")</f>
        <v>Melting_Curves/meltCurve_P24928_POLR2A.pdf</v>
      </c>
    </row>
    <row r="1880" spans="1:28" x14ac:dyDescent="0.25">
      <c r="A1880" t="s">
        <v>1884</v>
      </c>
      <c r="B1880">
        <v>0.99352677808782597</v>
      </c>
      <c r="C1880">
        <v>0.97327466767571602</v>
      </c>
      <c r="D1880">
        <v>0.98430146883381797</v>
      </c>
      <c r="E1880">
        <v>0.52663600334764404</v>
      </c>
      <c r="F1880">
        <v>0.42565939562900801</v>
      </c>
      <c r="G1880">
        <v>0.21240652727575099</v>
      </c>
      <c r="H1880">
        <v>0.16220803245370199</v>
      </c>
      <c r="I1880">
        <v>0.114435882849049</v>
      </c>
      <c r="J1880">
        <v>9.5245497259381404E-2</v>
      </c>
      <c r="K1880">
        <v>6.4080955534782894E-2</v>
      </c>
      <c r="L1880">
        <v>963.18411006620204</v>
      </c>
      <c r="M1880">
        <v>18.954707911425</v>
      </c>
      <c r="N1880">
        <v>51.391926221754801</v>
      </c>
      <c r="O1880">
        <v>50.2595948955898</v>
      </c>
      <c r="P1880">
        <v>-8.5252235794006301E-2</v>
      </c>
      <c r="Q1880">
        <v>9.5830267997217194E-2</v>
      </c>
      <c r="R1880">
        <v>0.98443221838919803</v>
      </c>
      <c r="S1880" t="s">
        <v>8165</v>
      </c>
      <c r="T1880" t="s">
        <v>12568</v>
      </c>
      <c r="U1880" t="s">
        <v>12568</v>
      </c>
      <c r="V1880" t="s">
        <v>12568</v>
      </c>
      <c r="W1880" t="s">
        <v>14414</v>
      </c>
      <c r="X1880">
        <v>12</v>
      </c>
      <c r="Y1880" t="s">
        <v>20604</v>
      </c>
      <c r="Z1880" t="s">
        <v>26750</v>
      </c>
      <c r="AA1880">
        <v>0.43566812286918799</v>
      </c>
      <c r="AB1880" t="str">
        <f>HYPERLINK("Melting_Curves/meltCurve_P24941_CDK2.pdf", "Melting_Curves/meltCurve_P24941_CDK2.pdf")</f>
        <v>Melting_Curves/meltCurve_P24941_CDK2.pdf</v>
      </c>
    </row>
    <row r="1881" spans="1:28" x14ac:dyDescent="0.25">
      <c r="A1881" t="s">
        <v>1885</v>
      </c>
      <c r="B1881">
        <v>0.99352677808782597</v>
      </c>
      <c r="C1881">
        <v>0.95801050684422595</v>
      </c>
      <c r="D1881">
        <v>0.93686957186476605</v>
      </c>
      <c r="E1881">
        <v>0.879649472582412</v>
      </c>
      <c r="F1881">
        <v>0.83732654015951402</v>
      </c>
      <c r="G1881">
        <v>0.76017042705027205</v>
      </c>
      <c r="H1881">
        <v>0.72016173739810696</v>
      </c>
      <c r="I1881">
        <v>0.81654666712815205</v>
      </c>
      <c r="J1881">
        <v>0.83408837111165501</v>
      </c>
      <c r="K1881">
        <v>0.68623012457332</v>
      </c>
      <c r="L1881">
        <v>671.52740301149095</v>
      </c>
      <c r="M1881">
        <v>13.525263471596199</v>
      </c>
      <c r="O1881">
        <v>48.6021895202325</v>
      </c>
      <c r="P1881">
        <v>-1.7329425214664101E-2</v>
      </c>
      <c r="Q1881">
        <v>0.75094887507447505</v>
      </c>
      <c r="R1881">
        <v>0.81551260228514999</v>
      </c>
      <c r="S1881" t="s">
        <v>8166</v>
      </c>
      <c r="T1881" t="s">
        <v>12568</v>
      </c>
      <c r="U1881" t="s">
        <v>12568</v>
      </c>
      <c r="V1881" t="s">
        <v>12568</v>
      </c>
      <c r="W1881" t="s">
        <v>14415</v>
      </c>
      <c r="X1881">
        <v>31</v>
      </c>
      <c r="Y1881" t="s">
        <v>20605</v>
      </c>
      <c r="Z1881" t="s">
        <v>26751</v>
      </c>
      <c r="AA1881">
        <v>0.83827215792995546</v>
      </c>
      <c r="AB1881" t="str">
        <f>HYPERLINK("Melting_Curves/meltCurve_P25054_2_APC.pdf", "Melting_Curves/meltCurve_P25054_2_APC.pdf")</f>
        <v>Melting_Curves/meltCurve_P25054_2_APC.pdf</v>
      </c>
    </row>
    <row r="1882" spans="1:28" x14ac:dyDescent="0.25">
      <c r="A1882" t="s">
        <v>1886</v>
      </c>
      <c r="B1882">
        <v>0.99352677808782597</v>
      </c>
      <c r="C1882">
        <v>0.93725921470846196</v>
      </c>
      <c r="D1882">
        <v>0.83907455273685205</v>
      </c>
      <c r="E1882">
        <v>0.26325547061187898</v>
      </c>
      <c r="F1882">
        <v>0.21812955561890701</v>
      </c>
      <c r="G1882">
        <v>0.13920515671483999</v>
      </c>
      <c r="H1882">
        <v>0.101389764126378</v>
      </c>
      <c r="I1882">
        <v>9.3464792897373999E-2</v>
      </c>
      <c r="J1882">
        <v>7.3526678943127297E-2</v>
      </c>
      <c r="K1882">
        <v>5.8896325268729101E-2</v>
      </c>
      <c r="L1882">
        <v>1462.0065920168599</v>
      </c>
      <c r="M1882">
        <v>30.4547338692628</v>
      </c>
      <c r="N1882">
        <v>48.357015668669</v>
      </c>
      <c r="O1882">
        <v>47.800352915086798</v>
      </c>
      <c r="P1882">
        <v>-0.143481854288807</v>
      </c>
      <c r="Q1882">
        <v>9.9195819267479404E-2</v>
      </c>
      <c r="R1882">
        <v>0.99075091880146104</v>
      </c>
      <c r="S1882" t="s">
        <v>8167</v>
      </c>
      <c r="T1882" t="s">
        <v>12568</v>
      </c>
      <c r="U1882" t="s">
        <v>12568</v>
      </c>
      <c r="V1882" t="s">
        <v>12568</v>
      </c>
      <c r="W1882" t="s">
        <v>14416</v>
      </c>
      <c r="X1882">
        <v>8</v>
      </c>
      <c r="Y1882" t="s">
        <v>20606</v>
      </c>
      <c r="Z1882" t="s">
        <v>26752</v>
      </c>
      <c r="AA1882">
        <v>0.34484136702708762</v>
      </c>
      <c r="AB1882" t="str">
        <f>HYPERLINK("Melting_Curves/meltCurve_P25098_ADRBK1.pdf", "Melting_Curves/meltCurve_P25098_ADRBK1.pdf")</f>
        <v>Melting_Curves/meltCurve_P25098_ADRBK1.pdf</v>
      </c>
    </row>
    <row r="1883" spans="1:28" x14ac:dyDescent="0.25">
      <c r="A1883" t="s">
        <v>1887</v>
      </c>
      <c r="B1883">
        <v>0.99352677808782597</v>
      </c>
      <c r="C1883">
        <v>0.94892686745557697</v>
      </c>
      <c r="D1883">
        <v>0.85742912770441104</v>
      </c>
      <c r="E1883">
        <v>0.67695775522147805</v>
      </c>
      <c r="F1883">
        <v>0.52792103625348896</v>
      </c>
      <c r="G1883">
        <v>0.28671969740334302</v>
      </c>
      <c r="H1883">
        <v>0.160487814624831</v>
      </c>
      <c r="I1883">
        <v>0.13820890089632101</v>
      </c>
      <c r="J1883">
        <v>0.12164095093029501</v>
      </c>
      <c r="K1883">
        <v>9.2754598816991496E-2</v>
      </c>
      <c r="L1883">
        <v>697.34141270042699</v>
      </c>
      <c r="M1883">
        <v>13.2823676182415</v>
      </c>
      <c r="N1883">
        <v>52.978923803319198</v>
      </c>
      <c r="O1883">
        <v>51.354035023862203</v>
      </c>
      <c r="P1883">
        <v>-6.1022006104357297E-2</v>
      </c>
      <c r="Q1883">
        <v>5.6428083011021597E-2</v>
      </c>
      <c r="R1883">
        <v>0.99810335219796398</v>
      </c>
      <c r="S1883" t="s">
        <v>8168</v>
      </c>
      <c r="T1883" t="s">
        <v>12568</v>
      </c>
      <c r="U1883" t="s">
        <v>12568</v>
      </c>
      <c r="V1883" t="s">
        <v>12568</v>
      </c>
      <c r="W1883" t="s">
        <v>14417</v>
      </c>
      <c r="X1883">
        <v>38</v>
      </c>
      <c r="Y1883" t="s">
        <v>20607</v>
      </c>
      <c r="Z1883" t="s">
        <v>26753</v>
      </c>
      <c r="AA1883">
        <v>0.47415771963287029</v>
      </c>
      <c r="AB1883" t="str">
        <f>HYPERLINK("Melting_Curves/meltCurve_P25205_MCM3.pdf", "Melting_Curves/meltCurve_P25205_MCM3.pdf")</f>
        <v>Melting_Curves/meltCurve_P25205_MCM3.pdf</v>
      </c>
    </row>
    <row r="1884" spans="1:28" x14ac:dyDescent="0.25">
      <c r="A1884" t="s">
        <v>1888</v>
      </c>
      <c r="B1884">
        <v>0.99352677808782597</v>
      </c>
      <c r="C1884">
        <v>0.86775363585523602</v>
      </c>
      <c r="D1884">
        <v>1.0064998264070799</v>
      </c>
      <c r="E1884">
        <v>0.686201992852987</v>
      </c>
      <c r="F1884">
        <v>0.55614257796826105</v>
      </c>
      <c r="G1884">
        <v>0.452492233257688</v>
      </c>
      <c r="H1884">
        <v>0.33741285994771197</v>
      </c>
      <c r="I1884">
        <v>0.34562720053946</v>
      </c>
      <c r="J1884">
        <v>0.39146355000643002</v>
      </c>
      <c r="K1884">
        <v>0.32177774080470301</v>
      </c>
      <c r="L1884">
        <v>951.09462453621097</v>
      </c>
      <c r="M1884">
        <v>18.701417736395701</v>
      </c>
      <c r="N1884">
        <v>54.195244840597503</v>
      </c>
      <c r="O1884">
        <v>50.286037242327303</v>
      </c>
      <c r="P1884">
        <v>-6.1180391055428003E-2</v>
      </c>
      <c r="Q1884">
        <v>0.34199900428155799</v>
      </c>
      <c r="R1884">
        <v>0.96134586688323798</v>
      </c>
      <c r="S1884" t="s">
        <v>8169</v>
      </c>
      <c r="T1884" t="s">
        <v>12568</v>
      </c>
      <c r="U1884" t="s">
        <v>12568</v>
      </c>
      <c r="V1884" t="s">
        <v>12568</v>
      </c>
      <c r="W1884" t="s">
        <v>14418</v>
      </c>
      <c r="X1884">
        <v>9</v>
      </c>
      <c r="Y1884" t="s">
        <v>20608</v>
      </c>
      <c r="Z1884" t="s">
        <v>26754</v>
      </c>
      <c r="AA1884">
        <v>0.59048054770360492</v>
      </c>
      <c r="AB1884" t="str">
        <f>HYPERLINK("Melting_Curves/meltCurve_P25398_RPS12.pdf", "Melting_Curves/meltCurve_P25398_RPS12.pdf")</f>
        <v>Melting_Curves/meltCurve_P25398_RPS12.pdf</v>
      </c>
    </row>
    <row r="1885" spans="1:28" x14ac:dyDescent="0.25">
      <c r="A1885" t="s">
        <v>1889</v>
      </c>
      <c r="B1885">
        <v>0.99352677808782597</v>
      </c>
      <c r="C1885">
        <v>0.96753529718188203</v>
      </c>
      <c r="D1885">
        <v>0.97210824635897797</v>
      </c>
      <c r="E1885">
        <v>0.73196832388907695</v>
      </c>
      <c r="F1885">
        <v>0.59122092646533497</v>
      </c>
      <c r="G1885">
        <v>0.52231014409747201</v>
      </c>
      <c r="H1885">
        <v>0.361770837634729</v>
      </c>
      <c r="I1885">
        <v>0.35051851375776</v>
      </c>
      <c r="J1885">
        <v>0.36481837699639202</v>
      </c>
      <c r="K1885">
        <v>0.32997335227566399</v>
      </c>
      <c r="L1885">
        <v>809.27579876826599</v>
      </c>
      <c r="M1885">
        <v>15.5832966362445</v>
      </c>
      <c r="N1885">
        <v>55.765276431150099</v>
      </c>
      <c r="O1885">
        <v>51.099607173837398</v>
      </c>
      <c r="P1885">
        <v>-5.1185260241981403E-2</v>
      </c>
      <c r="Q1885">
        <v>0.32868655780542</v>
      </c>
      <c r="R1885">
        <v>0.98726821675646304</v>
      </c>
      <c r="S1885" t="s">
        <v>8170</v>
      </c>
      <c r="T1885" t="s">
        <v>12568</v>
      </c>
      <c r="U1885" t="s">
        <v>12568</v>
      </c>
      <c r="V1885" t="s">
        <v>12568</v>
      </c>
      <c r="W1885" t="s">
        <v>14419</v>
      </c>
      <c r="X1885">
        <v>1</v>
      </c>
      <c r="Y1885" t="s">
        <v>20609</v>
      </c>
      <c r="Z1885" t="s">
        <v>26755</v>
      </c>
      <c r="AA1885">
        <v>0.60987239540776805</v>
      </c>
      <c r="AB1885" t="str">
        <f>HYPERLINK("Melting_Curves/meltCurve_P25440_BRD2.pdf", "Melting_Curves/meltCurve_P25440_BRD2.pdf")</f>
        <v>Melting_Curves/meltCurve_P25440_BRD2.pdf</v>
      </c>
    </row>
    <row r="1886" spans="1:28" x14ac:dyDescent="0.25">
      <c r="A1886" t="s">
        <v>1890</v>
      </c>
      <c r="B1886">
        <v>0.99352677808782597</v>
      </c>
      <c r="C1886">
        <v>0.96613385528861795</v>
      </c>
      <c r="D1886">
        <v>0.98358274557995296</v>
      </c>
      <c r="E1886">
        <v>0.89296750084359999</v>
      </c>
      <c r="F1886">
        <v>0.72153011808132905</v>
      </c>
      <c r="G1886">
        <v>0.65361536718426405</v>
      </c>
      <c r="H1886">
        <v>0.49230286556772701</v>
      </c>
      <c r="I1886">
        <v>0.494616225130661</v>
      </c>
      <c r="J1886">
        <v>0.57857744947294498</v>
      </c>
      <c r="K1886">
        <v>0.49173138200663102</v>
      </c>
      <c r="L1886">
        <v>1022.42996912499</v>
      </c>
      <c r="M1886">
        <v>19.315958462405298</v>
      </c>
      <c r="O1886">
        <v>52.3743533240688</v>
      </c>
      <c r="P1886">
        <v>-4.5568552962736E-2</v>
      </c>
      <c r="Q1886">
        <v>0.50579023514274601</v>
      </c>
      <c r="R1886">
        <v>0.97113931855654201</v>
      </c>
      <c r="S1886" t="s">
        <v>8171</v>
      </c>
      <c r="T1886" t="s">
        <v>12568</v>
      </c>
      <c r="U1886" t="s">
        <v>12568</v>
      </c>
      <c r="V1886" t="s">
        <v>12568</v>
      </c>
      <c r="W1886" t="s">
        <v>14420</v>
      </c>
      <c r="X1886">
        <v>8</v>
      </c>
      <c r="Y1886" t="s">
        <v>20610</v>
      </c>
      <c r="Z1886" t="s">
        <v>26756</v>
      </c>
      <c r="AA1886">
        <v>0.72604036398395755</v>
      </c>
      <c r="AB1886" t="str">
        <f>HYPERLINK("Melting_Curves/meltCurve_P25490_YY1.pdf", "Melting_Curves/meltCurve_P25490_YY1.pdf")</f>
        <v>Melting_Curves/meltCurve_P25490_YY1.pdf</v>
      </c>
    </row>
    <row r="1887" spans="1:28" x14ac:dyDescent="0.25">
      <c r="A1887" t="s">
        <v>1891</v>
      </c>
      <c r="B1887">
        <v>0.99352677808782597</v>
      </c>
      <c r="C1887">
        <v>0.86346216447789803</v>
      </c>
      <c r="D1887">
        <v>0.922912539184648</v>
      </c>
      <c r="E1887">
        <v>0.49484914602054503</v>
      </c>
      <c r="F1887">
        <v>0.40072384225468199</v>
      </c>
      <c r="G1887">
        <v>0.31002772423971903</v>
      </c>
      <c r="H1887">
        <v>0.26057570146498499</v>
      </c>
      <c r="I1887">
        <v>0.25606942379876202</v>
      </c>
      <c r="J1887">
        <v>0.26277908147366502</v>
      </c>
      <c r="K1887">
        <v>0.22891177683129099</v>
      </c>
      <c r="L1887">
        <v>1039.63606510878</v>
      </c>
      <c r="M1887">
        <v>21.235566197873101</v>
      </c>
      <c r="N1887">
        <v>50.634134855376402</v>
      </c>
      <c r="O1887">
        <v>48.529367109483097</v>
      </c>
      <c r="P1887">
        <v>-8.1773766481978996E-2</v>
      </c>
      <c r="Q1887">
        <v>0.25251320097691998</v>
      </c>
      <c r="R1887">
        <v>0.97626586373685698</v>
      </c>
      <c r="S1887" t="s">
        <v>8172</v>
      </c>
      <c r="T1887" t="s">
        <v>12568</v>
      </c>
      <c r="U1887" t="s">
        <v>12568</v>
      </c>
      <c r="V1887" t="s">
        <v>12568</v>
      </c>
      <c r="W1887" t="s">
        <v>14421</v>
      </c>
      <c r="X1887">
        <v>22</v>
      </c>
      <c r="Y1887" t="s">
        <v>20611</v>
      </c>
      <c r="Z1887" t="s">
        <v>26757</v>
      </c>
      <c r="AA1887">
        <v>0.48496240250678169</v>
      </c>
      <c r="AB1887" t="str">
        <f>HYPERLINK("Melting_Curves/meltCurve_P25685_DNAJB1.pdf", "Melting_Curves/meltCurve_P25685_DNAJB1.pdf")</f>
        <v>Melting_Curves/meltCurve_P25685_DNAJB1.pdf</v>
      </c>
    </row>
    <row r="1888" spans="1:28" x14ac:dyDescent="0.25">
      <c r="A1888" t="s">
        <v>1892</v>
      </c>
      <c r="B1888">
        <v>0.99352677808782597</v>
      </c>
      <c r="C1888">
        <v>0.98907360592980598</v>
      </c>
      <c r="D1888">
        <v>1.0056864818047799</v>
      </c>
      <c r="E1888">
        <v>0.87597456673868701</v>
      </c>
      <c r="F1888">
        <v>0.77798886923198496</v>
      </c>
      <c r="G1888">
        <v>0.66611016978063997</v>
      </c>
      <c r="H1888">
        <v>0.54192739280706403</v>
      </c>
      <c r="I1888">
        <v>0.55613486712149796</v>
      </c>
      <c r="J1888">
        <v>0.51596591918655399</v>
      </c>
      <c r="K1888">
        <v>0.47987403161972098</v>
      </c>
      <c r="L1888">
        <v>828.64891669839506</v>
      </c>
      <c r="M1888">
        <v>15.272851043515599</v>
      </c>
      <c r="N1888">
        <v>69.628366634998301</v>
      </c>
      <c r="O1888">
        <v>53.351678823147601</v>
      </c>
      <c r="P1888">
        <v>-3.70152542243877E-2</v>
      </c>
      <c r="Q1888">
        <v>0.482836552707125</v>
      </c>
      <c r="R1888">
        <v>0.99147734733066994</v>
      </c>
      <c r="S1888" t="s">
        <v>8173</v>
      </c>
      <c r="T1888" t="s">
        <v>12568</v>
      </c>
      <c r="U1888" t="s">
        <v>12568</v>
      </c>
      <c r="V1888" t="s">
        <v>12568</v>
      </c>
      <c r="W1888" t="s">
        <v>14422</v>
      </c>
      <c r="X1888">
        <v>6</v>
      </c>
      <c r="Y1888" t="s">
        <v>20612</v>
      </c>
      <c r="Z1888" t="s">
        <v>26758</v>
      </c>
      <c r="AA1888">
        <v>0.73883285766631035</v>
      </c>
      <c r="AB1888" t="str">
        <f>HYPERLINK("Melting_Curves/meltCurve_P25686_DNAJB2.pdf", "Melting_Curves/meltCurve_P25686_DNAJB2.pdf")</f>
        <v>Melting_Curves/meltCurve_P25686_DNAJB2.pdf</v>
      </c>
    </row>
    <row r="1889" spans="1:28" x14ac:dyDescent="0.25">
      <c r="A1889" t="s">
        <v>1893</v>
      </c>
      <c r="B1889">
        <v>0.99352677808782597</v>
      </c>
      <c r="C1889">
        <v>0.65814138661404298</v>
      </c>
      <c r="D1889">
        <v>0.56368877676904405</v>
      </c>
      <c r="E1889">
        <v>0.31705494472135198</v>
      </c>
      <c r="F1889">
        <v>0.26623619267914</v>
      </c>
      <c r="G1889">
        <v>0.160339506782504</v>
      </c>
      <c r="H1889">
        <v>0.101085284106697</v>
      </c>
      <c r="I1889">
        <v>8.3567595943530998E-2</v>
      </c>
      <c r="J1889">
        <v>6.6610990590706506E-2</v>
      </c>
      <c r="K1889">
        <v>5.4925568989013802E-2</v>
      </c>
      <c r="L1889">
        <v>564.18782140842302</v>
      </c>
      <c r="M1889">
        <v>12.148197439142301</v>
      </c>
      <c r="N1889">
        <v>46.884153736632499</v>
      </c>
      <c r="O1889">
        <v>45.237371835620699</v>
      </c>
      <c r="P1889">
        <v>-6.3517564332652404E-2</v>
      </c>
      <c r="Q1889">
        <v>5.4112094914521597E-2</v>
      </c>
      <c r="R1889">
        <v>0.974741758869894</v>
      </c>
      <c r="S1889" t="s">
        <v>8174</v>
      </c>
      <c r="T1889" t="s">
        <v>12568</v>
      </c>
      <c r="U1889" t="s">
        <v>12568</v>
      </c>
      <c r="V1889" t="s">
        <v>12568</v>
      </c>
      <c r="W1889" t="s">
        <v>14423</v>
      </c>
      <c r="X1889">
        <v>14</v>
      </c>
      <c r="Y1889" t="s">
        <v>20613</v>
      </c>
      <c r="Z1889" t="s">
        <v>26759</v>
      </c>
      <c r="AA1889">
        <v>0.2977685618543236</v>
      </c>
      <c r="AB1889" t="str">
        <f>HYPERLINK("Melting_Curves/meltCurve_P25705_ATP5A1.pdf", "Melting_Curves/meltCurve_P25705_ATP5A1.pdf")</f>
        <v>Melting_Curves/meltCurve_P25705_ATP5A1.pdf</v>
      </c>
    </row>
    <row r="1890" spans="1:28" x14ac:dyDescent="0.25">
      <c r="A1890" t="s">
        <v>1894</v>
      </c>
      <c r="B1890">
        <v>0.99352677808782597</v>
      </c>
      <c r="C1890">
        <v>0.910432144698757</v>
      </c>
      <c r="D1890">
        <v>0.918127971753537</v>
      </c>
      <c r="E1890">
        <v>1.43131035423645</v>
      </c>
      <c r="F1890">
        <v>1.38910291127358</v>
      </c>
      <c r="G1890">
        <v>1.54911219688403</v>
      </c>
      <c r="H1890">
        <v>1.4391418570910399</v>
      </c>
      <c r="I1890">
        <v>1.81290107858076</v>
      </c>
      <c r="J1890">
        <v>1.2560708097589599</v>
      </c>
      <c r="K1890">
        <v>1.2962881822210699</v>
      </c>
      <c r="L1890">
        <v>10293.033470836101</v>
      </c>
      <c r="M1890">
        <v>208.677360874539</v>
      </c>
      <c r="O1890">
        <v>49.320576616626802</v>
      </c>
      <c r="P1890">
        <v>0.48350537524577403</v>
      </c>
      <c r="Q1890">
        <v>1.4571030531359099</v>
      </c>
      <c r="R1890">
        <v>0.71033892437757495</v>
      </c>
      <c r="S1890" t="s">
        <v>8175</v>
      </c>
      <c r="T1890" t="s">
        <v>12568</v>
      </c>
      <c r="U1890" t="s">
        <v>12568</v>
      </c>
      <c r="V1890" t="s">
        <v>12568</v>
      </c>
      <c r="W1890" t="s">
        <v>14424</v>
      </c>
      <c r="X1890">
        <v>1</v>
      </c>
      <c r="Y1890" t="s">
        <v>20614</v>
      </c>
      <c r="Z1890" t="s">
        <v>26760</v>
      </c>
      <c r="AA1890">
        <v>1.314961736796793</v>
      </c>
      <c r="AB1890" t="str">
        <f>HYPERLINK("Melting_Curves/meltCurve_P25713_MT3.pdf", "Melting_Curves/meltCurve_P25713_MT3.pdf")</f>
        <v>Melting_Curves/meltCurve_P25713_MT3.pdf</v>
      </c>
    </row>
    <row r="1891" spans="1:28" x14ac:dyDescent="0.25">
      <c r="A1891" t="s">
        <v>1895</v>
      </c>
      <c r="B1891">
        <v>0.99352677808782597</v>
      </c>
      <c r="C1891">
        <v>0.90081965936326702</v>
      </c>
      <c r="D1891">
        <v>1.01300941414852</v>
      </c>
      <c r="E1891">
        <v>0.94046833496468796</v>
      </c>
      <c r="F1891">
        <v>0.83569545893166497</v>
      </c>
      <c r="G1891">
        <v>0.76698465622413203</v>
      </c>
      <c r="H1891">
        <v>0.68355792640480995</v>
      </c>
      <c r="I1891">
        <v>0.67073503715730498</v>
      </c>
      <c r="J1891">
        <v>0.71116078201812605</v>
      </c>
      <c r="K1891">
        <v>0.53496074001782001</v>
      </c>
      <c r="L1891">
        <v>483.500310798371</v>
      </c>
      <c r="M1891">
        <v>8.1302459458351208</v>
      </c>
      <c r="O1891">
        <v>56.196054809029803</v>
      </c>
      <c r="P1891">
        <v>-1.9017055561835298E-2</v>
      </c>
      <c r="Q1891">
        <v>0.47477757715614499</v>
      </c>
      <c r="R1891">
        <v>0.89757521331580004</v>
      </c>
      <c r="S1891" t="s">
        <v>8176</v>
      </c>
      <c r="T1891" t="s">
        <v>12568</v>
      </c>
      <c r="U1891" t="s">
        <v>12568</v>
      </c>
      <c r="V1891" t="s">
        <v>12568</v>
      </c>
      <c r="W1891" t="s">
        <v>14425</v>
      </c>
      <c r="X1891">
        <v>5</v>
      </c>
      <c r="Y1891" t="s">
        <v>20615</v>
      </c>
      <c r="Z1891" t="s">
        <v>26761</v>
      </c>
      <c r="AA1891">
        <v>0.81087846042165124</v>
      </c>
      <c r="AB1891" t="str">
        <f>HYPERLINK("Melting_Curves/meltCurve_P25774_2_CTSS.pdf", "Melting_Curves/meltCurve_P25774_2_CTSS.pdf")</f>
        <v>Melting_Curves/meltCurve_P25774_2_CTSS.pdf</v>
      </c>
    </row>
    <row r="1892" spans="1:28" x14ac:dyDescent="0.25">
      <c r="A1892" t="s">
        <v>1896</v>
      </c>
      <c r="B1892">
        <v>0.99352677808782597</v>
      </c>
      <c r="C1892">
        <v>1.00382463389735</v>
      </c>
      <c r="D1892">
        <v>0.83298710406096799</v>
      </c>
      <c r="E1892">
        <v>1.15986872068814</v>
      </c>
      <c r="F1892">
        <v>0.93795150116021297</v>
      </c>
      <c r="G1892">
        <v>0.91781481276758403</v>
      </c>
      <c r="H1892">
        <v>1.2390780911826</v>
      </c>
      <c r="I1892">
        <v>1.1489237173886899</v>
      </c>
      <c r="J1892">
        <v>1.5257280778992599</v>
      </c>
      <c r="K1892">
        <v>1.10540306739522</v>
      </c>
      <c r="L1892">
        <v>13014.056835953999</v>
      </c>
      <c r="M1892">
        <v>215.779635183062</v>
      </c>
      <c r="O1892">
        <v>60.306613076986999</v>
      </c>
      <c r="P1892">
        <v>0.232592202711628</v>
      </c>
      <c r="Q1892">
        <v>1.2600217194511401</v>
      </c>
      <c r="R1892">
        <v>0.51991568425402201</v>
      </c>
      <c r="S1892" t="s">
        <v>8177</v>
      </c>
      <c r="T1892" t="s">
        <v>12568</v>
      </c>
      <c r="U1892" t="s">
        <v>12568</v>
      </c>
      <c r="V1892" t="s">
        <v>12568</v>
      </c>
      <c r="W1892" t="s">
        <v>14426</v>
      </c>
      <c r="X1892">
        <v>23</v>
      </c>
      <c r="Y1892" t="s">
        <v>20616</v>
      </c>
      <c r="Z1892" t="s">
        <v>26762</v>
      </c>
      <c r="AA1892">
        <v>1.0839345220928751</v>
      </c>
      <c r="AB1892" t="str">
        <f>HYPERLINK("Melting_Curves/meltCurve_P25786_PSMA1.pdf", "Melting_Curves/meltCurve_P25786_PSMA1.pdf")</f>
        <v>Melting_Curves/meltCurve_P25786_PSMA1.pdf</v>
      </c>
    </row>
    <row r="1893" spans="1:28" x14ac:dyDescent="0.25">
      <c r="A1893" t="s">
        <v>1897</v>
      </c>
      <c r="B1893">
        <v>0.99352677808782597</v>
      </c>
      <c r="C1893">
        <v>0.96216374343086997</v>
      </c>
      <c r="D1893">
        <v>0.822088475975845</v>
      </c>
      <c r="E1893">
        <v>1.1815394003058399</v>
      </c>
      <c r="F1893">
        <v>0.92323109147290905</v>
      </c>
      <c r="G1893">
        <v>0.90191559439584501</v>
      </c>
      <c r="H1893">
        <v>1.2621119725282699</v>
      </c>
      <c r="I1893">
        <v>1.2050911197570799</v>
      </c>
      <c r="J1893">
        <v>1.5395484097976899</v>
      </c>
      <c r="K1893">
        <v>1.3002450750841701</v>
      </c>
      <c r="L1893">
        <v>5439.6443101252098</v>
      </c>
      <c r="M1893">
        <v>90.163212872372796</v>
      </c>
      <c r="O1893">
        <v>60.301422337620799</v>
      </c>
      <c r="P1893">
        <v>0.131075115678183</v>
      </c>
      <c r="Q1893">
        <v>1.3506536652630201</v>
      </c>
      <c r="R1893">
        <v>0.690096733520699</v>
      </c>
      <c r="S1893" t="s">
        <v>8178</v>
      </c>
      <c r="T1893" t="s">
        <v>12568</v>
      </c>
      <c r="U1893" t="s">
        <v>12568</v>
      </c>
      <c r="V1893" t="s">
        <v>12568</v>
      </c>
      <c r="W1893" t="s">
        <v>14427</v>
      </c>
      <c r="X1893">
        <v>12</v>
      </c>
      <c r="Y1893" t="s">
        <v>20617</v>
      </c>
      <c r="Z1893" t="s">
        <v>26763</v>
      </c>
      <c r="AA1893">
        <v>1.112728881087266</v>
      </c>
      <c r="AB1893" t="str">
        <f>HYPERLINK("Melting_Curves/meltCurve_P25787_PSMA2.pdf", "Melting_Curves/meltCurve_P25787_PSMA2.pdf")</f>
        <v>Melting_Curves/meltCurve_P25787_PSMA2.pdf</v>
      </c>
    </row>
    <row r="1894" spans="1:28" x14ac:dyDescent="0.25">
      <c r="A1894" t="s">
        <v>1898</v>
      </c>
      <c r="B1894">
        <v>0.99352677808782597</v>
      </c>
      <c r="C1894">
        <v>1.02749595106458</v>
      </c>
      <c r="D1894">
        <v>0.85912746444171595</v>
      </c>
      <c r="E1894">
        <v>1.3352314154520599</v>
      </c>
      <c r="F1894">
        <v>1.04790092306977</v>
      </c>
      <c r="G1894">
        <v>1.0202162900916001</v>
      </c>
      <c r="H1894">
        <v>1.48688975204906</v>
      </c>
      <c r="I1894">
        <v>1.2562522864632499</v>
      </c>
      <c r="J1894">
        <v>1.82221276445214</v>
      </c>
      <c r="K1894">
        <v>1.41602048915985</v>
      </c>
      <c r="L1894">
        <v>5432.1398355495003</v>
      </c>
      <c r="M1894">
        <v>92.247729731957307</v>
      </c>
      <c r="O1894">
        <v>58.8587758038231</v>
      </c>
      <c r="P1894">
        <v>0.19590905407565501</v>
      </c>
      <c r="Q1894">
        <v>1.5</v>
      </c>
      <c r="R1894">
        <v>0.60559763312382497</v>
      </c>
      <c r="S1894" t="s">
        <v>8179</v>
      </c>
      <c r="T1894" t="s">
        <v>12568</v>
      </c>
      <c r="U1894" t="s">
        <v>12568</v>
      </c>
      <c r="V1894" t="s">
        <v>12568</v>
      </c>
      <c r="W1894" t="s">
        <v>14428</v>
      </c>
      <c r="X1894">
        <v>23</v>
      </c>
      <c r="Y1894" t="s">
        <v>20618</v>
      </c>
      <c r="Z1894" t="s">
        <v>26764</v>
      </c>
      <c r="AA1894">
        <v>1.184846061177149</v>
      </c>
      <c r="AB1894" t="str">
        <f>HYPERLINK("Melting_Curves/meltCurve_P25788_2_PSMA3.pdf", "Melting_Curves/meltCurve_P25788_2_PSMA3.pdf")</f>
        <v>Melting_Curves/meltCurve_P25788_2_PSMA3.pdf</v>
      </c>
    </row>
    <row r="1895" spans="1:28" x14ac:dyDescent="0.25">
      <c r="A1895" t="s">
        <v>1899</v>
      </c>
      <c r="B1895">
        <v>0.99352677808782597</v>
      </c>
      <c r="C1895">
        <v>0.97626788267116404</v>
      </c>
      <c r="D1895">
        <v>0.80977721922454704</v>
      </c>
      <c r="E1895">
        <v>1.33661677889146</v>
      </c>
      <c r="F1895">
        <v>1.01382083357429</v>
      </c>
      <c r="G1895">
        <v>1.0858543748560201</v>
      </c>
      <c r="H1895">
        <v>1.5814270748599</v>
      </c>
      <c r="I1895">
        <v>1.34502052792695</v>
      </c>
      <c r="J1895">
        <v>2.0745983811776201</v>
      </c>
      <c r="K1895">
        <v>1.46937852095201</v>
      </c>
      <c r="L1895">
        <v>14339.693069954001</v>
      </c>
      <c r="M1895">
        <v>250</v>
      </c>
      <c r="O1895">
        <v>57.355101608606603</v>
      </c>
      <c r="P1895">
        <v>0.54485127061083005</v>
      </c>
      <c r="Q1895">
        <v>1.5</v>
      </c>
      <c r="R1895">
        <v>0.59625251262262002</v>
      </c>
      <c r="S1895" t="s">
        <v>8180</v>
      </c>
      <c r="T1895" t="s">
        <v>12568</v>
      </c>
      <c r="U1895" t="s">
        <v>12568</v>
      </c>
      <c r="V1895" t="s">
        <v>12568</v>
      </c>
      <c r="W1895" t="s">
        <v>14429</v>
      </c>
      <c r="X1895">
        <v>18</v>
      </c>
      <c r="Y1895" t="s">
        <v>20619</v>
      </c>
      <c r="Z1895" t="s">
        <v>26765</v>
      </c>
      <c r="AA1895">
        <v>1.2106367967934071</v>
      </c>
      <c r="AB1895" t="str">
        <f>HYPERLINK("Melting_Curves/meltCurve_P25789_PSMA4.pdf", "Melting_Curves/meltCurve_P25789_PSMA4.pdf")</f>
        <v>Melting_Curves/meltCurve_P25789_PSMA4.pdf</v>
      </c>
    </row>
    <row r="1896" spans="1:28" x14ac:dyDescent="0.25">
      <c r="A1896" t="s">
        <v>1900</v>
      </c>
      <c r="B1896">
        <v>0.99352677808782597</v>
      </c>
      <c r="C1896">
        <v>0.97363508237379603</v>
      </c>
      <c r="D1896">
        <v>1.0334347220523501</v>
      </c>
      <c r="E1896">
        <v>0.943542143386082</v>
      </c>
      <c r="F1896">
        <v>0.86643294964652995</v>
      </c>
      <c r="G1896">
        <v>0.86754513295555502</v>
      </c>
      <c r="H1896">
        <v>0.71147344974452598</v>
      </c>
      <c r="I1896">
        <v>0.72964368019171899</v>
      </c>
      <c r="J1896">
        <v>0.68042977654066905</v>
      </c>
      <c r="K1896">
        <v>0.445523705463508</v>
      </c>
      <c r="L1896">
        <v>508.88971160123202</v>
      </c>
      <c r="M1896">
        <v>7.1850051765748502</v>
      </c>
      <c r="O1896">
        <v>65.956438103931205</v>
      </c>
      <c r="P1896">
        <v>-2.7279781987574199E-2</v>
      </c>
      <c r="Q1896">
        <v>0</v>
      </c>
      <c r="R1896">
        <v>0.92342619614951504</v>
      </c>
      <c r="S1896" t="s">
        <v>8181</v>
      </c>
      <c r="T1896" t="s">
        <v>12568</v>
      </c>
      <c r="U1896" t="s">
        <v>12568</v>
      </c>
      <c r="V1896" t="s">
        <v>12568</v>
      </c>
      <c r="W1896" t="s">
        <v>14430</v>
      </c>
      <c r="X1896">
        <v>4</v>
      </c>
      <c r="Y1896" t="s">
        <v>20620</v>
      </c>
      <c r="Z1896" t="s">
        <v>26766</v>
      </c>
      <c r="AA1896">
        <v>0.83898254121831306</v>
      </c>
      <c r="AB1896" t="str">
        <f>HYPERLINK("Melting_Curves/meltCurve_P25815_S100P.pdf", "Melting_Curves/meltCurve_P25815_S100P.pdf")</f>
        <v>Melting_Curves/meltCurve_P25815_S100P.pdf</v>
      </c>
    </row>
    <row r="1897" spans="1:28" x14ac:dyDescent="0.25">
      <c r="A1897" t="s">
        <v>1901</v>
      </c>
      <c r="B1897">
        <v>0.99352677808782597</v>
      </c>
      <c r="C1897">
        <v>0.91469133137612102</v>
      </c>
      <c r="D1897">
        <v>0.97800017586254495</v>
      </c>
      <c r="E1897">
        <v>0.87657038479316396</v>
      </c>
      <c r="F1897">
        <v>0.85090210861947002</v>
      </c>
      <c r="G1897">
        <v>0.20066422395619299</v>
      </c>
      <c r="H1897">
        <v>0.138058631002861</v>
      </c>
      <c r="I1897">
        <v>9.5241241212641103E-2</v>
      </c>
      <c r="J1897">
        <v>7.9907994542036995E-2</v>
      </c>
      <c r="K1897">
        <v>6.4436533411207503E-2</v>
      </c>
      <c r="L1897">
        <v>2479.6054938837601</v>
      </c>
      <c r="M1897">
        <v>45.309984168618698</v>
      </c>
      <c r="N1897">
        <v>54.962614105778599</v>
      </c>
      <c r="O1897">
        <v>54.619096447027303</v>
      </c>
      <c r="P1897">
        <v>-0.18897001325153401</v>
      </c>
      <c r="Q1897">
        <v>8.8822773673207803E-2</v>
      </c>
      <c r="R1897">
        <v>0.98600299312662398</v>
      </c>
      <c r="S1897" t="s">
        <v>8182</v>
      </c>
      <c r="T1897" t="s">
        <v>12568</v>
      </c>
      <c r="U1897" t="s">
        <v>12568</v>
      </c>
      <c r="V1897" t="s">
        <v>12568</v>
      </c>
      <c r="W1897" t="s">
        <v>14431</v>
      </c>
      <c r="X1897">
        <v>68</v>
      </c>
      <c r="Y1897" t="s">
        <v>20621</v>
      </c>
      <c r="Z1897" t="s">
        <v>26767</v>
      </c>
      <c r="AA1897">
        <v>0.53874858272651238</v>
      </c>
      <c r="AB1897" t="str">
        <f>HYPERLINK("Melting_Curves/meltCurve_P26038_MSN.pdf", "Melting_Curves/meltCurve_P26038_MSN.pdf")</f>
        <v>Melting_Curves/meltCurve_P26038_MSN.pdf</v>
      </c>
    </row>
    <row r="1898" spans="1:28" x14ac:dyDescent="0.25">
      <c r="A1898" t="s">
        <v>1902</v>
      </c>
      <c r="B1898">
        <v>0.99352677808782597</v>
      </c>
      <c r="C1898">
        <v>0.92691921936778399</v>
      </c>
      <c r="D1898">
        <v>0.72117165770759495</v>
      </c>
      <c r="E1898">
        <v>0.29840249957273302</v>
      </c>
      <c r="F1898">
        <v>0.258528927152406</v>
      </c>
      <c r="G1898">
        <v>0.133873009864554</v>
      </c>
      <c r="H1898">
        <v>0.112283239076924</v>
      </c>
      <c r="I1898">
        <v>0.13559599723670601</v>
      </c>
      <c r="J1898">
        <v>7.2215533442081994E-2</v>
      </c>
      <c r="K1898">
        <v>5.3307300670624801E-2</v>
      </c>
      <c r="L1898">
        <v>982.21253500439605</v>
      </c>
      <c r="M1898">
        <v>20.601263747082101</v>
      </c>
      <c r="N1898">
        <v>48.178112119718101</v>
      </c>
      <c r="O1898">
        <v>47.234900894121601</v>
      </c>
      <c r="P1898">
        <v>-9.8529442955920296E-2</v>
      </c>
      <c r="Q1898">
        <v>9.6387162653834402E-2</v>
      </c>
      <c r="R1898">
        <v>0.991421377950366</v>
      </c>
      <c r="S1898" t="s">
        <v>8183</v>
      </c>
      <c r="T1898" t="s">
        <v>12568</v>
      </c>
      <c r="U1898" t="s">
        <v>12568</v>
      </c>
      <c r="V1898" t="s">
        <v>12568</v>
      </c>
      <c r="W1898" t="s">
        <v>14432</v>
      </c>
      <c r="X1898">
        <v>1</v>
      </c>
      <c r="Y1898" t="s">
        <v>20622</v>
      </c>
      <c r="Z1898" t="s">
        <v>26768</v>
      </c>
      <c r="AA1898">
        <v>0.33976983415656631</v>
      </c>
      <c r="AB1898" t="str">
        <f>HYPERLINK("Melting_Curves/meltCurve_P26045_PTPN3.pdf", "Melting_Curves/meltCurve_P26045_PTPN3.pdf")</f>
        <v>Melting_Curves/meltCurve_P26045_PTPN3.pdf</v>
      </c>
    </row>
    <row r="1899" spans="1:28" x14ac:dyDescent="0.25">
      <c r="A1899" t="s">
        <v>1903</v>
      </c>
      <c r="B1899">
        <v>0.99352677808782597</v>
      </c>
      <c r="C1899">
        <v>0.88641776377495196</v>
      </c>
      <c r="D1899">
        <v>0.96691900876500103</v>
      </c>
      <c r="E1899">
        <v>0.41099292348613697</v>
      </c>
      <c r="F1899">
        <v>0.32829193615445701</v>
      </c>
      <c r="G1899">
        <v>0.17614382076017401</v>
      </c>
      <c r="H1899">
        <v>0.134557642536487</v>
      </c>
      <c r="I1899">
        <v>0.13081479772464599</v>
      </c>
      <c r="J1899">
        <v>0.120655178263957</v>
      </c>
      <c r="K1899">
        <v>9.9971216527539805E-2</v>
      </c>
      <c r="L1899">
        <v>1269.2937573670599</v>
      </c>
      <c r="M1899">
        <v>25.7614951321573</v>
      </c>
      <c r="N1899">
        <v>49.860874732159999</v>
      </c>
      <c r="O1899">
        <v>48.976947852282002</v>
      </c>
      <c r="P1899">
        <v>-0.114226322222378</v>
      </c>
      <c r="Q1899">
        <v>0.131356341684401</v>
      </c>
      <c r="R1899">
        <v>0.97698871921620101</v>
      </c>
      <c r="S1899" t="s">
        <v>8184</v>
      </c>
      <c r="T1899" t="s">
        <v>12568</v>
      </c>
      <c r="U1899" t="s">
        <v>12568</v>
      </c>
      <c r="V1899" t="s">
        <v>12568</v>
      </c>
      <c r="W1899" t="s">
        <v>14433</v>
      </c>
      <c r="X1899">
        <v>23</v>
      </c>
      <c r="Y1899" t="s">
        <v>20623</v>
      </c>
      <c r="Z1899" t="s">
        <v>26769</v>
      </c>
      <c r="AA1899">
        <v>0.4070481781042728</v>
      </c>
      <c r="AB1899" t="str">
        <f>HYPERLINK("Melting_Curves/meltCurve_P26196_DDX6.pdf", "Melting_Curves/meltCurve_P26196_DDX6.pdf")</f>
        <v>Melting_Curves/meltCurve_P26196_DDX6.pdf</v>
      </c>
    </row>
    <row r="1900" spans="1:28" x14ac:dyDescent="0.25">
      <c r="A1900" t="s">
        <v>1904</v>
      </c>
      <c r="B1900">
        <v>0.99352677808782597</v>
      </c>
      <c r="C1900">
        <v>0.83669905628183405</v>
      </c>
      <c r="D1900">
        <v>0.92396916551004205</v>
      </c>
      <c r="E1900">
        <v>1.00267190863195</v>
      </c>
      <c r="F1900">
        <v>1.0361502918799099</v>
      </c>
      <c r="G1900">
        <v>0.79873433241698899</v>
      </c>
      <c r="H1900">
        <v>0.72545308546572596</v>
      </c>
      <c r="I1900">
        <v>0.811636623415946</v>
      </c>
      <c r="J1900">
        <v>0.66323625036201395</v>
      </c>
      <c r="K1900">
        <v>0.57696379448479396</v>
      </c>
      <c r="L1900">
        <v>451.47737873610299</v>
      </c>
      <c r="M1900">
        <v>6.0576636869213099</v>
      </c>
      <c r="O1900">
        <v>67.628959940095598</v>
      </c>
      <c r="P1900">
        <v>-2.24630951484413E-2</v>
      </c>
      <c r="Q1900">
        <v>0</v>
      </c>
      <c r="R1900">
        <v>0.72684642970301405</v>
      </c>
      <c r="S1900" t="s">
        <v>8185</v>
      </c>
      <c r="T1900" t="s">
        <v>12568</v>
      </c>
      <c r="U1900" t="s">
        <v>12568</v>
      </c>
      <c r="V1900" t="s">
        <v>12568</v>
      </c>
      <c r="W1900" t="s">
        <v>14434</v>
      </c>
      <c r="X1900">
        <v>49</v>
      </c>
      <c r="Y1900" t="s">
        <v>20624</v>
      </c>
      <c r="Z1900" t="s">
        <v>26770</v>
      </c>
      <c r="AA1900">
        <v>0.85901379025621483</v>
      </c>
      <c r="AB1900" t="str">
        <f>HYPERLINK("Melting_Curves/meltCurve_P26358_DNMT1.pdf", "Melting_Curves/meltCurve_P26358_DNMT1.pdf")</f>
        <v>Melting_Curves/meltCurve_P26358_DNMT1.pdf</v>
      </c>
    </row>
    <row r="1901" spans="1:28" x14ac:dyDescent="0.25">
      <c r="A1901" t="s">
        <v>1905</v>
      </c>
      <c r="B1901">
        <v>0.99352677808782597</v>
      </c>
      <c r="C1901">
        <v>0.98548367286051897</v>
      </c>
      <c r="D1901">
        <v>0.93154131874095003</v>
      </c>
      <c r="E1901">
        <v>0.76906144631276796</v>
      </c>
      <c r="F1901">
        <v>0.66615734661688897</v>
      </c>
      <c r="G1901">
        <v>0.31458651768249002</v>
      </c>
      <c r="H1901">
        <v>0.21103639265382901</v>
      </c>
      <c r="I1901">
        <v>0.21781432072351301</v>
      </c>
      <c r="J1901">
        <v>0.18920082412294401</v>
      </c>
      <c r="K1901">
        <v>0.161685355530712</v>
      </c>
      <c r="L1901">
        <v>956.12411699278198</v>
      </c>
      <c r="M1901">
        <v>17.920423983013301</v>
      </c>
      <c r="N1901">
        <v>54.467487355248899</v>
      </c>
      <c r="O1901">
        <v>52.702799507659698</v>
      </c>
      <c r="P1901">
        <v>-7.1971967596127298E-2</v>
      </c>
      <c r="Q1901">
        <v>0.153383038911488</v>
      </c>
      <c r="R1901">
        <v>0.99213542073178995</v>
      </c>
      <c r="S1901" t="s">
        <v>8186</v>
      </c>
      <c r="T1901" t="s">
        <v>12568</v>
      </c>
      <c r="U1901" t="s">
        <v>12568</v>
      </c>
      <c r="V1901" t="s">
        <v>12568</v>
      </c>
      <c r="W1901" t="s">
        <v>14435</v>
      </c>
      <c r="X1901">
        <v>48</v>
      </c>
      <c r="Y1901" t="s">
        <v>20624</v>
      </c>
      <c r="Z1901" t="s">
        <v>26771</v>
      </c>
      <c r="AA1901">
        <v>0.54409525130553171</v>
      </c>
      <c r="AB1901" t="str">
        <f>HYPERLINK("Melting_Curves/meltCurve_P26358_2_DNMT1.pdf", "Melting_Curves/meltCurve_P26358_2_DNMT1.pdf")</f>
        <v>Melting_Curves/meltCurve_P26358_2_DNMT1.pdf</v>
      </c>
    </row>
    <row r="1902" spans="1:28" x14ac:dyDescent="0.25">
      <c r="A1902" t="s">
        <v>1906</v>
      </c>
      <c r="B1902">
        <v>0.99352677808782597</v>
      </c>
      <c r="C1902">
        <v>1.00068584521222</v>
      </c>
      <c r="D1902">
        <v>0.98738194369943599</v>
      </c>
      <c r="E1902">
        <v>0.81127527075317796</v>
      </c>
      <c r="F1902">
        <v>0.70908919626181</v>
      </c>
      <c r="G1902">
        <v>0.35630261331916402</v>
      </c>
      <c r="H1902">
        <v>0.17488412464976</v>
      </c>
      <c r="I1902">
        <v>0.14620809685500399</v>
      </c>
      <c r="J1902">
        <v>0.111703612950544</v>
      </c>
      <c r="K1902">
        <v>7.9796027673608105E-2</v>
      </c>
      <c r="L1902">
        <v>1000.39425245877</v>
      </c>
      <c r="M1902">
        <v>18.290748082103999</v>
      </c>
      <c r="N1902">
        <v>55.151551815654898</v>
      </c>
      <c r="O1902">
        <v>54.052806423572299</v>
      </c>
      <c r="P1902">
        <v>-7.8645098807699196E-2</v>
      </c>
      <c r="Q1902">
        <v>7.0395310200384698E-2</v>
      </c>
      <c r="R1902">
        <v>0.99639173014409099</v>
      </c>
      <c r="S1902" t="s">
        <v>8187</v>
      </c>
      <c r="T1902" t="s">
        <v>12568</v>
      </c>
      <c r="U1902" t="s">
        <v>12568</v>
      </c>
      <c r="V1902" t="s">
        <v>12568</v>
      </c>
      <c r="W1902" t="s">
        <v>14436</v>
      </c>
      <c r="X1902">
        <v>12</v>
      </c>
      <c r="Y1902" t="s">
        <v>20625</v>
      </c>
      <c r="Z1902" t="s">
        <v>26772</v>
      </c>
      <c r="AA1902">
        <v>0.53994215514006882</v>
      </c>
      <c r="AB1902" t="str">
        <f>HYPERLINK("Melting_Curves/meltCurve_P26368_2_U2AF2.pdf", "Melting_Curves/meltCurve_P26368_2_U2AF2.pdf")</f>
        <v>Melting_Curves/meltCurve_P26368_2_U2AF2.pdf</v>
      </c>
    </row>
    <row r="1903" spans="1:28" x14ac:dyDescent="0.25">
      <c r="A1903" t="s">
        <v>1907</v>
      </c>
      <c r="B1903">
        <v>0.99352677808782597</v>
      </c>
      <c r="C1903">
        <v>0.89631858373776296</v>
      </c>
      <c r="D1903">
        <v>1.3922582531548899</v>
      </c>
      <c r="E1903">
        <v>0.66589382946104003</v>
      </c>
      <c r="F1903">
        <v>0.56418359873714796</v>
      </c>
      <c r="G1903">
        <v>0.33306820499795198</v>
      </c>
      <c r="H1903">
        <v>0.23843112105901701</v>
      </c>
      <c r="I1903">
        <v>0.22145231611104499</v>
      </c>
      <c r="J1903">
        <v>0.23902647044836201</v>
      </c>
      <c r="K1903">
        <v>0.18011829299952101</v>
      </c>
      <c r="L1903">
        <v>1384.5430671812601</v>
      </c>
      <c r="M1903">
        <v>26.6233502529882</v>
      </c>
      <c r="N1903">
        <v>53.197322330965598</v>
      </c>
      <c r="O1903">
        <v>51.7140908105644</v>
      </c>
      <c r="P1903">
        <v>-9.9784268052467803E-2</v>
      </c>
      <c r="Q1903">
        <v>0.22471084971181299</v>
      </c>
      <c r="R1903">
        <v>0.863587860376682</v>
      </c>
      <c r="S1903" t="s">
        <v>8188</v>
      </c>
      <c r="T1903" t="s">
        <v>12568</v>
      </c>
      <c r="U1903" t="s">
        <v>12568</v>
      </c>
      <c r="V1903" t="s">
        <v>12568</v>
      </c>
      <c r="W1903" t="s">
        <v>14437</v>
      </c>
      <c r="X1903">
        <v>7</v>
      </c>
      <c r="Y1903" t="s">
        <v>20626</v>
      </c>
      <c r="Z1903" t="s">
        <v>26773</v>
      </c>
      <c r="AA1903">
        <v>0.5412173533384238</v>
      </c>
      <c r="AB1903" t="str">
        <f>HYPERLINK("Melting_Curves/meltCurve_P26373_RPL13.pdf", "Melting_Curves/meltCurve_P26373_RPL13.pdf")</f>
        <v>Melting_Curves/meltCurve_P26373_RPL13.pdf</v>
      </c>
    </row>
    <row r="1904" spans="1:28" x14ac:dyDescent="0.25">
      <c r="A1904" t="s">
        <v>1908</v>
      </c>
      <c r="B1904">
        <v>0.99352677808782597</v>
      </c>
      <c r="C1904">
        <v>1.00567716522365</v>
      </c>
      <c r="D1904">
        <v>0.96570785947208704</v>
      </c>
      <c r="E1904">
        <v>0.85034337281405603</v>
      </c>
      <c r="F1904">
        <v>0.77736792069504601</v>
      </c>
      <c r="G1904">
        <v>0.37502018148177901</v>
      </c>
      <c r="H1904">
        <v>0.20508921583811501</v>
      </c>
      <c r="I1904">
        <v>0.18248276782099199</v>
      </c>
      <c r="J1904">
        <v>0.151445355978333</v>
      </c>
      <c r="K1904">
        <v>0.118313006796541</v>
      </c>
      <c r="L1904">
        <v>1172.3728709187401</v>
      </c>
      <c r="M1904">
        <v>21.3337016853006</v>
      </c>
      <c r="N1904">
        <v>55.682618063104101</v>
      </c>
      <c r="O1904">
        <v>54.478009127232099</v>
      </c>
      <c r="P1904">
        <v>-8.5979711493631705E-2</v>
      </c>
      <c r="Q1904">
        <v>0.12178665094237</v>
      </c>
      <c r="R1904">
        <v>0.99427300651801798</v>
      </c>
      <c r="S1904" t="s">
        <v>8189</v>
      </c>
      <c r="T1904" t="s">
        <v>12568</v>
      </c>
      <c r="U1904" t="s">
        <v>12568</v>
      </c>
      <c r="V1904" t="s">
        <v>12568</v>
      </c>
      <c r="W1904" t="s">
        <v>14438</v>
      </c>
      <c r="X1904">
        <v>12</v>
      </c>
      <c r="Y1904" t="s">
        <v>20627</v>
      </c>
      <c r="Z1904" t="s">
        <v>26774</v>
      </c>
      <c r="AA1904">
        <v>0.57014382247084305</v>
      </c>
      <c r="AB1904" t="str">
        <f>HYPERLINK("Melting_Curves/meltCurve_P26374_CHML.pdf", "Melting_Curves/meltCurve_P26374_CHML.pdf")</f>
        <v>Melting_Curves/meltCurve_P26374_CHML.pdf</v>
      </c>
    </row>
    <row r="1905" spans="1:28" x14ac:dyDescent="0.25">
      <c r="A1905" t="s">
        <v>1909</v>
      </c>
      <c r="B1905">
        <v>0.99352677808782597</v>
      </c>
      <c r="C1905">
        <v>0.84862046068492802</v>
      </c>
      <c r="D1905">
        <v>0.61821254055927299</v>
      </c>
      <c r="E1905">
        <v>0.46953688786637099</v>
      </c>
      <c r="F1905">
        <v>0.44391308880215202</v>
      </c>
      <c r="G1905">
        <v>0.32256044871606598</v>
      </c>
      <c r="H1905">
        <v>0.32842884283712098</v>
      </c>
      <c r="I1905">
        <v>0.18551547834357701</v>
      </c>
      <c r="J1905">
        <v>9.0975078702000903E-2</v>
      </c>
      <c r="K1905">
        <v>6.8985225574663106E-2</v>
      </c>
      <c r="L1905">
        <v>400.07880842941699</v>
      </c>
      <c r="M1905">
        <v>7.87490624900183</v>
      </c>
      <c r="N1905">
        <v>50.939255408591201</v>
      </c>
      <c r="O1905">
        <v>47.841048099074101</v>
      </c>
      <c r="P1905">
        <v>-4.0775287555535299E-2</v>
      </c>
      <c r="Q1905">
        <v>1.03270400962155E-2</v>
      </c>
      <c r="R1905">
        <v>0.95471913931001595</v>
      </c>
      <c r="S1905" t="s">
        <v>8190</v>
      </c>
      <c r="T1905" t="s">
        <v>12568</v>
      </c>
      <c r="U1905" t="s">
        <v>12568</v>
      </c>
      <c r="V1905" t="s">
        <v>12568</v>
      </c>
      <c r="W1905" t="s">
        <v>14439</v>
      </c>
      <c r="X1905">
        <v>4</v>
      </c>
      <c r="Y1905" t="s">
        <v>20628</v>
      </c>
      <c r="Z1905" t="s">
        <v>26775</v>
      </c>
      <c r="AA1905">
        <v>0.42166601813418347</v>
      </c>
      <c r="AB1905" t="str">
        <f>HYPERLINK("Melting_Curves/meltCurve_P26440_IVD.pdf", "Melting_Curves/meltCurve_P26440_IVD.pdf")</f>
        <v>Melting_Curves/meltCurve_P26440_IVD.pdf</v>
      </c>
    </row>
    <row r="1906" spans="1:28" x14ac:dyDescent="0.25">
      <c r="A1906" t="s">
        <v>1910</v>
      </c>
      <c r="B1906">
        <v>0.99352677808782597</v>
      </c>
      <c r="C1906">
        <v>0.983201343440811</v>
      </c>
      <c r="D1906">
        <v>1.00850424516848</v>
      </c>
      <c r="E1906">
        <v>0.94940547328209701</v>
      </c>
      <c r="F1906">
        <v>0.92343511900341602</v>
      </c>
      <c r="G1906">
        <v>0.85365376603263299</v>
      </c>
      <c r="H1906">
        <v>0.68828519371173802</v>
      </c>
      <c r="I1906">
        <v>0.69848211448443998</v>
      </c>
      <c r="J1906">
        <v>0.66197727512913496</v>
      </c>
      <c r="K1906">
        <v>0.45279372874912799</v>
      </c>
      <c r="L1906">
        <v>522.72592624654203</v>
      </c>
      <c r="M1906">
        <v>7.4484747467627201</v>
      </c>
      <c r="O1906">
        <v>65.6537789075972</v>
      </c>
      <c r="P1906">
        <v>-2.8404538843277701E-2</v>
      </c>
      <c r="Q1906">
        <v>0</v>
      </c>
      <c r="R1906">
        <v>0.95459027762786997</v>
      </c>
      <c r="S1906" t="s">
        <v>8191</v>
      </c>
      <c r="T1906" t="s">
        <v>12568</v>
      </c>
      <c r="U1906" t="s">
        <v>12568</v>
      </c>
      <c r="V1906" t="s">
        <v>12568</v>
      </c>
      <c r="W1906" t="s">
        <v>14440</v>
      </c>
      <c r="X1906">
        <v>9</v>
      </c>
      <c r="Y1906" t="s">
        <v>20629</v>
      </c>
      <c r="Z1906" t="s">
        <v>26776</v>
      </c>
      <c r="AA1906">
        <v>0.83485769588163961</v>
      </c>
      <c r="AB1906" t="str">
        <f>HYPERLINK("Melting_Curves/meltCurve_P26447_S100A4.pdf", "Melting_Curves/meltCurve_P26447_S100A4.pdf")</f>
        <v>Melting_Curves/meltCurve_P26447_S100A4.pdf</v>
      </c>
    </row>
    <row r="1907" spans="1:28" x14ac:dyDescent="0.25">
      <c r="A1907" t="s">
        <v>1911</v>
      </c>
      <c r="B1907">
        <v>0.99352677808782597</v>
      </c>
      <c r="C1907">
        <v>0.95299925208686798</v>
      </c>
      <c r="D1907">
        <v>1.0097165727287201</v>
      </c>
      <c r="E1907">
        <v>0.95503327218108802</v>
      </c>
      <c r="F1907">
        <v>0.90270563569319295</v>
      </c>
      <c r="G1907">
        <v>0.80443706672429405</v>
      </c>
      <c r="H1907">
        <v>0.78417151699560494</v>
      </c>
      <c r="I1907">
        <v>0.811314200972716</v>
      </c>
      <c r="J1907">
        <v>0.84753453762465303</v>
      </c>
      <c r="K1907">
        <v>0.73414333589942304</v>
      </c>
      <c r="L1907">
        <v>1479.4225188374101</v>
      </c>
      <c r="M1907">
        <v>27.967085170862401</v>
      </c>
      <c r="O1907">
        <v>52.630444476696098</v>
      </c>
      <c r="P1907">
        <v>-2.77798878936352E-2</v>
      </c>
      <c r="Q1907">
        <v>0.79088908994902796</v>
      </c>
      <c r="R1907">
        <v>0.88451835224835795</v>
      </c>
      <c r="S1907" t="s">
        <v>8192</v>
      </c>
      <c r="T1907" t="s">
        <v>12568</v>
      </c>
      <c r="U1907" t="s">
        <v>12568</v>
      </c>
      <c r="V1907" t="s">
        <v>12568</v>
      </c>
      <c r="W1907" t="s">
        <v>14441</v>
      </c>
      <c r="X1907">
        <v>18</v>
      </c>
      <c r="Y1907" t="s">
        <v>20630</v>
      </c>
      <c r="Z1907" t="s">
        <v>26777</v>
      </c>
      <c r="AA1907">
        <v>0.88235043714598416</v>
      </c>
      <c r="AB1907" t="str">
        <f>HYPERLINK("Melting_Curves/meltCurve_P26583_HMGB2.pdf", "Melting_Curves/meltCurve_P26583_HMGB2.pdf")</f>
        <v>Melting_Curves/meltCurve_P26583_HMGB2.pdf</v>
      </c>
    </row>
    <row r="1908" spans="1:28" x14ac:dyDescent="0.25">
      <c r="A1908" t="s">
        <v>1912</v>
      </c>
      <c r="B1908">
        <v>0.99352677808782597</v>
      </c>
      <c r="C1908">
        <v>0.89718738461876302</v>
      </c>
      <c r="D1908">
        <v>1.00069788144111</v>
      </c>
      <c r="E1908">
        <v>0.34753108183418602</v>
      </c>
      <c r="F1908">
        <v>0.28147305440276599</v>
      </c>
      <c r="G1908">
        <v>0.18553186691430701</v>
      </c>
      <c r="H1908">
        <v>0.13542229466223901</v>
      </c>
      <c r="I1908">
        <v>0.11336830480434</v>
      </c>
      <c r="J1908">
        <v>9.30388919758907E-2</v>
      </c>
      <c r="K1908">
        <v>6.9613692813001796E-2</v>
      </c>
      <c r="L1908">
        <v>2088.7073880318699</v>
      </c>
      <c r="M1908">
        <v>42.697889611605802</v>
      </c>
      <c r="N1908">
        <v>49.286527475795701</v>
      </c>
      <c r="O1908">
        <v>48.811343249893604</v>
      </c>
      <c r="P1908">
        <v>-0.18882139148721799</v>
      </c>
      <c r="Q1908">
        <v>0.136574561351334</v>
      </c>
      <c r="R1908">
        <v>0.97355221300764705</v>
      </c>
      <c r="S1908" t="s">
        <v>8193</v>
      </c>
      <c r="T1908" t="s">
        <v>12568</v>
      </c>
      <c r="U1908" t="s">
        <v>12568</v>
      </c>
      <c r="V1908" t="s">
        <v>12568</v>
      </c>
      <c r="W1908" t="s">
        <v>14442</v>
      </c>
      <c r="X1908">
        <v>11</v>
      </c>
      <c r="Y1908" t="s">
        <v>20631</v>
      </c>
      <c r="Z1908" t="s">
        <v>26778</v>
      </c>
      <c r="AA1908">
        <v>0.39581185900276228</v>
      </c>
      <c r="AB1908" t="str">
        <f>HYPERLINK("Melting_Curves/meltCurve_P26599_PTBP1.pdf", "Melting_Curves/meltCurve_P26599_PTBP1.pdf")</f>
        <v>Melting_Curves/meltCurve_P26599_PTBP1.pdf</v>
      </c>
    </row>
    <row r="1909" spans="1:28" x14ac:dyDescent="0.25">
      <c r="A1909" t="s">
        <v>1913</v>
      </c>
      <c r="B1909">
        <v>0.99352677808782597</v>
      </c>
      <c r="C1909">
        <v>1.0500899718958101</v>
      </c>
      <c r="D1909">
        <v>0.82285603935491602</v>
      </c>
      <c r="E1909">
        <v>0.56774238241430397</v>
      </c>
      <c r="F1909">
        <v>0.420490169808167</v>
      </c>
      <c r="G1909">
        <v>0.238094111822645</v>
      </c>
      <c r="H1909">
        <v>0.122896128809277</v>
      </c>
      <c r="I1909">
        <v>0.10246578164784501</v>
      </c>
      <c r="J1909">
        <v>8.4478059539745395E-2</v>
      </c>
      <c r="K1909">
        <v>6.40807725990898E-2</v>
      </c>
      <c r="L1909">
        <v>783.265060952456</v>
      </c>
      <c r="M1909">
        <v>15.356762433955099</v>
      </c>
      <c r="N1909">
        <v>51.441917988048701</v>
      </c>
      <c r="O1909">
        <v>50.163148926161902</v>
      </c>
      <c r="P1909">
        <v>-7.1856967144328196E-2</v>
      </c>
      <c r="Q1909">
        <v>6.1198041803400403E-2</v>
      </c>
      <c r="R1909">
        <v>0.99047064662023299</v>
      </c>
      <c r="S1909" t="s">
        <v>8194</v>
      </c>
      <c r="T1909" t="s">
        <v>12568</v>
      </c>
      <c r="U1909" t="s">
        <v>12568</v>
      </c>
      <c r="V1909" t="s">
        <v>12568</v>
      </c>
      <c r="W1909" t="s">
        <v>14443</v>
      </c>
      <c r="X1909">
        <v>49</v>
      </c>
      <c r="Y1909" t="s">
        <v>20632</v>
      </c>
      <c r="Z1909" t="s">
        <v>26779</v>
      </c>
      <c r="AA1909">
        <v>0.42642434607211122</v>
      </c>
      <c r="AB1909" t="str">
        <f>HYPERLINK("Melting_Curves/meltCurve_P26639_TARS.pdf", "Melting_Curves/meltCurve_P26639_TARS.pdf")</f>
        <v>Melting_Curves/meltCurve_P26639_TARS.pdf</v>
      </c>
    </row>
    <row r="1910" spans="1:28" x14ac:dyDescent="0.25">
      <c r="A1910" t="s">
        <v>1914</v>
      </c>
      <c r="B1910">
        <v>0.99352677808782597</v>
      </c>
      <c r="C1910">
        <v>0.98151664200472</v>
      </c>
      <c r="D1910">
        <v>0.70961248937649302</v>
      </c>
      <c r="E1910">
        <v>0.39765617009806298</v>
      </c>
      <c r="F1910">
        <v>0.30269741369762299</v>
      </c>
      <c r="G1910">
        <v>0.183209226445669</v>
      </c>
      <c r="H1910">
        <v>0.11458028302899199</v>
      </c>
      <c r="I1910">
        <v>0.1035320431017</v>
      </c>
      <c r="J1910">
        <v>8.7624888410137394E-2</v>
      </c>
      <c r="K1910">
        <v>6.8722203360078199E-2</v>
      </c>
      <c r="L1910">
        <v>831.35452691566502</v>
      </c>
      <c r="M1910">
        <v>17.141200572093901</v>
      </c>
      <c r="N1910">
        <v>49.065251900575198</v>
      </c>
      <c r="O1910">
        <v>47.854696372141497</v>
      </c>
      <c r="P1910">
        <v>-8.1534321843797705E-2</v>
      </c>
      <c r="Q1910">
        <v>8.9546428477311396E-2</v>
      </c>
      <c r="R1910">
        <v>0.99142426450628496</v>
      </c>
      <c r="S1910" t="s">
        <v>8195</v>
      </c>
      <c r="T1910" t="s">
        <v>12568</v>
      </c>
      <c r="U1910" t="s">
        <v>12568</v>
      </c>
      <c r="V1910" t="s">
        <v>12568</v>
      </c>
      <c r="W1910" t="s">
        <v>14444</v>
      </c>
      <c r="X1910">
        <v>36</v>
      </c>
      <c r="Y1910" t="s">
        <v>20633</v>
      </c>
      <c r="Z1910" t="s">
        <v>26780</v>
      </c>
      <c r="AA1910">
        <v>0.36512006767215521</v>
      </c>
      <c r="AB1910" t="str">
        <f>HYPERLINK("Melting_Curves/meltCurve_P26640_VARS.pdf", "Melting_Curves/meltCurve_P26640_VARS.pdf")</f>
        <v>Melting_Curves/meltCurve_P26640_VARS.pdf</v>
      </c>
    </row>
    <row r="1911" spans="1:28" x14ac:dyDescent="0.25">
      <c r="A1911" t="s">
        <v>1915</v>
      </c>
      <c r="B1911">
        <v>0.99352677808782597</v>
      </c>
      <c r="C1911">
        <v>1.05368682252419</v>
      </c>
      <c r="D1911">
        <v>0.662388912830989</v>
      </c>
      <c r="E1911">
        <v>0.43242838948867401</v>
      </c>
      <c r="F1911">
        <v>0.33316455999462102</v>
      </c>
      <c r="G1911">
        <v>0.178182761931929</v>
      </c>
      <c r="H1911">
        <v>9.8640506891297802E-2</v>
      </c>
      <c r="I1911">
        <v>9.1161017586359E-2</v>
      </c>
      <c r="J1911">
        <v>6.9582609394191197E-2</v>
      </c>
      <c r="K1911">
        <v>5.0469115562597797E-2</v>
      </c>
      <c r="L1911">
        <v>778.67005802229301</v>
      </c>
      <c r="M1911">
        <v>15.904243185212</v>
      </c>
      <c r="N1911">
        <v>49.403284009663899</v>
      </c>
      <c r="O1911">
        <v>48.205461534041497</v>
      </c>
      <c r="P1911">
        <v>-7.7001884765920806E-2</v>
      </c>
      <c r="Q1911">
        <v>6.6509908552662297E-2</v>
      </c>
      <c r="R1911">
        <v>0.97453871954544402</v>
      </c>
      <c r="S1911" t="s">
        <v>8196</v>
      </c>
      <c r="T1911" t="s">
        <v>12568</v>
      </c>
      <c r="U1911" t="s">
        <v>12568</v>
      </c>
      <c r="V1911" t="s">
        <v>12568</v>
      </c>
      <c r="W1911" t="s">
        <v>14445</v>
      </c>
      <c r="X1911">
        <v>24</v>
      </c>
      <c r="Y1911" t="s">
        <v>20634</v>
      </c>
      <c r="Z1911" t="s">
        <v>26781</v>
      </c>
      <c r="AA1911">
        <v>0.36594571218172972</v>
      </c>
      <c r="AB1911" t="str">
        <f>HYPERLINK("Melting_Curves/meltCurve_P26641_EEF1G.pdf", "Melting_Curves/meltCurve_P26641_EEF1G.pdf")</f>
        <v>Melting_Curves/meltCurve_P26641_EEF1G.pdf</v>
      </c>
    </row>
    <row r="1912" spans="1:28" x14ac:dyDescent="0.25">
      <c r="A1912" t="s">
        <v>1916</v>
      </c>
      <c r="B1912">
        <v>0.99352677808782597</v>
      </c>
      <c r="C1912">
        <v>0.91136229301004501</v>
      </c>
      <c r="D1912">
        <v>1.00742746295696</v>
      </c>
      <c r="E1912">
        <v>0.59331157486837705</v>
      </c>
      <c r="F1912">
        <v>0.69249638721979501</v>
      </c>
      <c r="G1912">
        <v>0.55957086291747404</v>
      </c>
      <c r="H1912">
        <v>0.415471354327131</v>
      </c>
      <c r="I1912">
        <v>0.506260749583481</v>
      </c>
      <c r="J1912">
        <v>0.41961748711954899</v>
      </c>
      <c r="K1912">
        <v>0.38400880598957998</v>
      </c>
      <c r="L1912">
        <v>671.04199095471097</v>
      </c>
      <c r="M1912">
        <v>13.172269703691301</v>
      </c>
      <c r="N1912">
        <v>58.245529936070596</v>
      </c>
      <c r="O1912">
        <v>49.812305617966501</v>
      </c>
      <c r="P1912">
        <v>-3.9400948028620097E-2</v>
      </c>
      <c r="Q1912">
        <v>0.40410472357347998</v>
      </c>
      <c r="R1912">
        <v>0.901297140084379</v>
      </c>
      <c r="S1912" t="s">
        <v>8197</v>
      </c>
      <c r="T1912" t="s">
        <v>12568</v>
      </c>
      <c r="U1912" t="s">
        <v>12568</v>
      </c>
      <c r="V1912" t="s">
        <v>12568</v>
      </c>
      <c r="W1912" t="s">
        <v>14446</v>
      </c>
      <c r="X1912">
        <v>1</v>
      </c>
      <c r="Y1912" t="s">
        <v>20635</v>
      </c>
      <c r="Z1912" t="s">
        <v>26782</v>
      </c>
      <c r="AA1912">
        <v>0.63845549089299714</v>
      </c>
      <c r="AB1912" t="str">
        <f>HYPERLINK("Melting_Curves/meltCurve_P26651_ZFP36.pdf", "Melting_Curves/meltCurve_P26651_ZFP36.pdf")</f>
        <v>Melting_Curves/meltCurve_P26651_ZFP36.pdf</v>
      </c>
    </row>
    <row r="1913" spans="1:28" x14ac:dyDescent="0.25">
      <c r="A1913" t="s">
        <v>1917</v>
      </c>
      <c r="B1913">
        <v>0.99352677808782597</v>
      </c>
      <c r="C1913">
        <v>1.0135684400840399</v>
      </c>
      <c r="D1913">
        <v>1.0261263529789599</v>
      </c>
      <c r="E1913">
        <v>0.94050676850975101</v>
      </c>
      <c r="F1913">
        <v>0.855732361752645</v>
      </c>
      <c r="G1913">
        <v>0.78289296225493599</v>
      </c>
      <c r="H1913">
        <v>0.57794716574420302</v>
      </c>
      <c r="I1913">
        <v>0.51804696179132004</v>
      </c>
      <c r="J1913">
        <v>0.39451402941042502</v>
      </c>
      <c r="K1913">
        <v>0.23661932945942199</v>
      </c>
      <c r="L1913">
        <v>664.24325620060404</v>
      </c>
      <c r="M1913">
        <v>10.4519572841228</v>
      </c>
      <c r="N1913">
        <v>63.552062897722699</v>
      </c>
      <c r="O1913">
        <v>61.357770739849897</v>
      </c>
      <c r="P1913">
        <v>-4.26036030223566E-2</v>
      </c>
      <c r="Q1913">
        <v>0</v>
      </c>
      <c r="R1913">
        <v>0.98874428923219704</v>
      </c>
      <c r="S1913" t="s">
        <v>8198</v>
      </c>
      <c r="T1913" t="s">
        <v>12568</v>
      </c>
      <c r="U1913" t="s">
        <v>12568</v>
      </c>
      <c r="V1913" t="s">
        <v>12568</v>
      </c>
      <c r="W1913" t="s">
        <v>14447</v>
      </c>
      <c r="X1913">
        <v>8</v>
      </c>
      <c r="Y1913" t="s">
        <v>20636</v>
      </c>
      <c r="Z1913" t="s">
        <v>26783</v>
      </c>
      <c r="AA1913">
        <v>0.75111572375723612</v>
      </c>
      <c r="AB1913" t="str">
        <f>HYPERLINK("Melting_Curves/meltCurve_P26885_FKBP2.pdf", "Melting_Curves/meltCurve_P26885_FKBP2.pdf")</f>
        <v>Melting_Curves/meltCurve_P26885_FKBP2.pdf</v>
      </c>
    </row>
    <row r="1914" spans="1:28" x14ac:dyDescent="0.25">
      <c r="A1914" t="s">
        <v>1918</v>
      </c>
      <c r="B1914">
        <v>0.99352677808782597</v>
      </c>
      <c r="C1914">
        <v>0.96986066372104995</v>
      </c>
      <c r="D1914">
        <v>0.96786356255575201</v>
      </c>
      <c r="E1914">
        <v>0.57604632237615006</v>
      </c>
      <c r="F1914">
        <v>0.49482325566958502</v>
      </c>
      <c r="G1914">
        <v>0.190059302954522</v>
      </c>
      <c r="H1914">
        <v>0.104749953001921</v>
      </c>
      <c r="I1914">
        <v>0.14339731518693</v>
      </c>
      <c r="J1914">
        <v>7.5360862103575801E-2</v>
      </c>
      <c r="K1914">
        <v>8.2340911369080699E-2</v>
      </c>
      <c r="L1914">
        <v>921.80570863393905</v>
      </c>
      <c r="M1914">
        <v>17.9007577576062</v>
      </c>
      <c r="N1914">
        <v>51.972308320766501</v>
      </c>
      <c r="O1914">
        <v>50.865592994902499</v>
      </c>
      <c r="P1914">
        <v>-8.1320509932776397E-2</v>
      </c>
      <c r="Q1914">
        <v>7.5746972202201696E-2</v>
      </c>
      <c r="R1914">
        <v>0.98622402036517398</v>
      </c>
      <c r="S1914" t="s">
        <v>8199</v>
      </c>
      <c r="T1914" t="s">
        <v>12568</v>
      </c>
      <c r="U1914" t="s">
        <v>12568</v>
      </c>
      <c r="V1914" t="s">
        <v>12568</v>
      </c>
      <c r="W1914" t="s">
        <v>14448</v>
      </c>
      <c r="X1914">
        <v>6</v>
      </c>
      <c r="Y1914" t="s">
        <v>20637</v>
      </c>
      <c r="Z1914" t="s">
        <v>26784</v>
      </c>
      <c r="AA1914">
        <v>0.44553282133199179</v>
      </c>
      <c r="AB1914" t="str">
        <f>HYPERLINK("Melting_Curves/meltCurve_P27144_AK4.pdf", "Melting_Curves/meltCurve_P27144_AK4.pdf")</f>
        <v>Melting_Curves/meltCurve_P27144_AK4.pdf</v>
      </c>
    </row>
    <row r="1915" spans="1:28" x14ac:dyDescent="0.25">
      <c r="A1915" t="s">
        <v>1919</v>
      </c>
      <c r="B1915">
        <v>0.99352677808782597</v>
      </c>
      <c r="C1915">
        <v>0.90912299017218401</v>
      </c>
      <c r="D1915">
        <v>0.751667616981747</v>
      </c>
      <c r="E1915">
        <v>0.29734204381057899</v>
      </c>
      <c r="F1915">
        <v>0.24205180008168301</v>
      </c>
      <c r="G1915">
        <v>0.18275856918744099</v>
      </c>
      <c r="H1915">
        <v>0.13718767066308701</v>
      </c>
      <c r="I1915">
        <v>0.136361261717166</v>
      </c>
      <c r="J1915">
        <v>0.11030689379579101</v>
      </c>
      <c r="K1915">
        <v>0.105087324664541</v>
      </c>
      <c r="L1915">
        <v>1099.2332395583301</v>
      </c>
      <c r="M1915">
        <v>23.129766883565701</v>
      </c>
      <c r="N1915">
        <v>48.155042844430199</v>
      </c>
      <c r="O1915">
        <v>47.173646483453403</v>
      </c>
      <c r="P1915">
        <v>-0.106567666677123</v>
      </c>
      <c r="Q1915">
        <v>0.130627929225821</v>
      </c>
      <c r="R1915">
        <v>0.99376890093182302</v>
      </c>
      <c r="S1915" t="s">
        <v>8200</v>
      </c>
      <c r="T1915" t="s">
        <v>12568</v>
      </c>
      <c r="U1915" t="s">
        <v>12568</v>
      </c>
      <c r="V1915" t="s">
        <v>12568</v>
      </c>
      <c r="W1915" t="s">
        <v>14449</v>
      </c>
      <c r="X1915">
        <v>6</v>
      </c>
      <c r="Y1915" t="s">
        <v>20638</v>
      </c>
      <c r="Z1915" t="s">
        <v>26785</v>
      </c>
      <c r="AA1915">
        <v>0.3578019445052984</v>
      </c>
      <c r="AB1915" t="str">
        <f>HYPERLINK("Melting_Curves/meltCurve_P27216_ANXA13.pdf", "Melting_Curves/meltCurve_P27216_ANXA13.pdf")</f>
        <v>Melting_Curves/meltCurve_P27216_ANXA13.pdf</v>
      </c>
    </row>
    <row r="1916" spans="1:28" x14ac:dyDescent="0.25">
      <c r="A1916" t="s">
        <v>1920</v>
      </c>
      <c r="B1916">
        <v>0.99352677808782597</v>
      </c>
      <c r="C1916">
        <v>0.72878776763628506</v>
      </c>
      <c r="D1916">
        <v>1.00920622855902</v>
      </c>
      <c r="E1916">
        <v>0.82152888248455902</v>
      </c>
      <c r="F1916">
        <v>0.75765886051310904</v>
      </c>
      <c r="G1916">
        <v>0.33097904731330502</v>
      </c>
      <c r="H1916">
        <v>0.15962356442422401</v>
      </c>
      <c r="I1916">
        <v>0.12710800546481199</v>
      </c>
      <c r="J1916">
        <v>0.12340722954403401</v>
      </c>
      <c r="K1916">
        <v>9.0830444168410504E-2</v>
      </c>
      <c r="L1916">
        <v>1139.95310112423</v>
      </c>
      <c r="M1916">
        <v>20.829679316176499</v>
      </c>
      <c r="N1916">
        <v>55.200521179272101</v>
      </c>
      <c r="O1916">
        <v>54.230424697929898</v>
      </c>
      <c r="P1916">
        <v>-8.8175676146975801E-2</v>
      </c>
      <c r="Q1916">
        <v>8.1758013606687996E-2</v>
      </c>
      <c r="R1916">
        <v>0.93674780340256802</v>
      </c>
      <c r="S1916" t="s">
        <v>8201</v>
      </c>
      <c r="T1916" t="s">
        <v>12568</v>
      </c>
      <c r="U1916" t="s">
        <v>12568</v>
      </c>
      <c r="V1916" t="s">
        <v>12568</v>
      </c>
      <c r="W1916" t="s">
        <v>14450</v>
      </c>
      <c r="X1916">
        <v>27</v>
      </c>
      <c r="Y1916" t="s">
        <v>20639</v>
      </c>
      <c r="Z1916" t="s">
        <v>26786</v>
      </c>
      <c r="AA1916">
        <v>0.54408745237681599</v>
      </c>
      <c r="AB1916" t="str">
        <f>HYPERLINK("Melting_Curves/meltCurve_P27348_YWHAQ.pdf", "Melting_Curves/meltCurve_P27348_YWHAQ.pdf")</f>
        <v>Melting_Curves/meltCurve_P27348_YWHAQ.pdf</v>
      </c>
    </row>
    <row r="1917" spans="1:28" x14ac:dyDescent="0.25">
      <c r="A1917" t="s">
        <v>1921</v>
      </c>
      <c r="B1917">
        <v>0.99352677808782597</v>
      </c>
      <c r="C1917">
        <v>0.90622939330958996</v>
      </c>
      <c r="D1917">
        <v>0.75537761656976399</v>
      </c>
      <c r="E1917">
        <v>0.37723998926833002</v>
      </c>
      <c r="F1917">
        <v>0.34240744410010499</v>
      </c>
      <c r="G1917">
        <v>0.22070232311038401</v>
      </c>
      <c r="H1917">
        <v>0.16929105517406301</v>
      </c>
      <c r="I1917">
        <v>9.1252039050313899E-2</v>
      </c>
      <c r="J1917">
        <v>8.1771298325388805E-2</v>
      </c>
      <c r="K1917">
        <v>6.04031670206387E-2</v>
      </c>
      <c r="L1917">
        <v>716.92842804165196</v>
      </c>
      <c r="M1917">
        <v>14.703128519800501</v>
      </c>
      <c r="N1917">
        <v>49.371097892550303</v>
      </c>
      <c r="O1917">
        <v>47.884938676747304</v>
      </c>
      <c r="P1917">
        <v>-7.0386729986369106E-2</v>
      </c>
      <c r="Q1917">
        <v>8.3162421234583103E-2</v>
      </c>
      <c r="R1917">
        <v>0.98667495463695498</v>
      </c>
      <c r="S1917" t="s">
        <v>8202</v>
      </c>
      <c r="T1917" t="s">
        <v>12568</v>
      </c>
      <c r="U1917" t="s">
        <v>12568</v>
      </c>
      <c r="V1917" t="s">
        <v>12568</v>
      </c>
      <c r="W1917" t="s">
        <v>14451</v>
      </c>
      <c r="X1917">
        <v>12</v>
      </c>
      <c r="Y1917" t="s">
        <v>20640</v>
      </c>
      <c r="Z1917" t="s">
        <v>26787</v>
      </c>
      <c r="AA1917">
        <v>0.37460624473927329</v>
      </c>
      <c r="AB1917" t="str">
        <f>HYPERLINK("Melting_Curves/meltCurve_P27361_MAPK3.pdf", "Melting_Curves/meltCurve_P27361_MAPK3.pdf")</f>
        <v>Melting_Curves/meltCurve_P27361_MAPK3.pdf</v>
      </c>
    </row>
    <row r="1918" spans="1:28" x14ac:dyDescent="0.25">
      <c r="A1918" t="s">
        <v>1922</v>
      </c>
      <c r="B1918">
        <v>0.99352677808782597</v>
      </c>
      <c r="C1918">
        <v>0.82497728568984197</v>
      </c>
      <c r="D1918">
        <v>0.85895665609558403</v>
      </c>
      <c r="E1918">
        <v>0.32053367899844698</v>
      </c>
      <c r="F1918">
        <v>0.26658902258831502</v>
      </c>
      <c r="G1918">
        <v>0.15335488784502299</v>
      </c>
      <c r="H1918">
        <v>9.6402174428754706E-2</v>
      </c>
      <c r="I1918">
        <v>9.1872701642857796E-2</v>
      </c>
      <c r="J1918">
        <v>7.2629002345860103E-2</v>
      </c>
      <c r="K1918">
        <v>6.3653883605298806E-2</v>
      </c>
      <c r="L1918">
        <v>957.21590719757796</v>
      </c>
      <c r="M1918">
        <v>19.763830204442101</v>
      </c>
      <c r="N1918">
        <v>48.869461831783497</v>
      </c>
      <c r="O1918">
        <v>47.945042868226601</v>
      </c>
      <c r="P1918">
        <v>-9.4715021205867306E-2</v>
      </c>
      <c r="Q1918">
        <v>8.0955297891599207E-2</v>
      </c>
      <c r="R1918">
        <v>0.97447520308586899</v>
      </c>
      <c r="S1918" t="s">
        <v>8203</v>
      </c>
      <c r="T1918" t="s">
        <v>12568</v>
      </c>
      <c r="U1918" t="s">
        <v>12568</v>
      </c>
      <c r="V1918" t="s">
        <v>12568</v>
      </c>
      <c r="W1918" t="s">
        <v>14452</v>
      </c>
      <c r="X1918">
        <v>9</v>
      </c>
      <c r="Y1918" t="s">
        <v>20641</v>
      </c>
      <c r="Z1918" t="s">
        <v>26788</v>
      </c>
      <c r="AA1918">
        <v>0.35257561073004712</v>
      </c>
      <c r="AB1918" t="str">
        <f>HYPERLINK("Melting_Curves/meltCurve_P27448_8_MARK3.pdf", "Melting_Curves/meltCurve_P27448_8_MARK3.pdf")</f>
        <v>Melting_Curves/meltCurve_P27448_8_MARK3.pdf</v>
      </c>
    </row>
    <row r="1919" spans="1:28" x14ac:dyDescent="0.25">
      <c r="A1919" t="s">
        <v>1923</v>
      </c>
      <c r="B1919">
        <v>0.99352677808782597</v>
      </c>
      <c r="C1919">
        <v>1.0073806714356801</v>
      </c>
      <c r="D1919">
        <v>0.97998164056360704</v>
      </c>
      <c r="E1919">
        <v>0.73806166917239902</v>
      </c>
      <c r="F1919">
        <v>0.637113867215515</v>
      </c>
      <c r="G1919">
        <v>0.442312552299997</v>
      </c>
      <c r="H1919">
        <v>0.32227648894273597</v>
      </c>
      <c r="I1919">
        <v>0.294722058159192</v>
      </c>
      <c r="J1919">
        <v>0.26755533063558501</v>
      </c>
      <c r="K1919">
        <v>0.21020613279129499</v>
      </c>
      <c r="L1919">
        <v>783.55357512381499</v>
      </c>
      <c r="M1919">
        <v>14.6925879985373</v>
      </c>
      <c r="N1919">
        <v>55.474196103510899</v>
      </c>
      <c r="O1919">
        <v>52.3711506077127</v>
      </c>
      <c r="P1919">
        <v>-5.4947448555989903E-2</v>
      </c>
      <c r="Q1919">
        <v>0.21665376947307199</v>
      </c>
      <c r="R1919">
        <v>0.99260395007451896</v>
      </c>
      <c r="S1919" t="s">
        <v>8204</v>
      </c>
      <c r="T1919" t="s">
        <v>12568</v>
      </c>
      <c r="U1919" t="s">
        <v>12568</v>
      </c>
      <c r="V1919" t="s">
        <v>12568</v>
      </c>
      <c r="W1919" t="s">
        <v>14453</v>
      </c>
      <c r="X1919">
        <v>14</v>
      </c>
      <c r="Y1919" t="s">
        <v>20642</v>
      </c>
      <c r="Z1919" t="s">
        <v>26789</v>
      </c>
      <c r="AA1919">
        <v>0.58179571047733147</v>
      </c>
      <c r="AB1919" t="str">
        <f>HYPERLINK("Melting_Curves/meltCurve_P27540_2_ARNT.pdf", "Melting_Curves/meltCurve_P27540_2_ARNT.pdf")</f>
        <v>Melting_Curves/meltCurve_P27540_2_ARNT.pdf</v>
      </c>
    </row>
    <row r="1920" spans="1:28" x14ac:dyDescent="0.25">
      <c r="A1920" t="s">
        <v>1924</v>
      </c>
      <c r="B1920">
        <v>0.99352677808782597</v>
      </c>
      <c r="C1920">
        <v>0.89928389514395402</v>
      </c>
      <c r="D1920">
        <v>1.2619091954080299</v>
      </c>
      <c r="E1920">
        <v>0.50375199042361296</v>
      </c>
      <c r="F1920">
        <v>0.46693779169976701</v>
      </c>
      <c r="G1920">
        <v>0.22422317249374599</v>
      </c>
      <c r="H1920">
        <v>0.139832284329896</v>
      </c>
      <c r="I1920">
        <v>0.123136544611971</v>
      </c>
      <c r="J1920">
        <v>9.6680270595182805E-2</v>
      </c>
      <c r="K1920">
        <v>7.9264025211145506E-2</v>
      </c>
      <c r="L1920">
        <v>1273.35255748747</v>
      </c>
      <c r="M1920">
        <v>24.942904494999699</v>
      </c>
      <c r="N1920">
        <v>51.618276211866799</v>
      </c>
      <c r="O1920">
        <v>50.7259463417803</v>
      </c>
      <c r="P1920">
        <v>-0.108187703491466</v>
      </c>
      <c r="Q1920">
        <v>0.119934239405851</v>
      </c>
      <c r="R1920">
        <v>0.909936981373628</v>
      </c>
      <c r="S1920" t="s">
        <v>8205</v>
      </c>
      <c r="T1920" t="s">
        <v>12568</v>
      </c>
      <c r="U1920" t="s">
        <v>12568</v>
      </c>
      <c r="V1920" t="s">
        <v>12568</v>
      </c>
      <c r="W1920" t="s">
        <v>14454</v>
      </c>
      <c r="X1920">
        <v>12</v>
      </c>
      <c r="Y1920" t="s">
        <v>20643</v>
      </c>
      <c r="Z1920" t="s">
        <v>26790</v>
      </c>
      <c r="AA1920">
        <v>0.45210281196972552</v>
      </c>
      <c r="AB1920" t="str">
        <f>HYPERLINK("Melting_Curves/meltCurve_P27635_RPL10.pdf", "Melting_Curves/meltCurve_P27635_RPL10.pdf")</f>
        <v>Melting_Curves/meltCurve_P27635_RPL10.pdf</v>
      </c>
    </row>
    <row r="1921" spans="1:28" x14ac:dyDescent="0.25">
      <c r="A1921" t="s">
        <v>1925</v>
      </c>
      <c r="B1921">
        <v>0.99352677808782597</v>
      </c>
      <c r="C1921">
        <v>0.96632806348901501</v>
      </c>
      <c r="D1921">
        <v>0.93204693918682602</v>
      </c>
      <c r="E1921">
        <v>0.46985147928408999</v>
      </c>
      <c r="F1921">
        <v>0.38065069923468903</v>
      </c>
      <c r="G1921">
        <v>0.16671730226744999</v>
      </c>
      <c r="H1921">
        <v>9.8796207818777404E-2</v>
      </c>
      <c r="I1921">
        <v>8.5527653874873197E-2</v>
      </c>
      <c r="J1921">
        <v>7.1801027470033002E-2</v>
      </c>
      <c r="K1921">
        <v>5.3885310563732601E-2</v>
      </c>
      <c r="L1921">
        <v>960.04912707871802</v>
      </c>
      <c r="M1921">
        <v>19.110650490630999</v>
      </c>
      <c r="N1921">
        <v>50.628816664734401</v>
      </c>
      <c r="O1921">
        <v>49.695975159916102</v>
      </c>
      <c r="P1921">
        <v>-8.9522455306539198E-2</v>
      </c>
      <c r="Q1921">
        <v>6.8847649253916204E-2</v>
      </c>
      <c r="R1921">
        <v>0.98862592901444102</v>
      </c>
      <c r="S1921" t="s">
        <v>8206</v>
      </c>
      <c r="T1921" t="s">
        <v>12568</v>
      </c>
      <c r="U1921" t="s">
        <v>12568</v>
      </c>
      <c r="V1921" t="s">
        <v>12568</v>
      </c>
      <c r="W1921" t="s">
        <v>14455</v>
      </c>
      <c r="X1921">
        <v>23</v>
      </c>
      <c r="Y1921" t="s">
        <v>20644</v>
      </c>
      <c r="Z1921" t="s">
        <v>26791</v>
      </c>
      <c r="AA1921">
        <v>0.40070227711766798</v>
      </c>
      <c r="AB1921" t="str">
        <f>HYPERLINK("Melting_Curves/meltCurve_P27694_RPA1.pdf", "Melting_Curves/meltCurve_P27694_RPA1.pdf")</f>
        <v>Melting_Curves/meltCurve_P27694_RPA1.pdf</v>
      </c>
    </row>
    <row r="1922" spans="1:28" x14ac:dyDescent="0.25">
      <c r="A1922" t="s">
        <v>1926</v>
      </c>
      <c r="B1922">
        <v>0.99352677808782597</v>
      </c>
      <c r="C1922">
        <v>0.90334910700101501</v>
      </c>
      <c r="D1922">
        <v>0.86949662178871601</v>
      </c>
      <c r="E1922">
        <v>0.20797002531945599</v>
      </c>
      <c r="F1922">
        <v>0.147857434483564</v>
      </c>
      <c r="G1922">
        <v>9.5702520850461104E-2</v>
      </c>
      <c r="H1922">
        <v>7.4153234284101102E-2</v>
      </c>
      <c r="I1922">
        <v>6.9072888331146901E-2</v>
      </c>
      <c r="J1922">
        <v>6.0796694440929097E-2</v>
      </c>
      <c r="K1922">
        <v>4.7520635671611099E-2</v>
      </c>
      <c r="L1922">
        <v>1887.4358753141601</v>
      </c>
      <c r="M1922">
        <v>39.376741077035099</v>
      </c>
      <c r="N1922">
        <v>48.134535899804497</v>
      </c>
      <c r="O1922">
        <v>47.809645754257502</v>
      </c>
      <c r="P1922">
        <v>-0.19023900079112399</v>
      </c>
      <c r="Q1922">
        <v>7.6080282665521096E-2</v>
      </c>
      <c r="R1922">
        <v>0.99140265682325701</v>
      </c>
      <c r="S1922" t="s">
        <v>8207</v>
      </c>
      <c r="T1922" t="s">
        <v>12568</v>
      </c>
      <c r="U1922" t="s">
        <v>12568</v>
      </c>
      <c r="V1922" t="s">
        <v>12568</v>
      </c>
      <c r="W1922" t="s">
        <v>14456</v>
      </c>
      <c r="X1922">
        <v>23</v>
      </c>
      <c r="Y1922" t="s">
        <v>20645</v>
      </c>
      <c r="Z1922" t="s">
        <v>26792</v>
      </c>
      <c r="AA1922">
        <v>0.32355853990992872</v>
      </c>
      <c r="AB1922" t="str">
        <f>HYPERLINK("Melting_Curves/meltCurve_P27695_APEX1.pdf", "Melting_Curves/meltCurve_P27695_APEX1.pdf")</f>
        <v>Melting_Curves/meltCurve_P27695_APEX1.pdf</v>
      </c>
    </row>
    <row r="1923" spans="1:28" x14ac:dyDescent="0.25">
      <c r="A1923" t="s">
        <v>1927</v>
      </c>
      <c r="B1923">
        <v>0.99352677808782597</v>
      </c>
      <c r="C1923">
        <v>0.96108030328669303</v>
      </c>
      <c r="D1923">
        <v>0.973013018043134</v>
      </c>
      <c r="E1923">
        <v>0.63566080032935601</v>
      </c>
      <c r="F1923">
        <v>0.54114676943607398</v>
      </c>
      <c r="G1923">
        <v>0.30894202104656299</v>
      </c>
      <c r="H1923">
        <v>0.14219991814138799</v>
      </c>
      <c r="I1923">
        <v>0.102946252025676</v>
      </c>
      <c r="J1923">
        <v>7.8581589405287006E-2</v>
      </c>
      <c r="K1923">
        <v>6.3764165627014605E-2</v>
      </c>
      <c r="L1923">
        <v>763.24613827712005</v>
      </c>
      <c r="M1923">
        <v>14.417888724947</v>
      </c>
      <c r="N1923">
        <v>53.1908899762483</v>
      </c>
      <c r="O1923">
        <v>51.950311148379797</v>
      </c>
      <c r="P1923">
        <v>-6.7087558129324001E-2</v>
      </c>
      <c r="Q1923">
        <v>3.3198685747318601E-2</v>
      </c>
      <c r="R1923">
        <v>0.99116053285579597</v>
      </c>
      <c r="S1923" t="s">
        <v>8208</v>
      </c>
      <c r="T1923" t="s">
        <v>12568</v>
      </c>
      <c r="U1923" t="s">
        <v>12568</v>
      </c>
      <c r="V1923" t="s">
        <v>12568</v>
      </c>
      <c r="W1923" t="s">
        <v>14457</v>
      </c>
      <c r="X1923">
        <v>10</v>
      </c>
      <c r="Y1923" t="s">
        <v>20646</v>
      </c>
      <c r="Z1923" t="s">
        <v>26793</v>
      </c>
      <c r="AA1923">
        <v>0.47215713072516008</v>
      </c>
      <c r="AB1923" t="str">
        <f>HYPERLINK("Melting_Curves/meltCurve_P27707_DCK.pdf", "Melting_Curves/meltCurve_P27707_DCK.pdf")</f>
        <v>Melting_Curves/meltCurve_P27707_DCK.pdf</v>
      </c>
    </row>
    <row r="1924" spans="1:28" x14ac:dyDescent="0.25">
      <c r="A1924" t="s">
        <v>1928</v>
      </c>
      <c r="B1924">
        <v>0.99352677808782597</v>
      </c>
      <c r="C1924">
        <v>0.90701852729359</v>
      </c>
      <c r="D1924">
        <v>0.79702925959945803</v>
      </c>
      <c r="E1924">
        <v>0.49351923332960901</v>
      </c>
      <c r="F1924">
        <v>0.41294030663124998</v>
      </c>
      <c r="G1924">
        <v>0.29917897134525001</v>
      </c>
      <c r="H1924">
        <v>0.25386773806139201</v>
      </c>
      <c r="I1924">
        <v>0.267118759030748</v>
      </c>
      <c r="J1924">
        <v>0.30071830686939399</v>
      </c>
      <c r="K1924">
        <v>0.24871597725748601</v>
      </c>
      <c r="L1924">
        <v>854.15048099899695</v>
      </c>
      <c r="M1924">
        <v>17.7123941601768</v>
      </c>
      <c r="N1924">
        <v>50.311247047406397</v>
      </c>
      <c r="O1924">
        <v>47.6212345749489</v>
      </c>
      <c r="P1924">
        <v>-6.8788612412465006E-2</v>
      </c>
      <c r="Q1924">
        <v>0.26026342889028797</v>
      </c>
      <c r="R1924">
        <v>0.99440285376931103</v>
      </c>
      <c r="S1924" t="s">
        <v>8209</v>
      </c>
      <c r="T1924" t="s">
        <v>12568</v>
      </c>
      <c r="U1924" t="s">
        <v>12568</v>
      </c>
      <c r="V1924" t="s">
        <v>12568</v>
      </c>
      <c r="W1924" t="s">
        <v>14458</v>
      </c>
      <c r="X1924">
        <v>24</v>
      </c>
      <c r="Y1924" t="s">
        <v>20647</v>
      </c>
      <c r="Z1924" t="s">
        <v>26794</v>
      </c>
      <c r="AA1924">
        <v>0.4765148549454879</v>
      </c>
      <c r="AB1924" t="str">
        <f>HYPERLINK("Melting_Curves/meltCurve_P27797_CALR.pdf", "Melting_Curves/meltCurve_P27797_CALR.pdf")</f>
        <v>Melting_Curves/meltCurve_P27797_CALR.pdf</v>
      </c>
    </row>
    <row r="1925" spans="1:28" x14ac:dyDescent="0.25">
      <c r="A1925" t="s">
        <v>1929</v>
      </c>
      <c r="B1925">
        <v>0.99352677808782597</v>
      </c>
      <c r="C1925">
        <v>0.89030599240209796</v>
      </c>
      <c r="D1925">
        <v>0.95579935241024205</v>
      </c>
      <c r="E1925">
        <v>0.99021865438086198</v>
      </c>
      <c r="F1925">
        <v>0.84808297240071395</v>
      </c>
      <c r="G1925">
        <v>0.76992880543839204</v>
      </c>
      <c r="H1925">
        <v>0.75784546678500897</v>
      </c>
      <c r="I1925">
        <v>0.796723674732155</v>
      </c>
      <c r="J1925">
        <v>0.85535757689748604</v>
      </c>
      <c r="K1925">
        <v>0.65976596536876897</v>
      </c>
      <c r="L1925">
        <v>348.98756191007101</v>
      </c>
      <c r="M1925">
        <v>5.9891002380839504</v>
      </c>
      <c r="O1925">
        <v>52.769379067505803</v>
      </c>
      <c r="P1925">
        <v>-1.038154942078E-2</v>
      </c>
      <c r="Q1925">
        <v>0.63530545885919898</v>
      </c>
      <c r="R1925">
        <v>0.66230618142543596</v>
      </c>
      <c r="S1925" t="s">
        <v>8210</v>
      </c>
      <c r="T1925" t="s">
        <v>12568</v>
      </c>
      <c r="U1925" t="s">
        <v>12568</v>
      </c>
      <c r="V1925" t="s">
        <v>12568</v>
      </c>
      <c r="W1925" t="s">
        <v>14459</v>
      </c>
      <c r="X1925">
        <v>77</v>
      </c>
      <c r="Y1925" t="s">
        <v>19137</v>
      </c>
      <c r="Z1925" t="s">
        <v>26795</v>
      </c>
      <c r="AA1925">
        <v>0.85304734671419069</v>
      </c>
      <c r="AB1925" t="str">
        <f>HYPERLINK("Melting_Curves/meltCurve_P27816_MAP4.pdf", "Melting_Curves/meltCurve_P27816_MAP4.pdf")</f>
        <v>Melting_Curves/meltCurve_P27816_MAP4.pdf</v>
      </c>
    </row>
    <row r="1926" spans="1:28" x14ac:dyDescent="0.25">
      <c r="A1926" t="s">
        <v>1930</v>
      </c>
      <c r="B1926">
        <v>0.99352677808782597</v>
      </c>
      <c r="C1926">
        <v>0.93811191859839904</v>
      </c>
      <c r="D1926">
        <v>0.78127635030934195</v>
      </c>
      <c r="E1926">
        <v>0.30237198829042</v>
      </c>
      <c r="F1926">
        <v>0.22705443662453101</v>
      </c>
      <c r="G1926">
        <v>0.16066451275774499</v>
      </c>
      <c r="H1926">
        <v>0.116167019931223</v>
      </c>
      <c r="I1926">
        <v>0.11015500474137301</v>
      </c>
      <c r="J1926">
        <v>9.6081583592915507E-2</v>
      </c>
      <c r="K1926">
        <v>7.0959487797202306E-2</v>
      </c>
      <c r="L1926">
        <v>1170.8517508380301</v>
      </c>
      <c r="M1926">
        <v>24.456507127640698</v>
      </c>
      <c r="N1926">
        <v>48.358897329170603</v>
      </c>
      <c r="O1926">
        <v>47.558210699343398</v>
      </c>
      <c r="P1926">
        <v>-0.11460514250749999</v>
      </c>
      <c r="Q1926">
        <v>0.108566810296867</v>
      </c>
      <c r="R1926">
        <v>0.99458592898048703</v>
      </c>
      <c r="S1926" t="s">
        <v>8211</v>
      </c>
      <c r="T1926" t="s">
        <v>12568</v>
      </c>
      <c r="U1926" t="s">
        <v>12568</v>
      </c>
      <c r="V1926" t="s">
        <v>12568</v>
      </c>
      <c r="W1926" t="s">
        <v>14460</v>
      </c>
      <c r="X1926">
        <v>6</v>
      </c>
      <c r="Y1926" t="s">
        <v>20648</v>
      </c>
      <c r="Z1926" t="s">
        <v>26796</v>
      </c>
      <c r="AA1926">
        <v>0.35082441438936401</v>
      </c>
      <c r="AB1926" t="str">
        <f>HYPERLINK("Melting_Curves/meltCurve_P27824_CANX.pdf", "Melting_Curves/meltCurve_P27824_CANX.pdf")</f>
        <v>Melting_Curves/meltCurve_P27824_CANX.pdf</v>
      </c>
    </row>
    <row r="1927" spans="1:28" x14ac:dyDescent="0.25">
      <c r="A1927" t="s">
        <v>1931</v>
      </c>
      <c r="B1927">
        <v>0.99352677808782597</v>
      </c>
      <c r="C1927">
        <v>0.988760587141431</v>
      </c>
      <c r="D1927">
        <v>0.888761111267656</v>
      </c>
      <c r="E1927">
        <v>0.49062472163012599</v>
      </c>
      <c r="F1927">
        <v>0.43551974923996201</v>
      </c>
      <c r="G1927">
        <v>0.27969403433094298</v>
      </c>
      <c r="H1927">
        <v>0.26402743988377497</v>
      </c>
      <c r="I1927">
        <v>0.27299244432523301</v>
      </c>
      <c r="J1927">
        <v>0.21617787012275499</v>
      </c>
      <c r="K1927">
        <v>0.17212011528110699</v>
      </c>
      <c r="L1927">
        <v>1013.85351574203</v>
      </c>
      <c r="M1927">
        <v>20.583669152998802</v>
      </c>
      <c r="N1927">
        <v>50.778409342193498</v>
      </c>
      <c r="O1927">
        <v>48.797409530621401</v>
      </c>
      <c r="P1927">
        <v>-8.1166739247233E-2</v>
      </c>
      <c r="Q1927">
        <v>0.23033905505899699</v>
      </c>
      <c r="R1927">
        <v>0.98450278048699502</v>
      </c>
      <c r="S1927" t="s">
        <v>8212</v>
      </c>
      <c r="T1927" t="s">
        <v>12568</v>
      </c>
      <c r="U1927" t="s">
        <v>12568</v>
      </c>
      <c r="V1927" t="s">
        <v>12568</v>
      </c>
      <c r="W1927" t="s">
        <v>14461</v>
      </c>
      <c r="X1927">
        <v>9</v>
      </c>
      <c r="Y1927" t="s">
        <v>20649</v>
      </c>
      <c r="Z1927" t="s">
        <v>26797</v>
      </c>
      <c r="AA1927">
        <v>0.47793768634396772</v>
      </c>
      <c r="AB1927" t="str">
        <f>HYPERLINK("Melting_Curves/meltCurve_P27986_PIK3R1.pdf", "Melting_Curves/meltCurve_P27986_PIK3R1.pdf")</f>
        <v>Melting_Curves/meltCurve_P27986_PIK3R1.pdf</v>
      </c>
    </row>
    <row r="1928" spans="1:28" x14ac:dyDescent="0.25">
      <c r="A1928" t="s">
        <v>1932</v>
      </c>
      <c r="B1928">
        <v>0.99352677808782597</v>
      </c>
      <c r="C1928">
        <v>0.85416422366823397</v>
      </c>
      <c r="D1928">
        <v>0.689924689953471</v>
      </c>
      <c r="E1928">
        <v>0.51065313190470296</v>
      </c>
      <c r="F1928">
        <v>0.457440788002548</v>
      </c>
      <c r="G1928">
        <v>0.36346527519060601</v>
      </c>
      <c r="H1928">
        <v>0.31691391203555003</v>
      </c>
      <c r="I1928">
        <v>0.32249777993159601</v>
      </c>
      <c r="J1928">
        <v>0.31303681092761199</v>
      </c>
      <c r="K1928">
        <v>0.27480748584445702</v>
      </c>
      <c r="L1928">
        <v>642.39066181908095</v>
      </c>
      <c r="M1928">
        <v>13.587445433548201</v>
      </c>
      <c r="N1928">
        <v>50.565001554152801</v>
      </c>
      <c r="O1928">
        <v>46.289425184218999</v>
      </c>
      <c r="P1928">
        <v>-5.18697651783682E-2</v>
      </c>
      <c r="Q1928">
        <v>0.29326979710974399</v>
      </c>
      <c r="R1928">
        <v>0.99132465296223105</v>
      </c>
      <c r="S1928" t="s">
        <v>8213</v>
      </c>
      <c r="T1928" t="s">
        <v>12568</v>
      </c>
      <c r="U1928" t="s">
        <v>12568</v>
      </c>
      <c r="V1928" t="s">
        <v>12568</v>
      </c>
      <c r="W1928" t="s">
        <v>14462</v>
      </c>
      <c r="X1928">
        <v>5</v>
      </c>
      <c r="Y1928" t="s">
        <v>20650</v>
      </c>
      <c r="Z1928" t="s">
        <v>26798</v>
      </c>
      <c r="AA1928">
        <v>0.48773157884894602</v>
      </c>
      <c r="AB1928" t="str">
        <f>HYPERLINK("Melting_Curves/meltCurve_P27987_ITPKB.pdf", "Melting_Curves/meltCurve_P27987_ITPKB.pdf")</f>
        <v>Melting_Curves/meltCurve_P27987_ITPKB.pdf</v>
      </c>
    </row>
    <row r="1929" spans="1:28" x14ac:dyDescent="0.25">
      <c r="A1929" t="s">
        <v>1933</v>
      </c>
      <c r="B1929">
        <v>0.99352677808782597</v>
      </c>
      <c r="C1929">
        <v>0.97053947489702097</v>
      </c>
      <c r="D1929">
        <v>0.83274808899474595</v>
      </c>
      <c r="E1929">
        <v>0.88848765696027299</v>
      </c>
      <c r="F1929">
        <v>0.72420694699066201</v>
      </c>
      <c r="G1929">
        <v>0.64194994510706105</v>
      </c>
      <c r="H1929">
        <v>0.73662176732737505</v>
      </c>
      <c r="I1929">
        <v>0.71994728140529596</v>
      </c>
      <c r="J1929">
        <v>0.90048646743248895</v>
      </c>
      <c r="K1929">
        <v>0.70039499248256998</v>
      </c>
      <c r="L1929">
        <v>855.42442506390796</v>
      </c>
      <c r="M1929">
        <v>18.439076831570301</v>
      </c>
      <c r="O1929">
        <v>45.856622725459097</v>
      </c>
      <c r="P1929">
        <v>-2.6008571033413599E-2</v>
      </c>
      <c r="Q1929">
        <v>0.74128609028678305</v>
      </c>
      <c r="R1929">
        <v>0.61679285926462102</v>
      </c>
      <c r="S1929" t="s">
        <v>8214</v>
      </c>
      <c r="T1929" t="s">
        <v>12568</v>
      </c>
      <c r="U1929" t="s">
        <v>12568</v>
      </c>
      <c r="V1929" t="s">
        <v>12568</v>
      </c>
      <c r="W1929" t="s">
        <v>14463</v>
      </c>
      <c r="X1929">
        <v>5</v>
      </c>
      <c r="Y1929" t="s">
        <v>20651</v>
      </c>
      <c r="Z1929" t="s">
        <v>26799</v>
      </c>
      <c r="AA1929">
        <v>0.80109127031480509</v>
      </c>
      <c r="AB1929" t="str">
        <f>HYPERLINK("Melting_Curves/meltCurve_P28062_2_PSMB8.pdf", "Melting_Curves/meltCurve_P28062_2_PSMB8.pdf")</f>
        <v>Melting_Curves/meltCurve_P28062_2_PSMB8.pdf</v>
      </c>
    </row>
    <row r="1930" spans="1:28" x14ac:dyDescent="0.25">
      <c r="A1930" t="s">
        <v>1934</v>
      </c>
      <c r="B1930">
        <v>0.99352677808782597</v>
      </c>
      <c r="C1930">
        <v>1.0027100669029501</v>
      </c>
      <c r="D1930">
        <v>0.79809692253950604</v>
      </c>
      <c r="E1930">
        <v>1.2802431237242899</v>
      </c>
      <c r="F1930">
        <v>1.0118507627368301</v>
      </c>
      <c r="G1930">
        <v>0.96642354618140902</v>
      </c>
      <c r="H1930">
        <v>1.3169874828252901</v>
      </c>
      <c r="I1930">
        <v>1.1804191864034399</v>
      </c>
      <c r="J1930">
        <v>1.46368092089633</v>
      </c>
      <c r="K1930">
        <v>1.1257211912893399</v>
      </c>
      <c r="L1930">
        <v>8106.1517320340199</v>
      </c>
      <c r="M1930">
        <v>137.68243068910499</v>
      </c>
      <c r="O1930">
        <v>58.863296639028199</v>
      </c>
      <c r="P1930">
        <v>0.15912170365931999</v>
      </c>
      <c r="Q1930">
        <v>1.2721168697612999</v>
      </c>
      <c r="R1930">
        <v>0.46534043808408598</v>
      </c>
      <c r="S1930" t="s">
        <v>8215</v>
      </c>
      <c r="T1930" t="s">
        <v>12568</v>
      </c>
      <c r="U1930" t="s">
        <v>12568</v>
      </c>
      <c r="V1930" t="s">
        <v>12568</v>
      </c>
      <c r="W1930" t="s">
        <v>14464</v>
      </c>
      <c r="X1930">
        <v>3</v>
      </c>
      <c r="Y1930" t="s">
        <v>20652</v>
      </c>
      <c r="Z1930" t="s">
        <v>26800</v>
      </c>
      <c r="AA1930">
        <v>1.1008107594991381</v>
      </c>
      <c r="AB1930" t="str">
        <f>HYPERLINK("Melting_Curves/meltCurve_P28065_PSMB9.pdf", "Melting_Curves/meltCurve_P28065_PSMB9.pdf")</f>
        <v>Melting_Curves/meltCurve_P28065_PSMB9.pdf</v>
      </c>
    </row>
    <row r="1931" spans="1:28" x14ac:dyDescent="0.25">
      <c r="A1931" t="s">
        <v>1935</v>
      </c>
      <c r="B1931">
        <v>0.99352677808782597</v>
      </c>
      <c r="C1931">
        <v>1.0097958010557</v>
      </c>
      <c r="D1931">
        <v>0.82814522129677404</v>
      </c>
      <c r="E1931">
        <v>1.30072667876138</v>
      </c>
      <c r="F1931">
        <v>1.0130671239176501</v>
      </c>
      <c r="G1931">
        <v>0.99326648109460203</v>
      </c>
      <c r="H1931">
        <v>1.4430462799663</v>
      </c>
      <c r="I1931">
        <v>1.29660552968147</v>
      </c>
      <c r="J1931">
        <v>1.72071299676931</v>
      </c>
      <c r="K1931">
        <v>1.2772718083233401</v>
      </c>
      <c r="L1931">
        <v>10887.878082458201</v>
      </c>
      <c r="M1931">
        <v>184.835358771194</v>
      </c>
      <c r="O1931">
        <v>58.898924103199697</v>
      </c>
      <c r="P1931">
        <v>0.34094198939843801</v>
      </c>
      <c r="Q1931">
        <v>1.43457303863768</v>
      </c>
      <c r="R1931">
        <v>0.62077570826773998</v>
      </c>
      <c r="S1931" t="s">
        <v>8216</v>
      </c>
      <c r="T1931" t="s">
        <v>12568</v>
      </c>
      <c r="U1931" t="s">
        <v>12568</v>
      </c>
      <c r="V1931" t="s">
        <v>12568</v>
      </c>
      <c r="W1931" t="s">
        <v>14465</v>
      </c>
      <c r="X1931">
        <v>12</v>
      </c>
      <c r="Y1931" t="s">
        <v>20653</v>
      </c>
      <c r="Z1931" t="s">
        <v>26801</v>
      </c>
      <c r="AA1931">
        <v>1.1606255376471619</v>
      </c>
      <c r="AB1931" t="str">
        <f>HYPERLINK("Melting_Curves/meltCurve_P28066_PSMA5.pdf", "Melting_Curves/meltCurve_P28066_PSMA5.pdf")</f>
        <v>Melting_Curves/meltCurve_P28066_PSMA5.pdf</v>
      </c>
    </row>
    <row r="1932" spans="1:28" x14ac:dyDescent="0.25">
      <c r="A1932" t="s">
        <v>1936</v>
      </c>
      <c r="B1932">
        <v>0.99352677808782597</v>
      </c>
      <c r="C1932">
        <v>0.99198161014728004</v>
      </c>
      <c r="D1932">
        <v>0.81934880627506701</v>
      </c>
      <c r="E1932">
        <v>1.42661519380396</v>
      </c>
      <c r="F1932">
        <v>1.0970011916850499</v>
      </c>
      <c r="G1932">
        <v>1.1082278921228299</v>
      </c>
      <c r="H1932">
        <v>1.6000179492759301</v>
      </c>
      <c r="I1932">
        <v>1.53917209730479</v>
      </c>
      <c r="J1932">
        <v>2.0726828907513801</v>
      </c>
      <c r="K1932">
        <v>1.6145552066807201</v>
      </c>
      <c r="L1932">
        <v>1083.0214139156999</v>
      </c>
      <c r="M1932">
        <v>19.902030482320701</v>
      </c>
      <c r="O1932">
        <v>53.877164285831697</v>
      </c>
      <c r="P1932">
        <v>4.6176085253685897E-2</v>
      </c>
      <c r="Q1932">
        <v>1.5</v>
      </c>
      <c r="R1932">
        <v>0.54496607658456298</v>
      </c>
      <c r="S1932" t="s">
        <v>8217</v>
      </c>
      <c r="T1932" t="s">
        <v>12568</v>
      </c>
      <c r="U1932" t="s">
        <v>12568</v>
      </c>
      <c r="V1932" t="s">
        <v>12568</v>
      </c>
      <c r="W1932" t="s">
        <v>14466</v>
      </c>
      <c r="X1932">
        <v>7</v>
      </c>
      <c r="Y1932" t="s">
        <v>20654</v>
      </c>
      <c r="Z1932" t="s">
        <v>26802</v>
      </c>
      <c r="AA1932">
        <v>1.252908163540843</v>
      </c>
      <c r="AB1932" t="str">
        <f>HYPERLINK("Melting_Curves/meltCurve_P28070_PSMB4.pdf", "Melting_Curves/meltCurve_P28070_PSMB4.pdf")</f>
        <v>Melting_Curves/meltCurve_P28070_PSMB4.pdf</v>
      </c>
    </row>
    <row r="1933" spans="1:28" x14ac:dyDescent="0.25">
      <c r="A1933" t="s">
        <v>1937</v>
      </c>
      <c r="B1933">
        <v>0.99352677808782597</v>
      </c>
      <c r="C1933">
        <v>0.99613459495730206</v>
      </c>
      <c r="D1933">
        <v>0.83378632930182095</v>
      </c>
      <c r="E1933">
        <v>1.3440995990209801</v>
      </c>
      <c r="F1933">
        <v>1.0658272794280299</v>
      </c>
      <c r="G1933">
        <v>1.1220877911857701</v>
      </c>
      <c r="H1933">
        <v>1.71444102531742</v>
      </c>
      <c r="I1933">
        <v>1.5010844887239501</v>
      </c>
      <c r="J1933">
        <v>1.9602281101433601</v>
      </c>
      <c r="K1933">
        <v>1.6756838831846701</v>
      </c>
      <c r="L1933">
        <v>14314.405380386899</v>
      </c>
      <c r="M1933">
        <v>250</v>
      </c>
      <c r="O1933">
        <v>57.2539574293966</v>
      </c>
      <c r="P1933">
        <v>0.54581379957558496</v>
      </c>
      <c r="Q1933">
        <v>1.5</v>
      </c>
      <c r="R1933">
        <v>0.65616218629784695</v>
      </c>
      <c r="S1933" t="s">
        <v>8218</v>
      </c>
      <c r="T1933" t="s">
        <v>12568</v>
      </c>
      <c r="U1933" t="s">
        <v>12568</v>
      </c>
      <c r="V1933" t="s">
        <v>12568</v>
      </c>
      <c r="W1933" t="s">
        <v>14467</v>
      </c>
      <c r="X1933">
        <v>11</v>
      </c>
      <c r="Y1933" t="s">
        <v>20655</v>
      </c>
      <c r="Z1933" t="s">
        <v>26803</v>
      </c>
      <c r="AA1933">
        <v>1.2123227315235521</v>
      </c>
      <c r="AB1933" t="str">
        <f>HYPERLINK("Melting_Curves/meltCurve_P28072_PSMB6.pdf", "Melting_Curves/meltCurve_P28072_PSMB6.pdf")</f>
        <v>Melting_Curves/meltCurve_P28072_PSMB6.pdf</v>
      </c>
    </row>
    <row r="1934" spans="1:28" x14ac:dyDescent="0.25">
      <c r="A1934" t="s">
        <v>1938</v>
      </c>
      <c r="B1934">
        <v>0.99352677808782597</v>
      </c>
      <c r="C1934">
        <v>0.96869424382121905</v>
      </c>
      <c r="D1934">
        <v>0.84261914457808096</v>
      </c>
      <c r="E1934">
        <v>1.22227440613772</v>
      </c>
      <c r="F1934">
        <v>1.0047116299138901</v>
      </c>
      <c r="G1934">
        <v>0.94547216101883702</v>
      </c>
      <c r="H1934">
        <v>1.27414996211762</v>
      </c>
      <c r="I1934">
        <v>1.2275103922598001</v>
      </c>
      <c r="J1934">
        <v>1.479482288277</v>
      </c>
      <c r="K1934">
        <v>1.11709775413278</v>
      </c>
      <c r="L1934">
        <v>14897.312545392801</v>
      </c>
      <c r="M1934">
        <v>250</v>
      </c>
      <c r="O1934">
        <v>59.585436620319499</v>
      </c>
      <c r="P1934">
        <v>0.28821106841726402</v>
      </c>
      <c r="Q1934">
        <v>1.2747709184126499</v>
      </c>
      <c r="R1934">
        <v>0.55804091404770895</v>
      </c>
      <c r="S1934" t="s">
        <v>8219</v>
      </c>
      <c r="T1934" t="s">
        <v>12568</v>
      </c>
      <c r="U1934" t="s">
        <v>12568</v>
      </c>
      <c r="V1934" t="s">
        <v>12568</v>
      </c>
      <c r="W1934" t="s">
        <v>14468</v>
      </c>
      <c r="X1934">
        <v>18</v>
      </c>
      <c r="Y1934" t="s">
        <v>20656</v>
      </c>
      <c r="Z1934" t="s">
        <v>26804</v>
      </c>
      <c r="AA1934">
        <v>1.0953236412492451</v>
      </c>
      <c r="AB1934" t="str">
        <f>HYPERLINK("Melting_Curves/meltCurve_P28074_PSMB5.pdf", "Melting_Curves/meltCurve_P28074_PSMB5.pdf")</f>
        <v>Melting_Curves/meltCurve_P28074_PSMB5.pdf</v>
      </c>
    </row>
    <row r="1935" spans="1:28" x14ac:dyDescent="0.25">
      <c r="A1935" t="s">
        <v>1939</v>
      </c>
      <c r="B1935">
        <v>0.99352677808782597</v>
      </c>
      <c r="C1935">
        <v>0.98150024964695404</v>
      </c>
      <c r="D1935">
        <v>0.76177769973436404</v>
      </c>
      <c r="E1935">
        <v>0.40709111841749701</v>
      </c>
      <c r="F1935">
        <v>0.30363855539532397</v>
      </c>
      <c r="G1935">
        <v>0.231631384428612</v>
      </c>
      <c r="H1935">
        <v>0.23216692873206099</v>
      </c>
      <c r="I1935">
        <v>0.21415115246087801</v>
      </c>
      <c r="J1935">
        <v>0.242341356834614</v>
      </c>
      <c r="K1935">
        <v>0.15934173211207101</v>
      </c>
      <c r="L1935">
        <v>1134.4952813780801</v>
      </c>
      <c r="M1935">
        <v>23.7603684164005</v>
      </c>
      <c r="N1935">
        <v>48.895098430007998</v>
      </c>
      <c r="O1935">
        <v>47.413017978577699</v>
      </c>
      <c r="P1935">
        <v>-9.8506646561558997E-2</v>
      </c>
      <c r="Q1935">
        <v>0.21374610422766499</v>
      </c>
      <c r="R1935">
        <v>0.99422682186984201</v>
      </c>
      <c r="S1935" t="s">
        <v>8220</v>
      </c>
      <c r="T1935" t="s">
        <v>12568</v>
      </c>
      <c r="U1935" t="s">
        <v>12568</v>
      </c>
      <c r="V1935" t="s">
        <v>12568</v>
      </c>
      <c r="W1935" t="s">
        <v>14469</v>
      </c>
      <c r="X1935">
        <v>6</v>
      </c>
      <c r="Y1935" t="s">
        <v>20657</v>
      </c>
      <c r="Z1935" t="s">
        <v>26805</v>
      </c>
      <c r="AA1935">
        <v>0.42455155265197708</v>
      </c>
      <c r="AB1935" t="str">
        <f>HYPERLINK("Melting_Curves/meltCurve_P28331_4_NDUFS1.pdf", "Melting_Curves/meltCurve_P28331_4_NDUFS1.pdf")</f>
        <v>Melting_Curves/meltCurve_P28331_4_NDUFS1.pdf</v>
      </c>
    </row>
    <row r="1936" spans="1:28" x14ac:dyDescent="0.25">
      <c r="A1936" t="s">
        <v>1940</v>
      </c>
      <c r="B1936">
        <v>0.99352677808782597</v>
      </c>
      <c r="C1936">
        <v>0.96141004429916899</v>
      </c>
      <c r="D1936">
        <v>0.82231118642828704</v>
      </c>
      <c r="E1936">
        <v>0.65252562248141899</v>
      </c>
      <c r="F1936">
        <v>0.50539735397366603</v>
      </c>
      <c r="G1936">
        <v>0.411283232070358</v>
      </c>
      <c r="H1936">
        <v>0.307525396983787</v>
      </c>
      <c r="I1936">
        <v>0.194866824052044</v>
      </c>
      <c r="J1936">
        <v>0.122597686945648</v>
      </c>
      <c r="K1936">
        <v>8.4171165209468504E-2</v>
      </c>
      <c r="L1936">
        <v>497.40845524792502</v>
      </c>
      <c r="M1936">
        <v>9.2080055057265806</v>
      </c>
      <c r="N1936">
        <v>54.0191307571152</v>
      </c>
      <c r="O1936">
        <v>51.654504598158297</v>
      </c>
      <c r="P1936">
        <v>-4.4595034713021897E-2</v>
      </c>
      <c r="Q1936">
        <v>0</v>
      </c>
      <c r="R1936">
        <v>0.990710327773906</v>
      </c>
      <c r="S1936" t="s">
        <v>8221</v>
      </c>
      <c r="T1936" t="s">
        <v>12568</v>
      </c>
      <c r="U1936" t="s">
        <v>12568</v>
      </c>
      <c r="V1936" t="s">
        <v>12568</v>
      </c>
      <c r="W1936" t="s">
        <v>14470</v>
      </c>
      <c r="X1936">
        <v>28</v>
      </c>
      <c r="Y1936" t="s">
        <v>20658</v>
      </c>
      <c r="Z1936" t="s">
        <v>26806</v>
      </c>
      <c r="AA1936">
        <v>0.49901928969521409</v>
      </c>
      <c r="AB1936" t="str">
        <f>HYPERLINK("Melting_Curves/meltCurve_P28340_POLD1.pdf", "Melting_Curves/meltCurve_P28340_POLD1.pdf")</f>
        <v>Melting_Curves/meltCurve_P28340_POLD1.pdf</v>
      </c>
    </row>
    <row r="1937" spans="1:28" x14ac:dyDescent="0.25">
      <c r="A1937" t="s">
        <v>1941</v>
      </c>
      <c r="B1937">
        <v>0.99352677808782597</v>
      </c>
      <c r="C1937">
        <v>0.98005951197171504</v>
      </c>
      <c r="D1937">
        <v>0.95366789164190502</v>
      </c>
      <c r="E1937">
        <v>0.81187671375664805</v>
      </c>
      <c r="F1937">
        <v>0.74424404555465895</v>
      </c>
      <c r="G1937">
        <v>0.34555759439429201</v>
      </c>
      <c r="H1937">
        <v>0.14638546689266199</v>
      </c>
      <c r="I1937">
        <v>0.12635273829232399</v>
      </c>
      <c r="J1937">
        <v>8.9754707918435206E-2</v>
      </c>
      <c r="K1937">
        <v>7.0715437573211096E-2</v>
      </c>
      <c r="L1937">
        <v>1041.0434612151601</v>
      </c>
      <c r="M1937">
        <v>18.964547232086002</v>
      </c>
      <c r="N1937">
        <v>55.210307627633803</v>
      </c>
      <c r="O1937">
        <v>54.294748607002298</v>
      </c>
      <c r="P1937">
        <v>-8.2832905699889894E-2</v>
      </c>
      <c r="Q1937">
        <v>5.14487621707196E-2</v>
      </c>
      <c r="R1937">
        <v>0.99321469253552896</v>
      </c>
      <c r="S1937" t="s">
        <v>8222</v>
      </c>
      <c r="T1937" t="s">
        <v>12568</v>
      </c>
      <c r="U1937" t="s">
        <v>12568</v>
      </c>
      <c r="V1937" t="s">
        <v>12568</v>
      </c>
      <c r="W1937" t="s">
        <v>14471</v>
      </c>
      <c r="X1937">
        <v>19</v>
      </c>
      <c r="Y1937" t="s">
        <v>20659</v>
      </c>
      <c r="Z1937" t="s">
        <v>26807</v>
      </c>
      <c r="AA1937">
        <v>0.53607505747060424</v>
      </c>
      <c r="AB1937" t="str">
        <f>HYPERLINK("Melting_Curves/meltCurve_P28482_MAPK1.pdf", "Melting_Curves/meltCurve_P28482_MAPK1.pdf")</f>
        <v>Melting_Curves/meltCurve_P28482_MAPK1.pdf</v>
      </c>
    </row>
    <row r="1938" spans="1:28" x14ac:dyDescent="0.25">
      <c r="A1938" t="s">
        <v>1942</v>
      </c>
      <c r="B1938">
        <v>0.99352677808782597</v>
      </c>
      <c r="C1938">
        <v>0.906946273951036</v>
      </c>
      <c r="D1938">
        <v>0.785755144277545</v>
      </c>
      <c r="E1938">
        <v>0.49250295182507098</v>
      </c>
      <c r="F1938">
        <v>0.44388280822910398</v>
      </c>
      <c r="G1938">
        <v>0.25183482466762103</v>
      </c>
      <c r="H1938">
        <v>0.28083014716457599</v>
      </c>
      <c r="I1938">
        <v>0.43306748409245599</v>
      </c>
      <c r="J1938">
        <v>0.14869780422290199</v>
      </c>
      <c r="K1938">
        <v>0.170970279301006</v>
      </c>
      <c r="L1938">
        <v>741.148776586792</v>
      </c>
      <c r="M1938">
        <v>15.2591716083028</v>
      </c>
      <c r="N1938">
        <v>50.637778238183699</v>
      </c>
      <c r="O1938">
        <v>47.759440953549003</v>
      </c>
      <c r="P1938">
        <v>-6.13655819633636E-2</v>
      </c>
      <c r="Q1938">
        <v>0.23180389558585299</v>
      </c>
      <c r="R1938">
        <v>0.93540146068771501</v>
      </c>
      <c r="S1938" t="s">
        <v>8223</v>
      </c>
      <c r="T1938" t="s">
        <v>12568</v>
      </c>
      <c r="U1938" t="s">
        <v>12568</v>
      </c>
      <c r="V1938" t="s">
        <v>12568</v>
      </c>
      <c r="W1938" t="s">
        <v>14472</v>
      </c>
      <c r="X1938">
        <v>2</v>
      </c>
      <c r="Y1938" t="s">
        <v>20660</v>
      </c>
      <c r="Z1938" t="s">
        <v>26808</v>
      </c>
      <c r="AA1938">
        <v>0.46992215202275978</v>
      </c>
      <c r="AB1938" t="str">
        <f>HYPERLINK("Melting_Curves/meltCurve_P28562_DUSP1.pdf", "Melting_Curves/meltCurve_P28562_DUSP1.pdf")</f>
        <v>Melting_Curves/meltCurve_P28562_DUSP1.pdf</v>
      </c>
    </row>
    <row r="1939" spans="1:28" x14ac:dyDescent="0.25">
      <c r="A1939" t="s">
        <v>1943</v>
      </c>
      <c r="B1939">
        <v>0.99352677808782597</v>
      </c>
      <c r="C1939">
        <v>0.89754911344236299</v>
      </c>
      <c r="D1939">
        <v>0.78073222878591897</v>
      </c>
      <c r="E1939">
        <v>0.32973431267469699</v>
      </c>
      <c r="F1939">
        <v>0.28791781374179998</v>
      </c>
      <c r="G1939">
        <v>0.189623581496</v>
      </c>
      <c r="H1939">
        <v>0.14729270353179999</v>
      </c>
      <c r="I1939">
        <v>0.14934506020633101</v>
      </c>
      <c r="J1939">
        <v>0.123672175014209</v>
      </c>
      <c r="K1939">
        <v>9.8275670736341705E-2</v>
      </c>
      <c r="L1939">
        <v>985.33719933325904</v>
      </c>
      <c r="M1939">
        <v>20.573974423056299</v>
      </c>
      <c r="N1939">
        <v>48.627387323789698</v>
      </c>
      <c r="O1939">
        <v>47.446835551231104</v>
      </c>
      <c r="P1939">
        <v>-9.3921911688151297E-2</v>
      </c>
      <c r="Q1939">
        <v>0.133630149408762</v>
      </c>
      <c r="R1939">
        <v>0.99005825345349197</v>
      </c>
      <c r="S1939" t="s">
        <v>8224</v>
      </c>
      <c r="T1939" t="s">
        <v>12568</v>
      </c>
      <c r="U1939" t="s">
        <v>12568</v>
      </c>
      <c r="V1939" t="s">
        <v>12568</v>
      </c>
      <c r="W1939" t="s">
        <v>14473</v>
      </c>
      <c r="X1939">
        <v>5</v>
      </c>
      <c r="Y1939" t="s">
        <v>20661</v>
      </c>
      <c r="Z1939" t="s">
        <v>26809</v>
      </c>
      <c r="AA1939">
        <v>0.37317314890935721</v>
      </c>
      <c r="AB1939" t="str">
        <f>HYPERLINK("Melting_Curves/meltCurve_P28702_RXRB.pdf", "Melting_Curves/meltCurve_P28702_RXRB.pdf")</f>
        <v>Melting_Curves/meltCurve_P28702_RXRB.pdf</v>
      </c>
    </row>
    <row r="1940" spans="1:28" x14ac:dyDescent="0.25">
      <c r="A1940" t="s">
        <v>1944</v>
      </c>
      <c r="B1940">
        <v>0.99352677808782597</v>
      </c>
      <c r="C1940">
        <v>0.97325742509577495</v>
      </c>
      <c r="D1940">
        <v>0.93610547577118597</v>
      </c>
      <c r="E1940">
        <v>0.75100966654034595</v>
      </c>
      <c r="F1940">
        <v>0.55588101788049704</v>
      </c>
      <c r="G1940">
        <v>0.481653823297575</v>
      </c>
      <c r="H1940">
        <v>0.37667209964352599</v>
      </c>
      <c r="I1940">
        <v>0.28768316521718401</v>
      </c>
      <c r="J1940">
        <v>0.22805558543201601</v>
      </c>
      <c r="K1940">
        <v>0.19964254286468799</v>
      </c>
      <c r="L1940">
        <v>613.81978081278203</v>
      </c>
      <c r="M1940">
        <v>11.3959720361943</v>
      </c>
      <c r="N1940">
        <v>55.783586466426399</v>
      </c>
      <c r="O1940">
        <v>52.284296278132501</v>
      </c>
      <c r="P1940">
        <v>-4.5661337689376101E-2</v>
      </c>
      <c r="Q1940">
        <v>0.162276517761344</v>
      </c>
      <c r="R1940">
        <v>0.98973799274332996</v>
      </c>
      <c r="S1940" t="s">
        <v>8225</v>
      </c>
      <c r="T1940" t="s">
        <v>12568</v>
      </c>
      <c r="U1940" t="s">
        <v>12568</v>
      </c>
      <c r="V1940" t="s">
        <v>12568</v>
      </c>
      <c r="W1940" t="s">
        <v>14474</v>
      </c>
      <c r="X1940">
        <v>6</v>
      </c>
      <c r="Y1940" t="s">
        <v>20662</v>
      </c>
      <c r="Z1940" t="s">
        <v>26810</v>
      </c>
      <c r="AA1940">
        <v>0.5726228626663965</v>
      </c>
      <c r="AB1940" t="str">
        <f>HYPERLINK("Melting_Curves/meltCurve_P28715_ERCC5.pdf", "Melting_Curves/meltCurve_P28715_ERCC5.pdf")</f>
        <v>Melting_Curves/meltCurve_P28715_ERCC5.pdf</v>
      </c>
    </row>
    <row r="1941" spans="1:28" x14ac:dyDescent="0.25">
      <c r="A1941" t="s">
        <v>1945</v>
      </c>
      <c r="B1941">
        <v>0.99352677808782597</v>
      </c>
      <c r="C1941">
        <v>0.87364709033909604</v>
      </c>
      <c r="D1941">
        <v>0.78189294837731904</v>
      </c>
      <c r="E1941">
        <v>0.50473266754935397</v>
      </c>
      <c r="F1941">
        <v>0.41475860118630198</v>
      </c>
      <c r="G1941">
        <v>0.35554951654671102</v>
      </c>
      <c r="H1941">
        <v>0.29642720679948797</v>
      </c>
      <c r="I1941">
        <v>0.328969369420406</v>
      </c>
      <c r="J1941">
        <v>0.29169501462404002</v>
      </c>
      <c r="K1941">
        <v>0.25347620898063</v>
      </c>
      <c r="L1941">
        <v>756.272633627392</v>
      </c>
      <c r="M1941">
        <v>15.7807383989336</v>
      </c>
      <c r="N1941">
        <v>50.596575442349099</v>
      </c>
      <c r="O1941">
        <v>47.174003282067801</v>
      </c>
      <c r="P1941">
        <v>-5.9987686190602199E-2</v>
      </c>
      <c r="Q1941">
        <v>0.28276476844347198</v>
      </c>
      <c r="R1941">
        <v>0.99198356721688297</v>
      </c>
      <c r="S1941" t="s">
        <v>8226</v>
      </c>
      <c r="T1941" t="s">
        <v>12568</v>
      </c>
      <c r="U1941" t="s">
        <v>12568</v>
      </c>
      <c r="V1941" t="s">
        <v>12568</v>
      </c>
      <c r="W1941" t="s">
        <v>14475</v>
      </c>
      <c r="X1941">
        <v>6</v>
      </c>
      <c r="Y1941" t="s">
        <v>20663</v>
      </c>
      <c r="Z1941" t="s">
        <v>26811</v>
      </c>
      <c r="AA1941">
        <v>0.48893746806807131</v>
      </c>
      <c r="AB1941" t="str">
        <f>HYPERLINK("Melting_Curves/meltCurve_P28749_RBL1.pdf", "Melting_Curves/meltCurve_P28749_RBL1.pdf")</f>
        <v>Melting_Curves/meltCurve_P28749_RBL1.pdf</v>
      </c>
    </row>
    <row r="1942" spans="1:28" x14ac:dyDescent="0.25">
      <c r="A1942" t="s">
        <v>1946</v>
      </c>
      <c r="B1942">
        <v>0.99352677808782597</v>
      </c>
      <c r="C1942">
        <v>0.958965891849901</v>
      </c>
      <c r="D1942">
        <v>0.93835208811792503</v>
      </c>
      <c r="E1942">
        <v>0.88906676135311502</v>
      </c>
      <c r="F1942">
        <v>0.81977131173662698</v>
      </c>
      <c r="G1942">
        <v>0.68885920612374696</v>
      </c>
      <c r="H1942">
        <v>0.66392559135450302</v>
      </c>
      <c r="I1942">
        <v>0.73345399054640403</v>
      </c>
      <c r="J1942">
        <v>0.80444956893879704</v>
      </c>
      <c r="K1942">
        <v>0.71150135231173595</v>
      </c>
      <c r="L1942">
        <v>1022.99360981115</v>
      </c>
      <c r="M1942">
        <v>20.280707005733301</v>
      </c>
      <c r="O1942">
        <v>49.958968414297203</v>
      </c>
      <c r="P1942">
        <v>-2.8619278936665899E-2</v>
      </c>
      <c r="Q1942">
        <v>0.71800872431962703</v>
      </c>
      <c r="R1942">
        <v>0.86914996032015901</v>
      </c>
      <c r="S1942" t="s">
        <v>8227</v>
      </c>
      <c r="T1942" t="s">
        <v>12568</v>
      </c>
      <c r="U1942" t="s">
        <v>12568</v>
      </c>
      <c r="V1942" t="s">
        <v>12568</v>
      </c>
      <c r="W1942" t="s">
        <v>14476</v>
      </c>
      <c r="X1942">
        <v>11</v>
      </c>
      <c r="Y1942" t="s">
        <v>20664</v>
      </c>
      <c r="Z1942" t="s">
        <v>26812</v>
      </c>
      <c r="AA1942">
        <v>0.81997437841537113</v>
      </c>
      <c r="AB1942" t="str">
        <f>HYPERLINK("Melting_Curves/meltCurve_P28799_GRN.pdf", "Melting_Curves/meltCurve_P28799_GRN.pdf")</f>
        <v>Melting_Curves/meltCurve_P28799_GRN.pdf</v>
      </c>
    </row>
    <row r="1943" spans="1:28" x14ac:dyDescent="0.25">
      <c r="A1943" t="s">
        <v>1947</v>
      </c>
      <c r="B1943">
        <v>0.99352677808782597</v>
      </c>
      <c r="C1943">
        <v>0.94440055402395395</v>
      </c>
      <c r="D1943">
        <v>0.48992815364908499</v>
      </c>
      <c r="E1943">
        <v>0.25990842320082003</v>
      </c>
      <c r="F1943">
        <v>0.195960687024338</v>
      </c>
      <c r="G1943">
        <v>0.127871960960944</v>
      </c>
      <c r="H1943">
        <v>9.4116004602307193E-2</v>
      </c>
      <c r="I1943">
        <v>7.7685530860752597E-2</v>
      </c>
      <c r="J1943">
        <v>6.7625460767775702E-2</v>
      </c>
      <c r="K1943">
        <v>5.5530032905578799E-2</v>
      </c>
      <c r="L1943">
        <v>1094.7838874556201</v>
      </c>
      <c r="M1943">
        <v>23.748380613193699</v>
      </c>
      <c r="N1943">
        <v>46.516729143539898</v>
      </c>
      <c r="O1943">
        <v>45.776190541281402</v>
      </c>
      <c r="P1943">
        <v>-0.117253694494764</v>
      </c>
      <c r="Q1943">
        <v>9.5965962088145604E-2</v>
      </c>
      <c r="R1943">
        <v>0.98317964664075796</v>
      </c>
      <c r="S1943" t="s">
        <v>8228</v>
      </c>
      <c r="T1943" t="s">
        <v>12568</v>
      </c>
      <c r="U1943" t="s">
        <v>12568</v>
      </c>
      <c r="V1943" t="s">
        <v>12568</v>
      </c>
      <c r="W1943" t="s">
        <v>14477</v>
      </c>
      <c r="X1943">
        <v>27</v>
      </c>
      <c r="Y1943" t="s">
        <v>20665</v>
      </c>
      <c r="Z1943" t="s">
        <v>26813</v>
      </c>
      <c r="AA1943">
        <v>0.28911778241268182</v>
      </c>
      <c r="AB1943" t="str">
        <f>HYPERLINK("Melting_Curves/meltCurve_P28838_2_LAP3.pdf", "Melting_Curves/meltCurve_P28838_2_LAP3.pdf")</f>
        <v>Melting_Curves/meltCurve_P28838_2_LAP3.pdf</v>
      </c>
    </row>
    <row r="1944" spans="1:28" x14ac:dyDescent="0.25">
      <c r="A1944" t="s">
        <v>1948</v>
      </c>
      <c r="B1944">
        <v>0.99352677808782597</v>
      </c>
      <c r="C1944">
        <v>0.93889690494356304</v>
      </c>
      <c r="D1944">
        <v>1.0093402845377599</v>
      </c>
      <c r="E1944">
        <v>0.97428172140494396</v>
      </c>
      <c r="F1944">
        <v>1.03561745148783</v>
      </c>
      <c r="G1944">
        <v>0.94122003498529105</v>
      </c>
      <c r="H1944">
        <v>0.85940781337501304</v>
      </c>
      <c r="I1944">
        <v>1.0022488045451099</v>
      </c>
      <c r="J1944">
        <v>0.57067843908314297</v>
      </c>
      <c r="K1944">
        <v>0.39370394790390301</v>
      </c>
      <c r="L1944">
        <v>15000</v>
      </c>
      <c r="M1944">
        <v>224.76669342554499</v>
      </c>
      <c r="N1944">
        <v>67.198738191602004</v>
      </c>
      <c r="O1944">
        <v>66.7305893389819</v>
      </c>
      <c r="P1944">
        <v>-0.51055700851829</v>
      </c>
      <c r="Q1944">
        <v>0.39368655936282299</v>
      </c>
      <c r="R1944">
        <v>0.93037856618940196</v>
      </c>
      <c r="S1944" t="s">
        <v>8229</v>
      </c>
      <c r="T1944" t="s">
        <v>12568</v>
      </c>
      <c r="U1944" t="s">
        <v>12568</v>
      </c>
      <c r="V1944" t="s">
        <v>12568</v>
      </c>
      <c r="W1944" t="s">
        <v>14478</v>
      </c>
      <c r="X1944">
        <v>2</v>
      </c>
      <c r="Y1944" t="s">
        <v>20666</v>
      </c>
      <c r="Z1944" t="s">
        <v>26814</v>
      </c>
      <c r="AA1944">
        <v>0.93411806381917128</v>
      </c>
      <c r="AB1944" t="str">
        <f>HYPERLINK("Melting_Curves/meltCurve_P29034_S100A2.pdf", "Melting_Curves/meltCurve_P29034_S100A2.pdf")</f>
        <v>Melting_Curves/meltCurve_P29034_S100A2.pdf</v>
      </c>
    </row>
    <row r="1945" spans="1:28" x14ac:dyDescent="0.25">
      <c r="A1945" t="s">
        <v>1949</v>
      </c>
      <c r="B1945">
        <v>0.99352677808782597</v>
      </c>
      <c r="C1945">
        <v>0.93006353268977005</v>
      </c>
      <c r="D1945">
        <v>0.92157786732536695</v>
      </c>
      <c r="E1945">
        <v>0.72635319602234105</v>
      </c>
      <c r="F1945">
        <v>0.66092073072486501</v>
      </c>
      <c r="G1945">
        <v>0.417393558204189</v>
      </c>
      <c r="H1945">
        <v>0.25153957597459398</v>
      </c>
      <c r="I1945">
        <v>0.20524901725424799</v>
      </c>
      <c r="J1945">
        <v>0.16278819093757799</v>
      </c>
      <c r="K1945">
        <v>0.112586887141107</v>
      </c>
      <c r="L1945">
        <v>612.16418275068997</v>
      </c>
      <c r="M1945">
        <v>11.1249679091493</v>
      </c>
      <c r="N1945">
        <v>55.364299784354301</v>
      </c>
      <c r="O1945">
        <v>53.337963532786198</v>
      </c>
      <c r="P1945">
        <v>-5.0447371315930703E-2</v>
      </c>
      <c r="Q1945">
        <v>3.2845326774798997E-2</v>
      </c>
      <c r="R1945">
        <v>0.99509770673084297</v>
      </c>
      <c r="S1945" t="s">
        <v>8230</v>
      </c>
      <c r="T1945" t="s">
        <v>12568</v>
      </c>
      <c r="U1945" t="s">
        <v>12568</v>
      </c>
      <c r="V1945" t="s">
        <v>12568</v>
      </c>
      <c r="W1945" t="s">
        <v>14479</v>
      </c>
      <c r="X1945">
        <v>11</v>
      </c>
      <c r="Y1945" t="s">
        <v>20667</v>
      </c>
      <c r="Z1945" t="s">
        <v>26815</v>
      </c>
      <c r="AA1945">
        <v>0.54096005916052303</v>
      </c>
      <c r="AB1945" t="str">
        <f>HYPERLINK("Melting_Curves/meltCurve_P29083_GTF2E1.pdf", "Melting_Curves/meltCurve_P29083_GTF2E1.pdf")</f>
        <v>Melting_Curves/meltCurve_P29083_GTF2E1.pdf</v>
      </c>
    </row>
    <row r="1946" spans="1:28" x14ac:dyDescent="0.25">
      <c r="A1946" t="s">
        <v>1950</v>
      </c>
      <c r="B1946">
        <v>0.99352677808782597</v>
      </c>
      <c r="C1946">
        <v>0.90296019727983501</v>
      </c>
      <c r="D1946">
        <v>0.863628021009474</v>
      </c>
      <c r="E1946">
        <v>0.45821483053934198</v>
      </c>
      <c r="F1946">
        <v>0.37982030851184001</v>
      </c>
      <c r="G1946">
        <v>0.25062188365535598</v>
      </c>
      <c r="H1946">
        <v>0.20470123895369099</v>
      </c>
      <c r="I1946">
        <v>0.18049942899397201</v>
      </c>
      <c r="J1946">
        <v>0.15041522330496801</v>
      </c>
      <c r="K1946">
        <v>0.11567427621694901</v>
      </c>
      <c r="L1946">
        <v>826.32348521038898</v>
      </c>
      <c r="M1946">
        <v>16.764224518675601</v>
      </c>
      <c r="N1946">
        <v>50.362173733065703</v>
      </c>
      <c r="O1946">
        <v>48.605536225618401</v>
      </c>
      <c r="P1946">
        <v>-7.3299004638341894E-2</v>
      </c>
      <c r="Q1946">
        <v>0.14997446982767801</v>
      </c>
      <c r="R1946">
        <v>0.98774732513149899</v>
      </c>
      <c r="S1946" t="s">
        <v>8231</v>
      </c>
      <c r="T1946" t="s">
        <v>12568</v>
      </c>
      <c r="U1946" t="s">
        <v>12568</v>
      </c>
      <c r="V1946" t="s">
        <v>12568</v>
      </c>
      <c r="W1946" t="s">
        <v>14480</v>
      </c>
      <c r="X1946">
        <v>16</v>
      </c>
      <c r="Y1946" t="s">
        <v>20668</v>
      </c>
      <c r="Z1946" t="s">
        <v>26816</v>
      </c>
      <c r="AA1946">
        <v>0.43004771848024881</v>
      </c>
      <c r="AB1946" t="str">
        <f>HYPERLINK("Melting_Curves/meltCurve_P29084_GTF2E2.pdf", "Melting_Curves/meltCurve_P29084_GTF2E2.pdf")</f>
        <v>Melting_Curves/meltCurve_P29084_GTF2E2.pdf</v>
      </c>
    </row>
    <row r="1947" spans="1:28" x14ac:dyDescent="0.25">
      <c r="A1947" t="s">
        <v>1951</v>
      </c>
      <c r="B1947">
        <v>0.99352677808782597</v>
      </c>
      <c r="C1947">
        <v>1.0040824487900999</v>
      </c>
      <c r="D1947">
        <v>0.73676666611969499</v>
      </c>
      <c r="E1947">
        <v>0.31210903701417803</v>
      </c>
      <c r="F1947">
        <v>0.23255686038544701</v>
      </c>
      <c r="G1947">
        <v>0.15225925125408499</v>
      </c>
      <c r="H1947">
        <v>9.50072143901972E-2</v>
      </c>
      <c r="I1947">
        <v>7.97233184784788E-2</v>
      </c>
      <c r="J1947">
        <v>7.0794222324648201E-2</v>
      </c>
      <c r="K1947">
        <v>4.8903346124038703E-2</v>
      </c>
      <c r="L1947">
        <v>1094.08486861661</v>
      </c>
      <c r="M1947">
        <v>22.807531608485402</v>
      </c>
      <c r="N1947">
        <v>48.3731876408836</v>
      </c>
      <c r="O1947">
        <v>47.606127519219498</v>
      </c>
      <c r="P1947">
        <v>-0.109414808125489</v>
      </c>
      <c r="Q1947">
        <v>8.6492371044832303E-2</v>
      </c>
      <c r="R1947">
        <v>0.99150458331407498</v>
      </c>
      <c r="S1947" t="s">
        <v>8232</v>
      </c>
      <c r="T1947" t="s">
        <v>12568</v>
      </c>
      <c r="U1947" t="s">
        <v>12568</v>
      </c>
      <c r="V1947" t="s">
        <v>12568</v>
      </c>
      <c r="W1947" t="s">
        <v>14481</v>
      </c>
      <c r="X1947">
        <v>30</v>
      </c>
      <c r="Y1947" t="s">
        <v>20669</v>
      </c>
      <c r="Z1947" t="s">
        <v>26817</v>
      </c>
      <c r="AA1947">
        <v>0.33900975883533818</v>
      </c>
      <c r="AB1947" t="str">
        <f>HYPERLINK("Melting_Curves/meltCurve_P29144_TPP2.pdf", "Melting_Curves/meltCurve_P29144_TPP2.pdf")</f>
        <v>Melting_Curves/meltCurve_P29144_TPP2.pdf</v>
      </c>
    </row>
    <row r="1948" spans="1:28" x14ac:dyDescent="0.25">
      <c r="A1948" t="s">
        <v>1952</v>
      </c>
      <c r="B1948">
        <v>0.99352677808782597</v>
      </c>
      <c r="C1948">
        <v>0.98200563780502803</v>
      </c>
      <c r="D1948">
        <v>1.0054907107196001</v>
      </c>
      <c r="E1948">
        <v>0.92268066002069105</v>
      </c>
      <c r="F1948">
        <v>0.83752840274586804</v>
      </c>
      <c r="G1948">
        <v>0.74812705646895605</v>
      </c>
      <c r="H1948">
        <v>0.753419582139496</v>
      </c>
      <c r="I1948">
        <v>0.79051364572555005</v>
      </c>
      <c r="J1948">
        <v>0.805395471153036</v>
      </c>
      <c r="K1948">
        <v>0.34035622196246601</v>
      </c>
      <c r="L1948">
        <v>434.93740059295999</v>
      </c>
      <c r="M1948">
        <v>6.0229196097554896</v>
      </c>
      <c r="O1948">
        <v>65.461314143812501</v>
      </c>
      <c r="P1948">
        <v>-2.30753099977343E-2</v>
      </c>
      <c r="Q1948">
        <v>0</v>
      </c>
      <c r="R1948">
        <v>0.699324637465494</v>
      </c>
      <c r="S1948" t="s">
        <v>8233</v>
      </c>
      <c r="T1948" t="s">
        <v>12568</v>
      </c>
      <c r="U1948" t="s">
        <v>12568</v>
      </c>
      <c r="V1948" t="s">
        <v>12568</v>
      </c>
      <c r="W1948" t="s">
        <v>14482</v>
      </c>
      <c r="X1948">
        <v>14</v>
      </c>
      <c r="Y1948" t="s">
        <v>19081</v>
      </c>
      <c r="Z1948" t="s">
        <v>26818</v>
      </c>
      <c r="AA1948">
        <v>0.83178278936364847</v>
      </c>
      <c r="AB1948" t="str">
        <f>HYPERLINK("Melting_Curves/meltCurve_P29218_IMPA1.pdf", "Melting_Curves/meltCurve_P29218_IMPA1.pdf")</f>
        <v>Melting_Curves/meltCurve_P29218_IMPA1.pdf</v>
      </c>
    </row>
    <row r="1949" spans="1:28" x14ac:dyDescent="0.25">
      <c r="A1949" t="s">
        <v>1953</v>
      </c>
      <c r="B1949">
        <v>0.99352677808782597</v>
      </c>
      <c r="C1949">
        <v>0.97770995146282702</v>
      </c>
      <c r="D1949">
        <v>1.00280934456988</v>
      </c>
      <c r="E1949">
        <v>0.79882241972914902</v>
      </c>
      <c r="F1949">
        <v>0.65848799340199704</v>
      </c>
      <c r="G1949">
        <v>0.491771315246325</v>
      </c>
      <c r="H1949">
        <v>0.361342215331377</v>
      </c>
      <c r="I1949">
        <v>0.28386796955270999</v>
      </c>
      <c r="J1949">
        <v>0.29012043528609699</v>
      </c>
      <c r="K1949">
        <v>0.250955665849594</v>
      </c>
      <c r="L1949">
        <v>811.57177984665202</v>
      </c>
      <c r="M1949">
        <v>15.0355692162445</v>
      </c>
      <c r="N1949">
        <v>56.384253682963198</v>
      </c>
      <c r="O1949">
        <v>53.048979364087103</v>
      </c>
      <c r="P1949">
        <v>-5.4078149094811803E-2</v>
      </c>
      <c r="Q1949">
        <v>0.236875318760502</v>
      </c>
      <c r="R1949">
        <v>0.99447153040284897</v>
      </c>
      <c r="S1949" t="s">
        <v>8234</v>
      </c>
      <c r="T1949" t="s">
        <v>12568</v>
      </c>
      <c r="U1949" t="s">
        <v>12568</v>
      </c>
      <c r="V1949" t="s">
        <v>12568</v>
      </c>
      <c r="W1949" t="s">
        <v>14483</v>
      </c>
      <c r="X1949">
        <v>11</v>
      </c>
      <c r="Y1949" t="s">
        <v>20670</v>
      </c>
      <c r="Z1949" t="s">
        <v>26819</v>
      </c>
      <c r="AA1949">
        <v>0.60804062835294448</v>
      </c>
      <c r="AB1949" t="str">
        <f>HYPERLINK("Melting_Curves/meltCurve_P29323_2_EPHB2.pdf", "Melting_Curves/meltCurve_P29323_2_EPHB2.pdf")</f>
        <v>Melting_Curves/meltCurve_P29323_2_EPHB2.pdf</v>
      </c>
    </row>
    <row r="1950" spans="1:28" x14ac:dyDescent="0.25">
      <c r="A1950" t="s">
        <v>1954</v>
      </c>
      <c r="B1950">
        <v>0.99352677808782597</v>
      </c>
      <c r="C1950">
        <v>0.95087602548875105</v>
      </c>
      <c r="D1950">
        <v>0.887230814747347</v>
      </c>
      <c r="E1950">
        <v>0.212377145524176</v>
      </c>
      <c r="F1950">
        <v>0.15405099571860401</v>
      </c>
      <c r="G1950">
        <v>9.6917615596477699E-2</v>
      </c>
      <c r="H1950">
        <v>6.5572603001969307E-2</v>
      </c>
      <c r="I1950">
        <v>6.5446084131121601E-2</v>
      </c>
      <c r="J1950">
        <v>5.6998933740483003E-2</v>
      </c>
      <c r="K1950">
        <v>4.4265644069222697E-2</v>
      </c>
      <c r="L1950">
        <v>1994.5085331308401</v>
      </c>
      <c r="M1950">
        <v>41.498559195892298</v>
      </c>
      <c r="N1950">
        <v>48.250503495473403</v>
      </c>
      <c r="O1950">
        <v>47.950911580022598</v>
      </c>
      <c r="P1950">
        <v>-0.20017637136116101</v>
      </c>
      <c r="Q1950">
        <v>7.47994668377477E-2</v>
      </c>
      <c r="R1950">
        <v>0.99489713795929102</v>
      </c>
      <c r="S1950" t="s">
        <v>8235</v>
      </c>
      <c r="T1950" t="s">
        <v>12568</v>
      </c>
      <c r="U1950" t="s">
        <v>12568</v>
      </c>
      <c r="V1950" t="s">
        <v>12568</v>
      </c>
      <c r="W1950" t="s">
        <v>14484</v>
      </c>
      <c r="X1950">
        <v>22</v>
      </c>
      <c r="Y1950" t="s">
        <v>20671</v>
      </c>
      <c r="Z1950" t="s">
        <v>26820</v>
      </c>
      <c r="AA1950">
        <v>0.32629533925881782</v>
      </c>
      <c r="AB1950" t="str">
        <f>HYPERLINK("Melting_Curves/meltCurve_P29350_PTPN6.pdf", "Melting_Curves/meltCurve_P29350_PTPN6.pdf")</f>
        <v>Melting_Curves/meltCurve_P29350_PTPN6.pdf</v>
      </c>
    </row>
    <row r="1951" spans="1:28" x14ac:dyDescent="0.25">
      <c r="A1951" t="s">
        <v>1955</v>
      </c>
      <c r="B1951">
        <v>0.99352677808782597</v>
      </c>
      <c r="C1951">
        <v>0.96741879875254599</v>
      </c>
      <c r="D1951">
        <v>0.98266291566549802</v>
      </c>
      <c r="E1951">
        <v>0.86852842106250505</v>
      </c>
      <c r="F1951">
        <v>0.78041082158040098</v>
      </c>
      <c r="G1951">
        <v>0.66598762720885796</v>
      </c>
      <c r="H1951">
        <v>0.418724007078633</v>
      </c>
      <c r="I1951">
        <v>0.29947204960708101</v>
      </c>
      <c r="J1951">
        <v>0.23166150115273201</v>
      </c>
      <c r="K1951">
        <v>0.20860252838425</v>
      </c>
      <c r="L1951">
        <v>688.05486599619496</v>
      </c>
      <c r="M1951">
        <v>11.700464777314</v>
      </c>
      <c r="N1951">
        <v>59.4649987405286</v>
      </c>
      <c r="O1951">
        <v>57.1668268341949</v>
      </c>
      <c r="P1951">
        <v>-4.8068649162333797E-2</v>
      </c>
      <c r="Q1951">
        <v>6.0823220552424902E-2</v>
      </c>
      <c r="R1951">
        <v>0.99422117139941502</v>
      </c>
      <c r="S1951" t="s">
        <v>8236</v>
      </c>
      <c r="T1951" t="s">
        <v>12568</v>
      </c>
      <c r="U1951" t="s">
        <v>12568</v>
      </c>
      <c r="V1951" t="s">
        <v>12568</v>
      </c>
      <c r="W1951" t="s">
        <v>14485</v>
      </c>
      <c r="X1951">
        <v>17</v>
      </c>
      <c r="Y1951" t="s">
        <v>20672</v>
      </c>
      <c r="Z1951" t="s">
        <v>26821</v>
      </c>
      <c r="AA1951">
        <v>0.65749191883858338</v>
      </c>
      <c r="AB1951" t="str">
        <f>HYPERLINK("Melting_Curves/meltCurve_P29353_6_SHC1.pdf", "Melting_Curves/meltCurve_P29353_6_SHC1.pdf")</f>
        <v>Melting_Curves/meltCurve_P29353_6_SHC1.pdf</v>
      </c>
    </row>
    <row r="1952" spans="1:28" x14ac:dyDescent="0.25">
      <c r="A1952" t="s">
        <v>1956</v>
      </c>
      <c r="B1952">
        <v>0.99352677808782597</v>
      </c>
      <c r="C1952">
        <v>0.93629904593793001</v>
      </c>
      <c r="D1952">
        <v>0.92303853086282595</v>
      </c>
      <c r="E1952">
        <v>0.32597126338490001</v>
      </c>
      <c r="F1952">
        <v>0.220349696701375</v>
      </c>
      <c r="G1952">
        <v>0.122286031635105</v>
      </c>
      <c r="H1952">
        <v>6.3797933349257499E-2</v>
      </c>
      <c r="I1952">
        <v>5.9370832470051003E-2</v>
      </c>
      <c r="J1952">
        <v>5.14149841587919E-2</v>
      </c>
      <c r="K1952">
        <v>3.5101729861116301E-2</v>
      </c>
      <c r="L1952">
        <v>1485.7508517814599</v>
      </c>
      <c r="M1952">
        <v>30.436577562463601</v>
      </c>
      <c r="N1952">
        <v>49.062085980610398</v>
      </c>
      <c r="O1952">
        <v>48.605393485964797</v>
      </c>
      <c r="P1952">
        <v>-0.14541191473505199</v>
      </c>
      <c r="Q1952">
        <v>7.1149482139969397E-2</v>
      </c>
      <c r="R1952">
        <v>0.98940836533911702</v>
      </c>
      <c r="S1952" t="s">
        <v>8237</v>
      </c>
      <c r="T1952" t="s">
        <v>12568</v>
      </c>
      <c r="U1952" t="s">
        <v>12568</v>
      </c>
      <c r="V1952" t="s">
        <v>12568</v>
      </c>
      <c r="W1952" t="s">
        <v>14486</v>
      </c>
      <c r="X1952">
        <v>4</v>
      </c>
      <c r="Y1952" t="s">
        <v>20673</v>
      </c>
      <c r="Z1952" t="s">
        <v>26822</v>
      </c>
      <c r="AA1952">
        <v>0.34954352949473039</v>
      </c>
      <c r="AB1952" t="str">
        <f>HYPERLINK("Melting_Curves/meltCurve_P29372_5_MPG.pdf", "Melting_Curves/meltCurve_P29372_5_MPG.pdf")</f>
        <v>Melting_Curves/meltCurve_P29372_5_MPG.pdf</v>
      </c>
    </row>
    <row r="1953" spans="1:28" x14ac:dyDescent="0.25">
      <c r="A1953" t="s">
        <v>1957</v>
      </c>
      <c r="B1953">
        <v>0.99352677808782597</v>
      </c>
      <c r="C1953">
        <v>1.01405674666241</v>
      </c>
      <c r="D1953">
        <v>1.0459742144689801</v>
      </c>
      <c r="E1953">
        <v>0.86026112485722295</v>
      </c>
      <c r="F1953">
        <v>0.76266454234154601</v>
      </c>
      <c r="G1953">
        <v>0.378822632804652</v>
      </c>
      <c r="H1953">
        <v>0.121396537398056</v>
      </c>
      <c r="I1953">
        <v>0.103266437515649</v>
      </c>
      <c r="J1953">
        <v>8.7029265880592996E-2</v>
      </c>
      <c r="K1953">
        <v>5.9593786740592999E-2</v>
      </c>
      <c r="L1953">
        <v>1242.5812287885501</v>
      </c>
      <c r="M1953">
        <v>22.4807325968731</v>
      </c>
      <c r="N1953">
        <v>55.5481890672486</v>
      </c>
      <c r="O1953">
        <v>54.8413731565159</v>
      </c>
      <c r="P1953">
        <v>-9.7085490562999102E-2</v>
      </c>
      <c r="Q1953">
        <v>5.2665644930573997E-2</v>
      </c>
      <c r="R1953">
        <v>0.99460244704547196</v>
      </c>
      <c r="S1953" t="s">
        <v>8238</v>
      </c>
      <c r="T1953" t="s">
        <v>12568</v>
      </c>
      <c r="U1953" t="s">
        <v>12568</v>
      </c>
      <c r="V1953" t="s">
        <v>12568</v>
      </c>
      <c r="W1953" t="s">
        <v>14487</v>
      </c>
      <c r="X1953">
        <v>4</v>
      </c>
      <c r="Y1953" t="s">
        <v>20674</v>
      </c>
      <c r="Z1953" t="s">
        <v>26823</v>
      </c>
      <c r="AA1953">
        <v>0.54541429179991074</v>
      </c>
      <c r="AB1953" t="str">
        <f>HYPERLINK("Melting_Curves/meltCurve_P29373_CRABP2.pdf", "Melting_Curves/meltCurve_P29373_CRABP2.pdf")</f>
        <v>Melting_Curves/meltCurve_P29373_CRABP2.pdf</v>
      </c>
    </row>
    <row r="1954" spans="1:28" x14ac:dyDescent="0.25">
      <c r="A1954" t="s">
        <v>1958</v>
      </c>
      <c r="B1954">
        <v>0.99352677808782597</v>
      </c>
      <c r="C1954">
        <v>1.02531650942788</v>
      </c>
      <c r="D1954">
        <v>0.93558656297431797</v>
      </c>
      <c r="E1954">
        <v>0.86294016686861297</v>
      </c>
      <c r="F1954">
        <v>0.76750055043228305</v>
      </c>
      <c r="G1954">
        <v>0.59208398920028305</v>
      </c>
      <c r="H1954">
        <v>0.83061619459888303</v>
      </c>
      <c r="I1954">
        <v>0.74920255003916103</v>
      </c>
      <c r="J1954">
        <v>0.76702361412349296</v>
      </c>
      <c r="K1954">
        <v>0.19855402803921801</v>
      </c>
      <c r="L1954">
        <v>370.00406685369899</v>
      </c>
      <c r="M1954">
        <v>5.3038726610231697</v>
      </c>
      <c r="N1954">
        <v>69.761114365722506</v>
      </c>
      <c r="O1954">
        <v>61.694604371615704</v>
      </c>
      <c r="P1954">
        <v>-2.1599911513801799E-2</v>
      </c>
      <c r="Q1954">
        <v>0</v>
      </c>
      <c r="R1954">
        <v>0.58422594214577495</v>
      </c>
      <c r="S1954" t="s">
        <v>8239</v>
      </c>
      <c r="T1954" t="s">
        <v>12568</v>
      </c>
      <c r="U1954" t="s">
        <v>12568</v>
      </c>
      <c r="V1954" t="s">
        <v>12568</v>
      </c>
      <c r="W1954" t="s">
        <v>14488</v>
      </c>
      <c r="X1954">
        <v>50</v>
      </c>
      <c r="Y1954" t="s">
        <v>20675</v>
      </c>
      <c r="Z1954" t="s">
        <v>26824</v>
      </c>
      <c r="AA1954">
        <v>0.78144911484256141</v>
      </c>
      <c r="AB1954" t="str">
        <f>HYPERLINK("Melting_Curves/meltCurve_P29401_TKT.pdf", "Melting_Curves/meltCurve_P29401_TKT.pdf")</f>
        <v>Melting_Curves/meltCurve_P29401_TKT.pdf</v>
      </c>
    </row>
    <row r="1955" spans="1:28" x14ac:dyDescent="0.25">
      <c r="A1955" t="s">
        <v>1959</v>
      </c>
      <c r="B1955">
        <v>0.99352677808782597</v>
      </c>
      <c r="C1955">
        <v>0.98701226010320597</v>
      </c>
      <c r="D1955">
        <v>0.87589197864241097</v>
      </c>
      <c r="E1955">
        <v>0.79727733000869905</v>
      </c>
      <c r="F1955">
        <v>0.70834443640670597</v>
      </c>
      <c r="G1955">
        <v>0.53378919450578199</v>
      </c>
      <c r="H1955">
        <v>0.42163633486946001</v>
      </c>
      <c r="I1955">
        <v>0.43963365077255601</v>
      </c>
      <c r="J1955">
        <v>0.48472764833835202</v>
      </c>
      <c r="K1955">
        <v>0.41394103248275299</v>
      </c>
      <c r="L1955">
        <v>723.90245697753301</v>
      </c>
      <c r="M1955">
        <v>13.862402259404501</v>
      </c>
      <c r="N1955">
        <v>59.257538423015802</v>
      </c>
      <c r="O1955">
        <v>51.169840499198898</v>
      </c>
      <c r="P1955">
        <v>-4.0397585127713798E-2</v>
      </c>
      <c r="Q1955">
        <v>0.40360878758742702</v>
      </c>
      <c r="R1955">
        <v>0.98058429810962999</v>
      </c>
      <c r="S1955" t="s">
        <v>8240</v>
      </c>
      <c r="T1955" t="s">
        <v>12568</v>
      </c>
      <c r="U1955" t="s">
        <v>12568</v>
      </c>
      <c r="V1955" t="s">
        <v>12568</v>
      </c>
      <c r="W1955" t="s">
        <v>14489</v>
      </c>
      <c r="X1955">
        <v>12</v>
      </c>
      <c r="Y1955" t="s">
        <v>20676</v>
      </c>
      <c r="Z1955" t="s">
        <v>26825</v>
      </c>
      <c r="AA1955">
        <v>0.66138896552850046</v>
      </c>
      <c r="AB1955" t="str">
        <f>HYPERLINK("Melting_Curves/meltCurve_P29590_PML.pdf", "Melting_Curves/meltCurve_P29590_PML.pdf")</f>
        <v>Melting_Curves/meltCurve_P29590_PML.pdf</v>
      </c>
    </row>
    <row r="1956" spans="1:28" x14ac:dyDescent="0.25">
      <c r="A1956" t="s">
        <v>1960</v>
      </c>
      <c r="B1956">
        <v>0.99352677808782597</v>
      </c>
      <c r="C1956">
        <v>0.97819348113478399</v>
      </c>
      <c r="D1956">
        <v>0.843555946473586</v>
      </c>
      <c r="E1956">
        <v>0.54588940014552501</v>
      </c>
      <c r="F1956">
        <v>0.42810751670618302</v>
      </c>
      <c r="G1956">
        <v>0.36397356423862998</v>
      </c>
      <c r="H1956">
        <v>0.292451097251475</v>
      </c>
      <c r="I1956">
        <v>0.28128487273257602</v>
      </c>
      <c r="J1956">
        <v>0.31473908060265798</v>
      </c>
      <c r="K1956">
        <v>0.29938147831374601</v>
      </c>
      <c r="L1956">
        <v>995.73909832857498</v>
      </c>
      <c r="M1956">
        <v>20.415058155093298</v>
      </c>
      <c r="N1956">
        <v>51.057847386539997</v>
      </c>
      <c r="O1956">
        <v>48.313981771226302</v>
      </c>
      <c r="P1956">
        <v>-7.4020554179054607E-2</v>
      </c>
      <c r="Q1956">
        <v>0.29931724849097902</v>
      </c>
      <c r="R1956">
        <v>0.99637553543841095</v>
      </c>
      <c r="S1956" t="s">
        <v>8241</v>
      </c>
      <c r="T1956" t="s">
        <v>12568</v>
      </c>
      <c r="U1956" t="s">
        <v>12568</v>
      </c>
      <c r="V1956" t="s">
        <v>12568</v>
      </c>
      <c r="W1956" t="s">
        <v>14490</v>
      </c>
      <c r="X1956">
        <v>17</v>
      </c>
      <c r="Y1956" t="s">
        <v>20677</v>
      </c>
      <c r="Z1956" t="s">
        <v>26826</v>
      </c>
      <c r="AA1956">
        <v>0.51369203051765244</v>
      </c>
      <c r="AB1956" t="str">
        <f>HYPERLINK("Melting_Curves/meltCurve_P29692_EEF1D.pdf", "Melting_Curves/meltCurve_P29692_EEF1D.pdf")</f>
        <v>Melting_Curves/meltCurve_P29692_EEF1D.pdf</v>
      </c>
    </row>
    <row r="1957" spans="1:28" x14ac:dyDescent="0.25">
      <c r="A1957" t="s">
        <v>1961</v>
      </c>
      <c r="B1957">
        <v>0.99352677808782597</v>
      </c>
      <c r="C1957">
        <v>1.0583180216424</v>
      </c>
      <c r="D1957">
        <v>0.92611493398258105</v>
      </c>
      <c r="E1957">
        <v>0.69237161451459095</v>
      </c>
      <c r="F1957">
        <v>0.56389118098582403</v>
      </c>
      <c r="G1957">
        <v>0.458569919732701</v>
      </c>
      <c r="H1957">
        <v>0.35268839304939797</v>
      </c>
      <c r="I1957">
        <v>0.31200179180050502</v>
      </c>
      <c r="J1957">
        <v>0.35403866089213398</v>
      </c>
      <c r="K1957">
        <v>0.27620493840885602</v>
      </c>
      <c r="L1957">
        <v>865.25102804205596</v>
      </c>
      <c r="M1957">
        <v>16.853761349357001</v>
      </c>
      <c r="N1957">
        <v>54.421303400807403</v>
      </c>
      <c r="O1957">
        <v>50.632322931147499</v>
      </c>
      <c r="P1957">
        <v>-5.7629014726703703E-2</v>
      </c>
      <c r="Q1957">
        <v>0.30752456811225798</v>
      </c>
      <c r="R1957">
        <v>0.98375662481491799</v>
      </c>
      <c r="S1957" t="s">
        <v>8242</v>
      </c>
      <c r="T1957" t="s">
        <v>12568</v>
      </c>
      <c r="U1957" t="s">
        <v>12568</v>
      </c>
      <c r="V1957" t="s">
        <v>12568</v>
      </c>
      <c r="W1957" t="s">
        <v>14491</v>
      </c>
      <c r="X1957">
        <v>16</v>
      </c>
      <c r="Y1957" t="s">
        <v>20677</v>
      </c>
      <c r="Z1957" t="s">
        <v>26827</v>
      </c>
      <c r="AA1957">
        <v>0.58228630924866942</v>
      </c>
      <c r="AB1957" t="str">
        <f>HYPERLINK("Melting_Curves/meltCurve_P29692_2_EEF1D.pdf", "Melting_Curves/meltCurve_P29692_2_EEF1D.pdf")</f>
        <v>Melting_Curves/meltCurve_P29692_2_EEF1D.pdf</v>
      </c>
    </row>
    <row r="1958" spans="1:28" x14ac:dyDescent="0.25">
      <c r="A1958" t="s">
        <v>1962</v>
      </c>
      <c r="B1958">
        <v>0.99352677808782597</v>
      </c>
      <c r="C1958">
        <v>0.89523159916418804</v>
      </c>
      <c r="D1958">
        <v>1.0176684750870399</v>
      </c>
      <c r="E1958">
        <v>0.66403176615195803</v>
      </c>
      <c r="F1958">
        <v>0.62985365231131196</v>
      </c>
      <c r="G1958">
        <v>0.31746390408828401</v>
      </c>
      <c r="H1958">
        <v>0.17453444348539399</v>
      </c>
      <c r="I1958">
        <v>0.16307599795834399</v>
      </c>
      <c r="J1958">
        <v>0.15905329826690101</v>
      </c>
      <c r="K1958">
        <v>0.120479947623994</v>
      </c>
      <c r="L1958">
        <v>824.805057157786</v>
      </c>
      <c r="M1958">
        <v>15.5281815859543</v>
      </c>
      <c r="N1958">
        <v>53.8989100053616</v>
      </c>
      <c r="O1958">
        <v>52.259110867331003</v>
      </c>
      <c r="P1958">
        <v>-6.6796019330465597E-2</v>
      </c>
      <c r="Q1958">
        <v>0.100888128660376</v>
      </c>
      <c r="R1958">
        <v>0.97525874421357595</v>
      </c>
      <c r="S1958" t="s">
        <v>8243</v>
      </c>
      <c r="T1958" t="s">
        <v>12568</v>
      </c>
      <c r="U1958" t="s">
        <v>12568</v>
      </c>
      <c r="V1958" t="s">
        <v>12568</v>
      </c>
      <c r="W1958" t="s">
        <v>14492</v>
      </c>
      <c r="X1958">
        <v>4</v>
      </c>
      <c r="Y1958" t="s">
        <v>20678</v>
      </c>
      <c r="Z1958" t="s">
        <v>26828</v>
      </c>
      <c r="AA1958">
        <v>0.51234289100688135</v>
      </c>
      <c r="AB1958" t="str">
        <f>HYPERLINK("Melting_Curves/meltCurve_P29762_CRABP1.pdf", "Melting_Curves/meltCurve_P29762_CRABP1.pdf")</f>
        <v>Melting_Curves/meltCurve_P29762_CRABP1.pdf</v>
      </c>
    </row>
    <row r="1959" spans="1:28" x14ac:dyDescent="0.25">
      <c r="A1959" t="s">
        <v>1963</v>
      </c>
      <c r="B1959">
        <v>0.99352677808782597</v>
      </c>
      <c r="C1959">
        <v>0.947897663044449</v>
      </c>
      <c r="D1959">
        <v>0.96703584142949495</v>
      </c>
      <c r="E1959">
        <v>0.96577667228170205</v>
      </c>
      <c r="F1959">
        <v>0.936391523640561</v>
      </c>
      <c r="G1959">
        <v>0.79337958862476599</v>
      </c>
      <c r="H1959">
        <v>0.96940673962528201</v>
      </c>
      <c r="I1959">
        <v>0.86559736495156703</v>
      </c>
      <c r="J1959">
        <v>1.2097836992744799</v>
      </c>
      <c r="K1959">
        <v>0.84575767710970895</v>
      </c>
      <c r="L1959">
        <v>921.685907712588</v>
      </c>
      <c r="M1959">
        <v>21.972927462786</v>
      </c>
      <c r="O1959">
        <v>41.603645025379102</v>
      </c>
      <c r="P1959">
        <v>-7.7066036305114003E-3</v>
      </c>
      <c r="Q1959">
        <v>0.94163444254389395</v>
      </c>
      <c r="R1959">
        <v>1.8925606470511301E-2</v>
      </c>
      <c r="S1959" t="s">
        <v>8244</v>
      </c>
      <c r="T1959" t="s">
        <v>12568</v>
      </c>
      <c r="U1959" t="s">
        <v>12568</v>
      </c>
      <c r="V1959" t="s">
        <v>12568</v>
      </c>
      <c r="W1959" t="s">
        <v>14493</v>
      </c>
      <c r="X1959">
        <v>12</v>
      </c>
      <c r="Y1959" t="s">
        <v>20679</v>
      </c>
      <c r="Z1959" t="s">
        <v>26829</v>
      </c>
      <c r="AA1959">
        <v>0.94690690162895508</v>
      </c>
      <c r="AB1959" t="str">
        <f>HYPERLINK("Melting_Curves/meltCurve_P29966_MARCKS.pdf", "Melting_Curves/meltCurve_P29966_MARCKS.pdf")</f>
        <v>Melting_Curves/meltCurve_P29966_MARCKS.pdf</v>
      </c>
    </row>
    <row r="1960" spans="1:28" x14ac:dyDescent="0.25">
      <c r="A1960" t="s">
        <v>1964</v>
      </c>
      <c r="B1960">
        <v>0.99352677808782597</v>
      </c>
      <c r="C1960">
        <v>0.67587113117979103</v>
      </c>
      <c r="D1960">
        <v>0.37289134249626299</v>
      </c>
      <c r="E1960">
        <v>0.24875047386775601</v>
      </c>
      <c r="F1960">
        <v>0.17368204139871399</v>
      </c>
      <c r="G1960">
        <v>0.17706983615165001</v>
      </c>
      <c r="H1960">
        <v>0.12643042485703401</v>
      </c>
      <c r="I1960">
        <v>8.6142827596836696E-2</v>
      </c>
      <c r="J1960">
        <v>3.55803460905008E-2</v>
      </c>
      <c r="K1960">
        <v>2.7311195151222298E-2</v>
      </c>
      <c r="L1960">
        <v>843.70533693768402</v>
      </c>
      <c r="M1960">
        <v>18.9457452522261</v>
      </c>
      <c r="N1960">
        <v>45.038854432327398</v>
      </c>
      <c r="O1960">
        <v>44.045440511223802</v>
      </c>
      <c r="P1960">
        <v>-9.7227490924804594E-2</v>
      </c>
      <c r="Q1960">
        <v>9.5890430993484502E-2</v>
      </c>
      <c r="R1960">
        <v>0.96788187514674895</v>
      </c>
      <c r="S1960" t="s">
        <v>8245</v>
      </c>
      <c r="T1960" t="s">
        <v>12568</v>
      </c>
      <c r="U1960" t="s">
        <v>12568</v>
      </c>
      <c r="V1960" t="s">
        <v>12568</v>
      </c>
      <c r="W1960" t="s">
        <v>14494</v>
      </c>
      <c r="X1960">
        <v>5</v>
      </c>
      <c r="Y1960" t="s">
        <v>20680</v>
      </c>
      <c r="Z1960" t="s">
        <v>26830</v>
      </c>
      <c r="AA1960">
        <v>0.25087347953322281</v>
      </c>
      <c r="AB1960" t="str">
        <f>HYPERLINK("Melting_Curves/meltCurve_P30038_ALDH4A1.pdf", "Melting_Curves/meltCurve_P30038_ALDH4A1.pdf")</f>
        <v>Melting_Curves/meltCurve_P30038_ALDH4A1.pdf</v>
      </c>
    </row>
    <row r="1961" spans="1:28" x14ac:dyDescent="0.25">
      <c r="A1961" t="s">
        <v>1965</v>
      </c>
      <c r="B1961">
        <v>0.99352677808782597</v>
      </c>
      <c r="C1961">
        <v>1.0336768417395299</v>
      </c>
      <c r="D1961">
        <v>1.03227565791514</v>
      </c>
      <c r="E1961">
        <v>0.85006135976872998</v>
      </c>
      <c r="F1961">
        <v>0.72163443338662203</v>
      </c>
      <c r="G1961">
        <v>0.39185698276466202</v>
      </c>
      <c r="H1961">
        <v>0.227748270477929</v>
      </c>
      <c r="I1961">
        <v>0.20651421987878801</v>
      </c>
      <c r="J1961">
        <v>0.25722639598007302</v>
      </c>
      <c r="K1961">
        <v>0.155462783387248</v>
      </c>
      <c r="L1961">
        <v>1207.5691752417299</v>
      </c>
      <c r="M1961">
        <v>22.256494007940098</v>
      </c>
      <c r="N1961">
        <v>55.4138445662023</v>
      </c>
      <c r="O1961">
        <v>53.824601832018701</v>
      </c>
      <c r="P1961">
        <v>-8.4167200760145805E-2</v>
      </c>
      <c r="Q1961">
        <v>0.18582495467482199</v>
      </c>
      <c r="R1961">
        <v>0.99095347678621604</v>
      </c>
      <c r="S1961" t="s">
        <v>8246</v>
      </c>
      <c r="T1961" t="s">
        <v>12568</v>
      </c>
      <c r="U1961" t="s">
        <v>12568</v>
      </c>
      <c r="V1961" t="s">
        <v>12568</v>
      </c>
      <c r="W1961" t="s">
        <v>14495</v>
      </c>
      <c r="X1961">
        <v>5</v>
      </c>
      <c r="Y1961" t="s">
        <v>20681</v>
      </c>
      <c r="Z1961" t="s">
        <v>26831</v>
      </c>
      <c r="AA1961">
        <v>0.58198959713643028</v>
      </c>
      <c r="AB1961" t="str">
        <f>HYPERLINK("Melting_Curves/meltCurve_P30039_PBLD.pdf", "Melting_Curves/meltCurve_P30039_PBLD.pdf")</f>
        <v>Melting_Curves/meltCurve_P30039_PBLD.pdf</v>
      </c>
    </row>
    <row r="1962" spans="1:28" x14ac:dyDescent="0.25">
      <c r="A1962" t="s">
        <v>1966</v>
      </c>
      <c r="B1962">
        <v>0.99352677808782597</v>
      </c>
      <c r="C1962">
        <v>0.61376651787452996</v>
      </c>
      <c r="D1962">
        <v>0.93420973526685003</v>
      </c>
      <c r="E1962">
        <v>0.69002807294524304</v>
      </c>
      <c r="F1962">
        <v>0.59032875236795701</v>
      </c>
      <c r="G1962">
        <v>0.37530882747146399</v>
      </c>
      <c r="H1962">
        <v>0.27372063991477802</v>
      </c>
      <c r="I1962">
        <v>0.24409561653935199</v>
      </c>
      <c r="J1962">
        <v>0.28499003096325398</v>
      </c>
      <c r="K1962">
        <v>0.205469270479753</v>
      </c>
      <c r="L1962">
        <v>385.854615190868</v>
      </c>
      <c r="M1962">
        <v>7.1414736907859204</v>
      </c>
      <c r="N1962">
        <v>54.570870316026102</v>
      </c>
      <c r="O1962">
        <v>50.274534313068699</v>
      </c>
      <c r="P1962">
        <v>-3.43583453989088E-2</v>
      </c>
      <c r="Q1962">
        <v>3.4160560275538598E-2</v>
      </c>
      <c r="R1962">
        <v>0.85960809001760596</v>
      </c>
      <c r="S1962" t="s">
        <v>8247</v>
      </c>
      <c r="T1962" t="s">
        <v>12568</v>
      </c>
      <c r="U1962" t="s">
        <v>12568</v>
      </c>
      <c r="V1962" t="s">
        <v>12568</v>
      </c>
      <c r="W1962" t="s">
        <v>14496</v>
      </c>
      <c r="X1962">
        <v>13</v>
      </c>
      <c r="Y1962" t="s">
        <v>20682</v>
      </c>
      <c r="Z1962" t="s">
        <v>26832</v>
      </c>
      <c r="AA1962">
        <v>0.51993135341237007</v>
      </c>
      <c r="AB1962" t="str">
        <f>HYPERLINK("Melting_Curves/meltCurve_P30040_ERP29.pdf", "Melting_Curves/meltCurve_P30040_ERP29.pdf")</f>
        <v>Melting_Curves/meltCurve_P30040_ERP29.pdf</v>
      </c>
    </row>
    <row r="1963" spans="1:28" x14ac:dyDescent="0.25">
      <c r="A1963" t="s">
        <v>1967</v>
      </c>
      <c r="B1963">
        <v>0.99352677808782597</v>
      </c>
      <c r="C1963">
        <v>0.78155795187322197</v>
      </c>
      <c r="D1963">
        <v>1.0612355257485899</v>
      </c>
      <c r="E1963">
        <v>0.757528923167479</v>
      </c>
      <c r="F1963">
        <v>0.62873198714897105</v>
      </c>
      <c r="G1963">
        <v>0.34202300709914801</v>
      </c>
      <c r="H1963">
        <v>0.119425366427727</v>
      </c>
      <c r="I1963">
        <v>9.2890913627824506E-2</v>
      </c>
      <c r="J1963">
        <v>7.1786918022608906E-2</v>
      </c>
      <c r="K1963">
        <v>5.50546994572036E-2</v>
      </c>
      <c r="L1963">
        <v>882.75823823777705</v>
      </c>
      <c r="M1963">
        <v>16.263267642348399</v>
      </c>
      <c r="N1963">
        <v>54.403633582638399</v>
      </c>
      <c r="O1963">
        <v>53.4784967146336</v>
      </c>
      <c r="P1963">
        <v>-7.4645312622569696E-2</v>
      </c>
      <c r="Q1963">
        <v>1.8247606910559402E-2</v>
      </c>
      <c r="R1963">
        <v>0.958661943190389</v>
      </c>
      <c r="S1963" t="s">
        <v>8248</v>
      </c>
      <c r="T1963" t="s">
        <v>12568</v>
      </c>
      <c r="U1963" t="s">
        <v>12568</v>
      </c>
      <c r="V1963" t="s">
        <v>12568</v>
      </c>
      <c r="W1963" t="s">
        <v>14497</v>
      </c>
      <c r="X1963">
        <v>21</v>
      </c>
      <c r="Y1963" t="s">
        <v>20683</v>
      </c>
      <c r="Z1963" t="s">
        <v>26833</v>
      </c>
      <c r="AA1963">
        <v>0.50345946707918854</v>
      </c>
      <c r="AB1963" t="str">
        <f>HYPERLINK("Melting_Curves/meltCurve_P30041_PRDX6.pdf", "Melting_Curves/meltCurve_P30041_PRDX6.pdf")</f>
        <v>Melting_Curves/meltCurve_P30041_PRDX6.pdf</v>
      </c>
    </row>
    <row r="1964" spans="1:28" x14ac:dyDescent="0.25">
      <c r="A1964" t="s">
        <v>1968</v>
      </c>
      <c r="B1964">
        <v>0.99352677808782597</v>
      </c>
      <c r="C1964">
        <v>0.97049434049497196</v>
      </c>
      <c r="D1964">
        <v>1.00894581699625</v>
      </c>
      <c r="E1964">
        <v>0.90091266879865795</v>
      </c>
      <c r="F1964">
        <v>0.82908296920826896</v>
      </c>
      <c r="G1964">
        <v>0.71619133042980399</v>
      </c>
      <c r="H1964">
        <v>0.70671999417201103</v>
      </c>
      <c r="I1964">
        <v>0.77873667696869897</v>
      </c>
      <c r="J1964">
        <v>0.80687687053818902</v>
      </c>
      <c r="K1964">
        <v>0.56713698007508695</v>
      </c>
      <c r="L1964">
        <v>1213.8333161236801</v>
      </c>
      <c r="M1964">
        <v>23.427584384764302</v>
      </c>
      <c r="O1964">
        <v>51.439053710625203</v>
      </c>
      <c r="P1964">
        <v>-3.3290391287424698E-2</v>
      </c>
      <c r="Q1964">
        <v>0.70762727556780303</v>
      </c>
      <c r="R1964">
        <v>0.80262816051576502</v>
      </c>
      <c r="S1964" t="s">
        <v>8249</v>
      </c>
      <c r="T1964" t="s">
        <v>12568</v>
      </c>
      <c r="U1964" t="s">
        <v>12568</v>
      </c>
      <c r="V1964" t="s">
        <v>12568</v>
      </c>
      <c r="W1964" t="s">
        <v>14498</v>
      </c>
      <c r="X1964">
        <v>10</v>
      </c>
      <c r="Y1964" t="s">
        <v>20684</v>
      </c>
      <c r="Z1964" t="s">
        <v>26834</v>
      </c>
      <c r="AA1964">
        <v>0.82576329954968597</v>
      </c>
      <c r="AB1964" t="str">
        <f>HYPERLINK("Melting_Curves/meltCurve_P30042_C21orf33.pdf", "Melting_Curves/meltCurve_P30042_C21orf33.pdf")</f>
        <v>Melting_Curves/meltCurve_P30042_C21orf33.pdf</v>
      </c>
    </row>
    <row r="1965" spans="1:28" x14ac:dyDescent="0.25">
      <c r="A1965" t="s">
        <v>1969</v>
      </c>
      <c r="B1965">
        <v>0.99352677808782597</v>
      </c>
      <c r="C1965">
        <v>0.83609533171689598</v>
      </c>
      <c r="D1965">
        <v>1.00281307419119</v>
      </c>
      <c r="E1965">
        <v>0.223961041499465</v>
      </c>
      <c r="F1965">
        <v>0.171954932304198</v>
      </c>
      <c r="G1965">
        <v>9.7108532454371593E-2</v>
      </c>
      <c r="H1965">
        <v>7.5879256611146195E-2</v>
      </c>
      <c r="I1965">
        <v>6.2663737563779298E-2</v>
      </c>
      <c r="J1965">
        <v>5.3087575397325899E-2</v>
      </c>
      <c r="K1965">
        <v>4.3681539723883597E-2</v>
      </c>
      <c r="L1965">
        <v>3338.9346999014001</v>
      </c>
      <c r="M1965">
        <v>68.444436601959097</v>
      </c>
      <c r="N1965">
        <v>48.912405557894701</v>
      </c>
      <c r="O1965">
        <v>48.741554261357102</v>
      </c>
      <c r="P1965">
        <v>-0.32201406115137299</v>
      </c>
      <c r="Q1965">
        <v>8.2732752635489099E-2</v>
      </c>
      <c r="R1965">
        <v>0.97542991855574102</v>
      </c>
      <c r="S1965" t="s">
        <v>8250</v>
      </c>
      <c r="T1965" t="s">
        <v>12568</v>
      </c>
      <c r="U1965" t="s">
        <v>12568</v>
      </c>
      <c r="V1965" t="s">
        <v>12568</v>
      </c>
      <c r="W1965" t="s">
        <v>14499</v>
      </c>
      <c r="X1965">
        <v>8</v>
      </c>
      <c r="Y1965" t="s">
        <v>20685</v>
      </c>
      <c r="Z1965" t="s">
        <v>26835</v>
      </c>
      <c r="AA1965">
        <v>0.35233297890990439</v>
      </c>
      <c r="AB1965" t="str">
        <f>HYPERLINK("Melting_Curves/meltCurve_P30043_BLVRB.pdf", "Melting_Curves/meltCurve_P30043_BLVRB.pdf")</f>
        <v>Melting_Curves/meltCurve_P30043_BLVRB.pdf</v>
      </c>
    </row>
    <row r="1966" spans="1:28" x14ac:dyDescent="0.25">
      <c r="A1966" t="s">
        <v>1970</v>
      </c>
      <c r="B1966">
        <v>0.99352677808782597</v>
      </c>
      <c r="C1966">
        <v>0.98965022896263799</v>
      </c>
      <c r="D1966">
        <v>0.99681520835121695</v>
      </c>
      <c r="E1966">
        <v>0.96901044130873704</v>
      </c>
      <c r="F1966">
        <v>0.84711561195720197</v>
      </c>
      <c r="G1966">
        <v>0.71976265487588997</v>
      </c>
      <c r="H1966">
        <v>0.370478376152374</v>
      </c>
      <c r="I1966">
        <v>0.28489111038294901</v>
      </c>
      <c r="J1966">
        <v>0.211833268005403</v>
      </c>
      <c r="K1966">
        <v>0.14785639236129999</v>
      </c>
      <c r="L1966">
        <v>1051.76928379028</v>
      </c>
      <c r="M1966">
        <v>17.905876035555799</v>
      </c>
      <c r="N1966">
        <v>59.550294027060502</v>
      </c>
      <c r="O1966">
        <v>58.0208510285713</v>
      </c>
      <c r="P1966">
        <v>-6.8803693078759498E-2</v>
      </c>
      <c r="Q1966">
        <v>0.10825979330192601</v>
      </c>
      <c r="R1966">
        <v>0.99472563386222801</v>
      </c>
      <c r="S1966" t="s">
        <v>8251</v>
      </c>
      <c r="T1966" t="s">
        <v>12568</v>
      </c>
      <c r="U1966" t="s">
        <v>12568</v>
      </c>
      <c r="V1966" t="s">
        <v>12568</v>
      </c>
      <c r="W1966" t="s">
        <v>14500</v>
      </c>
      <c r="X1966">
        <v>11</v>
      </c>
      <c r="Y1966" t="s">
        <v>20686</v>
      </c>
      <c r="Z1966" t="s">
        <v>26836</v>
      </c>
      <c r="AA1966">
        <v>0.67518352652091251</v>
      </c>
      <c r="AB1966" t="str">
        <f>HYPERLINK("Melting_Curves/meltCurve_P30044_2_PRDX5.pdf", "Melting_Curves/meltCurve_P30044_2_PRDX5.pdf")</f>
        <v>Melting_Curves/meltCurve_P30044_2_PRDX5.pdf</v>
      </c>
    </row>
    <row r="1967" spans="1:28" x14ac:dyDescent="0.25">
      <c r="A1967" t="s">
        <v>1971</v>
      </c>
      <c r="B1967">
        <v>0.99352677808782597</v>
      </c>
      <c r="C1967">
        <v>1.028068236073</v>
      </c>
      <c r="D1967">
        <v>1.0218929588229599</v>
      </c>
      <c r="E1967">
        <v>0.92965032662246105</v>
      </c>
      <c r="F1967">
        <v>0.74782727166743301</v>
      </c>
      <c r="G1967">
        <v>0.72574076817519295</v>
      </c>
      <c r="H1967">
        <v>0.56091663032345596</v>
      </c>
      <c r="I1967">
        <v>0.49337912562737202</v>
      </c>
      <c r="J1967">
        <v>0.42941352300407298</v>
      </c>
      <c r="K1967">
        <v>0.30002965402568799</v>
      </c>
      <c r="L1967">
        <v>568.88164856062201</v>
      </c>
      <c r="M1967">
        <v>9.2942400467306996</v>
      </c>
      <c r="N1967">
        <v>63.181769924449299</v>
      </c>
      <c r="O1967">
        <v>58.574687402431898</v>
      </c>
      <c r="P1967">
        <v>-3.4692425115636201E-2</v>
      </c>
      <c r="Q1967">
        <v>0.12599955557259199</v>
      </c>
      <c r="R1967">
        <v>0.97441977051867301</v>
      </c>
      <c r="S1967" t="s">
        <v>8252</v>
      </c>
      <c r="T1967" t="s">
        <v>12568</v>
      </c>
      <c r="U1967" t="s">
        <v>12568</v>
      </c>
      <c r="V1967" t="s">
        <v>12568</v>
      </c>
      <c r="W1967" t="s">
        <v>14501</v>
      </c>
      <c r="X1967">
        <v>9</v>
      </c>
      <c r="Y1967" t="s">
        <v>20687</v>
      </c>
      <c r="Z1967" t="s">
        <v>26837</v>
      </c>
      <c r="AA1967">
        <v>0.72803971569957227</v>
      </c>
      <c r="AB1967" t="str">
        <f>HYPERLINK("Melting_Curves/meltCurve_P30046_DDT.pdf", "Melting_Curves/meltCurve_P30046_DDT.pdf")</f>
        <v>Melting_Curves/meltCurve_P30046_DDT.pdf</v>
      </c>
    </row>
    <row r="1968" spans="1:28" x14ac:dyDescent="0.25">
      <c r="A1968" t="s">
        <v>1972</v>
      </c>
      <c r="B1968">
        <v>0.99352677808782597</v>
      </c>
      <c r="C1968">
        <v>0.98726020288674798</v>
      </c>
      <c r="D1968">
        <v>1.01027194351092</v>
      </c>
      <c r="E1968">
        <v>0.90658290214253501</v>
      </c>
      <c r="F1968">
        <v>0.75793056344740894</v>
      </c>
      <c r="G1968">
        <v>0.69942515596096699</v>
      </c>
      <c r="H1968">
        <v>0.63035907735716201</v>
      </c>
      <c r="I1968">
        <v>0.70355043410320695</v>
      </c>
      <c r="J1968">
        <v>0.71067320344810703</v>
      </c>
      <c r="K1968">
        <v>0.62011918757338802</v>
      </c>
      <c r="L1968">
        <v>1699.55151331306</v>
      </c>
      <c r="M1968">
        <v>33.035572076761298</v>
      </c>
      <c r="O1968">
        <v>51.258708328677102</v>
      </c>
      <c r="P1968">
        <v>-5.3283375207367097E-2</v>
      </c>
      <c r="Q1968">
        <v>0.669299040301089</v>
      </c>
      <c r="R1968">
        <v>0.96468744837595599</v>
      </c>
      <c r="S1968" t="s">
        <v>8253</v>
      </c>
      <c r="T1968" t="s">
        <v>12568</v>
      </c>
      <c r="U1968" t="s">
        <v>12568</v>
      </c>
      <c r="V1968" t="s">
        <v>12568</v>
      </c>
      <c r="W1968" t="s">
        <v>14502</v>
      </c>
      <c r="X1968">
        <v>2</v>
      </c>
      <c r="Y1968" t="s">
        <v>20688</v>
      </c>
      <c r="Z1968" t="s">
        <v>26838</v>
      </c>
      <c r="AA1968">
        <v>0.79720078595847665</v>
      </c>
      <c r="AB1968" t="str">
        <f>HYPERLINK("Melting_Curves/meltCurve_P30049_ATP5D.pdf", "Melting_Curves/meltCurve_P30049_ATP5D.pdf")</f>
        <v>Melting_Curves/meltCurve_P30049_ATP5D.pdf</v>
      </c>
    </row>
    <row r="1969" spans="1:28" x14ac:dyDescent="0.25">
      <c r="A1969" t="s">
        <v>1973</v>
      </c>
      <c r="B1969">
        <v>0.99352677808782597</v>
      </c>
      <c r="C1969">
        <v>1.03366436278551</v>
      </c>
      <c r="D1969">
        <v>1.2833847942818499</v>
      </c>
      <c r="E1969">
        <v>0.64944195539249305</v>
      </c>
      <c r="F1969">
        <v>0.51380215986792699</v>
      </c>
      <c r="G1969">
        <v>0.34603533086481397</v>
      </c>
      <c r="H1969">
        <v>0.23603360433467299</v>
      </c>
      <c r="I1969">
        <v>0.178560995245992</v>
      </c>
      <c r="J1969">
        <v>0.186781090992992</v>
      </c>
      <c r="K1969">
        <v>0.120040647846666</v>
      </c>
      <c r="L1969">
        <v>1255.52247962504</v>
      </c>
      <c r="M1969">
        <v>24.170726204746298</v>
      </c>
      <c r="N1969">
        <v>52.9607480942393</v>
      </c>
      <c r="O1969">
        <v>51.5922770032236</v>
      </c>
      <c r="P1969">
        <v>-9.5382169424338206E-2</v>
      </c>
      <c r="Q1969">
        <v>0.185641522712547</v>
      </c>
      <c r="R1969">
        <v>0.91820295079136305</v>
      </c>
      <c r="S1969" t="s">
        <v>8254</v>
      </c>
      <c r="T1969" t="s">
        <v>12568</v>
      </c>
      <c r="U1969" t="s">
        <v>12568</v>
      </c>
      <c r="V1969" t="s">
        <v>12568</v>
      </c>
      <c r="W1969" t="s">
        <v>14503</v>
      </c>
      <c r="X1969">
        <v>6</v>
      </c>
      <c r="Y1969" t="s">
        <v>20689</v>
      </c>
      <c r="Z1969" t="s">
        <v>26839</v>
      </c>
      <c r="AA1969">
        <v>0.51779014900091158</v>
      </c>
      <c r="AB1969" t="str">
        <f>HYPERLINK("Melting_Curves/meltCurve_P30050_RPL12.pdf", "Melting_Curves/meltCurve_P30050_RPL12.pdf")</f>
        <v>Melting_Curves/meltCurve_P30050_RPL12.pdf</v>
      </c>
    </row>
    <row r="1970" spans="1:28" x14ac:dyDescent="0.25">
      <c r="A1970" t="s">
        <v>1974</v>
      </c>
      <c r="B1970">
        <v>0.99352677808782597</v>
      </c>
      <c r="C1970">
        <v>1.06574242497924</v>
      </c>
      <c r="D1970">
        <v>0.97582615576140896</v>
      </c>
      <c r="E1970">
        <v>0.61243715478616401</v>
      </c>
      <c r="F1970">
        <v>0.44581940321465602</v>
      </c>
      <c r="G1970">
        <v>0.17791361089121399</v>
      </c>
      <c r="H1970">
        <v>9.6470777265540805E-2</v>
      </c>
      <c r="I1970">
        <v>8.2010467231717399E-2</v>
      </c>
      <c r="J1970">
        <v>6.6879775262307595E-2</v>
      </c>
      <c r="K1970">
        <v>5.0329028280222801E-2</v>
      </c>
      <c r="L1970">
        <v>1045.5581740765199</v>
      </c>
      <c r="M1970">
        <v>20.2672355102323</v>
      </c>
      <c r="N1970">
        <v>51.906452301853399</v>
      </c>
      <c r="O1970">
        <v>51.094226151126698</v>
      </c>
      <c r="P1970">
        <v>-9.33817067510294E-2</v>
      </c>
      <c r="Q1970">
        <v>5.8358264471289598E-2</v>
      </c>
      <c r="R1970">
        <v>0.99078345765430498</v>
      </c>
      <c r="S1970" t="s">
        <v>8255</v>
      </c>
      <c r="T1970" t="s">
        <v>12568</v>
      </c>
      <c r="U1970" t="s">
        <v>12568</v>
      </c>
      <c r="V1970" t="s">
        <v>12568</v>
      </c>
      <c r="W1970" t="s">
        <v>14504</v>
      </c>
      <c r="X1970">
        <v>12</v>
      </c>
      <c r="Y1970" t="s">
        <v>20690</v>
      </c>
      <c r="Z1970" t="s">
        <v>26840</v>
      </c>
      <c r="AA1970">
        <v>0.43483913528434809</v>
      </c>
      <c r="AB1970" t="str">
        <f>HYPERLINK("Melting_Curves/meltCurve_P30084_ECHS1.pdf", "Melting_Curves/meltCurve_P30084_ECHS1.pdf")</f>
        <v>Melting_Curves/meltCurve_P30084_ECHS1.pdf</v>
      </c>
    </row>
    <row r="1971" spans="1:28" x14ac:dyDescent="0.25">
      <c r="A1971" t="s">
        <v>1975</v>
      </c>
      <c r="B1971">
        <v>0.99352677808782597</v>
      </c>
      <c r="C1971">
        <v>0.56575977540071798</v>
      </c>
      <c r="D1971">
        <v>1.0390253328894901</v>
      </c>
      <c r="E1971">
        <v>0.49562116692193497</v>
      </c>
      <c r="F1971">
        <v>0.44430600835905198</v>
      </c>
      <c r="G1971">
        <v>0.224861550096598</v>
      </c>
      <c r="H1971">
        <v>0.139540368874912</v>
      </c>
      <c r="I1971">
        <v>0.139593784821536</v>
      </c>
      <c r="J1971">
        <v>0.13409689133473399</v>
      </c>
      <c r="K1971">
        <v>0.11285634505884901</v>
      </c>
      <c r="L1971">
        <v>546.74869962795196</v>
      </c>
      <c r="M1971">
        <v>10.7665886428973</v>
      </c>
      <c r="N1971">
        <v>51.208352467273897</v>
      </c>
      <c r="O1971">
        <v>49.124202864035503</v>
      </c>
      <c r="P1971">
        <v>-5.2462827540739998E-2</v>
      </c>
      <c r="Q1971">
        <v>4.2872096319486297E-2</v>
      </c>
      <c r="R1971">
        <v>0.83053012872365894</v>
      </c>
      <c r="S1971" t="s">
        <v>8256</v>
      </c>
      <c r="T1971" t="s">
        <v>12568</v>
      </c>
      <c r="U1971" t="s">
        <v>12568</v>
      </c>
      <c r="V1971" t="s">
        <v>12568</v>
      </c>
      <c r="W1971" t="s">
        <v>14505</v>
      </c>
      <c r="X1971">
        <v>10</v>
      </c>
      <c r="Y1971" t="s">
        <v>20691</v>
      </c>
      <c r="Z1971" t="s">
        <v>26841</v>
      </c>
      <c r="AA1971">
        <v>0.42369377027150251</v>
      </c>
      <c r="AB1971" t="str">
        <f>HYPERLINK("Melting_Curves/meltCurve_P30085_CMPK1.pdf", "Melting_Curves/meltCurve_P30085_CMPK1.pdf")</f>
        <v>Melting_Curves/meltCurve_P30085_CMPK1.pdf</v>
      </c>
    </row>
    <row r="1972" spans="1:28" x14ac:dyDescent="0.25">
      <c r="A1972" t="s">
        <v>1976</v>
      </c>
      <c r="B1972">
        <v>0.99352677808782597</v>
      </c>
      <c r="C1972">
        <v>0.96242070088243903</v>
      </c>
      <c r="D1972">
        <v>1.0268465728302401</v>
      </c>
      <c r="E1972">
        <v>0.96611547854128199</v>
      </c>
      <c r="F1972">
        <v>0.85656373102747596</v>
      </c>
      <c r="G1972">
        <v>0.81958678360812198</v>
      </c>
      <c r="H1972">
        <v>0.56638359188992504</v>
      </c>
      <c r="I1972">
        <v>0.40012479059149803</v>
      </c>
      <c r="J1972">
        <v>0.24178834881226899</v>
      </c>
      <c r="K1972">
        <v>0.18345794931048201</v>
      </c>
      <c r="L1972">
        <v>871.79304471541298</v>
      </c>
      <c r="M1972">
        <v>14.030240877519001</v>
      </c>
      <c r="N1972">
        <v>62.1367125779365</v>
      </c>
      <c r="O1972">
        <v>60.915260010990998</v>
      </c>
      <c r="P1972">
        <v>-5.7588554897887598E-2</v>
      </c>
      <c r="Q1972">
        <v>0</v>
      </c>
      <c r="R1972">
        <v>0.99103524309285596</v>
      </c>
      <c r="S1972" t="s">
        <v>8257</v>
      </c>
      <c r="T1972" t="s">
        <v>12568</v>
      </c>
      <c r="U1972" t="s">
        <v>12568</v>
      </c>
      <c r="V1972" t="s">
        <v>12568</v>
      </c>
      <c r="W1972" t="s">
        <v>14506</v>
      </c>
      <c r="X1972">
        <v>17</v>
      </c>
      <c r="Y1972" t="s">
        <v>20692</v>
      </c>
      <c r="Z1972" t="s">
        <v>26842</v>
      </c>
      <c r="AA1972">
        <v>0.73203082675785203</v>
      </c>
      <c r="AB1972" t="str">
        <f>HYPERLINK("Melting_Curves/meltCurve_P30086_PEBP1.pdf", "Melting_Curves/meltCurve_P30086_PEBP1.pdf")</f>
        <v>Melting_Curves/meltCurve_P30086_PEBP1.pdf</v>
      </c>
    </row>
    <row r="1973" spans="1:28" x14ac:dyDescent="0.25">
      <c r="A1973" t="s">
        <v>1977</v>
      </c>
      <c r="B1973">
        <v>0.99352677808782597</v>
      </c>
      <c r="C1973">
        <v>1.0490860962937101</v>
      </c>
      <c r="D1973">
        <v>0.897645663582054</v>
      </c>
      <c r="E1973">
        <v>0.69190962254398902</v>
      </c>
      <c r="F1973">
        <v>0.58913702148393199</v>
      </c>
      <c r="G1973">
        <v>0.20422602479125099</v>
      </c>
      <c r="H1973">
        <v>0.13558933456392799</v>
      </c>
      <c r="I1973">
        <v>0.12648999889406901</v>
      </c>
      <c r="J1973">
        <v>8.5346791681932196E-2</v>
      </c>
      <c r="K1973">
        <v>6.3604204707233394E-2</v>
      </c>
      <c r="L1973">
        <v>898.59685277760798</v>
      </c>
      <c r="M1973">
        <v>17.021916894733</v>
      </c>
      <c r="N1973">
        <v>53.152293038755097</v>
      </c>
      <c r="O1973">
        <v>52.078134274738197</v>
      </c>
      <c r="P1973">
        <v>-7.7248989467288504E-2</v>
      </c>
      <c r="Q1973">
        <v>5.4692695594940603E-2</v>
      </c>
      <c r="R1973">
        <v>0.98779399152682801</v>
      </c>
      <c r="S1973" t="s">
        <v>8258</v>
      </c>
      <c r="T1973" t="s">
        <v>12568</v>
      </c>
      <c r="U1973" t="s">
        <v>12568</v>
      </c>
      <c r="V1973" t="s">
        <v>12568</v>
      </c>
      <c r="W1973" t="s">
        <v>14507</v>
      </c>
      <c r="X1973">
        <v>32</v>
      </c>
      <c r="Y1973" t="s">
        <v>20693</v>
      </c>
      <c r="Z1973" t="s">
        <v>26843</v>
      </c>
      <c r="AA1973">
        <v>0.47471285291762849</v>
      </c>
      <c r="AB1973" t="str">
        <f>HYPERLINK("Melting_Curves/meltCurve_P30153_PPP2R1A.pdf", "Melting_Curves/meltCurve_P30153_PPP2R1A.pdf")</f>
        <v>Melting_Curves/meltCurve_P30153_PPP2R1A.pdf</v>
      </c>
    </row>
    <row r="1974" spans="1:28" x14ac:dyDescent="0.25">
      <c r="A1974" t="s">
        <v>1978</v>
      </c>
      <c r="B1974">
        <v>0.99352677808782597</v>
      </c>
      <c r="C1974">
        <v>0.81352432489543403</v>
      </c>
      <c r="D1974">
        <v>0.56664162825676401</v>
      </c>
      <c r="E1974">
        <v>0.35867222563998002</v>
      </c>
      <c r="F1974">
        <v>0.28511373531855799</v>
      </c>
      <c r="G1974">
        <v>0.21384769165140599</v>
      </c>
      <c r="H1974">
        <v>0.17639387758327499</v>
      </c>
      <c r="I1974">
        <v>0.12947314155547299</v>
      </c>
      <c r="J1974">
        <v>9.1269422633503294E-2</v>
      </c>
      <c r="K1974">
        <v>6.8891943765253205E-2</v>
      </c>
      <c r="L1974">
        <v>648.59335592333503</v>
      </c>
      <c r="M1974">
        <v>13.8332730242122</v>
      </c>
      <c r="N1974">
        <v>47.705650313603002</v>
      </c>
      <c r="O1974">
        <v>45.939238485092503</v>
      </c>
      <c r="P1974">
        <v>-6.7331241926733704E-2</v>
      </c>
      <c r="Q1974">
        <v>0.105716618836059</v>
      </c>
      <c r="R1974">
        <v>0.98534391342420702</v>
      </c>
      <c r="S1974" t="s">
        <v>8259</v>
      </c>
      <c r="T1974" t="s">
        <v>12568</v>
      </c>
      <c r="U1974" t="s">
        <v>12568</v>
      </c>
      <c r="V1974" t="s">
        <v>12568</v>
      </c>
      <c r="W1974" t="s">
        <v>14508</v>
      </c>
      <c r="X1974">
        <v>13</v>
      </c>
      <c r="Y1974" t="s">
        <v>20694</v>
      </c>
      <c r="Z1974" t="s">
        <v>26844</v>
      </c>
      <c r="AA1974">
        <v>0.33984001890820409</v>
      </c>
      <c r="AB1974" t="str">
        <f>HYPERLINK("Melting_Curves/meltCurve_P30154_PPP2R1B.pdf", "Melting_Curves/meltCurve_P30154_PPP2R1B.pdf")</f>
        <v>Melting_Curves/meltCurve_P30154_PPP2R1B.pdf</v>
      </c>
    </row>
    <row r="1975" spans="1:28" x14ac:dyDescent="0.25">
      <c r="A1975" t="s">
        <v>1979</v>
      </c>
      <c r="B1975">
        <v>0.99352677808782597</v>
      </c>
      <c r="C1975">
        <v>0.94684843459044199</v>
      </c>
      <c r="D1975">
        <v>0.89649938691466702</v>
      </c>
      <c r="E1975">
        <v>1.0873492926784001</v>
      </c>
      <c r="F1975">
        <v>0.85207942919145296</v>
      </c>
      <c r="G1975">
        <v>0.392743828365054</v>
      </c>
      <c r="H1975">
        <v>0.24252906866415599</v>
      </c>
      <c r="I1975">
        <v>0.21827537808924299</v>
      </c>
      <c r="J1975">
        <v>0.21075671464045001</v>
      </c>
      <c r="K1975">
        <v>0.168440786350815</v>
      </c>
      <c r="L1975">
        <v>2130.1996124942398</v>
      </c>
      <c r="M1975">
        <v>38.551641983095003</v>
      </c>
      <c r="N1975">
        <v>56.014835354970302</v>
      </c>
      <c r="O1975">
        <v>55.107691948917498</v>
      </c>
      <c r="P1975">
        <v>-0.13930839848378301</v>
      </c>
      <c r="Q1975">
        <v>0.20346365846005099</v>
      </c>
      <c r="R1975">
        <v>0.98043659141791695</v>
      </c>
      <c r="S1975" t="s">
        <v>8260</v>
      </c>
      <c r="T1975" t="s">
        <v>12568</v>
      </c>
      <c r="U1975" t="s">
        <v>12568</v>
      </c>
      <c r="V1975" t="s">
        <v>12568</v>
      </c>
      <c r="W1975" t="s">
        <v>14509</v>
      </c>
      <c r="X1975">
        <v>10</v>
      </c>
      <c r="Y1975" t="s">
        <v>20695</v>
      </c>
      <c r="Z1975" t="s">
        <v>26845</v>
      </c>
      <c r="AA1975">
        <v>0.6117810144686221</v>
      </c>
      <c r="AB1975" t="str">
        <f>HYPERLINK("Melting_Curves/meltCurve_P30260_CDC27.pdf", "Melting_Curves/meltCurve_P30260_CDC27.pdf")</f>
        <v>Melting_Curves/meltCurve_P30260_CDC27.pdf</v>
      </c>
    </row>
    <row r="1976" spans="1:28" x14ac:dyDescent="0.25">
      <c r="A1976" t="s">
        <v>1980</v>
      </c>
      <c r="B1976">
        <v>0.99352677808782597</v>
      </c>
      <c r="C1976">
        <v>0.91664531236773605</v>
      </c>
      <c r="D1976">
        <v>0.86073833337929495</v>
      </c>
      <c r="E1976">
        <v>0.54946397391487001</v>
      </c>
      <c r="F1976">
        <v>0.47053487784984899</v>
      </c>
      <c r="G1976">
        <v>0.310205354431833</v>
      </c>
      <c r="H1976">
        <v>0.212892280375343</v>
      </c>
      <c r="I1976">
        <v>0.15642219757084</v>
      </c>
      <c r="J1976">
        <v>9.0186476453454803E-2</v>
      </c>
      <c r="K1976">
        <v>6.0974918470340603E-2</v>
      </c>
      <c r="L1976">
        <v>578.07907477478102</v>
      </c>
      <c r="M1976">
        <v>11.1333576799712</v>
      </c>
      <c r="N1976">
        <v>52.241083577305602</v>
      </c>
      <c r="O1976">
        <v>50.332450915992297</v>
      </c>
      <c r="P1976">
        <v>-5.35049975683866E-2</v>
      </c>
      <c r="Q1976">
        <v>3.2755296967548503E-2</v>
      </c>
      <c r="R1976">
        <v>0.99136924280074201</v>
      </c>
      <c r="S1976" t="s">
        <v>8261</v>
      </c>
      <c r="T1976" t="s">
        <v>12568</v>
      </c>
      <c r="U1976" t="s">
        <v>12568</v>
      </c>
      <c r="V1976" t="s">
        <v>12568</v>
      </c>
      <c r="W1976" t="s">
        <v>14510</v>
      </c>
      <c r="X1976">
        <v>7</v>
      </c>
      <c r="Y1976" t="s">
        <v>20696</v>
      </c>
      <c r="Z1976" t="s">
        <v>26846</v>
      </c>
      <c r="AA1976">
        <v>0.44986141253313011</v>
      </c>
      <c r="AB1976" t="str">
        <f>HYPERLINK("Melting_Curves/meltCurve_P30281_CCND3.pdf", "Melting_Curves/meltCurve_P30281_CCND3.pdf")</f>
        <v>Melting_Curves/meltCurve_P30281_CCND3.pdf</v>
      </c>
    </row>
    <row r="1977" spans="1:28" x14ac:dyDescent="0.25">
      <c r="A1977" t="s">
        <v>1981</v>
      </c>
      <c r="B1977">
        <v>0.99352677808782597</v>
      </c>
      <c r="C1977">
        <v>0.86197012639987003</v>
      </c>
      <c r="D1977">
        <v>0.79027924588243403</v>
      </c>
      <c r="E1977">
        <v>0.69079943931652199</v>
      </c>
      <c r="F1977">
        <v>0.66911387182082205</v>
      </c>
      <c r="G1977">
        <v>0.56230243043612504</v>
      </c>
      <c r="H1977">
        <v>0.53179985649180195</v>
      </c>
      <c r="I1977">
        <v>0.49120186404914301</v>
      </c>
      <c r="J1977">
        <v>0.45681019757785202</v>
      </c>
      <c r="K1977">
        <v>0.45892015820459398</v>
      </c>
      <c r="L1977">
        <v>422.49499041641099</v>
      </c>
      <c r="M1977">
        <v>8.4282648000206297</v>
      </c>
      <c r="N1977">
        <v>62.8733165972588</v>
      </c>
      <c r="O1977">
        <v>47.544859080999302</v>
      </c>
      <c r="P1977">
        <v>-2.6196903957758699E-2</v>
      </c>
      <c r="Q1977">
        <v>0.409429780686145</v>
      </c>
      <c r="R1977">
        <v>0.980892886014196</v>
      </c>
      <c r="S1977" t="s">
        <v>8262</v>
      </c>
      <c r="T1977" t="s">
        <v>12568</v>
      </c>
      <c r="U1977" t="s">
        <v>12568</v>
      </c>
      <c r="V1977" t="s">
        <v>12568</v>
      </c>
      <c r="W1977" t="s">
        <v>14511</v>
      </c>
      <c r="X1977">
        <v>2</v>
      </c>
      <c r="Y1977" t="s">
        <v>20697</v>
      </c>
      <c r="Z1977" t="s">
        <v>26847</v>
      </c>
      <c r="AA1977">
        <v>0.64156174191461923</v>
      </c>
      <c r="AB1977" t="str">
        <f>HYPERLINK("Melting_Curves/meltCurve_P30307_2_CDC25C.pdf", "Melting_Curves/meltCurve_P30307_2_CDC25C.pdf")</f>
        <v>Melting_Curves/meltCurve_P30307_2_CDC25C.pdf</v>
      </c>
    </row>
    <row r="1978" spans="1:28" x14ac:dyDescent="0.25">
      <c r="A1978" t="s">
        <v>1982</v>
      </c>
      <c r="B1978">
        <v>0.99352677808782597</v>
      </c>
      <c r="C1978">
        <v>0.94068249717639396</v>
      </c>
      <c r="D1978">
        <v>1.0506198950760499</v>
      </c>
      <c r="E1978">
        <v>0.67670618570351204</v>
      </c>
      <c r="F1978">
        <v>0.62326558095543305</v>
      </c>
      <c r="G1978">
        <v>0.32139700955273798</v>
      </c>
      <c r="H1978">
        <v>0.210762213648231</v>
      </c>
      <c r="I1978">
        <v>0.19569679778556301</v>
      </c>
      <c r="J1978">
        <v>0.187068737921394</v>
      </c>
      <c r="K1978">
        <v>0.14898492987998799</v>
      </c>
      <c r="L1978">
        <v>924.36337669773695</v>
      </c>
      <c r="M1978">
        <v>17.496231808998601</v>
      </c>
      <c r="N1978">
        <v>53.931806236430504</v>
      </c>
      <c r="O1978">
        <v>52.1564352387201</v>
      </c>
      <c r="P1978">
        <v>-7.1286519334285994E-2</v>
      </c>
      <c r="Q1978">
        <v>0.150023334719422</v>
      </c>
      <c r="R1978">
        <v>0.97746282981199195</v>
      </c>
      <c r="S1978" t="s">
        <v>8263</v>
      </c>
      <c r="T1978" t="s">
        <v>12568</v>
      </c>
      <c r="U1978" t="s">
        <v>12568</v>
      </c>
      <c r="V1978" t="s">
        <v>12568</v>
      </c>
      <c r="W1978" t="s">
        <v>14512</v>
      </c>
      <c r="X1978">
        <v>9</v>
      </c>
      <c r="Y1978" t="s">
        <v>20698</v>
      </c>
      <c r="Z1978" t="s">
        <v>26848</v>
      </c>
      <c r="AA1978">
        <v>0.52820200993821809</v>
      </c>
      <c r="AB1978" t="str">
        <f>HYPERLINK("Melting_Curves/meltCurve_P30405_PPIF.pdf", "Melting_Curves/meltCurve_P30405_PPIF.pdf")</f>
        <v>Melting_Curves/meltCurve_P30405_PPIF.pdf</v>
      </c>
    </row>
    <row r="1979" spans="1:28" x14ac:dyDescent="0.25">
      <c r="A1979" t="s">
        <v>1983</v>
      </c>
      <c r="B1979">
        <v>0.99352677808782597</v>
      </c>
      <c r="C1979">
        <v>0.99313631545329195</v>
      </c>
      <c r="D1979">
        <v>0.86940020680665098</v>
      </c>
      <c r="E1979">
        <v>1.2435570272935901</v>
      </c>
      <c r="F1979">
        <v>0.89534388943558496</v>
      </c>
      <c r="G1979">
        <v>0.771717944338983</v>
      </c>
      <c r="H1979">
        <v>0.96447650945467001</v>
      </c>
      <c r="I1979">
        <v>1.4906559321746</v>
      </c>
      <c r="J1979">
        <v>2.1476129186536199</v>
      </c>
      <c r="K1979">
        <v>2.3006484186152698</v>
      </c>
      <c r="L1979">
        <v>15000</v>
      </c>
      <c r="M1979">
        <v>238.24908985626001</v>
      </c>
      <c r="O1979">
        <v>62.954879582467903</v>
      </c>
      <c r="P1979">
        <v>0.47305523935833399</v>
      </c>
      <c r="Q1979">
        <v>1.5</v>
      </c>
      <c r="R1979">
        <v>0.55132112190676996</v>
      </c>
      <c r="S1979" t="s">
        <v>8264</v>
      </c>
      <c r="T1979" t="s">
        <v>12568</v>
      </c>
      <c r="U1979" t="s">
        <v>12568</v>
      </c>
      <c r="V1979" t="s">
        <v>12568</v>
      </c>
      <c r="W1979" t="s">
        <v>14513</v>
      </c>
      <c r="X1979">
        <v>3</v>
      </c>
      <c r="Y1979" t="s">
        <v>20699</v>
      </c>
      <c r="Z1979" t="s">
        <v>26849</v>
      </c>
      <c r="AA1979">
        <v>1.1172838830153631</v>
      </c>
      <c r="AB1979" t="str">
        <f>HYPERLINK("Melting_Curves/meltCurve_P30414_NKTR.pdf", "Melting_Curves/meltCurve_P30414_NKTR.pdf")</f>
        <v>Melting_Curves/meltCurve_P30414_NKTR.pdf</v>
      </c>
    </row>
    <row r="1980" spans="1:28" x14ac:dyDescent="0.25">
      <c r="A1980" t="s">
        <v>1984</v>
      </c>
      <c r="B1980">
        <v>0.99352677808782597</v>
      </c>
      <c r="C1980">
        <v>0.92047845225039004</v>
      </c>
      <c r="D1980">
        <v>0.94710077223201505</v>
      </c>
      <c r="E1980">
        <v>0.33285767136136601</v>
      </c>
      <c r="F1980">
        <v>0.27101155765795598</v>
      </c>
      <c r="G1980">
        <v>0.16039110087442901</v>
      </c>
      <c r="H1980">
        <v>0.118547260493838</v>
      </c>
      <c r="I1980">
        <v>0.121340825511926</v>
      </c>
      <c r="J1980">
        <v>9.3249034018119598E-2</v>
      </c>
      <c r="K1980">
        <v>8.2465476197155593E-2</v>
      </c>
      <c r="L1980">
        <v>1699.3386257981001</v>
      </c>
      <c r="M1980">
        <v>34.8912116320775</v>
      </c>
      <c r="N1980">
        <v>49.114317651720398</v>
      </c>
      <c r="O1980">
        <v>48.544760000210204</v>
      </c>
      <c r="P1980">
        <v>-0.15696521647047201</v>
      </c>
      <c r="Q1980">
        <v>0.126449189367175</v>
      </c>
      <c r="R1980">
        <v>0.98332273391829805</v>
      </c>
      <c r="S1980" t="s">
        <v>8265</v>
      </c>
      <c r="T1980" t="s">
        <v>12568</v>
      </c>
      <c r="U1980" t="s">
        <v>12568</v>
      </c>
      <c r="V1980" t="s">
        <v>12568</v>
      </c>
      <c r="W1980" t="s">
        <v>14514</v>
      </c>
      <c r="X1980">
        <v>14</v>
      </c>
      <c r="Y1980" t="s">
        <v>20700</v>
      </c>
      <c r="Z1980" t="s">
        <v>26850</v>
      </c>
      <c r="AA1980">
        <v>0.38378102459976382</v>
      </c>
      <c r="AB1980" t="str">
        <f>HYPERLINK("Melting_Curves/meltCurve_P30419_NMT1.pdf", "Melting_Curves/meltCurve_P30419_NMT1.pdf")</f>
        <v>Melting_Curves/meltCurve_P30419_NMT1.pdf</v>
      </c>
    </row>
    <row r="1981" spans="1:28" x14ac:dyDescent="0.25">
      <c r="A1981" t="s">
        <v>1985</v>
      </c>
      <c r="B1981">
        <v>0.99352677808782597</v>
      </c>
      <c r="C1981">
        <v>0.86961117798131604</v>
      </c>
      <c r="D1981">
        <v>0.84431660746584603</v>
      </c>
      <c r="E1981">
        <v>0.563832576391331</v>
      </c>
      <c r="F1981">
        <v>0.57957630985519804</v>
      </c>
      <c r="G1981">
        <v>0.37258837739755102</v>
      </c>
      <c r="H1981">
        <v>0.29103734550323701</v>
      </c>
      <c r="I1981">
        <v>0.278416995685001</v>
      </c>
      <c r="J1981">
        <v>0.271050562331622</v>
      </c>
      <c r="K1981">
        <v>0.20179643881864701</v>
      </c>
      <c r="L1981">
        <v>535.48869656747001</v>
      </c>
      <c r="M1981">
        <v>10.480756526443701</v>
      </c>
      <c r="N1981">
        <v>53.376508778467702</v>
      </c>
      <c r="O1981">
        <v>49.337625732503199</v>
      </c>
      <c r="P1981">
        <v>-4.3528750710357098E-2</v>
      </c>
      <c r="Q1981">
        <v>0.18069553451423601</v>
      </c>
      <c r="R1981">
        <v>0.97933864200262499</v>
      </c>
      <c r="S1981" t="s">
        <v>8266</v>
      </c>
      <c r="T1981" t="s">
        <v>12568</v>
      </c>
      <c r="U1981" t="s">
        <v>12568</v>
      </c>
      <c r="V1981" t="s">
        <v>12568</v>
      </c>
      <c r="W1981" t="s">
        <v>14515</v>
      </c>
      <c r="X1981">
        <v>2</v>
      </c>
      <c r="Y1981" t="s">
        <v>20701</v>
      </c>
      <c r="Z1981" t="s">
        <v>26851</v>
      </c>
      <c r="AA1981">
        <v>0.51551445514343541</v>
      </c>
      <c r="AB1981" t="str">
        <f>HYPERLINK("Melting_Curves/meltCurve_P30519_HMOX2.pdf", "Melting_Curves/meltCurve_P30519_HMOX2.pdf")</f>
        <v>Melting_Curves/meltCurve_P30519_HMOX2.pdf</v>
      </c>
    </row>
    <row r="1982" spans="1:28" x14ac:dyDescent="0.25">
      <c r="A1982" t="s">
        <v>1986</v>
      </c>
      <c r="B1982">
        <v>0.99352677808782597</v>
      </c>
      <c r="C1982">
        <v>0.99360188285239803</v>
      </c>
      <c r="D1982">
        <v>0.97015914706057704</v>
      </c>
      <c r="E1982">
        <v>0.75795861914261198</v>
      </c>
      <c r="F1982">
        <v>0.65267307751613002</v>
      </c>
      <c r="G1982">
        <v>0.45405406920279201</v>
      </c>
      <c r="H1982">
        <v>0.24222032171473301</v>
      </c>
      <c r="I1982">
        <v>0.16203056800733201</v>
      </c>
      <c r="J1982">
        <v>9.7057266780142801E-2</v>
      </c>
      <c r="K1982">
        <v>7.5734636427599894E-2</v>
      </c>
      <c r="L1982">
        <v>693.63574144133395</v>
      </c>
      <c r="M1982">
        <v>12.464448811430101</v>
      </c>
      <c r="N1982">
        <v>55.649144203573002</v>
      </c>
      <c r="O1982">
        <v>54.274968035552597</v>
      </c>
      <c r="P1982">
        <v>-5.7425377421675403E-2</v>
      </c>
      <c r="Q1982">
        <v>0</v>
      </c>
      <c r="R1982">
        <v>0.99631002532931701</v>
      </c>
      <c r="S1982" t="s">
        <v>8267</v>
      </c>
      <c r="T1982" t="s">
        <v>12568</v>
      </c>
      <c r="U1982" t="s">
        <v>12568</v>
      </c>
      <c r="V1982" t="s">
        <v>12568</v>
      </c>
      <c r="W1982" t="s">
        <v>14516</v>
      </c>
      <c r="X1982">
        <v>26</v>
      </c>
      <c r="Y1982" t="s">
        <v>20702</v>
      </c>
      <c r="Z1982" t="s">
        <v>26852</v>
      </c>
      <c r="AA1982">
        <v>0.54271111937481598</v>
      </c>
      <c r="AB1982" t="str">
        <f>HYPERLINK("Melting_Curves/meltCurve_P30520_ADSS.pdf", "Melting_Curves/meltCurve_P30520_ADSS.pdf")</f>
        <v>Melting_Curves/meltCurve_P30520_ADSS.pdf</v>
      </c>
    </row>
    <row r="1983" spans="1:28" x14ac:dyDescent="0.25">
      <c r="A1983" t="s">
        <v>1987</v>
      </c>
      <c r="B1983">
        <v>0.99352677808782597</v>
      </c>
      <c r="C1983">
        <v>0.96298606273806597</v>
      </c>
      <c r="D1983">
        <v>0.98678517342202399</v>
      </c>
      <c r="E1983">
        <v>0.96629958698665297</v>
      </c>
      <c r="F1983">
        <v>0.88663990703345297</v>
      </c>
      <c r="G1983">
        <v>0.81121848784556705</v>
      </c>
      <c r="H1983">
        <v>0.75337802134043197</v>
      </c>
      <c r="I1983">
        <v>0.77271452086053105</v>
      </c>
      <c r="J1983">
        <v>0.86689767556751796</v>
      </c>
      <c r="K1983">
        <v>0.68965610558070001</v>
      </c>
      <c r="L1983">
        <v>1302.1659277351</v>
      </c>
      <c r="M1983">
        <v>24.469488204227002</v>
      </c>
      <c r="O1983">
        <v>52.864302047461102</v>
      </c>
      <c r="P1983">
        <v>-2.6868645439508201E-2</v>
      </c>
      <c r="Q1983">
        <v>0.76781346954007901</v>
      </c>
      <c r="R1983">
        <v>0.83201751208794805</v>
      </c>
      <c r="S1983" t="s">
        <v>8268</v>
      </c>
      <c r="T1983" t="s">
        <v>12568</v>
      </c>
      <c r="U1983" t="s">
        <v>12568</v>
      </c>
      <c r="V1983" t="s">
        <v>12568</v>
      </c>
      <c r="W1983" t="s">
        <v>14517</v>
      </c>
      <c r="X1983">
        <v>22</v>
      </c>
      <c r="Y1983" t="s">
        <v>20703</v>
      </c>
      <c r="Z1983" t="s">
        <v>26853</v>
      </c>
      <c r="AA1983">
        <v>0.87232660236696324</v>
      </c>
      <c r="AB1983" t="str">
        <f>HYPERLINK("Melting_Curves/meltCurve_P30533_LRPAP1.pdf", "Melting_Curves/meltCurve_P30533_LRPAP1.pdf")</f>
        <v>Melting_Curves/meltCurve_P30533_LRPAP1.pdf</v>
      </c>
    </row>
    <row r="1984" spans="1:28" x14ac:dyDescent="0.25">
      <c r="A1984" t="s">
        <v>1988</v>
      </c>
      <c r="B1984">
        <v>0.99352677808782597</v>
      </c>
      <c r="C1984">
        <v>1.11141129801131</v>
      </c>
      <c r="D1984">
        <v>0.95267095237642896</v>
      </c>
      <c r="E1984">
        <v>0.91023645640046402</v>
      </c>
      <c r="F1984">
        <v>0.71810542586766002</v>
      </c>
      <c r="G1984">
        <v>0.72494260678917799</v>
      </c>
      <c r="H1984">
        <v>0.77396276578493794</v>
      </c>
      <c r="I1984">
        <v>0.15718928510829699</v>
      </c>
      <c r="J1984">
        <v>0.102661033053279</v>
      </c>
      <c r="K1984">
        <v>7.7805936015437699E-2</v>
      </c>
      <c r="L1984">
        <v>994.60597368442097</v>
      </c>
      <c r="M1984">
        <v>16.332394329948901</v>
      </c>
      <c r="N1984">
        <v>60.897744336612902</v>
      </c>
      <c r="O1984">
        <v>60.006721673458699</v>
      </c>
      <c r="P1984">
        <v>-6.8048923289749305E-2</v>
      </c>
      <c r="Q1984">
        <v>0</v>
      </c>
      <c r="R1984">
        <v>0.87737592588422397</v>
      </c>
      <c r="S1984" t="s">
        <v>8269</v>
      </c>
      <c r="T1984" t="s">
        <v>12568</v>
      </c>
      <c r="U1984" t="s">
        <v>12568</v>
      </c>
      <c r="V1984" t="s">
        <v>12568</v>
      </c>
      <c r="W1984" t="s">
        <v>14518</v>
      </c>
      <c r="X1984">
        <v>17</v>
      </c>
      <c r="Y1984" t="s">
        <v>20704</v>
      </c>
      <c r="Z1984" t="s">
        <v>26854</v>
      </c>
      <c r="AA1984">
        <v>0.70105086455629506</v>
      </c>
      <c r="AB1984" t="str">
        <f>HYPERLINK("Melting_Curves/meltCurve_P30566_ADSL.pdf", "Melting_Curves/meltCurve_P30566_ADSL.pdf")</f>
        <v>Melting_Curves/meltCurve_P30566_ADSL.pdf</v>
      </c>
    </row>
    <row r="1985" spans="1:28" x14ac:dyDescent="0.25">
      <c r="A1985" t="s">
        <v>1989</v>
      </c>
      <c r="B1985">
        <v>0.99352677808782597</v>
      </c>
      <c r="C1985">
        <v>0.82905153918719998</v>
      </c>
      <c r="D1985">
        <v>0.61972689209203002</v>
      </c>
      <c r="E1985">
        <v>1.41379065892359</v>
      </c>
      <c r="F1985">
        <v>1.37359472357322</v>
      </c>
      <c r="G1985">
        <v>1.1128446353580801</v>
      </c>
      <c r="H1985">
        <v>0.216059414721822</v>
      </c>
      <c r="I1985">
        <v>0.19354042161861201</v>
      </c>
      <c r="J1985">
        <v>0.13004847592232199</v>
      </c>
      <c r="K1985">
        <v>0.11111555789529599</v>
      </c>
      <c r="L1985">
        <v>15000</v>
      </c>
      <c r="M1985">
        <v>248.30104576281099</v>
      </c>
      <c r="N1985">
        <v>60.493912078738802</v>
      </c>
      <c r="O1985">
        <v>60.406623329954499</v>
      </c>
      <c r="P1985">
        <v>-0.87871992436819901</v>
      </c>
      <c r="Q1985">
        <v>0.14490089489563701</v>
      </c>
      <c r="R1985">
        <v>0.79165131192628801</v>
      </c>
      <c r="S1985" t="s">
        <v>8270</v>
      </c>
      <c r="T1985" t="s">
        <v>12568</v>
      </c>
      <c r="U1985" t="s">
        <v>12568</v>
      </c>
      <c r="V1985" t="s">
        <v>12568</v>
      </c>
      <c r="W1985" t="s">
        <v>14519</v>
      </c>
      <c r="X1985">
        <v>3</v>
      </c>
      <c r="Y1985" t="s">
        <v>20705</v>
      </c>
      <c r="Z1985" t="s">
        <v>26855</v>
      </c>
      <c r="AA1985">
        <v>0.72676058403414379</v>
      </c>
      <c r="AB1985" t="str">
        <f>HYPERLINK("Melting_Curves/meltCurve_P30613_2_PKLR.pdf", "Melting_Curves/meltCurve_P30613_2_PKLR.pdf")</f>
        <v>Melting_Curves/meltCurve_P30613_2_PKLR.pdf</v>
      </c>
    </row>
    <row r="1986" spans="1:28" x14ac:dyDescent="0.25">
      <c r="A1986" t="s">
        <v>1990</v>
      </c>
      <c r="B1986">
        <v>0.99352677808782597</v>
      </c>
      <c r="C1986">
        <v>1.04866443675716</v>
      </c>
      <c r="D1986">
        <v>0.97170373040286095</v>
      </c>
      <c r="E1986">
        <v>0.92782769329982895</v>
      </c>
      <c r="F1986">
        <v>0.84596486930593795</v>
      </c>
      <c r="G1986">
        <v>0.61431752924776795</v>
      </c>
      <c r="H1986">
        <v>0.92959274612520104</v>
      </c>
      <c r="I1986">
        <v>0.88536979499663304</v>
      </c>
      <c r="J1986">
        <v>1.22444431612112</v>
      </c>
      <c r="K1986">
        <v>0.784979523430826</v>
      </c>
      <c r="L1986">
        <v>12478.607143737399</v>
      </c>
      <c r="M1986">
        <v>250</v>
      </c>
      <c r="O1986">
        <v>49.911214763497497</v>
      </c>
      <c r="P1986">
        <v>-0.14929237821344599</v>
      </c>
      <c r="Q1986">
        <v>0.88077812976285097</v>
      </c>
      <c r="R1986">
        <v>0.12998542551949499</v>
      </c>
      <c r="S1986" t="s">
        <v>8271</v>
      </c>
      <c r="T1986" t="s">
        <v>12568</v>
      </c>
      <c r="U1986" t="s">
        <v>12568</v>
      </c>
      <c r="V1986" t="s">
        <v>12568</v>
      </c>
      <c r="W1986" t="s">
        <v>14520</v>
      </c>
      <c r="X1986">
        <v>98</v>
      </c>
      <c r="Y1986" t="s">
        <v>20706</v>
      </c>
      <c r="Z1986" t="s">
        <v>26856</v>
      </c>
      <c r="AA1986">
        <v>0.92018913071946784</v>
      </c>
      <c r="AB1986" t="str">
        <f>HYPERLINK("Melting_Curves/meltCurve_P30622_CLIP1.pdf", "Melting_Curves/meltCurve_P30622_CLIP1.pdf")</f>
        <v>Melting_Curves/meltCurve_P30622_CLIP1.pdf</v>
      </c>
    </row>
    <row r="1987" spans="1:28" x14ac:dyDescent="0.25">
      <c r="A1987" t="s">
        <v>1991</v>
      </c>
      <c r="B1987">
        <v>0.99352677808782597</v>
      </c>
      <c r="C1987">
        <v>1.1077774493783501</v>
      </c>
      <c r="D1987">
        <v>1.0073676870199699</v>
      </c>
      <c r="E1987">
        <v>0.99903266149060199</v>
      </c>
      <c r="F1987">
        <v>0.90238934881477495</v>
      </c>
      <c r="G1987">
        <v>0.82596034504409699</v>
      </c>
      <c r="H1987">
        <v>0.94442891268603102</v>
      </c>
      <c r="I1987">
        <v>0.892300357929666</v>
      </c>
      <c r="J1987">
        <v>1.18018934503429</v>
      </c>
      <c r="K1987">
        <v>0.82820470212751196</v>
      </c>
      <c r="L1987">
        <v>12710.793615599499</v>
      </c>
      <c r="M1987">
        <v>250</v>
      </c>
      <c r="O1987">
        <v>50.839940877374502</v>
      </c>
      <c r="P1987">
        <v>-8.7391896036438696E-2</v>
      </c>
      <c r="Q1987">
        <v>0.92891204669101002</v>
      </c>
      <c r="R1987">
        <v>0.17077025690817901</v>
      </c>
      <c r="S1987" t="s">
        <v>8272</v>
      </c>
      <c r="T1987" t="s">
        <v>12568</v>
      </c>
      <c r="U1987" t="s">
        <v>12568</v>
      </c>
      <c r="V1987" t="s">
        <v>12568</v>
      </c>
      <c r="W1987" t="s">
        <v>14521</v>
      </c>
      <c r="X1987">
        <v>98</v>
      </c>
      <c r="Y1987" t="s">
        <v>20706</v>
      </c>
      <c r="Z1987" t="s">
        <v>26857</v>
      </c>
      <c r="AA1987">
        <v>0.95461235912670772</v>
      </c>
      <c r="AB1987" t="str">
        <f>HYPERLINK("Melting_Curves/meltCurve_P30622_2_CLIP1.pdf", "Melting_Curves/meltCurve_P30622_2_CLIP1.pdf")</f>
        <v>Melting_Curves/meltCurve_P30622_2_CLIP1.pdf</v>
      </c>
    </row>
    <row r="1988" spans="1:28" x14ac:dyDescent="0.25">
      <c r="A1988" t="s">
        <v>1992</v>
      </c>
      <c r="B1988">
        <v>0.99352677808782597</v>
      </c>
      <c r="C1988">
        <v>0.92892865849157702</v>
      </c>
      <c r="D1988">
        <v>0.97699448642751996</v>
      </c>
      <c r="E1988">
        <v>0.69251707580996902</v>
      </c>
      <c r="F1988">
        <v>0.59150274107358702</v>
      </c>
      <c r="G1988">
        <v>0.15141685321119799</v>
      </c>
      <c r="H1988">
        <v>9.8223004269701097E-2</v>
      </c>
      <c r="I1988">
        <v>8.7913822291267499E-2</v>
      </c>
      <c r="J1988">
        <v>6.9808001026157696E-2</v>
      </c>
      <c r="K1988">
        <v>5.2993651436164697E-2</v>
      </c>
      <c r="L1988">
        <v>1034.3062567096699</v>
      </c>
      <c r="M1988">
        <v>19.596112622300002</v>
      </c>
      <c r="N1988">
        <v>53.0144184074883</v>
      </c>
      <c r="O1988">
        <v>52.240761018137</v>
      </c>
      <c r="P1988">
        <v>-8.9908253133299407E-2</v>
      </c>
      <c r="Q1988">
        <v>4.1297651150016601E-2</v>
      </c>
      <c r="R1988">
        <v>0.98511512298968895</v>
      </c>
      <c r="S1988" t="s">
        <v>8273</v>
      </c>
      <c r="T1988" t="s">
        <v>12568</v>
      </c>
      <c r="U1988" t="s">
        <v>12568</v>
      </c>
      <c r="V1988" t="s">
        <v>12568</v>
      </c>
      <c r="W1988" t="s">
        <v>14522</v>
      </c>
      <c r="X1988">
        <v>22</v>
      </c>
      <c r="Y1988" t="s">
        <v>20707</v>
      </c>
      <c r="Z1988" t="s">
        <v>26858</v>
      </c>
      <c r="AA1988">
        <v>0.4634227473139958</v>
      </c>
      <c r="AB1988" t="str">
        <f>HYPERLINK("Melting_Curves/meltCurve_P30740_SERPINB1.pdf", "Melting_Curves/meltCurve_P30740_SERPINB1.pdf")</f>
        <v>Melting_Curves/meltCurve_P30740_SERPINB1.pdf</v>
      </c>
    </row>
    <row r="1989" spans="1:28" x14ac:dyDescent="0.25">
      <c r="A1989" t="s">
        <v>1993</v>
      </c>
      <c r="B1989">
        <v>0.99352677808782597</v>
      </c>
      <c r="C1989">
        <v>0.74361842432901304</v>
      </c>
      <c r="D1989">
        <v>0.67413818934282099</v>
      </c>
      <c r="E1989">
        <v>0.300750839783201</v>
      </c>
      <c r="F1989">
        <v>0.258275715466458</v>
      </c>
      <c r="G1989">
        <v>0.13071723268923099</v>
      </c>
      <c r="H1989">
        <v>8.5335112335657395E-2</v>
      </c>
      <c r="I1989">
        <v>7.9598416553672696E-2</v>
      </c>
      <c r="J1989">
        <v>6.7061114374190697E-2</v>
      </c>
      <c r="K1989">
        <v>4.9332432697330703E-2</v>
      </c>
      <c r="L1989">
        <v>664.29029313996205</v>
      </c>
      <c r="M1989">
        <v>14.044907076673701</v>
      </c>
      <c r="N1989">
        <v>47.657699464238704</v>
      </c>
      <c r="O1989">
        <v>46.3697051732658</v>
      </c>
      <c r="P1989">
        <v>-7.1919677802069898E-2</v>
      </c>
      <c r="Q1989">
        <v>5.0343829714990899E-2</v>
      </c>
      <c r="R1989">
        <v>0.984021926440656</v>
      </c>
      <c r="S1989" t="s">
        <v>8274</v>
      </c>
      <c r="T1989" t="s">
        <v>12568</v>
      </c>
      <c r="U1989" t="s">
        <v>12568</v>
      </c>
      <c r="V1989" t="s">
        <v>12568</v>
      </c>
      <c r="W1989" t="s">
        <v>14523</v>
      </c>
      <c r="X1989">
        <v>8</v>
      </c>
      <c r="Y1989" t="s">
        <v>20708</v>
      </c>
      <c r="Z1989" t="s">
        <v>26859</v>
      </c>
      <c r="AA1989">
        <v>0.31027874075316608</v>
      </c>
      <c r="AB1989" t="str">
        <f>HYPERLINK("Melting_Curves/meltCurve_P30837_ALDH1B1.pdf", "Melting_Curves/meltCurve_P30837_ALDH1B1.pdf")</f>
        <v>Melting_Curves/meltCurve_P30837_ALDH1B1.pdf</v>
      </c>
    </row>
    <row r="1990" spans="1:28" x14ac:dyDescent="0.25">
      <c r="A1990" t="s">
        <v>1994</v>
      </c>
      <c r="B1990">
        <v>0.99352677808782597</v>
      </c>
      <c r="C1990">
        <v>1.02125732250762</v>
      </c>
      <c r="D1990">
        <v>0.74302076395752303</v>
      </c>
      <c r="E1990">
        <v>0.24493426327187001</v>
      </c>
      <c r="F1990">
        <v>0.17756632539467501</v>
      </c>
      <c r="G1990">
        <v>0.102547912534889</v>
      </c>
      <c r="H1990">
        <v>7.2675963453408904E-2</v>
      </c>
      <c r="I1990">
        <v>6.6693123437369994E-2</v>
      </c>
      <c r="J1990">
        <v>5.4919007233112598E-2</v>
      </c>
      <c r="K1990">
        <v>4.27313394269873E-2</v>
      </c>
      <c r="L1990">
        <v>1368.47113721966</v>
      </c>
      <c r="M1990">
        <v>28.728032838417299</v>
      </c>
      <c r="N1990">
        <v>47.900027127877998</v>
      </c>
      <c r="O1990">
        <v>47.4063581415217</v>
      </c>
      <c r="P1990">
        <v>-0.14038284617951499</v>
      </c>
      <c r="Q1990">
        <v>7.3380482453629894E-2</v>
      </c>
      <c r="R1990">
        <v>0.99393911476955399</v>
      </c>
      <c r="S1990" t="s">
        <v>8275</v>
      </c>
      <c r="T1990" t="s">
        <v>12568</v>
      </c>
      <c r="U1990" t="s">
        <v>12568</v>
      </c>
      <c r="V1990" t="s">
        <v>12568</v>
      </c>
      <c r="W1990" t="s">
        <v>14524</v>
      </c>
      <c r="X1990">
        <v>36</v>
      </c>
      <c r="Y1990" t="s">
        <v>20709</v>
      </c>
      <c r="Z1990" t="s">
        <v>26860</v>
      </c>
      <c r="AA1990">
        <v>0.3153134149956498</v>
      </c>
      <c r="AB1990" t="str">
        <f>HYPERLINK("Melting_Curves/meltCurve_P30838_ALDH3A1.pdf", "Melting_Curves/meltCurve_P30838_ALDH3A1.pdf")</f>
        <v>Melting_Curves/meltCurve_P30838_ALDH3A1.pdf</v>
      </c>
    </row>
    <row r="1991" spans="1:28" x14ac:dyDescent="0.25">
      <c r="A1991" t="s">
        <v>1995</v>
      </c>
      <c r="B1991">
        <v>0.99352677808782597</v>
      </c>
      <c r="C1991">
        <v>0.94952260056067495</v>
      </c>
      <c r="D1991">
        <v>0.94965547448537402</v>
      </c>
      <c r="E1991">
        <v>0.81951644562596804</v>
      </c>
      <c r="F1991">
        <v>0.74129835588962201</v>
      </c>
      <c r="G1991">
        <v>0.60499721140422003</v>
      </c>
      <c r="H1991">
        <v>0.39197435182895601</v>
      </c>
      <c r="I1991">
        <v>0.24070888276874999</v>
      </c>
      <c r="J1991">
        <v>9.31392018563688E-2</v>
      </c>
      <c r="K1991">
        <v>6.8277216124383602E-2</v>
      </c>
      <c r="L1991">
        <v>712.73244545386297</v>
      </c>
      <c r="M1991">
        <v>12.298427507331899</v>
      </c>
      <c r="N1991">
        <v>57.953145856169897</v>
      </c>
      <c r="O1991">
        <v>56.484804376227203</v>
      </c>
      <c r="P1991">
        <v>-5.4444390407333003E-2</v>
      </c>
      <c r="Q1991">
        <v>0</v>
      </c>
      <c r="R1991">
        <v>0.98676246080329999</v>
      </c>
      <c r="S1991" t="s">
        <v>8276</v>
      </c>
      <c r="T1991" t="s">
        <v>12568</v>
      </c>
      <c r="U1991" t="s">
        <v>12568</v>
      </c>
      <c r="V1991" t="s">
        <v>12568</v>
      </c>
      <c r="W1991" t="s">
        <v>14525</v>
      </c>
      <c r="X1991">
        <v>10</v>
      </c>
      <c r="Y1991" t="s">
        <v>20710</v>
      </c>
      <c r="Z1991" t="s">
        <v>26861</v>
      </c>
      <c r="AA1991">
        <v>0.61155432733400417</v>
      </c>
      <c r="AB1991" t="str">
        <f>HYPERLINK("Melting_Curves/meltCurve_P31040_SDHA.pdf", "Melting_Curves/meltCurve_P31040_SDHA.pdf")</f>
        <v>Melting_Curves/meltCurve_P31040_SDHA.pdf</v>
      </c>
    </row>
    <row r="1992" spans="1:28" x14ac:dyDescent="0.25">
      <c r="A1992" t="s">
        <v>1996</v>
      </c>
      <c r="B1992">
        <v>0.99352677808782597</v>
      </c>
      <c r="C1992">
        <v>1.0033847255683399</v>
      </c>
      <c r="D1992">
        <v>0.95474671547866197</v>
      </c>
      <c r="E1992">
        <v>0.21972906637544001</v>
      </c>
      <c r="F1992">
        <v>0.16899026111778701</v>
      </c>
      <c r="G1992">
        <v>8.8820591466017701E-2</v>
      </c>
      <c r="H1992">
        <v>5.3060212281017198E-2</v>
      </c>
      <c r="I1992">
        <v>4.42641592763659E-2</v>
      </c>
      <c r="J1992">
        <v>4.1333617594238398E-2</v>
      </c>
      <c r="K1992">
        <v>2.8192975229347401E-2</v>
      </c>
      <c r="L1992">
        <v>2429.9961788864598</v>
      </c>
      <c r="M1992">
        <v>50.124374698297999</v>
      </c>
      <c r="N1992">
        <v>48.617981122205997</v>
      </c>
      <c r="O1992">
        <v>48.402353320478603</v>
      </c>
      <c r="P1992">
        <v>-0.24165191044711801</v>
      </c>
      <c r="Q1992">
        <v>6.6600921746262406E-2</v>
      </c>
      <c r="R1992">
        <v>0.993118354368421</v>
      </c>
      <c r="S1992" t="s">
        <v>8277</v>
      </c>
      <c r="T1992" t="s">
        <v>12568</v>
      </c>
      <c r="U1992" t="s">
        <v>12568</v>
      </c>
      <c r="V1992" t="s">
        <v>12568</v>
      </c>
      <c r="W1992" t="s">
        <v>14526</v>
      </c>
      <c r="X1992">
        <v>5</v>
      </c>
      <c r="Y1992" t="s">
        <v>20711</v>
      </c>
      <c r="Z1992" t="s">
        <v>26862</v>
      </c>
      <c r="AA1992">
        <v>0.33240747189626618</v>
      </c>
      <c r="AB1992" t="str">
        <f>HYPERLINK("Melting_Curves/meltCurve_P31146_CORO1A.pdf", "Melting_Curves/meltCurve_P31146_CORO1A.pdf")</f>
        <v>Melting_Curves/meltCurve_P31146_CORO1A.pdf</v>
      </c>
    </row>
    <row r="1993" spans="1:28" x14ac:dyDescent="0.25">
      <c r="A1993" t="s">
        <v>1997</v>
      </c>
      <c r="B1993">
        <v>0.99352677808782597</v>
      </c>
      <c r="C1993">
        <v>1.01641835337163</v>
      </c>
      <c r="D1993">
        <v>0.99778780715072501</v>
      </c>
      <c r="E1993">
        <v>0.83526523645680695</v>
      </c>
      <c r="F1993">
        <v>0.74354687797973995</v>
      </c>
      <c r="G1993">
        <v>0.35680421820710201</v>
      </c>
      <c r="H1993">
        <v>0.155972487804276</v>
      </c>
      <c r="I1993">
        <v>0.14170262003453399</v>
      </c>
      <c r="J1993">
        <v>0.105323214328592</v>
      </c>
      <c r="K1993">
        <v>7.8800268295933201E-2</v>
      </c>
      <c r="L1993">
        <v>1133.15062300505</v>
      </c>
      <c r="M1993">
        <v>20.642612002763101</v>
      </c>
      <c r="N1993">
        <v>55.328633551506798</v>
      </c>
      <c r="O1993">
        <v>54.386376744327499</v>
      </c>
      <c r="P1993">
        <v>-8.7785560840530699E-2</v>
      </c>
      <c r="Q1993">
        <v>7.4884033881405396E-2</v>
      </c>
      <c r="R1993">
        <v>0.995470827986913</v>
      </c>
      <c r="S1993" t="s">
        <v>8278</v>
      </c>
      <c r="T1993" t="s">
        <v>12568</v>
      </c>
      <c r="U1993" t="s">
        <v>12568</v>
      </c>
      <c r="V1993" t="s">
        <v>12568</v>
      </c>
      <c r="W1993" t="s">
        <v>14527</v>
      </c>
      <c r="X1993">
        <v>28</v>
      </c>
      <c r="Y1993" t="s">
        <v>20712</v>
      </c>
      <c r="Z1993" t="s">
        <v>26863</v>
      </c>
      <c r="AA1993">
        <v>0.54593327685913318</v>
      </c>
      <c r="AB1993" t="str">
        <f>HYPERLINK("Melting_Curves/meltCurve_P31150_GDI1.pdf", "Melting_Curves/meltCurve_P31150_GDI1.pdf")</f>
        <v>Melting_Curves/meltCurve_P31150_GDI1.pdf</v>
      </c>
    </row>
    <row r="1994" spans="1:28" x14ac:dyDescent="0.25">
      <c r="A1994" t="s">
        <v>1998</v>
      </c>
      <c r="B1994">
        <v>0.99352677808782597</v>
      </c>
      <c r="C1994">
        <v>0.97614316292879</v>
      </c>
      <c r="D1994">
        <v>0.80241479781112801</v>
      </c>
      <c r="E1994">
        <v>0.52737954030074596</v>
      </c>
      <c r="F1994">
        <v>0.43606806266547199</v>
      </c>
      <c r="G1994">
        <v>0.258534266680019</v>
      </c>
      <c r="H1994">
        <v>0.19447963784460601</v>
      </c>
      <c r="I1994">
        <v>0.13822797964162201</v>
      </c>
      <c r="J1994">
        <v>0.14049511930995101</v>
      </c>
      <c r="K1994">
        <v>8.1832824816463604E-2</v>
      </c>
      <c r="L1994">
        <v>689.81967049240995</v>
      </c>
      <c r="M1994">
        <v>13.6732943749032</v>
      </c>
      <c r="N1994">
        <v>51.253937589495003</v>
      </c>
      <c r="O1994">
        <v>49.4077341668863</v>
      </c>
      <c r="P1994">
        <v>-6.2518604863916499E-2</v>
      </c>
      <c r="Q1994">
        <v>9.6500267893071895E-2</v>
      </c>
      <c r="R1994">
        <v>0.99278831928347799</v>
      </c>
      <c r="S1994" t="s">
        <v>8279</v>
      </c>
      <c r="T1994" t="s">
        <v>12568</v>
      </c>
      <c r="U1994" t="s">
        <v>12568</v>
      </c>
      <c r="V1994" t="s">
        <v>12568</v>
      </c>
      <c r="W1994" t="s">
        <v>14528</v>
      </c>
      <c r="X1994">
        <v>22</v>
      </c>
      <c r="Y1994" t="s">
        <v>20713</v>
      </c>
      <c r="Z1994" t="s">
        <v>26864</v>
      </c>
      <c r="AA1994">
        <v>0.43603301112671838</v>
      </c>
      <c r="AB1994" t="str">
        <f>HYPERLINK("Melting_Curves/meltCurve_P31153_MAT2A.pdf", "Melting_Curves/meltCurve_P31153_MAT2A.pdf")</f>
        <v>Melting_Curves/meltCurve_P31153_MAT2A.pdf</v>
      </c>
    </row>
    <row r="1995" spans="1:28" x14ac:dyDescent="0.25">
      <c r="A1995" t="s">
        <v>1999</v>
      </c>
      <c r="B1995">
        <v>0.99352677808782597</v>
      </c>
      <c r="C1995">
        <v>0.93016912924140704</v>
      </c>
      <c r="D1995">
        <v>0.889551438952917</v>
      </c>
      <c r="E1995">
        <v>0.42365080612025402</v>
      </c>
      <c r="F1995">
        <v>0.38766611096079201</v>
      </c>
      <c r="G1995">
        <v>0.217904758587849</v>
      </c>
      <c r="H1995">
        <v>0.169086111612299</v>
      </c>
      <c r="I1995">
        <v>0.15464014398357201</v>
      </c>
      <c r="J1995">
        <v>0.144425135667479</v>
      </c>
      <c r="K1995">
        <v>0.15827529437307</v>
      </c>
      <c r="L1995">
        <v>986.84384543876604</v>
      </c>
      <c r="M1995">
        <v>20.085381130084301</v>
      </c>
      <c r="N1995">
        <v>50.072662832523399</v>
      </c>
      <c r="O1995">
        <v>48.6531883366725</v>
      </c>
      <c r="P1995">
        <v>-8.6996806264787202E-2</v>
      </c>
      <c r="Q1995">
        <v>0.15709114120814799</v>
      </c>
      <c r="R1995">
        <v>0.98491779810985103</v>
      </c>
      <c r="S1995" t="s">
        <v>8280</v>
      </c>
      <c r="T1995" t="s">
        <v>12568</v>
      </c>
      <c r="U1995" t="s">
        <v>12568</v>
      </c>
      <c r="V1995" t="s">
        <v>12568</v>
      </c>
      <c r="W1995" t="s">
        <v>14529</v>
      </c>
      <c r="X1995">
        <v>8</v>
      </c>
      <c r="Y1995" t="s">
        <v>20714</v>
      </c>
      <c r="Z1995" t="s">
        <v>26865</v>
      </c>
      <c r="AA1995">
        <v>0.42537732173572429</v>
      </c>
      <c r="AB1995" t="str">
        <f>HYPERLINK("Melting_Curves/meltCurve_P31321_PRKAR1B.pdf", "Melting_Curves/meltCurve_P31321_PRKAR1B.pdf")</f>
        <v>Melting_Curves/meltCurve_P31321_PRKAR1B.pdf</v>
      </c>
    </row>
    <row r="1996" spans="1:28" x14ac:dyDescent="0.25">
      <c r="A1996" t="s">
        <v>2000</v>
      </c>
      <c r="B1996">
        <v>0.99352677808782597</v>
      </c>
      <c r="C1996">
        <v>1.04669054232682</v>
      </c>
      <c r="D1996">
        <v>0.77129467185968403</v>
      </c>
      <c r="E1996">
        <v>0.55268431300500098</v>
      </c>
      <c r="F1996">
        <v>0.45802195455041</v>
      </c>
      <c r="G1996">
        <v>0.16950543921845301</v>
      </c>
      <c r="H1996">
        <v>9.9046076646663206E-2</v>
      </c>
      <c r="I1996">
        <v>9.5343297897253904E-2</v>
      </c>
      <c r="J1996">
        <v>7.3771690497779902E-2</v>
      </c>
      <c r="K1996">
        <v>5.6081365964225298E-2</v>
      </c>
      <c r="L1996">
        <v>747.20200057305601</v>
      </c>
      <c r="M1996">
        <v>14.6682539425674</v>
      </c>
      <c r="N1996">
        <v>51.218697093554503</v>
      </c>
      <c r="O1996">
        <v>50.021384908055502</v>
      </c>
      <c r="P1996">
        <v>-7.0506552897447006E-2</v>
      </c>
      <c r="Q1996">
        <v>3.8345926500525498E-2</v>
      </c>
      <c r="R1996">
        <v>0.98327908632405003</v>
      </c>
      <c r="S1996" t="s">
        <v>8281</v>
      </c>
      <c r="T1996" t="s">
        <v>12568</v>
      </c>
      <c r="U1996" t="s">
        <v>12568</v>
      </c>
      <c r="V1996" t="s">
        <v>12568</v>
      </c>
      <c r="W1996" t="s">
        <v>14530</v>
      </c>
      <c r="X1996">
        <v>42</v>
      </c>
      <c r="Y1996" t="s">
        <v>20715</v>
      </c>
      <c r="Z1996" t="s">
        <v>26866</v>
      </c>
      <c r="AA1996">
        <v>0.41212965170911148</v>
      </c>
      <c r="AB1996" t="str">
        <f>HYPERLINK("Melting_Curves/meltCurve_P31327_CPS1.pdf", "Melting_Curves/meltCurve_P31327_CPS1.pdf")</f>
        <v>Melting_Curves/meltCurve_P31327_CPS1.pdf</v>
      </c>
    </row>
    <row r="1997" spans="1:28" x14ac:dyDescent="0.25">
      <c r="A1997" t="s">
        <v>2001</v>
      </c>
      <c r="B1997">
        <v>0.99352677808782597</v>
      </c>
      <c r="C1997">
        <v>1.0368927236443399</v>
      </c>
      <c r="D1997">
        <v>1.0113050843486799</v>
      </c>
      <c r="E1997">
        <v>0.98658052434506105</v>
      </c>
      <c r="F1997">
        <v>0.807661461598837</v>
      </c>
      <c r="G1997">
        <v>0.64447213703705897</v>
      </c>
      <c r="H1997">
        <v>0.67754855569024097</v>
      </c>
      <c r="I1997">
        <v>0.58994971867549095</v>
      </c>
      <c r="J1997">
        <v>0.49818470984838298</v>
      </c>
      <c r="K1997">
        <v>0.286372681402562</v>
      </c>
      <c r="L1997">
        <v>521.31670705954502</v>
      </c>
      <c r="M1997">
        <v>8.0059302154638292</v>
      </c>
      <c r="N1997">
        <v>65.116318038856093</v>
      </c>
      <c r="O1997">
        <v>61.430341066443297</v>
      </c>
      <c r="P1997">
        <v>-3.26180844446975E-2</v>
      </c>
      <c r="Q1997">
        <v>0</v>
      </c>
      <c r="R1997">
        <v>0.93327099364553201</v>
      </c>
      <c r="S1997" t="s">
        <v>8282</v>
      </c>
      <c r="T1997" t="s">
        <v>12568</v>
      </c>
      <c r="U1997" t="s">
        <v>12568</v>
      </c>
      <c r="V1997" t="s">
        <v>12568</v>
      </c>
      <c r="W1997" t="s">
        <v>14531</v>
      </c>
      <c r="X1997">
        <v>18</v>
      </c>
      <c r="Y1997" t="s">
        <v>20716</v>
      </c>
      <c r="Z1997" t="s">
        <v>26867</v>
      </c>
      <c r="AA1997">
        <v>0.76011242233182541</v>
      </c>
      <c r="AB1997" t="str">
        <f>HYPERLINK("Melting_Curves/meltCurve_P31350_RRM2.pdf", "Melting_Curves/meltCurve_P31350_RRM2.pdf")</f>
        <v>Melting_Curves/meltCurve_P31350_RRM2.pdf</v>
      </c>
    </row>
    <row r="1998" spans="1:28" x14ac:dyDescent="0.25">
      <c r="A1998" t="s">
        <v>2002</v>
      </c>
      <c r="B1998">
        <v>0.99352677808782597</v>
      </c>
      <c r="C1998">
        <v>0.90429635325220803</v>
      </c>
      <c r="D1998">
        <v>0.868778099084212</v>
      </c>
      <c r="E1998">
        <v>0.98444102519200105</v>
      </c>
      <c r="F1998">
        <v>0.77814699118845598</v>
      </c>
      <c r="G1998">
        <v>0.44385301543183298</v>
      </c>
      <c r="H1998">
        <v>0.190737170945498</v>
      </c>
      <c r="I1998">
        <v>0.14638960159190401</v>
      </c>
      <c r="J1998">
        <v>0.122337364567753</v>
      </c>
      <c r="K1998">
        <v>9.9161916870491904E-2</v>
      </c>
      <c r="L1998">
        <v>1288.89896458933</v>
      </c>
      <c r="M1998">
        <v>23.116727613970799</v>
      </c>
      <c r="N1998">
        <v>56.275459396112197</v>
      </c>
      <c r="O1998">
        <v>55.3439003441569</v>
      </c>
      <c r="P1998">
        <v>-9.4394256317128694E-2</v>
      </c>
      <c r="Q1998">
        <v>9.6057096782208695E-2</v>
      </c>
      <c r="R1998">
        <v>0.98006199427881202</v>
      </c>
      <c r="S1998" t="s">
        <v>8283</v>
      </c>
      <c r="T1998" t="s">
        <v>12568</v>
      </c>
      <c r="U1998" t="s">
        <v>12568</v>
      </c>
      <c r="V1998" t="s">
        <v>12568</v>
      </c>
      <c r="W1998" t="s">
        <v>14532</v>
      </c>
      <c r="X1998">
        <v>14</v>
      </c>
      <c r="Y1998" t="s">
        <v>20717</v>
      </c>
      <c r="Z1998" t="s">
        <v>26868</v>
      </c>
      <c r="AA1998">
        <v>0.58027358311012478</v>
      </c>
      <c r="AB1998" t="str">
        <f>HYPERLINK("Melting_Curves/meltCurve_P31689_DNAJA1.pdf", "Melting_Curves/meltCurve_P31689_DNAJA1.pdf")</f>
        <v>Melting_Curves/meltCurve_P31689_DNAJA1.pdf</v>
      </c>
    </row>
    <row r="1999" spans="1:28" x14ac:dyDescent="0.25">
      <c r="A1999" t="s">
        <v>2003</v>
      </c>
      <c r="B1999">
        <v>0.99352677808782597</v>
      </c>
      <c r="C1999">
        <v>0.92621160268564495</v>
      </c>
      <c r="D1999">
        <v>0.85986982386974797</v>
      </c>
      <c r="E1999">
        <v>0.40507018932447503</v>
      </c>
      <c r="F1999">
        <v>0.33665702779579199</v>
      </c>
      <c r="G1999">
        <v>0.192930606771713</v>
      </c>
      <c r="H1999">
        <v>0.142189439844254</v>
      </c>
      <c r="I1999">
        <v>0.122035452742422</v>
      </c>
      <c r="J1999">
        <v>0.10168372117206601</v>
      </c>
      <c r="K1999">
        <v>7.9423037652378806E-2</v>
      </c>
      <c r="L1999">
        <v>928.09144226358706</v>
      </c>
      <c r="M1999">
        <v>18.9019059932549</v>
      </c>
      <c r="N1999">
        <v>49.744270257582599</v>
      </c>
      <c r="O1999">
        <v>48.560747878403198</v>
      </c>
      <c r="P1999">
        <v>-8.6754812309189203E-2</v>
      </c>
      <c r="Q1999">
        <v>0.10851168154961301</v>
      </c>
      <c r="R1999">
        <v>0.98905849544359004</v>
      </c>
      <c r="S1999" t="s">
        <v>8284</v>
      </c>
      <c r="T1999" t="s">
        <v>12568</v>
      </c>
      <c r="U1999" t="s">
        <v>12568</v>
      </c>
      <c r="V1999" t="s">
        <v>12568</v>
      </c>
      <c r="W1999" t="s">
        <v>14533</v>
      </c>
      <c r="X1999">
        <v>19</v>
      </c>
      <c r="Y1999" t="s">
        <v>20718</v>
      </c>
      <c r="Z1999" t="s">
        <v>26869</v>
      </c>
      <c r="AA1999">
        <v>0.39292244194745513</v>
      </c>
      <c r="AB1999" t="str">
        <f>HYPERLINK("Melting_Curves/meltCurve_P31749_AKT1.pdf", "Melting_Curves/meltCurve_P31749_AKT1.pdf")</f>
        <v>Melting_Curves/meltCurve_P31749_AKT1.pdf</v>
      </c>
    </row>
    <row r="2000" spans="1:28" x14ac:dyDescent="0.25">
      <c r="A2000" t="s">
        <v>2004</v>
      </c>
      <c r="B2000">
        <v>0.99352677808782597</v>
      </c>
      <c r="C2000">
        <v>0.87288333177316502</v>
      </c>
      <c r="D2000">
        <v>0.91084361952762505</v>
      </c>
      <c r="E2000">
        <v>0.56851739337294005</v>
      </c>
      <c r="F2000">
        <v>0.49292825306293198</v>
      </c>
      <c r="G2000">
        <v>0.20417969912942599</v>
      </c>
      <c r="H2000">
        <v>0.129175399638633</v>
      </c>
      <c r="I2000">
        <v>0.114183165995865</v>
      </c>
      <c r="J2000">
        <v>0.102854600811917</v>
      </c>
      <c r="K2000">
        <v>7.4145660371274902E-2</v>
      </c>
      <c r="L2000">
        <v>729.44434237541896</v>
      </c>
      <c r="M2000">
        <v>14.178358592632399</v>
      </c>
      <c r="N2000">
        <v>51.8513294492409</v>
      </c>
      <c r="O2000">
        <v>50.456727989189098</v>
      </c>
      <c r="P2000">
        <v>-6.6588269643550094E-2</v>
      </c>
      <c r="Q2000">
        <v>5.2244848533904903E-2</v>
      </c>
      <c r="R2000">
        <v>0.98537260101700397</v>
      </c>
      <c r="S2000" t="s">
        <v>8285</v>
      </c>
      <c r="T2000" t="s">
        <v>12568</v>
      </c>
      <c r="U2000" t="s">
        <v>12568</v>
      </c>
      <c r="V2000" t="s">
        <v>12568</v>
      </c>
      <c r="W2000" t="s">
        <v>14534</v>
      </c>
      <c r="X2000">
        <v>21</v>
      </c>
      <c r="Y2000" t="s">
        <v>20719</v>
      </c>
      <c r="Z2000" t="s">
        <v>26870</v>
      </c>
      <c r="AA2000">
        <v>0.43748268116691919</v>
      </c>
      <c r="AB2000" t="str">
        <f>HYPERLINK("Melting_Curves/meltCurve_P31751_AKT2.pdf", "Melting_Curves/meltCurve_P31751_AKT2.pdf")</f>
        <v>Melting_Curves/meltCurve_P31751_AKT2.pdf</v>
      </c>
    </row>
    <row r="2001" spans="1:28" x14ac:dyDescent="0.25">
      <c r="A2001" t="s">
        <v>2005</v>
      </c>
      <c r="B2001">
        <v>0.99352677808782597</v>
      </c>
      <c r="C2001">
        <v>0.68812907225082898</v>
      </c>
      <c r="D2001">
        <v>0.31825668319211903</v>
      </c>
      <c r="E2001">
        <v>0.17118925436104501</v>
      </c>
      <c r="F2001">
        <v>0.15042149330743501</v>
      </c>
      <c r="G2001">
        <v>5.4259400699329698E-2</v>
      </c>
      <c r="H2001">
        <v>4.5520798710539399E-2</v>
      </c>
      <c r="I2001">
        <v>5.64908743240468E-2</v>
      </c>
      <c r="J2001">
        <v>4.0053540314328499E-2</v>
      </c>
      <c r="K2001">
        <v>3.8305645666322198E-2</v>
      </c>
      <c r="L2001">
        <v>1044.5671987231699</v>
      </c>
      <c r="M2001">
        <v>23.575557032332402</v>
      </c>
      <c r="N2001">
        <v>44.5666630111457</v>
      </c>
      <c r="O2001">
        <v>43.992116703215501</v>
      </c>
      <c r="P2001">
        <v>-0.125386723993612</v>
      </c>
      <c r="Q2001">
        <v>6.41266663758987E-2</v>
      </c>
      <c r="R2001">
        <v>0.98628716142719597</v>
      </c>
      <c r="S2001" t="s">
        <v>8286</v>
      </c>
      <c r="T2001" t="s">
        <v>12568</v>
      </c>
      <c r="U2001" t="s">
        <v>12568</v>
      </c>
      <c r="V2001" t="s">
        <v>12568</v>
      </c>
      <c r="W2001" t="s">
        <v>14535</v>
      </c>
      <c r="X2001">
        <v>1</v>
      </c>
      <c r="Y2001" t="s">
        <v>20720</v>
      </c>
      <c r="Z2001" t="s">
        <v>26871</v>
      </c>
      <c r="AA2001">
        <v>0.2102383430866048</v>
      </c>
      <c r="AB2001" t="str">
        <f>HYPERLINK("Melting_Curves/meltCurve_P31930_UQCRC1.pdf", "Melting_Curves/meltCurve_P31930_UQCRC1.pdf")</f>
        <v>Melting_Curves/meltCurve_P31930_UQCRC1.pdf</v>
      </c>
    </row>
    <row r="2002" spans="1:28" x14ac:dyDescent="0.25">
      <c r="A2002" t="s">
        <v>2006</v>
      </c>
      <c r="B2002">
        <v>0.99352677808782597</v>
      </c>
      <c r="C2002">
        <v>1.04978394313051</v>
      </c>
      <c r="D2002">
        <v>0.96992944918693202</v>
      </c>
      <c r="E2002">
        <v>0.91672464395865105</v>
      </c>
      <c r="F2002">
        <v>0.79110741614222302</v>
      </c>
      <c r="G2002">
        <v>0.709438591926985</v>
      </c>
      <c r="H2002">
        <v>0.79803592523351796</v>
      </c>
      <c r="I2002">
        <v>0.26586085426129802</v>
      </c>
      <c r="J2002">
        <v>0.10192027909165</v>
      </c>
      <c r="K2002">
        <v>9.5035366062882196E-2</v>
      </c>
      <c r="L2002">
        <v>1083.9786781359701</v>
      </c>
      <c r="M2002">
        <v>17.560828238360301</v>
      </c>
      <c r="N2002">
        <v>61.727082670896301</v>
      </c>
      <c r="O2002">
        <v>60.943314866495697</v>
      </c>
      <c r="P2002">
        <v>-7.2041467287885894E-2</v>
      </c>
      <c r="Q2002">
        <v>0</v>
      </c>
      <c r="R2002">
        <v>0.90392727559999497</v>
      </c>
      <c r="S2002" t="s">
        <v>8287</v>
      </c>
      <c r="T2002" t="s">
        <v>12568</v>
      </c>
      <c r="U2002" t="s">
        <v>12568</v>
      </c>
      <c r="V2002" t="s">
        <v>12568</v>
      </c>
      <c r="W2002" t="s">
        <v>14536</v>
      </c>
      <c r="X2002">
        <v>7</v>
      </c>
      <c r="Y2002" t="s">
        <v>20721</v>
      </c>
      <c r="Z2002" t="s">
        <v>26872</v>
      </c>
      <c r="AA2002">
        <v>0.72645761480738003</v>
      </c>
      <c r="AB2002" t="str">
        <f>HYPERLINK("Melting_Curves/meltCurve_P31937_HIBADH.pdf", "Melting_Curves/meltCurve_P31937_HIBADH.pdf")</f>
        <v>Melting_Curves/meltCurve_P31937_HIBADH.pdf</v>
      </c>
    </row>
    <row r="2003" spans="1:28" x14ac:dyDescent="0.25">
      <c r="A2003" t="s">
        <v>2007</v>
      </c>
      <c r="B2003">
        <v>0.99352677808782597</v>
      </c>
      <c r="C2003">
        <v>1.0062422243292</v>
      </c>
      <c r="D2003">
        <v>0.80618513556694704</v>
      </c>
      <c r="E2003">
        <v>0.23466994715605</v>
      </c>
      <c r="F2003">
        <v>0.16694979976143101</v>
      </c>
      <c r="G2003">
        <v>9.7292822976454293E-2</v>
      </c>
      <c r="H2003">
        <v>7.0563196501156597E-2</v>
      </c>
      <c r="I2003">
        <v>6.5734684679754296E-2</v>
      </c>
      <c r="J2003">
        <v>5.4392457569877498E-2</v>
      </c>
      <c r="K2003">
        <v>4.5602587402844799E-2</v>
      </c>
      <c r="L2003">
        <v>1564.8952137762301</v>
      </c>
      <c r="M2003">
        <v>32.705886362714502</v>
      </c>
      <c r="N2003">
        <v>48.080470408741903</v>
      </c>
      <c r="O2003">
        <v>47.6696931750121</v>
      </c>
      <c r="P2003">
        <v>-0.15895590565081399</v>
      </c>
      <c r="Q2003">
        <v>7.3274555868767105E-2</v>
      </c>
      <c r="R2003">
        <v>0.99602355236479501</v>
      </c>
      <c r="S2003" t="s">
        <v>8288</v>
      </c>
      <c r="T2003" t="s">
        <v>12568</v>
      </c>
      <c r="U2003" t="s">
        <v>12568</v>
      </c>
      <c r="V2003" t="s">
        <v>12568</v>
      </c>
      <c r="W2003" t="s">
        <v>14537</v>
      </c>
      <c r="X2003">
        <v>39</v>
      </c>
      <c r="Y2003" t="s">
        <v>20722</v>
      </c>
      <c r="Z2003" t="s">
        <v>26873</v>
      </c>
      <c r="AA2003">
        <v>0.32034288417539891</v>
      </c>
      <c r="AB2003" t="str">
        <f>HYPERLINK("Melting_Curves/meltCurve_P31939_ATIC.pdf", "Melting_Curves/meltCurve_P31939_ATIC.pdf")</f>
        <v>Melting_Curves/meltCurve_P31939_ATIC.pdf</v>
      </c>
    </row>
    <row r="2004" spans="1:28" x14ac:dyDescent="0.25">
      <c r="A2004" t="s">
        <v>2008</v>
      </c>
      <c r="B2004">
        <v>0.99352677808782597</v>
      </c>
      <c r="C2004">
        <v>0.88646096779362005</v>
      </c>
      <c r="D2004">
        <v>0.98277081575286096</v>
      </c>
      <c r="E2004">
        <v>0.48603324212621002</v>
      </c>
      <c r="F2004">
        <v>0.44179367883703902</v>
      </c>
      <c r="G2004">
        <v>0.28680601544141998</v>
      </c>
      <c r="H2004">
        <v>0.21682863137217701</v>
      </c>
      <c r="I2004">
        <v>0.20457312639291</v>
      </c>
      <c r="J2004">
        <v>0.20030840520938401</v>
      </c>
      <c r="K2004">
        <v>0.178252296738033</v>
      </c>
      <c r="L2004">
        <v>1008.83802657526</v>
      </c>
      <c r="M2004">
        <v>20.268218587291301</v>
      </c>
      <c r="N2004">
        <v>51.069966720134801</v>
      </c>
      <c r="O2004">
        <v>49.297454978809498</v>
      </c>
      <c r="P2004">
        <v>-8.2127508292737003E-2</v>
      </c>
      <c r="Q2004">
        <v>0.20100501393249001</v>
      </c>
      <c r="R2004">
        <v>0.96754380033908405</v>
      </c>
      <c r="S2004" t="s">
        <v>8289</v>
      </c>
      <c r="T2004" t="s">
        <v>12568</v>
      </c>
      <c r="U2004" t="s">
        <v>12568</v>
      </c>
      <c r="V2004" t="s">
        <v>12568</v>
      </c>
      <c r="W2004" t="s">
        <v>14538</v>
      </c>
      <c r="X2004">
        <v>4</v>
      </c>
      <c r="Y2004" t="s">
        <v>20723</v>
      </c>
      <c r="Z2004" t="s">
        <v>26874</v>
      </c>
      <c r="AA2004">
        <v>0.4721728388352317</v>
      </c>
      <c r="AB2004" t="str">
        <f>HYPERLINK("Melting_Curves/meltCurve_P31942_2_HNRNPH3.pdf", "Melting_Curves/meltCurve_P31942_2_HNRNPH3.pdf")</f>
        <v>Melting_Curves/meltCurve_P31942_2_HNRNPH3.pdf</v>
      </c>
    </row>
    <row r="2005" spans="1:28" x14ac:dyDescent="0.25">
      <c r="A2005" t="s">
        <v>2009</v>
      </c>
      <c r="B2005">
        <v>0.99352677808782597</v>
      </c>
      <c r="C2005">
        <v>0.95048083617898904</v>
      </c>
      <c r="D2005">
        <v>0.98142457121274795</v>
      </c>
      <c r="E2005">
        <v>0.47200670967898001</v>
      </c>
      <c r="F2005">
        <v>0.41966611037284901</v>
      </c>
      <c r="G2005">
        <v>0.219393681788769</v>
      </c>
      <c r="H2005">
        <v>0.143040717424646</v>
      </c>
      <c r="I2005">
        <v>0.13334373609170899</v>
      </c>
      <c r="J2005">
        <v>0.12387170032703</v>
      </c>
      <c r="K2005">
        <v>9.8607389501089895E-2</v>
      </c>
      <c r="L2005">
        <v>1010.6733221646</v>
      </c>
      <c r="M2005">
        <v>20.134681938537199</v>
      </c>
      <c r="N2005">
        <v>50.910181574557498</v>
      </c>
      <c r="O2005">
        <v>49.708373083106501</v>
      </c>
      <c r="P2005">
        <v>-8.8802627436267698E-2</v>
      </c>
      <c r="Q2005">
        <v>0.123086376134159</v>
      </c>
      <c r="R2005">
        <v>0.97797031171704496</v>
      </c>
      <c r="S2005" t="s">
        <v>8290</v>
      </c>
      <c r="T2005" t="s">
        <v>12568</v>
      </c>
      <c r="U2005" t="s">
        <v>12568</v>
      </c>
      <c r="V2005" t="s">
        <v>12568</v>
      </c>
      <c r="W2005" t="s">
        <v>14539</v>
      </c>
      <c r="X2005">
        <v>14</v>
      </c>
      <c r="Y2005" t="s">
        <v>20724</v>
      </c>
      <c r="Z2005" t="s">
        <v>26875</v>
      </c>
      <c r="AA2005">
        <v>0.4331514492732596</v>
      </c>
      <c r="AB2005" t="str">
        <f>HYPERLINK("Melting_Curves/meltCurve_P31943_HNRNPH1.pdf", "Melting_Curves/meltCurve_P31943_HNRNPH1.pdf")</f>
        <v>Melting_Curves/meltCurve_P31943_HNRNPH1.pdf</v>
      </c>
    </row>
    <row r="2006" spans="1:28" x14ac:dyDescent="0.25">
      <c r="A2006" t="s">
        <v>2010</v>
      </c>
      <c r="B2006">
        <v>0.99352677808782597</v>
      </c>
      <c r="C2006">
        <v>0.91978176683522705</v>
      </c>
      <c r="D2006">
        <v>0.67217966883236802</v>
      </c>
      <c r="E2006">
        <v>0.94103735471851602</v>
      </c>
      <c r="F2006">
        <v>0.66305020007930004</v>
      </c>
      <c r="G2006">
        <v>0.50342805754598696</v>
      </c>
      <c r="H2006">
        <v>0.51873817995150195</v>
      </c>
      <c r="I2006">
        <v>0.52055801791599399</v>
      </c>
      <c r="J2006">
        <v>0.28863057264207898</v>
      </c>
      <c r="K2006">
        <v>0.56360369667443799</v>
      </c>
      <c r="L2006">
        <v>436.18922618660997</v>
      </c>
      <c r="M2006">
        <v>8.3126035444291002</v>
      </c>
      <c r="N2006">
        <v>62.104282678100901</v>
      </c>
      <c r="O2006">
        <v>49.699621227266803</v>
      </c>
      <c r="P2006">
        <v>-2.6693497275857899E-2</v>
      </c>
      <c r="Q2006">
        <v>0.36224161968081098</v>
      </c>
      <c r="R2006">
        <v>0.73912647887289995</v>
      </c>
      <c r="S2006" t="s">
        <v>8291</v>
      </c>
      <c r="T2006" t="s">
        <v>12568</v>
      </c>
      <c r="U2006" t="s">
        <v>12568</v>
      </c>
      <c r="V2006" t="s">
        <v>12568</v>
      </c>
      <c r="W2006" t="s">
        <v>14540</v>
      </c>
      <c r="X2006">
        <v>1</v>
      </c>
      <c r="Y2006" t="s">
        <v>20725</v>
      </c>
      <c r="Z2006" t="s">
        <v>26876</v>
      </c>
      <c r="AA2006">
        <v>0.65469579757739205</v>
      </c>
      <c r="AB2006" t="str">
        <f>HYPERLINK("Melting_Curves/meltCurve_P31944_CASP14.pdf", "Melting_Curves/meltCurve_P31944_CASP14.pdf")</f>
        <v>Melting_Curves/meltCurve_P31944_CASP14.pdf</v>
      </c>
    </row>
    <row r="2007" spans="1:28" x14ac:dyDescent="0.25">
      <c r="A2007" t="s">
        <v>2011</v>
      </c>
      <c r="B2007">
        <v>0.99352677808782597</v>
      </c>
      <c r="C2007">
        <v>0.96362050983874803</v>
      </c>
      <c r="D2007">
        <v>0.98358537226333898</v>
      </c>
      <c r="E2007">
        <v>0.96180733181335598</v>
      </c>
      <c r="F2007">
        <v>0.88243642262340605</v>
      </c>
      <c r="G2007">
        <v>0.67319317564769099</v>
      </c>
      <c r="H2007">
        <v>0.21890449639278001</v>
      </c>
      <c r="I2007">
        <v>0.14604616428202299</v>
      </c>
      <c r="J2007">
        <v>0.124089267489652</v>
      </c>
      <c r="K2007">
        <v>9.2553980872964903E-2</v>
      </c>
      <c r="L2007">
        <v>1631.7930309805299</v>
      </c>
      <c r="M2007">
        <v>28.2204643881769</v>
      </c>
      <c r="N2007">
        <v>58.216065052356697</v>
      </c>
      <c r="O2007">
        <v>57.5350247097007</v>
      </c>
      <c r="P2007">
        <v>-0.11198866179726</v>
      </c>
      <c r="Q2007">
        <v>8.6731292887259198E-2</v>
      </c>
      <c r="R2007">
        <v>0.99434009182540894</v>
      </c>
      <c r="S2007" t="s">
        <v>8292</v>
      </c>
      <c r="T2007" t="s">
        <v>12568</v>
      </c>
      <c r="U2007" t="s">
        <v>12568</v>
      </c>
      <c r="V2007" t="s">
        <v>12568</v>
      </c>
      <c r="W2007" t="s">
        <v>14541</v>
      </c>
      <c r="X2007">
        <v>18</v>
      </c>
      <c r="Y2007" t="s">
        <v>20726</v>
      </c>
      <c r="Z2007" t="s">
        <v>26877</v>
      </c>
      <c r="AA2007">
        <v>0.63596970940619924</v>
      </c>
      <c r="AB2007" t="str">
        <f>HYPERLINK("Melting_Curves/meltCurve_P31946_YWHAB.pdf", "Melting_Curves/meltCurve_P31946_YWHAB.pdf")</f>
        <v>Melting_Curves/meltCurve_P31946_YWHAB.pdf</v>
      </c>
    </row>
    <row r="2008" spans="1:28" x14ac:dyDescent="0.25">
      <c r="A2008" t="s">
        <v>2012</v>
      </c>
      <c r="B2008">
        <v>0.99352677808782597</v>
      </c>
      <c r="C2008">
        <v>0.956613968711574</v>
      </c>
      <c r="D2008">
        <v>0.98027405563411096</v>
      </c>
      <c r="E2008">
        <v>0.955499264840872</v>
      </c>
      <c r="F2008">
        <v>0.903453442431289</v>
      </c>
      <c r="G2008">
        <v>0.79530802774192999</v>
      </c>
      <c r="H2008">
        <v>0.67746180555142999</v>
      </c>
      <c r="I2008">
        <v>0.60069856866639704</v>
      </c>
      <c r="J2008">
        <v>0.55040943891090999</v>
      </c>
      <c r="K2008">
        <v>0.37626184359735398</v>
      </c>
      <c r="L2008">
        <v>549.299584419251</v>
      </c>
      <c r="M2008">
        <v>8.1939853600849997</v>
      </c>
      <c r="N2008">
        <v>67.036925081347405</v>
      </c>
      <c r="O2008">
        <v>63.399265827732101</v>
      </c>
      <c r="P2008">
        <v>-3.2344452328411197E-2</v>
      </c>
      <c r="Q2008">
        <v>0</v>
      </c>
      <c r="R2008">
        <v>0.98661165689523</v>
      </c>
      <c r="S2008" t="s">
        <v>8293</v>
      </c>
      <c r="T2008" t="s">
        <v>12568</v>
      </c>
      <c r="U2008" t="s">
        <v>12568</v>
      </c>
      <c r="V2008" t="s">
        <v>12568</v>
      </c>
      <c r="W2008" t="s">
        <v>14542</v>
      </c>
      <c r="X2008">
        <v>23</v>
      </c>
      <c r="Y2008" t="s">
        <v>20727</v>
      </c>
      <c r="Z2008" t="s">
        <v>26878</v>
      </c>
      <c r="AA2008">
        <v>0.79748225890426283</v>
      </c>
      <c r="AB2008" t="str">
        <f>HYPERLINK("Melting_Curves/meltCurve_P31947_SFN.pdf", "Melting_Curves/meltCurve_P31947_SFN.pdf")</f>
        <v>Melting_Curves/meltCurve_P31947_SFN.pdf</v>
      </c>
    </row>
    <row r="2009" spans="1:28" x14ac:dyDescent="0.25">
      <c r="A2009" t="s">
        <v>2013</v>
      </c>
      <c r="B2009">
        <v>0.99352677808782597</v>
      </c>
      <c r="C2009">
        <v>0.98146690154196903</v>
      </c>
      <c r="D2009">
        <v>0.95075380752488603</v>
      </c>
      <c r="E2009">
        <v>1.0373262216827801</v>
      </c>
      <c r="F2009">
        <v>0.90551293923294296</v>
      </c>
      <c r="G2009">
        <v>0.84253611906569603</v>
      </c>
      <c r="H2009">
        <v>0.67845532123348495</v>
      </c>
      <c r="I2009">
        <v>0.64112847547524399</v>
      </c>
      <c r="J2009">
        <v>0.762541208004894</v>
      </c>
      <c r="K2009">
        <v>0.567196543756469</v>
      </c>
      <c r="L2009">
        <v>1252.84846109459</v>
      </c>
      <c r="M2009">
        <v>21.981405040310602</v>
      </c>
      <c r="O2009">
        <v>56.530404213945999</v>
      </c>
      <c r="P2009">
        <v>-3.5399316354756398E-2</v>
      </c>
      <c r="Q2009">
        <v>0.63585716423831096</v>
      </c>
      <c r="R2009">
        <v>0.88898164487459397</v>
      </c>
      <c r="S2009" t="s">
        <v>8294</v>
      </c>
      <c r="T2009" t="s">
        <v>12568</v>
      </c>
      <c r="U2009" t="s">
        <v>12568</v>
      </c>
      <c r="V2009" t="s">
        <v>12568</v>
      </c>
      <c r="W2009" t="s">
        <v>14543</v>
      </c>
      <c r="X2009">
        <v>67</v>
      </c>
      <c r="Y2009" t="s">
        <v>20728</v>
      </c>
      <c r="Z2009" t="s">
        <v>26879</v>
      </c>
      <c r="AA2009">
        <v>0.84610868380257875</v>
      </c>
      <c r="AB2009" t="str">
        <f>HYPERLINK("Melting_Curves/meltCurve_P31948_STIP1.pdf", "Melting_Curves/meltCurve_P31948_STIP1.pdf")</f>
        <v>Melting_Curves/meltCurve_P31948_STIP1.pdf</v>
      </c>
    </row>
    <row r="2010" spans="1:28" x14ac:dyDescent="0.25">
      <c r="A2010" t="s">
        <v>2014</v>
      </c>
      <c r="B2010">
        <v>0.99352677808782597</v>
      </c>
      <c r="C2010">
        <v>1.0163171413350001</v>
      </c>
      <c r="D2010">
        <v>1.1043858042343</v>
      </c>
      <c r="E2010">
        <v>1.06248155084726</v>
      </c>
      <c r="F2010">
        <v>0.95336076236573597</v>
      </c>
      <c r="G2010">
        <v>1.008331367951</v>
      </c>
      <c r="H2010">
        <v>0.89733903072780596</v>
      </c>
      <c r="I2010">
        <v>0.87044806372078598</v>
      </c>
      <c r="J2010">
        <v>0.72556801556189399</v>
      </c>
      <c r="K2010">
        <v>0.575090858089501</v>
      </c>
      <c r="L2010">
        <v>1080.0149439090501</v>
      </c>
      <c r="M2010">
        <v>15.1266027188344</v>
      </c>
      <c r="Q2010">
        <v>0</v>
      </c>
      <c r="R2010">
        <v>0.91855366640208502</v>
      </c>
      <c r="S2010" t="s">
        <v>8295</v>
      </c>
      <c r="T2010" t="s">
        <v>12568</v>
      </c>
      <c r="U2010" t="s">
        <v>12568</v>
      </c>
      <c r="V2010" t="s">
        <v>12568</v>
      </c>
      <c r="W2010" t="s">
        <v>14544</v>
      </c>
      <c r="X2010">
        <v>7</v>
      </c>
      <c r="Y2010" t="s">
        <v>20729</v>
      </c>
      <c r="Z2010" t="s">
        <v>26880</v>
      </c>
      <c r="AA2010">
        <v>0.92667769083169582</v>
      </c>
      <c r="AB2010" t="str">
        <f>HYPERLINK("Melting_Curves/meltCurve_P31949_S100A11.pdf", "Melting_Curves/meltCurve_P31949_S100A11.pdf")</f>
        <v>Melting_Curves/meltCurve_P31949_S100A11.pdf</v>
      </c>
    </row>
    <row r="2011" spans="1:28" x14ac:dyDescent="0.25">
      <c r="A2011" t="s">
        <v>2015</v>
      </c>
      <c r="B2011">
        <v>0.99352677808782597</v>
      </c>
      <c r="C2011">
        <v>0.930282221723846</v>
      </c>
      <c r="D2011">
        <v>0.81228570365549602</v>
      </c>
      <c r="E2011">
        <v>0.37291036133279098</v>
      </c>
      <c r="F2011">
        <v>0.37848394027202598</v>
      </c>
      <c r="G2011">
        <v>0.205965994375961</v>
      </c>
      <c r="H2011">
        <v>0.15763470899166401</v>
      </c>
      <c r="I2011">
        <v>0.20948170714990899</v>
      </c>
      <c r="J2011">
        <v>0.20298931666839101</v>
      </c>
      <c r="K2011">
        <v>0.13629286613827701</v>
      </c>
      <c r="L2011">
        <v>988.01840035968598</v>
      </c>
      <c r="M2011">
        <v>20.4887643431288</v>
      </c>
      <c r="N2011">
        <v>49.287312993371401</v>
      </c>
      <c r="O2011">
        <v>47.770123471168397</v>
      </c>
      <c r="P2011">
        <v>-8.80523114756495E-2</v>
      </c>
      <c r="Q2011">
        <v>0.17883864487176099</v>
      </c>
      <c r="R2011">
        <v>0.98200453698354995</v>
      </c>
      <c r="S2011" t="s">
        <v>8296</v>
      </c>
      <c r="T2011" t="s">
        <v>12568</v>
      </c>
      <c r="U2011" t="s">
        <v>12568</v>
      </c>
      <c r="V2011" t="s">
        <v>12568</v>
      </c>
      <c r="W2011" t="s">
        <v>14545</v>
      </c>
      <c r="X2011">
        <v>2</v>
      </c>
      <c r="Y2011" t="s">
        <v>20730</v>
      </c>
      <c r="Z2011" t="s">
        <v>26881</v>
      </c>
      <c r="AA2011">
        <v>0.41494901331444162</v>
      </c>
      <c r="AB2011" t="str">
        <f>HYPERLINK("Melting_Curves/meltCurve_P32019_3_INPP5B.pdf", "Melting_Curves/meltCurve_P32019_3_INPP5B.pdf")</f>
        <v>Melting_Curves/meltCurve_P32019_3_INPP5B.pdf</v>
      </c>
    </row>
    <row r="2012" spans="1:28" x14ac:dyDescent="0.25">
      <c r="A2012" t="s">
        <v>2016</v>
      </c>
      <c r="B2012">
        <v>0.99352677808782597</v>
      </c>
      <c r="C2012">
        <v>0.98027143173407005</v>
      </c>
      <c r="D2012">
        <v>0.90312806446775395</v>
      </c>
      <c r="E2012">
        <v>0.38143015169316802</v>
      </c>
      <c r="F2012">
        <v>0.30114624254848699</v>
      </c>
      <c r="G2012">
        <v>0.17138844715323001</v>
      </c>
      <c r="H2012">
        <v>0.11715273448116501</v>
      </c>
      <c r="I2012">
        <v>0.100337984851376</v>
      </c>
      <c r="J2012">
        <v>8.9208852611837405E-2</v>
      </c>
      <c r="K2012">
        <v>5.9185426527041798E-2</v>
      </c>
      <c r="L2012">
        <v>1198.4246440166701</v>
      </c>
      <c r="M2012">
        <v>24.423214163839301</v>
      </c>
      <c r="N2012">
        <v>49.543177869424497</v>
      </c>
      <c r="O2012">
        <v>48.7436536822146</v>
      </c>
      <c r="P2012">
        <v>-0.112212026512821</v>
      </c>
      <c r="Q2012">
        <v>0.104205664530219</v>
      </c>
      <c r="R2012">
        <v>0.98812434352241796</v>
      </c>
      <c r="S2012" t="s">
        <v>8297</v>
      </c>
      <c r="T2012" t="s">
        <v>12568</v>
      </c>
      <c r="U2012" t="s">
        <v>12568</v>
      </c>
      <c r="V2012" t="s">
        <v>12568</v>
      </c>
      <c r="W2012" t="s">
        <v>14546</v>
      </c>
      <c r="X2012">
        <v>14</v>
      </c>
      <c r="Y2012" t="s">
        <v>20731</v>
      </c>
      <c r="Z2012" t="s">
        <v>26882</v>
      </c>
      <c r="AA2012">
        <v>0.38333884380572608</v>
      </c>
      <c r="AB2012" t="str">
        <f>HYPERLINK("Melting_Curves/meltCurve_P32121_5_ARRB2.pdf", "Melting_Curves/meltCurve_P32121_5_ARRB2.pdf")</f>
        <v>Melting_Curves/meltCurve_P32121_5_ARRB2.pdf</v>
      </c>
    </row>
    <row r="2013" spans="1:28" x14ac:dyDescent="0.25">
      <c r="A2013" t="s">
        <v>2017</v>
      </c>
      <c r="B2013">
        <v>0.99352677808782597</v>
      </c>
      <c r="C2013">
        <v>0.99131842649569701</v>
      </c>
      <c r="D2013">
        <v>0.99822199699538405</v>
      </c>
      <c r="E2013">
        <v>0.92371835295016302</v>
      </c>
      <c r="F2013">
        <v>0.84887035401733102</v>
      </c>
      <c r="G2013">
        <v>0.72883296903468897</v>
      </c>
      <c r="H2013">
        <v>0.82520641342475298</v>
      </c>
      <c r="I2013">
        <v>0.91280061345232699</v>
      </c>
      <c r="J2013">
        <v>1.0928945351445301</v>
      </c>
      <c r="K2013">
        <v>0.83854474287771297</v>
      </c>
      <c r="L2013">
        <v>12478.0662927545</v>
      </c>
      <c r="M2013">
        <v>250</v>
      </c>
      <c r="O2013">
        <v>49.909056685975003</v>
      </c>
      <c r="P2013">
        <v>-0.157129583608938</v>
      </c>
      <c r="Q2013">
        <v>0.87452493497587802</v>
      </c>
      <c r="R2013">
        <v>0.277077175860033</v>
      </c>
      <c r="S2013" t="s">
        <v>8298</v>
      </c>
      <c r="T2013" t="s">
        <v>12568</v>
      </c>
      <c r="U2013" t="s">
        <v>12568</v>
      </c>
      <c r="V2013" t="s">
        <v>12568</v>
      </c>
      <c r="W2013" t="s">
        <v>14547</v>
      </c>
      <c r="X2013">
        <v>4</v>
      </c>
      <c r="Y2013" t="s">
        <v>20732</v>
      </c>
      <c r="Z2013" t="s">
        <v>26883</v>
      </c>
      <c r="AA2013">
        <v>0.9159939965577153</v>
      </c>
      <c r="AB2013" t="str">
        <f>HYPERLINK("Melting_Curves/meltCurve_P32320_CDA.pdf", "Melting_Curves/meltCurve_P32320_CDA.pdf")</f>
        <v>Melting_Curves/meltCurve_P32320_CDA.pdf</v>
      </c>
    </row>
    <row r="2014" spans="1:28" x14ac:dyDescent="0.25">
      <c r="A2014" t="s">
        <v>2018</v>
      </c>
      <c r="B2014">
        <v>0.99352677808782597</v>
      </c>
      <c r="C2014">
        <v>1.02904380593645</v>
      </c>
      <c r="D2014">
        <v>1.0706995291305801</v>
      </c>
      <c r="E2014">
        <v>1.0507887716283999</v>
      </c>
      <c r="F2014">
        <v>0.89992984277113997</v>
      </c>
      <c r="G2014">
        <v>0.76358972578051598</v>
      </c>
      <c r="H2014">
        <v>0.46438517694584802</v>
      </c>
      <c r="I2014">
        <v>0.26836533731856599</v>
      </c>
      <c r="J2014">
        <v>0.14711349384490699</v>
      </c>
      <c r="K2014">
        <v>8.26587288524811E-2</v>
      </c>
      <c r="L2014">
        <v>1161.4727048606301</v>
      </c>
      <c r="M2014">
        <v>19.233450009352399</v>
      </c>
      <c r="N2014">
        <v>60.510837791673801</v>
      </c>
      <c r="O2014">
        <v>59.746715109599798</v>
      </c>
      <c r="P2014">
        <v>-7.8943269147149095E-2</v>
      </c>
      <c r="Q2014">
        <v>1.9120993070634199E-2</v>
      </c>
      <c r="R2014">
        <v>0.99132704616146505</v>
      </c>
      <c r="S2014" t="s">
        <v>8299</v>
      </c>
      <c r="T2014" t="s">
        <v>12568</v>
      </c>
      <c r="U2014" t="s">
        <v>12568</v>
      </c>
      <c r="V2014" t="s">
        <v>12568</v>
      </c>
      <c r="W2014" t="s">
        <v>14548</v>
      </c>
      <c r="X2014">
        <v>9</v>
      </c>
      <c r="Y2014" t="s">
        <v>20733</v>
      </c>
      <c r="Z2014" t="s">
        <v>26884</v>
      </c>
      <c r="AA2014">
        <v>0.69306247244823527</v>
      </c>
      <c r="AB2014" t="str">
        <f>HYPERLINK("Melting_Curves/meltCurve_P32321_2_DCTD.pdf", "Melting_Curves/meltCurve_P32321_2_DCTD.pdf")</f>
        <v>Melting_Curves/meltCurve_P32321_2_DCTD.pdf</v>
      </c>
    </row>
    <row r="2015" spans="1:28" x14ac:dyDescent="0.25">
      <c r="A2015" t="s">
        <v>2019</v>
      </c>
      <c r="B2015">
        <v>0.99352677808782597</v>
      </c>
      <c r="C2015">
        <v>1.00467604906631</v>
      </c>
      <c r="D2015">
        <v>0.91263390410771605</v>
      </c>
      <c r="E2015">
        <v>0.88632481720384704</v>
      </c>
      <c r="F2015">
        <v>0.75556746454164903</v>
      </c>
      <c r="G2015">
        <v>0.580403050574125</v>
      </c>
      <c r="H2015">
        <v>0.47669630989893103</v>
      </c>
      <c r="I2015">
        <v>0.29933176532995098</v>
      </c>
      <c r="J2015">
        <v>0.17305490202628299</v>
      </c>
      <c r="K2015">
        <v>9.3379935053929303E-2</v>
      </c>
      <c r="L2015">
        <v>662.986342863853</v>
      </c>
      <c r="M2015">
        <v>11.2546597348404</v>
      </c>
      <c r="N2015">
        <v>58.907730546245404</v>
      </c>
      <c r="O2015">
        <v>57.139820046892098</v>
      </c>
      <c r="P2015">
        <v>-4.92569664292783E-2</v>
      </c>
      <c r="Q2015">
        <v>0</v>
      </c>
      <c r="R2015">
        <v>0.98868031583252702</v>
      </c>
      <c r="S2015" t="s">
        <v>8300</v>
      </c>
      <c r="T2015" t="s">
        <v>12568</v>
      </c>
      <c r="U2015" t="s">
        <v>12568</v>
      </c>
      <c r="V2015" t="s">
        <v>12568</v>
      </c>
      <c r="W2015" t="s">
        <v>14549</v>
      </c>
      <c r="X2015">
        <v>7</v>
      </c>
      <c r="Y2015" t="s">
        <v>20734</v>
      </c>
      <c r="Z2015" t="s">
        <v>26885</v>
      </c>
      <c r="AA2015">
        <v>0.637357960144597</v>
      </c>
      <c r="AB2015" t="str">
        <f>HYPERLINK("Melting_Curves/meltCurve_P32322_PYCR1.pdf", "Melting_Curves/meltCurve_P32322_PYCR1.pdf")</f>
        <v>Melting_Curves/meltCurve_P32322_PYCR1.pdf</v>
      </c>
    </row>
    <row r="2016" spans="1:28" x14ac:dyDescent="0.25">
      <c r="A2016" t="s">
        <v>2020</v>
      </c>
      <c r="B2016">
        <v>0.99352677808782597</v>
      </c>
      <c r="C2016">
        <v>0.91057116147804595</v>
      </c>
      <c r="D2016">
        <v>0.88631135983403797</v>
      </c>
      <c r="E2016">
        <v>0.55673647239732305</v>
      </c>
      <c r="F2016">
        <v>0.55627951274426601</v>
      </c>
      <c r="G2016">
        <v>0.46033575494751999</v>
      </c>
      <c r="H2016">
        <v>0.38693172409384602</v>
      </c>
      <c r="I2016">
        <v>0.30873598177806699</v>
      </c>
      <c r="J2016">
        <v>0.27162250756887601</v>
      </c>
      <c r="K2016">
        <v>0.14063809385921</v>
      </c>
      <c r="L2016">
        <v>452.58421525627801</v>
      </c>
      <c r="M2016">
        <v>8.4994010451915205</v>
      </c>
      <c r="N2016">
        <v>54.897444357420603</v>
      </c>
      <c r="O2016">
        <v>50.546614418578699</v>
      </c>
      <c r="P2016">
        <v>-3.7336418766865102E-2</v>
      </c>
      <c r="Q2016">
        <v>0.112629211276531</v>
      </c>
      <c r="R2016">
        <v>0.95983737779407596</v>
      </c>
      <c r="S2016" t="s">
        <v>8301</v>
      </c>
      <c r="T2016" t="s">
        <v>12568</v>
      </c>
      <c r="U2016" t="s">
        <v>12568</v>
      </c>
      <c r="V2016" t="s">
        <v>12568</v>
      </c>
      <c r="W2016" t="s">
        <v>14550</v>
      </c>
      <c r="X2016">
        <v>3</v>
      </c>
      <c r="Y2016" t="s">
        <v>20735</v>
      </c>
      <c r="Z2016" t="s">
        <v>26886</v>
      </c>
      <c r="AA2016">
        <v>0.53789090026847497</v>
      </c>
      <c r="AB2016" t="str">
        <f>HYPERLINK("Melting_Curves/meltCurve_P32455_GBP1.pdf", "Melting_Curves/meltCurve_P32455_GBP1.pdf")</f>
        <v>Melting_Curves/meltCurve_P32455_GBP1.pdf</v>
      </c>
    </row>
    <row r="2017" spans="1:28" x14ac:dyDescent="0.25">
      <c r="A2017" t="s">
        <v>2021</v>
      </c>
      <c r="B2017">
        <v>0.99352677808782597</v>
      </c>
      <c r="C2017">
        <v>0.956161534063519</v>
      </c>
      <c r="D2017">
        <v>0.95270191864682496</v>
      </c>
      <c r="E2017">
        <v>0.77535453313418001</v>
      </c>
      <c r="F2017">
        <v>0.67586733491138795</v>
      </c>
      <c r="G2017">
        <v>0.62706106589491795</v>
      </c>
      <c r="H2017">
        <v>0.56687019701409702</v>
      </c>
      <c r="I2017">
        <v>0.595831940455116</v>
      </c>
      <c r="J2017">
        <v>0.588030813658454</v>
      </c>
      <c r="K2017">
        <v>0.50570880881980795</v>
      </c>
      <c r="L2017">
        <v>858.25752017967</v>
      </c>
      <c r="M2017">
        <v>17.074082723023199</v>
      </c>
      <c r="O2017">
        <v>49.592344972374399</v>
      </c>
      <c r="P2017">
        <v>-3.8257529680209103E-2</v>
      </c>
      <c r="Q2017">
        <v>0.55554500997595202</v>
      </c>
      <c r="R2017">
        <v>0.97875798727393903</v>
      </c>
      <c r="S2017" t="s">
        <v>8302</v>
      </c>
      <c r="T2017" t="s">
        <v>12568</v>
      </c>
      <c r="U2017" t="s">
        <v>12568</v>
      </c>
      <c r="V2017" t="s">
        <v>12568</v>
      </c>
      <c r="W2017" t="s">
        <v>14551</v>
      </c>
      <c r="X2017">
        <v>7</v>
      </c>
      <c r="Y2017" t="s">
        <v>20736</v>
      </c>
      <c r="Z2017" t="s">
        <v>26887</v>
      </c>
      <c r="AA2017">
        <v>0.71597990337069983</v>
      </c>
      <c r="AB2017" t="str">
        <f>HYPERLINK("Melting_Curves/meltCurve_P32519_2_ELF1.pdf", "Melting_Curves/meltCurve_P32519_2_ELF1.pdf")</f>
        <v>Melting_Curves/meltCurve_P32519_2_ELF1.pdf</v>
      </c>
    </row>
    <row r="2018" spans="1:28" x14ac:dyDescent="0.25">
      <c r="A2018" t="s">
        <v>2022</v>
      </c>
      <c r="B2018">
        <v>0.99352677808782597</v>
      </c>
      <c r="C2018">
        <v>0.91769071288622694</v>
      </c>
      <c r="D2018">
        <v>0.84837488651232795</v>
      </c>
      <c r="E2018">
        <v>0.49124533812686799</v>
      </c>
      <c r="F2018">
        <v>0.37941946665472998</v>
      </c>
      <c r="G2018">
        <v>0.273668504541003</v>
      </c>
      <c r="H2018">
        <v>0.18580351109313401</v>
      </c>
      <c r="I2018">
        <v>0.18336398175954899</v>
      </c>
      <c r="J2018">
        <v>0.175423279810734</v>
      </c>
      <c r="K2018">
        <v>0.15837845887163499</v>
      </c>
      <c r="L2018">
        <v>836.63223048850796</v>
      </c>
      <c r="M2018">
        <v>16.967175929799499</v>
      </c>
      <c r="N2018">
        <v>50.512924555620998</v>
      </c>
      <c r="O2018">
        <v>48.639203129549003</v>
      </c>
      <c r="P2018">
        <v>-7.27088614974227E-2</v>
      </c>
      <c r="Q2018">
        <v>0.16632423374963901</v>
      </c>
      <c r="R2018">
        <v>0.99463092006287201</v>
      </c>
      <c r="S2018" t="s">
        <v>8303</v>
      </c>
      <c r="T2018" t="s">
        <v>12568</v>
      </c>
      <c r="U2018" t="s">
        <v>12568</v>
      </c>
      <c r="V2018" t="s">
        <v>12568</v>
      </c>
      <c r="W2018" t="s">
        <v>14552</v>
      </c>
      <c r="X2018">
        <v>6</v>
      </c>
      <c r="Y2018" t="s">
        <v>20737</v>
      </c>
      <c r="Z2018" t="s">
        <v>26888</v>
      </c>
      <c r="AA2018">
        <v>0.44112465437732218</v>
      </c>
      <c r="AB2018" t="str">
        <f>HYPERLINK("Melting_Curves/meltCurve_P32780_GTF2H1.pdf", "Melting_Curves/meltCurve_P32780_GTF2H1.pdf")</f>
        <v>Melting_Curves/meltCurve_P32780_GTF2H1.pdf</v>
      </c>
    </row>
    <row r="2019" spans="1:28" x14ac:dyDescent="0.25">
      <c r="A2019" t="s">
        <v>2023</v>
      </c>
      <c r="B2019">
        <v>0.99352677808782597</v>
      </c>
      <c r="C2019">
        <v>0.97804443434221999</v>
      </c>
      <c r="D2019">
        <v>0.89081009202716699</v>
      </c>
      <c r="E2019">
        <v>0.79520053008593405</v>
      </c>
      <c r="F2019">
        <v>0.65292330019511302</v>
      </c>
      <c r="G2019">
        <v>0.49452360682354901</v>
      </c>
      <c r="H2019">
        <v>0.65758995271309795</v>
      </c>
      <c r="I2019">
        <v>0.58937020183786804</v>
      </c>
      <c r="J2019">
        <v>0.719417320757201</v>
      </c>
      <c r="K2019">
        <v>0.428062924079809</v>
      </c>
      <c r="L2019">
        <v>999.47532646167895</v>
      </c>
      <c r="M2019">
        <v>20.262272385263401</v>
      </c>
      <c r="O2019">
        <v>48.853991025965897</v>
      </c>
      <c r="P2019">
        <v>-4.42984162908008E-2</v>
      </c>
      <c r="Q2019">
        <v>0.57278483730311003</v>
      </c>
      <c r="R2019">
        <v>0.81841020214864602</v>
      </c>
      <c r="S2019" t="s">
        <v>8304</v>
      </c>
      <c r="T2019" t="s">
        <v>12568</v>
      </c>
      <c r="U2019" t="s">
        <v>12568</v>
      </c>
      <c r="V2019" t="s">
        <v>12568</v>
      </c>
      <c r="W2019" t="s">
        <v>14553</v>
      </c>
      <c r="X2019">
        <v>8</v>
      </c>
      <c r="Y2019" t="s">
        <v>20738</v>
      </c>
      <c r="Z2019" t="s">
        <v>26889</v>
      </c>
      <c r="AA2019">
        <v>0.71141914226425507</v>
      </c>
      <c r="AB2019" t="str">
        <f>HYPERLINK("Melting_Curves/meltCurve_P32929_CTH.pdf", "Melting_Curves/meltCurve_P32929_CTH.pdf")</f>
        <v>Melting_Curves/meltCurve_P32929_CTH.pdf</v>
      </c>
    </row>
    <row r="2020" spans="1:28" x14ac:dyDescent="0.25">
      <c r="A2020" t="s">
        <v>2024</v>
      </c>
      <c r="B2020">
        <v>0.99352677808782597</v>
      </c>
      <c r="C2020">
        <v>0.763251775989508</v>
      </c>
      <c r="D2020">
        <v>0.99939983368039498</v>
      </c>
      <c r="E2020">
        <v>0.46789535705545299</v>
      </c>
      <c r="F2020">
        <v>0.36376820096657703</v>
      </c>
      <c r="G2020">
        <v>0.166903280592408</v>
      </c>
      <c r="H2020">
        <v>9.7968108854142699E-2</v>
      </c>
      <c r="I2020">
        <v>9.6844133042109995E-2</v>
      </c>
      <c r="J2020">
        <v>7.9203985150901005E-2</v>
      </c>
      <c r="K2020">
        <v>5.2460615731406098E-2</v>
      </c>
      <c r="L2020">
        <v>888.85027905114396</v>
      </c>
      <c r="M2020">
        <v>17.704638220764998</v>
      </c>
      <c r="N2020">
        <v>50.594293843840497</v>
      </c>
      <c r="O2020">
        <v>49.577019023897101</v>
      </c>
      <c r="P2020">
        <v>-8.3589284600045596E-2</v>
      </c>
      <c r="Q2020">
        <v>6.3773254668979096E-2</v>
      </c>
      <c r="R2020">
        <v>0.94701209535828101</v>
      </c>
      <c r="S2020" t="s">
        <v>8305</v>
      </c>
      <c r="T2020" t="s">
        <v>12568</v>
      </c>
      <c r="U2020" t="s">
        <v>12568</v>
      </c>
      <c r="V2020" t="s">
        <v>12568</v>
      </c>
      <c r="W2020" t="s">
        <v>14554</v>
      </c>
      <c r="X2020">
        <v>2</v>
      </c>
      <c r="Y2020" t="s">
        <v>20739</v>
      </c>
      <c r="Z2020" t="s">
        <v>26890</v>
      </c>
      <c r="AA2020">
        <v>0.3986528775520532</v>
      </c>
      <c r="AB2020" t="str">
        <f>HYPERLINK("Melting_Curves/meltCurve_P32969_RPL9.pdf", "Melting_Curves/meltCurve_P32969_RPL9.pdf")</f>
        <v>Melting_Curves/meltCurve_P32969_RPL9.pdf</v>
      </c>
    </row>
    <row r="2021" spans="1:28" x14ac:dyDescent="0.25">
      <c r="A2021" t="s">
        <v>2025</v>
      </c>
      <c r="B2021">
        <v>0.99352677808782597</v>
      </c>
      <c r="C2021">
        <v>0.79634977368036597</v>
      </c>
      <c r="D2021">
        <v>0.58814252590957705</v>
      </c>
      <c r="E2021">
        <v>0.29840901915559598</v>
      </c>
      <c r="F2021">
        <v>0.20943282115130599</v>
      </c>
      <c r="G2021">
        <v>0.106222653593445</v>
      </c>
      <c r="H2021">
        <v>6.9701879701425606E-2</v>
      </c>
      <c r="I2021">
        <v>7.1667597180313805E-2</v>
      </c>
      <c r="J2021">
        <v>5.2526973648739303E-2</v>
      </c>
      <c r="K2021">
        <v>5.0488830006961298E-2</v>
      </c>
      <c r="L2021">
        <v>736.64863171347702</v>
      </c>
      <c r="M2021">
        <v>15.731013791632501</v>
      </c>
      <c r="N2021">
        <v>47.156421827007797</v>
      </c>
      <c r="O2021">
        <v>46.090650107885999</v>
      </c>
      <c r="P2021">
        <v>-8.0903418321488396E-2</v>
      </c>
      <c r="Q2021">
        <v>5.1916528627919803E-2</v>
      </c>
      <c r="R2021">
        <v>0.99592605336919005</v>
      </c>
      <c r="S2021" t="s">
        <v>8306</v>
      </c>
      <c r="T2021" t="s">
        <v>12568</v>
      </c>
      <c r="U2021" t="s">
        <v>12568</v>
      </c>
      <c r="V2021" t="s">
        <v>12568</v>
      </c>
      <c r="W2021" t="s">
        <v>14555</v>
      </c>
      <c r="X2021">
        <v>1</v>
      </c>
      <c r="Y2021" t="s">
        <v>20740</v>
      </c>
      <c r="Z2021" t="s">
        <v>26891</v>
      </c>
      <c r="AA2021">
        <v>0.2912747928141835</v>
      </c>
      <c r="AB2021" t="str">
        <f>HYPERLINK("Melting_Curves/meltCurve_P33121_2_ACSL1.pdf", "Melting_Curves/meltCurve_P33121_2_ACSL1.pdf")</f>
        <v>Melting_Curves/meltCurve_P33121_2_ACSL1.pdf</v>
      </c>
    </row>
    <row r="2022" spans="1:28" x14ac:dyDescent="0.25">
      <c r="A2022" t="s">
        <v>2026</v>
      </c>
      <c r="B2022">
        <v>0.99352677808782597</v>
      </c>
      <c r="C2022">
        <v>1.0888697165453201</v>
      </c>
      <c r="D2022">
        <v>0.75752011835685995</v>
      </c>
      <c r="E2022">
        <v>0.354102658748151</v>
      </c>
      <c r="F2022">
        <v>0.26062924355505601</v>
      </c>
      <c r="G2022">
        <v>0.143564870550036</v>
      </c>
      <c r="H2022">
        <v>8.3875813027233098E-2</v>
      </c>
      <c r="I2022">
        <v>7.0972939883658603E-2</v>
      </c>
      <c r="J2022">
        <v>5.8668108910911197E-2</v>
      </c>
      <c r="K2022">
        <v>4.6390886724948302E-2</v>
      </c>
      <c r="L2022">
        <v>1091.72773714396</v>
      </c>
      <c r="M2022">
        <v>22.493476591595499</v>
      </c>
      <c r="N2022">
        <v>48.897622558219801</v>
      </c>
      <c r="O2022">
        <v>48.156559892241503</v>
      </c>
      <c r="P2022">
        <v>-0.10781127071957999</v>
      </c>
      <c r="Q2022">
        <v>7.6760725294978405E-2</v>
      </c>
      <c r="R2022">
        <v>0.98155767934862703</v>
      </c>
      <c r="S2022" t="s">
        <v>8307</v>
      </c>
      <c r="T2022" t="s">
        <v>12568</v>
      </c>
      <c r="U2022" t="s">
        <v>12568</v>
      </c>
      <c r="V2022" t="s">
        <v>12568</v>
      </c>
      <c r="W2022" t="s">
        <v>14556</v>
      </c>
      <c r="X2022">
        <v>66</v>
      </c>
      <c r="Y2022" t="s">
        <v>20741</v>
      </c>
      <c r="Z2022" t="s">
        <v>26892</v>
      </c>
      <c r="AA2022">
        <v>0.34961074818273069</v>
      </c>
      <c r="AB2022" t="str">
        <f>HYPERLINK("Melting_Curves/meltCurve_P33176_KIF5B.pdf", "Melting_Curves/meltCurve_P33176_KIF5B.pdf")</f>
        <v>Melting_Curves/meltCurve_P33176_KIF5B.pdf</v>
      </c>
    </row>
    <row r="2023" spans="1:28" x14ac:dyDescent="0.25">
      <c r="A2023" t="s">
        <v>2027</v>
      </c>
      <c r="B2023">
        <v>0.99352677808782597</v>
      </c>
      <c r="C2023">
        <v>0.98059354838049295</v>
      </c>
      <c r="D2023">
        <v>1.0039293198268699</v>
      </c>
      <c r="E2023">
        <v>1.22968787222438</v>
      </c>
      <c r="F2023">
        <v>1.1296068708774301</v>
      </c>
      <c r="G2023">
        <v>1.0479777457110899</v>
      </c>
      <c r="H2023">
        <v>0.96312665321476998</v>
      </c>
      <c r="I2023">
        <v>1.0402662768459301</v>
      </c>
      <c r="J2023">
        <v>1.0834556959081501</v>
      </c>
      <c r="K2023">
        <v>0.90574781511631797</v>
      </c>
      <c r="L2023">
        <v>15000</v>
      </c>
      <c r="M2023">
        <v>212.02284624535801</v>
      </c>
      <c r="Q2023">
        <v>0</v>
      </c>
      <c r="R2023">
        <v>-7.0277687720984999E-2</v>
      </c>
      <c r="S2023" t="s">
        <v>8308</v>
      </c>
      <c r="T2023" t="s">
        <v>12568</v>
      </c>
      <c r="U2023" t="s">
        <v>12568</v>
      </c>
      <c r="V2023" t="s">
        <v>12568</v>
      </c>
      <c r="W2023" t="s">
        <v>14557</v>
      </c>
      <c r="X2023">
        <v>19</v>
      </c>
      <c r="Y2023" t="s">
        <v>20742</v>
      </c>
      <c r="Z2023" t="s">
        <v>26893</v>
      </c>
      <c r="AA2023">
        <v>0.99893231283708228</v>
      </c>
      <c r="AB2023" t="str">
        <f>HYPERLINK("Melting_Curves/meltCurve_P33240_2_CSTF2.pdf", "Melting_Curves/meltCurve_P33240_2_CSTF2.pdf")</f>
        <v>Melting_Curves/meltCurve_P33240_2_CSTF2.pdf</v>
      </c>
    </row>
    <row r="2024" spans="1:28" x14ac:dyDescent="0.25">
      <c r="A2024" t="s">
        <v>2028</v>
      </c>
      <c r="B2024">
        <v>0.99352677808782597</v>
      </c>
      <c r="C2024">
        <v>0.86996911243758401</v>
      </c>
      <c r="D2024">
        <v>0.85810083973032203</v>
      </c>
      <c r="E2024">
        <v>0.29913194906581803</v>
      </c>
      <c r="F2024">
        <v>0.24907584214930401</v>
      </c>
      <c r="G2024">
        <v>0.17084924671214199</v>
      </c>
      <c r="H2024">
        <v>0.12230976457206399</v>
      </c>
      <c r="I2024">
        <v>0.11311991642074699</v>
      </c>
      <c r="J2024">
        <v>0.10181507188913801</v>
      </c>
      <c r="K2024">
        <v>7.3569240318664603E-2</v>
      </c>
      <c r="L2024">
        <v>1246.2717997812599</v>
      </c>
      <c r="M2024">
        <v>25.8829835925951</v>
      </c>
      <c r="N2024">
        <v>48.644111252390701</v>
      </c>
      <c r="O2024">
        <v>47.865571723259798</v>
      </c>
      <c r="P2024">
        <v>-0.119566494669872</v>
      </c>
      <c r="Q2024">
        <v>0.115549954094438</v>
      </c>
      <c r="R2024">
        <v>0.98084288970974598</v>
      </c>
      <c r="S2024" t="s">
        <v>8309</v>
      </c>
      <c r="T2024" t="s">
        <v>12568</v>
      </c>
      <c r="U2024" t="s">
        <v>12568</v>
      </c>
      <c r="V2024" t="s">
        <v>12568</v>
      </c>
      <c r="W2024" t="s">
        <v>14558</v>
      </c>
      <c r="X2024">
        <v>1</v>
      </c>
      <c r="Y2024" t="s">
        <v>20743</v>
      </c>
      <c r="Z2024" t="s">
        <v>26894</v>
      </c>
      <c r="AA2024">
        <v>0.3630959913479011</v>
      </c>
      <c r="AB2024" t="str">
        <f>HYPERLINK("Melting_Curves/meltCurve_P33241_2_LSP1.pdf", "Melting_Curves/meltCurve_P33241_2_LSP1.pdf")</f>
        <v>Melting_Curves/meltCurve_P33241_2_LSP1.pdf</v>
      </c>
    </row>
    <row r="2025" spans="1:28" x14ac:dyDescent="0.25">
      <c r="A2025" t="s">
        <v>2029</v>
      </c>
      <c r="B2025">
        <v>0.99352677808782597</v>
      </c>
      <c r="C2025">
        <v>0.99363756609919995</v>
      </c>
      <c r="D2025">
        <v>0.98116680173576198</v>
      </c>
      <c r="E2025">
        <v>0.74877508908951496</v>
      </c>
      <c r="F2025">
        <v>0.686392949268671</v>
      </c>
      <c r="G2025">
        <v>0.54393003130565698</v>
      </c>
      <c r="H2025">
        <v>0.469174582692999</v>
      </c>
      <c r="I2025">
        <v>0.501727796836687</v>
      </c>
      <c r="J2025">
        <v>0.52510810472804104</v>
      </c>
      <c r="K2025">
        <v>0.43773597782982998</v>
      </c>
      <c r="L2025">
        <v>964.85998396058505</v>
      </c>
      <c r="M2025">
        <v>18.864072566882001</v>
      </c>
      <c r="N2025">
        <v>60.812959481194</v>
      </c>
      <c r="O2025">
        <v>50.583631096328297</v>
      </c>
      <c r="P2025">
        <v>-4.8943471212600599E-2</v>
      </c>
      <c r="Q2025">
        <v>0.47505779346265697</v>
      </c>
      <c r="R2025">
        <v>0.98026936542680498</v>
      </c>
      <c r="S2025" t="s">
        <v>8310</v>
      </c>
      <c r="T2025" t="s">
        <v>12568</v>
      </c>
      <c r="U2025" t="s">
        <v>12568</v>
      </c>
      <c r="V2025" t="s">
        <v>12568</v>
      </c>
      <c r="W2025" t="s">
        <v>14559</v>
      </c>
      <c r="X2025">
        <v>13</v>
      </c>
      <c r="Y2025" t="s">
        <v>20744</v>
      </c>
      <c r="Z2025" t="s">
        <v>26895</v>
      </c>
      <c r="AA2025">
        <v>0.67823931202011112</v>
      </c>
      <c r="AB2025" t="str">
        <f>HYPERLINK("Melting_Curves/meltCurve_P33316_DUT.pdf", "Melting_Curves/meltCurve_P33316_DUT.pdf")</f>
        <v>Melting_Curves/meltCurve_P33316_DUT.pdf</v>
      </c>
    </row>
    <row r="2026" spans="1:28" x14ac:dyDescent="0.25">
      <c r="A2026" t="s">
        <v>2030</v>
      </c>
      <c r="B2026">
        <v>0.99352677808782597</v>
      </c>
      <c r="C2026">
        <v>0.90145547238351198</v>
      </c>
      <c r="D2026">
        <v>0.92604931219521402</v>
      </c>
      <c r="E2026">
        <v>0.76454091040361205</v>
      </c>
      <c r="F2026">
        <v>0.71944868771656101</v>
      </c>
      <c r="G2026">
        <v>0.57388760864770505</v>
      </c>
      <c r="H2026">
        <v>0.46616073491952398</v>
      </c>
      <c r="I2026">
        <v>0.47888072917417701</v>
      </c>
      <c r="J2026">
        <v>0.50114394792891204</v>
      </c>
      <c r="K2026">
        <v>0.51684259377069697</v>
      </c>
      <c r="L2026">
        <v>669.11031197658099</v>
      </c>
      <c r="M2026">
        <v>13.0175624612873</v>
      </c>
      <c r="N2026">
        <v>63.881945910524799</v>
      </c>
      <c r="O2026">
        <v>50.232951835296703</v>
      </c>
      <c r="P2026">
        <v>-3.4945184443832898E-2</v>
      </c>
      <c r="Q2026">
        <v>0.46070046989180602</v>
      </c>
      <c r="R2026">
        <v>0.96906060099414604</v>
      </c>
      <c r="S2026" t="s">
        <v>8311</v>
      </c>
      <c r="T2026" t="s">
        <v>12568</v>
      </c>
      <c r="U2026" t="s">
        <v>12568</v>
      </c>
      <c r="V2026" t="s">
        <v>12568</v>
      </c>
      <c r="W2026" t="s">
        <v>14560</v>
      </c>
      <c r="X2026">
        <v>13</v>
      </c>
      <c r="Y2026" t="s">
        <v>20744</v>
      </c>
      <c r="Z2026" t="s">
        <v>26896</v>
      </c>
      <c r="AA2026">
        <v>0.68093377644517872</v>
      </c>
      <c r="AB2026" t="str">
        <f>HYPERLINK("Melting_Curves/meltCurve_P33316_2_DUT.pdf", "Melting_Curves/meltCurve_P33316_2_DUT.pdf")</f>
        <v>Melting_Curves/meltCurve_P33316_2_DUT.pdf</v>
      </c>
    </row>
    <row r="2027" spans="1:28" x14ac:dyDescent="0.25">
      <c r="A2027" t="s">
        <v>2031</v>
      </c>
      <c r="B2027">
        <v>0.99352677808782597</v>
      </c>
      <c r="C2027">
        <v>0.90245748116943603</v>
      </c>
      <c r="D2027">
        <v>0.85860514921131204</v>
      </c>
      <c r="E2027">
        <v>0.79458885927029699</v>
      </c>
      <c r="F2027">
        <v>0.490223962579939</v>
      </c>
      <c r="G2027">
        <v>0.50101887863476902</v>
      </c>
      <c r="H2027">
        <v>0.33095922194372601</v>
      </c>
      <c r="I2027">
        <v>0.33337490812103499</v>
      </c>
      <c r="J2027">
        <v>0.32805593977314801</v>
      </c>
      <c r="K2027">
        <v>0.43431365896607599</v>
      </c>
      <c r="L2027">
        <v>765.57201926646997</v>
      </c>
      <c r="M2027">
        <v>15.0809450814786</v>
      </c>
      <c r="N2027">
        <v>54.880790785467603</v>
      </c>
      <c r="O2027">
        <v>49.896698681170903</v>
      </c>
      <c r="P2027">
        <v>-4.9974821615580298E-2</v>
      </c>
      <c r="Q2027">
        <v>0.33868017995949101</v>
      </c>
      <c r="R2027">
        <v>0.94628156601997004</v>
      </c>
      <c r="S2027" t="s">
        <v>8312</v>
      </c>
      <c r="T2027" t="s">
        <v>12568</v>
      </c>
      <c r="U2027" t="s">
        <v>12568</v>
      </c>
      <c r="V2027" t="s">
        <v>12568</v>
      </c>
      <c r="W2027" t="s">
        <v>14561</v>
      </c>
      <c r="X2027">
        <v>4</v>
      </c>
      <c r="Y2027" t="s">
        <v>20745</v>
      </c>
      <c r="Z2027" t="s">
        <v>26897</v>
      </c>
      <c r="AA2027">
        <v>0.59122057784143334</v>
      </c>
      <c r="AB2027" t="str">
        <f>HYPERLINK("Melting_Curves/meltCurve_P33552_CKS2.pdf", "Melting_Curves/meltCurve_P33552_CKS2.pdf")</f>
        <v>Melting_Curves/meltCurve_P33552_CKS2.pdf</v>
      </c>
    </row>
    <row r="2028" spans="1:28" x14ac:dyDescent="0.25">
      <c r="A2028" t="s">
        <v>2032</v>
      </c>
      <c r="B2028">
        <v>0.99352677808782597</v>
      </c>
      <c r="C2028">
        <v>0.98131013795130795</v>
      </c>
      <c r="D2028">
        <v>0.97382329170985105</v>
      </c>
      <c r="E2028">
        <v>0.94232992477489497</v>
      </c>
      <c r="F2028">
        <v>0.86077210374364799</v>
      </c>
      <c r="G2028">
        <v>0.820185043838076</v>
      </c>
      <c r="H2028">
        <v>0.62540644405401302</v>
      </c>
      <c r="I2028">
        <v>0.61699010433699997</v>
      </c>
      <c r="J2028">
        <v>0.53240058353281905</v>
      </c>
      <c r="K2028">
        <v>0.40138432956018</v>
      </c>
      <c r="L2028">
        <v>503.02719967673301</v>
      </c>
      <c r="M2028">
        <v>7.4934942516279399</v>
      </c>
      <c r="N2028">
        <v>67.128522728522199</v>
      </c>
      <c r="O2028">
        <v>62.846587863462403</v>
      </c>
      <c r="P2028">
        <v>-2.9851674401494499E-2</v>
      </c>
      <c r="Q2028">
        <v>0</v>
      </c>
      <c r="R2028">
        <v>0.98437849634340702</v>
      </c>
      <c r="S2028" t="s">
        <v>8313</v>
      </c>
      <c r="T2028" t="s">
        <v>12568</v>
      </c>
      <c r="U2028" t="s">
        <v>12568</v>
      </c>
      <c r="V2028" t="s">
        <v>12568</v>
      </c>
      <c r="W2028" t="s">
        <v>14562</v>
      </c>
      <c r="X2028">
        <v>7</v>
      </c>
      <c r="Y2028" t="s">
        <v>20746</v>
      </c>
      <c r="Z2028" t="s">
        <v>26898</v>
      </c>
      <c r="AA2028">
        <v>0.78864997436881301</v>
      </c>
      <c r="AB2028" t="str">
        <f>HYPERLINK("Melting_Curves/meltCurve_P33764_S100A3.pdf", "Melting_Curves/meltCurve_P33764_S100A3.pdf")</f>
        <v>Melting_Curves/meltCurve_P33764_S100A3.pdf</v>
      </c>
    </row>
    <row r="2029" spans="1:28" x14ac:dyDescent="0.25">
      <c r="A2029" t="s">
        <v>2033</v>
      </c>
      <c r="B2029">
        <v>0.99352677808782597</v>
      </c>
      <c r="C2029">
        <v>0.94583956128929003</v>
      </c>
      <c r="D2029">
        <v>0.94433655566667496</v>
      </c>
      <c r="E2029">
        <v>0.58112006249575099</v>
      </c>
      <c r="F2029">
        <v>0.51872287876718004</v>
      </c>
      <c r="G2029">
        <v>0.41233929544201497</v>
      </c>
      <c r="H2029">
        <v>0.340748892517096</v>
      </c>
      <c r="I2029">
        <v>0.327341784368954</v>
      </c>
      <c r="J2029">
        <v>0.32698276832077999</v>
      </c>
      <c r="K2029">
        <v>0.28913802397830801</v>
      </c>
      <c r="L2029">
        <v>929.44678715443001</v>
      </c>
      <c r="M2029">
        <v>18.653986358988998</v>
      </c>
      <c r="N2029">
        <v>52.688575221768602</v>
      </c>
      <c r="O2029">
        <v>49.263611227748797</v>
      </c>
      <c r="P2029">
        <v>-6.4512100749342105E-2</v>
      </c>
      <c r="Q2029">
        <v>0.31854493417271301</v>
      </c>
      <c r="R2029">
        <v>0.98330984202070604</v>
      </c>
      <c r="S2029" t="s">
        <v>8314</v>
      </c>
      <c r="T2029" t="s">
        <v>12568</v>
      </c>
      <c r="U2029" t="s">
        <v>12568</v>
      </c>
      <c r="V2029" t="s">
        <v>12568</v>
      </c>
      <c r="W2029" t="s">
        <v>14563</v>
      </c>
      <c r="X2029">
        <v>8</v>
      </c>
      <c r="Y2029" t="s">
        <v>20747</v>
      </c>
      <c r="Z2029" t="s">
        <v>26899</v>
      </c>
      <c r="AA2029">
        <v>0.55261106670570803</v>
      </c>
      <c r="AB2029" t="str">
        <f>HYPERLINK("Melting_Curves/meltCurve_P33981_2_TTK.pdf", "Melting_Curves/meltCurve_P33981_2_TTK.pdf")</f>
        <v>Melting_Curves/meltCurve_P33981_2_TTK.pdf</v>
      </c>
    </row>
    <row r="2030" spans="1:28" x14ac:dyDescent="0.25">
      <c r="A2030" t="s">
        <v>2034</v>
      </c>
      <c r="B2030">
        <v>0.99352677808782597</v>
      </c>
      <c r="C2030">
        <v>0.94228977051811602</v>
      </c>
      <c r="D2030">
        <v>0.866606985852165</v>
      </c>
      <c r="E2030">
        <v>0.338978794608709</v>
      </c>
      <c r="F2030">
        <v>0.275959212794193</v>
      </c>
      <c r="G2030">
        <v>0.16049646592719199</v>
      </c>
      <c r="H2030">
        <v>0.110895822844917</v>
      </c>
      <c r="I2030">
        <v>0.109850521138736</v>
      </c>
      <c r="J2030">
        <v>8.5765672499904202E-2</v>
      </c>
      <c r="K2030">
        <v>5.6721806209352903E-2</v>
      </c>
      <c r="L2030">
        <v>1189.42513746855</v>
      </c>
      <c r="M2030">
        <v>24.4727804222379</v>
      </c>
      <c r="N2030">
        <v>49.064515959197699</v>
      </c>
      <c r="O2030">
        <v>48.280910807739502</v>
      </c>
      <c r="P2030">
        <v>-0.11366793533950199</v>
      </c>
      <c r="Q2030">
        <v>0.103017597437252</v>
      </c>
      <c r="R2030">
        <v>0.98839610796128896</v>
      </c>
      <c r="S2030" t="s">
        <v>8315</v>
      </c>
      <c r="T2030" t="s">
        <v>12568</v>
      </c>
      <c r="U2030" t="s">
        <v>12568</v>
      </c>
      <c r="V2030" t="s">
        <v>12568</v>
      </c>
      <c r="W2030" t="s">
        <v>14564</v>
      </c>
      <c r="X2030">
        <v>30</v>
      </c>
      <c r="Y2030" t="s">
        <v>20748</v>
      </c>
      <c r="Z2030" t="s">
        <v>26900</v>
      </c>
      <c r="AA2030">
        <v>0.36850390458062149</v>
      </c>
      <c r="AB2030" t="str">
        <f>HYPERLINK("Melting_Curves/meltCurve_P33991_MCM4.pdf", "Melting_Curves/meltCurve_P33991_MCM4.pdf")</f>
        <v>Melting_Curves/meltCurve_P33991_MCM4.pdf</v>
      </c>
    </row>
    <row r="2031" spans="1:28" x14ac:dyDescent="0.25">
      <c r="A2031" t="s">
        <v>2035</v>
      </c>
      <c r="B2031">
        <v>0.99352677808782597</v>
      </c>
      <c r="C2031">
        <v>0.957936606947834</v>
      </c>
      <c r="D2031">
        <v>0.79561418834800102</v>
      </c>
      <c r="E2031">
        <v>0.49011533102987498</v>
      </c>
      <c r="F2031">
        <v>0.37892619192010801</v>
      </c>
      <c r="G2031">
        <v>0.17289263732680599</v>
      </c>
      <c r="H2031">
        <v>0.100738373293957</v>
      </c>
      <c r="I2031">
        <v>9.2174455447411902E-2</v>
      </c>
      <c r="J2031">
        <v>7.8327317407732799E-2</v>
      </c>
      <c r="K2031">
        <v>6.3565225582286403E-2</v>
      </c>
      <c r="L2031">
        <v>761.87877686409001</v>
      </c>
      <c r="M2031">
        <v>15.2422431398486</v>
      </c>
      <c r="N2031">
        <v>50.373614033750897</v>
      </c>
      <c r="O2031">
        <v>49.1479995935792</v>
      </c>
      <c r="P2031">
        <v>-7.3235425967643E-2</v>
      </c>
      <c r="Q2031">
        <v>5.5510883123186902E-2</v>
      </c>
      <c r="R2031">
        <v>0.99644546331810202</v>
      </c>
      <c r="S2031" t="s">
        <v>8316</v>
      </c>
      <c r="T2031" t="s">
        <v>12568</v>
      </c>
      <c r="U2031" t="s">
        <v>12568</v>
      </c>
      <c r="V2031" t="s">
        <v>12568</v>
      </c>
      <c r="W2031" t="s">
        <v>14565</v>
      </c>
      <c r="X2031">
        <v>36</v>
      </c>
      <c r="Y2031" t="s">
        <v>20749</v>
      </c>
      <c r="Z2031" t="s">
        <v>26901</v>
      </c>
      <c r="AA2031">
        <v>0.3917588962469164</v>
      </c>
      <c r="AB2031" t="str">
        <f>HYPERLINK("Melting_Curves/meltCurve_P33992_MCM5.pdf", "Melting_Curves/meltCurve_P33992_MCM5.pdf")</f>
        <v>Melting_Curves/meltCurve_P33992_MCM5.pdf</v>
      </c>
    </row>
    <row r="2032" spans="1:28" x14ac:dyDescent="0.25">
      <c r="A2032" t="s">
        <v>2036</v>
      </c>
      <c r="B2032">
        <v>0.99352677808782597</v>
      </c>
      <c r="C2032">
        <v>0.88243176418327096</v>
      </c>
      <c r="D2032">
        <v>0.68684642369333104</v>
      </c>
      <c r="E2032">
        <v>0.28452567204395401</v>
      </c>
      <c r="F2032">
        <v>0.21981432837805401</v>
      </c>
      <c r="G2032">
        <v>0.131578920005858</v>
      </c>
      <c r="H2032">
        <v>8.4076110564614503E-2</v>
      </c>
      <c r="I2032">
        <v>7.5640519986632099E-2</v>
      </c>
      <c r="J2032">
        <v>6.2976482273419399E-2</v>
      </c>
      <c r="K2032">
        <v>4.5982478459660803E-2</v>
      </c>
      <c r="L2032">
        <v>898.16162959364306</v>
      </c>
      <c r="M2032">
        <v>18.922798557039201</v>
      </c>
      <c r="N2032">
        <v>47.837911716431599</v>
      </c>
      <c r="O2032">
        <v>46.943949268313098</v>
      </c>
      <c r="P2032">
        <v>-9.3859031717792404E-2</v>
      </c>
      <c r="Q2032">
        <v>6.8650079481494097E-2</v>
      </c>
      <c r="R2032">
        <v>0.99561086278431699</v>
      </c>
      <c r="S2032" t="s">
        <v>8317</v>
      </c>
      <c r="T2032" t="s">
        <v>12568</v>
      </c>
      <c r="U2032" t="s">
        <v>12568</v>
      </c>
      <c r="V2032" t="s">
        <v>12568</v>
      </c>
      <c r="W2032" t="s">
        <v>14566</v>
      </c>
      <c r="X2032">
        <v>29</v>
      </c>
      <c r="Y2032" t="s">
        <v>20750</v>
      </c>
      <c r="Z2032" t="s">
        <v>26902</v>
      </c>
      <c r="AA2032">
        <v>0.31550746419035958</v>
      </c>
      <c r="AB2032" t="str">
        <f>HYPERLINK("Melting_Curves/meltCurve_P33993_MCM7.pdf", "Melting_Curves/meltCurve_P33993_MCM7.pdf")</f>
        <v>Melting_Curves/meltCurve_P33993_MCM7.pdf</v>
      </c>
    </row>
    <row r="2033" spans="1:28" x14ac:dyDescent="0.25">
      <c r="A2033" t="s">
        <v>2037</v>
      </c>
      <c r="B2033">
        <v>0.99352677808782597</v>
      </c>
      <c r="C2033">
        <v>1.0256472095448199</v>
      </c>
      <c r="D2033">
        <v>0.96139537625585503</v>
      </c>
      <c r="E2033">
        <v>0.81215645813903903</v>
      </c>
      <c r="F2033">
        <v>0.69803537753070799</v>
      </c>
      <c r="G2033">
        <v>0.54464582427497998</v>
      </c>
      <c r="H2033">
        <v>0.75297297344828595</v>
      </c>
      <c r="I2033">
        <v>0.74652958897917798</v>
      </c>
      <c r="J2033">
        <v>0.88930122539803902</v>
      </c>
      <c r="K2033">
        <v>0.553978379305473</v>
      </c>
      <c r="L2033">
        <v>2105.2586655171299</v>
      </c>
      <c r="M2033">
        <v>42.711933564833799</v>
      </c>
      <c r="O2033">
        <v>49.182026695067798</v>
      </c>
      <c r="P2033">
        <v>-6.6015686941347906E-2</v>
      </c>
      <c r="Q2033">
        <v>0.69593695988024196</v>
      </c>
      <c r="R2033">
        <v>0.66590295292973001</v>
      </c>
      <c r="S2033" t="s">
        <v>8318</v>
      </c>
      <c r="T2033" t="s">
        <v>12568</v>
      </c>
      <c r="U2033" t="s">
        <v>12568</v>
      </c>
      <c r="V2033" t="s">
        <v>12568</v>
      </c>
      <c r="W2033" t="s">
        <v>14567</v>
      </c>
      <c r="X2033">
        <v>9</v>
      </c>
      <c r="Y2033" t="s">
        <v>20751</v>
      </c>
      <c r="Z2033" t="s">
        <v>26903</v>
      </c>
      <c r="AA2033">
        <v>0.79100030364656249</v>
      </c>
      <c r="AB2033" t="str">
        <f>HYPERLINK("Melting_Curves/meltCurve_P34059_GALNS.pdf", "Melting_Curves/meltCurve_P34059_GALNS.pdf")</f>
        <v>Melting_Curves/meltCurve_P34059_GALNS.pdf</v>
      </c>
    </row>
    <row r="2034" spans="1:28" x14ac:dyDescent="0.25">
      <c r="A2034" t="s">
        <v>2038</v>
      </c>
      <c r="B2034">
        <v>0.99352677808782597</v>
      </c>
      <c r="C2034">
        <v>0.87718591527753798</v>
      </c>
      <c r="D2034">
        <v>0.95933417679004895</v>
      </c>
      <c r="E2034">
        <v>0.89480115040103303</v>
      </c>
      <c r="F2034">
        <v>0.87774788358840095</v>
      </c>
      <c r="G2034">
        <v>0.761142060900319</v>
      </c>
      <c r="H2034">
        <v>0.82021853866182604</v>
      </c>
      <c r="I2034">
        <v>1.0107814929121699</v>
      </c>
      <c r="J2034">
        <v>1.0611630821509299</v>
      </c>
      <c r="K2034">
        <v>0.76979345679106503</v>
      </c>
      <c r="L2034">
        <v>10109.9220988996</v>
      </c>
      <c r="M2034">
        <v>250</v>
      </c>
      <c r="O2034">
        <v>40.437100264832097</v>
      </c>
      <c r="P2034">
        <v>-0.16621017526797199</v>
      </c>
      <c r="Q2034">
        <v>0.89246307907982003</v>
      </c>
      <c r="R2034">
        <v>9.7697898678035605E-2</v>
      </c>
      <c r="S2034" t="s">
        <v>8319</v>
      </c>
      <c r="T2034" t="s">
        <v>12568</v>
      </c>
      <c r="U2034" t="s">
        <v>12568</v>
      </c>
      <c r="V2034" t="s">
        <v>12568</v>
      </c>
      <c r="W2034" t="s">
        <v>14568</v>
      </c>
      <c r="X2034">
        <v>2</v>
      </c>
      <c r="Y2034" t="s">
        <v>20752</v>
      </c>
      <c r="Z2034" t="s">
        <v>26904</v>
      </c>
      <c r="AA2034">
        <v>0.89408174288510434</v>
      </c>
      <c r="AB2034" t="str">
        <f>HYPERLINK("Melting_Curves/meltCurve_P34096_RNASE4.pdf", "Melting_Curves/meltCurve_P34096_RNASE4.pdf")</f>
        <v>Melting_Curves/meltCurve_P34096_RNASE4.pdf</v>
      </c>
    </row>
    <row r="2035" spans="1:28" x14ac:dyDescent="0.25">
      <c r="A2035" t="s">
        <v>2039</v>
      </c>
      <c r="B2035">
        <v>0.99352677808782597</v>
      </c>
      <c r="C2035">
        <v>1.04568164055718</v>
      </c>
      <c r="D2035">
        <v>0.93506707402230205</v>
      </c>
      <c r="E2035">
        <v>0.94596855865498797</v>
      </c>
      <c r="F2035">
        <v>0.77201928933404895</v>
      </c>
      <c r="G2035">
        <v>0.69706701075800104</v>
      </c>
      <c r="H2035">
        <v>0.517280715889468</v>
      </c>
      <c r="I2035">
        <v>0.22869771415689</v>
      </c>
      <c r="J2035">
        <v>0.12539354803540601</v>
      </c>
      <c r="K2035">
        <v>9.2839454462843293E-2</v>
      </c>
      <c r="L2035">
        <v>860.83254969599705</v>
      </c>
      <c r="M2035">
        <v>14.4097531987585</v>
      </c>
      <c r="N2035">
        <v>59.739576441032902</v>
      </c>
      <c r="O2035">
        <v>58.6244065436452</v>
      </c>
      <c r="P2035">
        <v>-6.145674876697E-2</v>
      </c>
      <c r="Q2035">
        <v>0</v>
      </c>
      <c r="R2035">
        <v>0.97793651709824903</v>
      </c>
      <c r="S2035" t="s">
        <v>8320</v>
      </c>
      <c r="T2035" t="s">
        <v>12568</v>
      </c>
      <c r="U2035" t="s">
        <v>12568</v>
      </c>
      <c r="V2035" t="s">
        <v>12568</v>
      </c>
      <c r="W2035" t="s">
        <v>14569</v>
      </c>
      <c r="X2035">
        <v>19</v>
      </c>
      <c r="Y2035" t="s">
        <v>20753</v>
      </c>
      <c r="Z2035" t="s">
        <v>26905</v>
      </c>
      <c r="AA2035">
        <v>0.6653915719249085</v>
      </c>
      <c r="AB2035" t="str">
        <f>HYPERLINK("Melting_Curves/meltCurve_P34896_2_SHMT1.pdf", "Melting_Curves/meltCurve_P34896_2_SHMT1.pdf")</f>
        <v>Melting_Curves/meltCurve_P34896_2_SHMT1.pdf</v>
      </c>
    </row>
    <row r="2036" spans="1:28" x14ac:dyDescent="0.25">
      <c r="A2036" t="s">
        <v>2040</v>
      </c>
      <c r="B2036">
        <v>0.99352677808782597</v>
      </c>
      <c r="C2036">
        <v>0.99475990521014102</v>
      </c>
      <c r="D2036">
        <v>0.85687628964904905</v>
      </c>
      <c r="E2036">
        <v>0.82748840247266597</v>
      </c>
      <c r="F2036">
        <v>0.70233393069618899</v>
      </c>
      <c r="G2036">
        <v>0.51934134383030595</v>
      </c>
      <c r="H2036">
        <v>0.25772698559713703</v>
      </c>
      <c r="I2036">
        <v>0.15181258469928799</v>
      </c>
      <c r="J2036">
        <v>0.109516744537403</v>
      </c>
      <c r="K2036">
        <v>8.5895817080316406E-2</v>
      </c>
      <c r="L2036">
        <v>707.08578789884302</v>
      </c>
      <c r="M2036">
        <v>12.5356596438961</v>
      </c>
      <c r="N2036">
        <v>56.405949696568101</v>
      </c>
      <c r="O2036">
        <v>55.028243936853599</v>
      </c>
      <c r="P2036">
        <v>-5.6962614931013497E-2</v>
      </c>
      <c r="Q2036">
        <v>0</v>
      </c>
      <c r="R2036">
        <v>0.98998530492828296</v>
      </c>
      <c r="S2036" t="s">
        <v>8321</v>
      </c>
      <c r="T2036" t="s">
        <v>12568</v>
      </c>
      <c r="U2036" t="s">
        <v>12568</v>
      </c>
      <c r="V2036" t="s">
        <v>12568</v>
      </c>
      <c r="W2036" t="s">
        <v>14570</v>
      </c>
      <c r="X2036">
        <v>26</v>
      </c>
      <c r="Y2036" t="s">
        <v>20754</v>
      </c>
      <c r="Z2036" t="s">
        <v>26906</v>
      </c>
      <c r="AA2036">
        <v>0.5656319838623316</v>
      </c>
      <c r="AB2036" t="str">
        <f>HYPERLINK("Melting_Curves/meltCurve_P34897_3_SHMT2.pdf", "Melting_Curves/meltCurve_P34897_3_SHMT2.pdf")</f>
        <v>Melting_Curves/meltCurve_P34897_3_SHMT2.pdf</v>
      </c>
    </row>
    <row r="2037" spans="1:28" x14ac:dyDescent="0.25">
      <c r="A2037" t="s">
        <v>2041</v>
      </c>
      <c r="B2037">
        <v>0.99352677808782597</v>
      </c>
      <c r="C2037">
        <v>1.07887902445937</v>
      </c>
      <c r="D2037">
        <v>0.99263031185760298</v>
      </c>
      <c r="E2037">
        <v>0.86933198167694603</v>
      </c>
      <c r="F2037">
        <v>0.77579399484225398</v>
      </c>
      <c r="G2037">
        <v>0.66889041483704603</v>
      </c>
      <c r="H2037">
        <v>0.56261748753947305</v>
      </c>
      <c r="I2037">
        <v>0.232841464097333</v>
      </c>
      <c r="J2037">
        <v>0.174940817857209</v>
      </c>
      <c r="K2037">
        <v>0.15336386019668899</v>
      </c>
      <c r="L2037">
        <v>733.40097688374397</v>
      </c>
      <c r="M2037">
        <v>12.2453337388101</v>
      </c>
      <c r="N2037">
        <v>59.892281688858702</v>
      </c>
      <c r="O2037">
        <v>58.3621853874293</v>
      </c>
      <c r="P2037">
        <v>-5.2465748658281297E-2</v>
      </c>
      <c r="Q2037">
        <v>0</v>
      </c>
      <c r="R2037">
        <v>0.96873356525608201</v>
      </c>
      <c r="S2037" t="s">
        <v>8322</v>
      </c>
      <c r="T2037" t="s">
        <v>12568</v>
      </c>
      <c r="U2037" t="s">
        <v>12568</v>
      </c>
      <c r="V2037" t="s">
        <v>12568</v>
      </c>
      <c r="W2037" t="s">
        <v>14571</v>
      </c>
      <c r="X2037">
        <v>8</v>
      </c>
      <c r="Y2037" t="s">
        <v>20755</v>
      </c>
      <c r="Z2037" t="s">
        <v>26907</v>
      </c>
      <c r="AA2037">
        <v>0.66661490293137438</v>
      </c>
      <c r="AB2037" t="str">
        <f>HYPERLINK("Melting_Curves/meltCurve_P34913_EPHX2.pdf", "Melting_Curves/meltCurve_P34913_EPHX2.pdf")</f>
        <v>Melting_Curves/meltCurve_P34913_EPHX2.pdf</v>
      </c>
    </row>
    <row r="2038" spans="1:28" x14ac:dyDescent="0.25">
      <c r="A2038" t="s">
        <v>2042</v>
      </c>
      <c r="B2038">
        <v>0.99352677808782597</v>
      </c>
      <c r="C2038">
        <v>0.91713841323948198</v>
      </c>
      <c r="D2038">
        <v>0.85333864776622304</v>
      </c>
      <c r="E2038">
        <v>0.36387877282491798</v>
      </c>
      <c r="F2038">
        <v>0.27694807944993</v>
      </c>
      <c r="G2038">
        <v>0.17202316483362701</v>
      </c>
      <c r="H2038">
        <v>0.11479878115082599</v>
      </c>
      <c r="I2038">
        <v>0.105909988370421</v>
      </c>
      <c r="J2038">
        <v>9.8422000786747593E-2</v>
      </c>
      <c r="K2038">
        <v>7.4999637399732796E-2</v>
      </c>
      <c r="L2038">
        <v>1072.0617052550899</v>
      </c>
      <c r="M2038">
        <v>22.037554995271101</v>
      </c>
      <c r="N2038">
        <v>49.171678596828599</v>
      </c>
      <c r="O2038">
        <v>48.251780718720703</v>
      </c>
      <c r="P2038">
        <v>-0.102219995279139</v>
      </c>
      <c r="Q2038">
        <v>0.104766922980435</v>
      </c>
      <c r="R2038">
        <v>0.99069105606611496</v>
      </c>
      <c r="S2038" t="s">
        <v>8323</v>
      </c>
      <c r="T2038" t="s">
        <v>12568</v>
      </c>
      <c r="U2038" t="s">
        <v>12568</v>
      </c>
      <c r="V2038" t="s">
        <v>12568</v>
      </c>
      <c r="W2038" t="s">
        <v>14572</v>
      </c>
      <c r="X2038">
        <v>64</v>
      </c>
      <c r="Y2038" t="s">
        <v>20756</v>
      </c>
      <c r="Z2038" t="s">
        <v>26908</v>
      </c>
      <c r="AA2038">
        <v>0.37309962658287338</v>
      </c>
      <c r="AB2038" t="str">
        <f>HYPERLINK("Melting_Curves/meltCurve_P34932_HSPA4.pdf", "Melting_Curves/meltCurve_P34932_HSPA4.pdf")</f>
        <v>Melting_Curves/meltCurve_P34932_HSPA4.pdf</v>
      </c>
    </row>
    <row r="2039" spans="1:28" x14ac:dyDescent="0.25">
      <c r="A2039" t="s">
        <v>2043</v>
      </c>
      <c r="B2039">
        <v>0.99352677808782597</v>
      </c>
      <c r="C2039">
        <v>0.974254517559067</v>
      </c>
      <c r="D2039">
        <v>0.98401836645237695</v>
      </c>
      <c r="E2039">
        <v>0.55672024706807199</v>
      </c>
      <c r="F2039">
        <v>0.48025018289789601</v>
      </c>
      <c r="G2039">
        <v>0.20772732894256299</v>
      </c>
      <c r="H2039">
        <v>0.13901992279299699</v>
      </c>
      <c r="I2039">
        <v>0.12576279605096999</v>
      </c>
      <c r="J2039">
        <v>0.108193329449671</v>
      </c>
      <c r="K2039">
        <v>0.112067431587021</v>
      </c>
      <c r="L2039">
        <v>959.65993318303401</v>
      </c>
      <c r="M2039">
        <v>18.7568002383113</v>
      </c>
      <c r="N2039">
        <v>51.8074228978886</v>
      </c>
      <c r="O2039">
        <v>50.592392172465402</v>
      </c>
      <c r="P2039">
        <v>-8.3049770772723894E-2</v>
      </c>
      <c r="Q2039">
        <v>0.104002751413029</v>
      </c>
      <c r="R2039">
        <v>0.98528815389868696</v>
      </c>
      <c r="S2039" t="s">
        <v>8324</v>
      </c>
      <c r="T2039" t="s">
        <v>12568</v>
      </c>
      <c r="U2039" t="s">
        <v>12568</v>
      </c>
      <c r="V2039" t="s">
        <v>12568</v>
      </c>
      <c r="W2039" t="s">
        <v>14573</v>
      </c>
      <c r="X2039">
        <v>7</v>
      </c>
      <c r="Y2039" t="s">
        <v>20757</v>
      </c>
      <c r="Z2039" t="s">
        <v>26909</v>
      </c>
      <c r="AA2039">
        <v>0.4514023575590615</v>
      </c>
      <c r="AB2039" t="str">
        <f>HYPERLINK("Melting_Curves/meltCurve_P35219_CA8.pdf", "Melting_Curves/meltCurve_P35219_CA8.pdf")</f>
        <v>Melting_Curves/meltCurve_P35219_CA8.pdf</v>
      </c>
    </row>
    <row r="2040" spans="1:28" x14ac:dyDescent="0.25">
      <c r="A2040" t="s">
        <v>2044</v>
      </c>
      <c r="B2040">
        <v>0.99352677808782597</v>
      </c>
      <c r="C2040">
        <v>1.0302275750652501</v>
      </c>
      <c r="D2040">
        <v>0.97307812546404504</v>
      </c>
      <c r="E2040">
        <v>0.92423176989997602</v>
      </c>
      <c r="F2040">
        <v>0.78343963611739698</v>
      </c>
      <c r="G2040">
        <v>0.47828103648506398</v>
      </c>
      <c r="H2040">
        <v>0.204417128842867</v>
      </c>
      <c r="I2040">
        <v>0.14571537061490999</v>
      </c>
      <c r="J2040">
        <v>0.117577621306202</v>
      </c>
      <c r="K2040">
        <v>9.1169275271650502E-2</v>
      </c>
      <c r="L2040">
        <v>1152.18161117558</v>
      </c>
      <c r="M2040">
        <v>20.537421073958701</v>
      </c>
      <c r="N2040">
        <v>56.557225170039899</v>
      </c>
      <c r="O2040">
        <v>55.577792726634897</v>
      </c>
      <c r="P2040">
        <v>-8.5340027235473501E-2</v>
      </c>
      <c r="Q2040">
        <v>7.6247927784942104E-2</v>
      </c>
      <c r="R2040">
        <v>0.99856899151193201</v>
      </c>
      <c r="S2040" t="s">
        <v>8325</v>
      </c>
      <c r="T2040" t="s">
        <v>12568</v>
      </c>
      <c r="U2040" t="s">
        <v>12568</v>
      </c>
      <c r="V2040" t="s">
        <v>12568</v>
      </c>
      <c r="W2040" t="s">
        <v>14574</v>
      </c>
      <c r="X2040">
        <v>40</v>
      </c>
      <c r="Y2040" t="s">
        <v>20758</v>
      </c>
      <c r="Z2040" t="s">
        <v>26910</v>
      </c>
      <c r="AA2040">
        <v>0.58347119995168062</v>
      </c>
      <c r="AB2040" t="str">
        <f>HYPERLINK("Melting_Curves/meltCurve_P35221_CTNNA1.pdf", "Melting_Curves/meltCurve_P35221_CTNNA1.pdf")</f>
        <v>Melting_Curves/meltCurve_P35221_CTNNA1.pdf</v>
      </c>
    </row>
    <row r="2041" spans="1:28" x14ac:dyDescent="0.25">
      <c r="A2041" t="s">
        <v>2045</v>
      </c>
      <c r="B2041">
        <v>0.99352677808782597</v>
      </c>
      <c r="C2041">
        <v>0.85537824228831805</v>
      </c>
      <c r="D2041">
        <v>0.80017959461184296</v>
      </c>
      <c r="E2041">
        <v>0.353283044192369</v>
      </c>
      <c r="F2041">
        <v>0.308353001348943</v>
      </c>
      <c r="G2041">
        <v>0.161776336897023</v>
      </c>
      <c r="H2041">
        <v>0.102841781620059</v>
      </c>
      <c r="I2041">
        <v>0.101859123317735</v>
      </c>
      <c r="J2041">
        <v>4.6060801607908597E-2</v>
      </c>
      <c r="K2041">
        <v>8.9406599664992495E-2</v>
      </c>
      <c r="L2041">
        <v>802.57596840958001</v>
      </c>
      <c r="M2041">
        <v>16.530003286467799</v>
      </c>
      <c r="N2041">
        <v>49.029427112447898</v>
      </c>
      <c r="O2041">
        <v>47.858781832560503</v>
      </c>
      <c r="P2041">
        <v>-7.9942853868815805E-2</v>
      </c>
      <c r="Q2041">
        <v>7.4240085136124401E-2</v>
      </c>
      <c r="R2041">
        <v>0.98563440107992795</v>
      </c>
      <c r="S2041" t="s">
        <v>8326</v>
      </c>
      <c r="T2041" t="s">
        <v>12568</v>
      </c>
      <c r="U2041" t="s">
        <v>12568</v>
      </c>
      <c r="V2041" t="s">
        <v>12568</v>
      </c>
      <c r="W2041" t="s">
        <v>14575</v>
      </c>
      <c r="X2041">
        <v>2</v>
      </c>
      <c r="Y2041" t="s">
        <v>20759</v>
      </c>
      <c r="Z2041" t="s">
        <v>26911</v>
      </c>
      <c r="AA2041">
        <v>0.3573827509623268</v>
      </c>
      <c r="AB2041" t="str">
        <f>HYPERLINK("Melting_Curves/meltCurve_P35227_PCGF2.pdf", "Melting_Curves/meltCurve_P35227_PCGF2.pdf")</f>
        <v>Melting_Curves/meltCurve_P35227_PCGF2.pdf</v>
      </c>
    </row>
    <row r="2042" spans="1:28" x14ac:dyDescent="0.25">
      <c r="A2042" t="s">
        <v>2046</v>
      </c>
      <c r="B2042">
        <v>0.99352677808782597</v>
      </c>
      <c r="C2042">
        <v>1.0021333570478099</v>
      </c>
      <c r="D2042">
        <v>0.99286267466830702</v>
      </c>
      <c r="E2042">
        <v>0.819623318917583</v>
      </c>
      <c r="F2042">
        <v>0.70076742253419699</v>
      </c>
      <c r="G2042">
        <v>0.53881414067770905</v>
      </c>
      <c r="H2042">
        <v>0.52261864618874698</v>
      </c>
      <c r="I2042">
        <v>0.33891708561815098</v>
      </c>
      <c r="J2042">
        <v>0.28462934326928602</v>
      </c>
      <c r="K2042">
        <v>0.18357336520887499</v>
      </c>
      <c r="L2042">
        <v>521.30650662126197</v>
      </c>
      <c r="M2042">
        <v>8.8057148217110797</v>
      </c>
      <c r="N2042">
        <v>59.336527127085802</v>
      </c>
      <c r="O2042">
        <v>56.386041181004799</v>
      </c>
      <c r="P2042">
        <v>-3.8683675883057302E-2</v>
      </c>
      <c r="Q2042">
        <v>9.9609674820947298E-3</v>
      </c>
      <c r="R2042">
        <v>0.97957260485675002</v>
      </c>
      <c r="S2042" t="s">
        <v>8327</v>
      </c>
      <c r="T2042" t="s">
        <v>12568</v>
      </c>
      <c r="U2042" t="s">
        <v>12568</v>
      </c>
      <c r="V2042" t="s">
        <v>12568</v>
      </c>
      <c r="W2042" t="s">
        <v>14576</v>
      </c>
      <c r="X2042">
        <v>5</v>
      </c>
      <c r="Y2042" t="s">
        <v>20760</v>
      </c>
      <c r="Z2042" t="s">
        <v>26912</v>
      </c>
      <c r="AA2042">
        <v>0.64072187774383571</v>
      </c>
      <c r="AB2042" t="str">
        <f>HYPERLINK("Melting_Curves/meltCurve_P35237_SERPINB6.pdf", "Melting_Curves/meltCurve_P35237_SERPINB6.pdf")</f>
        <v>Melting_Curves/meltCurve_P35237_SERPINB6.pdf</v>
      </c>
    </row>
    <row r="2043" spans="1:28" x14ac:dyDescent="0.25">
      <c r="A2043" t="s">
        <v>2047</v>
      </c>
      <c r="B2043">
        <v>0.99352677808782597</v>
      </c>
      <c r="C2043">
        <v>0.99804968906787705</v>
      </c>
      <c r="D2043">
        <v>0.98648533546887496</v>
      </c>
      <c r="E2043">
        <v>0.30837825067823599</v>
      </c>
      <c r="F2043">
        <v>0.23175702807280399</v>
      </c>
      <c r="G2043">
        <v>0.15267205240363099</v>
      </c>
      <c r="H2043">
        <v>9.9189082205587795E-2</v>
      </c>
      <c r="I2043">
        <v>9.5869550976789897E-2</v>
      </c>
      <c r="J2043">
        <v>8.5314089934699494E-2</v>
      </c>
      <c r="K2043">
        <v>6.88357218759304E-2</v>
      </c>
      <c r="L2043">
        <v>2392.5518799351998</v>
      </c>
      <c r="M2043">
        <v>49.018277676709197</v>
      </c>
      <c r="N2043">
        <v>49.075633757139698</v>
      </c>
      <c r="O2043">
        <v>48.728353324435297</v>
      </c>
      <c r="P2043">
        <v>-0.22212696122604</v>
      </c>
      <c r="Q2043">
        <v>0.116748156089701</v>
      </c>
      <c r="R2043">
        <v>0.98971515194722204</v>
      </c>
      <c r="S2043" t="s">
        <v>8328</v>
      </c>
      <c r="T2043" t="s">
        <v>12568</v>
      </c>
      <c r="U2043" t="s">
        <v>12568</v>
      </c>
      <c r="V2043" t="s">
        <v>12568</v>
      </c>
      <c r="W2043" t="s">
        <v>14577</v>
      </c>
      <c r="X2043">
        <v>6</v>
      </c>
      <c r="Y2043" t="s">
        <v>20761</v>
      </c>
      <c r="Z2043" t="s">
        <v>26913</v>
      </c>
      <c r="AA2043">
        <v>0.37809100727599121</v>
      </c>
      <c r="AB2043" t="str">
        <f>HYPERLINK("Melting_Curves/meltCurve_P35240_5_NF2.pdf", "Melting_Curves/meltCurve_P35240_5_NF2.pdf")</f>
        <v>Melting_Curves/meltCurve_P35240_5_NF2.pdf</v>
      </c>
    </row>
    <row r="2044" spans="1:28" x14ac:dyDescent="0.25">
      <c r="A2044" t="s">
        <v>2048</v>
      </c>
      <c r="B2044">
        <v>0.99352677808782597</v>
      </c>
      <c r="C2044">
        <v>0.99884490686594196</v>
      </c>
      <c r="D2044">
        <v>0.98197083760660497</v>
      </c>
      <c r="E2044">
        <v>0.98765515715752294</v>
      </c>
      <c r="F2044">
        <v>0.917070597726517</v>
      </c>
      <c r="G2044">
        <v>0.87016334658417305</v>
      </c>
      <c r="H2044">
        <v>0.67369910398126598</v>
      </c>
      <c r="I2044">
        <v>0.164940662284075</v>
      </c>
      <c r="J2044">
        <v>0.10601830130758901</v>
      </c>
      <c r="K2044">
        <v>9.1155155831152704E-2</v>
      </c>
      <c r="L2044">
        <v>3282.1086411616302</v>
      </c>
      <c r="M2044">
        <v>53.294052029963801</v>
      </c>
      <c r="N2044">
        <v>61.794495771188799</v>
      </c>
      <c r="O2044">
        <v>61.498357605739599</v>
      </c>
      <c r="P2044">
        <v>-0.19873483330938499</v>
      </c>
      <c r="Q2044">
        <v>8.2684895036641504E-2</v>
      </c>
      <c r="R2044">
        <v>0.98428209421811297</v>
      </c>
      <c r="S2044" t="s">
        <v>8329</v>
      </c>
      <c r="T2044" t="s">
        <v>12568</v>
      </c>
      <c r="U2044" t="s">
        <v>12568</v>
      </c>
      <c r="V2044" t="s">
        <v>12568</v>
      </c>
      <c r="W2044" t="s">
        <v>14578</v>
      </c>
      <c r="X2044">
        <v>60</v>
      </c>
      <c r="Y2044" t="s">
        <v>20762</v>
      </c>
      <c r="Z2044" t="s">
        <v>26914</v>
      </c>
      <c r="AA2044">
        <v>0.74480312977279028</v>
      </c>
      <c r="AB2044" t="str">
        <f>HYPERLINK("Melting_Curves/meltCurve_P35241_RDX.pdf", "Melting_Curves/meltCurve_P35241_RDX.pdf")</f>
        <v>Melting_Curves/meltCurve_P35241_RDX.pdf</v>
      </c>
    </row>
    <row r="2045" spans="1:28" x14ac:dyDescent="0.25">
      <c r="A2045" t="s">
        <v>2049</v>
      </c>
      <c r="B2045">
        <v>0.99352677808782597</v>
      </c>
      <c r="C2045">
        <v>1.0373236466065501</v>
      </c>
      <c r="D2045">
        <v>0.97985652182394101</v>
      </c>
      <c r="E2045">
        <v>0.80523790939321205</v>
      </c>
      <c r="F2045">
        <v>0.56876162725773105</v>
      </c>
      <c r="G2045">
        <v>0.42660693642254799</v>
      </c>
      <c r="H2045">
        <v>0.175387243059973</v>
      </c>
      <c r="I2045">
        <v>0.1660434936038</v>
      </c>
      <c r="J2045">
        <v>0.13533390668076301</v>
      </c>
      <c r="K2045">
        <v>8.95444010054392E-2</v>
      </c>
      <c r="L2045">
        <v>855.39539811132897</v>
      </c>
      <c r="M2045">
        <v>15.7979321859401</v>
      </c>
      <c r="N2045">
        <v>54.7486513372533</v>
      </c>
      <c r="O2045">
        <v>53.300712426493703</v>
      </c>
      <c r="P2045">
        <v>-6.8190583414067696E-2</v>
      </c>
      <c r="Q2045">
        <v>7.9801827223219698E-2</v>
      </c>
      <c r="R2045">
        <v>0.99146031017157099</v>
      </c>
      <c r="S2045" t="s">
        <v>8330</v>
      </c>
      <c r="T2045" t="s">
        <v>12568</v>
      </c>
      <c r="U2045" t="s">
        <v>12568</v>
      </c>
      <c r="V2045" t="s">
        <v>12568</v>
      </c>
      <c r="W2045" t="s">
        <v>14579</v>
      </c>
      <c r="X2045">
        <v>5</v>
      </c>
      <c r="Y2045" t="s">
        <v>20763</v>
      </c>
      <c r="Z2045" t="s">
        <v>26915</v>
      </c>
      <c r="AA2045">
        <v>0.53125905453193889</v>
      </c>
      <c r="AB2045" t="str">
        <f>HYPERLINK("Melting_Curves/meltCurve_P35244_RPA3.pdf", "Melting_Curves/meltCurve_P35244_RPA3.pdf")</f>
        <v>Melting_Curves/meltCurve_P35244_RPA3.pdf</v>
      </c>
    </row>
    <row r="2046" spans="1:28" x14ac:dyDescent="0.25">
      <c r="A2046" t="s">
        <v>2050</v>
      </c>
      <c r="B2046">
        <v>0.99352677808782597</v>
      </c>
      <c r="C2046">
        <v>0.82799256927681297</v>
      </c>
      <c r="D2046">
        <v>0.65549754651199099</v>
      </c>
      <c r="E2046">
        <v>0.27444698303804499</v>
      </c>
      <c r="F2046">
        <v>0.21905321272198</v>
      </c>
      <c r="G2046">
        <v>0.13458413818596199</v>
      </c>
      <c r="H2046">
        <v>9.1696266596291306E-2</v>
      </c>
      <c r="I2046">
        <v>9.9943862090453695E-2</v>
      </c>
      <c r="J2046">
        <v>7.9671998746929901E-2</v>
      </c>
      <c r="K2046">
        <v>5.9563786510752503E-2</v>
      </c>
      <c r="L2046">
        <v>837.89283445245701</v>
      </c>
      <c r="M2046">
        <v>17.827410814549498</v>
      </c>
      <c r="N2046">
        <v>47.465468965729897</v>
      </c>
      <c r="O2046">
        <v>46.420830617836302</v>
      </c>
      <c r="P2046">
        <v>-8.8318260722027295E-2</v>
      </c>
      <c r="Q2046">
        <v>8.0158760590829103E-2</v>
      </c>
      <c r="R2046">
        <v>0.99422080916840705</v>
      </c>
      <c r="S2046" t="s">
        <v>8331</v>
      </c>
      <c r="T2046" t="s">
        <v>12568</v>
      </c>
      <c r="U2046" t="s">
        <v>12568</v>
      </c>
      <c r="V2046" t="s">
        <v>12568</v>
      </c>
      <c r="W2046" t="s">
        <v>14580</v>
      </c>
      <c r="X2046">
        <v>11</v>
      </c>
      <c r="Y2046" t="s">
        <v>20764</v>
      </c>
      <c r="Z2046" t="s">
        <v>26916</v>
      </c>
      <c r="AA2046">
        <v>0.31212576651524832</v>
      </c>
      <c r="AB2046" t="str">
        <f>HYPERLINK("Melting_Curves/meltCurve_P35249_RFC4.pdf", "Melting_Curves/meltCurve_P35249_RFC4.pdf")</f>
        <v>Melting_Curves/meltCurve_P35249_RFC4.pdf</v>
      </c>
    </row>
    <row r="2047" spans="1:28" x14ac:dyDescent="0.25">
      <c r="A2047" t="s">
        <v>2051</v>
      </c>
      <c r="B2047">
        <v>0.99352677808782597</v>
      </c>
      <c r="C2047">
        <v>0.82740482368041102</v>
      </c>
      <c r="D2047">
        <v>0.64802031829228501</v>
      </c>
      <c r="E2047">
        <v>0.33983177835605</v>
      </c>
      <c r="F2047">
        <v>0.29704479096151498</v>
      </c>
      <c r="G2047">
        <v>0.16512883679319501</v>
      </c>
      <c r="H2047">
        <v>9.9468958859658396E-2</v>
      </c>
      <c r="I2047">
        <v>8.4924121801243702E-2</v>
      </c>
      <c r="J2047">
        <v>7.3731699811101198E-2</v>
      </c>
      <c r="K2047">
        <v>6.0682220722681701E-2</v>
      </c>
      <c r="L2047">
        <v>670.87030038375894</v>
      </c>
      <c r="M2047">
        <v>14.0707535956796</v>
      </c>
      <c r="N2047">
        <v>48.1424220670282</v>
      </c>
      <c r="O2047">
        <v>46.7463098709147</v>
      </c>
      <c r="P2047">
        <v>-7.0487335169125601E-2</v>
      </c>
      <c r="Q2047">
        <v>6.34203620590406E-2</v>
      </c>
      <c r="R2047">
        <v>0.99258432572672695</v>
      </c>
      <c r="S2047" t="s">
        <v>8332</v>
      </c>
      <c r="T2047" t="s">
        <v>12568</v>
      </c>
      <c r="U2047" t="s">
        <v>12568</v>
      </c>
      <c r="V2047" t="s">
        <v>12568</v>
      </c>
      <c r="W2047" t="s">
        <v>14581</v>
      </c>
      <c r="X2047">
        <v>8</v>
      </c>
      <c r="Y2047" t="s">
        <v>20765</v>
      </c>
      <c r="Z2047" t="s">
        <v>26917</v>
      </c>
      <c r="AA2047">
        <v>0.33092571764642931</v>
      </c>
      <c r="AB2047" t="str">
        <f>HYPERLINK("Melting_Curves/meltCurve_P35250_RFC2.pdf", "Melting_Curves/meltCurve_P35250_RFC2.pdf")</f>
        <v>Melting_Curves/meltCurve_P35250_RFC2.pdf</v>
      </c>
    </row>
    <row r="2048" spans="1:28" x14ac:dyDescent="0.25">
      <c r="A2048" t="s">
        <v>2052</v>
      </c>
      <c r="B2048">
        <v>0.99352677808782597</v>
      </c>
      <c r="C2048">
        <v>0.90086273411919704</v>
      </c>
      <c r="D2048">
        <v>1.0906472081482701</v>
      </c>
      <c r="E2048">
        <v>0.96080342140875197</v>
      </c>
      <c r="F2048">
        <v>0.90991348522936699</v>
      </c>
      <c r="G2048">
        <v>0.76609804506553403</v>
      </c>
      <c r="H2048">
        <v>0.70242768173323999</v>
      </c>
      <c r="I2048">
        <v>0.81097347317885704</v>
      </c>
      <c r="J2048">
        <v>0.71671104736480196</v>
      </c>
      <c r="K2048">
        <v>0.61789749939526994</v>
      </c>
      <c r="L2048">
        <v>1387.5037135991699</v>
      </c>
      <c r="M2048">
        <v>25.447283339711301</v>
      </c>
      <c r="O2048">
        <v>54.191263447580504</v>
      </c>
      <c r="P2048">
        <v>-3.48749976100763E-2</v>
      </c>
      <c r="Q2048">
        <v>0.70293153806986597</v>
      </c>
      <c r="R2048">
        <v>0.81397212473094505</v>
      </c>
      <c r="S2048" t="s">
        <v>8333</v>
      </c>
      <c r="T2048" t="s">
        <v>12568</v>
      </c>
      <c r="U2048" t="s">
        <v>12568</v>
      </c>
      <c r="V2048" t="s">
        <v>12568</v>
      </c>
      <c r="W2048" t="s">
        <v>14582</v>
      </c>
      <c r="X2048">
        <v>5</v>
      </c>
      <c r="Y2048" t="s">
        <v>20766</v>
      </c>
      <c r="Z2048" t="s">
        <v>26918</v>
      </c>
      <c r="AA2048">
        <v>0.84942324349653264</v>
      </c>
      <c r="AB2048" t="str">
        <f>HYPERLINK("Melting_Curves/meltCurve_P35251_2_RFC1.pdf", "Melting_Curves/meltCurve_P35251_2_RFC1.pdf")</f>
        <v>Melting_Curves/meltCurve_P35251_2_RFC1.pdf</v>
      </c>
    </row>
    <row r="2049" spans="1:28" x14ac:dyDescent="0.25">
      <c r="A2049" t="s">
        <v>2053</v>
      </c>
      <c r="B2049">
        <v>0.99352677808782597</v>
      </c>
      <c r="C2049">
        <v>0.98457410138815005</v>
      </c>
      <c r="D2049">
        <v>1.0472925977402701</v>
      </c>
      <c r="E2049">
        <v>0.84926588483368004</v>
      </c>
      <c r="F2049">
        <v>0.77443405520547304</v>
      </c>
      <c r="G2049">
        <v>0.64805041938406505</v>
      </c>
      <c r="H2049">
        <v>0.36777514230861702</v>
      </c>
      <c r="I2049">
        <v>0.26011669526708597</v>
      </c>
      <c r="J2049">
        <v>0.22593848239011399</v>
      </c>
      <c r="K2049">
        <v>0.1196006693045</v>
      </c>
      <c r="L2049">
        <v>721.79273669666395</v>
      </c>
      <c r="M2049">
        <v>12.282908732273199</v>
      </c>
      <c r="N2049">
        <v>58.883478981633203</v>
      </c>
      <c r="O2049">
        <v>57.271489737870098</v>
      </c>
      <c r="P2049">
        <v>-5.2968738038401998E-2</v>
      </c>
      <c r="Q2049">
        <v>1.23083886566283E-2</v>
      </c>
      <c r="R2049">
        <v>0.98769859663579096</v>
      </c>
      <c r="S2049" t="s">
        <v>8334</v>
      </c>
      <c r="T2049" t="s">
        <v>12568</v>
      </c>
      <c r="U2049" t="s">
        <v>12568</v>
      </c>
      <c r="V2049" t="s">
        <v>12568</v>
      </c>
      <c r="W2049" t="s">
        <v>14583</v>
      </c>
      <c r="X2049">
        <v>7</v>
      </c>
      <c r="Y2049" t="s">
        <v>20767</v>
      </c>
      <c r="Z2049" t="s">
        <v>26919</v>
      </c>
      <c r="AA2049">
        <v>0.63943477263187964</v>
      </c>
      <c r="AB2049" t="str">
        <f>HYPERLINK("Melting_Curves/meltCurve_P35268_RPL22.pdf", "Melting_Curves/meltCurve_P35268_RPL22.pdf")</f>
        <v>Melting_Curves/meltCurve_P35268_RPL22.pdf</v>
      </c>
    </row>
    <row r="2050" spans="1:28" x14ac:dyDescent="0.25">
      <c r="A2050" t="s">
        <v>2054</v>
      </c>
      <c r="B2050">
        <v>0.99352677808782597</v>
      </c>
      <c r="C2050">
        <v>0.98596258189252195</v>
      </c>
      <c r="D2050">
        <v>0.983916428075158</v>
      </c>
      <c r="E2050">
        <v>0.92505695422074496</v>
      </c>
      <c r="F2050">
        <v>0.86828624133621002</v>
      </c>
      <c r="G2050">
        <v>0.651308861727802</v>
      </c>
      <c r="H2050">
        <v>0.55791549656486605</v>
      </c>
      <c r="I2050">
        <v>0.58193515847722699</v>
      </c>
      <c r="J2050">
        <v>0.651321985000754</v>
      </c>
      <c r="K2050">
        <v>0.56619339106307198</v>
      </c>
      <c r="L2050">
        <v>1577.1128845215101</v>
      </c>
      <c r="M2050">
        <v>29.2261892449825</v>
      </c>
      <c r="O2050">
        <v>53.711571427653098</v>
      </c>
      <c r="P2050">
        <v>-5.6496934574514303E-2</v>
      </c>
      <c r="Q2050">
        <v>0.58468520771584598</v>
      </c>
      <c r="R2050">
        <v>0.973407871017545</v>
      </c>
      <c r="S2050" t="s">
        <v>8335</v>
      </c>
      <c r="T2050" t="s">
        <v>12568</v>
      </c>
      <c r="U2050" t="s">
        <v>12568</v>
      </c>
      <c r="V2050" t="s">
        <v>12568</v>
      </c>
      <c r="W2050" t="s">
        <v>14584</v>
      </c>
      <c r="X2050">
        <v>18</v>
      </c>
      <c r="Y2050" t="s">
        <v>20768</v>
      </c>
      <c r="Z2050" t="s">
        <v>26920</v>
      </c>
      <c r="AA2050">
        <v>0.78084462422288303</v>
      </c>
      <c r="AB2050" t="str">
        <f>HYPERLINK("Melting_Curves/meltCurve_P35269_GTF2F1.pdf", "Melting_Curves/meltCurve_P35269_GTF2F1.pdf")</f>
        <v>Melting_Curves/meltCurve_P35269_GTF2F1.pdf</v>
      </c>
    </row>
    <row r="2051" spans="1:28" x14ac:dyDescent="0.25">
      <c r="A2051" t="s">
        <v>2055</v>
      </c>
      <c r="B2051">
        <v>0.99352677808782597</v>
      </c>
      <c r="C2051">
        <v>0.928539454491773</v>
      </c>
      <c r="D2051">
        <v>0.92084410225383995</v>
      </c>
      <c r="E2051">
        <v>0.25426869015050302</v>
      </c>
      <c r="F2051">
        <v>0.189628317226085</v>
      </c>
      <c r="G2051">
        <v>0.116289742366999</v>
      </c>
      <c r="H2051">
        <v>9.2634570893139298E-2</v>
      </c>
      <c r="I2051">
        <v>8.9448803125182899E-2</v>
      </c>
      <c r="J2051">
        <v>7.4073529946955194E-2</v>
      </c>
      <c r="K2051">
        <v>5.7066648732691801E-2</v>
      </c>
      <c r="L2051">
        <v>2023.55377806159</v>
      </c>
      <c r="M2051">
        <v>41.8788012458377</v>
      </c>
      <c r="N2051">
        <v>48.568203018705901</v>
      </c>
      <c r="O2051">
        <v>48.209505101538099</v>
      </c>
      <c r="P2051">
        <v>-0.19619658330041601</v>
      </c>
      <c r="Q2051">
        <v>9.6581306936008304E-2</v>
      </c>
      <c r="R2051">
        <v>0.99121041478848204</v>
      </c>
      <c r="S2051" t="s">
        <v>8336</v>
      </c>
      <c r="T2051" t="s">
        <v>12568</v>
      </c>
      <c r="U2051" t="s">
        <v>12568</v>
      </c>
      <c r="V2051" t="s">
        <v>12568</v>
      </c>
      <c r="W2051" t="s">
        <v>14585</v>
      </c>
      <c r="X2051">
        <v>12</v>
      </c>
      <c r="Y2051" t="s">
        <v>20769</v>
      </c>
      <c r="Z2051" t="s">
        <v>26921</v>
      </c>
      <c r="AA2051">
        <v>0.34986289233446599</v>
      </c>
      <c r="AB2051" t="str">
        <f>HYPERLINK("Melting_Curves/meltCurve_P35270_SPR.pdf", "Melting_Curves/meltCurve_P35270_SPR.pdf")</f>
        <v>Melting_Curves/meltCurve_P35270_SPR.pdf</v>
      </c>
    </row>
    <row r="2052" spans="1:28" x14ac:dyDescent="0.25">
      <c r="A2052" t="s">
        <v>2056</v>
      </c>
      <c r="B2052">
        <v>0.99352677808782597</v>
      </c>
      <c r="C2052">
        <v>0.97871110707868003</v>
      </c>
      <c r="D2052">
        <v>0.89068168367724898</v>
      </c>
      <c r="E2052">
        <v>0.57317334597204195</v>
      </c>
      <c r="F2052">
        <v>0.48164671654545599</v>
      </c>
      <c r="G2052">
        <v>0.24002182863155999</v>
      </c>
      <c r="H2052">
        <v>0.16343455545167801</v>
      </c>
      <c r="I2052">
        <v>0.14670832752218699</v>
      </c>
      <c r="J2052">
        <v>0.120159291771962</v>
      </c>
      <c r="K2052">
        <v>8.5323800157541804E-2</v>
      </c>
      <c r="L2052">
        <v>779.44233922142098</v>
      </c>
      <c r="M2052">
        <v>15.2007246689359</v>
      </c>
      <c r="N2052">
        <v>51.952595617579</v>
      </c>
      <c r="O2052">
        <v>50.4137773042738</v>
      </c>
      <c r="P2052">
        <v>-6.8623245463131893E-2</v>
      </c>
      <c r="Q2052">
        <v>8.9720968743313506E-2</v>
      </c>
      <c r="R2052">
        <v>0.99377986093134396</v>
      </c>
      <c r="S2052" t="s">
        <v>8337</v>
      </c>
      <c r="T2052" t="s">
        <v>12568</v>
      </c>
      <c r="U2052" t="s">
        <v>12568</v>
      </c>
      <c r="V2052" t="s">
        <v>12568</v>
      </c>
      <c r="W2052" t="s">
        <v>14586</v>
      </c>
      <c r="X2052">
        <v>10</v>
      </c>
      <c r="Y2052" t="s">
        <v>20770</v>
      </c>
      <c r="Z2052" t="s">
        <v>26922</v>
      </c>
      <c r="AA2052">
        <v>0.45228609910110379</v>
      </c>
      <c r="AB2052" t="str">
        <f>HYPERLINK("Melting_Curves/meltCurve_P35520_CBS.pdf", "Melting_Curves/meltCurve_P35520_CBS.pdf")</f>
        <v>Melting_Curves/meltCurve_P35520_CBS.pdf</v>
      </c>
    </row>
    <row r="2053" spans="1:28" x14ac:dyDescent="0.25">
      <c r="A2053" t="s">
        <v>2057</v>
      </c>
      <c r="B2053">
        <v>0.99352677808782597</v>
      </c>
      <c r="C2053">
        <v>1.11374795448028</v>
      </c>
      <c r="D2053">
        <v>1.0071769749942401</v>
      </c>
      <c r="E2053">
        <v>1.05779225051935</v>
      </c>
      <c r="F2053">
        <v>0.78098864203402696</v>
      </c>
      <c r="G2053">
        <v>0.78655257658387201</v>
      </c>
      <c r="H2053">
        <v>0.81577340714342905</v>
      </c>
      <c r="I2053">
        <v>0.79459082973857498</v>
      </c>
      <c r="J2053">
        <v>0.95560281315318496</v>
      </c>
      <c r="K2053">
        <v>0.736763483787086</v>
      </c>
      <c r="L2053">
        <v>6557.1963208561101</v>
      </c>
      <c r="M2053">
        <v>127.138245288364</v>
      </c>
      <c r="O2053">
        <v>51.562567502100201</v>
      </c>
      <c r="P2053">
        <v>-0.11648428887849301</v>
      </c>
      <c r="Q2053">
        <v>0.81103313624428697</v>
      </c>
      <c r="R2053">
        <v>0.72598364551652095</v>
      </c>
      <c r="S2053" t="s">
        <v>8338</v>
      </c>
      <c r="T2053" t="s">
        <v>12568</v>
      </c>
      <c r="U2053" t="s">
        <v>12568</v>
      </c>
      <c r="V2053" t="s">
        <v>12568</v>
      </c>
      <c r="W2053" t="s">
        <v>14587</v>
      </c>
      <c r="X2053">
        <v>2</v>
      </c>
      <c r="Y2053" t="s">
        <v>20771</v>
      </c>
      <c r="Z2053" t="s">
        <v>26923</v>
      </c>
      <c r="AA2053">
        <v>0.88401107489495723</v>
      </c>
      <c r="AB2053" t="str">
        <f>HYPERLINK("Melting_Curves/meltCurve_P35556_FBN2.pdf", "Melting_Curves/meltCurve_P35556_FBN2.pdf")</f>
        <v>Melting_Curves/meltCurve_P35556_FBN2.pdf</v>
      </c>
    </row>
    <row r="2054" spans="1:28" x14ac:dyDescent="0.25">
      <c r="A2054" t="s">
        <v>2058</v>
      </c>
      <c r="B2054">
        <v>0.99352677808782597</v>
      </c>
      <c r="C2054">
        <v>0.91018071052361904</v>
      </c>
      <c r="D2054">
        <v>0.94508457381054201</v>
      </c>
      <c r="E2054">
        <v>0.75030941218706404</v>
      </c>
      <c r="F2054">
        <v>0.68019266826736102</v>
      </c>
      <c r="G2054">
        <v>0.56998411061097298</v>
      </c>
      <c r="H2054">
        <v>0.58196276794439605</v>
      </c>
      <c r="I2054">
        <v>0.63049694081538499</v>
      </c>
      <c r="J2054">
        <v>0.65217178949996601</v>
      </c>
      <c r="K2054">
        <v>0.53687514316838603</v>
      </c>
      <c r="L2054">
        <v>966.58092309942106</v>
      </c>
      <c r="M2054">
        <v>19.695959767256898</v>
      </c>
      <c r="O2054">
        <v>48.577598991791497</v>
      </c>
      <c r="P2054">
        <v>-4.1697761255505901E-2</v>
      </c>
      <c r="Q2054">
        <v>0.58864519984045205</v>
      </c>
      <c r="R2054">
        <v>0.93682509980904904</v>
      </c>
      <c r="S2054" t="s">
        <v>8339</v>
      </c>
      <c r="T2054" t="s">
        <v>12568</v>
      </c>
      <c r="U2054" t="s">
        <v>12568</v>
      </c>
      <c r="V2054" t="s">
        <v>12568</v>
      </c>
      <c r="W2054" t="s">
        <v>14588</v>
      </c>
      <c r="X2054">
        <v>27</v>
      </c>
      <c r="Y2054" t="s">
        <v>20772</v>
      </c>
      <c r="Z2054" t="s">
        <v>26924</v>
      </c>
      <c r="AA2054">
        <v>0.71902079162520072</v>
      </c>
      <c r="AB2054" t="str">
        <f>HYPERLINK("Melting_Curves/meltCurve_P35568_IRS1.pdf", "Melting_Curves/meltCurve_P35568_IRS1.pdf")</f>
        <v>Melting_Curves/meltCurve_P35568_IRS1.pdf</v>
      </c>
    </row>
    <row r="2055" spans="1:28" x14ac:dyDescent="0.25">
      <c r="A2055" t="s">
        <v>2059</v>
      </c>
      <c r="B2055">
        <v>0.99352677808782597</v>
      </c>
      <c r="C2055">
        <v>0.94201235286484597</v>
      </c>
      <c r="D2055">
        <v>0.85769868637528901</v>
      </c>
      <c r="E2055">
        <v>0.28950767434304803</v>
      </c>
      <c r="F2055">
        <v>0.24704456599529501</v>
      </c>
      <c r="G2055">
        <v>0.15214868198560599</v>
      </c>
      <c r="H2055">
        <v>0.106792553136683</v>
      </c>
      <c r="I2055">
        <v>9.3061254752269104E-2</v>
      </c>
      <c r="J2055">
        <v>7.7246880055054895E-2</v>
      </c>
      <c r="K2055">
        <v>5.5978626357756099E-2</v>
      </c>
      <c r="L2055">
        <v>1372.57733112094</v>
      </c>
      <c r="M2055">
        <v>28.447954032816501</v>
      </c>
      <c r="N2055">
        <v>48.639222697195599</v>
      </c>
      <c r="O2055">
        <v>48.0121897560946</v>
      </c>
      <c r="P2055">
        <v>-0.13300655612104001</v>
      </c>
      <c r="Q2055">
        <v>0.102095771731662</v>
      </c>
      <c r="R2055">
        <v>0.98801656731787202</v>
      </c>
      <c r="S2055" t="s">
        <v>8340</v>
      </c>
      <c r="T2055" t="s">
        <v>12568</v>
      </c>
      <c r="U2055" t="s">
        <v>12568</v>
      </c>
      <c r="V2055" t="s">
        <v>12568</v>
      </c>
      <c r="W2055" t="s">
        <v>14589</v>
      </c>
      <c r="X2055">
        <v>15</v>
      </c>
      <c r="Y2055" t="s">
        <v>20773</v>
      </c>
      <c r="Z2055" t="s">
        <v>26925</v>
      </c>
      <c r="AA2055">
        <v>0.35503195734733239</v>
      </c>
      <c r="AB2055" t="str">
        <f>HYPERLINK("Melting_Curves/meltCurve_P35573_AGL.pdf", "Melting_Curves/meltCurve_P35573_AGL.pdf")</f>
        <v>Melting_Curves/meltCurve_P35573_AGL.pdf</v>
      </c>
    </row>
    <row r="2056" spans="1:28" x14ac:dyDescent="0.25">
      <c r="A2056" t="s">
        <v>2060</v>
      </c>
      <c r="B2056">
        <v>0.99352677808782597</v>
      </c>
      <c r="C2056">
        <v>1.04636332270888</v>
      </c>
      <c r="D2056">
        <v>0.67181433215553299</v>
      </c>
      <c r="E2056">
        <v>0.42586360027661202</v>
      </c>
      <c r="F2056">
        <v>0.332368415158526</v>
      </c>
      <c r="G2056">
        <v>0.14832431849295799</v>
      </c>
      <c r="H2056">
        <v>9.3222742612048604E-2</v>
      </c>
      <c r="I2056">
        <v>8.56148834953354E-2</v>
      </c>
      <c r="J2056">
        <v>7.3164591555697905E-2</v>
      </c>
      <c r="K2056">
        <v>5.4779524491858703E-2</v>
      </c>
      <c r="L2056">
        <v>803.02015541960702</v>
      </c>
      <c r="M2056">
        <v>16.422920344770201</v>
      </c>
      <c r="N2056">
        <v>49.318076317353601</v>
      </c>
      <c r="O2056">
        <v>48.188573156784599</v>
      </c>
      <c r="P2056">
        <v>-7.9624900490585002E-2</v>
      </c>
      <c r="Q2056">
        <v>6.5516072923842594E-2</v>
      </c>
      <c r="R2056">
        <v>0.977949962849612</v>
      </c>
      <c r="S2056" t="s">
        <v>8341</v>
      </c>
      <c r="T2056" t="s">
        <v>12568</v>
      </c>
      <c r="U2056" t="s">
        <v>12568</v>
      </c>
      <c r="V2056" t="s">
        <v>12568</v>
      </c>
      <c r="W2056" t="s">
        <v>14590</v>
      </c>
      <c r="X2056">
        <v>208</v>
      </c>
      <c r="Y2056" t="s">
        <v>20774</v>
      </c>
      <c r="Z2056" t="s">
        <v>26926</v>
      </c>
      <c r="AA2056">
        <v>0.36207941670049709</v>
      </c>
      <c r="AB2056" t="str">
        <f>HYPERLINK("Melting_Curves/meltCurve_P35579_MYH9.pdf", "Melting_Curves/meltCurve_P35579_MYH9.pdf")</f>
        <v>Melting_Curves/meltCurve_P35579_MYH9.pdf</v>
      </c>
    </row>
    <row r="2057" spans="1:28" x14ac:dyDescent="0.25">
      <c r="A2057" t="s">
        <v>2061</v>
      </c>
      <c r="B2057">
        <v>0.99352677808782597</v>
      </c>
      <c r="C2057">
        <v>0.99456714093724596</v>
      </c>
      <c r="D2057">
        <v>0.85881426107950698</v>
      </c>
      <c r="E2057">
        <v>0.83111172502474895</v>
      </c>
      <c r="F2057">
        <v>0.76390790100356598</v>
      </c>
      <c r="G2057">
        <v>0.35781243955692499</v>
      </c>
      <c r="H2057">
        <v>0.18340257538270399</v>
      </c>
      <c r="I2057">
        <v>0.15976969868681601</v>
      </c>
      <c r="J2057">
        <v>0.14131757131634401</v>
      </c>
      <c r="K2057">
        <v>0.109044271814618</v>
      </c>
      <c r="L2057">
        <v>1002.51215012945</v>
      </c>
      <c r="M2057">
        <v>18.278095806860598</v>
      </c>
      <c r="N2057">
        <v>55.441708982131601</v>
      </c>
      <c r="O2057">
        <v>54.203851946995599</v>
      </c>
      <c r="P2057">
        <v>-7.6809925370368307E-2</v>
      </c>
      <c r="Q2057">
        <v>8.8920173501794403E-2</v>
      </c>
      <c r="R2057">
        <v>0.98192880685514505</v>
      </c>
      <c r="S2057" t="s">
        <v>8342</v>
      </c>
      <c r="T2057" t="s">
        <v>12568</v>
      </c>
      <c r="U2057" t="s">
        <v>12568</v>
      </c>
      <c r="V2057" t="s">
        <v>12568</v>
      </c>
      <c r="W2057" t="s">
        <v>14591</v>
      </c>
      <c r="X2057">
        <v>132</v>
      </c>
      <c r="Y2057" t="s">
        <v>20775</v>
      </c>
      <c r="Z2057" t="s">
        <v>26927</v>
      </c>
      <c r="AA2057">
        <v>0.55371764156795011</v>
      </c>
      <c r="AB2057" t="str">
        <f>HYPERLINK("Melting_Curves/meltCurve_P35580_MYH10.pdf", "Melting_Curves/meltCurve_P35580_MYH10.pdf")</f>
        <v>Melting_Curves/meltCurve_P35580_MYH10.pdf</v>
      </c>
    </row>
    <row r="2058" spans="1:28" x14ac:dyDescent="0.25">
      <c r="A2058" t="s">
        <v>2062</v>
      </c>
      <c r="B2058">
        <v>0.99352677808782597</v>
      </c>
      <c r="C2058">
        <v>0.97113851635374304</v>
      </c>
      <c r="D2058">
        <v>0.97762388977217396</v>
      </c>
      <c r="E2058">
        <v>0.98975116282231901</v>
      </c>
      <c r="F2058">
        <v>0.79035721767647904</v>
      </c>
      <c r="G2058">
        <v>0.37268136718062</v>
      </c>
      <c r="H2058">
        <v>0.14003192151648999</v>
      </c>
      <c r="I2058">
        <v>0.11781842129377</v>
      </c>
      <c r="J2058">
        <v>8.3178420425990607E-2</v>
      </c>
      <c r="K2058">
        <v>6.9511873819765896E-2</v>
      </c>
      <c r="L2058">
        <v>1564.0248666033599</v>
      </c>
      <c r="M2058">
        <v>28.2137690799746</v>
      </c>
      <c r="N2058">
        <v>55.774709117331</v>
      </c>
      <c r="O2058">
        <v>55.158539783989497</v>
      </c>
      <c r="P2058">
        <v>-0.117776460855994</v>
      </c>
      <c r="Q2058">
        <v>7.8985067040161797E-2</v>
      </c>
      <c r="R2058">
        <v>0.99827200773883695</v>
      </c>
      <c r="S2058" t="s">
        <v>8343</v>
      </c>
      <c r="T2058" t="s">
        <v>12568</v>
      </c>
      <c r="U2058" t="s">
        <v>12568</v>
      </c>
      <c r="V2058" t="s">
        <v>12568</v>
      </c>
      <c r="W2058" t="s">
        <v>14592</v>
      </c>
      <c r="X2058">
        <v>132</v>
      </c>
      <c r="Y2058" t="s">
        <v>20775</v>
      </c>
      <c r="Z2058" t="s">
        <v>26928</v>
      </c>
      <c r="AA2058">
        <v>0.5597036047692715</v>
      </c>
      <c r="AB2058" t="str">
        <f>HYPERLINK("Melting_Curves/meltCurve_P35580_4_MYH10.pdf", "Melting_Curves/meltCurve_P35580_4_MYH10.pdf")</f>
        <v>Melting_Curves/meltCurve_P35580_4_MYH10.pdf</v>
      </c>
    </row>
    <row r="2059" spans="1:28" x14ac:dyDescent="0.25">
      <c r="A2059" t="s">
        <v>2063</v>
      </c>
      <c r="B2059">
        <v>0.99352677808782597</v>
      </c>
      <c r="C2059">
        <v>0.98445657004425902</v>
      </c>
      <c r="D2059">
        <v>0.99159058893052798</v>
      </c>
      <c r="E2059">
        <v>0.97377967543141097</v>
      </c>
      <c r="F2059">
        <v>0.80027172338049302</v>
      </c>
      <c r="G2059">
        <v>0.44100644823615298</v>
      </c>
      <c r="H2059">
        <v>0.20140136347653401</v>
      </c>
      <c r="I2059">
        <v>0.168804572993494</v>
      </c>
      <c r="J2059">
        <v>0.15821855624181999</v>
      </c>
      <c r="K2059">
        <v>0.11375812764751</v>
      </c>
      <c r="L2059">
        <v>1430.7474452551201</v>
      </c>
      <c r="M2059">
        <v>25.714578601594699</v>
      </c>
      <c r="N2059">
        <v>56.296107947648999</v>
      </c>
      <c r="O2059">
        <v>55.306308640432597</v>
      </c>
      <c r="P2059">
        <v>-0.101179468032604</v>
      </c>
      <c r="Q2059">
        <v>0.129552610754161</v>
      </c>
      <c r="R2059">
        <v>0.99879394210385797</v>
      </c>
      <c r="S2059" t="s">
        <v>8344</v>
      </c>
      <c r="T2059" t="s">
        <v>12568</v>
      </c>
      <c r="U2059" t="s">
        <v>12568</v>
      </c>
      <c r="V2059" t="s">
        <v>12568</v>
      </c>
      <c r="W2059" t="s">
        <v>14593</v>
      </c>
      <c r="X2059">
        <v>28</v>
      </c>
      <c r="Y2059" t="s">
        <v>20776</v>
      </c>
      <c r="Z2059" t="s">
        <v>26929</v>
      </c>
      <c r="AA2059">
        <v>0.59097650806964874</v>
      </c>
      <c r="AB2059" t="str">
        <f>HYPERLINK("Melting_Curves/meltCurve_P35606_COPB2.pdf", "Melting_Curves/meltCurve_P35606_COPB2.pdf")</f>
        <v>Melting_Curves/meltCurve_P35606_COPB2.pdf</v>
      </c>
    </row>
    <row r="2060" spans="1:28" x14ac:dyDescent="0.25">
      <c r="A2060" t="s">
        <v>2064</v>
      </c>
      <c r="B2060">
        <v>0.99352677808782597</v>
      </c>
      <c r="C2060">
        <v>1.10181922735584</v>
      </c>
      <c r="D2060">
        <v>1.27899996513632</v>
      </c>
      <c r="E2060">
        <v>1.60293914595805</v>
      </c>
      <c r="F2060">
        <v>1.84640111457377</v>
      </c>
      <c r="G2060">
        <v>1.7991871270705899</v>
      </c>
      <c r="H2060">
        <v>1.3523529752127299</v>
      </c>
      <c r="I2060">
        <v>1.19762238143554</v>
      </c>
      <c r="J2060">
        <v>0.99854320067861202</v>
      </c>
      <c r="K2060">
        <v>0.86765472433830704</v>
      </c>
      <c r="L2060">
        <v>1.0000000000000001E-5</v>
      </c>
      <c r="M2060">
        <v>0.438113248597155</v>
      </c>
      <c r="Q2060">
        <v>1.5</v>
      </c>
      <c r="R2060">
        <v>-5.3312376735448197E-10</v>
      </c>
      <c r="S2060" t="s">
        <v>8345</v>
      </c>
      <c r="T2060" t="s">
        <v>12568</v>
      </c>
      <c r="U2060" t="s">
        <v>12568</v>
      </c>
      <c r="V2060" t="s">
        <v>12568</v>
      </c>
      <c r="W2060" t="s">
        <v>14594</v>
      </c>
      <c r="X2060">
        <v>25</v>
      </c>
      <c r="Y2060" t="s">
        <v>20777</v>
      </c>
      <c r="Z2060" t="s">
        <v>26930</v>
      </c>
      <c r="AA2060">
        <v>1.303904659737291</v>
      </c>
      <c r="AB2060" t="str">
        <f>HYPERLINK("Melting_Curves/meltCurve_P35611_ADD1.pdf", "Melting_Curves/meltCurve_P35611_ADD1.pdf")</f>
        <v>Melting_Curves/meltCurve_P35611_ADD1.pdf</v>
      </c>
    </row>
    <row r="2061" spans="1:28" x14ac:dyDescent="0.25">
      <c r="A2061" t="s">
        <v>2065</v>
      </c>
      <c r="B2061">
        <v>0.99352677808782597</v>
      </c>
      <c r="C2061">
        <v>1.00415308516003</v>
      </c>
      <c r="D2061">
        <v>0.96142227831256799</v>
      </c>
      <c r="E2061">
        <v>0.76742740699510303</v>
      </c>
      <c r="F2061">
        <v>0.66448471051616897</v>
      </c>
      <c r="G2061">
        <v>0.51704744358908195</v>
      </c>
      <c r="H2061">
        <v>0.51190864044669604</v>
      </c>
      <c r="I2061">
        <v>0.42120254504585702</v>
      </c>
      <c r="J2061">
        <v>0.37755732050047403</v>
      </c>
      <c r="K2061">
        <v>0.240691395279446</v>
      </c>
      <c r="L2061">
        <v>551.30794328307104</v>
      </c>
      <c r="M2061">
        <v>9.9806472495339396</v>
      </c>
      <c r="N2061">
        <v>58.9079831879856</v>
      </c>
      <c r="O2061">
        <v>53.157480137206498</v>
      </c>
      <c r="P2061">
        <v>-3.6089186990923401E-2</v>
      </c>
      <c r="Q2061">
        <v>0.231524513650537</v>
      </c>
      <c r="R2061">
        <v>0.97009798858234597</v>
      </c>
      <c r="S2061" t="s">
        <v>8346</v>
      </c>
      <c r="T2061" t="s">
        <v>12568</v>
      </c>
      <c r="U2061" t="s">
        <v>12568</v>
      </c>
      <c r="V2061" t="s">
        <v>12568</v>
      </c>
      <c r="W2061" t="s">
        <v>14595</v>
      </c>
      <c r="X2061">
        <v>25</v>
      </c>
      <c r="Y2061" t="s">
        <v>20777</v>
      </c>
      <c r="Z2061" t="s">
        <v>26931</v>
      </c>
      <c r="AA2061">
        <v>0.64090477732501916</v>
      </c>
      <c r="AB2061" t="str">
        <f>HYPERLINK("Melting_Curves/meltCurve_P35611_2_ADD1.pdf", "Melting_Curves/meltCurve_P35611_2_ADD1.pdf")</f>
        <v>Melting_Curves/meltCurve_P35611_2_ADD1.pdf</v>
      </c>
    </row>
    <row r="2062" spans="1:28" x14ac:dyDescent="0.25">
      <c r="A2062" t="s">
        <v>2066</v>
      </c>
      <c r="B2062">
        <v>0.99352677808782597</v>
      </c>
      <c r="C2062">
        <v>0.97895027994440897</v>
      </c>
      <c r="D2062">
        <v>0.916095821245968</v>
      </c>
      <c r="E2062">
        <v>0.76571005217181498</v>
      </c>
      <c r="F2062">
        <v>0.67552710683592798</v>
      </c>
      <c r="G2062">
        <v>0.51778900186807197</v>
      </c>
      <c r="H2062">
        <v>0.466344708503377</v>
      </c>
      <c r="I2062">
        <v>0.45964213842289903</v>
      </c>
      <c r="J2062">
        <v>0.42605871122574202</v>
      </c>
      <c r="K2062">
        <v>0.30941796686112699</v>
      </c>
      <c r="L2062">
        <v>612.43797443891503</v>
      </c>
      <c r="M2062">
        <v>11.5301006722999</v>
      </c>
      <c r="N2062">
        <v>58.7535358535862</v>
      </c>
      <c r="O2062">
        <v>51.594051303971902</v>
      </c>
      <c r="P2062">
        <v>-3.7185810135820098E-2</v>
      </c>
      <c r="Q2062">
        <v>0.33460174381167901</v>
      </c>
      <c r="R2062">
        <v>0.98444766911739401</v>
      </c>
      <c r="S2062" t="s">
        <v>8347</v>
      </c>
      <c r="T2062" t="s">
        <v>12568</v>
      </c>
      <c r="U2062" t="s">
        <v>12568</v>
      </c>
      <c r="V2062" t="s">
        <v>12568</v>
      </c>
      <c r="W2062" t="s">
        <v>14596</v>
      </c>
      <c r="X2062">
        <v>23</v>
      </c>
      <c r="Y2062" t="s">
        <v>20778</v>
      </c>
      <c r="Z2062" t="s">
        <v>26932</v>
      </c>
      <c r="AA2062">
        <v>0.64511519862880518</v>
      </c>
      <c r="AB2062" t="str">
        <f>HYPERLINK("Melting_Curves/meltCurve_P35612_ADD2.pdf", "Melting_Curves/meltCurve_P35612_ADD2.pdf")</f>
        <v>Melting_Curves/meltCurve_P35612_ADD2.pdf</v>
      </c>
    </row>
    <row r="2063" spans="1:28" x14ac:dyDescent="0.25">
      <c r="A2063" t="s">
        <v>2067</v>
      </c>
      <c r="B2063">
        <v>0.99352677808782597</v>
      </c>
      <c r="C2063">
        <v>0.96981870792485803</v>
      </c>
      <c r="D2063">
        <v>0.99779086317559795</v>
      </c>
      <c r="E2063">
        <v>1.00079420959393</v>
      </c>
      <c r="F2063">
        <v>0.87412002662896704</v>
      </c>
      <c r="G2063">
        <v>0.78420978415471698</v>
      </c>
      <c r="H2063">
        <v>0.760880376042956</v>
      </c>
      <c r="I2063">
        <v>0.78306361935600399</v>
      </c>
      <c r="J2063">
        <v>0.95968137673632303</v>
      </c>
      <c r="K2063">
        <v>0.65334619524829596</v>
      </c>
      <c r="S2063" t="s">
        <v>8348</v>
      </c>
      <c r="T2063" t="s">
        <v>12568</v>
      </c>
      <c r="U2063" t="s">
        <v>12569</v>
      </c>
      <c r="V2063" t="s">
        <v>12568</v>
      </c>
      <c r="W2063" t="s">
        <v>14597</v>
      </c>
      <c r="X2063">
        <v>13</v>
      </c>
      <c r="Y2063" t="s">
        <v>20779</v>
      </c>
      <c r="Z2063" t="s">
        <v>26933</v>
      </c>
      <c r="AB2063" t="str">
        <f>HYPERLINK("Melting_Curves/meltCurve_P35637_2_FUS.pdf", "Melting_Curves/meltCurve_P35637_2_FUS.pdf")</f>
        <v>Melting_Curves/meltCurve_P35637_2_FUS.pdf</v>
      </c>
    </row>
    <row r="2064" spans="1:28" x14ac:dyDescent="0.25">
      <c r="A2064" t="s">
        <v>2068</v>
      </c>
      <c r="B2064">
        <v>0.99352677808782597</v>
      </c>
      <c r="C2064">
        <v>0.97721586767635604</v>
      </c>
      <c r="D2064">
        <v>0.93411835727470804</v>
      </c>
      <c r="E2064">
        <v>0.57875014411121695</v>
      </c>
      <c r="F2064">
        <v>0.47171792318897299</v>
      </c>
      <c r="G2064">
        <v>0.32333566426608601</v>
      </c>
      <c r="H2064">
        <v>0.23253641166539901</v>
      </c>
      <c r="I2064">
        <v>0.231570952387469</v>
      </c>
      <c r="J2064">
        <v>0.214979281620132</v>
      </c>
      <c r="K2064">
        <v>0.18308612940350499</v>
      </c>
      <c r="L2064">
        <v>906.32509777781104</v>
      </c>
      <c r="M2064">
        <v>17.941128935212902</v>
      </c>
      <c r="N2064">
        <v>52.043732451236302</v>
      </c>
      <c r="O2064">
        <v>49.9015526280118</v>
      </c>
      <c r="P2064">
        <v>-7.1491740538268497E-2</v>
      </c>
      <c r="Q2064">
        <v>0.204649707272406</v>
      </c>
      <c r="R2064">
        <v>0.99154374587550997</v>
      </c>
      <c r="S2064" t="s">
        <v>8349</v>
      </c>
      <c r="T2064" t="s">
        <v>12568</v>
      </c>
      <c r="U2064" t="s">
        <v>12568</v>
      </c>
      <c r="V2064" t="s">
        <v>12568</v>
      </c>
      <c r="W2064" t="s">
        <v>14598</v>
      </c>
      <c r="X2064">
        <v>35</v>
      </c>
      <c r="Y2064" t="s">
        <v>20780</v>
      </c>
      <c r="Z2064" t="s">
        <v>26934</v>
      </c>
      <c r="AA2064">
        <v>0.49702176180781998</v>
      </c>
      <c r="AB2064" t="str">
        <f>HYPERLINK("Melting_Curves/meltCurve_P35658_4_NUP214.pdf", "Melting_Curves/meltCurve_P35658_4_NUP214.pdf")</f>
        <v>Melting_Curves/meltCurve_P35658_4_NUP214.pdf</v>
      </c>
    </row>
    <row r="2065" spans="1:28" x14ac:dyDescent="0.25">
      <c r="A2065" t="s">
        <v>2069</v>
      </c>
      <c r="B2065">
        <v>0.99352677808782597</v>
      </c>
      <c r="C2065">
        <v>0.95580680805773399</v>
      </c>
      <c r="D2065">
        <v>0.94075431203902604</v>
      </c>
      <c r="E2065">
        <v>0.57738185160993105</v>
      </c>
      <c r="F2065">
        <v>0.48187321795566501</v>
      </c>
      <c r="G2065">
        <v>0.405087894830643</v>
      </c>
      <c r="H2065">
        <v>0.31295136997651302</v>
      </c>
      <c r="I2065">
        <v>0.309985217407727</v>
      </c>
      <c r="J2065">
        <v>0.33769326595669003</v>
      </c>
      <c r="K2065">
        <v>0.27970095697772601</v>
      </c>
      <c r="L2065">
        <v>1041.93673813689</v>
      </c>
      <c r="M2065">
        <v>21.006971530861801</v>
      </c>
      <c r="N2065">
        <v>52.069288862928701</v>
      </c>
      <c r="O2065">
        <v>49.156650008850001</v>
      </c>
      <c r="P2065">
        <v>-7.3142995459925197E-2</v>
      </c>
      <c r="Q2065">
        <v>0.31539507182554899</v>
      </c>
      <c r="R2065">
        <v>0.98606084617530998</v>
      </c>
      <c r="S2065" t="s">
        <v>8350</v>
      </c>
      <c r="T2065" t="s">
        <v>12568</v>
      </c>
      <c r="U2065" t="s">
        <v>12568</v>
      </c>
      <c r="V2065" t="s">
        <v>12568</v>
      </c>
      <c r="W2065" t="s">
        <v>14599</v>
      </c>
      <c r="X2065">
        <v>15</v>
      </c>
      <c r="Y2065" t="s">
        <v>20781</v>
      </c>
      <c r="Z2065" t="s">
        <v>26935</v>
      </c>
      <c r="AA2065">
        <v>0.54311727575811963</v>
      </c>
      <c r="AB2065" t="str">
        <f>HYPERLINK("Melting_Curves/meltCurve_P35659_DEK.pdf", "Melting_Curves/meltCurve_P35659_DEK.pdf")</f>
        <v>Melting_Curves/meltCurve_P35659_DEK.pdf</v>
      </c>
    </row>
    <row r="2066" spans="1:28" x14ac:dyDescent="0.25">
      <c r="A2066" t="s">
        <v>2070</v>
      </c>
      <c r="B2066">
        <v>0.99352677808782597</v>
      </c>
      <c r="C2066">
        <v>0.93983308745910099</v>
      </c>
      <c r="D2066">
        <v>0.89707002753859999</v>
      </c>
      <c r="E2066">
        <v>0.84138304945738696</v>
      </c>
      <c r="F2066">
        <v>1.00266119941512</v>
      </c>
      <c r="G2066">
        <v>0.64931252348521995</v>
      </c>
      <c r="H2066">
        <v>0.61365728871478598</v>
      </c>
      <c r="I2066">
        <v>0.861551923044926</v>
      </c>
      <c r="J2066">
        <v>0.840810002815502</v>
      </c>
      <c r="K2066">
        <v>0.59109245339829297</v>
      </c>
      <c r="L2066">
        <v>432.14628383853</v>
      </c>
      <c r="M2066">
        <v>8.1509591984859107</v>
      </c>
      <c r="O2066">
        <v>50.113173473498101</v>
      </c>
      <c r="P2066">
        <v>-1.3810643276918E-2</v>
      </c>
      <c r="Q2066">
        <v>0.66071925818036004</v>
      </c>
      <c r="R2066">
        <v>0.45756120355291202</v>
      </c>
      <c r="S2066" t="s">
        <v>8351</v>
      </c>
      <c r="T2066" t="s">
        <v>12568</v>
      </c>
      <c r="U2066" t="s">
        <v>12568</v>
      </c>
      <c r="V2066" t="s">
        <v>12568</v>
      </c>
      <c r="W2066" t="s">
        <v>14600</v>
      </c>
      <c r="X2066">
        <v>31</v>
      </c>
      <c r="Y2066" t="s">
        <v>20782</v>
      </c>
      <c r="Z2066" t="s">
        <v>26936</v>
      </c>
      <c r="AA2066">
        <v>0.82154688850602287</v>
      </c>
      <c r="AB2066" t="str">
        <f>HYPERLINK("Melting_Curves/meltCurve_P35749_4_MYH11.pdf", "Melting_Curves/meltCurve_P35749_4_MYH11.pdf")</f>
        <v>Melting_Curves/meltCurve_P35749_4_MYH11.pdf</v>
      </c>
    </row>
    <row r="2067" spans="1:28" x14ac:dyDescent="0.25">
      <c r="A2067" t="s">
        <v>2071</v>
      </c>
      <c r="B2067">
        <v>0.99352677808782597</v>
      </c>
      <c r="C2067">
        <v>0.94477715088872305</v>
      </c>
      <c r="D2067">
        <v>0.99857141858099396</v>
      </c>
      <c r="E2067">
        <v>0.95158635873025799</v>
      </c>
      <c r="F2067">
        <v>0.88068589186155699</v>
      </c>
      <c r="G2067">
        <v>0.88697157234684498</v>
      </c>
      <c r="H2067">
        <v>0.71378001623757104</v>
      </c>
      <c r="I2067">
        <v>0.75401070787088598</v>
      </c>
      <c r="J2067">
        <v>0.75360832970046798</v>
      </c>
      <c r="K2067">
        <v>0.61064198621435595</v>
      </c>
      <c r="L2067">
        <v>399.60028951792299</v>
      </c>
      <c r="M2067">
        <v>5.6669324323927599</v>
      </c>
      <c r="O2067">
        <v>63.206840658134603</v>
      </c>
      <c r="P2067">
        <v>-1.6310811776129301E-2</v>
      </c>
      <c r="Q2067">
        <v>0.27517553695153302</v>
      </c>
      <c r="R2067">
        <v>0.90297536923785604</v>
      </c>
      <c r="S2067" t="s">
        <v>8352</v>
      </c>
      <c r="T2067" t="s">
        <v>12568</v>
      </c>
      <c r="U2067" t="s">
        <v>12568</v>
      </c>
      <c r="V2067" t="s">
        <v>12568</v>
      </c>
      <c r="W2067" t="s">
        <v>14601</v>
      </c>
      <c r="X2067">
        <v>5</v>
      </c>
      <c r="Y2067" t="s">
        <v>20783</v>
      </c>
      <c r="Z2067" t="s">
        <v>26937</v>
      </c>
      <c r="AA2067">
        <v>0.85594379880683169</v>
      </c>
      <c r="AB2067" t="str">
        <f>HYPERLINK("Melting_Curves/meltCurve_P35754_GLRX.pdf", "Melting_Curves/meltCurve_P35754_GLRX.pdf")</f>
        <v>Melting_Curves/meltCurve_P35754_GLRX.pdf</v>
      </c>
    </row>
    <row r="2068" spans="1:28" x14ac:dyDescent="0.25">
      <c r="A2068" t="s">
        <v>2072</v>
      </c>
      <c r="B2068">
        <v>0.99352677808782597</v>
      </c>
      <c r="C2068">
        <v>0.96911931658311401</v>
      </c>
      <c r="D2068">
        <v>0.934455201583685</v>
      </c>
      <c r="E2068">
        <v>0.53167580505176704</v>
      </c>
      <c r="F2068">
        <v>0.43548529909535699</v>
      </c>
      <c r="G2068">
        <v>0.23342749852244099</v>
      </c>
      <c r="H2068">
        <v>0.125027682432963</v>
      </c>
      <c r="I2068">
        <v>0.10628861976682</v>
      </c>
      <c r="J2068">
        <v>9.4266927204974399E-2</v>
      </c>
      <c r="K2068">
        <v>6.7174437950518903E-2</v>
      </c>
      <c r="L2068">
        <v>848.77472735725701</v>
      </c>
      <c r="M2068">
        <v>16.649549716404302</v>
      </c>
      <c r="N2068">
        <v>51.4828402896703</v>
      </c>
      <c r="O2068">
        <v>50.260456730868398</v>
      </c>
      <c r="P2068">
        <v>-7.6593562838589493E-2</v>
      </c>
      <c r="Q2068">
        <v>7.5201737343217306E-2</v>
      </c>
      <c r="R2068">
        <v>0.99014284484531301</v>
      </c>
      <c r="S2068" t="s">
        <v>8353</v>
      </c>
      <c r="T2068" t="s">
        <v>12568</v>
      </c>
      <c r="U2068" t="s">
        <v>12568</v>
      </c>
      <c r="V2068" t="s">
        <v>12568</v>
      </c>
      <c r="W2068" t="s">
        <v>14602</v>
      </c>
      <c r="X2068">
        <v>7</v>
      </c>
      <c r="Y2068" t="s">
        <v>20784</v>
      </c>
      <c r="Z2068" t="s">
        <v>26938</v>
      </c>
      <c r="AA2068">
        <v>0.43154452674452709</v>
      </c>
      <c r="AB2068" t="str">
        <f>HYPERLINK("Melting_Curves/meltCurve_P35790_2_CHKA.pdf", "Melting_Curves/meltCurve_P35790_2_CHKA.pdf")</f>
        <v>Melting_Curves/meltCurve_P35790_2_CHKA.pdf</v>
      </c>
    </row>
    <row r="2069" spans="1:28" x14ac:dyDescent="0.25">
      <c r="A2069" t="s">
        <v>2073</v>
      </c>
      <c r="B2069">
        <v>0.99352677808782597</v>
      </c>
      <c r="C2069">
        <v>0.94585841037279295</v>
      </c>
      <c r="D2069">
        <v>0.94070870090091496</v>
      </c>
      <c r="E2069">
        <v>0.35635360419633799</v>
      </c>
      <c r="F2069">
        <v>0.27120682249637001</v>
      </c>
      <c r="G2069">
        <v>0.17359004714579099</v>
      </c>
      <c r="H2069">
        <v>0.12963975356310001</v>
      </c>
      <c r="I2069">
        <v>0.12589890413825</v>
      </c>
      <c r="J2069">
        <v>0.11209251716586199</v>
      </c>
      <c r="K2069">
        <v>8.8536375839364606E-2</v>
      </c>
      <c r="L2069">
        <v>1630.3671271338701</v>
      </c>
      <c r="M2069">
        <v>33.426409803082201</v>
      </c>
      <c r="N2069">
        <v>49.2353779431972</v>
      </c>
      <c r="O2069">
        <v>48.601257996484897</v>
      </c>
      <c r="P2069">
        <v>-0.148858245648366</v>
      </c>
      <c r="Q2069">
        <v>0.13425760899699599</v>
      </c>
      <c r="R2069">
        <v>0.988072599872444</v>
      </c>
      <c r="S2069" t="s">
        <v>8354</v>
      </c>
      <c r="T2069" t="s">
        <v>12568</v>
      </c>
      <c r="U2069" t="s">
        <v>12568</v>
      </c>
      <c r="V2069" t="s">
        <v>12568</v>
      </c>
      <c r="W2069" t="s">
        <v>14603</v>
      </c>
      <c r="X2069">
        <v>17</v>
      </c>
      <c r="Y2069" t="s">
        <v>20785</v>
      </c>
      <c r="Z2069" t="s">
        <v>26939</v>
      </c>
      <c r="AA2069">
        <v>0.39169311755105368</v>
      </c>
      <c r="AB2069" t="str">
        <f>HYPERLINK("Melting_Curves/meltCurve_P35813_PPM1A.pdf", "Melting_Curves/meltCurve_P35813_PPM1A.pdf")</f>
        <v>Melting_Curves/meltCurve_P35813_PPM1A.pdf</v>
      </c>
    </row>
    <row r="2070" spans="1:28" x14ac:dyDescent="0.25">
      <c r="A2070" t="s">
        <v>2074</v>
      </c>
      <c r="B2070">
        <v>0.99352677808782597</v>
      </c>
      <c r="C2070">
        <v>0.91833209778858904</v>
      </c>
      <c r="D2070">
        <v>1.1984201550956</v>
      </c>
      <c r="E2070">
        <v>0.78992151984565295</v>
      </c>
      <c r="F2070">
        <v>0.90725937156904102</v>
      </c>
      <c r="G2070">
        <v>0.56797151593184003</v>
      </c>
      <c r="H2070">
        <v>0.62343904543940698</v>
      </c>
      <c r="I2070">
        <v>0.60624921757746797</v>
      </c>
      <c r="J2070">
        <v>0.49094627884234399</v>
      </c>
      <c r="K2070">
        <v>0.39668332193650901</v>
      </c>
      <c r="L2070">
        <v>807.83195726297902</v>
      </c>
      <c r="M2070">
        <v>14.493589833263201</v>
      </c>
      <c r="N2070">
        <v>65.761832531558397</v>
      </c>
      <c r="O2070">
        <v>54.7083617346591</v>
      </c>
      <c r="P2070">
        <v>-3.67548828146297E-2</v>
      </c>
      <c r="Q2070">
        <v>0.44511562159655599</v>
      </c>
      <c r="R2070">
        <v>0.81623549687849095</v>
      </c>
      <c r="S2070" t="s">
        <v>8355</v>
      </c>
      <c r="T2070" t="s">
        <v>12568</v>
      </c>
      <c r="U2070" t="s">
        <v>12568</v>
      </c>
      <c r="V2070" t="s">
        <v>12568</v>
      </c>
      <c r="W2070" t="s">
        <v>14604</v>
      </c>
      <c r="X2070">
        <v>1</v>
      </c>
      <c r="Y2070" t="s">
        <v>20786</v>
      </c>
      <c r="Z2070" t="s">
        <v>26940</v>
      </c>
      <c r="AA2070">
        <v>0.74658975092389501</v>
      </c>
      <c r="AB2070" t="str">
        <f>HYPERLINK("Melting_Curves/meltCurve_P35869_AHR.pdf", "Melting_Curves/meltCurve_P35869_AHR.pdf")</f>
        <v>Melting_Curves/meltCurve_P35869_AHR.pdf</v>
      </c>
    </row>
    <row r="2071" spans="1:28" x14ac:dyDescent="0.25">
      <c r="A2071" t="s">
        <v>2075</v>
      </c>
      <c r="B2071">
        <v>0.99352677808782597</v>
      </c>
      <c r="C2071">
        <v>1.01163471415606</v>
      </c>
      <c r="D2071">
        <v>0.80639664989252802</v>
      </c>
      <c r="E2071">
        <v>1.00513953961703</v>
      </c>
      <c r="F2071">
        <v>0.76928805295750202</v>
      </c>
      <c r="G2071">
        <v>0.405812359413597</v>
      </c>
      <c r="H2071">
        <v>0.17197616060588899</v>
      </c>
      <c r="I2071">
        <v>0.14361195436586299</v>
      </c>
      <c r="J2071">
        <v>0.12634815130947999</v>
      </c>
      <c r="K2071">
        <v>9.0497076571167498E-2</v>
      </c>
      <c r="L2071">
        <v>1405.6305767144599</v>
      </c>
      <c r="M2071">
        <v>25.3595614760223</v>
      </c>
      <c r="N2071">
        <v>55.933713827956602</v>
      </c>
      <c r="O2071">
        <v>55.086804350352701</v>
      </c>
      <c r="P2071">
        <v>-0.10330038915688</v>
      </c>
      <c r="Q2071">
        <v>0.102442394760588</v>
      </c>
      <c r="R2071">
        <v>0.97223072412640599</v>
      </c>
      <c r="S2071" t="s">
        <v>8356</v>
      </c>
      <c r="T2071" t="s">
        <v>12568</v>
      </c>
      <c r="U2071" t="s">
        <v>12568</v>
      </c>
      <c r="V2071" t="s">
        <v>12568</v>
      </c>
      <c r="W2071" t="s">
        <v>14605</v>
      </c>
      <c r="X2071">
        <v>32</v>
      </c>
      <c r="Y2071" t="s">
        <v>20787</v>
      </c>
      <c r="Z2071" t="s">
        <v>26941</v>
      </c>
      <c r="AA2071">
        <v>0.57211130060999571</v>
      </c>
      <c r="AB2071" t="str">
        <f>HYPERLINK("Melting_Curves/meltCurve_P35998_PSMC2.pdf", "Melting_Curves/meltCurve_P35998_PSMC2.pdf")</f>
        <v>Melting_Curves/meltCurve_P35998_PSMC2.pdf</v>
      </c>
    </row>
    <row r="2072" spans="1:28" x14ac:dyDescent="0.25">
      <c r="A2072" t="s">
        <v>2076</v>
      </c>
      <c r="B2072">
        <v>0.99352677808782597</v>
      </c>
      <c r="C2072">
        <v>0.93709704517942205</v>
      </c>
      <c r="D2072">
        <v>1.0144587475684199</v>
      </c>
      <c r="E2072">
        <v>0.49047807545109101</v>
      </c>
      <c r="F2072">
        <v>0.395216186753164</v>
      </c>
      <c r="G2072">
        <v>0.15228915924820799</v>
      </c>
      <c r="H2072">
        <v>9.8240918390533893E-2</v>
      </c>
      <c r="I2072">
        <v>8.9024141574967505E-2</v>
      </c>
      <c r="J2072">
        <v>8.0784218304382802E-2</v>
      </c>
      <c r="K2072">
        <v>6.1184802868080999E-2</v>
      </c>
      <c r="L2072">
        <v>1093.03547016365</v>
      </c>
      <c r="M2072">
        <v>21.6463132722415</v>
      </c>
      <c r="N2072">
        <v>50.897435459001798</v>
      </c>
      <c r="O2072">
        <v>50.070196300458903</v>
      </c>
      <c r="P2072">
        <v>-9.9585706564656706E-2</v>
      </c>
      <c r="Q2072">
        <v>7.8613154253202297E-2</v>
      </c>
      <c r="R2072">
        <v>0.97967738300223495</v>
      </c>
      <c r="S2072" t="s">
        <v>8357</v>
      </c>
      <c r="T2072" t="s">
        <v>12568</v>
      </c>
      <c r="U2072" t="s">
        <v>12568</v>
      </c>
      <c r="V2072" t="s">
        <v>12568</v>
      </c>
      <c r="W2072" t="s">
        <v>14606</v>
      </c>
      <c r="X2072">
        <v>11</v>
      </c>
      <c r="Y2072" t="s">
        <v>20788</v>
      </c>
      <c r="Z2072" t="s">
        <v>26942</v>
      </c>
      <c r="AA2072">
        <v>0.41194565926614107</v>
      </c>
      <c r="AB2072" t="str">
        <f>HYPERLINK("Melting_Curves/meltCurve_P36404_ARL2.pdf", "Melting_Curves/meltCurve_P36404_ARL2.pdf")</f>
        <v>Melting_Curves/meltCurve_P36404_ARL2.pdf</v>
      </c>
    </row>
    <row r="2073" spans="1:28" x14ac:dyDescent="0.25">
      <c r="A2073" t="s">
        <v>2077</v>
      </c>
      <c r="B2073">
        <v>0.99352677808782597</v>
      </c>
      <c r="C2073">
        <v>1.0189808843288499</v>
      </c>
      <c r="D2073">
        <v>1.00672318036988</v>
      </c>
      <c r="E2073">
        <v>0.87709114836880897</v>
      </c>
      <c r="F2073">
        <v>0.82609120319359497</v>
      </c>
      <c r="G2073">
        <v>0.68023112081404902</v>
      </c>
      <c r="H2073">
        <v>0.37258461161189599</v>
      </c>
      <c r="I2073">
        <v>0.25788572195072401</v>
      </c>
      <c r="J2073">
        <v>0.190719498721203</v>
      </c>
      <c r="K2073">
        <v>0.13140087898341801</v>
      </c>
      <c r="L2073">
        <v>830.82850228978202</v>
      </c>
      <c r="M2073">
        <v>14.093529272425499</v>
      </c>
      <c r="N2073">
        <v>59.216602717140802</v>
      </c>
      <c r="O2073">
        <v>57.802259767725197</v>
      </c>
      <c r="P2073">
        <v>-5.9096845078592398E-2</v>
      </c>
      <c r="Q2073">
        <v>3.06215788680257E-2</v>
      </c>
      <c r="R2073">
        <v>0.99352515762942295</v>
      </c>
      <c r="S2073" t="s">
        <v>8358</v>
      </c>
      <c r="T2073" t="s">
        <v>12568</v>
      </c>
      <c r="U2073" t="s">
        <v>12568</v>
      </c>
      <c r="V2073" t="s">
        <v>12568</v>
      </c>
      <c r="W2073" t="s">
        <v>14607</v>
      </c>
      <c r="X2073">
        <v>15</v>
      </c>
      <c r="Y2073" t="s">
        <v>20789</v>
      </c>
      <c r="Z2073" t="s">
        <v>26943</v>
      </c>
      <c r="AA2073">
        <v>0.65291921254370255</v>
      </c>
      <c r="AB2073" t="str">
        <f>HYPERLINK("Melting_Curves/meltCurve_P36405_ARL3.pdf", "Melting_Curves/meltCurve_P36405_ARL3.pdf")</f>
        <v>Melting_Curves/meltCurve_P36405_ARL3.pdf</v>
      </c>
    </row>
    <row r="2074" spans="1:28" x14ac:dyDescent="0.25">
      <c r="A2074" t="s">
        <v>2078</v>
      </c>
      <c r="B2074">
        <v>0.99352677808782597</v>
      </c>
      <c r="C2074">
        <v>0.89935391319762703</v>
      </c>
      <c r="D2074">
        <v>0.95383699906198705</v>
      </c>
      <c r="E2074">
        <v>0.342260451444095</v>
      </c>
      <c r="F2074">
        <v>0.25949132282033799</v>
      </c>
      <c r="G2074">
        <v>0.130013074169122</v>
      </c>
      <c r="H2074">
        <v>8.3152826984020697E-2</v>
      </c>
      <c r="I2074">
        <v>7.1320012127141993E-2</v>
      </c>
      <c r="J2074">
        <v>5.8694654158514097E-2</v>
      </c>
      <c r="K2074">
        <v>4.7481733482903597E-2</v>
      </c>
      <c r="L2074">
        <v>1448.8153831212201</v>
      </c>
      <c r="M2074">
        <v>29.581782693328499</v>
      </c>
      <c r="N2074">
        <v>49.281284594845197</v>
      </c>
      <c r="O2074">
        <v>48.754440771125402</v>
      </c>
      <c r="P2074">
        <v>-0.13901258085236001</v>
      </c>
      <c r="Q2074">
        <v>8.3566790259561805E-2</v>
      </c>
      <c r="R2074">
        <v>0.98077870499172204</v>
      </c>
      <c r="S2074" t="s">
        <v>8359</v>
      </c>
      <c r="T2074" t="s">
        <v>12568</v>
      </c>
      <c r="U2074" t="s">
        <v>12568</v>
      </c>
      <c r="V2074" t="s">
        <v>12568</v>
      </c>
      <c r="W2074" t="s">
        <v>14608</v>
      </c>
      <c r="X2074">
        <v>16</v>
      </c>
      <c r="Y2074" t="s">
        <v>20790</v>
      </c>
      <c r="Z2074" t="s">
        <v>26944</v>
      </c>
      <c r="AA2074">
        <v>0.36352500723813452</v>
      </c>
      <c r="AB2074" t="str">
        <f>HYPERLINK("Melting_Curves/meltCurve_P36507_MAP2K2.pdf", "Melting_Curves/meltCurve_P36507_MAP2K2.pdf")</f>
        <v>Melting_Curves/meltCurve_P36507_MAP2K2.pdf</v>
      </c>
    </row>
    <row r="2075" spans="1:28" x14ac:dyDescent="0.25">
      <c r="A2075" t="s">
        <v>2079</v>
      </c>
      <c r="B2075">
        <v>0.99352677808782597</v>
      </c>
      <c r="C2075">
        <v>0.65052150617350302</v>
      </c>
      <c r="D2075">
        <v>1.03344259496399</v>
      </c>
      <c r="E2075">
        <v>0.56952508836156102</v>
      </c>
      <c r="F2075">
        <v>0.44852366436991098</v>
      </c>
      <c r="G2075">
        <v>0.21398470966962899</v>
      </c>
      <c r="H2075">
        <v>0.124290825235782</v>
      </c>
      <c r="I2075">
        <v>0.102370554360522</v>
      </c>
      <c r="J2075">
        <v>9.8763106159697203E-2</v>
      </c>
      <c r="K2075">
        <v>7.67029461684888E-2</v>
      </c>
      <c r="L2075">
        <v>684.42008166113101</v>
      </c>
      <c r="M2075">
        <v>13.2986700451477</v>
      </c>
      <c r="N2075">
        <v>51.7632883450298</v>
      </c>
      <c r="O2075">
        <v>50.343345906663899</v>
      </c>
      <c r="P2075">
        <v>-6.3616600025521206E-2</v>
      </c>
      <c r="Q2075">
        <v>3.6849639420480203E-2</v>
      </c>
      <c r="R2075">
        <v>0.89824930042783002</v>
      </c>
      <c r="S2075" t="s">
        <v>8360</v>
      </c>
      <c r="T2075" t="s">
        <v>12568</v>
      </c>
      <c r="U2075" t="s">
        <v>12568</v>
      </c>
      <c r="V2075" t="s">
        <v>12568</v>
      </c>
      <c r="W2075" t="s">
        <v>14609</v>
      </c>
      <c r="X2075">
        <v>11</v>
      </c>
      <c r="Y2075" t="s">
        <v>20791</v>
      </c>
      <c r="Z2075" t="s">
        <v>26945</v>
      </c>
      <c r="AA2075">
        <v>0.43132028968928687</v>
      </c>
      <c r="AB2075" t="str">
        <f>HYPERLINK("Melting_Curves/meltCurve_P36543_ATP6V1E1.pdf", "Melting_Curves/meltCurve_P36543_ATP6V1E1.pdf")</f>
        <v>Melting_Curves/meltCurve_P36543_ATP6V1E1.pdf</v>
      </c>
    </row>
    <row r="2076" spans="1:28" x14ac:dyDescent="0.25">
      <c r="A2076" t="s">
        <v>2080</v>
      </c>
      <c r="B2076">
        <v>0.99352677808782597</v>
      </c>
      <c r="C2076">
        <v>0.99858127877224601</v>
      </c>
      <c r="D2076">
        <v>0.97202393435373402</v>
      </c>
      <c r="E2076">
        <v>0.852936109051595</v>
      </c>
      <c r="F2076">
        <v>0.74096974926806702</v>
      </c>
      <c r="G2076">
        <v>0.55782681055147298</v>
      </c>
      <c r="H2076">
        <v>0.361104458917065</v>
      </c>
      <c r="I2076">
        <v>0.201432617081342</v>
      </c>
      <c r="J2076">
        <v>0.136336896738187</v>
      </c>
      <c r="K2076">
        <v>0.10889834517465299</v>
      </c>
      <c r="L2076">
        <v>720.05781947309003</v>
      </c>
      <c r="M2076">
        <v>12.4734708839873</v>
      </c>
      <c r="N2076">
        <v>57.7271578890306</v>
      </c>
      <c r="O2076">
        <v>56.303643893631097</v>
      </c>
      <c r="P2076">
        <v>-5.53963206608373E-2</v>
      </c>
      <c r="Q2076">
        <v>0</v>
      </c>
      <c r="R2076">
        <v>0.99783546260024503</v>
      </c>
      <c r="S2076" t="s">
        <v>8361</v>
      </c>
      <c r="T2076" t="s">
        <v>12568</v>
      </c>
      <c r="U2076" t="s">
        <v>12568</v>
      </c>
      <c r="V2076" t="s">
        <v>12568</v>
      </c>
      <c r="W2076" t="s">
        <v>14610</v>
      </c>
      <c r="X2076">
        <v>20</v>
      </c>
      <c r="Y2076" t="s">
        <v>20792</v>
      </c>
      <c r="Z2076" t="s">
        <v>26946</v>
      </c>
      <c r="AA2076">
        <v>0.60502667729482262</v>
      </c>
      <c r="AB2076" t="str">
        <f>HYPERLINK("Melting_Curves/meltCurve_P36551_CPOX.pdf", "Melting_Curves/meltCurve_P36551_CPOX.pdf")</f>
        <v>Melting_Curves/meltCurve_P36551_CPOX.pdf</v>
      </c>
    </row>
    <row r="2077" spans="1:28" x14ac:dyDescent="0.25">
      <c r="A2077" t="s">
        <v>2081</v>
      </c>
      <c r="B2077">
        <v>0.99352677808782597</v>
      </c>
      <c r="C2077">
        <v>0.92233513827977798</v>
      </c>
      <c r="D2077">
        <v>1.7709608091207301</v>
      </c>
      <c r="E2077">
        <v>0.74123018801386997</v>
      </c>
      <c r="F2077">
        <v>0.66002816608910997</v>
      </c>
      <c r="G2077">
        <v>0.35956879382850898</v>
      </c>
      <c r="H2077">
        <v>0.21337552309239299</v>
      </c>
      <c r="I2077">
        <v>0.215707679536872</v>
      </c>
      <c r="J2077">
        <v>0.17726252751868901</v>
      </c>
      <c r="K2077">
        <v>0.15569074755825299</v>
      </c>
      <c r="L2077">
        <v>1430.0030534710099</v>
      </c>
      <c r="M2077">
        <v>26.699797156322099</v>
      </c>
      <c r="N2077">
        <v>54.505525502490102</v>
      </c>
      <c r="O2077">
        <v>53.260844575913097</v>
      </c>
      <c r="P2077">
        <v>-0.102069154479416</v>
      </c>
      <c r="Q2077">
        <v>0.18557702813006199</v>
      </c>
      <c r="R2077">
        <v>0.73014511350115496</v>
      </c>
      <c r="S2077" t="s">
        <v>8362</v>
      </c>
      <c r="T2077" t="s">
        <v>12568</v>
      </c>
      <c r="U2077" t="s">
        <v>12568</v>
      </c>
      <c r="V2077" t="s">
        <v>12568</v>
      </c>
      <c r="W2077" t="s">
        <v>14611</v>
      </c>
      <c r="X2077">
        <v>15</v>
      </c>
      <c r="Y2077" t="s">
        <v>20793</v>
      </c>
      <c r="Z2077" t="s">
        <v>26947</v>
      </c>
      <c r="AA2077">
        <v>0.56031106357597404</v>
      </c>
      <c r="AB2077" t="str">
        <f>HYPERLINK("Melting_Curves/meltCurve_P36578_RPL4.pdf", "Melting_Curves/meltCurve_P36578_RPL4.pdf")</f>
        <v>Melting_Curves/meltCurve_P36578_RPL4.pdf</v>
      </c>
    </row>
    <row r="2078" spans="1:28" x14ac:dyDescent="0.25">
      <c r="A2078" t="s">
        <v>2082</v>
      </c>
      <c r="B2078">
        <v>0.99352677808782597</v>
      </c>
      <c r="C2078">
        <v>0.94616563741929904</v>
      </c>
      <c r="D2078">
        <v>1.0477916624186201</v>
      </c>
      <c r="E2078">
        <v>0.86732747886133998</v>
      </c>
      <c r="F2078">
        <v>0.80381304319302704</v>
      </c>
      <c r="G2078">
        <v>0.44469692625033203</v>
      </c>
      <c r="H2078">
        <v>0.138655913455353</v>
      </c>
      <c r="I2078">
        <v>0.100834774090379</v>
      </c>
      <c r="J2078">
        <v>7.5917057844266195E-2</v>
      </c>
      <c r="K2078">
        <v>6.3936368456205095E-2</v>
      </c>
      <c r="L2078">
        <v>1227.17849503512</v>
      </c>
      <c r="M2078">
        <v>21.926635117116199</v>
      </c>
      <c r="N2078">
        <v>56.189717769362296</v>
      </c>
      <c r="O2078">
        <v>55.508193811603</v>
      </c>
      <c r="P2078">
        <v>-9.4654460413992406E-2</v>
      </c>
      <c r="Q2078">
        <v>4.1534794928491603E-2</v>
      </c>
      <c r="R2078">
        <v>0.99199461440647296</v>
      </c>
      <c r="S2078" t="s">
        <v>8363</v>
      </c>
      <c r="T2078" t="s">
        <v>12568</v>
      </c>
      <c r="U2078" t="s">
        <v>12568</v>
      </c>
      <c r="V2078" t="s">
        <v>12568</v>
      </c>
      <c r="W2078" t="s">
        <v>14612</v>
      </c>
      <c r="X2078">
        <v>8</v>
      </c>
      <c r="Y2078" t="s">
        <v>20794</v>
      </c>
      <c r="Z2078" t="s">
        <v>26948</v>
      </c>
      <c r="AA2078">
        <v>0.56251347672745011</v>
      </c>
      <c r="AB2078" t="str">
        <f>HYPERLINK("Melting_Curves/meltCurve_P36639_4_NUDT1.pdf", "Melting_Curves/meltCurve_P36639_4_NUDT1.pdf")</f>
        <v>Melting_Curves/meltCurve_P36639_4_NUDT1.pdf</v>
      </c>
    </row>
    <row r="2079" spans="1:28" x14ac:dyDescent="0.25">
      <c r="A2079" t="s">
        <v>2083</v>
      </c>
      <c r="B2079">
        <v>0.99352677808782597</v>
      </c>
      <c r="C2079">
        <v>0.96113487883861703</v>
      </c>
      <c r="D2079">
        <v>0.97636767302729099</v>
      </c>
      <c r="E2079">
        <v>0.86445138272184496</v>
      </c>
      <c r="F2079">
        <v>0.74682008774385</v>
      </c>
      <c r="G2079">
        <v>0.49146422822638097</v>
      </c>
      <c r="H2079">
        <v>0.187262317028243</v>
      </c>
      <c r="I2079">
        <v>0.12897259429451</v>
      </c>
      <c r="J2079">
        <v>0.102240609520363</v>
      </c>
      <c r="K2079">
        <v>8.5246091036832505E-2</v>
      </c>
      <c r="L2079">
        <v>962.01142370437196</v>
      </c>
      <c r="M2079">
        <v>17.146708608811998</v>
      </c>
      <c r="N2079">
        <v>56.355774508659302</v>
      </c>
      <c r="O2079">
        <v>55.358272597067298</v>
      </c>
      <c r="P2079">
        <v>-7.4592513667708304E-2</v>
      </c>
      <c r="Q2079">
        <v>3.6767342203405898E-2</v>
      </c>
      <c r="R2079">
        <v>0.99578627704862199</v>
      </c>
      <c r="S2079" t="s">
        <v>8364</v>
      </c>
      <c r="T2079" t="s">
        <v>12568</v>
      </c>
      <c r="U2079" t="s">
        <v>12568</v>
      </c>
      <c r="V2079" t="s">
        <v>12568</v>
      </c>
      <c r="W2079" t="s">
        <v>14613</v>
      </c>
      <c r="X2079">
        <v>36</v>
      </c>
      <c r="Y2079" t="s">
        <v>20795</v>
      </c>
      <c r="Z2079" t="s">
        <v>26949</v>
      </c>
      <c r="AA2079">
        <v>0.56874529123155038</v>
      </c>
      <c r="AB2079" t="str">
        <f>HYPERLINK("Melting_Curves/meltCurve_P36871_PGM1.pdf", "Melting_Curves/meltCurve_P36871_PGM1.pdf")</f>
        <v>Melting_Curves/meltCurve_P36871_PGM1.pdf</v>
      </c>
    </row>
    <row r="2080" spans="1:28" x14ac:dyDescent="0.25">
      <c r="A2080" t="s">
        <v>2084</v>
      </c>
      <c r="B2080">
        <v>0.99352677808782597</v>
      </c>
      <c r="C2080">
        <v>0.95970524740834096</v>
      </c>
      <c r="D2080">
        <v>0.90103011972034996</v>
      </c>
      <c r="E2080">
        <v>0.58298457916013702</v>
      </c>
      <c r="F2080">
        <v>0.52085612745933796</v>
      </c>
      <c r="G2080">
        <v>0.28646838656794699</v>
      </c>
      <c r="H2080">
        <v>0.15747995798804501</v>
      </c>
      <c r="I2080">
        <v>0.18908413072512201</v>
      </c>
      <c r="J2080">
        <v>0.11182582999511</v>
      </c>
      <c r="K2080">
        <v>9.4430278109682395E-2</v>
      </c>
      <c r="L2080">
        <v>711.13756906397305</v>
      </c>
      <c r="M2080">
        <v>13.723817981899</v>
      </c>
      <c r="N2080">
        <v>52.509976078390899</v>
      </c>
      <c r="O2080">
        <v>50.754698892365298</v>
      </c>
      <c r="P2080">
        <v>-6.2014078061755601E-2</v>
      </c>
      <c r="Q2080">
        <v>8.2746290467720807E-2</v>
      </c>
      <c r="R2080">
        <v>0.98991189028659599</v>
      </c>
      <c r="S2080" t="s">
        <v>8365</v>
      </c>
      <c r="T2080" t="s">
        <v>12568</v>
      </c>
      <c r="U2080" t="s">
        <v>12568</v>
      </c>
      <c r="V2080" t="s">
        <v>12568</v>
      </c>
      <c r="W2080" t="s">
        <v>14614</v>
      </c>
      <c r="X2080">
        <v>19</v>
      </c>
      <c r="Y2080" t="s">
        <v>20796</v>
      </c>
      <c r="Z2080" t="s">
        <v>26950</v>
      </c>
      <c r="AA2080">
        <v>0.46766724126835929</v>
      </c>
      <c r="AB2080" t="str">
        <f>HYPERLINK("Melting_Curves/meltCurve_P36873_PPP1CC.pdf", "Melting_Curves/meltCurve_P36873_PPP1CC.pdf")</f>
        <v>Melting_Curves/meltCurve_P36873_PPP1CC.pdf</v>
      </c>
    </row>
    <row r="2081" spans="1:28" x14ac:dyDescent="0.25">
      <c r="A2081" t="s">
        <v>2085</v>
      </c>
      <c r="B2081">
        <v>0.99352677808782597</v>
      </c>
      <c r="C2081">
        <v>0.97559826459152599</v>
      </c>
      <c r="D2081">
        <v>0.97706067609547997</v>
      </c>
      <c r="E2081">
        <v>0.27705802982271899</v>
      </c>
      <c r="F2081">
        <v>0.21218762804299399</v>
      </c>
      <c r="G2081">
        <v>0.109670212897265</v>
      </c>
      <c r="H2081">
        <v>8.1850705257524303E-2</v>
      </c>
      <c r="I2081">
        <v>7.1867098504917903E-2</v>
      </c>
      <c r="J2081">
        <v>6.3764376600631598E-2</v>
      </c>
      <c r="K2081">
        <v>4.7791473592738498E-2</v>
      </c>
      <c r="L2081">
        <v>2351.4127279017698</v>
      </c>
      <c r="M2081">
        <v>48.2661058205125</v>
      </c>
      <c r="N2081">
        <v>48.924091475732901</v>
      </c>
      <c r="O2081">
        <v>48.6342546261358</v>
      </c>
      <c r="P2081">
        <v>-0.22525050528145699</v>
      </c>
      <c r="Q2081">
        <v>9.2126205413716994E-2</v>
      </c>
      <c r="R2081">
        <v>0.99019082020388904</v>
      </c>
      <c r="S2081" t="s">
        <v>8366</v>
      </c>
      <c r="T2081" t="s">
        <v>12568</v>
      </c>
      <c r="U2081" t="s">
        <v>12568</v>
      </c>
      <c r="V2081" t="s">
        <v>12568</v>
      </c>
      <c r="W2081" t="s">
        <v>14615</v>
      </c>
      <c r="X2081">
        <v>10</v>
      </c>
      <c r="Y2081" t="s">
        <v>20797</v>
      </c>
      <c r="Z2081" t="s">
        <v>26951</v>
      </c>
      <c r="AA2081">
        <v>0.35803971259763667</v>
      </c>
      <c r="AB2081" t="str">
        <f>HYPERLINK("Melting_Curves/meltCurve_P36915_GNL1.pdf", "Melting_Curves/meltCurve_P36915_GNL1.pdf")</f>
        <v>Melting_Curves/meltCurve_P36915_GNL1.pdf</v>
      </c>
    </row>
    <row r="2082" spans="1:28" x14ac:dyDescent="0.25">
      <c r="A2082" t="s">
        <v>2086</v>
      </c>
      <c r="B2082">
        <v>0.99352677808782597</v>
      </c>
      <c r="C2082">
        <v>0.86061283401693001</v>
      </c>
      <c r="D2082">
        <v>0.786996574545204</v>
      </c>
      <c r="E2082">
        <v>0.51546828309223303</v>
      </c>
      <c r="F2082">
        <v>0.43553056611920399</v>
      </c>
      <c r="G2082">
        <v>0.30592854010401699</v>
      </c>
      <c r="H2082">
        <v>0.24769814208306401</v>
      </c>
      <c r="I2082">
        <v>0.22289423385846899</v>
      </c>
      <c r="J2082">
        <v>0.219270274505177</v>
      </c>
      <c r="K2082">
        <v>0.153529251673338</v>
      </c>
      <c r="L2082">
        <v>610.25272323719605</v>
      </c>
      <c r="M2082">
        <v>12.3606326392686</v>
      </c>
      <c r="N2082">
        <v>51.067381995082997</v>
      </c>
      <c r="O2082">
        <v>48.131809799357498</v>
      </c>
      <c r="P2082">
        <v>-5.3401783411316101E-2</v>
      </c>
      <c r="Q2082">
        <v>0.16840075581799599</v>
      </c>
      <c r="R2082">
        <v>0.99240344190472995</v>
      </c>
      <c r="S2082" t="s">
        <v>8367</v>
      </c>
      <c r="T2082" t="s">
        <v>12568</v>
      </c>
      <c r="U2082" t="s">
        <v>12568</v>
      </c>
      <c r="V2082" t="s">
        <v>12568</v>
      </c>
      <c r="W2082" t="s">
        <v>14616</v>
      </c>
      <c r="X2082">
        <v>1</v>
      </c>
      <c r="Y2082" t="s">
        <v>20798</v>
      </c>
      <c r="Z2082" t="s">
        <v>26952</v>
      </c>
      <c r="AA2082">
        <v>0.45660915171267519</v>
      </c>
      <c r="AB2082" t="str">
        <f>HYPERLINK("Melting_Curves/meltCurve_P36952_SERPINB5.pdf", "Melting_Curves/meltCurve_P36952_SERPINB5.pdf")</f>
        <v>Melting_Curves/meltCurve_P36952_SERPINB5.pdf</v>
      </c>
    </row>
    <row r="2083" spans="1:28" x14ac:dyDescent="0.25">
      <c r="A2083" t="s">
        <v>2087</v>
      </c>
      <c r="B2083">
        <v>0.99352677808782597</v>
      </c>
      <c r="C2083">
        <v>1.00399316320924</v>
      </c>
      <c r="D2083">
        <v>1.0806051130910499</v>
      </c>
      <c r="E2083">
        <v>1.1335534300600001</v>
      </c>
      <c r="F2083">
        <v>1.0059277606360399</v>
      </c>
      <c r="G2083">
        <v>1.0008326161458501</v>
      </c>
      <c r="H2083">
        <v>0.80554107459801005</v>
      </c>
      <c r="I2083">
        <v>0.81886951381698703</v>
      </c>
      <c r="J2083">
        <v>0.92062936292752995</v>
      </c>
      <c r="K2083">
        <v>0.79378813397342396</v>
      </c>
      <c r="L2083">
        <v>14471.7573245287</v>
      </c>
      <c r="M2083">
        <v>247.23633490075099</v>
      </c>
      <c r="O2083">
        <v>58.530274029255096</v>
      </c>
      <c r="P2083">
        <v>-0.17455390763360201</v>
      </c>
      <c r="Q2083">
        <v>0.83470571955987205</v>
      </c>
      <c r="R2083">
        <v>0.72168474760370505</v>
      </c>
      <c r="S2083" t="s">
        <v>8368</v>
      </c>
      <c r="T2083" t="s">
        <v>12568</v>
      </c>
      <c r="U2083" t="s">
        <v>12568</v>
      </c>
      <c r="V2083" t="s">
        <v>12568</v>
      </c>
      <c r="W2083" t="s">
        <v>14617</v>
      </c>
      <c r="X2083">
        <v>11</v>
      </c>
      <c r="Y2083" t="s">
        <v>20799</v>
      </c>
      <c r="Z2083" t="s">
        <v>26953</v>
      </c>
      <c r="AA2083">
        <v>0.93684246061488574</v>
      </c>
      <c r="AB2083" t="str">
        <f>HYPERLINK("Melting_Curves/meltCurve_P36954_POLR2I.pdf", "Melting_Curves/meltCurve_P36954_POLR2I.pdf")</f>
        <v>Melting_Curves/meltCurve_P36954_POLR2I.pdf</v>
      </c>
    </row>
    <row r="2084" spans="1:28" x14ac:dyDescent="0.25">
      <c r="A2084" t="s">
        <v>2088</v>
      </c>
      <c r="B2084">
        <v>0.99352677808782597</v>
      </c>
      <c r="C2084">
        <v>1.03938389167497</v>
      </c>
      <c r="D2084">
        <v>0.90106369999634395</v>
      </c>
      <c r="E2084">
        <v>0.94324655122574896</v>
      </c>
      <c r="F2084">
        <v>0.84803031541796803</v>
      </c>
      <c r="G2084">
        <v>0.755902244269957</v>
      </c>
      <c r="H2084">
        <v>1.2086702677121901</v>
      </c>
      <c r="I2084">
        <v>1.20251241302282</v>
      </c>
      <c r="J2084">
        <v>1.32416218468501</v>
      </c>
      <c r="K2084">
        <v>0.71286040080586099</v>
      </c>
      <c r="L2084">
        <v>1587.8914577892499</v>
      </c>
      <c r="M2084">
        <v>26.6053640741798</v>
      </c>
      <c r="O2084">
        <v>59.349008060325197</v>
      </c>
      <c r="P2084">
        <v>9.9834366066120193E-3</v>
      </c>
      <c r="Q2084">
        <v>1.0890799065607599</v>
      </c>
      <c r="R2084">
        <v>6.4861002409758603E-2</v>
      </c>
      <c r="S2084" t="s">
        <v>8369</v>
      </c>
      <c r="T2084" t="s">
        <v>12568</v>
      </c>
      <c r="U2084" t="s">
        <v>12568</v>
      </c>
      <c r="V2084" t="s">
        <v>12568</v>
      </c>
      <c r="W2084" t="s">
        <v>14618</v>
      </c>
      <c r="X2084">
        <v>16</v>
      </c>
      <c r="Y2084" t="s">
        <v>20800</v>
      </c>
      <c r="Z2084" t="s">
        <v>26954</v>
      </c>
      <c r="AA2084">
        <v>1.029992003800172</v>
      </c>
      <c r="AB2084" t="str">
        <f>HYPERLINK("Melting_Curves/meltCurve_P36957_DLST.pdf", "Melting_Curves/meltCurve_P36957_DLST.pdf")</f>
        <v>Melting_Curves/meltCurve_P36957_DLST.pdf</v>
      </c>
    </row>
    <row r="2085" spans="1:28" x14ac:dyDescent="0.25">
      <c r="A2085" t="s">
        <v>2089</v>
      </c>
      <c r="B2085">
        <v>0.99352677808782597</v>
      </c>
      <c r="C2085">
        <v>0.84172761543147101</v>
      </c>
      <c r="D2085">
        <v>0.87049665830839995</v>
      </c>
      <c r="E2085">
        <v>0.24817224671756599</v>
      </c>
      <c r="F2085">
        <v>0.192792312791668</v>
      </c>
      <c r="G2085">
        <v>0.107641009744165</v>
      </c>
      <c r="H2085">
        <v>8.4303572535393001E-2</v>
      </c>
      <c r="I2085">
        <v>8.7510915631028099E-2</v>
      </c>
      <c r="J2085">
        <v>6.8965001422086294E-2</v>
      </c>
      <c r="K2085">
        <v>5.2668277232272603E-2</v>
      </c>
      <c r="L2085">
        <v>1518.64418669818</v>
      </c>
      <c r="M2085">
        <v>31.597324831888201</v>
      </c>
      <c r="N2085">
        <v>48.346909232926002</v>
      </c>
      <c r="O2085">
        <v>47.871155346484997</v>
      </c>
      <c r="P2085">
        <v>-0.151015834661408</v>
      </c>
      <c r="Q2085">
        <v>8.4825979924861503E-2</v>
      </c>
      <c r="R2085">
        <v>0.97816553488319602</v>
      </c>
      <c r="S2085" t="s">
        <v>8370</v>
      </c>
      <c r="T2085" t="s">
        <v>12568</v>
      </c>
      <c r="U2085" t="s">
        <v>12568</v>
      </c>
      <c r="V2085" t="s">
        <v>12568</v>
      </c>
      <c r="W2085" t="s">
        <v>14619</v>
      </c>
      <c r="X2085">
        <v>5</v>
      </c>
      <c r="Y2085" t="s">
        <v>20801</v>
      </c>
      <c r="Z2085" t="s">
        <v>26955</v>
      </c>
      <c r="AA2085">
        <v>0.33572414200241529</v>
      </c>
      <c r="AB2085" t="str">
        <f>HYPERLINK("Melting_Curves/meltCurve_P36969_2_GPX4.pdf", "Melting_Curves/meltCurve_P36969_2_GPX4.pdf")</f>
        <v>Melting_Curves/meltCurve_P36969_2_GPX4.pdf</v>
      </c>
    </row>
    <row r="2086" spans="1:28" x14ac:dyDescent="0.25">
      <c r="A2086" t="s">
        <v>2090</v>
      </c>
      <c r="B2086">
        <v>0.99352677808782597</v>
      </c>
      <c r="C2086">
        <v>0.91486485075586599</v>
      </c>
      <c r="D2086">
        <v>0.92278654316141795</v>
      </c>
      <c r="E2086">
        <v>0.91715477155866698</v>
      </c>
      <c r="F2086">
        <v>0.95328642280088305</v>
      </c>
      <c r="G2086">
        <v>0.784163111870401</v>
      </c>
      <c r="H2086">
        <v>0.59937429537813303</v>
      </c>
      <c r="I2086">
        <v>0.37648440826738699</v>
      </c>
      <c r="J2086">
        <v>0.28240022897618799</v>
      </c>
      <c r="K2086">
        <v>0.21963827171098499</v>
      </c>
      <c r="L2086">
        <v>908.66419173578902</v>
      </c>
      <c r="M2086">
        <v>14.7388087796016</v>
      </c>
      <c r="N2086">
        <v>62.268882423130101</v>
      </c>
      <c r="O2086">
        <v>60.549561840055297</v>
      </c>
      <c r="P2086">
        <v>-5.6721370564513797E-2</v>
      </c>
      <c r="Q2086">
        <v>6.8016148394016707E-2</v>
      </c>
      <c r="R2086">
        <v>0.97786451746386105</v>
      </c>
      <c r="S2086" t="s">
        <v>8371</v>
      </c>
      <c r="T2086" t="s">
        <v>12568</v>
      </c>
      <c r="U2086" t="s">
        <v>12568</v>
      </c>
      <c r="V2086" t="s">
        <v>12568</v>
      </c>
      <c r="W2086" t="s">
        <v>14620</v>
      </c>
      <c r="X2086">
        <v>6</v>
      </c>
      <c r="Y2086" t="s">
        <v>20802</v>
      </c>
      <c r="Z2086" t="s">
        <v>26956</v>
      </c>
      <c r="AA2086">
        <v>0.73938533482786661</v>
      </c>
      <c r="AB2086" t="str">
        <f>HYPERLINK("Melting_Curves/meltCurve_P37108_SRP14.pdf", "Melting_Curves/meltCurve_P37108_SRP14.pdf")</f>
        <v>Melting_Curves/meltCurve_P37108_SRP14.pdf</v>
      </c>
    </row>
    <row r="2087" spans="1:28" x14ac:dyDescent="0.25">
      <c r="A2087" t="s">
        <v>2091</v>
      </c>
      <c r="B2087">
        <v>0.99352677808782597</v>
      </c>
      <c r="C2087">
        <v>0.96100501503972302</v>
      </c>
      <c r="D2087">
        <v>0.912154047011703</v>
      </c>
      <c r="E2087">
        <v>0.83919193905067002</v>
      </c>
      <c r="F2087">
        <v>0.74502325414731096</v>
      </c>
      <c r="G2087">
        <v>0.62941783195895995</v>
      </c>
      <c r="H2087">
        <v>0.58484061102597595</v>
      </c>
      <c r="I2087">
        <v>0.65290681606245904</v>
      </c>
      <c r="J2087">
        <v>0.74902405731640598</v>
      </c>
      <c r="K2087">
        <v>0.58609554887173199</v>
      </c>
      <c r="L2087">
        <v>871.79513744274698</v>
      </c>
      <c r="M2087">
        <v>17.449816506448499</v>
      </c>
      <c r="O2087">
        <v>49.317846954582201</v>
      </c>
      <c r="P2087">
        <v>-3.2589973984264498E-2</v>
      </c>
      <c r="Q2087">
        <v>0.63158860709446196</v>
      </c>
      <c r="R2087">
        <v>0.895479344460126</v>
      </c>
      <c r="S2087" t="s">
        <v>8372</v>
      </c>
      <c r="T2087" t="s">
        <v>12568</v>
      </c>
      <c r="U2087" t="s">
        <v>12568</v>
      </c>
      <c r="V2087" t="s">
        <v>12568</v>
      </c>
      <c r="W2087" t="s">
        <v>14621</v>
      </c>
      <c r="X2087">
        <v>10</v>
      </c>
      <c r="Y2087" t="s">
        <v>20803</v>
      </c>
      <c r="Z2087" t="s">
        <v>26957</v>
      </c>
      <c r="AA2087">
        <v>0.76056941088693764</v>
      </c>
      <c r="AB2087" t="str">
        <f>HYPERLINK("Melting_Curves/meltCurve_P37198_NUP62.pdf", "Melting_Curves/meltCurve_P37198_NUP62.pdf")</f>
        <v>Melting_Curves/meltCurve_P37198_NUP62.pdf</v>
      </c>
    </row>
    <row r="2088" spans="1:28" x14ac:dyDescent="0.25">
      <c r="A2088" t="s">
        <v>2092</v>
      </c>
      <c r="B2088">
        <v>0.99352677808782597</v>
      </c>
      <c r="C2088">
        <v>0.99700662918341998</v>
      </c>
      <c r="D2088">
        <v>0.91693225862530203</v>
      </c>
      <c r="E2088">
        <v>0.76067445072640805</v>
      </c>
      <c r="F2088">
        <v>0.55404615064192198</v>
      </c>
      <c r="G2088">
        <v>0.56287224157897098</v>
      </c>
      <c r="H2088">
        <v>0.40460205128710403</v>
      </c>
      <c r="I2088">
        <v>0.43127507825612998</v>
      </c>
      <c r="J2088">
        <v>0.42670814821568298</v>
      </c>
      <c r="K2088">
        <v>0.37230667228496001</v>
      </c>
      <c r="L2088">
        <v>840.63836936651796</v>
      </c>
      <c r="M2088">
        <v>16.486476711432498</v>
      </c>
      <c r="N2088">
        <v>56.457041530588199</v>
      </c>
      <c r="O2088">
        <v>50.257090363952997</v>
      </c>
      <c r="P2088">
        <v>-4.9315825775158501E-2</v>
      </c>
      <c r="Q2088">
        <v>0.39870796780172402</v>
      </c>
      <c r="R2088">
        <v>0.979627224216016</v>
      </c>
      <c r="S2088" t="s">
        <v>8373</v>
      </c>
      <c r="T2088" t="s">
        <v>12568</v>
      </c>
      <c r="U2088" t="s">
        <v>12568</v>
      </c>
      <c r="V2088" t="s">
        <v>12568</v>
      </c>
      <c r="W2088" t="s">
        <v>14622</v>
      </c>
      <c r="X2088">
        <v>8</v>
      </c>
      <c r="Y2088" t="s">
        <v>20804</v>
      </c>
      <c r="Z2088" t="s">
        <v>26958</v>
      </c>
      <c r="AA2088">
        <v>0.63081129307906958</v>
      </c>
      <c r="AB2088" t="str">
        <f>HYPERLINK("Melting_Curves/meltCurve_P37235_HPCAL1.pdf", "Melting_Curves/meltCurve_P37235_HPCAL1.pdf")</f>
        <v>Melting_Curves/meltCurve_P37235_HPCAL1.pdf</v>
      </c>
    </row>
    <row r="2089" spans="1:28" x14ac:dyDescent="0.25">
      <c r="A2089" t="s">
        <v>2093</v>
      </c>
      <c r="B2089">
        <v>0.99352677808782597</v>
      </c>
      <c r="C2089">
        <v>0.97335173083262305</v>
      </c>
      <c r="D2089">
        <v>1.04567027301399</v>
      </c>
      <c r="E2089">
        <v>0.80259914470160598</v>
      </c>
      <c r="F2089">
        <v>0.73358401725409506</v>
      </c>
      <c r="G2089">
        <v>0.48345012796174902</v>
      </c>
      <c r="H2089">
        <v>0.270380820051912</v>
      </c>
      <c r="I2089">
        <v>0.209941120844298</v>
      </c>
      <c r="J2089">
        <v>0.19089675700658701</v>
      </c>
      <c r="K2089">
        <v>0.144363034413901</v>
      </c>
      <c r="L2089">
        <v>863.05401161334703</v>
      </c>
      <c r="M2089">
        <v>15.5505190131906</v>
      </c>
      <c r="N2089">
        <v>56.455309071144299</v>
      </c>
      <c r="O2089">
        <v>54.606501465692702</v>
      </c>
      <c r="P2089">
        <v>-6.2963339035764301E-2</v>
      </c>
      <c r="Q2089">
        <v>0.115680674335087</v>
      </c>
      <c r="R2089">
        <v>0.990011913774268</v>
      </c>
      <c r="S2089" t="s">
        <v>8374</v>
      </c>
      <c r="T2089" t="s">
        <v>12568</v>
      </c>
      <c r="U2089" t="s">
        <v>12568</v>
      </c>
      <c r="V2089" t="s">
        <v>12568</v>
      </c>
      <c r="W2089" t="s">
        <v>14623</v>
      </c>
      <c r="X2089">
        <v>27</v>
      </c>
      <c r="Y2089" t="s">
        <v>20805</v>
      </c>
      <c r="Z2089" t="s">
        <v>26959</v>
      </c>
      <c r="AA2089">
        <v>0.58841093675103007</v>
      </c>
      <c r="AB2089" t="str">
        <f>HYPERLINK("Melting_Curves/meltCurve_P37802_TAGLN2.pdf", "Melting_Curves/meltCurve_P37802_TAGLN2.pdf")</f>
        <v>Melting_Curves/meltCurve_P37802_TAGLN2.pdf</v>
      </c>
    </row>
    <row r="2090" spans="1:28" x14ac:dyDescent="0.25">
      <c r="A2090" t="s">
        <v>2094</v>
      </c>
      <c r="B2090">
        <v>0.99352677808782597</v>
      </c>
      <c r="C2090">
        <v>0.84751566334305795</v>
      </c>
      <c r="D2090">
        <v>1.02660779884718</v>
      </c>
      <c r="E2090">
        <v>0.37102659297212298</v>
      </c>
      <c r="F2090">
        <v>0.289101078058838</v>
      </c>
      <c r="G2090">
        <v>0.186884018930326</v>
      </c>
      <c r="H2090">
        <v>0.15139729394299201</v>
      </c>
      <c r="I2090">
        <v>0.13942102471321599</v>
      </c>
      <c r="J2090">
        <v>0.110408737420508</v>
      </c>
      <c r="K2090">
        <v>6.9476172261037999E-2</v>
      </c>
      <c r="L2090">
        <v>2296.9465748672901</v>
      </c>
      <c r="M2090">
        <v>46.821530974585102</v>
      </c>
      <c r="N2090">
        <v>49.433802197189401</v>
      </c>
      <c r="O2090">
        <v>48.968246199146201</v>
      </c>
      <c r="P2090">
        <v>-0.20320489154024299</v>
      </c>
      <c r="Q2090">
        <v>0.149914498267533</v>
      </c>
      <c r="R2090">
        <v>0.96215243066034095</v>
      </c>
      <c r="S2090" t="s">
        <v>8375</v>
      </c>
      <c r="T2090" t="s">
        <v>12568</v>
      </c>
      <c r="U2090" t="s">
        <v>12568</v>
      </c>
      <c r="V2090" t="s">
        <v>12568</v>
      </c>
      <c r="W2090" t="s">
        <v>14624</v>
      </c>
      <c r="X2090">
        <v>30</v>
      </c>
      <c r="Y2090" t="s">
        <v>20806</v>
      </c>
      <c r="Z2090" t="s">
        <v>26960</v>
      </c>
      <c r="AA2090">
        <v>0.40866892329885141</v>
      </c>
      <c r="AB2090" t="str">
        <f>HYPERLINK("Melting_Curves/meltCurve_P37837_TALDO1.pdf", "Melting_Curves/meltCurve_P37837_TALDO1.pdf")</f>
        <v>Melting_Curves/meltCurve_P37837_TALDO1.pdf</v>
      </c>
    </row>
    <row r="2091" spans="1:28" x14ac:dyDescent="0.25">
      <c r="A2091" t="s">
        <v>2095</v>
      </c>
      <c r="B2091">
        <v>0.99352677808782597</v>
      </c>
      <c r="C2091">
        <v>0.95707937829367296</v>
      </c>
      <c r="D2091">
        <v>0.99732759317212105</v>
      </c>
      <c r="E2091">
        <v>0.49456518020378698</v>
      </c>
      <c r="F2091">
        <v>0.41011632846425999</v>
      </c>
      <c r="G2091">
        <v>0.207594406697508</v>
      </c>
      <c r="H2091">
        <v>0.121158910345468</v>
      </c>
      <c r="I2091">
        <v>0.10046325992963601</v>
      </c>
      <c r="J2091">
        <v>9.0144040486340102E-2</v>
      </c>
      <c r="K2091">
        <v>6.6244986351938401E-2</v>
      </c>
      <c r="L2091">
        <v>998.41345871210899</v>
      </c>
      <c r="M2091">
        <v>19.734888319223099</v>
      </c>
      <c r="N2091">
        <v>51.099806473380497</v>
      </c>
      <c r="O2091">
        <v>50.080415665779299</v>
      </c>
      <c r="P2091">
        <v>-8.9735961185865104E-2</v>
      </c>
      <c r="Q2091">
        <v>8.9154199006480001E-2</v>
      </c>
      <c r="R2091">
        <v>0.98057473744563595</v>
      </c>
      <c r="S2091" t="s">
        <v>8376</v>
      </c>
      <c r="T2091" t="s">
        <v>12568</v>
      </c>
      <c r="U2091" t="s">
        <v>12568</v>
      </c>
      <c r="V2091" t="s">
        <v>12568</v>
      </c>
      <c r="W2091" t="s">
        <v>14625</v>
      </c>
      <c r="X2091">
        <v>22</v>
      </c>
      <c r="Y2091" t="s">
        <v>20807</v>
      </c>
      <c r="Z2091" t="s">
        <v>26961</v>
      </c>
      <c r="AA2091">
        <v>0.42370384606266848</v>
      </c>
      <c r="AB2091" t="str">
        <f>HYPERLINK("Melting_Curves/meltCurve_P38117_ETFB.pdf", "Melting_Curves/meltCurve_P38117_ETFB.pdf")</f>
        <v>Melting_Curves/meltCurve_P38117_ETFB.pdf</v>
      </c>
    </row>
    <row r="2092" spans="1:28" x14ac:dyDescent="0.25">
      <c r="A2092" t="s">
        <v>2096</v>
      </c>
      <c r="B2092">
        <v>0.99352677808782597</v>
      </c>
      <c r="C2092">
        <v>0.98434455463662196</v>
      </c>
      <c r="D2092">
        <v>1.03958597773841</v>
      </c>
      <c r="E2092">
        <v>0.91939941425368799</v>
      </c>
      <c r="F2092">
        <v>0.78647579016482805</v>
      </c>
      <c r="G2092">
        <v>0.70254161990904596</v>
      </c>
      <c r="H2092">
        <v>0.59602964424442295</v>
      </c>
      <c r="I2092">
        <v>0.60265637668434402</v>
      </c>
      <c r="J2092">
        <v>0.60499412416712395</v>
      </c>
      <c r="K2092">
        <v>0.49533778566220799</v>
      </c>
      <c r="L2092">
        <v>920.55033360499101</v>
      </c>
      <c r="M2092">
        <v>16.955902480817301</v>
      </c>
      <c r="O2092">
        <v>53.5525631754155</v>
      </c>
      <c r="P2092">
        <v>-3.6018343107037297E-2</v>
      </c>
      <c r="Q2092">
        <v>0.54499520606331298</v>
      </c>
      <c r="R2092">
        <v>0.96856546074430305</v>
      </c>
      <c r="S2092" t="s">
        <v>8377</v>
      </c>
      <c r="T2092" t="s">
        <v>12568</v>
      </c>
      <c r="U2092" t="s">
        <v>12568</v>
      </c>
      <c r="V2092" t="s">
        <v>12568</v>
      </c>
      <c r="W2092" t="s">
        <v>14626</v>
      </c>
      <c r="X2092">
        <v>10</v>
      </c>
      <c r="Y2092" t="s">
        <v>20808</v>
      </c>
      <c r="Z2092" t="s">
        <v>26962</v>
      </c>
      <c r="AA2092">
        <v>0.76959339780959668</v>
      </c>
      <c r="AB2092" t="str">
        <f>HYPERLINK("Melting_Curves/meltCurve_P38159_RBMX.pdf", "Melting_Curves/meltCurve_P38159_RBMX.pdf")</f>
        <v>Melting_Curves/meltCurve_P38159_RBMX.pdf</v>
      </c>
    </row>
    <row r="2093" spans="1:28" x14ac:dyDescent="0.25">
      <c r="A2093" t="s">
        <v>2097</v>
      </c>
      <c r="B2093">
        <v>0.99352677808782597</v>
      </c>
      <c r="C2093">
        <v>0.95454868040665997</v>
      </c>
      <c r="D2093">
        <v>0.92677802626011796</v>
      </c>
      <c r="E2093">
        <v>0.72497176503875305</v>
      </c>
      <c r="F2093">
        <v>0.634650932682711</v>
      </c>
      <c r="G2093">
        <v>0.509798931549306</v>
      </c>
      <c r="H2093">
        <v>0.46117630463850201</v>
      </c>
      <c r="I2093">
        <v>0.479770477480437</v>
      </c>
      <c r="J2093">
        <v>0.489290712605847</v>
      </c>
      <c r="K2093">
        <v>0.40714490459570202</v>
      </c>
      <c r="L2093">
        <v>824.28457203617597</v>
      </c>
      <c r="M2093">
        <v>16.3233668435103</v>
      </c>
      <c r="N2093">
        <v>58.222299399456404</v>
      </c>
      <c r="O2093">
        <v>49.757593513711399</v>
      </c>
      <c r="P2093">
        <v>-4.5712238317412203E-2</v>
      </c>
      <c r="Q2093">
        <v>0.44267241453836698</v>
      </c>
      <c r="R2093">
        <v>0.98919559148404501</v>
      </c>
      <c r="S2093" t="s">
        <v>8378</v>
      </c>
      <c r="T2093" t="s">
        <v>12568</v>
      </c>
      <c r="U2093" t="s">
        <v>12568</v>
      </c>
      <c r="V2093" t="s">
        <v>12568</v>
      </c>
      <c r="W2093" t="s">
        <v>14627</v>
      </c>
      <c r="X2093">
        <v>12</v>
      </c>
      <c r="Y2093" t="s">
        <v>20809</v>
      </c>
      <c r="Z2093" t="s">
        <v>26963</v>
      </c>
      <c r="AA2093">
        <v>0.64896916031087148</v>
      </c>
      <c r="AB2093" t="str">
        <f>HYPERLINK("Melting_Curves/meltCurve_P38398_4_BRCA1.pdf", "Melting_Curves/meltCurve_P38398_4_BRCA1.pdf")</f>
        <v>Melting_Curves/meltCurve_P38398_4_BRCA1.pdf</v>
      </c>
    </row>
    <row r="2094" spans="1:28" x14ac:dyDescent="0.25">
      <c r="A2094" t="s">
        <v>2098</v>
      </c>
      <c r="B2094">
        <v>0.99352677808782597</v>
      </c>
      <c r="C2094">
        <v>0.97992543504201801</v>
      </c>
      <c r="D2094">
        <v>1.0323304646535501</v>
      </c>
      <c r="E2094">
        <v>0.93186677169906496</v>
      </c>
      <c r="F2094">
        <v>0.78889681118245603</v>
      </c>
      <c r="G2094">
        <v>0.67045906607065098</v>
      </c>
      <c r="H2094">
        <v>0.49919927356983701</v>
      </c>
      <c r="I2094">
        <v>0.47887576689338301</v>
      </c>
      <c r="J2094">
        <v>0.40482134746499499</v>
      </c>
      <c r="K2094">
        <v>0.38573438230367102</v>
      </c>
      <c r="L2094">
        <v>858.44492486050297</v>
      </c>
      <c r="M2094">
        <v>15.2397292814802</v>
      </c>
      <c r="N2094">
        <v>61.545176347991202</v>
      </c>
      <c r="O2094">
        <v>55.386212486998403</v>
      </c>
      <c r="P2094">
        <v>-4.3851730418496299E-2</v>
      </c>
      <c r="Q2094">
        <v>0.36257379984543903</v>
      </c>
      <c r="R2094">
        <v>0.99050188791774096</v>
      </c>
      <c r="S2094" t="s">
        <v>8379</v>
      </c>
      <c r="T2094" t="s">
        <v>12568</v>
      </c>
      <c r="U2094" t="s">
        <v>12568</v>
      </c>
      <c r="V2094" t="s">
        <v>12568</v>
      </c>
      <c r="W2094" t="s">
        <v>14628</v>
      </c>
      <c r="X2094">
        <v>9</v>
      </c>
      <c r="Y2094" t="s">
        <v>20810</v>
      </c>
      <c r="Z2094" t="s">
        <v>26964</v>
      </c>
      <c r="AA2094">
        <v>0.72033391852555273</v>
      </c>
      <c r="AB2094" t="str">
        <f>HYPERLINK("Melting_Curves/meltCurve_P38432_COIL.pdf", "Melting_Curves/meltCurve_P38432_COIL.pdf")</f>
        <v>Melting_Curves/meltCurve_P38432_COIL.pdf</v>
      </c>
    </row>
    <row r="2095" spans="1:28" x14ac:dyDescent="0.25">
      <c r="A2095" t="s">
        <v>2099</v>
      </c>
      <c r="B2095">
        <v>0.99352677808782597</v>
      </c>
      <c r="C2095">
        <v>1.0234017701959399</v>
      </c>
      <c r="D2095">
        <v>0.99464916278641602</v>
      </c>
      <c r="E2095">
        <v>0.84362413668998204</v>
      </c>
      <c r="F2095">
        <v>0.67031453009300002</v>
      </c>
      <c r="G2095">
        <v>0.34278132949343498</v>
      </c>
      <c r="H2095">
        <v>9.9715573690579803E-2</v>
      </c>
      <c r="I2095">
        <v>7.5263494734871497E-2</v>
      </c>
      <c r="J2095">
        <v>6.3250178977571195E-2</v>
      </c>
      <c r="K2095">
        <v>5.0635677427063298E-2</v>
      </c>
      <c r="L2095">
        <v>1100.4495607819499</v>
      </c>
      <c r="M2095">
        <v>20.135348808878</v>
      </c>
      <c r="N2095">
        <v>54.8144700905249</v>
      </c>
      <c r="O2095">
        <v>54.122101873722102</v>
      </c>
      <c r="P2095">
        <v>-9.0327469697217402E-2</v>
      </c>
      <c r="Q2095">
        <v>2.8860324522709601E-2</v>
      </c>
      <c r="R2095">
        <v>0.99777918138729504</v>
      </c>
      <c r="S2095" t="s">
        <v>8380</v>
      </c>
      <c r="T2095" t="s">
        <v>12568</v>
      </c>
      <c r="U2095" t="s">
        <v>12568</v>
      </c>
      <c r="V2095" t="s">
        <v>12568</v>
      </c>
      <c r="W2095" t="s">
        <v>14629</v>
      </c>
      <c r="X2095">
        <v>3</v>
      </c>
      <c r="Y2095" t="s">
        <v>20811</v>
      </c>
      <c r="Z2095" t="s">
        <v>26965</v>
      </c>
      <c r="AA2095">
        <v>0.51608873304159253</v>
      </c>
      <c r="AB2095" t="str">
        <f>HYPERLINK("Melting_Curves/meltCurve_P38571_2_LIPA.pdf", "Melting_Curves/meltCurve_P38571_2_LIPA.pdf")</f>
        <v>Melting_Curves/meltCurve_P38571_2_LIPA.pdf</v>
      </c>
    </row>
    <row r="2096" spans="1:28" x14ac:dyDescent="0.25">
      <c r="A2096" t="s">
        <v>2100</v>
      </c>
      <c r="B2096">
        <v>0.99352677808782597</v>
      </c>
      <c r="C2096">
        <v>0.96792656709970903</v>
      </c>
      <c r="D2096">
        <v>0.84499634627608999</v>
      </c>
      <c r="E2096">
        <v>0.51206255634889097</v>
      </c>
      <c r="F2096">
        <v>0.389367073287607</v>
      </c>
      <c r="G2096">
        <v>0.325326528452968</v>
      </c>
      <c r="H2096">
        <v>0.26469777462371002</v>
      </c>
      <c r="I2096">
        <v>0.131767407459455</v>
      </c>
      <c r="J2096">
        <v>8.1416384740961606E-2</v>
      </c>
      <c r="K2096">
        <v>6.1293369683457298E-2</v>
      </c>
      <c r="L2096">
        <v>640.50930682665705</v>
      </c>
      <c r="M2096">
        <v>12.599462449568399</v>
      </c>
      <c r="N2096">
        <v>51.513620219088899</v>
      </c>
      <c r="O2096">
        <v>49.606618030026098</v>
      </c>
      <c r="P2096">
        <v>-5.86612326446962E-2</v>
      </c>
      <c r="Q2096">
        <v>7.6340001238789895E-2</v>
      </c>
      <c r="R2096">
        <v>0.97781203383368698</v>
      </c>
      <c r="S2096" t="s">
        <v>8381</v>
      </c>
      <c r="T2096" t="s">
        <v>12568</v>
      </c>
      <c r="U2096" t="s">
        <v>12568</v>
      </c>
      <c r="V2096" t="s">
        <v>12568</v>
      </c>
      <c r="W2096" t="s">
        <v>14630</v>
      </c>
      <c r="X2096">
        <v>23</v>
      </c>
      <c r="Y2096" t="s">
        <v>20812</v>
      </c>
      <c r="Z2096" t="s">
        <v>26966</v>
      </c>
      <c r="AA2096">
        <v>0.43828252513505589</v>
      </c>
      <c r="AB2096" t="str">
        <f>HYPERLINK("Melting_Curves/meltCurve_P38606_ATP6V1A.pdf", "Melting_Curves/meltCurve_P38606_ATP6V1A.pdf")</f>
        <v>Melting_Curves/meltCurve_P38606_ATP6V1A.pdf</v>
      </c>
    </row>
    <row r="2097" spans="1:28" x14ac:dyDescent="0.25">
      <c r="A2097" t="s">
        <v>2101</v>
      </c>
      <c r="B2097">
        <v>0.99352677808782597</v>
      </c>
      <c r="C2097">
        <v>0.889861923948428</v>
      </c>
      <c r="D2097">
        <v>0.99688270621566299</v>
      </c>
      <c r="E2097">
        <v>0.82103238494986697</v>
      </c>
      <c r="F2097">
        <v>0.74354981614593796</v>
      </c>
      <c r="G2097">
        <v>0.304160887651031</v>
      </c>
      <c r="H2097">
        <v>0.17320384970597</v>
      </c>
      <c r="I2097">
        <v>0.130169916301068</v>
      </c>
      <c r="J2097">
        <v>0.11768175892209801</v>
      </c>
      <c r="K2097">
        <v>8.3904138440722101E-2</v>
      </c>
      <c r="L2097">
        <v>1168.61638376107</v>
      </c>
      <c r="M2097">
        <v>21.433043236797399</v>
      </c>
      <c r="N2097">
        <v>55.007514133189503</v>
      </c>
      <c r="O2097">
        <v>54.056064035556098</v>
      </c>
      <c r="P2097">
        <v>-9.0616942414046803E-2</v>
      </c>
      <c r="Q2097">
        <v>8.5846312294081906E-2</v>
      </c>
      <c r="R2097">
        <v>0.98430250958735899</v>
      </c>
      <c r="S2097" t="s">
        <v>8382</v>
      </c>
      <c r="T2097" t="s">
        <v>12568</v>
      </c>
      <c r="U2097" t="s">
        <v>12568</v>
      </c>
      <c r="V2097" t="s">
        <v>12568</v>
      </c>
      <c r="W2097" t="s">
        <v>14631</v>
      </c>
      <c r="X2097">
        <v>56</v>
      </c>
      <c r="Y2097" t="s">
        <v>20813</v>
      </c>
      <c r="Z2097" t="s">
        <v>26967</v>
      </c>
      <c r="AA2097">
        <v>0.53944154577739201</v>
      </c>
      <c r="AB2097" t="str">
        <f>HYPERLINK("Melting_Curves/meltCurve_P38646_HSPA9.pdf", "Melting_Curves/meltCurve_P38646_HSPA9.pdf")</f>
        <v>Melting_Curves/meltCurve_P38646_HSPA9.pdf</v>
      </c>
    </row>
    <row r="2098" spans="1:28" x14ac:dyDescent="0.25">
      <c r="A2098" t="s">
        <v>2102</v>
      </c>
      <c r="B2098">
        <v>0.99352677808782597</v>
      </c>
      <c r="C2098">
        <v>0.918950545202319</v>
      </c>
      <c r="D2098">
        <v>0.92144909632170402</v>
      </c>
      <c r="E2098">
        <v>0.238264081006926</v>
      </c>
      <c r="F2098">
        <v>0.17987999695983001</v>
      </c>
      <c r="G2098">
        <v>0.112872261056968</v>
      </c>
      <c r="H2098">
        <v>8.4007033929896002E-2</v>
      </c>
      <c r="I2098">
        <v>8.1174269026995594E-2</v>
      </c>
      <c r="J2098">
        <v>6.7838162759038104E-2</v>
      </c>
      <c r="K2098">
        <v>5.5645912947720103E-2</v>
      </c>
      <c r="L2098">
        <v>2098.9755749046399</v>
      </c>
      <c r="M2098">
        <v>43.485636610454897</v>
      </c>
      <c r="N2098">
        <v>48.492783542492099</v>
      </c>
      <c r="O2098">
        <v>48.166511784329302</v>
      </c>
      <c r="P2098">
        <v>-0.20512379289928501</v>
      </c>
      <c r="Q2098">
        <v>9.1186625995149595E-2</v>
      </c>
      <c r="R2098">
        <v>0.99052243837318799</v>
      </c>
      <c r="S2098" t="s">
        <v>8383</v>
      </c>
      <c r="T2098" t="s">
        <v>12568</v>
      </c>
      <c r="U2098" t="s">
        <v>12568</v>
      </c>
      <c r="V2098" t="s">
        <v>12568</v>
      </c>
      <c r="W2098" t="s">
        <v>14632</v>
      </c>
      <c r="X2098">
        <v>22</v>
      </c>
      <c r="Y2098" t="s">
        <v>20814</v>
      </c>
      <c r="Z2098" t="s">
        <v>26968</v>
      </c>
      <c r="AA2098">
        <v>0.34422865126224111</v>
      </c>
      <c r="AB2098" t="str">
        <f>HYPERLINK("Melting_Curves/meltCurve_P38919_EIF4A3.pdf", "Melting_Curves/meltCurve_P38919_EIF4A3.pdf")</f>
        <v>Melting_Curves/meltCurve_P38919_EIF4A3.pdf</v>
      </c>
    </row>
    <row r="2099" spans="1:28" x14ac:dyDescent="0.25">
      <c r="A2099" t="s">
        <v>2103</v>
      </c>
      <c r="B2099">
        <v>0.99352677808782597</v>
      </c>
      <c r="C2099">
        <v>1.0315516631758399</v>
      </c>
      <c r="D2099">
        <v>0.74192145336837401</v>
      </c>
      <c r="E2099">
        <v>0.32762244566895099</v>
      </c>
      <c r="F2099">
        <v>0.31835976450215497</v>
      </c>
      <c r="G2099">
        <v>0.170405310747826</v>
      </c>
      <c r="H2099">
        <v>0.14583620552275101</v>
      </c>
      <c r="I2099">
        <v>6.9861671245825402E-2</v>
      </c>
      <c r="J2099">
        <v>0.168508965400611</v>
      </c>
      <c r="K2099">
        <v>9.9747548676636405E-2</v>
      </c>
      <c r="L2099">
        <v>1097.9499874612</v>
      </c>
      <c r="M2099">
        <v>22.898279926613501</v>
      </c>
      <c r="N2099">
        <v>48.6129984560325</v>
      </c>
      <c r="O2099">
        <v>47.587816966437103</v>
      </c>
      <c r="P2099">
        <v>-0.104143098652498</v>
      </c>
      <c r="Q2099">
        <v>0.13428477988878099</v>
      </c>
      <c r="R2099">
        <v>0.97863459601665304</v>
      </c>
      <c r="S2099" t="s">
        <v>8384</v>
      </c>
      <c r="T2099" t="s">
        <v>12568</v>
      </c>
      <c r="U2099" t="s">
        <v>12568</v>
      </c>
      <c r="V2099" t="s">
        <v>12568</v>
      </c>
      <c r="W2099" t="s">
        <v>14633</v>
      </c>
      <c r="X2099">
        <v>3</v>
      </c>
      <c r="Y2099" t="s">
        <v>20815</v>
      </c>
      <c r="Z2099" t="s">
        <v>26969</v>
      </c>
      <c r="AA2099">
        <v>0.37289935555919013</v>
      </c>
      <c r="AB2099" t="str">
        <f>HYPERLINK("Melting_Curves/meltCurve_P38935_IGHMBP2.pdf", "Melting_Curves/meltCurve_P38935_IGHMBP2.pdf")</f>
        <v>Melting_Curves/meltCurve_P38935_IGHMBP2.pdf</v>
      </c>
    </row>
    <row r="2100" spans="1:28" x14ac:dyDescent="0.25">
      <c r="A2100" t="s">
        <v>2104</v>
      </c>
      <c r="B2100">
        <v>0.99352677808782597</v>
      </c>
      <c r="C2100">
        <v>0.75587438254581196</v>
      </c>
      <c r="D2100">
        <v>0.72431639159081196</v>
      </c>
      <c r="E2100">
        <v>0.72852308273411104</v>
      </c>
      <c r="F2100">
        <v>0.89641297810902099</v>
      </c>
      <c r="G2100">
        <v>0.94024642310323403</v>
      </c>
      <c r="H2100">
        <v>0.91223018261095701</v>
      </c>
      <c r="I2100">
        <v>0.57502551400860002</v>
      </c>
      <c r="J2100">
        <v>0.38084755955233102</v>
      </c>
      <c r="K2100">
        <v>0.56508414611114999</v>
      </c>
      <c r="L2100">
        <v>214.345115370077</v>
      </c>
      <c r="M2100">
        <v>2.7608456689323302</v>
      </c>
      <c r="O2100">
        <v>55.023246262685802</v>
      </c>
      <c r="P2100">
        <v>-1.30341443126754E-2</v>
      </c>
      <c r="Q2100">
        <v>0</v>
      </c>
      <c r="R2100">
        <v>0.35615029778719498</v>
      </c>
      <c r="S2100" t="s">
        <v>8385</v>
      </c>
      <c r="T2100" t="s">
        <v>12568</v>
      </c>
      <c r="U2100" t="s">
        <v>12568</v>
      </c>
      <c r="V2100" t="s">
        <v>12568</v>
      </c>
      <c r="W2100" t="s">
        <v>14634</v>
      </c>
      <c r="X2100">
        <v>3</v>
      </c>
      <c r="Y2100" t="s">
        <v>20816</v>
      </c>
      <c r="Z2100" t="s">
        <v>26970</v>
      </c>
      <c r="AA2100">
        <v>0.75609505031046931</v>
      </c>
      <c r="AB2100" t="str">
        <f>HYPERLINK("Melting_Curves/meltCurve_P38936_CDKN1A.pdf", "Melting_Curves/meltCurve_P38936_CDKN1A.pdf")</f>
        <v>Melting_Curves/meltCurve_P38936_CDKN1A.pdf</v>
      </c>
    </row>
    <row r="2101" spans="1:28" x14ac:dyDescent="0.25">
      <c r="A2101" t="s">
        <v>2105</v>
      </c>
      <c r="B2101">
        <v>0.99352677808782597</v>
      </c>
      <c r="C2101">
        <v>1.0068218158593001</v>
      </c>
      <c r="D2101">
        <v>0.95809808884791803</v>
      </c>
      <c r="E2101">
        <v>0.51776968193335404</v>
      </c>
      <c r="F2101">
        <v>0.44522575150022897</v>
      </c>
      <c r="G2101">
        <v>0.27873941236687999</v>
      </c>
      <c r="H2101">
        <v>0.213385937284892</v>
      </c>
      <c r="I2101">
        <v>0.20010470343251099</v>
      </c>
      <c r="J2101">
        <v>0.25752627248134802</v>
      </c>
      <c r="K2101">
        <v>0.199441141990847</v>
      </c>
      <c r="L2101">
        <v>1162.3824240696199</v>
      </c>
      <c r="M2101">
        <v>23.351923697497</v>
      </c>
      <c r="N2101">
        <v>51.074302631861798</v>
      </c>
      <c r="O2101">
        <v>49.416008698834197</v>
      </c>
      <c r="P2101">
        <v>-9.1708457343692595E-2</v>
      </c>
      <c r="Q2101">
        <v>0.22374086571509999</v>
      </c>
      <c r="R2101">
        <v>0.98384159061943999</v>
      </c>
      <c r="S2101" t="s">
        <v>8386</v>
      </c>
      <c r="T2101" t="s">
        <v>12568</v>
      </c>
      <c r="U2101" t="s">
        <v>12568</v>
      </c>
      <c r="V2101" t="s">
        <v>12568</v>
      </c>
      <c r="W2101" t="s">
        <v>14635</v>
      </c>
      <c r="X2101">
        <v>14</v>
      </c>
      <c r="Y2101" t="s">
        <v>20817</v>
      </c>
      <c r="Z2101" t="s">
        <v>26971</v>
      </c>
      <c r="AA2101">
        <v>0.48466013972666921</v>
      </c>
      <c r="AB2101" t="str">
        <f>HYPERLINK("Melting_Curves/meltCurve_P39019_RPS19.pdf", "Melting_Curves/meltCurve_P39019_RPS19.pdf")</f>
        <v>Melting_Curves/meltCurve_P39019_RPS19.pdf</v>
      </c>
    </row>
    <row r="2102" spans="1:28" x14ac:dyDescent="0.25">
      <c r="A2102" t="s">
        <v>2106</v>
      </c>
      <c r="B2102">
        <v>0.99352677808782597</v>
      </c>
      <c r="C2102">
        <v>0.84940802077592703</v>
      </c>
      <c r="D2102">
        <v>1.31818830142468</v>
      </c>
      <c r="E2102">
        <v>0.57899504308107597</v>
      </c>
      <c r="F2102">
        <v>0.58295195978665104</v>
      </c>
      <c r="G2102">
        <v>0.31730471701464602</v>
      </c>
      <c r="H2102">
        <v>0.16959279226972501</v>
      </c>
      <c r="I2102">
        <v>0.157479056406197</v>
      </c>
      <c r="J2102">
        <v>0.12851140769602501</v>
      </c>
      <c r="K2102">
        <v>0.103693940493954</v>
      </c>
      <c r="L2102">
        <v>1046.56589476253</v>
      </c>
      <c r="M2102">
        <v>19.909440127235602</v>
      </c>
      <c r="N2102">
        <v>53.331074617164298</v>
      </c>
      <c r="O2102">
        <v>52.044610851413402</v>
      </c>
      <c r="P2102">
        <v>-8.3763210093213497E-2</v>
      </c>
      <c r="Q2102">
        <v>0.12417844539645199</v>
      </c>
      <c r="R2102">
        <v>0.87769190979724898</v>
      </c>
      <c r="S2102" t="s">
        <v>8387</v>
      </c>
      <c r="T2102" t="s">
        <v>12568</v>
      </c>
      <c r="U2102" t="s">
        <v>12568</v>
      </c>
      <c r="V2102" t="s">
        <v>12568</v>
      </c>
      <c r="W2102" t="s">
        <v>14636</v>
      </c>
      <c r="X2102">
        <v>8</v>
      </c>
      <c r="Y2102" t="s">
        <v>20818</v>
      </c>
      <c r="Z2102" t="s">
        <v>26972</v>
      </c>
      <c r="AA2102">
        <v>0.50322073835135961</v>
      </c>
      <c r="AB2102" t="str">
        <f>HYPERLINK("Melting_Curves/meltCurve_P39023_RPL3.pdf", "Melting_Curves/meltCurve_P39023_RPL3.pdf")</f>
        <v>Melting_Curves/meltCurve_P39023_RPL3.pdf</v>
      </c>
    </row>
    <row r="2103" spans="1:28" x14ac:dyDescent="0.25">
      <c r="A2103" t="s">
        <v>2107</v>
      </c>
      <c r="B2103">
        <v>0.99352677808782597</v>
      </c>
      <c r="C2103">
        <v>0.91194721652820498</v>
      </c>
      <c r="D2103">
        <v>0.90936026467150899</v>
      </c>
      <c r="E2103">
        <v>0.558768592969207</v>
      </c>
      <c r="F2103">
        <v>0.50796532942588102</v>
      </c>
      <c r="G2103">
        <v>0.20989787351872699</v>
      </c>
      <c r="H2103">
        <v>0.109583807712143</v>
      </c>
      <c r="I2103">
        <v>9.1042580041156104E-2</v>
      </c>
      <c r="J2103">
        <v>8.8965069476863307E-2</v>
      </c>
      <c r="K2103">
        <v>7.1962175850180707E-2</v>
      </c>
      <c r="L2103">
        <v>744.00369874209002</v>
      </c>
      <c r="M2103">
        <v>14.411934943907401</v>
      </c>
      <c r="N2103">
        <v>51.925377447196901</v>
      </c>
      <c r="O2103">
        <v>50.660721542561099</v>
      </c>
      <c r="P2103">
        <v>-6.82756754209215E-2</v>
      </c>
      <c r="Q2103">
        <v>4.01048619679093E-2</v>
      </c>
      <c r="R2103">
        <v>0.98717926103795794</v>
      </c>
      <c r="S2103" t="s">
        <v>8388</v>
      </c>
      <c r="T2103" t="s">
        <v>12568</v>
      </c>
      <c r="U2103" t="s">
        <v>12568</v>
      </c>
      <c r="V2103" t="s">
        <v>12568</v>
      </c>
      <c r="W2103" t="s">
        <v>14637</v>
      </c>
      <c r="X2103">
        <v>3</v>
      </c>
      <c r="Y2103" t="s">
        <v>20819</v>
      </c>
      <c r="Z2103" t="s">
        <v>26973</v>
      </c>
      <c r="AA2103">
        <v>0.43516843032121361</v>
      </c>
      <c r="AB2103" t="str">
        <f>HYPERLINK("Melting_Curves/meltCurve_P39060_2_COL18A1.pdf", "Melting_Curves/meltCurve_P39060_2_COL18A1.pdf")</f>
        <v>Melting_Curves/meltCurve_P39060_2_COL18A1.pdf</v>
      </c>
    </row>
    <row r="2104" spans="1:28" x14ac:dyDescent="0.25">
      <c r="A2104" t="s">
        <v>2108</v>
      </c>
      <c r="B2104">
        <v>0.99352677808782597</v>
      </c>
      <c r="C2104">
        <v>0.98051574567658195</v>
      </c>
      <c r="D2104">
        <v>0.97172063707256795</v>
      </c>
      <c r="E2104">
        <v>0.89015193680511595</v>
      </c>
      <c r="F2104">
        <v>0.82827892119625801</v>
      </c>
      <c r="G2104">
        <v>0.72938026237686504</v>
      </c>
      <c r="H2104">
        <v>0.63549042135501199</v>
      </c>
      <c r="I2104">
        <v>0.69816093443060201</v>
      </c>
      <c r="J2104">
        <v>0.71955277931594896</v>
      </c>
      <c r="K2104">
        <v>0.54587777524301395</v>
      </c>
      <c r="L2104">
        <v>692.33034511141898</v>
      </c>
      <c r="M2104">
        <v>12.8724099711837</v>
      </c>
      <c r="O2104">
        <v>52.5356245914368</v>
      </c>
      <c r="P2104">
        <v>-2.39605072051872E-2</v>
      </c>
      <c r="Q2104">
        <v>0.60891575761981898</v>
      </c>
      <c r="R2104">
        <v>0.92077873301503699</v>
      </c>
      <c r="S2104" t="s">
        <v>8389</v>
      </c>
      <c r="T2104" t="s">
        <v>12568</v>
      </c>
      <c r="U2104" t="s">
        <v>12568</v>
      </c>
      <c r="V2104" t="s">
        <v>12568</v>
      </c>
      <c r="W2104" t="s">
        <v>14638</v>
      </c>
      <c r="X2104">
        <v>12</v>
      </c>
      <c r="Y2104" t="s">
        <v>20820</v>
      </c>
      <c r="Z2104" t="s">
        <v>26974</v>
      </c>
      <c r="AA2104">
        <v>0.79831151266296485</v>
      </c>
      <c r="AB2104" t="str">
        <f>HYPERLINK("Melting_Curves/meltCurve_P39687_ANP32A.pdf", "Melting_Curves/meltCurve_P39687_ANP32A.pdf")</f>
        <v>Melting_Curves/meltCurve_P39687_ANP32A.pdf</v>
      </c>
    </row>
    <row r="2105" spans="1:28" x14ac:dyDescent="0.25">
      <c r="A2105" t="s">
        <v>2109</v>
      </c>
      <c r="B2105">
        <v>0.99352677808782597</v>
      </c>
      <c r="C2105">
        <v>0.80524177003855302</v>
      </c>
      <c r="D2105">
        <v>0.70988476975972703</v>
      </c>
      <c r="E2105">
        <v>0.230410189249351</v>
      </c>
      <c r="F2105">
        <v>0.16780882161643099</v>
      </c>
      <c r="G2105">
        <v>9.5386302212653803E-2</v>
      </c>
      <c r="H2105">
        <v>6.74238086312208E-2</v>
      </c>
      <c r="I2105">
        <v>6.4139169328690404E-2</v>
      </c>
      <c r="J2105">
        <v>5.2021333417319099E-2</v>
      </c>
      <c r="K2105">
        <v>4.00247823030042E-2</v>
      </c>
      <c r="L2105">
        <v>925.89022296370604</v>
      </c>
      <c r="M2105">
        <v>19.629441092820599</v>
      </c>
      <c r="N2105">
        <v>47.431380474585801</v>
      </c>
      <c r="O2105">
        <v>46.6870910300335</v>
      </c>
      <c r="P2105">
        <v>-9.9696724374723197E-2</v>
      </c>
      <c r="Q2105">
        <v>5.1549782104735799E-2</v>
      </c>
      <c r="R2105">
        <v>0.987611435596771</v>
      </c>
      <c r="S2105" t="s">
        <v>8390</v>
      </c>
      <c r="T2105" t="s">
        <v>12568</v>
      </c>
      <c r="U2105" t="s">
        <v>12568</v>
      </c>
      <c r="V2105" t="s">
        <v>12568</v>
      </c>
      <c r="W2105" t="s">
        <v>14639</v>
      </c>
      <c r="X2105">
        <v>19</v>
      </c>
      <c r="Y2105" t="s">
        <v>20821</v>
      </c>
      <c r="Z2105" t="s">
        <v>26975</v>
      </c>
      <c r="AA2105">
        <v>0.29255355701100683</v>
      </c>
      <c r="AB2105" t="str">
        <f>HYPERLINK("Melting_Curves/meltCurve_P39748_FEN1.pdf", "Melting_Curves/meltCurve_P39748_FEN1.pdf")</f>
        <v>Melting_Curves/meltCurve_P39748_FEN1.pdf</v>
      </c>
    </row>
    <row r="2106" spans="1:28" x14ac:dyDescent="0.25">
      <c r="A2106" t="s">
        <v>2110</v>
      </c>
      <c r="B2106">
        <v>0.99352677808782597</v>
      </c>
      <c r="C2106">
        <v>0.95416173593968001</v>
      </c>
      <c r="D2106">
        <v>0.91647140260523496</v>
      </c>
      <c r="E2106">
        <v>0.77890415167970295</v>
      </c>
      <c r="F2106">
        <v>0.62722683734941498</v>
      </c>
      <c r="G2106">
        <v>0.47191985737771402</v>
      </c>
      <c r="H2106">
        <v>0.34482282225337901</v>
      </c>
      <c r="I2106">
        <v>0.336697442218232</v>
      </c>
      <c r="J2106">
        <v>0.36483466008615301</v>
      </c>
      <c r="K2106">
        <v>0.30940940421584301</v>
      </c>
      <c r="L2106">
        <v>780.19772621297295</v>
      </c>
      <c r="M2106">
        <v>14.876661902049401</v>
      </c>
      <c r="N2106">
        <v>55.901724187263397</v>
      </c>
      <c r="O2106">
        <v>51.524134204294597</v>
      </c>
      <c r="P2106">
        <v>-5.04789381257209E-2</v>
      </c>
      <c r="Q2106">
        <v>0.30075380071130198</v>
      </c>
      <c r="R2106">
        <v>0.99537243961825905</v>
      </c>
      <c r="S2106" t="s">
        <v>8391</v>
      </c>
      <c r="T2106" t="s">
        <v>12568</v>
      </c>
      <c r="U2106" t="s">
        <v>12568</v>
      </c>
      <c r="V2106" t="s">
        <v>12568</v>
      </c>
      <c r="W2106" t="s">
        <v>14640</v>
      </c>
      <c r="X2106">
        <v>21</v>
      </c>
      <c r="Y2106" t="s">
        <v>20822</v>
      </c>
      <c r="Z2106" t="s">
        <v>26976</v>
      </c>
      <c r="AA2106">
        <v>0.60638105964190692</v>
      </c>
      <c r="AB2106" t="str">
        <f>HYPERLINK("Melting_Curves/meltCurve_P39880_3_CUX1.pdf", "Melting_Curves/meltCurve_P39880_3_CUX1.pdf")</f>
        <v>Melting_Curves/meltCurve_P39880_3_CUX1.pdf</v>
      </c>
    </row>
    <row r="2107" spans="1:28" x14ac:dyDescent="0.25">
      <c r="A2107" t="s">
        <v>2111</v>
      </c>
      <c r="B2107">
        <v>0.99352677808782597</v>
      </c>
      <c r="C2107">
        <v>0.66342820487075504</v>
      </c>
      <c r="D2107">
        <v>1.1776057059010601</v>
      </c>
      <c r="E2107">
        <v>0.47316090919609799</v>
      </c>
      <c r="F2107">
        <v>0.39538836436987401</v>
      </c>
      <c r="G2107">
        <v>0.122054087788298</v>
      </c>
      <c r="H2107">
        <v>8.0043487487895498E-2</v>
      </c>
      <c r="I2107">
        <v>6.8212208242248704E-2</v>
      </c>
      <c r="J2107">
        <v>5.5945744518730099E-2</v>
      </c>
      <c r="K2107">
        <v>4.3397002112290202E-2</v>
      </c>
      <c r="L2107">
        <v>1207.8588221626401</v>
      </c>
      <c r="M2107">
        <v>23.839377802422099</v>
      </c>
      <c r="N2107">
        <v>50.948438603049802</v>
      </c>
      <c r="O2107">
        <v>50.314076282632797</v>
      </c>
      <c r="P2107">
        <v>-0.11113582194659601</v>
      </c>
      <c r="Q2107">
        <v>6.1786976180817299E-2</v>
      </c>
      <c r="R2107">
        <v>0.87501723950176002</v>
      </c>
      <c r="S2107" t="s">
        <v>8392</v>
      </c>
      <c r="T2107" t="s">
        <v>12568</v>
      </c>
      <c r="U2107" t="s">
        <v>12568</v>
      </c>
      <c r="V2107" t="s">
        <v>12568</v>
      </c>
      <c r="W2107" t="s">
        <v>14641</v>
      </c>
      <c r="X2107">
        <v>13</v>
      </c>
      <c r="Y2107" t="s">
        <v>20823</v>
      </c>
      <c r="Z2107" t="s">
        <v>26977</v>
      </c>
      <c r="AA2107">
        <v>0.40464639553702758</v>
      </c>
      <c r="AB2107" t="str">
        <f>HYPERLINK("Melting_Curves/meltCurve_P40121_2_CAPG.pdf", "Melting_Curves/meltCurve_P40121_2_CAPG.pdf")</f>
        <v>Melting_Curves/meltCurve_P40121_2_CAPG.pdf</v>
      </c>
    </row>
    <row r="2108" spans="1:28" x14ac:dyDescent="0.25">
      <c r="A2108" t="s">
        <v>2112</v>
      </c>
      <c r="B2108">
        <v>0.99352677808782597</v>
      </c>
      <c r="C2108">
        <v>1.02404086374887</v>
      </c>
      <c r="D2108">
        <v>0.83496838754604796</v>
      </c>
      <c r="E2108">
        <v>0.43314494829313999</v>
      </c>
      <c r="F2108">
        <v>0.339659278821976</v>
      </c>
      <c r="G2108">
        <v>0.23229990353157801</v>
      </c>
      <c r="H2108">
        <v>0.145070620641545</v>
      </c>
      <c r="I2108">
        <v>0.13283987017996199</v>
      </c>
      <c r="J2108">
        <v>9.58867544435517E-2</v>
      </c>
      <c r="K2108">
        <v>6.2448039458009003E-2</v>
      </c>
      <c r="L2108">
        <v>936.43003812406698</v>
      </c>
      <c r="M2108">
        <v>18.979160171513801</v>
      </c>
      <c r="N2108">
        <v>50.003625307949903</v>
      </c>
      <c r="O2108">
        <v>48.801913646372299</v>
      </c>
      <c r="P2108">
        <v>-8.6403325342501405E-2</v>
      </c>
      <c r="Q2108">
        <v>0.111345167207637</v>
      </c>
      <c r="R2108">
        <v>0.98600054198281895</v>
      </c>
      <c r="S2108" t="s">
        <v>8393</v>
      </c>
      <c r="T2108" t="s">
        <v>12568</v>
      </c>
      <c r="U2108" t="s">
        <v>12568</v>
      </c>
      <c r="V2108" t="s">
        <v>12568</v>
      </c>
      <c r="W2108" t="s">
        <v>14642</v>
      </c>
      <c r="X2108">
        <v>15</v>
      </c>
      <c r="Y2108" t="s">
        <v>20824</v>
      </c>
      <c r="Z2108" t="s">
        <v>26978</v>
      </c>
      <c r="AA2108">
        <v>0.40179212423431582</v>
      </c>
      <c r="AB2108" t="str">
        <f>HYPERLINK("Melting_Curves/meltCurve_P40123_CAP2.pdf", "Melting_Curves/meltCurve_P40123_CAP2.pdf")</f>
        <v>Melting_Curves/meltCurve_P40123_CAP2.pdf</v>
      </c>
    </row>
    <row r="2109" spans="1:28" x14ac:dyDescent="0.25">
      <c r="A2109" t="s">
        <v>2113</v>
      </c>
      <c r="B2109">
        <v>0.99352677808782597</v>
      </c>
      <c r="C2109">
        <v>0.97380050461914902</v>
      </c>
      <c r="D2109">
        <v>0.93413751148235402</v>
      </c>
      <c r="E2109">
        <v>0.92867406755191495</v>
      </c>
      <c r="F2109">
        <v>1.26657420546521</v>
      </c>
      <c r="G2109">
        <v>0.61243111515996396</v>
      </c>
      <c r="H2109">
        <v>1.71706670303445</v>
      </c>
      <c r="I2109">
        <v>0.98346647948784005</v>
      </c>
      <c r="J2109">
        <v>0.63024858259638705</v>
      </c>
      <c r="K2109">
        <v>0.59810793511633398</v>
      </c>
      <c r="L2109">
        <v>8309.2843792571002</v>
      </c>
      <c r="M2109">
        <v>126.497512288319</v>
      </c>
      <c r="O2109">
        <v>65.670921184943396</v>
      </c>
      <c r="P2109">
        <v>-0.19334157554842099</v>
      </c>
      <c r="Q2109">
        <v>0.59850849757347302</v>
      </c>
      <c r="R2109">
        <v>0.27677786529111598</v>
      </c>
      <c r="S2109" t="s">
        <v>8394</v>
      </c>
      <c r="T2109" t="s">
        <v>12568</v>
      </c>
      <c r="U2109" t="s">
        <v>12568</v>
      </c>
      <c r="V2109" t="s">
        <v>12568</v>
      </c>
      <c r="W2109" t="s">
        <v>14643</v>
      </c>
      <c r="X2109">
        <v>1</v>
      </c>
      <c r="Y2109" t="s">
        <v>20825</v>
      </c>
      <c r="Z2109" t="s">
        <v>26979</v>
      </c>
      <c r="AA2109">
        <v>0.94246096374676713</v>
      </c>
      <c r="AB2109" t="str">
        <f>HYPERLINK("Melting_Curves/meltCurve_P40189_3_IL6ST.pdf", "Melting_Curves/meltCurve_P40189_3_IL6ST.pdf")</f>
        <v>Melting_Curves/meltCurve_P40189_3_IL6ST.pdf</v>
      </c>
    </row>
    <row r="2110" spans="1:28" x14ac:dyDescent="0.25">
      <c r="A2110" t="s">
        <v>2114</v>
      </c>
      <c r="B2110">
        <v>0.99352677808782597</v>
      </c>
      <c r="C2110">
        <v>0.91731851254719499</v>
      </c>
      <c r="D2110">
        <v>0.97410372268965095</v>
      </c>
      <c r="E2110">
        <v>0.74243336233787405</v>
      </c>
      <c r="F2110">
        <v>0.68149949977439095</v>
      </c>
      <c r="G2110">
        <v>0.60859457898656399</v>
      </c>
      <c r="H2110">
        <v>0.51194769967228304</v>
      </c>
      <c r="I2110">
        <v>0.55639175810781305</v>
      </c>
      <c r="J2110">
        <v>0.64333329386197402</v>
      </c>
      <c r="K2110">
        <v>0.54876928981099804</v>
      </c>
      <c r="L2110">
        <v>1021.88072700148</v>
      </c>
      <c r="M2110">
        <v>20.560589928648401</v>
      </c>
      <c r="O2110">
        <v>49.237953516624898</v>
      </c>
      <c r="P2110">
        <v>-4.5312397886498899E-2</v>
      </c>
      <c r="Q2110">
        <v>0.56596098654043403</v>
      </c>
      <c r="R2110">
        <v>0.93974651016850297</v>
      </c>
      <c r="S2110" t="s">
        <v>8395</v>
      </c>
      <c r="T2110" t="s">
        <v>12568</v>
      </c>
      <c r="U2110" t="s">
        <v>12568</v>
      </c>
      <c r="V2110" t="s">
        <v>12568</v>
      </c>
      <c r="W2110" t="s">
        <v>14644</v>
      </c>
      <c r="X2110">
        <v>2</v>
      </c>
      <c r="Y2110" t="s">
        <v>20826</v>
      </c>
      <c r="Z2110" t="s">
        <v>26980</v>
      </c>
      <c r="AA2110">
        <v>0.71204202608993483</v>
      </c>
      <c r="AB2110" t="str">
        <f>HYPERLINK("Melting_Curves/meltCurve_P40199_CEACAM6.pdf", "Melting_Curves/meltCurve_P40199_CEACAM6.pdf")</f>
        <v>Melting_Curves/meltCurve_P40199_CEACAM6.pdf</v>
      </c>
    </row>
    <row r="2111" spans="1:28" x14ac:dyDescent="0.25">
      <c r="A2111" t="s">
        <v>2115</v>
      </c>
      <c r="B2111">
        <v>0.99352677808782597</v>
      </c>
      <c r="C2111">
        <v>0.87728780743545498</v>
      </c>
      <c r="D2111">
        <v>0.88532581895221296</v>
      </c>
      <c r="E2111">
        <v>0.76172810044614803</v>
      </c>
      <c r="F2111">
        <v>0.687943696089791</v>
      </c>
      <c r="G2111">
        <v>0.51833644621935404</v>
      </c>
      <c r="H2111">
        <v>0.444546734324548</v>
      </c>
      <c r="I2111">
        <v>0.43889798795662699</v>
      </c>
      <c r="J2111">
        <v>0.54221453213041204</v>
      </c>
      <c r="K2111">
        <v>0.43342834006618502</v>
      </c>
      <c r="L2111">
        <v>599.80508070418603</v>
      </c>
      <c r="M2111">
        <v>11.751242874913</v>
      </c>
      <c r="N2111">
        <v>60.569337509047401</v>
      </c>
      <c r="O2111">
        <v>49.630986337177099</v>
      </c>
      <c r="P2111">
        <v>-3.4266353199404E-2</v>
      </c>
      <c r="Q2111">
        <v>0.42126012263886398</v>
      </c>
      <c r="R2111">
        <v>0.95236813414527699</v>
      </c>
      <c r="S2111" t="s">
        <v>8396</v>
      </c>
      <c r="T2111" t="s">
        <v>12568</v>
      </c>
      <c r="U2111" t="s">
        <v>12568</v>
      </c>
      <c r="V2111" t="s">
        <v>12568</v>
      </c>
      <c r="W2111" t="s">
        <v>14645</v>
      </c>
      <c r="X2111">
        <v>37</v>
      </c>
      <c r="Y2111" t="s">
        <v>20827</v>
      </c>
      <c r="Z2111" t="s">
        <v>26981</v>
      </c>
      <c r="AA2111">
        <v>0.65366516815543052</v>
      </c>
      <c r="AB2111" t="str">
        <f>HYPERLINK("Melting_Curves/meltCurve_P40222_TXLNA.pdf", "Melting_Curves/meltCurve_P40222_TXLNA.pdf")</f>
        <v>Melting_Curves/meltCurve_P40222_TXLNA.pdf</v>
      </c>
    </row>
    <row r="2112" spans="1:28" x14ac:dyDescent="0.25">
      <c r="A2112" t="s">
        <v>2116</v>
      </c>
      <c r="B2112">
        <v>0.99352677808782597</v>
      </c>
      <c r="C2112">
        <v>0.94800502721828805</v>
      </c>
      <c r="D2112">
        <v>0.722013202429312</v>
      </c>
      <c r="E2112">
        <v>1.4216664226479001</v>
      </c>
      <c r="F2112">
        <v>1.0290679467860999</v>
      </c>
      <c r="G2112">
        <v>0.66111542142758195</v>
      </c>
      <c r="H2112">
        <v>0.171309432715294</v>
      </c>
      <c r="I2112">
        <v>0.13282124990473301</v>
      </c>
      <c r="J2112">
        <v>0.10723177418081301</v>
      </c>
      <c r="K2112">
        <v>7.6477140322464804E-2</v>
      </c>
      <c r="L2112">
        <v>2924.5058728602999</v>
      </c>
      <c r="M2112">
        <v>50.784408226126097</v>
      </c>
      <c r="N2112">
        <v>57.8622319771234</v>
      </c>
      <c r="O2112">
        <v>57.497604108529501</v>
      </c>
      <c r="P2112">
        <v>-0.19709424614707899</v>
      </c>
      <c r="Q2112">
        <v>0.107408101974472</v>
      </c>
      <c r="R2112">
        <v>0.87347413052556</v>
      </c>
      <c r="S2112" t="s">
        <v>8397</v>
      </c>
      <c r="T2112" t="s">
        <v>12568</v>
      </c>
      <c r="U2112" t="s">
        <v>12568</v>
      </c>
      <c r="V2112" t="s">
        <v>12568</v>
      </c>
      <c r="W2112" t="s">
        <v>14646</v>
      </c>
      <c r="X2112">
        <v>27</v>
      </c>
      <c r="Y2112" t="s">
        <v>20828</v>
      </c>
      <c r="Z2112" t="s">
        <v>26982</v>
      </c>
      <c r="AA2112">
        <v>0.63285696927102109</v>
      </c>
      <c r="AB2112" t="str">
        <f>HYPERLINK("Melting_Curves/meltCurve_P40227_CCT6A.pdf", "Melting_Curves/meltCurve_P40227_CCT6A.pdf")</f>
        <v>Melting_Curves/meltCurve_P40227_CCT6A.pdf</v>
      </c>
    </row>
    <row r="2113" spans="1:28" x14ac:dyDescent="0.25">
      <c r="A2113" t="s">
        <v>2117</v>
      </c>
      <c r="B2113">
        <v>0.99352677808782597</v>
      </c>
      <c r="C2113">
        <v>0.87179052016725</v>
      </c>
      <c r="D2113">
        <v>0.98862773702060203</v>
      </c>
      <c r="E2113">
        <v>0.76864687661007003</v>
      </c>
      <c r="F2113">
        <v>0.66003989644438099</v>
      </c>
      <c r="G2113">
        <v>0.25036268557417601</v>
      </c>
      <c r="H2113">
        <v>9.9461705946596396E-2</v>
      </c>
      <c r="I2113">
        <v>9.2211831591871005E-2</v>
      </c>
      <c r="J2113">
        <v>7.3887732567899406E-2</v>
      </c>
      <c r="K2113">
        <v>5.9233407745196601E-2</v>
      </c>
      <c r="L2113">
        <v>1050.53346250049</v>
      </c>
      <c r="M2113">
        <v>19.5116666560338</v>
      </c>
      <c r="N2113">
        <v>54.071301865408799</v>
      </c>
      <c r="O2113">
        <v>53.285307989669199</v>
      </c>
      <c r="P2113">
        <v>-8.7901041110827902E-2</v>
      </c>
      <c r="Q2113">
        <v>3.9822476261298201E-2</v>
      </c>
      <c r="R2113">
        <v>0.98303859734977195</v>
      </c>
      <c r="S2113" t="s">
        <v>8398</v>
      </c>
      <c r="T2113" t="s">
        <v>12568</v>
      </c>
      <c r="U2113" t="s">
        <v>12568</v>
      </c>
      <c r="V2113" t="s">
        <v>12568</v>
      </c>
      <c r="W2113" t="s">
        <v>14647</v>
      </c>
      <c r="X2113">
        <v>13</v>
      </c>
      <c r="Y2113" t="s">
        <v>20829</v>
      </c>
      <c r="Z2113" t="s">
        <v>26983</v>
      </c>
      <c r="AA2113">
        <v>0.49643927234164731</v>
      </c>
      <c r="AB2113" t="str">
        <f>HYPERLINK("Melting_Curves/meltCurve_P40261_NNMT.pdf", "Melting_Curves/meltCurve_P40261_NNMT.pdf")</f>
        <v>Melting_Curves/meltCurve_P40261_NNMT.pdf</v>
      </c>
    </row>
    <row r="2114" spans="1:28" x14ac:dyDescent="0.25">
      <c r="A2114" t="s">
        <v>2118</v>
      </c>
      <c r="B2114">
        <v>0.99352677808782597</v>
      </c>
      <c r="C2114">
        <v>0.89898610459772399</v>
      </c>
      <c r="D2114">
        <v>0.86066630666196897</v>
      </c>
      <c r="E2114">
        <v>1.1479335244342499</v>
      </c>
      <c r="F2114">
        <v>0.99756402100883101</v>
      </c>
      <c r="G2114">
        <v>0.85842061907260403</v>
      </c>
      <c r="H2114">
        <v>1.14319989046138</v>
      </c>
      <c r="I2114">
        <v>1.1685659566905899</v>
      </c>
      <c r="J2114">
        <v>1.2640198411534</v>
      </c>
      <c r="K2114">
        <v>0.85446761929040604</v>
      </c>
      <c r="L2114">
        <v>3364.7674793742399</v>
      </c>
      <c r="M2114">
        <v>56.530321154995697</v>
      </c>
      <c r="O2114">
        <v>59.447117267437903</v>
      </c>
      <c r="P2114">
        <v>2.5540127102214701E-2</v>
      </c>
      <c r="Q2114">
        <v>1.1074316291451001</v>
      </c>
      <c r="R2114">
        <v>0.183105257198759</v>
      </c>
      <c r="S2114" t="s">
        <v>8399</v>
      </c>
      <c r="T2114" t="s">
        <v>12568</v>
      </c>
      <c r="U2114" t="s">
        <v>12568</v>
      </c>
      <c r="V2114" t="s">
        <v>12568</v>
      </c>
      <c r="W2114" t="s">
        <v>14648</v>
      </c>
      <c r="X2114">
        <v>6</v>
      </c>
      <c r="Y2114" t="s">
        <v>20830</v>
      </c>
      <c r="Z2114" t="s">
        <v>26984</v>
      </c>
      <c r="AA2114">
        <v>1.037304966723384</v>
      </c>
      <c r="AB2114" t="str">
        <f>HYPERLINK("Melting_Curves/meltCurve_P40306_PSMB10.pdf", "Melting_Curves/meltCurve_P40306_PSMB10.pdf")</f>
        <v>Melting_Curves/meltCurve_P40306_PSMB10.pdf</v>
      </c>
    </row>
    <row r="2115" spans="1:28" x14ac:dyDescent="0.25">
      <c r="A2115" t="s">
        <v>2119</v>
      </c>
      <c r="B2115">
        <v>0.99352677808782597</v>
      </c>
      <c r="C2115">
        <v>0.80573409277194097</v>
      </c>
      <c r="D2115">
        <v>0.622098851795722</v>
      </c>
      <c r="E2115">
        <v>0.34480658473189102</v>
      </c>
      <c r="F2115">
        <v>0.29926906474181802</v>
      </c>
      <c r="G2115">
        <v>0.215547392336429</v>
      </c>
      <c r="H2115">
        <v>0.142030582745477</v>
      </c>
      <c r="I2115">
        <v>0.115565390391539</v>
      </c>
      <c r="J2115">
        <v>9.0698150198899E-2</v>
      </c>
      <c r="K2115">
        <v>6.7509275663812096E-2</v>
      </c>
      <c r="L2115">
        <v>637.28029945466801</v>
      </c>
      <c r="M2115">
        <v>13.4668950125376</v>
      </c>
      <c r="N2115">
        <v>48.022150752228001</v>
      </c>
      <c r="O2115">
        <v>46.315076802506503</v>
      </c>
      <c r="P2115">
        <v>-6.6222480155372201E-2</v>
      </c>
      <c r="Q2115">
        <v>8.9136151888575793E-2</v>
      </c>
      <c r="R2115">
        <v>0.98874193744338901</v>
      </c>
      <c r="S2115" t="s">
        <v>8400</v>
      </c>
      <c r="T2115" t="s">
        <v>12568</v>
      </c>
      <c r="U2115" t="s">
        <v>12568</v>
      </c>
      <c r="V2115" t="s">
        <v>12568</v>
      </c>
      <c r="W2115" t="s">
        <v>14649</v>
      </c>
      <c r="X2115">
        <v>3</v>
      </c>
      <c r="Y2115" t="s">
        <v>20831</v>
      </c>
      <c r="Z2115" t="s">
        <v>26985</v>
      </c>
      <c r="AA2115">
        <v>0.34152765497286719</v>
      </c>
      <c r="AB2115" t="str">
        <f>HYPERLINK("Melting_Curves/meltCurve_P40337_3_VHL.pdf", "Melting_Curves/meltCurve_P40337_3_VHL.pdf")</f>
        <v>Melting_Curves/meltCurve_P40337_3_VHL.pdf</v>
      </c>
    </row>
    <row r="2116" spans="1:28" x14ac:dyDescent="0.25">
      <c r="A2116" t="s">
        <v>2120</v>
      </c>
      <c r="B2116">
        <v>0.99352677808782597</v>
      </c>
      <c r="C2116">
        <v>0.89223993507596699</v>
      </c>
      <c r="D2116">
        <v>1.32488403808723</v>
      </c>
      <c r="E2116">
        <v>0.487377454450727</v>
      </c>
      <c r="F2116">
        <v>0.452430774309935</v>
      </c>
      <c r="G2116">
        <v>0.24025699580048401</v>
      </c>
      <c r="H2116">
        <v>0.120912840777179</v>
      </c>
      <c r="I2116">
        <v>0.113166737050772</v>
      </c>
      <c r="J2116">
        <v>7.97882776325987E-2</v>
      </c>
      <c r="K2116">
        <v>5.98918942029966E-2</v>
      </c>
      <c r="L2116">
        <v>1330.6952808517999</v>
      </c>
      <c r="M2116">
        <v>26.093502587555999</v>
      </c>
      <c r="N2116">
        <v>51.499325401347903</v>
      </c>
      <c r="O2116">
        <v>50.700490744635701</v>
      </c>
      <c r="P2116">
        <v>-0.11421502062217601</v>
      </c>
      <c r="Q2116">
        <v>0.112316670679058</v>
      </c>
      <c r="R2116">
        <v>0.88776598072229895</v>
      </c>
      <c r="S2116" t="s">
        <v>8401</v>
      </c>
      <c r="T2116" t="s">
        <v>12568</v>
      </c>
      <c r="U2116" t="s">
        <v>12568</v>
      </c>
      <c r="V2116" t="s">
        <v>12568</v>
      </c>
      <c r="W2116" t="s">
        <v>14650</v>
      </c>
      <c r="X2116">
        <v>6</v>
      </c>
      <c r="Y2116" t="s">
        <v>20832</v>
      </c>
      <c r="Z2116" t="s">
        <v>26986</v>
      </c>
      <c r="AA2116">
        <v>0.44508676954068288</v>
      </c>
      <c r="AB2116" t="str">
        <f>HYPERLINK("Melting_Curves/meltCurve_P40429_RPL13A.pdf", "Melting_Curves/meltCurve_P40429_RPL13A.pdf")</f>
        <v>Melting_Curves/meltCurve_P40429_RPL13A.pdf</v>
      </c>
    </row>
    <row r="2117" spans="1:28" x14ac:dyDescent="0.25">
      <c r="A2117" t="s">
        <v>2121</v>
      </c>
      <c r="B2117">
        <v>0.99352677808782597</v>
      </c>
      <c r="C2117">
        <v>0.60177059287308998</v>
      </c>
      <c r="D2117">
        <v>0.44986979371508101</v>
      </c>
      <c r="E2117">
        <v>0.255213954150733</v>
      </c>
      <c r="F2117">
        <v>0.21533550601228099</v>
      </c>
      <c r="G2117">
        <v>0.12383236374599101</v>
      </c>
      <c r="H2117">
        <v>8.5896127190640298E-2</v>
      </c>
      <c r="I2117">
        <v>7.7836918232196101E-2</v>
      </c>
      <c r="J2117">
        <v>7.7540787704700603E-2</v>
      </c>
      <c r="K2117">
        <v>5.35687221526868E-2</v>
      </c>
      <c r="L2117">
        <v>677.41096864782105</v>
      </c>
      <c r="M2117">
        <v>15.102766790307999</v>
      </c>
      <c r="N2117">
        <v>45.367681195456903</v>
      </c>
      <c r="O2117">
        <v>44.089086560057403</v>
      </c>
      <c r="P2117">
        <v>-7.8908403813096703E-2</v>
      </c>
      <c r="Q2117">
        <v>7.8669956490537901E-2</v>
      </c>
      <c r="R2117">
        <v>0.96776590949171104</v>
      </c>
      <c r="S2117" t="s">
        <v>8402</v>
      </c>
      <c r="T2117" t="s">
        <v>12568</v>
      </c>
      <c r="U2117" t="s">
        <v>12568</v>
      </c>
      <c r="V2117" t="s">
        <v>12568</v>
      </c>
      <c r="W2117" t="s">
        <v>14651</v>
      </c>
      <c r="X2117">
        <v>11</v>
      </c>
      <c r="Y2117" t="s">
        <v>20833</v>
      </c>
      <c r="Z2117" t="s">
        <v>26987</v>
      </c>
      <c r="AA2117">
        <v>0.25737193824193588</v>
      </c>
      <c r="AB2117" t="str">
        <f>HYPERLINK("Melting_Curves/meltCurve_P40692_MLH1.pdf", "Melting_Curves/meltCurve_P40692_MLH1.pdf")</f>
        <v>Melting_Curves/meltCurve_P40692_MLH1.pdf</v>
      </c>
    </row>
    <row r="2118" spans="1:28" x14ac:dyDescent="0.25">
      <c r="A2118" t="s">
        <v>2122</v>
      </c>
      <c r="B2118">
        <v>0.99352677808782597</v>
      </c>
      <c r="C2118">
        <v>0.97471484740757197</v>
      </c>
      <c r="D2118">
        <v>0.75931054873224901</v>
      </c>
      <c r="E2118">
        <v>0.43363010244347999</v>
      </c>
      <c r="F2118">
        <v>0.34616000295827898</v>
      </c>
      <c r="G2118">
        <v>0.15310040132015301</v>
      </c>
      <c r="H2118">
        <v>0.105565104426385</v>
      </c>
      <c r="I2118">
        <v>0.105916188669321</v>
      </c>
      <c r="J2118">
        <v>8.7177463561228893E-2</v>
      </c>
      <c r="K2118">
        <v>6.41951689732735E-2</v>
      </c>
      <c r="L2118">
        <v>811.56064836140399</v>
      </c>
      <c r="M2118">
        <v>16.503294913037202</v>
      </c>
      <c r="N2118">
        <v>49.665225673602698</v>
      </c>
      <c r="O2118">
        <v>48.470648588965297</v>
      </c>
      <c r="P2118">
        <v>-7.8735917729627902E-2</v>
      </c>
      <c r="Q2118">
        <v>7.5065667260953206E-2</v>
      </c>
      <c r="R2118">
        <v>0.99335905727631102</v>
      </c>
      <c r="S2118" t="s">
        <v>8403</v>
      </c>
      <c r="T2118" t="s">
        <v>12568</v>
      </c>
      <c r="U2118" t="s">
        <v>12568</v>
      </c>
      <c r="V2118" t="s">
        <v>12568</v>
      </c>
      <c r="W2118" t="s">
        <v>14652</v>
      </c>
      <c r="X2118">
        <v>26</v>
      </c>
      <c r="Y2118" t="s">
        <v>20834</v>
      </c>
      <c r="Z2118" t="s">
        <v>26988</v>
      </c>
      <c r="AA2118">
        <v>0.37688467057509201</v>
      </c>
      <c r="AB2118" t="str">
        <f>HYPERLINK("Melting_Curves/meltCurve_P40763_STAT3.pdf", "Melting_Curves/meltCurve_P40763_STAT3.pdf")</f>
        <v>Melting_Curves/meltCurve_P40763_STAT3.pdf</v>
      </c>
    </row>
    <row r="2119" spans="1:28" x14ac:dyDescent="0.25">
      <c r="A2119" t="s">
        <v>2123</v>
      </c>
      <c r="B2119">
        <v>0.99352677808782597</v>
      </c>
      <c r="C2119">
        <v>0.97215358372330596</v>
      </c>
      <c r="D2119">
        <v>0.92309591966430005</v>
      </c>
      <c r="E2119">
        <v>0.45581129116395702</v>
      </c>
      <c r="F2119">
        <v>0.439397016130674</v>
      </c>
      <c r="G2119">
        <v>0.20397611915271999</v>
      </c>
      <c r="H2119">
        <v>0.147551552305311</v>
      </c>
      <c r="I2119">
        <v>0.15209497805741901</v>
      </c>
      <c r="J2119">
        <v>0.129200370828397</v>
      </c>
      <c r="K2119">
        <v>0.10161678724902599</v>
      </c>
      <c r="L2119">
        <v>927.13426286491699</v>
      </c>
      <c r="M2119">
        <v>18.5413390450964</v>
      </c>
      <c r="N2119">
        <v>50.784206947785997</v>
      </c>
      <c r="O2119">
        <v>49.432862429479698</v>
      </c>
      <c r="P2119">
        <v>-8.2147532860532599E-2</v>
      </c>
      <c r="Q2119">
        <v>0.12398793811848199</v>
      </c>
      <c r="R2119">
        <v>0.98022946486844298</v>
      </c>
      <c r="S2119" t="s">
        <v>8404</v>
      </c>
      <c r="T2119" t="s">
        <v>12568</v>
      </c>
      <c r="U2119" t="s">
        <v>12568</v>
      </c>
      <c r="V2119" t="s">
        <v>12568</v>
      </c>
      <c r="W2119" t="s">
        <v>14653</v>
      </c>
      <c r="X2119">
        <v>26</v>
      </c>
      <c r="Y2119" t="s">
        <v>20834</v>
      </c>
      <c r="Z2119" t="s">
        <v>26989</v>
      </c>
      <c r="AA2119">
        <v>0.43021577898643087</v>
      </c>
      <c r="AB2119" t="str">
        <f>HYPERLINK("Melting_Curves/meltCurve_P40763_2_STAT3.pdf", "Melting_Curves/meltCurve_P40763_2_STAT3.pdf")</f>
        <v>Melting_Curves/meltCurve_P40763_2_STAT3.pdf</v>
      </c>
    </row>
    <row r="2120" spans="1:28" x14ac:dyDescent="0.25">
      <c r="A2120" t="s">
        <v>2124</v>
      </c>
      <c r="B2120">
        <v>0.99352677808782597</v>
      </c>
      <c r="C2120">
        <v>0.96934335757485801</v>
      </c>
      <c r="D2120">
        <v>0.89689439390012005</v>
      </c>
      <c r="E2120">
        <v>0.32752556365527702</v>
      </c>
      <c r="F2120">
        <v>0.27613975022047099</v>
      </c>
      <c r="G2120">
        <v>0.176582623270229</v>
      </c>
      <c r="H2120">
        <v>0.127156010104053</v>
      </c>
      <c r="I2120">
        <v>0.128750594539946</v>
      </c>
      <c r="J2120">
        <v>0.10955662468715301</v>
      </c>
      <c r="K2120">
        <v>9.2518966310762701E-2</v>
      </c>
      <c r="L2120">
        <v>1522.5649356518099</v>
      </c>
      <c r="M2120">
        <v>31.413103935658199</v>
      </c>
      <c r="N2120">
        <v>48.960227420064001</v>
      </c>
      <c r="O2120">
        <v>48.273945860169299</v>
      </c>
      <c r="P2120">
        <v>-0.14069661935203101</v>
      </c>
      <c r="Q2120">
        <v>0.13514510948344499</v>
      </c>
      <c r="R2120">
        <v>0.98892483338668302</v>
      </c>
      <c r="S2120" t="s">
        <v>8405</v>
      </c>
      <c r="T2120" t="s">
        <v>12568</v>
      </c>
      <c r="U2120" t="s">
        <v>12568</v>
      </c>
      <c r="V2120" t="s">
        <v>12568</v>
      </c>
      <c r="W2120" t="s">
        <v>14654</v>
      </c>
      <c r="X2120">
        <v>25</v>
      </c>
      <c r="Y2120" t="s">
        <v>20835</v>
      </c>
      <c r="Z2120" t="s">
        <v>26990</v>
      </c>
      <c r="AA2120">
        <v>0.38405316862390237</v>
      </c>
      <c r="AB2120" t="str">
        <f>HYPERLINK("Melting_Curves/meltCurve_P40818_USP8.pdf", "Melting_Curves/meltCurve_P40818_USP8.pdf")</f>
        <v>Melting_Curves/meltCurve_P40818_USP8.pdf</v>
      </c>
    </row>
    <row r="2121" spans="1:28" x14ac:dyDescent="0.25">
      <c r="A2121" t="s">
        <v>2125</v>
      </c>
      <c r="B2121">
        <v>0.99352677808782597</v>
      </c>
      <c r="C2121">
        <v>0.89186591576185603</v>
      </c>
      <c r="D2121">
        <v>1.00402238901272</v>
      </c>
      <c r="E2121">
        <v>0.95401992124470003</v>
      </c>
      <c r="F2121">
        <v>0.94558959710552903</v>
      </c>
      <c r="G2121">
        <v>0.73029324303445398</v>
      </c>
      <c r="H2121">
        <v>0.19786307090342201</v>
      </c>
      <c r="I2121">
        <v>9.2064193017507304E-2</v>
      </c>
      <c r="J2121">
        <v>6.2122425064430602E-2</v>
      </c>
      <c r="K2121">
        <v>5.3274537039241399E-2</v>
      </c>
      <c r="L2121">
        <v>2172.8581478777101</v>
      </c>
      <c r="M2121">
        <v>37.248200614690298</v>
      </c>
      <c r="N2121">
        <v>58.508767827976001</v>
      </c>
      <c r="O2121">
        <v>58.167207607749098</v>
      </c>
      <c r="P2121">
        <v>-0.15168957337615899</v>
      </c>
      <c r="Q2121">
        <v>5.2482121876041003E-2</v>
      </c>
      <c r="R2121">
        <v>0.99103487717946703</v>
      </c>
      <c r="S2121" t="s">
        <v>8406</v>
      </c>
      <c r="T2121" t="s">
        <v>12568</v>
      </c>
      <c r="U2121" t="s">
        <v>12568</v>
      </c>
      <c r="V2121" t="s">
        <v>12568</v>
      </c>
      <c r="W2121" t="s">
        <v>14655</v>
      </c>
      <c r="X2121">
        <v>21</v>
      </c>
      <c r="Y2121" t="s">
        <v>20836</v>
      </c>
      <c r="Z2121" t="s">
        <v>26991</v>
      </c>
      <c r="AA2121">
        <v>0.63581990696812796</v>
      </c>
      <c r="AB2121" t="str">
        <f>HYPERLINK("Melting_Curves/meltCurve_P40925_MDH1.pdf", "Melting_Curves/meltCurve_P40925_MDH1.pdf")</f>
        <v>Melting_Curves/meltCurve_P40925_MDH1.pdf</v>
      </c>
    </row>
    <row r="2122" spans="1:28" x14ac:dyDescent="0.25">
      <c r="A2122" t="s">
        <v>2126</v>
      </c>
      <c r="B2122">
        <v>0.99352677808782597</v>
      </c>
      <c r="C2122">
        <v>0.99910650818776703</v>
      </c>
      <c r="D2122">
        <v>0.98803992980609101</v>
      </c>
      <c r="E2122">
        <v>0.92777684326184395</v>
      </c>
      <c r="F2122">
        <v>0.82612722415381601</v>
      </c>
      <c r="G2122">
        <v>0.67581560273378505</v>
      </c>
      <c r="H2122">
        <v>0.35632158752156001</v>
      </c>
      <c r="I2122">
        <v>0.117696682566311</v>
      </c>
      <c r="J2122">
        <v>7.4486387300457493E-2</v>
      </c>
      <c r="K2122">
        <v>6.3949942398227599E-2</v>
      </c>
      <c r="L2122">
        <v>1086.69809855323</v>
      </c>
      <c r="M2122">
        <v>18.523040059615401</v>
      </c>
      <c r="N2122">
        <v>58.667373919985202</v>
      </c>
      <c r="O2122">
        <v>57.9964200890063</v>
      </c>
      <c r="P2122">
        <v>-7.9849151024474097E-2</v>
      </c>
      <c r="Q2122">
        <v>0</v>
      </c>
      <c r="R2122">
        <v>0.99292696397506297</v>
      </c>
      <c r="S2122" t="s">
        <v>8407</v>
      </c>
      <c r="T2122" t="s">
        <v>12568</v>
      </c>
      <c r="U2122" t="s">
        <v>12568</v>
      </c>
      <c r="V2122" t="s">
        <v>12568</v>
      </c>
      <c r="W2122" t="s">
        <v>14656</v>
      </c>
      <c r="X2122">
        <v>24</v>
      </c>
      <c r="Y2122" t="s">
        <v>20837</v>
      </c>
      <c r="Z2122" t="s">
        <v>26992</v>
      </c>
      <c r="AA2122">
        <v>0.63331930937385272</v>
      </c>
      <c r="AB2122" t="str">
        <f>HYPERLINK("Melting_Curves/meltCurve_P40926_MDH2.pdf", "Melting_Curves/meltCurve_P40926_MDH2.pdf")</f>
        <v>Melting_Curves/meltCurve_P40926_MDH2.pdf</v>
      </c>
    </row>
    <row r="2123" spans="1:28" x14ac:dyDescent="0.25">
      <c r="A2123" t="s">
        <v>2127</v>
      </c>
      <c r="B2123">
        <v>0.99352677808782597</v>
      </c>
      <c r="C2123">
        <v>0.85243189891443605</v>
      </c>
      <c r="D2123">
        <v>0.66601673066375899</v>
      </c>
      <c r="E2123">
        <v>0.28304929703927201</v>
      </c>
      <c r="F2123">
        <v>0.22872076949718401</v>
      </c>
      <c r="G2123">
        <v>0.121392407739303</v>
      </c>
      <c r="H2123">
        <v>8.6788919550535498E-2</v>
      </c>
      <c r="I2123">
        <v>7.9523336398856101E-2</v>
      </c>
      <c r="J2123">
        <v>6.3778430701889405E-2</v>
      </c>
      <c r="K2123">
        <v>5.3452841066461899E-2</v>
      </c>
      <c r="L2123">
        <v>839.79866852144801</v>
      </c>
      <c r="M2123">
        <v>17.7597167355379</v>
      </c>
      <c r="N2123">
        <v>47.677662529010703</v>
      </c>
      <c r="O2123">
        <v>46.6993962188266</v>
      </c>
      <c r="P2123">
        <v>-8.8637058676335895E-2</v>
      </c>
      <c r="Q2123">
        <v>6.7759436820115898E-2</v>
      </c>
      <c r="R2123">
        <v>0.99526392267382002</v>
      </c>
      <c r="S2123" t="s">
        <v>8408</v>
      </c>
      <c r="T2123" t="s">
        <v>12568</v>
      </c>
      <c r="U2123" t="s">
        <v>12568</v>
      </c>
      <c r="V2123" t="s">
        <v>12568</v>
      </c>
      <c r="W2123" t="s">
        <v>14657</v>
      </c>
      <c r="X2123">
        <v>4</v>
      </c>
      <c r="Y2123" t="s">
        <v>20838</v>
      </c>
      <c r="Z2123" t="s">
        <v>26993</v>
      </c>
      <c r="AA2123">
        <v>0.31166342226964328</v>
      </c>
      <c r="AB2123" t="str">
        <f>HYPERLINK("Melting_Curves/meltCurve_P40937_RFC5.pdf", "Melting_Curves/meltCurve_P40937_RFC5.pdf")</f>
        <v>Melting_Curves/meltCurve_P40937_RFC5.pdf</v>
      </c>
    </row>
    <row r="2124" spans="1:28" x14ac:dyDescent="0.25">
      <c r="A2124" t="s">
        <v>2128</v>
      </c>
      <c r="B2124">
        <v>0.99352677808782597</v>
      </c>
      <c r="C2124">
        <v>0.86845893873105096</v>
      </c>
      <c r="D2124">
        <v>0.64875989084550301</v>
      </c>
      <c r="E2124">
        <v>0.33217401026226601</v>
      </c>
      <c r="F2124">
        <v>0.305099761606762</v>
      </c>
      <c r="G2124">
        <v>0.15213779914514</v>
      </c>
      <c r="H2124">
        <v>0.10479030406642199</v>
      </c>
      <c r="I2124">
        <v>0.105949103106363</v>
      </c>
      <c r="J2124">
        <v>6.9167972777927994E-2</v>
      </c>
      <c r="K2124">
        <v>4.6363502622065803E-2</v>
      </c>
      <c r="L2124">
        <v>713.46475232186299</v>
      </c>
      <c r="M2124">
        <v>14.9487728657336</v>
      </c>
      <c r="N2124">
        <v>48.207904012988898</v>
      </c>
      <c r="O2124">
        <v>46.897643411885198</v>
      </c>
      <c r="P2124">
        <v>-7.4179279629068104E-2</v>
      </c>
      <c r="Q2124">
        <v>6.9227349520415399E-2</v>
      </c>
      <c r="R2124">
        <v>0.99067893972882903</v>
      </c>
      <c r="S2124" t="s">
        <v>8409</v>
      </c>
      <c r="T2124" t="s">
        <v>12568</v>
      </c>
      <c r="U2124" t="s">
        <v>12568</v>
      </c>
      <c r="V2124" t="s">
        <v>12568</v>
      </c>
      <c r="W2124" t="s">
        <v>14658</v>
      </c>
      <c r="X2124">
        <v>7</v>
      </c>
      <c r="Y2124" t="s">
        <v>20839</v>
      </c>
      <c r="Z2124" t="s">
        <v>26994</v>
      </c>
      <c r="AA2124">
        <v>0.333413449075666</v>
      </c>
      <c r="AB2124" t="str">
        <f>HYPERLINK("Melting_Curves/meltCurve_P40938_RFC3.pdf", "Melting_Curves/meltCurve_P40938_RFC3.pdf")</f>
        <v>Melting_Curves/meltCurve_P40938_RFC3.pdf</v>
      </c>
    </row>
    <row r="2125" spans="1:28" x14ac:dyDescent="0.25">
      <c r="A2125" t="s">
        <v>2129</v>
      </c>
      <c r="B2125">
        <v>0.99352677808782597</v>
      </c>
      <c r="C2125">
        <v>0.95904421852594401</v>
      </c>
      <c r="D2125">
        <v>0.83543944332355902</v>
      </c>
      <c r="E2125">
        <v>0.458336769970413</v>
      </c>
      <c r="F2125">
        <v>0.34353672577852101</v>
      </c>
      <c r="G2125">
        <v>0.17288863885651001</v>
      </c>
      <c r="H2125">
        <v>9.1961125023957702E-2</v>
      </c>
      <c r="I2125">
        <v>8.0678517244364797E-2</v>
      </c>
      <c r="J2125">
        <v>6.7602703580558907E-2</v>
      </c>
      <c r="K2125">
        <v>5.2322211834199599E-2</v>
      </c>
      <c r="L2125">
        <v>843.17121620296098</v>
      </c>
      <c r="M2125">
        <v>16.938739667494701</v>
      </c>
      <c r="N2125">
        <v>50.1443065203053</v>
      </c>
      <c r="O2125">
        <v>49.099435787129401</v>
      </c>
      <c r="P2125">
        <v>-8.1229038205914594E-2</v>
      </c>
      <c r="Q2125">
        <v>5.8241724732651899E-2</v>
      </c>
      <c r="R2125">
        <v>0.99582178088349005</v>
      </c>
      <c r="S2125" t="s">
        <v>8410</v>
      </c>
      <c r="T2125" t="s">
        <v>12568</v>
      </c>
      <c r="U2125" t="s">
        <v>12568</v>
      </c>
      <c r="V2125" t="s">
        <v>12568</v>
      </c>
      <c r="W2125" t="s">
        <v>14659</v>
      </c>
      <c r="X2125">
        <v>22</v>
      </c>
      <c r="Y2125" t="s">
        <v>20840</v>
      </c>
      <c r="Z2125" t="s">
        <v>26995</v>
      </c>
      <c r="AA2125">
        <v>0.38326505176892739</v>
      </c>
      <c r="AB2125" t="str">
        <f>HYPERLINK("Melting_Curves/meltCurve_P40939_HADHA.pdf", "Melting_Curves/meltCurve_P40939_HADHA.pdf")</f>
        <v>Melting_Curves/meltCurve_P40939_HADHA.pdf</v>
      </c>
    </row>
    <row r="2126" spans="1:28" x14ac:dyDescent="0.25">
      <c r="A2126" t="s">
        <v>2130</v>
      </c>
      <c r="B2126">
        <v>0.99352677808782597</v>
      </c>
      <c r="C2126">
        <v>0.93175709009688301</v>
      </c>
      <c r="D2126">
        <v>0.86813780444447397</v>
      </c>
      <c r="E2126">
        <v>0.82412952842903497</v>
      </c>
      <c r="F2126">
        <v>0.702976663362196</v>
      </c>
      <c r="G2126">
        <v>0.35151363872098301</v>
      </c>
      <c r="H2126">
        <v>0.132100126338239</v>
      </c>
      <c r="I2126">
        <v>0.106644146398886</v>
      </c>
      <c r="J2126">
        <v>9.3054916377071598E-2</v>
      </c>
      <c r="K2126">
        <v>7.1366247066711699E-2</v>
      </c>
      <c r="L2126">
        <v>900.66253251173703</v>
      </c>
      <c r="M2126">
        <v>16.4395828319286</v>
      </c>
      <c r="N2126">
        <v>54.970872472026798</v>
      </c>
      <c r="O2126">
        <v>53.994798583537602</v>
      </c>
      <c r="P2126">
        <v>-7.4077005649815397E-2</v>
      </c>
      <c r="Q2126">
        <v>2.6863131523689798E-2</v>
      </c>
      <c r="R2126">
        <v>0.98657957121210604</v>
      </c>
      <c r="S2126" t="s">
        <v>8411</v>
      </c>
      <c r="T2126" t="s">
        <v>12568</v>
      </c>
      <c r="U2126" t="s">
        <v>12568</v>
      </c>
      <c r="V2126" t="s">
        <v>12568</v>
      </c>
      <c r="W2126" t="s">
        <v>14660</v>
      </c>
      <c r="X2126">
        <v>21</v>
      </c>
      <c r="Y2126" t="s">
        <v>20841</v>
      </c>
      <c r="Z2126" t="s">
        <v>26996</v>
      </c>
      <c r="AA2126">
        <v>0.52359681398087499</v>
      </c>
      <c r="AB2126" t="str">
        <f>HYPERLINK("Melting_Curves/meltCurve_P41091_EIF2S3.pdf", "Melting_Curves/meltCurve_P41091_EIF2S3.pdf")</f>
        <v>Melting_Curves/meltCurve_P41091_EIF2S3.pdf</v>
      </c>
    </row>
    <row r="2127" spans="1:28" x14ac:dyDescent="0.25">
      <c r="A2127" t="s">
        <v>2131</v>
      </c>
      <c r="B2127">
        <v>0.99352677808782597</v>
      </c>
      <c r="C2127">
        <v>0.96062240184277403</v>
      </c>
      <c r="D2127">
        <v>1.0217355447161101</v>
      </c>
      <c r="E2127">
        <v>0.99281483033062801</v>
      </c>
      <c r="F2127">
        <v>0.77012733386269505</v>
      </c>
      <c r="G2127">
        <v>0.74687007110801595</v>
      </c>
      <c r="H2127">
        <v>0.61744029048642302</v>
      </c>
      <c r="I2127">
        <v>0.63820435183393198</v>
      </c>
      <c r="J2127">
        <v>0.73820991081454801</v>
      </c>
      <c r="K2127">
        <v>0.70246275224497501</v>
      </c>
      <c r="L2127">
        <v>3758.0837039746798</v>
      </c>
      <c r="M2127">
        <v>71.913981459506601</v>
      </c>
      <c r="O2127">
        <v>52.217673376685703</v>
      </c>
      <c r="P2127">
        <v>-0.10733334365479</v>
      </c>
      <c r="Q2127">
        <v>0.68825554183845195</v>
      </c>
      <c r="R2127">
        <v>0.92976344169048797</v>
      </c>
      <c r="S2127" t="s">
        <v>8412</v>
      </c>
      <c r="T2127" t="s">
        <v>12568</v>
      </c>
      <c r="U2127" t="s">
        <v>12568</v>
      </c>
      <c r="V2127" t="s">
        <v>12568</v>
      </c>
      <c r="W2127" t="s">
        <v>14661</v>
      </c>
      <c r="X2127">
        <v>3</v>
      </c>
      <c r="Y2127" t="s">
        <v>20842</v>
      </c>
      <c r="Z2127" t="s">
        <v>26997</v>
      </c>
      <c r="AA2127">
        <v>0.81598111705538579</v>
      </c>
      <c r="AB2127" t="str">
        <f>HYPERLINK("Melting_Curves/meltCurve_P41134_2_ID1.pdf", "Melting_Curves/meltCurve_P41134_2_ID1.pdf")</f>
        <v>Melting_Curves/meltCurve_P41134_2_ID1.pdf</v>
      </c>
    </row>
    <row r="2128" spans="1:28" x14ac:dyDescent="0.25">
      <c r="A2128" t="s">
        <v>2132</v>
      </c>
      <c r="B2128">
        <v>0.99352677808782597</v>
      </c>
      <c r="C2128">
        <v>1.0988590135107299</v>
      </c>
      <c r="D2128">
        <v>0.74182623315611096</v>
      </c>
      <c r="E2128">
        <v>0.76568387682846295</v>
      </c>
      <c r="F2128">
        <v>0.99642130758239</v>
      </c>
      <c r="G2128">
        <v>0.933145424023888</v>
      </c>
      <c r="H2128">
        <v>1.06108569107464</v>
      </c>
      <c r="I2128">
        <v>0.97826189165076005</v>
      </c>
      <c r="J2128">
        <v>0.69383013613761702</v>
      </c>
      <c r="K2128">
        <v>0.70274927351236705</v>
      </c>
      <c r="L2128">
        <v>15000</v>
      </c>
      <c r="M2128">
        <v>231.82034620534901</v>
      </c>
      <c r="O2128">
        <v>64.7004631267516</v>
      </c>
      <c r="P2128">
        <v>-0.27030199705444002</v>
      </c>
      <c r="Q2128">
        <v>0.69823763037985198</v>
      </c>
      <c r="R2128">
        <v>0.35091843655434402</v>
      </c>
      <c r="S2128" t="s">
        <v>8413</v>
      </c>
      <c r="T2128" t="s">
        <v>12568</v>
      </c>
      <c r="U2128" t="s">
        <v>12568</v>
      </c>
      <c r="V2128" t="s">
        <v>12568</v>
      </c>
      <c r="W2128" t="s">
        <v>14662</v>
      </c>
      <c r="X2128">
        <v>1</v>
      </c>
      <c r="Y2128" t="s">
        <v>20843</v>
      </c>
      <c r="Z2128" t="s">
        <v>26998</v>
      </c>
      <c r="AA2128">
        <v>0.94678159418353736</v>
      </c>
      <c r="AB2128" t="str">
        <f>HYPERLINK("Melting_Curves/meltCurve_P41162_ETV3.pdf", "Melting_Curves/meltCurve_P41162_ETV3.pdf")</f>
        <v>Melting_Curves/meltCurve_P41162_ETV3.pdf</v>
      </c>
    </row>
    <row r="2129" spans="1:28" x14ac:dyDescent="0.25">
      <c r="A2129" t="s">
        <v>2133</v>
      </c>
      <c r="B2129">
        <v>0.99352677808782597</v>
      </c>
      <c r="C2129">
        <v>0.96625136351401097</v>
      </c>
      <c r="D2129">
        <v>1.02420899339093</v>
      </c>
      <c r="E2129">
        <v>1.0305035039529999</v>
      </c>
      <c r="F2129">
        <v>0.94301702430109902</v>
      </c>
      <c r="G2129">
        <v>0.93229310571910895</v>
      </c>
      <c r="H2129">
        <v>0.90238212386030103</v>
      </c>
      <c r="I2129">
        <v>0.993706432938122</v>
      </c>
      <c r="J2129">
        <v>1.0866980834075599</v>
      </c>
      <c r="K2129">
        <v>0.97665216916867403</v>
      </c>
      <c r="L2129">
        <v>10015.591017963499</v>
      </c>
      <c r="M2129">
        <v>250</v>
      </c>
      <c r="O2129">
        <v>40.059801005979203</v>
      </c>
      <c r="P2129">
        <v>-2.5012466899547E-2</v>
      </c>
      <c r="Q2129">
        <v>0.98396808913610401</v>
      </c>
      <c r="R2129">
        <v>3.1766397405336199E-3</v>
      </c>
      <c r="S2129" t="s">
        <v>8414</v>
      </c>
      <c r="T2129" t="s">
        <v>12568</v>
      </c>
      <c r="U2129" t="s">
        <v>12568</v>
      </c>
      <c r="V2129" t="s">
        <v>12568</v>
      </c>
      <c r="W2129" t="s">
        <v>14663</v>
      </c>
      <c r="X2129">
        <v>5</v>
      </c>
      <c r="Y2129" t="s">
        <v>20844</v>
      </c>
      <c r="Z2129" t="s">
        <v>26999</v>
      </c>
      <c r="AA2129">
        <v>0.98404629541443744</v>
      </c>
      <c r="AB2129" t="str">
        <f>HYPERLINK("Melting_Curves/meltCurve_P41208_CETN2.pdf", "Melting_Curves/meltCurve_P41208_CETN2.pdf")</f>
        <v>Melting_Curves/meltCurve_P41208_CETN2.pdf</v>
      </c>
    </row>
    <row r="2130" spans="1:28" x14ac:dyDescent="0.25">
      <c r="A2130" t="s">
        <v>2134</v>
      </c>
      <c r="B2130">
        <v>0.99352677808782597</v>
      </c>
      <c r="C2130">
        <v>0.94328720641340003</v>
      </c>
      <c r="D2130">
        <v>0.93438203993351798</v>
      </c>
      <c r="E2130">
        <v>0.69669469785589599</v>
      </c>
      <c r="F2130">
        <v>0.65954442600910201</v>
      </c>
      <c r="G2130">
        <v>0.47907745746202202</v>
      </c>
      <c r="H2130">
        <v>0.30524167660740897</v>
      </c>
      <c r="I2130">
        <v>0.24733285738301899</v>
      </c>
      <c r="J2130">
        <v>0.22638893326144599</v>
      </c>
      <c r="K2130">
        <v>0.13889296549225799</v>
      </c>
      <c r="L2130">
        <v>546.94120495964796</v>
      </c>
      <c r="M2130">
        <v>9.8526840695572204</v>
      </c>
      <c r="N2130">
        <v>56.085342819459598</v>
      </c>
      <c r="O2130">
        <v>53.370150688432901</v>
      </c>
      <c r="P2130">
        <v>-4.3963798649377703E-2</v>
      </c>
      <c r="Q2130">
        <v>4.7915324974542997E-2</v>
      </c>
      <c r="R2130">
        <v>0.99083553100987698</v>
      </c>
      <c r="S2130" t="s">
        <v>8415</v>
      </c>
      <c r="T2130" t="s">
        <v>12568</v>
      </c>
      <c r="U2130" t="s">
        <v>12568</v>
      </c>
      <c r="V2130" t="s">
        <v>12568</v>
      </c>
      <c r="W2130" t="s">
        <v>14664</v>
      </c>
      <c r="X2130">
        <v>1</v>
      </c>
      <c r="Y2130" t="s">
        <v>20845</v>
      </c>
      <c r="Z2130" t="s">
        <v>27000</v>
      </c>
      <c r="AA2130">
        <v>0.56262866554418267</v>
      </c>
      <c r="AB2130" t="str">
        <f>HYPERLINK("Melting_Curves/meltCurve_P41212_ETV6.pdf", "Melting_Curves/meltCurve_P41212_ETV6.pdf")</f>
        <v>Melting_Curves/meltCurve_P41212_ETV6.pdf</v>
      </c>
    </row>
    <row r="2131" spans="1:28" x14ac:dyDescent="0.25">
      <c r="A2131" t="s">
        <v>2135</v>
      </c>
      <c r="B2131">
        <v>0.99352677808782597</v>
      </c>
      <c r="C2131">
        <v>0.87211018680583197</v>
      </c>
      <c r="D2131">
        <v>0.58069674688873896</v>
      </c>
      <c r="E2131">
        <v>0.26222813494005698</v>
      </c>
      <c r="F2131">
        <v>0.20811467185255</v>
      </c>
      <c r="G2131">
        <v>0.14116983903091701</v>
      </c>
      <c r="H2131">
        <v>9.1001739221970204E-2</v>
      </c>
      <c r="I2131">
        <v>7.5863324305268598E-2</v>
      </c>
      <c r="J2131">
        <v>6.2268472517084499E-2</v>
      </c>
      <c r="K2131">
        <v>5.3771093108313003E-2</v>
      </c>
      <c r="L2131">
        <v>883.61727844193604</v>
      </c>
      <c r="M2131">
        <v>18.9377941783364</v>
      </c>
      <c r="N2131">
        <v>47.084313107745402</v>
      </c>
      <c r="O2131">
        <v>46.147989916547303</v>
      </c>
      <c r="P2131">
        <v>-9.45298566886522E-2</v>
      </c>
      <c r="Q2131">
        <v>7.8628017817006596E-2</v>
      </c>
      <c r="R2131">
        <v>0.994403651438313</v>
      </c>
      <c r="S2131" t="s">
        <v>8416</v>
      </c>
      <c r="T2131" t="s">
        <v>12568</v>
      </c>
      <c r="U2131" t="s">
        <v>12568</v>
      </c>
      <c r="V2131" t="s">
        <v>12568</v>
      </c>
      <c r="W2131" t="s">
        <v>14665</v>
      </c>
      <c r="X2131">
        <v>3</v>
      </c>
      <c r="Y2131" t="s">
        <v>20846</v>
      </c>
      <c r="Z2131" t="s">
        <v>27001</v>
      </c>
      <c r="AA2131">
        <v>0.29860962340298819</v>
      </c>
      <c r="AB2131" t="str">
        <f>HYPERLINK("Melting_Curves/meltCurve_P41214_EIF2D.pdf", "Melting_Curves/meltCurve_P41214_EIF2D.pdf")</f>
        <v>Melting_Curves/meltCurve_P41214_EIF2D.pdf</v>
      </c>
    </row>
    <row r="2132" spans="1:28" x14ac:dyDescent="0.25">
      <c r="A2132" t="s">
        <v>2136</v>
      </c>
      <c r="B2132">
        <v>0.99352677808782597</v>
      </c>
      <c r="C2132">
        <v>0.969564707329029</v>
      </c>
      <c r="D2132">
        <v>1.0356180751136901</v>
      </c>
      <c r="E2132">
        <v>0.47696710207180598</v>
      </c>
      <c r="F2132">
        <v>0.39124404481557901</v>
      </c>
      <c r="G2132">
        <v>0.17931233347497599</v>
      </c>
      <c r="H2132">
        <v>0.131651063005403</v>
      </c>
      <c r="I2132">
        <v>0.14389642154183499</v>
      </c>
      <c r="J2132">
        <v>0.142554636968443</v>
      </c>
      <c r="K2132">
        <v>7.4655384265972305E-2</v>
      </c>
      <c r="L2132">
        <v>1273.9853549618499</v>
      </c>
      <c r="M2132">
        <v>25.438858041303199</v>
      </c>
      <c r="N2132">
        <v>50.684248286205602</v>
      </c>
      <c r="O2132">
        <v>49.773888798280801</v>
      </c>
      <c r="P2132">
        <v>-0.111067370576883</v>
      </c>
      <c r="Q2132">
        <v>0.13074939593328</v>
      </c>
      <c r="R2132">
        <v>0.97512389597723304</v>
      </c>
      <c r="S2132" t="s">
        <v>8417</v>
      </c>
      <c r="T2132" t="s">
        <v>12568</v>
      </c>
      <c r="U2132" t="s">
        <v>12568</v>
      </c>
      <c r="V2132" t="s">
        <v>12568</v>
      </c>
      <c r="W2132" t="s">
        <v>14666</v>
      </c>
      <c r="X2132">
        <v>8</v>
      </c>
      <c r="Y2132" t="s">
        <v>20847</v>
      </c>
      <c r="Z2132" t="s">
        <v>27002</v>
      </c>
      <c r="AA2132">
        <v>0.43033440058186062</v>
      </c>
      <c r="AB2132" t="str">
        <f>HYPERLINK("Melting_Curves/meltCurve_P41223_BUD31.pdf", "Melting_Curves/meltCurve_P41223_BUD31.pdf")</f>
        <v>Melting_Curves/meltCurve_P41223_BUD31.pdf</v>
      </c>
    </row>
    <row r="2133" spans="1:28" x14ac:dyDescent="0.25">
      <c r="A2133" t="s">
        <v>2137</v>
      </c>
      <c r="B2133">
        <v>0.99352677808782597</v>
      </c>
      <c r="C2133">
        <v>1.0113007532900999</v>
      </c>
      <c r="D2133">
        <v>0.89911612635243798</v>
      </c>
      <c r="E2133">
        <v>0.507542922600135</v>
      </c>
      <c r="F2133">
        <v>0.42160696997894198</v>
      </c>
      <c r="G2133">
        <v>0.22348396536142101</v>
      </c>
      <c r="H2133">
        <v>0.159400116856348</v>
      </c>
      <c r="I2133">
        <v>0.16803576372648099</v>
      </c>
      <c r="J2133">
        <v>0.13155187053638201</v>
      </c>
      <c r="K2133">
        <v>0.10317462796841199</v>
      </c>
      <c r="L2133">
        <v>931.79328129422095</v>
      </c>
      <c r="M2133">
        <v>18.568345189677501</v>
      </c>
      <c r="N2133">
        <v>51.013368983505998</v>
      </c>
      <c r="O2133">
        <v>49.6106228842741</v>
      </c>
      <c r="P2133">
        <v>-8.1355498236085705E-2</v>
      </c>
      <c r="Q2133">
        <v>0.13058002791676401</v>
      </c>
      <c r="R2133">
        <v>0.98936951353022495</v>
      </c>
      <c r="S2133" t="s">
        <v>8418</v>
      </c>
      <c r="T2133" t="s">
        <v>12568</v>
      </c>
      <c r="U2133" t="s">
        <v>12568</v>
      </c>
      <c r="V2133" t="s">
        <v>12568</v>
      </c>
      <c r="W2133" t="s">
        <v>14667</v>
      </c>
      <c r="X2133">
        <v>10</v>
      </c>
      <c r="Y2133" t="s">
        <v>20848</v>
      </c>
      <c r="Z2133" t="s">
        <v>27003</v>
      </c>
      <c r="AA2133">
        <v>0.43960379512877101</v>
      </c>
      <c r="AB2133" t="str">
        <f>HYPERLINK("Melting_Curves/meltCurve_P41227_2_NAA10.pdf", "Melting_Curves/meltCurve_P41227_2_NAA10.pdf")</f>
        <v>Melting_Curves/meltCurve_P41227_2_NAA10.pdf</v>
      </c>
    </row>
    <row r="2134" spans="1:28" x14ac:dyDescent="0.25">
      <c r="A2134" t="s">
        <v>2138</v>
      </c>
      <c r="B2134">
        <v>0.99352677808782597</v>
      </c>
      <c r="C2134">
        <v>0.92523705844022697</v>
      </c>
      <c r="D2134">
        <v>0.71474810750306195</v>
      </c>
      <c r="E2134">
        <v>0.27801580799632802</v>
      </c>
      <c r="F2134">
        <v>0.21788536579790599</v>
      </c>
      <c r="G2134">
        <v>0.121011653221229</v>
      </c>
      <c r="H2134">
        <v>8.3980477418747104E-2</v>
      </c>
      <c r="I2134">
        <v>7.2575979514191799E-2</v>
      </c>
      <c r="J2134">
        <v>5.97736520254026E-2</v>
      </c>
      <c r="K2134">
        <v>5.0756416599253798E-2</v>
      </c>
      <c r="L2134">
        <v>1017.33425937008</v>
      </c>
      <c r="M2134">
        <v>21.3599186517785</v>
      </c>
      <c r="N2134">
        <v>47.981145367622197</v>
      </c>
      <c r="O2134">
        <v>47.216624625193397</v>
      </c>
      <c r="P2134">
        <v>-0.104875710659508</v>
      </c>
      <c r="Q2134">
        <v>7.2701935122743602E-2</v>
      </c>
      <c r="R2134">
        <v>0.99554743063813</v>
      </c>
      <c r="S2134" t="s">
        <v>8419</v>
      </c>
      <c r="T2134" t="s">
        <v>12568</v>
      </c>
      <c r="U2134" t="s">
        <v>12568</v>
      </c>
      <c r="V2134" t="s">
        <v>12568</v>
      </c>
      <c r="W2134" t="s">
        <v>14668</v>
      </c>
      <c r="X2134">
        <v>11</v>
      </c>
      <c r="Y2134" t="s">
        <v>20849</v>
      </c>
      <c r="Z2134" t="s">
        <v>27004</v>
      </c>
      <c r="AA2134">
        <v>0.32002331691498609</v>
      </c>
      <c r="AB2134" t="str">
        <f>HYPERLINK("Melting_Curves/meltCurve_P41229_2_KDM5C.pdf", "Melting_Curves/meltCurve_P41229_2_KDM5C.pdf")</f>
        <v>Melting_Curves/meltCurve_P41229_2_KDM5C.pdf</v>
      </c>
    </row>
    <row r="2135" spans="1:28" x14ac:dyDescent="0.25">
      <c r="A2135" t="s">
        <v>2139</v>
      </c>
      <c r="B2135">
        <v>0.99352677808782597</v>
      </c>
      <c r="C2135">
        <v>0.96113950165880402</v>
      </c>
      <c r="D2135">
        <v>0.99093428965286701</v>
      </c>
      <c r="E2135">
        <v>0.99488078260239499</v>
      </c>
      <c r="F2135">
        <v>0.95881639991631196</v>
      </c>
      <c r="G2135">
        <v>0.96555626105778203</v>
      </c>
      <c r="H2135">
        <v>0.881742182377104</v>
      </c>
      <c r="I2135">
        <v>1.08625258671742</v>
      </c>
      <c r="J2135">
        <v>0.96670138091713198</v>
      </c>
      <c r="K2135">
        <v>0.91251151475089498</v>
      </c>
      <c r="L2135">
        <v>116.890789957297</v>
      </c>
      <c r="M2135">
        <v>1.0000000000000001E-5</v>
      </c>
      <c r="O2135">
        <v>48.7174711934776</v>
      </c>
      <c r="P2135">
        <v>-1.01637305334334E-3</v>
      </c>
      <c r="Q2135">
        <v>0.72951762724185099</v>
      </c>
      <c r="R2135">
        <v>3.2946041466449097E-2</v>
      </c>
      <c r="S2135" t="s">
        <v>8420</v>
      </c>
      <c r="T2135" t="s">
        <v>12568</v>
      </c>
      <c r="U2135" t="s">
        <v>12568</v>
      </c>
      <c r="V2135" t="s">
        <v>12568</v>
      </c>
      <c r="W2135" t="s">
        <v>14669</v>
      </c>
      <c r="X2135">
        <v>9</v>
      </c>
      <c r="Y2135" t="s">
        <v>20850</v>
      </c>
      <c r="Z2135" t="s">
        <v>27005</v>
      </c>
      <c r="AA2135">
        <v>0.97134175406549594</v>
      </c>
      <c r="AB2135" t="str">
        <f>HYPERLINK("Melting_Curves/meltCurve_P41236_PPP1R2.pdf", "Melting_Curves/meltCurve_P41236_PPP1R2.pdf")</f>
        <v>Melting_Curves/meltCurve_P41236_PPP1R2.pdf</v>
      </c>
    </row>
    <row r="2136" spans="1:28" x14ac:dyDescent="0.25">
      <c r="A2136" t="s">
        <v>2140</v>
      </c>
      <c r="B2136">
        <v>0.99352677808782597</v>
      </c>
      <c r="C2136">
        <v>0.85543191773736205</v>
      </c>
      <c r="D2136">
        <v>0.70436044767637995</v>
      </c>
      <c r="E2136">
        <v>0.21060327640934701</v>
      </c>
      <c r="F2136">
        <v>0.16546284762993099</v>
      </c>
      <c r="G2136">
        <v>8.3889687723075507E-2</v>
      </c>
      <c r="H2136">
        <v>6.7733306738163204E-2</v>
      </c>
      <c r="I2136">
        <v>7.4818755037743906E-2</v>
      </c>
      <c r="J2136">
        <v>5.0425129885481597E-2</v>
      </c>
      <c r="K2136">
        <v>4.0879657561379998E-2</v>
      </c>
      <c r="L2136">
        <v>1071.8001475056799</v>
      </c>
      <c r="M2136">
        <v>22.733524234608101</v>
      </c>
      <c r="N2136">
        <v>47.408027350928798</v>
      </c>
      <c r="O2136">
        <v>46.785990669761297</v>
      </c>
      <c r="P2136">
        <v>-0.114313320634193</v>
      </c>
      <c r="Q2136">
        <v>5.89834725998932E-2</v>
      </c>
      <c r="R2136">
        <v>0.99232491445651705</v>
      </c>
      <c r="S2136" t="s">
        <v>8421</v>
      </c>
      <c r="T2136" t="s">
        <v>12568</v>
      </c>
      <c r="U2136" t="s">
        <v>12568</v>
      </c>
      <c r="V2136" t="s">
        <v>12568</v>
      </c>
      <c r="W2136" t="s">
        <v>14670</v>
      </c>
      <c r="X2136">
        <v>20</v>
      </c>
      <c r="Y2136" t="s">
        <v>20851</v>
      </c>
      <c r="Z2136" t="s">
        <v>27006</v>
      </c>
      <c r="AA2136">
        <v>0.29346946435646237</v>
      </c>
      <c r="AB2136" t="str">
        <f>HYPERLINK("Melting_Curves/meltCurve_P41240_CSK.pdf", "Melting_Curves/meltCurve_P41240_CSK.pdf")</f>
        <v>Melting_Curves/meltCurve_P41240_CSK.pdf</v>
      </c>
    </row>
    <row r="2137" spans="1:28" x14ac:dyDescent="0.25">
      <c r="A2137" t="s">
        <v>2141</v>
      </c>
      <c r="B2137">
        <v>0.99352677808782597</v>
      </c>
      <c r="C2137">
        <v>1.05421088703669</v>
      </c>
      <c r="D2137">
        <v>0.82128247969790702</v>
      </c>
      <c r="E2137">
        <v>0.88453191019177402</v>
      </c>
      <c r="F2137">
        <v>0.78859851952881099</v>
      </c>
      <c r="G2137">
        <v>0.690238722644819</v>
      </c>
      <c r="H2137">
        <v>0.80164662080304605</v>
      </c>
      <c r="I2137">
        <v>0.37939038245846801</v>
      </c>
      <c r="J2137">
        <v>8.8822710809729102E-2</v>
      </c>
      <c r="K2137">
        <v>7.25041160412907E-2</v>
      </c>
      <c r="L2137">
        <v>968.50531210988004</v>
      </c>
      <c r="M2137">
        <v>15.653267384083501</v>
      </c>
      <c r="N2137">
        <v>61.872405893077698</v>
      </c>
      <c r="O2137">
        <v>60.888994612402399</v>
      </c>
      <c r="P2137">
        <v>-6.4275184236528296E-2</v>
      </c>
      <c r="Q2137">
        <v>0</v>
      </c>
      <c r="R2137">
        <v>0.85995126733959704</v>
      </c>
      <c r="S2137" t="s">
        <v>8422</v>
      </c>
      <c r="T2137" t="s">
        <v>12568</v>
      </c>
      <c r="U2137" t="s">
        <v>12568</v>
      </c>
      <c r="V2137" t="s">
        <v>12568</v>
      </c>
      <c r="W2137" t="s">
        <v>14671</v>
      </c>
      <c r="X2137">
        <v>43</v>
      </c>
      <c r="Y2137" t="s">
        <v>20852</v>
      </c>
      <c r="Z2137" t="s">
        <v>27007</v>
      </c>
      <c r="AA2137">
        <v>0.72815722135514394</v>
      </c>
      <c r="AB2137" t="str">
        <f>HYPERLINK("Melting_Curves/meltCurve_P41250_GARS.pdf", "Melting_Curves/meltCurve_P41250_GARS.pdf")</f>
        <v>Melting_Curves/meltCurve_P41250_GARS.pdf</v>
      </c>
    </row>
    <row r="2138" spans="1:28" x14ac:dyDescent="0.25">
      <c r="A2138" t="s">
        <v>2142</v>
      </c>
      <c r="B2138">
        <v>0.99352677808782597</v>
      </c>
      <c r="C2138">
        <v>0.82819412061333197</v>
      </c>
      <c r="D2138">
        <v>0.75590665990114103</v>
      </c>
      <c r="E2138">
        <v>0.48235509088531903</v>
      </c>
      <c r="F2138">
        <v>0.426291849569089</v>
      </c>
      <c r="G2138">
        <v>0.25813641676279597</v>
      </c>
      <c r="H2138">
        <v>0.18103973903940099</v>
      </c>
      <c r="I2138">
        <v>0.16775371743477099</v>
      </c>
      <c r="J2138">
        <v>0.13954206554233001</v>
      </c>
      <c r="K2138">
        <v>0.10380682146968</v>
      </c>
      <c r="L2138">
        <v>553.94981638363004</v>
      </c>
      <c r="M2138">
        <v>11.1544127471898</v>
      </c>
      <c r="N2138">
        <v>50.5125331675072</v>
      </c>
      <c r="O2138">
        <v>48.145959511665097</v>
      </c>
      <c r="P2138">
        <v>-5.2977465163262003E-2</v>
      </c>
      <c r="Q2138">
        <v>8.5622674026279294E-2</v>
      </c>
      <c r="R2138">
        <v>0.99107535285068804</v>
      </c>
      <c r="S2138" t="s">
        <v>8423</v>
      </c>
      <c r="T2138" t="s">
        <v>12568</v>
      </c>
      <c r="U2138" t="s">
        <v>12568</v>
      </c>
      <c r="V2138" t="s">
        <v>12568</v>
      </c>
      <c r="W2138" t="s">
        <v>14672</v>
      </c>
      <c r="X2138">
        <v>25</v>
      </c>
      <c r="Y2138" t="s">
        <v>20853</v>
      </c>
      <c r="Z2138" t="s">
        <v>27008</v>
      </c>
      <c r="AA2138">
        <v>0.41630704469141722</v>
      </c>
      <c r="AB2138" t="str">
        <f>HYPERLINK("Melting_Curves/meltCurve_P41252_IARS.pdf", "Melting_Curves/meltCurve_P41252_IARS.pdf")</f>
        <v>Melting_Curves/meltCurve_P41252_IARS.pdf</v>
      </c>
    </row>
    <row r="2139" spans="1:28" x14ac:dyDescent="0.25">
      <c r="A2139" t="s">
        <v>2143</v>
      </c>
      <c r="B2139">
        <v>0.99352677808782597</v>
      </c>
      <c r="C2139">
        <v>0.99509781455540303</v>
      </c>
      <c r="D2139">
        <v>1.0202661567292399</v>
      </c>
      <c r="E2139">
        <v>0.94790495167429301</v>
      </c>
      <c r="F2139">
        <v>0.81417358725309996</v>
      </c>
      <c r="G2139">
        <v>0.77277122550692101</v>
      </c>
      <c r="H2139">
        <v>0.60360290078548895</v>
      </c>
      <c r="I2139">
        <v>0.58797537947055201</v>
      </c>
      <c r="J2139">
        <v>0.57388364170178596</v>
      </c>
      <c r="K2139">
        <v>0.45396945778659797</v>
      </c>
      <c r="L2139">
        <v>692.25527827425299</v>
      </c>
      <c r="M2139">
        <v>11.9160895228221</v>
      </c>
      <c r="N2139">
        <v>69.438639231919197</v>
      </c>
      <c r="O2139">
        <v>56.530539041822998</v>
      </c>
      <c r="P2139">
        <v>-3.01170764044098E-2</v>
      </c>
      <c r="Q2139">
        <v>0.42863372292741198</v>
      </c>
      <c r="R2139">
        <v>0.97310497341731705</v>
      </c>
      <c r="S2139" t="s">
        <v>8424</v>
      </c>
      <c r="T2139" t="s">
        <v>12568</v>
      </c>
      <c r="U2139" t="s">
        <v>12568</v>
      </c>
      <c r="V2139" t="s">
        <v>12568</v>
      </c>
      <c r="W2139" t="s">
        <v>14673</v>
      </c>
      <c r="X2139">
        <v>12</v>
      </c>
      <c r="Y2139" t="s">
        <v>20854</v>
      </c>
      <c r="Z2139" t="s">
        <v>27009</v>
      </c>
      <c r="AA2139">
        <v>0.78022191117187967</v>
      </c>
      <c r="AB2139" t="str">
        <f>HYPERLINK("Melting_Curves/meltCurve_P41567_EIF1.pdf", "Melting_Curves/meltCurve_P41567_EIF1.pdf")</f>
        <v>Melting_Curves/meltCurve_P41567_EIF1.pdf</v>
      </c>
    </row>
    <row r="2140" spans="1:28" x14ac:dyDescent="0.25">
      <c r="A2140" t="s">
        <v>2144</v>
      </c>
      <c r="B2140">
        <v>0.99352677808782597</v>
      </c>
      <c r="C2140">
        <v>1.026936875109</v>
      </c>
      <c r="D2140">
        <v>0.92639598137815904</v>
      </c>
      <c r="E2140">
        <v>0.66773745532180695</v>
      </c>
      <c r="F2140">
        <v>0.57197382351771797</v>
      </c>
      <c r="G2140">
        <v>0.20542574932436</v>
      </c>
      <c r="H2140">
        <v>0.116654322962294</v>
      </c>
      <c r="I2140">
        <v>0.124339642076676</v>
      </c>
      <c r="J2140">
        <v>8.8145766198192907E-2</v>
      </c>
      <c r="K2140">
        <v>6.70985043729007E-2</v>
      </c>
      <c r="L2140">
        <v>911.04715017982596</v>
      </c>
      <c r="M2140">
        <v>17.3311275908897</v>
      </c>
      <c r="N2140">
        <v>52.9414627275996</v>
      </c>
      <c r="O2140">
        <v>51.882218747000103</v>
      </c>
      <c r="P2140">
        <v>-7.8700253392095701E-2</v>
      </c>
      <c r="Q2140">
        <v>5.76701504756158E-2</v>
      </c>
      <c r="R2140">
        <v>0.99003791020154897</v>
      </c>
      <c r="S2140" t="s">
        <v>8425</v>
      </c>
      <c r="T2140" t="s">
        <v>12568</v>
      </c>
      <c r="U2140" t="s">
        <v>12568</v>
      </c>
      <c r="V2140" t="s">
        <v>12568</v>
      </c>
      <c r="W2140" t="s">
        <v>14674</v>
      </c>
      <c r="X2140">
        <v>8</v>
      </c>
      <c r="Y2140" t="s">
        <v>20855</v>
      </c>
      <c r="Z2140" t="s">
        <v>27010</v>
      </c>
      <c r="AA2140">
        <v>0.46895267364694232</v>
      </c>
      <c r="AB2140" t="str">
        <f>HYPERLINK("Melting_Curves/meltCurve_P41743_PRKCI.pdf", "Melting_Curves/meltCurve_P41743_PRKCI.pdf")</f>
        <v>Melting_Curves/meltCurve_P41743_PRKCI.pdf</v>
      </c>
    </row>
    <row r="2141" spans="1:28" x14ac:dyDescent="0.25">
      <c r="A2141" t="s">
        <v>2145</v>
      </c>
      <c r="B2141">
        <v>0.99352677808782597</v>
      </c>
      <c r="C2141">
        <v>1.0152058321602699</v>
      </c>
      <c r="D2141">
        <v>0.86052636368371505</v>
      </c>
      <c r="E2141">
        <v>1.12821840768125</v>
      </c>
      <c r="F2141">
        <v>0.93153675233637201</v>
      </c>
      <c r="G2141">
        <v>0.53801184634785704</v>
      </c>
      <c r="H2141">
        <v>0.27325118546729898</v>
      </c>
      <c r="I2141">
        <v>0.235744485587742</v>
      </c>
      <c r="J2141">
        <v>0.187268286172493</v>
      </c>
      <c r="K2141">
        <v>0.14863230576974301</v>
      </c>
      <c r="L2141">
        <v>1991.7177441444101</v>
      </c>
      <c r="M2141">
        <v>35.160598225179498</v>
      </c>
      <c r="N2141">
        <v>57.423386027545</v>
      </c>
      <c r="O2141">
        <v>56.464002640422301</v>
      </c>
      <c r="P2141">
        <v>-0.12620628775579601</v>
      </c>
      <c r="Q2141">
        <v>0.18930991983255499</v>
      </c>
      <c r="R2141">
        <v>0.97011636726885198</v>
      </c>
      <c r="S2141" t="s">
        <v>8426</v>
      </c>
      <c r="T2141" t="s">
        <v>12568</v>
      </c>
      <c r="U2141" t="s">
        <v>12568</v>
      </c>
      <c r="V2141" t="s">
        <v>12568</v>
      </c>
      <c r="W2141" t="s">
        <v>14675</v>
      </c>
      <c r="X2141">
        <v>10</v>
      </c>
      <c r="Y2141" t="s">
        <v>20856</v>
      </c>
      <c r="Z2141" t="s">
        <v>27011</v>
      </c>
      <c r="AA2141">
        <v>0.64317558049314272</v>
      </c>
      <c r="AB2141" t="str">
        <f>HYPERLINK("Melting_Curves/meltCurve_P42025_ACTR1B.pdf", "Melting_Curves/meltCurve_P42025_ACTR1B.pdf")</f>
        <v>Melting_Curves/meltCurve_P42025_ACTR1B.pdf</v>
      </c>
    </row>
    <row r="2142" spans="1:28" x14ac:dyDescent="0.25">
      <c r="A2142" t="s">
        <v>2146</v>
      </c>
      <c r="B2142">
        <v>0.99352677808782597</v>
      </c>
      <c r="C2142">
        <v>1.08592507797424</v>
      </c>
      <c r="D2142">
        <v>0.99194997448514399</v>
      </c>
      <c r="E2142">
        <v>0.93616274654016296</v>
      </c>
      <c r="F2142">
        <v>0.77996916385936998</v>
      </c>
      <c r="G2142">
        <v>0.64839396393005799</v>
      </c>
      <c r="H2142">
        <v>0.85448728879479097</v>
      </c>
      <c r="I2142">
        <v>0.70290993040387995</v>
      </c>
      <c r="J2142">
        <v>0.94046471553612199</v>
      </c>
      <c r="K2142">
        <v>0.57697219876622496</v>
      </c>
      <c r="L2142">
        <v>2818.4482179698298</v>
      </c>
      <c r="M2142">
        <v>55.242556718967698</v>
      </c>
      <c r="O2142">
        <v>50.952792755140202</v>
      </c>
      <c r="P2142">
        <v>-6.8983051625593594E-2</v>
      </c>
      <c r="Q2142">
        <v>0.74549501552513797</v>
      </c>
      <c r="R2142">
        <v>0.61696960560783298</v>
      </c>
      <c r="S2142" t="s">
        <v>8427</v>
      </c>
      <c r="T2142" t="s">
        <v>12568</v>
      </c>
      <c r="U2142" t="s">
        <v>12568</v>
      </c>
      <c r="V2142" t="s">
        <v>12568</v>
      </c>
      <c r="W2142" t="s">
        <v>14676</v>
      </c>
      <c r="X2142">
        <v>7</v>
      </c>
      <c r="Y2142" t="s">
        <v>20857</v>
      </c>
      <c r="Z2142" t="s">
        <v>27012</v>
      </c>
      <c r="AA2142">
        <v>0.83944775782257353</v>
      </c>
      <c r="AB2142" t="str">
        <f>HYPERLINK("Melting_Curves/meltCurve_P42126_2_ECI1.pdf", "Melting_Curves/meltCurve_P42126_2_ECI1.pdf")</f>
        <v>Melting_Curves/meltCurve_P42126_2_ECI1.pdf</v>
      </c>
    </row>
    <row r="2143" spans="1:28" x14ac:dyDescent="0.25">
      <c r="A2143" t="s">
        <v>2147</v>
      </c>
      <c r="B2143">
        <v>0.99352677808782597</v>
      </c>
      <c r="C2143">
        <v>0.99013578778134204</v>
      </c>
      <c r="D2143">
        <v>0.94309736760371299</v>
      </c>
      <c r="E2143">
        <v>0.59382957229557798</v>
      </c>
      <c r="F2143">
        <v>0.54218422115575904</v>
      </c>
      <c r="G2143">
        <v>0.44800867329191502</v>
      </c>
      <c r="H2143">
        <v>0.38478280866080999</v>
      </c>
      <c r="I2143">
        <v>0.41544190241385798</v>
      </c>
      <c r="J2143">
        <v>0.40498364128368902</v>
      </c>
      <c r="K2143">
        <v>0.35671540118336698</v>
      </c>
      <c r="L2143">
        <v>1177.0655042015101</v>
      </c>
      <c r="M2143">
        <v>23.905623520125101</v>
      </c>
      <c r="N2143">
        <v>52.768148298653301</v>
      </c>
      <c r="O2143">
        <v>48.897354413531097</v>
      </c>
      <c r="P2143">
        <v>-7.3460318688520695E-2</v>
      </c>
      <c r="Q2143">
        <v>0.39897704469781398</v>
      </c>
      <c r="R2143">
        <v>0.98441170786340804</v>
      </c>
      <c r="S2143" t="s">
        <v>8428</v>
      </c>
      <c r="T2143" t="s">
        <v>12568</v>
      </c>
      <c r="U2143" t="s">
        <v>12568</v>
      </c>
      <c r="V2143" t="s">
        <v>12568</v>
      </c>
      <c r="W2143" t="s">
        <v>14677</v>
      </c>
      <c r="X2143">
        <v>31</v>
      </c>
      <c r="Y2143" t="s">
        <v>20858</v>
      </c>
      <c r="Z2143" t="s">
        <v>27013</v>
      </c>
      <c r="AA2143">
        <v>0.58989911492211677</v>
      </c>
      <c r="AB2143" t="str">
        <f>HYPERLINK("Melting_Curves/meltCurve_P42166_TMPO.pdf", "Melting_Curves/meltCurve_P42166_TMPO.pdf")</f>
        <v>Melting_Curves/meltCurve_P42166_TMPO.pdf</v>
      </c>
    </row>
    <row r="2144" spans="1:28" x14ac:dyDescent="0.25">
      <c r="A2144" t="s">
        <v>2148</v>
      </c>
      <c r="B2144">
        <v>0.99352677808782597</v>
      </c>
      <c r="C2144">
        <v>1.0415016118732401</v>
      </c>
      <c r="D2144">
        <v>1.0229292900720499</v>
      </c>
      <c r="E2144">
        <v>0.99086292730818504</v>
      </c>
      <c r="F2144">
        <v>0.90084240215323297</v>
      </c>
      <c r="G2144">
        <v>0.81366956203657503</v>
      </c>
      <c r="H2144">
        <v>0.69229191436134196</v>
      </c>
      <c r="I2144">
        <v>0.75147326207481402</v>
      </c>
      <c r="J2144">
        <v>0.73283311571476495</v>
      </c>
      <c r="K2144">
        <v>0.57247474559380396</v>
      </c>
      <c r="L2144">
        <v>875.62881378431302</v>
      </c>
      <c r="M2144">
        <v>15.3010121732319</v>
      </c>
      <c r="O2144">
        <v>56.276082692795299</v>
      </c>
      <c r="P2144">
        <v>-2.5072638456270599E-2</v>
      </c>
      <c r="Q2144">
        <v>0.63117262872022595</v>
      </c>
      <c r="R2144">
        <v>0.91534248733788104</v>
      </c>
      <c r="S2144" t="s">
        <v>8429</v>
      </c>
      <c r="T2144" t="s">
        <v>12568</v>
      </c>
      <c r="U2144" t="s">
        <v>12568</v>
      </c>
      <c r="V2144" t="s">
        <v>12568</v>
      </c>
      <c r="W2144" t="s">
        <v>14678</v>
      </c>
      <c r="X2144">
        <v>17</v>
      </c>
      <c r="Y2144" t="s">
        <v>20858</v>
      </c>
      <c r="Z2144" t="s">
        <v>27014</v>
      </c>
      <c r="AA2144">
        <v>0.84855700780791044</v>
      </c>
      <c r="AB2144" t="str">
        <f>HYPERLINK("Melting_Curves/meltCurve_P42167_TMPO.pdf", "Melting_Curves/meltCurve_P42167_TMPO.pdf")</f>
        <v>Melting_Curves/meltCurve_P42167_TMPO.pdf</v>
      </c>
    </row>
    <row r="2145" spans="1:28" x14ac:dyDescent="0.25">
      <c r="A2145" t="s">
        <v>2149</v>
      </c>
      <c r="B2145">
        <v>0.99352677808782597</v>
      </c>
      <c r="C2145">
        <v>1.0120048736813501</v>
      </c>
      <c r="D2145">
        <v>0.693883692870774</v>
      </c>
      <c r="E2145">
        <v>0.24935249640954599</v>
      </c>
      <c r="F2145">
        <v>0.17951899292865001</v>
      </c>
      <c r="G2145">
        <v>0.10842740497237099</v>
      </c>
      <c r="H2145">
        <v>7.3351123049578498E-2</v>
      </c>
      <c r="I2145">
        <v>7.2294422828363805E-2</v>
      </c>
      <c r="J2145">
        <v>5.379221134105E-2</v>
      </c>
      <c r="K2145">
        <v>4.2919204115643698E-2</v>
      </c>
      <c r="L2145">
        <v>1258.17783298775</v>
      </c>
      <c r="M2145">
        <v>26.537538827196499</v>
      </c>
      <c r="N2145">
        <v>47.701151256800898</v>
      </c>
      <c r="O2145">
        <v>47.144455798895699</v>
      </c>
      <c r="P2145">
        <v>-0.130246259732893</v>
      </c>
      <c r="Q2145">
        <v>7.4469255946624305E-2</v>
      </c>
      <c r="R2145">
        <v>0.99313351095555402</v>
      </c>
      <c r="S2145" t="s">
        <v>8430</v>
      </c>
      <c r="T2145" t="s">
        <v>12568</v>
      </c>
      <c r="U2145" t="s">
        <v>12568</v>
      </c>
      <c r="V2145" t="s">
        <v>12568</v>
      </c>
      <c r="W2145" t="s">
        <v>14679</v>
      </c>
      <c r="X2145">
        <v>35</v>
      </c>
      <c r="Y2145" t="s">
        <v>20859</v>
      </c>
      <c r="Z2145" t="s">
        <v>27015</v>
      </c>
      <c r="AA2145">
        <v>0.31033083025623748</v>
      </c>
      <c r="AB2145" t="str">
        <f>HYPERLINK("Melting_Curves/meltCurve_P42224_STAT1.pdf", "Melting_Curves/meltCurve_P42224_STAT1.pdf")</f>
        <v>Melting_Curves/meltCurve_P42224_STAT1.pdf</v>
      </c>
    </row>
    <row r="2146" spans="1:28" x14ac:dyDescent="0.25">
      <c r="A2146" t="s">
        <v>2150</v>
      </c>
      <c r="B2146">
        <v>0.99352677808782597</v>
      </c>
      <c r="C2146">
        <v>0.97774460601212698</v>
      </c>
      <c r="D2146">
        <v>1.0240860481537399</v>
      </c>
      <c r="E2146">
        <v>0.43917182219505602</v>
      </c>
      <c r="F2146">
        <v>0.36577266625635202</v>
      </c>
      <c r="G2146">
        <v>0.14291175639718301</v>
      </c>
      <c r="H2146">
        <v>8.8512045734529698E-2</v>
      </c>
      <c r="I2146">
        <v>7.5292211800519093E-2</v>
      </c>
      <c r="J2146">
        <v>6.1552400971070301E-2</v>
      </c>
      <c r="K2146">
        <v>5.1068201156616103E-2</v>
      </c>
      <c r="L2146">
        <v>1203.06795495539</v>
      </c>
      <c r="M2146">
        <v>24.010579718822399</v>
      </c>
      <c r="N2146">
        <v>50.454128931880199</v>
      </c>
      <c r="O2146">
        <v>49.7620604439076</v>
      </c>
      <c r="P2146">
        <v>-0.11141414585861099</v>
      </c>
      <c r="Q2146">
        <v>7.6388808899115299E-2</v>
      </c>
      <c r="R2146">
        <v>0.97652895622715297</v>
      </c>
      <c r="S2146" t="s">
        <v>8431</v>
      </c>
      <c r="T2146" t="s">
        <v>12568</v>
      </c>
      <c r="U2146" t="s">
        <v>12568</v>
      </c>
      <c r="V2146" t="s">
        <v>12568</v>
      </c>
      <c r="W2146" t="s">
        <v>14680</v>
      </c>
      <c r="X2146">
        <v>15</v>
      </c>
      <c r="Y2146" t="s">
        <v>20860</v>
      </c>
      <c r="Z2146" t="s">
        <v>27016</v>
      </c>
      <c r="AA2146">
        <v>0.39647472994189142</v>
      </c>
      <c r="AB2146" t="str">
        <f>HYPERLINK("Melting_Curves/meltCurve_P42226_STAT6.pdf", "Melting_Curves/meltCurve_P42226_STAT6.pdf")</f>
        <v>Melting_Curves/meltCurve_P42226_STAT6.pdf</v>
      </c>
    </row>
    <row r="2147" spans="1:28" x14ac:dyDescent="0.25">
      <c r="A2147" t="s">
        <v>2151</v>
      </c>
      <c r="B2147">
        <v>0.99352677808782597</v>
      </c>
      <c r="C2147">
        <v>1.0251374323957601</v>
      </c>
      <c r="D2147">
        <v>1.0766414351887501</v>
      </c>
      <c r="E2147">
        <v>0.63182264348295403</v>
      </c>
      <c r="F2147">
        <v>0.51868536056437897</v>
      </c>
      <c r="G2147">
        <v>0.29486489911414199</v>
      </c>
      <c r="H2147">
        <v>0.17936731617566101</v>
      </c>
      <c r="I2147">
        <v>0.17498629535124499</v>
      </c>
      <c r="J2147">
        <v>0.15356403298232099</v>
      </c>
      <c r="K2147">
        <v>0.11818810505438</v>
      </c>
      <c r="L2147">
        <v>1045.8394544242301</v>
      </c>
      <c r="M2147">
        <v>20.1499710111095</v>
      </c>
      <c r="N2147">
        <v>52.7977205137732</v>
      </c>
      <c r="O2147">
        <v>51.399698474282999</v>
      </c>
      <c r="P2147">
        <v>-8.3830746029621206E-2</v>
      </c>
      <c r="Q2147">
        <v>0.14466618185199701</v>
      </c>
      <c r="R2147">
        <v>0.97641624594813303</v>
      </c>
      <c r="S2147" t="s">
        <v>8432</v>
      </c>
      <c r="T2147" t="s">
        <v>12568</v>
      </c>
      <c r="U2147" t="s">
        <v>12568</v>
      </c>
      <c r="V2147" t="s">
        <v>12568</v>
      </c>
      <c r="W2147" t="s">
        <v>14681</v>
      </c>
      <c r="X2147">
        <v>24</v>
      </c>
      <c r="Y2147" t="s">
        <v>20861</v>
      </c>
      <c r="Z2147" t="s">
        <v>27017</v>
      </c>
      <c r="AA2147">
        <v>0.49571076295439748</v>
      </c>
      <c r="AB2147" t="str">
        <f>HYPERLINK("Melting_Curves/meltCurve_P42285_SKIV2L2.pdf", "Melting_Curves/meltCurve_P42285_SKIV2L2.pdf")</f>
        <v>Melting_Curves/meltCurve_P42285_SKIV2L2.pdf</v>
      </c>
    </row>
    <row r="2148" spans="1:28" x14ac:dyDescent="0.25">
      <c r="A2148" t="s">
        <v>2152</v>
      </c>
      <c r="B2148">
        <v>0.99352677808782597</v>
      </c>
      <c r="C2148">
        <v>0.84687860331814602</v>
      </c>
      <c r="D2148">
        <v>0.83996828864209505</v>
      </c>
      <c r="E2148">
        <v>0.21811190406777101</v>
      </c>
      <c r="F2148">
        <v>0.15208617253020601</v>
      </c>
      <c r="G2148">
        <v>8.7901008259163499E-2</v>
      </c>
      <c r="H2148">
        <v>7.7092516253987095E-2</v>
      </c>
      <c r="I2148">
        <v>6.2418670632705703E-2</v>
      </c>
      <c r="J2148">
        <v>4.8919258722991799E-2</v>
      </c>
      <c r="K2148">
        <v>3.7511055538362099E-2</v>
      </c>
      <c r="L2148">
        <v>1510.3944884006701</v>
      </c>
      <c r="M2148">
        <v>31.559731675562201</v>
      </c>
      <c r="N2148">
        <v>48.0703286982897</v>
      </c>
      <c r="O2148">
        <v>47.667342070802398</v>
      </c>
      <c r="P2148">
        <v>-0.15476596185368699</v>
      </c>
      <c r="Q2148">
        <v>6.4979974779710903E-2</v>
      </c>
      <c r="R2148">
        <v>0.98267760715332797</v>
      </c>
      <c r="S2148" t="s">
        <v>8433</v>
      </c>
      <c r="T2148" t="s">
        <v>12568</v>
      </c>
      <c r="U2148" t="s">
        <v>12568</v>
      </c>
      <c r="V2148" t="s">
        <v>12568</v>
      </c>
      <c r="W2148" t="s">
        <v>14682</v>
      </c>
      <c r="X2148">
        <v>33</v>
      </c>
      <c r="Y2148" t="s">
        <v>20862</v>
      </c>
      <c r="Z2148" t="s">
        <v>27018</v>
      </c>
      <c r="AA2148">
        <v>0.31495755204205073</v>
      </c>
      <c r="AB2148" t="str">
        <f>HYPERLINK("Melting_Curves/meltCurve_P42330_AKR1C3.pdf", "Melting_Curves/meltCurve_P42330_AKR1C3.pdf")</f>
        <v>Melting_Curves/meltCurve_P42330_AKR1C3.pdf</v>
      </c>
    </row>
    <row r="2149" spans="1:28" x14ac:dyDescent="0.25">
      <c r="A2149" t="s">
        <v>2153</v>
      </c>
      <c r="B2149">
        <v>0.99352677808782597</v>
      </c>
      <c r="C2149">
        <v>0.99020310763891695</v>
      </c>
      <c r="D2149">
        <v>0.86676312431351199</v>
      </c>
      <c r="E2149">
        <v>0.49621344537558798</v>
      </c>
      <c r="F2149">
        <v>0.41297289228612299</v>
      </c>
      <c r="G2149">
        <v>0.2424176184139</v>
      </c>
      <c r="H2149">
        <v>0.17684583836200499</v>
      </c>
      <c r="I2149">
        <v>0.15584379717624899</v>
      </c>
      <c r="J2149">
        <v>0.14013478849699301</v>
      </c>
      <c r="K2149">
        <v>0.11007130681668</v>
      </c>
      <c r="L2149">
        <v>860.564079515093</v>
      </c>
      <c r="M2149">
        <v>17.224776408414399</v>
      </c>
      <c r="N2149">
        <v>50.872472570026297</v>
      </c>
      <c r="O2149">
        <v>49.3020115311704</v>
      </c>
      <c r="P2149">
        <v>-7.5749457969501902E-2</v>
      </c>
      <c r="Q2149">
        <v>0.13278839413851801</v>
      </c>
      <c r="R2149">
        <v>0.99153790300712896</v>
      </c>
      <c r="S2149" t="s">
        <v>8434</v>
      </c>
      <c r="T2149" t="s">
        <v>12568</v>
      </c>
      <c r="U2149" t="s">
        <v>12568</v>
      </c>
      <c r="V2149" t="s">
        <v>12568</v>
      </c>
      <c r="W2149" t="s">
        <v>14683</v>
      </c>
      <c r="X2149">
        <v>4</v>
      </c>
      <c r="Y2149" t="s">
        <v>20863</v>
      </c>
      <c r="Z2149" t="s">
        <v>27019</v>
      </c>
      <c r="AA2149">
        <v>0.43680675556061238</v>
      </c>
      <c r="AB2149" t="str">
        <f>HYPERLINK("Melting_Curves/meltCurve_P42336_PIK3CA.pdf", "Melting_Curves/meltCurve_P42336_PIK3CA.pdf")</f>
        <v>Melting_Curves/meltCurve_P42336_PIK3CA.pdf</v>
      </c>
    </row>
    <row r="2150" spans="1:28" x14ac:dyDescent="0.25">
      <c r="A2150" t="s">
        <v>2154</v>
      </c>
      <c r="B2150">
        <v>0.99352677808782597</v>
      </c>
      <c r="C2150">
        <v>1.0303739909162699</v>
      </c>
      <c r="D2150">
        <v>0.88584166140734499</v>
      </c>
      <c r="E2150">
        <v>0.31080348962812898</v>
      </c>
      <c r="F2150">
        <v>0.24247554682632</v>
      </c>
      <c r="G2150">
        <v>0.14968707726257899</v>
      </c>
      <c r="H2150">
        <v>0.11213204284650299</v>
      </c>
      <c r="I2150">
        <v>0.104427734909225</v>
      </c>
      <c r="J2150">
        <v>9.9040210330420694E-2</v>
      </c>
      <c r="K2150">
        <v>7.9204219544655105E-2</v>
      </c>
      <c r="L2150">
        <v>1635.2497889326801</v>
      </c>
      <c r="M2150">
        <v>33.774768441454199</v>
      </c>
      <c r="N2150">
        <v>48.806126652588702</v>
      </c>
      <c r="O2150">
        <v>48.247530615095201</v>
      </c>
      <c r="P2150">
        <v>-0.154319356561887</v>
      </c>
      <c r="Q2150">
        <v>0.118217839834366</v>
      </c>
      <c r="R2150">
        <v>0.99161616251905904</v>
      </c>
      <c r="S2150" t="s">
        <v>8435</v>
      </c>
      <c r="T2150" t="s">
        <v>12568</v>
      </c>
      <c r="U2150" t="s">
        <v>12568</v>
      </c>
      <c r="V2150" t="s">
        <v>12568</v>
      </c>
      <c r="W2150" t="s">
        <v>14684</v>
      </c>
      <c r="X2150">
        <v>5</v>
      </c>
      <c r="Y2150" t="s">
        <v>20864</v>
      </c>
      <c r="Z2150" t="s">
        <v>27020</v>
      </c>
      <c r="AA2150">
        <v>0.36977125773178471</v>
      </c>
      <c r="AB2150" t="str">
        <f>HYPERLINK("Melting_Curves/meltCurve_P42338_PIK3CB.pdf", "Melting_Curves/meltCurve_P42338_PIK3CB.pdf")</f>
        <v>Melting_Curves/meltCurve_P42338_PIK3CB.pdf</v>
      </c>
    </row>
    <row r="2151" spans="1:28" x14ac:dyDescent="0.25">
      <c r="A2151" t="s">
        <v>2155</v>
      </c>
      <c r="B2151">
        <v>0.99352677808782597</v>
      </c>
      <c r="C2151">
        <v>0.83023093513477397</v>
      </c>
      <c r="D2151">
        <v>0.69048447430408899</v>
      </c>
      <c r="E2151">
        <v>0.37294091909700899</v>
      </c>
      <c r="F2151">
        <v>0.293957657864651</v>
      </c>
      <c r="G2151">
        <v>0.17197350002606801</v>
      </c>
      <c r="H2151">
        <v>7.93130029930426E-2</v>
      </c>
      <c r="I2151">
        <v>5.6834901916782199E-2</v>
      </c>
      <c r="J2151">
        <v>5.9788491950567402E-2</v>
      </c>
      <c r="K2151">
        <v>2.16486221352859E-2</v>
      </c>
      <c r="L2151">
        <v>636.62262132809406</v>
      </c>
      <c r="M2151">
        <v>13.1319443594584</v>
      </c>
      <c r="N2151">
        <v>48.668188471583299</v>
      </c>
      <c r="O2151">
        <v>47.396065833754001</v>
      </c>
      <c r="P2151">
        <v>-6.7554314566353399E-2</v>
      </c>
      <c r="Q2151">
        <v>2.4892308846461101E-2</v>
      </c>
      <c r="R2151">
        <v>0.99376213986568396</v>
      </c>
      <c r="S2151" t="s">
        <v>8436</v>
      </c>
      <c r="T2151" t="s">
        <v>12568</v>
      </c>
      <c r="U2151" t="s">
        <v>12568</v>
      </c>
      <c r="V2151" t="s">
        <v>12568</v>
      </c>
      <c r="W2151" t="s">
        <v>14685</v>
      </c>
      <c r="X2151">
        <v>5</v>
      </c>
      <c r="Y2151" t="s">
        <v>20865</v>
      </c>
      <c r="Z2151" t="s">
        <v>27021</v>
      </c>
      <c r="AA2151">
        <v>0.33202329434274491</v>
      </c>
      <c r="AB2151" t="str">
        <f>HYPERLINK("Melting_Curves/meltCurve_P42345_MTOR.pdf", "Melting_Curves/meltCurve_P42345_MTOR.pdf")</f>
        <v>Melting_Curves/meltCurve_P42345_MTOR.pdf</v>
      </c>
    </row>
    <row r="2152" spans="1:28" x14ac:dyDescent="0.25">
      <c r="A2152" t="s">
        <v>2156</v>
      </c>
      <c r="B2152">
        <v>0.99352677808782597</v>
      </c>
      <c r="C2152">
        <v>1.01375289465614</v>
      </c>
      <c r="D2152">
        <v>0.96155650103192503</v>
      </c>
      <c r="E2152">
        <v>1.0842764187415801</v>
      </c>
      <c r="F2152">
        <v>0.975415547516579</v>
      </c>
      <c r="G2152">
        <v>0.82259186302790099</v>
      </c>
      <c r="H2152">
        <v>0.68897874089370903</v>
      </c>
      <c r="I2152">
        <v>0.53582993428523895</v>
      </c>
      <c r="J2152">
        <v>0.42185588485775499</v>
      </c>
      <c r="K2152">
        <v>0.29738315314345898</v>
      </c>
      <c r="L2152">
        <v>967.28104356930498</v>
      </c>
      <c r="M2152">
        <v>15.340754512808401</v>
      </c>
      <c r="N2152">
        <v>64.697061812663094</v>
      </c>
      <c r="O2152">
        <v>62.010746869568301</v>
      </c>
      <c r="P2152">
        <v>-5.1869028671335998E-2</v>
      </c>
      <c r="Q2152">
        <v>0.16141310190897301</v>
      </c>
      <c r="R2152">
        <v>0.98002309223375605</v>
      </c>
      <c r="S2152" t="s">
        <v>8437</v>
      </c>
      <c r="T2152" t="s">
        <v>12568</v>
      </c>
      <c r="U2152" t="s">
        <v>12568</v>
      </c>
      <c r="V2152" t="s">
        <v>12568</v>
      </c>
      <c r="W2152" t="s">
        <v>14686</v>
      </c>
      <c r="X2152">
        <v>21</v>
      </c>
      <c r="Y2152" t="s">
        <v>20866</v>
      </c>
      <c r="Z2152" t="s">
        <v>27022</v>
      </c>
      <c r="AA2152">
        <v>0.79855153625390696</v>
      </c>
      <c r="AB2152" t="str">
        <f>HYPERLINK("Melting_Curves/meltCurve_P42566_EPS15.pdf", "Melting_Curves/meltCurve_P42566_EPS15.pdf")</f>
        <v>Melting_Curves/meltCurve_P42566_EPS15.pdf</v>
      </c>
    </row>
    <row r="2153" spans="1:28" x14ac:dyDescent="0.25">
      <c r="A2153" t="s">
        <v>2157</v>
      </c>
      <c r="B2153">
        <v>0.99352677808782597</v>
      </c>
      <c r="C2153">
        <v>0.97426208245065704</v>
      </c>
      <c r="D2153">
        <v>0.96320483161191395</v>
      </c>
      <c r="E2153">
        <v>0.78645690320133099</v>
      </c>
      <c r="F2153">
        <v>0.71505064936837404</v>
      </c>
      <c r="G2153">
        <v>0.59695264534637404</v>
      </c>
      <c r="H2153">
        <v>0.60799592878106801</v>
      </c>
      <c r="I2153">
        <v>0.68580601819962095</v>
      </c>
      <c r="J2153">
        <v>0.72380851538181701</v>
      </c>
      <c r="K2153">
        <v>0.48506999169342002</v>
      </c>
      <c r="L2153">
        <v>1166.82483206589</v>
      </c>
      <c r="M2153">
        <v>23.442283304505398</v>
      </c>
      <c r="O2153">
        <v>49.416404923536703</v>
      </c>
      <c r="P2153">
        <v>-4.5357436318857997E-2</v>
      </c>
      <c r="Q2153">
        <v>0.61755218337307405</v>
      </c>
      <c r="R2153">
        <v>0.86941032707996202</v>
      </c>
      <c r="S2153" t="s">
        <v>8438</v>
      </c>
      <c r="T2153" t="s">
        <v>12568</v>
      </c>
      <c r="U2153" t="s">
        <v>12568</v>
      </c>
      <c r="V2153" t="s">
        <v>12568</v>
      </c>
      <c r="W2153" t="s">
        <v>14687</v>
      </c>
      <c r="X2153">
        <v>8</v>
      </c>
      <c r="Y2153" t="s">
        <v>20867</v>
      </c>
      <c r="Z2153" t="s">
        <v>27023</v>
      </c>
      <c r="AA2153">
        <v>0.74604157604011101</v>
      </c>
      <c r="AB2153" t="str">
        <f>HYPERLINK("Melting_Curves/meltCurve_P42574_CASP3.pdf", "Melting_Curves/meltCurve_P42574_CASP3.pdf")</f>
        <v>Melting_Curves/meltCurve_P42574_CASP3.pdf</v>
      </c>
    </row>
    <row r="2154" spans="1:28" x14ac:dyDescent="0.25">
      <c r="A2154" t="s">
        <v>2158</v>
      </c>
      <c r="B2154">
        <v>0.99352677808782597</v>
      </c>
      <c r="C2154">
        <v>0.98581130197467204</v>
      </c>
      <c r="D2154">
        <v>0.961871792039938</v>
      </c>
      <c r="E2154">
        <v>0.60871961326226898</v>
      </c>
      <c r="F2154">
        <v>0.53619537603929002</v>
      </c>
      <c r="G2154">
        <v>0.30597843919121198</v>
      </c>
      <c r="H2154">
        <v>0.23305012381008899</v>
      </c>
      <c r="I2154">
        <v>0.221442337964837</v>
      </c>
      <c r="J2154">
        <v>0.17539707651042599</v>
      </c>
      <c r="K2154">
        <v>0.12161784092570301</v>
      </c>
      <c r="L2154">
        <v>814.75705521608302</v>
      </c>
      <c r="M2154">
        <v>15.750755214361099</v>
      </c>
      <c r="N2154">
        <v>52.931998545265998</v>
      </c>
      <c r="O2154">
        <v>50.915839792120501</v>
      </c>
      <c r="P2154">
        <v>-6.5699955147324601E-2</v>
      </c>
      <c r="Q2154">
        <v>0.15054513827343599</v>
      </c>
      <c r="R2154">
        <v>0.98626525328972703</v>
      </c>
      <c r="S2154" t="s">
        <v>8439</v>
      </c>
      <c r="T2154" t="s">
        <v>12568</v>
      </c>
      <c r="U2154" t="s">
        <v>12568</v>
      </c>
      <c r="V2154" t="s">
        <v>12568</v>
      </c>
      <c r="W2154" t="s">
        <v>14688</v>
      </c>
      <c r="X2154">
        <v>8</v>
      </c>
      <c r="Y2154" t="s">
        <v>20868</v>
      </c>
      <c r="Z2154" t="s">
        <v>27024</v>
      </c>
      <c r="AA2154">
        <v>0.50036740985281714</v>
      </c>
      <c r="AB2154" t="str">
        <f>HYPERLINK("Melting_Curves/meltCurve_P42575_CASP2.pdf", "Melting_Curves/meltCurve_P42575_CASP2.pdf")</f>
        <v>Melting_Curves/meltCurve_P42575_CASP2.pdf</v>
      </c>
    </row>
    <row r="2155" spans="1:28" x14ac:dyDescent="0.25">
      <c r="A2155" t="s">
        <v>2159</v>
      </c>
      <c r="B2155">
        <v>0.99352677808782597</v>
      </c>
      <c r="C2155">
        <v>0.82976526482896695</v>
      </c>
      <c r="D2155">
        <v>1.1178512847992701</v>
      </c>
      <c r="E2155">
        <v>0.62478641436326698</v>
      </c>
      <c r="F2155">
        <v>0.51417848479960304</v>
      </c>
      <c r="G2155">
        <v>0.30286957199662401</v>
      </c>
      <c r="H2155">
        <v>0.224041888104795</v>
      </c>
      <c r="I2155">
        <v>0.19334852064079799</v>
      </c>
      <c r="J2155">
        <v>0.178690402260023</v>
      </c>
      <c r="K2155">
        <v>0.15105893306808399</v>
      </c>
      <c r="L2155">
        <v>1030.25267792966</v>
      </c>
      <c r="M2155">
        <v>19.952898119754501</v>
      </c>
      <c r="N2155">
        <v>52.766207378985598</v>
      </c>
      <c r="O2155">
        <v>51.123977076594201</v>
      </c>
      <c r="P2155">
        <v>-8.0585911154406997E-2</v>
      </c>
      <c r="Q2155">
        <v>0.17410755745805601</v>
      </c>
      <c r="R2155">
        <v>0.94160938032658303</v>
      </c>
      <c r="S2155" t="s">
        <v>8440</v>
      </c>
      <c r="T2155" t="s">
        <v>12568</v>
      </c>
      <c r="U2155" t="s">
        <v>12568</v>
      </c>
      <c r="V2155" t="s">
        <v>12568</v>
      </c>
      <c r="W2155" t="s">
        <v>14689</v>
      </c>
      <c r="X2155">
        <v>4</v>
      </c>
      <c r="Y2155" t="s">
        <v>20869</v>
      </c>
      <c r="Z2155" t="s">
        <v>27025</v>
      </c>
      <c r="AA2155">
        <v>0.50588911582637153</v>
      </c>
      <c r="AB2155" t="str">
        <f>HYPERLINK("Melting_Curves/meltCurve_P42677_RPS27.pdf", "Melting_Curves/meltCurve_P42677_RPS27.pdf")</f>
        <v>Melting_Curves/meltCurve_P42677_RPS27.pdf</v>
      </c>
    </row>
    <row r="2156" spans="1:28" x14ac:dyDescent="0.25">
      <c r="A2156" t="s">
        <v>2160</v>
      </c>
      <c r="B2156">
        <v>0.99352677808782597</v>
      </c>
      <c r="C2156">
        <v>1.01907031933264</v>
      </c>
      <c r="D2156">
        <v>0.79753213054912697</v>
      </c>
      <c r="E2156">
        <v>0.80089642893041102</v>
      </c>
      <c r="F2156">
        <v>0.64987907214109097</v>
      </c>
      <c r="G2156">
        <v>0.59261838300817404</v>
      </c>
      <c r="H2156">
        <v>0.51700848460929805</v>
      </c>
      <c r="I2156">
        <v>0.53282378827535704</v>
      </c>
      <c r="J2156">
        <v>0.58788650613636595</v>
      </c>
      <c r="K2156">
        <v>0.203406097736929</v>
      </c>
      <c r="L2156">
        <v>326.37219888893497</v>
      </c>
      <c r="M2156">
        <v>5.2201409824827802</v>
      </c>
      <c r="N2156">
        <v>62.521721702390302</v>
      </c>
      <c r="O2156">
        <v>55.102074616604398</v>
      </c>
      <c r="P2156">
        <v>-2.3809088478276001E-2</v>
      </c>
      <c r="Q2156">
        <v>0</v>
      </c>
      <c r="R2156">
        <v>0.84302206313343098</v>
      </c>
      <c r="S2156" t="s">
        <v>8441</v>
      </c>
      <c r="T2156" t="s">
        <v>12568</v>
      </c>
      <c r="U2156" t="s">
        <v>12568</v>
      </c>
      <c r="V2156" t="s">
        <v>12568</v>
      </c>
      <c r="W2156" t="s">
        <v>14690</v>
      </c>
      <c r="X2156">
        <v>4</v>
      </c>
      <c r="Y2156" t="s">
        <v>20870</v>
      </c>
      <c r="Z2156" t="s">
        <v>27026</v>
      </c>
      <c r="AA2156">
        <v>0.66780462274237462</v>
      </c>
      <c r="AB2156" t="str">
        <f>HYPERLINK("Melting_Curves/meltCurve_P42684_6_ABL2.pdf", "Melting_Curves/meltCurve_P42684_6_ABL2.pdf")</f>
        <v>Melting_Curves/meltCurve_P42684_6_ABL2.pdf</v>
      </c>
    </row>
    <row r="2157" spans="1:28" x14ac:dyDescent="0.25">
      <c r="A2157" t="s">
        <v>2161</v>
      </c>
      <c r="B2157">
        <v>0.99352677808782597</v>
      </c>
      <c r="C2157">
        <v>1.0218879817107001</v>
      </c>
      <c r="D2157">
        <v>1.0703280975377001</v>
      </c>
      <c r="E2157">
        <v>0.85341878397483495</v>
      </c>
      <c r="F2157">
        <v>1.1008512258180501</v>
      </c>
      <c r="G2157">
        <v>1.19432599949635</v>
      </c>
      <c r="H2157">
        <v>0.53155865789603696</v>
      </c>
      <c r="I2157">
        <v>1.4305518968536299</v>
      </c>
      <c r="J2157">
        <v>0.848124650832486</v>
      </c>
      <c r="K2157">
        <v>0.38380146603576898</v>
      </c>
      <c r="L2157">
        <v>15000</v>
      </c>
      <c r="M2157">
        <v>222.76261381767799</v>
      </c>
      <c r="N2157">
        <v>67.779939034933406</v>
      </c>
      <c r="O2157">
        <v>67.330827184999904</v>
      </c>
      <c r="P2157">
        <v>-0.50977712787913199</v>
      </c>
      <c r="Q2157">
        <v>0.38367188231287602</v>
      </c>
      <c r="R2157">
        <v>0.435503385120589</v>
      </c>
      <c r="S2157" t="s">
        <v>8442</v>
      </c>
      <c r="T2157" t="s">
        <v>12568</v>
      </c>
      <c r="U2157" t="s">
        <v>12568</v>
      </c>
      <c r="V2157" t="s">
        <v>12568</v>
      </c>
      <c r="W2157" t="s">
        <v>14691</v>
      </c>
      <c r="X2157">
        <v>3</v>
      </c>
      <c r="Y2157" t="s">
        <v>20871</v>
      </c>
      <c r="Z2157" t="s">
        <v>27027</v>
      </c>
      <c r="AA2157">
        <v>0.94536561501882121</v>
      </c>
      <c r="AB2157" t="str">
        <f>HYPERLINK("Melting_Curves/meltCurve_P42694_HELZ.pdf", "Melting_Curves/meltCurve_P42694_HELZ.pdf")</f>
        <v>Melting_Curves/meltCurve_P42694_HELZ.pdf</v>
      </c>
    </row>
    <row r="2158" spans="1:28" x14ac:dyDescent="0.25">
      <c r="A2158" t="s">
        <v>2162</v>
      </c>
      <c r="B2158">
        <v>0.99352677808782597</v>
      </c>
      <c r="C2158">
        <v>0.89029393272149004</v>
      </c>
      <c r="D2158">
        <v>0.81104547759879497</v>
      </c>
      <c r="E2158">
        <v>0.45546220444299901</v>
      </c>
      <c r="F2158">
        <v>0.37100290093632798</v>
      </c>
      <c r="G2158">
        <v>0.22592712074746599</v>
      </c>
      <c r="H2158">
        <v>0.16729500450683299</v>
      </c>
      <c r="I2158">
        <v>0.16498884288389701</v>
      </c>
      <c r="J2158">
        <v>0.11312016879533</v>
      </c>
      <c r="K2158">
        <v>0.107773666193964</v>
      </c>
      <c r="L2158">
        <v>738.01013993838706</v>
      </c>
      <c r="M2158">
        <v>14.987315996363201</v>
      </c>
      <c r="N2158">
        <v>50.118463097430897</v>
      </c>
      <c r="O2158">
        <v>48.390580759903401</v>
      </c>
      <c r="P2158">
        <v>-6.8512547089503398E-2</v>
      </c>
      <c r="Q2158">
        <v>0.115244921898808</v>
      </c>
      <c r="R2158">
        <v>0.99314927559396204</v>
      </c>
      <c r="S2158" t="s">
        <v>8443</v>
      </c>
      <c r="T2158" t="s">
        <v>12568</v>
      </c>
      <c r="U2158" t="s">
        <v>12568</v>
      </c>
      <c r="V2158" t="s">
        <v>12568</v>
      </c>
      <c r="W2158" t="s">
        <v>14692</v>
      </c>
      <c r="X2158">
        <v>3</v>
      </c>
      <c r="Y2158" t="s">
        <v>20872</v>
      </c>
      <c r="Z2158" t="s">
        <v>27028</v>
      </c>
      <c r="AA2158">
        <v>0.40949604768317488</v>
      </c>
      <c r="AB2158" t="str">
        <f>HYPERLINK("Melting_Curves/meltCurve_P42695_NCAPD3.pdf", "Melting_Curves/meltCurve_P42695_NCAPD3.pdf")</f>
        <v>Melting_Curves/meltCurve_P42695_NCAPD3.pdf</v>
      </c>
    </row>
    <row r="2159" spans="1:28" x14ac:dyDescent="0.25">
      <c r="A2159" t="s">
        <v>2163</v>
      </c>
      <c r="B2159">
        <v>0.99352677808782597</v>
      </c>
      <c r="C2159">
        <v>0.94153440633116303</v>
      </c>
      <c r="D2159">
        <v>0.58099852077137604</v>
      </c>
      <c r="E2159">
        <v>0.247720361351987</v>
      </c>
      <c r="F2159">
        <v>0.183976995637465</v>
      </c>
      <c r="G2159">
        <v>0.103482595376758</v>
      </c>
      <c r="H2159">
        <v>7.0790357492307304E-2</v>
      </c>
      <c r="I2159">
        <v>6.8182179323138803E-2</v>
      </c>
      <c r="J2159">
        <v>5.5031310809657903E-2</v>
      </c>
      <c r="K2159">
        <v>4.2076447414757502E-2</v>
      </c>
      <c r="L2159">
        <v>1038.1482857400799</v>
      </c>
      <c r="M2159">
        <v>22.202848754496198</v>
      </c>
      <c r="N2159">
        <v>47.077999028303502</v>
      </c>
      <c r="O2159">
        <v>46.383100343072599</v>
      </c>
      <c r="P2159">
        <v>-0.111277917380301</v>
      </c>
      <c r="Q2159">
        <v>7.0154856616618397E-2</v>
      </c>
      <c r="R2159">
        <v>0.99328923079995701</v>
      </c>
      <c r="S2159" t="s">
        <v>8444</v>
      </c>
      <c r="T2159" t="s">
        <v>12568</v>
      </c>
      <c r="U2159" t="s">
        <v>12568</v>
      </c>
      <c r="V2159" t="s">
        <v>12568</v>
      </c>
      <c r="W2159" t="s">
        <v>14693</v>
      </c>
      <c r="X2159">
        <v>58</v>
      </c>
      <c r="Y2159" t="s">
        <v>20873</v>
      </c>
      <c r="Z2159" t="s">
        <v>27029</v>
      </c>
      <c r="AA2159">
        <v>0.29048714952634569</v>
      </c>
      <c r="AB2159" t="str">
        <f>HYPERLINK("Melting_Curves/meltCurve_P42704_LRPPRC.pdf", "Melting_Curves/meltCurve_P42704_LRPPRC.pdf")</f>
        <v>Melting_Curves/meltCurve_P42704_LRPPRC.pdf</v>
      </c>
    </row>
    <row r="2160" spans="1:28" x14ac:dyDescent="0.25">
      <c r="A2160" t="s">
        <v>2164</v>
      </c>
      <c r="B2160">
        <v>0.99352677808782597</v>
      </c>
      <c r="C2160">
        <v>1.01719337658009</v>
      </c>
      <c r="D2160">
        <v>0.92422099731228602</v>
      </c>
      <c r="E2160">
        <v>0.88765678922069002</v>
      </c>
      <c r="F2160">
        <v>0.71495632536255205</v>
      </c>
      <c r="G2160">
        <v>0.63655120665493903</v>
      </c>
      <c r="H2160">
        <v>0.79578602551274602</v>
      </c>
      <c r="I2160">
        <v>0.69560595282770599</v>
      </c>
      <c r="J2160">
        <v>0.41940673998900402</v>
      </c>
      <c r="K2160">
        <v>8.0146494306434293E-2</v>
      </c>
      <c r="L2160">
        <v>536.89673524079399</v>
      </c>
      <c r="M2160">
        <v>8.3743550146552899</v>
      </c>
      <c r="N2160">
        <v>64.112007210904494</v>
      </c>
      <c r="O2160">
        <v>60.768776869641997</v>
      </c>
      <c r="P2160">
        <v>-3.4484549967843399E-2</v>
      </c>
      <c r="Q2160">
        <v>0</v>
      </c>
      <c r="R2160">
        <v>0.77331587356367404</v>
      </c>
      <c r="S2160" t="s">
        <v>8445</v>
      </c>
      <c r="T2160" t="s">
        <v>12568</v>
      </c>
      <c r="U2160" t="s">
        <v>12568</v>
      </c>
      <c r="V2160" t="s">
        <v>12568</v>
      </c>
      <c r="W2160" t="s">
        <v>14694</v>
      </c>
      <c r="X2160">
        <v>14</v>
      </c>
      <c r="Y2160" t="s">
        <v>20874</v>
      </c>
      <c r="Z2160" t="s">
        <v>27030</v>
      </c>
      <c r="AA2160">
        <v>0.74483509130516323</v>
      </c>
      <c r="AB2160" t="str">
        <f>HYPERLINK("Melting_Curves/meltCurve_P42765_ACAA2.pdf", "Melting_Curves/meltCurve_P42765_ACAA2.pdf")</f>
        <v>Melting_Curves/meltCurve_P42765_ACAA2.pdf</v>
      </c>
    </row>
    <row r="2161" spans="1:28" x14ac:dyDescent="0.25">
      <c r="A2161" t="s">
        <v>2165</v>
      </c>
      <c r="B2161">
        <v>0.99352677808782597</v>
      </c>
      <c r="C2161">
        <v>0.99427068377625305</v>
      </c>
      <c r="D2161">
        <v>1.0487963474264701</v>
      </c>
      <c r="E2161">
        <v>0.472900619167132</v>
      </c>
      <c r="F2161">
        <v>0.37062486967253799</v>
      </c>
      <c r="G2161">
        <v>0.172103882055194</v>
      </c>
      <c r="H2161">
        <v>9.4794405223890904E-2</v>
      </c>
      <c r="I2161">
        <v>8.2658425782292599E-2</v>
      </c>
      <c r="J2161">
        <v>7.8667506256825906E-2</v>
      </c>
      <c r="K2161">
        <v>5.7396823265697797E-2</v>
      </c>
      <c r="L2161">
        <v>1238.04190136698</v>
      </c>
      <c r="M2161">
        <v>24.6090916682939</v>
      </c>
      <c r="N2161">
        <v>50.708278221964598</v>
      </c>
      <c r="O2161">
        <v>49.979644206368</v>
      </c>
      <c r="P2161">
        <v>-0.112238428071766</v>
      </c>
      <c r="Q2161">
        <v>8.8214019528227897E-2</v>
      </c>
      <c r="R2161">
        <v>0.97641275833919094</v>
      </c>
      <c r="S2161" t="s">
        <v>8446</v>
      </c>
      <c r="T2161" t="s">
        <v>12568</v>
      </c>
      <c r="U2161" t="s">
        <v>12568</v>
      </c>
      <c r="V2161" t="s">
        <v>12568</v>
      </c>
      <c r="W2161" t="s">
        <v>14695</v>
      </c>
      <c r="X2161">
        <v>2</v>
      </c>
      <c r="Y2161" t="s">
        <v>20875</v>
      </c>
      <c r="Z2161" t="s">
        <v>27031</v>
      </c>
      <c r="AA2161">
        <v>0.40994988416068001</v>
      </c>
      <c r="AB2161" t="str">
        <f>HYPERLINK("Melting_Curves/meltCurve_P42766_RPL35.pdf", "Melting_Curves/meltCurve_P42766_RPL35.pdf")</f>
        <v>Melting_Curves/meltCurve_P42766_RPL35.pdf</v>
      </c>
    </row>
    <row r="2162" spans="1:28" x14ac:dyDescent="0.25">
      <c r="A2162" t="s">
        <v>2166</v>
      </c>
      <c r="B2162">
        <v>0.99352677808782597</v>
      </c>
      <c r="C2162">
        <v>0.98239242883877897</v>
      </c>
      <c r="D2162">
        <v>0.99193515271416899</v>
      </c>
      <c r="E2162">
        <v>0.95095473832606203</v>
      </c>
      <c r="F2162">
        <v>0.92939151404764997</v>
      </c>
      <c r="G2162">
        <v>0.84019252999449001</v>
      </c>
      <c r="H2162">
        <v>0.73330961103481296</v>
      </c>
      <c r="I2162">
        <v>0.77571193135697303</v>
      </c>
      <c r="J2162">
        <v>0.72143897561190895</v>
      </c>
      <c r="K2162">
        <v>0.59972924097680702</v>
      </c>
      <c r="L2162">
        <v>452.020742961797</v>
      </c>
      <c r="M2162">
        <v>6.5799860395208496</v>
      </c>
      <c r="O2162">
        <v>63.181048399700302</v>
      </c>
      <c r="P2162">
        <v>-1.81393346173724E-2</v>
      </c>
      <c r="Q2162">
        <v>0.304919103830186</v>
      </c>
      <c r="R2162">
        <v>0.95214150560795296</v>
      </c>
      <c r="S2162" t="s">
        <v>8447</v>
      </c>
      <c r="T2162" t="s">
        <v>12568</v>
      </c>
      <c r="U2162" t="s">
        <v>12568</v>
      </c>
      <c r="V2162" t="s">
        <v>12568</v>
      </c>
      <c r="W2162" t="s">
        <v>14696</v>
      </c>
      <c r="X2162">
        <v>5</v>
      </c>
      <c r="Y2162" t="s">
        <v>20876</v>
      </c>
      <c r="Z2162" t="s">
        <v>27032</v>
      </c>
      <c r="AA2162">
        <v>0.85884227985568451</v>
      </c>
      <c r="AB2162" t="str">
        <f>HYPERLINK("Melting_Curves/meltCurve_P42773_CDKN2C.pdf", "Melting_Curves/meltCurve_P42773_CDKN2C.pdf")</f>
        <v>Melting_Curves/meltCurve_P42773_CDKN2C.pdf</v>
      </c>
    </row>
    <row r="2163" spans="1:28" x14ac:dyDescent="0.25">
      <c r="A2163" t="s">
        <v>2167</v>
      </c>
      <c r="B2163">
        <v>0.99352677808782597</v>
      </c>
      <c r="C2163">
        <v>0.99940903190015595</v>
      </c>
      <c r="D2163">
        <v>0.92758164774449903</v>
      </c>
      <c r="E2163">
        <v>0.83943827212965705</v>
      </c>
      <c r="F2163">
        <v>0.73783920918202195</v>
      </c>
      <c r="G2163">
        <v>0.52635334827681401</v>
      </c>
      <c r="H2163">
        <v>0.281274870278162</v>
      </c>
      <c r="I2163">
        <v>0.14791295717736799</v>
      </c>
      <c r="J2163">
        <v>0.107118942929467</v>
      </c>
      <c r="K2163">
        <v>7.9221331570749204E-2</v>
      </c>
      <c r="L2163">
        <v>773.66451598101401</v>
      </c>
      <c r="M2163">
        <v>13.6028422856816</v>
      </c>
      <c r="N2163">
        <v>56.875194153928199</v>
      </c>
      <c r="O2163">
        <v>55.688260377794997</v>
      </c>
      <c r="P2163">
        <v>-6.1075962353903397E-2</v>
      </c>
      <c r="Q2163">
        <v>0</v>
      </c>
      <c r="R2163">
        <v>0.99666745699270598</v>
      </c>
      <c r="S2163" t="s">
        <v>8448</v>
      </c>
      <c r="T2163" t="s">
        <v>12568</v>
      </c>
      <c r="U2163" t="s">
        <v>12568</v>
      </c>
      <c r="V2163" t="s">
        <v>12568</v>
      </c>
      <c r="W2163" t="s">
        <v>14697</v>
      </c>
      <c r="X2163">
        <v>7</v>
      </c>
      <c r="Y2163" t="s">
        <v>20877</v>
      </c>
      <c r="Z2163" t="s">
        <v>27033</v>
      </c>
      <c r="AA2163">
        <v>0.57938077570865121</v>
      </c>
      <c r="AB2163" t="str">
        <f>HYPERLINK("Melting_Curves/meltCurve_P42785_PRCP.pdf", "Melting_Curves/meltCurve_P42785_PRCP.pdf")</f>
        <v>Melting_Curves/meltCurve_P42785_PRCP.pdf</v>
      </c>
    </row>
    <row r="2164" spans="1:28" x14ac:dyDescent="0.25">
      <c r="A2164" t="s">
        <v>2168</v>
      </c>
      <c r="B2164">
        <v>0.99352677808782597</v>
      </c>
      <c r="C2164">
        <v>1.02469580296164</v>
      </c>
      <c r="D2164">
        <v>1.08333354380588</v>
      </c>
      <c r="E2164">
        <v>0.66970603578351595</v>
      </c>
      <c r="F2164">
        <v>0.50316370670091504</v>
      </c>
      <c r="G2164">
        <v>0.432591785591672</v>
      </c>
      <c r="H2164">
        <v>0.28942026624842299</v>
      </c>
      <c r="I2164">
        <v>0.27209122568286698</v>
      </c>
      <c r="J2164">
        <v>0.30291555784535401</v>
      </c>
      <c r="K2164">
        <v>0.24745646075142799</v>
      </c>
      <c r="L2164">
        <v>1241.5247916011899</v>
      </c>
      <c r="M2164">
        <v>24.319298953116</v>
      </c>
      <c r="N2164">
        <v>52.9483181884641</v>
      </c>
      <c r="O2164">
        <v>50.709567410157803</v>
      </c>
      <c r="P2164">
        <v>-8.5027773656578001E-2</v>
      </c>
      <c r="Q2164">
        <v>0.290825279004923</v>
      </c>
      <c r="R2164">
        <v>0.96793452866173202</v>
      </c>
      <c r="S2164" t="s">
        <v>8449</v>
      </c>
      <c r="T2164" t="s">
        <v>12568</v>
      </c>
      <c r="U2164" t="s">
        <v>12568</v>
      </c>
      <c r="V2164" t="s">
        <v>12568</v>
      </c>
      <c r="W2164" t="s">
        <v>14698</v>
      </c>
      <c r="X2164">
        <v>1</v>
      </c>
      <c r="Y2164" t="s">
        <v>20878</v>
      </c>
      <c r="Z2164" t="s">
        <v>27034</v>
      </c>
      <c r="AA2164">
        <v>0.55882868386493323</v>
      </c>
      <c r="AB2164" t="str">
        <f>HYPERLINK("Melting_Curves/meltCurve_P42830_CXCL5.pdf", "Melting_Curves/meltCurve_P42830_CXCL5.pdf")</f>
        <v>Melting_Curves/meltCurve_P42830_CXCL5.pdf</v>
      </c>
    </row>
    <row r="2165" spans="1:28" x14ac:dyDescent="0.25">
      <c r="A2165" t="s">
        <v>2169</v>
      </c>
      <c r="B2165">
        <v>0.99352677808782597</v>
      </c>
      <c r="C2165">
        <v>0.97157431417946005</v>
      </c>
      <c r="D2165">
        <v>0.81718349235668297</v>
      </c>
      <c r="E2165">
        <v>0.41747156876341401</v>
      </c>
      <c r="F2165">
        <v>0.34730268566174799</v>
      </c>
      <c r="G2165">
        <v>0.213896713877754</v>
      </c>
      <c r="H2165">
        <v>0.126837745103836</v>
      </c>
      <c r="I2165">
        <v>0.12329465327949</v>
      </c>
      <c r="J2165">
        <v>8.4438222800520199E-2</v>
      </c>
      <c r="K2165">
        <v>7.7035530497832405E-2</v>
      </c>
      <c r="L2165">
        <v>858.36024222041999</v>
      </c>
      <c r="M2165">
        <v>17.437140372251399</v>
      </c>
      <c r="N2165">
        <v>49.849846937117299</v>
      </c>
      <c r="O2165">
        <v>48.592230293337501</v>
      </c>
      <c r="P2165">
        <v>-8.0921841286569596E-2</v>
      </c>
      <c r="Q2165">
        <v>9.8028060534233102E-2</v>
      </c>
      <c r="R2165">
        <v>0.99039466299444601</v>
      </c>
      <c r="S2165" t="s">
        <v>8450</v>
      </c>
      <c r="T2165" t="s">
        <v>12568</v>
      </c>
      <c r="U2165" t="s">
        <v>12568</v>
      </c>
      <c r="V2165" t="s">
        <v>12568</v>
      </c>
      <c r="W2165" t="s">
        <v>14699</v>
      </c>
      <c r="X2165">
        <v>18</v>
      </c>
      <c r="Y2165" t="s">
        <v>20879</v>
      </c>
      <c r="Z2165" t="s">
        <v>27035</v>
      </c>
      <c r="AA2165">
        <v>0.39197539431221928</v>
      </c>
      <c r="AB2165" t="str">
        <f>HYPERLINK("Melting_Curves/meltCurve_P42858_HTT.pdf", "Melting_Curves/meltCurve_P42858_HTT.pdf")</f>
        <v>Melting_Curves/meltCurve_P42858_HTT.pdf</v>
      </c>
    </row>
    <row r="2166" spans="1:28" x14ac:dyDescent="0.25">
      <c r="A2166" t="s">
        <v>2170</v>
      </c>
      <c r="B2166">
        <v>0.99352677808782597</v>
      </c>
      <c r="C2166">
        <v>0.95214027374963495</v>
      </c>
      <c r="D2166">
        <v>0.65501144936710598</v>
      </c>
      <c r="E2166">
        <v>0.31232232246848102</v>
      </c>
      <c r="F2166">
        <v>0.26617032957509301</v>
      </c>
      <c r="G2166">
        <v>0.154658470646031</v>
      </c>
      <c r="H2166">
        <v>0.18835952138968901</v>
      </c>
      <c r="I2166">
        <v>0.23232818701404301</v>
      </c>
      <c r="J2166">
        <v>6.9353073315013503E-2</v>
      </c>
      <c r="K2166">
        <v>5.7965267845299401E-2</v>
      </c>
      <c r="L2166">
        <v>1016.14971822105</v>
      </c>
      <c r="M2166">
        <v>21.573016044964898</v>
      </c>
      <c r="N2166">
        <v>47.833687063205602</v>
      </c>
      <c r="O2166">
        <v>46.703675535126003</v>
      </c>
      <c r="P2166">
        <v>-9.9267048695812599E-2</v>
      </c>
      <c r="Q2166">
        <v>0.140403143493186</v>
      </c>
      <c r="R2166">
        <v>0.97475466548546796</v>
      </c>
      <c r="S2166" t="s">
        <v>8451</v>
      </c>
      <c r="T2166" t="s">
        <v>12568</v>
      </c>
      <c r="U2166" t="s">
        <v>12568</v>
      </c>
      <c r="V2166" t="s">
        <v>12568</v>
      </c>
      <c r="W2166" t="s">
        <v>14700</v>
      </c>
      <c r="X2166">
        <v>1</v>
      </c>
      <c r="Y2166" t="s">
        <v>20880</v>
      </c>
      <c r="Z2166" t="s">
        <v>27036</v>
      </c>
      <c r="AA2166">
        <v>0.3545266827029534</v>
      </c>
      <c r="AB2166" t="str">
        <f>HYPERLINK("Melting_Curves/meltCurve_P42898_MTHFR.pdf", "Melting_Curves/meltCurve_P42898_MTHFR.pdf")</f>
        <v>Melting_Curves/meltCurve_P42898_MTHFR.pdf</v>
      </c>
    </row>
    <row r="2167" spans="1:28" x14ac:dyDescent="0.25">
      <c r="A2167" t="s">
        <v>2171</v>
      </c>
      <c r="B2167">
        <v>0.99352677808782597</v>
      </c>
      <c r="C2167">
        <v>1.05079339929453</v>
      </c>
      <c r="D2167">
        <v>0.97188898067057194</v>
      </c>
      <c r="E2167">
        <v>1.00959897834549</v>
      </c>
      <c r="F2167">
        <v>0.85661444602265102</v>
      </c>
      <c r="G2167">
        <v>0.84524900665347702</v>
      </c>
      <c r="H2167">
        <v>0.69367729480928797</v>
      </c>
      <c r="I2167">
        <v>0.39756691937600602</v>
      </c>
      <c r="J2167">
        <v>0.13112831742664099</v>
      </c>
      <c r="K2167">
        <v>7.48144014328148E-2</v>
      </c>
      <c r="L2167">
        <v>1400.60925100189</v>
      </c>
      <c r="M2167">
        <v>22.377520327597701</v>
      </c>
      <c r="N2167">
        <v>62.590027186432202</v>
      </c>
      <c r="O2167">
        <v>62.096600358471498</v>
      </c>
      <c r="P2167">
        <v>-9.0093447889158407E-2</v>
      </c>
      <c r="Q2167">
        <v>0</v>
      </c>
      <c r="R2167">
        <v>0.97668518477565403</v>
      </c>
      <c r="S2167" t="s">
        <v>8452</v>
      </c>
      <c r="T2167" t="s">
        <v>12568</v>
      </c>
      <c r="U2167" t="s">
        <v>12568</v>
      </c>
      <c r="V2167" t="s">
        <v>12568</v>
      </c>
      <c r="W2167" t="s">
        <v>14701</v>
      </c>
      <c r="X2167">
        <v>28</v>
      </c>
      <c r="Y2167" t="s">
        <v>20881</v>
      </c>
      <c r="Z2167" t="s">
        <v>27037</v>
      </c>
      <c r="AA2167">
        <v>0.75540643398172314</v>
      </c>
      <c r="AB2167" t="str">
        <f>HYPERLINK("Melting_Curves/meltCurve_P43034_PAFAH1B1.pdf", "Melting_Curves/meltCurve_P43034_PAFAH1B1.pdf")</f>
        <v>Melting_Curves/meltCurve_P43034_PAFAH1B1.pdf</v>
      </c>
    </row>
    <row r="2168" spans="1:28" x14ac:dyDescent="0.25">
      <c r="A2168" t="s">
        <v>2172</v>
      </c>
      <c r="B2168">
        <v>0.99352677808782597</v>
      </c>
      <c r="C2168">
        <v>0.93693802743467502</v>
      </c>
      <c r="D2168">
        <v>0.70772926583390094</v>
      </c>
      <c r="E2168">
        <v>0.242551583088845</v>
      </c>
      <c r="F2168">
        <v>0.207113561588498</v>
      </c>
      <c r="G2168">
        <v>0.109212484186801</v>
      </c>
      <c r="H2168">
        <v>7.2699872785374306E-2</v>
      </c>
      <c r="I2168">
        <v>6.6374287630888804E-2</v>
      </c>
      <c r="J2168">
        <v>5.6190320682830398E-2</v>
      </c>
      <c r="K2168">
        <v>4.5958992941539503E-2</v>
      </c>
      <c r="L2168">
        <v>1112.48741615878</v>
      </c>
      <c r="M2168">
        <v>23.450852308432498</v>
      </c>
      <c r="N2168">
        <v>47.748806818943002</v>
      </c>
      <c r="O2168">
        <v>47.098157909226103</v>
      </c>
      <c r="P2168">
        <v>-0.115698427380324</v>
      </c>
      <c r="Q2168">
        <v>7.0551296808023994E-2</v>
      </c>
      <c r="R2168">
        <v>0.994357468612448</v>
      </c>
      <c r="S2168" t="s">
        <v>8453</v>
      </c>
      <c r="T2168" t="s">
        <v>12568</v>
      </c>
      <c r="U2168" t="s">
        <v>12568</v>
      </c>
      <c r="V2168" t="s">
        <v>12568</v>
      </c>
      <c r="W2168" t="s">
        <v>14702</v>
      </c>
      <c r="X2168">
        <v>8</v>
      </c>
      <c r="Y2168" t="s">
        <v>20882</v>
      </c>
      <c r="Z2168" t="s">
        <v>27038</v>
      </c>
      <c r="AA2168">
        <v>0.31049975879123709</v>
      </c>
      <c r="AB2168" t="str">
        <f>HYPERLINK("Melting_Curves/meltCurve_P43155_2_CRAT.pdf", "Melting_Curves/meltCurve_P43155_2_CRAT.pdf")</f>
        <v>Melting_Curves/meltCurve_P43155_2_CRAT.pdf</v>
      </c>
    </row>
    <row r="2169" spans="1:28" x14ac:dyDescent="0.25">
      <c r="A2169" t="s">
        <v>2173</v>
      </c>
      <c r="B2169">
        <v>0.99352677808782597</v>
      </c>
      <c r="C2169">
        <v>0.98432478102390597</v>
      </c>
      <c r="D2169">
        <v>0.99809110688761504</v>
      </c>
      <c r="E2169">
        <v>0.69997869110690702</v>
      </c>
      <c r="F2169">
        <v>0.60854420300891998</v>
      </c>
      <c r="G2169">
        <v>0.48551769624122898</v>
      </c>
      <c r="H2169">
        <v>0.47886214461376603</v>
      </c>
      <c r="I2169">
        <v>0.47646916383774102</v>
      </c>
      <c r="J2169">
        <v>0.488436150750031</v>
      </c>
      <c r="K2169">
        <v>0.38285047263509903</v>
      </c>
      <c r="L2169">
        <v>1215.5288818696199</v>
      </c>
      <c r="M2169">
        <v>24.209453542434201</v>
      </c>
      <c r="N2169">
        <v>55.835683706205202</v>
      </c>
      <c r="O2169">
        <v>49.8700333798432</v>
      </c>
      <c r="P2169">
        <v>-6.5972975239587797E-2</v>
      </c>
      <c r="Q2169">
        <v>0.45640668328189599</v>
      </c>
      <c r="R2169">
        <v>0.97662731178502105</v>
      </c>
      <c r="S2169" t="s">
        <v>8454</v>
      </c>
      <c r="T2169" t="s">
        <v>12568</v>
      </c>
      <c r="U2169" t="s">
        <v>12568</v>
      </c>
      <c r="V2169" t="s">
        <v>12568</v>
      </c>
      <c r="W2169" t="s">
        <v>14703</v>
      </c>
      <c r="X2169">
        <v>15</v>
      </c>
      <c r="Y2169" t="s">
        <v>20883</v>
      </c>
      <c r="Z2169" t="s">
        <v>27039</v>
      </c>
      <c r="AA2169">
        <v>0.64658072733743266</v>
      </c>
      <c r="AB2169" t="str">
        <f>HYPERLINK("Melting_Curves/meltCurve_P43243_MATR3.pdf", "Melting_Curves/meltCurve_P43243_MATR3.pdf")</f>
        <v>Melting_Curves/meltCurve_P43243_MATR3.pdf</v>
      </c>
    </row>
    <row r="2170" spans="1:28" x14ac:dyDescent="0.25">
      <c r="A2170" t="s">
        <v>2174</v>
      </c>
      <c r="B2170">
        <v>0.99352677808782597</v>
      </c>
      <c r="C2170">
        <v>0.88264702899984304</v>
      </c>
      <c r="D2170">
        <v>0.44576929664491599</v>
      </c>
      <c r="E2170">
        <v>0.23467417381868899</v>
      </c>
      <c r="F2170">
        <v>0.16889421280435299</v>
      </c>
      <c r="G2170">
        <v>0.101861833532516</v>
      </c>
      <c r="H2170">
        <v>6.68508047200259E-2</v>
      </c>
      <c r="I2170">
        <v>6.06548912461327E-2</v>
      </c>
      <c r="J2170">
        <v>5.4362733545809998E-2</v>
      </c>
      <c r="K2170">
        <v>3.8659131038056002E-2</v>
      </c>
      <c r="L2170">
        <v>1040.2298048764601</v>
      </c>
      <c r="M2170">
        <v>22.739985243933202</v>
      </c>
      <c r="N2170">
        <v>46.072494658606303</v>
      </c>
      <c r="O2170">
        <v>45.395166778078398</v>
      </c>
      <c r="P2170">
        <v>-0.11587738203405901</v>
      </c>
      <c r="Q2170">
        <v>7.4727556320012406E-2</v>
      </c>
      <c r="R2170">
        <v>0.98733073116164505</v>
      </c>
      <c r="S2170" t="s">
        <v>8455</v>
      </c>
      <c r="T2170" t="s">
        <v>12568</v>
      </c>
      <c r="U2170" t="s">
        <v>12568</v>
      </c>
      <c r="V2170" t="s">
        <v>12568</v>
      </c>
      <c r="W2170" t="s">
        <v>14704</v>
      </c>
      <c r="X2170">
        <v>29</v>
      </c>
      <c r="Y2170" t="s">
        <v>20884</v>
      </c>
      <c r="Z2170" t="s">
        <v>27040</v>
      </c>
      <c r="AA2170">
        <v>0.26272333655349978</v>
      </c>
      <c r="AB2170" t="str">
        <f>HYPERLINK("Melting_Curves/meltCurve_P43246_MSH2.pdf", "Melting_Curves/meltCurve_P43246_MSH2.pdf")</f>
        <v>Melting_Curves/meltCurve_P43246_MSH2.pdf</v>
      </c>
    </row>
    <row r="2171" spans="1:28" x14ac:dyDescent="0.25">
      <c r="A2171" t="s">
        <v>2175</v>
      </c>
      <c r="B2171">
        <v>0.99352677808782597</v>
      </c>
      <c r="C2171">
        <v>0.85287176607635695</v>
      </c>
      <c r="D2171">
        <v>0.91296647445523404</v>
      </c>
      <c r="E2171">
        <v>0.75834077974343095</v>
      </c>
      <c r="F2171">
        <v>0.74872298594271802</v>
      </c>
      <c r="G2171">
        <v>0.46781505576355698</v>
      </c>
      <c r="H2171">
        <v>0.387546755438268</v>
      </c>
      <c r="I2171">
        <v>0.34162679752328301</v>
      </c>
      <c r="J2171">
        <v>0.200168682289041</v>
      </c>
      <c r="K2171">
        <v>0.10280595405119899</v>
      </c>
      <c r="L2171">
        <v>510.81236740439698</v>
      </c>
      <c r="M2171">
        <v>8.9037749535800597</v>
      </c>
      <c r="N2171">
        <v>57.370316553499997</v>
      </c>
      <c r="O2171">
        <v>54.697691063288403</v>
      </c>
      <c r="P2171">
        <v>-4.0726168201979301E-2</v>
      </c>
      <c r="Q2171">
        <v>0</v>
      </c>
      <c r="R2171">
        <v>0.97017037582156396</v>
      </c>
      <c r="S2171" t="s">
        <v>8456</v>
      </c>
      <c r="T2171" t="s">
        <v>12568</v>
      </c>
      <c r="U2171" t="s">
        <v>12568</v>
      </c>
      <c r="V2171" t="s">
        <v>12568</v>
      </c>
      <c r="W2171" t="s">
        <v>14705</v>
      </c>
      <c r="X2171">
        <v>1</v>
      </c>
      <c r="Y2171" t="s">
        <v>20885</v>
      </c>
      <c r="Z2171" t="s">
        <v>27041</v>
      </c>
      <c r="AA2171">
        <v>0.59060025086276469</v>
      </c>
      <c r="AB2171" t="str">
        <f>HYPERLINK("Melting_Curves/meltCurve_P43251_BTD.pdf", "Melting_Curves/meltCurve_P43251_BTD.pdf")</f>
        <v>Melting_Curves/meltCurve_P43251_BTD.pdf</v>
      </c>
    </row>
    <row r="2172" spans="1:28" x14ac:dyDescent="0.25">
      <c r="A2172" t="s">
        <v>2176</v>
      </c>
      <c r="B2172">
        <v>0.99352677808782597</v>
      </c>
      <c r="C2172">
        <v>0.79738973729566698</v>
      </c>
      <c r="D2172">
        <v>0.76538001662622102</v>
      </c>
      <c r="E2172">
        <v>0.367053906010125</v>
      </c>
      <c r="F2172">
        <v>0.31595143855234697</v>
      </c>
      <c r="G2172">
        <v>0.180046597991701</v>
      </c>
      <c r="H2172">
        <v>0.115168661693221</v>
      </c>
      <c r="I2172">
        <v>0.106509203664339</v>
      </c>
      <c r="J2172">
        <v>7.6401659767134006E-2</v>
      </c>
      <c r="K2172">
        <v>6.7367482494424993E-2</v>
      </c>
      <c r="L2172">
        <v>668.96596856082999</v>
      </c>
      <c r="M2172">
        <v>13.8111042344193</v>
      </c>
      <c r="N2172">
        <v>48.928764154029203</v>
      </c>
      <c r="O2172">
        <v>47.455218414875198</v>
      </c>
      <c r="P2172">
        <v>-6.8051510866889695E-2</v>
      </c>
      <c r="Q2172">
        <v>6.4825320551002402E-2</v>
      </c>
      <c r="R2172">
        <v>0.98425845594168104</v>
      </c>
      <c r="S2172" t="s">
        <v>8457</v>
      </c>
      <c r="T2172" t="s">
        <v>12568</v>
      </c>
      <c r="U2172" t="s">
        <v>12568</v>
      </c>
      <c r="V2172" t="s">
        <v>12568</v>
      </c>
      <c r="W2172" t="s">
        <v>14706</v>
      </c>
      <c r="X2172">
        <v>3</v>
      </c>
      <c r="Y2172" t="s">
        <v>20886</v>
      </c>
      <c r="Z2172" t="s">
        <v>27042</v>
      </c>
      <c r="AA2172">
        <v>0.35544223029901612</v>
      </c>
      <c r="AB2172" t="str">
        <f>HYPERLINK("Melting_Curves/meltCurve_P43353_ALDH3B1.pdf", "Melting_Curves/meltCurve_P43353_ALDH3B1.pdf")</f>
        <v>Melting_Curves/meltCurve_P43353_ALDH3B1.pdf</v>
      </c>
    </row>
    <row r="2173" spans="1:28" x14ac:dyDescent="0.25">
      <c r="A2173" t="s">
        <v>2177</v>
      </c>
      <c r="B2173">
        <v>0.99352677808782597</v>
      </c>
      <c r="C2173">
        <v>0.89119257443114597</v>
      </c>
      <c r="D2173">
        <v>0.700941798960239</v>
      </c>
      <c r="E2173">
        <v>0.34160420661489999</v>
      </c>
      <c r="F2173">
        <v>0.27168804242535</v>
      </c>
      <c r="G2173">
        <v>0.15870964687394201</v>
      </c>
      <c r="H2173">
        <v>0.10983997620292001</v>
      </c>
      <c r="I2173">
        <v>9.9215600182560204E-2</v>
      </c>
      <c r="J2173">
        <v>9.3819047333817102E-2</v>
      </c>
      <c r="K2173">
        <v>7.3165401633214E-2</v>
      </c>
      <c r="L2173">
        <v>824.33819534290501</v>
      </c>
      <c r="M2173">
        <v>17.240360064067801</v>
      </c>
      <c r="N2173">
        <v>48.368258180077397</v>
      </c>
      <c r="O2173">
        <v>47.1850416594772</v>
      </c>
      <c r="P2173">
        <v>-8.3167543024684307E-2</v>
      </c>
      <c r="Q2173">
        <v>8.9570118495813297E-2</v>
      </c>
      <c r="R2173">
        <v>0.99607601546528601</v>
      </c>
      <c r="S2173" t="s">
        <v>8458</v>
      </c>
      <c r="T2173" t="s">
        <v>12568</v>
      </c>
      <c r="U2173" t="s">
        <v>12568</v>
      </c>
      <c r="V2173" t="s">
        <v>12568</v>
      </c>
      <c r="W2173" t="s">
        <v>14707</v>
      </c>
      <c r="X2173">
        <v>2</v>
      </c>
      <c r="Y2173" t="s">
        <v>20887</v>
      </c>
      <c r="Z2173" t="s">
        <v>27043</v>
      </c>
      <c r="AA2173">
        <v>0.34450592644729872</v>
      </c>
      <c r="AB2173" t="str">
        <f>HYPERLINK("Melting_Curves/meltCurve_P43360_MAGEA6.pdf", "Melting_Curves/meltCurve_P43360_MAGEA6.pdf")</f>
        <v>Melting_Curves/meltCurve_P43360_MAGEA6.pdf</v>
      </c>
    </row>
    <row r="2174" spans="1:28" x14ac:dyDescent="0.25">
      <c r="A2174" t="s">
        <v>2178</v>
      </c>
      <c r="B2174">
        <v>0.99352677808782597</v>
      </c>
      <c r="C2174">
        <v>0.85394903259936095</v>
      </c>
      <c r="D2174">
        <v>0.60830490888961397</v>
      </c>
      <c r="E2174">
        <v>0.28569036936640702</v>
      </c>
      <c r="F2174">
        <v>0.221782557949492</v>
      </c>
      <c r="G2174">
        <v>0.128663345809055</v>
      </c>
      <c r="H2174">
        <v>8.4407897685734007E-2</v>
      </c>
      <c r="I2174">
        <v>7.17181175936073E-2</v>
      </c>
      <c r="J2174">
        <v>6.2669004136630097E-2</v>
      </c>
      <c r="K2174">
        <v>5.0237884965403302E-2</v>
      </c>
      <c r="L2174">
        <v>811.11171610733697</v>
      </c>
      <c r="M2174">
        <v>17.262393494005899</v>
      </c>
      <c r="N2174">
        <v>47.380247799825199</v>
      </c>
      <c r="O2174">
        <v>46.370232981177402</v>
      </c>
      <c r="P2174">
        <v>-8.6865096901286507E-2</v>
      </c>
      <c r="Q2174">
        <v>6.6706124472869097E-2</v>
      </c>
      <c r="R2174">
        <v>0.99594141150328397</v>
      </c>
      <c r="S2174" t="s">
        <v>8459</v>
      </c>
      <c r="T2174" t="s">
        <v>12568</v>
      </c>
      <c r="U2174" t="s">
        <v>12568</v>
      </c>
      <c r="V2174" t="s">
        <v>12568</v>
      </c>
      <c r="W2174" t="s">
        <v>14708</v>
      </c>
      <c r="X2174">
        <v>10</v>
      </c>
      <c r="Y2174" t="s">
        <v>20888</v>
      </c>
      <c r="Z2174" t="s">
        <v>27044</v>
      </c>
      <c r="AA2174">
        <v>0.3029418600618019</v>
      </c>
      <c r="AB2174" t="str">
        <f>HYPERLINK("Melting_Curves/meltCurve_P43378_PTPN9.pdf", "Melting_Curves/meltCurve_P43378_PTPN9.pdf")</f>
        <v>Melting_Curves/meltCurve_P43378_PTPN9.pdf</v>
      </c>
    </row>
    <row r="2175" spans="1:28" x14ac:dyDescent="0.25">
      <c r="A2175" t="s">
        <v>2179</v>
      </c>
      <c r="B2175">
        <v>0.99352677808782597</v>
      </c>
      <c r="C2175">
        <v>0.98605030378050695</v>
      </c>
      <c r="D2175">
        <v>1.0090200079981999</v>
      </c>
      <c r="E2175">
        <v>0.79744679046668199</v>
      </c>
      <c r="F2175">
        <v>0.75665528616799904</v>
      </c>
      <c r="G2175">
        <v>0.60292531599682198</v>
      </c>
      <c r="H2175">
        <v>0.62606860580480905</v>
      </c>
      <c r="I2175">
        <v>0.60954263240114503</v>
      </c>
      <c r="J2175">
        <v>0.65298630191076801</v>
      </c>
      <c r="K2175">
        <v>0.54168841594967498</v>
      </c>
      <c r="L2175">
        <v>1128.28541102443</v>
      </c>
      <c r="M2175">
        <v>22.17925887613</v>
      </c>
      <c r="O2175">
        <v>50.463048218058297</v>
      </c>
      <c r="P2175">
        <v>-4.3943284781116997E-2</v>
      </c>
      <c r="Q2175">
        <v>0.60008317304592695</v>
      </c>
      <c r="R2175">
        <v>0.956860383209724</v>
      </c>
      <c r="S2175" t="s">
        <v>8460</v>
      </c>
      <c r="T2175" t="s">
        <v>12568</v>
      </c>
      <c r="U2175" t="s">
        <v>12568</v>
      </c>
      <c r="V2175" t="s">
        <v>12568</v>
      </c>
      <c r="W2175" t="s">
        <v>14709</v>
      </c>
      <c r="X2175">
        <v>16</v>
      </c>
      <c r="Y2175" t="s">
        <v>20889</v>
      </c>
      <c r="Z2175" t="s">
        <v>27045</v>
      </c>
      <c r="AA2175">
        <v>0.74956091520339763</v>
      </c>
      <c r="AB2175" t="str">
        <f>HYPERLINK("Melting_Curves/meltCurve_P43487_RANBP1.pdf", "Melting_Curves/meltCurve_P43487_RANBP1.pdf")</f>
        <v>Melting_Curves/meltCurve_P43487_RANBP1.pdf</v>
      </c>
    </row>
    <row r="2176" spans="1:28" x14ac:dyDescent="0.25">
      <c r="A2176" t="s">
        <v>2180</v>
      </c>
      <c r="B2176">
        <v>0.99352677808782597</v>
      </c>
      <c r="C2176">
        <v>0.97882373695175895</v>
      </c>
      <c r="D2176">
        <v>0.93077541697333899</v>
      </c>
      <c r="E2176">
        <v>0.92846954970167195</v>
      </c>
      <c r="F2176">
        <v>0.75311861485874798</v>
      </c>
      <c r="G2176">
        <v>0.55780082385308805</v>
      </c>
      <c r="H2176">
        <v>0.16912485775338901</v>
      </c>
      <c r="I2176">
        <v>0.113966390156766</v>
      </c>
      <c r="J2176">
        <v>8.1344415469789599E-2</v>
      </c>
      <c r="K2176">
        <v>6.4846569754927294E-2</v>
      </c>
      <c r="L2176">
        <v>1037.6789461199201</v>
      </c>
      <c r="M2176">
        <v>18.274182574016901</v>
      </c>
      <c r="N2176">
        <v>56.867908079004103</v>
      </c>
      <c r="O2176">
        <v>56.116993459164</v>
      </c>
      <c r="P2176">
        <v>-8.0330369083294897E-2</v>
      </c>
      <c r="Q2176">
        <v>1.33207250245535E-2</v>
      </c>
      <c r="R2176">
        <v>0.99067854988548698</v>
      </c>
      <c r="S2176" t="s">
        <v>8461</v>
      </c>
      <c r="T2176" t="s">
        <v>12568</v>
      </c>
      <c r="U2176" t="s">
        <v>12568</v>
      </c>
      <c r="V2176" t="s">
        <v>12568</v>
      </c>
      <c r="W2176" t="s">
        <v>14710</v>
      </c>
      <c r="X2176">
        <v>29</v>
      </c>
      <c r="Y2176" t="s">
        <v>20890</v>
      </c>
      <c r="Z2176" t="s">
        <v>27046</v>
      </c>
      <c r="AA2176">
        <v>0.57889576323085579</v>
      </c>
      <c r="AB2176" t="str">
        <f>HYPERLINK("Melting_Curves/meltCurve_P43490_NAMPT.pdf", "Melting_Curves/meltCurve_P43490_NAMPT.pdf")</f>
        <v>Melting_Curves/meltCurve_P43490_NAMPT.pdf</v>
      </c>
    </row>
    <row r="2177" spans="1:28" x14ac:dyDescent="0.25">
      <c r="A2177" t="s">
        <v>2181</v>
      </c>
      <c r="B2177">
        <v>0.99352677808782597</v>
      </c>
      <c r="C2177">
        <v>0.90542388178730104</v>
      </c>
      <c r="D2177">
        <v>0.64854576655735496</v>
      </c>
      <c r="E2177">
        <v>1.0443502825694599</v>
      </c>
      <c r="F2177">
        <v>0.79663569994524897</v>
      </c>
      <c r="G2177">
        <v>0.420200128625701</v>
      </c>
      <c r="H2177">
        <v>0.16807426903686101</v>
      </c>
      <c r="I2177">
        <v>0.14246891641956</v>
      </c>
      <c r="J2177">
        <v>0.11732871163238801</v>
      </c>
      <c r="K2177">
        <v>9.1897221277834201E-2</v>
      </c>
      <c r="L2177">
        <v>1489.04848993056</v>
      </c>
      <c r="M2177">
        <v>26.742644384520201</v>
      </c>
      <c r="N2177">
        <v>56.152172454647904</v>
      </c>
      <c r="O2177">
        <v>55.3721345704651</v>
      </c>
      <c r="P2177">
        <v>-0.108599654852835</v>
      </c>
      <c r="Q2177">
        <v>0.10056294788002899</v>
      </c>
      <c r="R2177">
        <v>0.898271186733687</v>
      </c>
      <c r="S2177" t="s">
        <v>8462</v>
      </c>
      <c r="T2177" t="s">
        <v>12568</v>
      </c>
      <c r="U2177" t="s">
        <v>12568</v>
      </c>
      <c r="V2177" t="s">
        <v>12568</v>
      </c>
      <c r="W2177" t="s">
        <v>14711</v>
      </c>
      <c r="X2177">
        <v>25</v>
      </c>
      <c r="Y2177" t="s">
        <v>20891</v>
      </c>
      <c r="Z2177" t="s">
        <v>27047</v>
      </c>
      <c r="AA2177">
        <v>0.57806430789754815</v>
      </c>
      <c r="AB2177" t="str">
        <f>HYPERLINK("Melting_Curves/meltCurve_P43686_PSMC4.pdf", "Melting_Curves/meltCurve_P43686_PSMC4.pdf")</f>
        <v>Melting_Curves/meltCurve_P43686_PSMC4.pdf</v>
      </c>
    </row>
    <row r="2178" spans="1:28" x14ac:dyDescent="0.25">
      <c r="A2178" t="s">
        <v>2182</v>
      </c>
      <c r="B2178">
        <v>0.99352677808782597</v>
      </c>
      <c r="C2178">
        <v>0.74103354124077303</v>
      </c>
      <c r="D2178">
        <v>0.45266603404438399</v>
      </c>
      <c r="E2178">
        <v>0.17906351841981</v>
      </c>
      <c r="F2178">
        <v>0.13695399739269901</v>
      </c>
      <c r="G2178">
        <v>8.9170198561571906E-2</v>
      </c>
      <c r="H2178">
        <v>6.3678278839330402E-2</v>
      </c>
      <c r="I2178">
        <v>6.5190148029944994E-2</v>
      </c>
      <c r="J2178">
        <v>5.1263668276504401E-2</v>
      </c>
      <c r="K2178">
        <v>4.8731428149986503E-2</v>
      </c>
      <c r="L2178">
        <v>918.48705779396903</v>
      </c>
      <c r="M2178">
        <v>20.310131904489001</v>
      </c>
      <c r="N2178">
        <v>45.5274934918735</v>
      </c>
      <c r="O2178">
        <v>44.791514606634699</v>
      </c>
      <c r="P2178">
        <v>-0.10616528340704399</v>
      </c>
      <c r="Q2178">
        <v>6.34901337886533E-2</v>
      </c>
      <c r="R2178">
        <v>0.99502749039591898</v>
      </c>
      <c r="S2178" t="s">
        <v>8463</v>
      </c>
      <c r="T2178" t="s">
        <v>12568</v>
      </c>
      <c r="U2178" t="s">
        <v>12568</v>
      </c>
      <c r="V2178" t="s">
        <v>12568</v>
      </c>
      <c r="W2178" t="s">
        <v>14712</v>
      </c>
      <c r="X2178">
        <v>11</v>
      </c>
      <c r="Y2178" t="s">
        <v>20892</v>
      </c>
      <c r="Z2178" t="s">
        <v>27048</v>
      </c>
      <c r="AA2178">
        <v>0.24147176817997901</v>
      </c>
      <c r="AB2178" t="str">
        <f>HYPERLINK("Melting_Curves/meltCurve_P43897_TSFM.pdf", "Melting_Curves/meltCurve_P43897_TSFM.pdf")</f>
        <v>Melting_Curves/meltCurve_P43897_TSFM.pdf</v>
      </c>
    </row>
    <row r="2179" spans="1:28" x14ac:dyDescent="0.25">
      <c r="A2179" t="s">
        <v>2183</v>
      </c>
      <c r="B2179">
        <v>0.99352677808782597</v>
      </c>
      <c r="C2179">
        <v>0.96443961682012602</v>
      </c>
      <c r="D2179">
        <v>0.99621961264394199</v>
      </c>
      <c r="E2179">
        <v>0.26985266783429201</v>
      </c>
      <c r="F2179">
        <v>0.19216994429943099</v>
      </c>
      <c r="G2179">
        <v>6.8872953695919906E-2</v>
      </c>
      <c r="H2179">
        <v>2.9267042186868701E-2</v>
      </c>
      <c r="I2179">
        <v>2.7189153660496901E-2</v>
      </c>
      <c r="J2179">
        <v>2.6770143522651099E-2</v>
      </c>
      <c r="K2179">
        <v>2.27797477020228E-2</v>
      </c>
      <c r="L2179">
        <v>2364.6914519788102</v>
      </c>
      <c r="M2179">
        <v>48.381738109135902</v>
      </c>
      <c r="N2179">
        <v>48.992426323189903</v>
      </c>
      <c r="O2179">
        <v>48.792420388282601</v>
      </c>
      <c r="P2179">
        <v>-0.23439981840857599</v>
      </c>
      <c r="Q2179">
        <v>5.4442958277655502E-2</v>
      </c>
      <c r="R2179">
        <v>0.98836611415764497</v>
      </c>
      <c r="S2179" t="s">
        <v>8464</v>
      </c>
      <c r="T2179" t="s">
        <v>12568</v>
      </c>
      <c r="U2179" t="s">
        <v>12568</v>
      </c>
      <c r="V2179" t="s">
        <v>12568</v>
      </c>
      <c r="W2179" t="s">
        <v>14713</v>
      </c>
      <c r="X2179">
        <v>2</v>
      </c>
      <c r="Y2179" t="s">
        <v>20893</v>
      </c>
      <c r="Z2179" t="s">
        <v>27049</v>
      </c>
      <c r="AA2179">
        <v>0.33637085835082192</v>
      </c>
      <c r="AB2179" t="str">
        <f>HYPERLINK("Melting_Curves/meltCurve_P45877_PPIC.pdf", "Melting_Curves/meltCurve_P45877_PPIC.pdf")</f>
        <v>Melting_Curves/meltCurve_P45877_PPIC.pdf</v>
      </c>
    </row>
    <row r="2180" spans="1:28" x14ac:dyDescent="0.25">
      <c r="A2180" t="s">
        <v>2184</v>
      </c>
      <c r="B2180">
        <v>0.99352677808782597</v>
      </c>
      <c r="C2180">
        <v>0.87030243289550302</v>
      </c>
      <c r="D2180">
        <v>0.65223293554228701</v>
      </c>
      <c r="E2180">
        <v>0.25376178609039501</v>
      </c>
      <c r="F2180">
        <v>0.20090633004164599</v>
      </c>
      <c r="G2180">
        <v>0.128404986307564</v>
      </c>
      <c r="H2180">
        <v>9.3774930339903903E-2</v>
      </c>
      <c r="I2180">
        <v>6.7551263207918599E-2</v>
      </c>
      <c r="J2180">
        <v>6.3923779787878401E-2</v>
      </c>
      <c r="K2180">
        <v>4.55030704320014E-2</v>
      </c>
      <c r="L2180">
        <v>924.87211440596695</v>
      </c>
      <c r="M2180">
        <v>19.657963166927999</v>
      </c>
      <c r="N2180">
        <v>47.421466864492899</v>
      </c>
      <c r="O2180">
        <v>46.569458054926699</v>
      </c>
      <c r="P2180">
        <v>-9.7969860050375196E-2</v>
      </c>
      <c r="Q2180">
        <v>7.1675072690697103E-2</v>
      </c>
      <c r="R2180">
        <v>0.99527298421416999</v>
      </c>
      <c r="S2180" t="s">
        <v>8465</v>
      </c>
      <c r="T2180" t="s">
        <v>12568</v>
      </c>
      <c r="U2180" t="s">
        <v>12568</v>
      </c>
      <c r="V2180" t="s">
        <v>12568</v>
      </c>
      <c r="W2180" t="s">
        <v>14714</v>
      </c>
      <c r="X2180">
        <v>6</v>
      </c>
      <c r="Y2180" t="s">
        <v>20894</v>
      </c>
      <c r="Z2180" t="s">
        <v>27050</v>
      </c>
      <c r="AA2180">
        <v>0.30386612881788061</v>
      </c>
      <c r="AB2180" t="str">
        <f>HYPERLINK("Melting_Curves/meltCurve_P45954_ACADSB.pdf", "Melting_Curves/meltCurve_P45954_ACADSB.pdf")</f>
        <v>Melting_Curves/meltCurve_P45954_ACADSB.pdf</v>
      </c>
    </row>
    <row r="2181" spans="1:28" x14ac:dyDescent="0.25">
      <c r="A2181" t="s">
        <v>2185</v>
      </c>
      <c r="B2181">
        <v>0.99352677808782597</v>
      </c>
      <c r="C2181">
        <v>0.95534885901523403</v>
      </c>
      <c r="D2181">
        <v>1.00503601386367</v>
      </c>
      <c r="E2181">
        <v>0.85757603696231299</v>
      </c>
      <c r="F2181">
        <v>0.75391173383047005</v>
      </c>
      <c r="G2181">
        <v>0.64973117001203395</v>
      </c>
      <c r="H2181">
        <v>0.52773563015715697</v>
      </c>
      <c r="I2181">
        <v>0.59518164517823802</v>
      </c>
      <c r="J2181">
        <v>0.60232420701304501</v>
      </c>
      <c r="K2181">
        <v>0.54434030835373604</v>
      </c>
      <c r="L2181">
        <v>1058.0003334235</v>
      </c>
      <c r="M2181">
        <v>20.2601489268148</v>
      </c>
      <c r="O2181">
        <v>51.719988623310002</v>
      </c>
      <c r="P2181">
        <v>-4.2891339702215397E-2</v>
      </c>
      <c r="Q2181">
        <v>0.56204251235414104</v>
      </c>
      <c r="R2181">
        <v>0.97339793970263599</v>
      </c>
      <c r="S2181" t="s">
        <v>8466</v>
      </c>
      <c r="T2181" t="s">
        <v>12568</v>
      </c>
      <c r="U2181" t="s">
        <v>12568</v>
      </c>
      <c r="V2181" t="s">
        <v>12568</v>
      </c>
      <c r="W2181" t="s">
        <v>14715</v>
      </c>
      <c r="X2181">
        <v>10</v>
      </c>
      <c r="Y2181" t="s">
        <v>20895</v>
      </c>
      <c r="Z2181" t="s">
        <v>27051</v>
      </c>
      <c r="AA2181">
        <v>0.74636535707394513</v>
      </c>
      <c r="AB2181" t="str">
        <f>HYPERLINK("Melting_Curves/meltCurve_P45973_CBX5.pdf", "Melting_Curves/meltCurve_P45973_CBX5.pdf")</f>
        <v>Melting_Curves/meltCurve_P45973_CBX5.pdf</v>
      </c>
    </row>
    <row r="2182" spans="1:28" x14ac:dyDescent="0.25">
      <c r="A2182" t="s">
        <v>2186</v>
      </c>
      <c r="B2182">
        <v>0.99352677808782597</v>
      </c>
      <c r="C2182">
        <v>0.99256455334602001</v>
      </c>
      <c r="D2182">
        <v>0.95429496303564598</v>
      </c>
      <c r="E2182">
        <v>0.81246789278249698</v>
      </c>
      <c r="F2182">
        <v>0.733538624356739</v>
      </c>
      <c r="G2182">
        <v>0.35211196408064799</v>
      </c>
      <c r="H2182">
        <v>0.166723196386802</v>
      </c>
      <c r="I2182">
        <v>0.14735026504458101</v>
      </c>
      <c r="J2182">
        <v>0.11141134418012</v>
      </c>
      <c r="K2182">
        <v>8.1390597376369694E-2</v>
      </c>
      <c r="L2182">
        <v>1011.24026058602</v>
      </c>
      <c r="M2182">
        <v>18.457288688221801</v>
      </c>
      <c r="N2182">
        <v>55.229182807428501</v>
      </c>
      <c r="O2182">
        <v>54.157142120141501</v>
      </c>
      <c r="P2182">
        <v>-7.93675275814828E-2</v>
      </c>
      <c r="Q2182">
        <v>6.8524863700911307E-2</v>
      </c>
      <c r="R2182">
        <v>0.99427226742260699</v>
      </c>
      <c r="S2182" t="s">
        <v>8467</v>
      </c>
      <c r="T2182" t="s">
        <v>12568</v>
      </c>
      <c r="U2182" t="s">
        <v>12568</v>
      </c>
      <c r="V2182" t="s">
        <v>12568</v>
      </c>
      <c r="W2182" t="s">
        <v>14716</v>
      </c>
      <c r="X2182">
        <v>31</v>
      </c>
      <c r="Y2182" t="s">
        <v>20896</v>
      </c>
      <c r="Z2182" t="s">
        <v>27052</v>
      </c>
      <c r="AA2182">
        <v>0.54171251572317858</v>
      </c>
      <c r="AB2182" t="str">
        <f>HYPERLINK("Melting_Curves/meltCurve_P45974_2_USP5.pdf", "Melting_Curves/meltCurve_P45974_2_USP5.pdf")</f>
        <v>Melting_Curves/meltCurve_P45974_2_USP5.pdf</v>
      </c>
    </row>
    <row r="2183" spans="1:28" x14ac:dyDescent="0.25">
      <c r="A2183" t="s">
        <v>2187</v>
      </c>
      <c r="B2183">
        <v>0.99352677808782597</v>
      </c>
      <c r="C2183">
        <v>1.0047233281235699</v>
      </c>
      <c r="D2183">
        <v>0.99465737608297899</v>
      </c>
      <c r="E2183">
        <v>0.791561654726604</v>
      </c>
      <c r="F2183">
        <v>0.68635628631571399</v>
      </c>
      <c r="G2183">
        <v>0.20143203371590701</v>
      </c>
      <c r="H2183">
        <v>9.5245167679079604E-2</v>
      </c>
      <c r="I2183">
        <v>7.7701042078594199E-2</v>
      </c>
      <c r="J2183">
        <v>6.1563740629187701E-2</v>
      </c>
      <c r="K2183">
        <v>5.0913718098373403E-2</v>
      </c>
      <c r="L2183">
        <v>1283.0460098087201</v>
      </c>
      <c r="M2183">
        <v>23.809164371072399</v>
      </c>
      <c r="N2183">
        <v>54.097045623737699</v>
      </c>
      <c r="O2183">
        <v>53.512917004245701</v>
      </c>
      <c r="P2183">
        <v>-0.106361127833676</v>
      </c>
      <c r="Q2183">
        <v>4.3796710728552998E-2</v>
      </c>
      <c r="R2183">
        <v>0.99181421513860701</v>
      </c>
      <c r="S2183" t="s">
        <v>8468</v>
      </c>
      <c r="T2183" t="s">
        <v>12568</v>
      </c>
      <c r="U2183" t="s">
        <v>12568</v>
      </c>
      <c r="V2183" t="s">
        <v>12568</v>
      </c>
      <c r="W2183" t="s">
        <v>14717</v>
      </c>
      <c r="X2183">
        <v>5</v>
      </c>
      <c r="Y2183" t="s">
        <v>20897</v>
      </c>
      <c r="Z2183" t="s">
        <v>27053</v>
      </c>
      <c r="AA2183">
        <v>0.49614097704628901</v>
      </c>
      <c r="AB2183" t="str">
        <f>HYPERLINK("Melting_Curves/meltCurve_P45984_2_MAPK9.pdf", "Melting_Curves/meltCurve_P45984_2_MAPK9.pdf")</f>
        <v>Melting_Curves/meltCurve_P45984_2_MAPK9.pdf</v>
      </c>
    </row>
    <row r="2184" spans="1:28" x14ac:dyDescent="0.25">
      <c r="A2184" t="s">
        <v>2188</v>
      </c>
      <c r="B2184">
        <v>0.99352677808782597</v>
      </c>
      <c r="C2184">
        <v>0.84703441849419603</v>
      </c>
      <c r="D2184">
        <v>0.87608548592902302</v>
      </c>
      <c r="E2184">
        <v>0.25037295003244397</v>
      </c>
      <c r="F2184">
        <v>0.19264403083902801</v>
      </c>
      <c r="G2184">
        <v>0.12936615444788299</v>
      </c>
      <c r="H2184">
        <v>8.2067572325036905E-2</v>
      </c>
      <c r="I2184">
        <v>6.8100609248771898E-2</v>
      </c>
      <c r="J2184">
        <v>6.4818937663241705E-2</v>
      </c>
      <c r="K2184">
        <v>5.2907191159187503E-2</v>
      </c>
      <c r="L2184">
        <v>1532.9335709956799</v>
      </c>
      <c r="M2184">
        <v>31.863725091860601</v>
      </c>
      <c r="N2184">
        <v>48.388647713627897</v>
      </c>
      <c r="O2184">
        <v>47.920772310953502</v>
      </c>
      <c r="P2184">
        <v>-0.1522551189894</v>
      </c>
      <c r="Q2184">
        <v>8.4081731746978597E-2</v>
      </c>
      <c r="R2184">
        <v>0.97802847030557305</v>
      </c>
      <c r="S2184" t="s">
        <v>8469</v>
      </c>
      <c r="T2184" t="s">
        <v>12568</v>
      </c>
      <c r="U2184" t="s">
        <v>12568</v>
      </c>
      <c r="V2184" t="s">
        <v>12568</v>
      </c>
      <c r="W2184" t="s">
        <v>14718</v>
      </c>
      <c r="X2184">
        <v>11</v>
      </c>
      <c r="Y2184" t="s">
        <v>20898</v>
      </c>
      <c r="Z2184" t="s">
        <v>27054</v>
      </c>
      <c r="AA2184">
        <v>0.33652457482148529</v>
      </c>
      <c r="AB2184" t="str">
        <f>HYPERLINK("Melting_Curves/meltCurve_P45985_MAP2K4.pdf", "Melting_Curves/meltCurve_P45985_MAP2K4.pdf")</f>
        <v>Melting_Curves/meltCurve_P45985_MAP2K4.pdf</v>
      </c>
    </row>
    <row r="2185" spans="1:28" x14ac:dyDescent="0.25">
      <c r="A2185" t="s">
        <v>2189</v>
      </c>
      <c r="B2185">
        <v>0.99352677808782597</v>
      </c>
      <c r="C2185">
        <v>0.95293615456681702</v>
      </c>
      <c r="D2185">
        <v>1.0161404518688599</v>
      </c>
      <c r="E2185">
        <v>0.908868194008292</v>
      </c>
      <c r="F2185">
        <v>0.80875466597632095</v>
      </c>
      <c r="G2185">
        <v>0.72072409894334399</v>
      </c>
      <c r="H2185">
        <v>0.67007988349868697</v>
      </c>
      <c r="I2185">
        <v>0.66725248432193796</v>
      </c>
      <c r="J2185">
        <v>0.70240841757499095</v>
      </c>
      <c r="K2185">
        <v>0.52123648332894301</v>
      </c>
      <c r="L2185">
        <v>706.97539284520599</v>
      </c>
      <c r="M2185">
        <v>12.9834456975185</v>
      </c>
      <c r="O2185">
        <v>53.208847491253998</v>
      </c>
      <c r="P2185">
        <v>-2.5118371482235901E-2</v>
      </c>
      <c r="Q2185">
        <v>0.58831195416237203</v>
      </c>
      <c r="R2185">
        <v>0.92020737918976103</v>
      </c>
      <c r="S2185" t="s">
        <v>8470</v>
      </c>
      <c r="T2185" t="s">
        <v>12568</v>
      </c>
      <c r="U2185" t="s">
        <v>12568</v>
      </c>
      <c r="V2185" t="s">
        <v>12568</v>
      </c>
      <c r="W2185" t="s">
        <v>14719</v>
      </c>
      <c r="X2185">
        <v>132</v>
      </c>
      <c r="Y2185" t="s">
        <v>20899</v>
      </c>
      <c r="Z2185" t="s">
        <v>27055</v>
      </c>
      <c r="AA2185">
        <v>0.79621997720594817</v>
      </c>
      <c r="AB2185" t="str">
        <f>HYPERLINK("Melting_Curves/meltCurve_P46013_MKI67.pdf", "Melting_Curves/meltCurve_P46013_MKI67.pdf")</f>
        <v>Melting_Curves/meltCurve_P46013_MKI67.pdf</v>
      </c>
    </row>
    <row r="2186" spans="1:28" x14ac:dyDescent="0.25">
      <c r="A2186" t="s">
        <v>2190</v>
      </c>
      <c r="B2186">
        <v>0.99352677808782597</v>
      </c>
      <c r="C2186">
        <v>0.97859964043272396</v>
      </c>
      <c r="D2186">
        <v>0.97768701279289905</v>
      </c>
      <c r="E2186">
        <v>0.47210781554235398</v>
      </c>
      <c r="F2186">
        <v>0.37471184248702599</v>
      </c>
      <c r="G2186">
        <v>0.20955342656965001</v>
      </c>
      <c r="H2186">
        <v>0.115520161704409</v>
      </c>
      <c r="I2186">
        <v>0.119044126072703</v>
      </c>
      <c r="J2186">
        <v>8.5150209520536299E-2</v>
      </c>
      <c r="K2186">
        <v>6.7834911936344194E-2</v>
      </c>
      <c r="L2186">
        <v>1067.38123992235</v>
      </c>
      <c r="M2186">
        <v>21.279157789528298</v>
      </c>
      <c r="N2186">
        <v>50.6959978395519</v>
      </c>
      <c r="O2186">
        <v>49.724178405138701</v>
      </c>
      <c r="P2186">
        <v>-9.62271291874673E-2</v>
      </c>
      <c r="Q2186">
        <v>0.100586003343652</v>
      </c>
      <c r="R2186">
        <v>0.98299895177016905</v>
      </c>
      <c r="S2186" t="s">
        <v>8471</v>
      </c>
      <c r="T2186" t="s">
        <v>12568</v>
      </c>
      <c r="U2186" t="s">
        <v>12568</v>
      </c>
      <c r="V2186" t="s">
        <v>12568</v>
      </c>
      <c r="W2186" t="s">
        <v>14720</v>
      </c>
      <c r="X2186">
        <v>4</v>
      </c>
      <c r="Y2186" t="s">
        <v>20900</v>
      </c>
      <c r="Z2186" t="s">
        <v>27056</v>
      </c>
      <c r="AA2186">
        <v>0.41630226736154241</v>
      </c>
      <c r="AB2186" t="str">
        <f>HYPERLINK("Melting_Curves/meltCurve_P46019_PHKA2.pdf", "Melting_Curves/meltCurve_P46019_PHKA2.pdf")</f>
        <v>Melting_Curves/meltCurve_P46019_PHKA2.pdf</v>
      </c>
    </row>
    <row r="2187" spans="1:28" x14ac:dyDescent="0.25">
      <c r="A2187" t="s">
        <v>2191</v>
      </c>
      <c r="B2187">
        <v>0.99352677808782597</v>
      </c>
      <c r="C2187">
        <v>0.883017818371026</v>
      </c>
      <c r="D2187">
        <v>0.73767139466854603</v>
      </c>
      <c r="E2187">
        <v>0.325094455742587</v>
      </c>
      <c r="F2187">
        <v>0.25614395102989002</v>
      </c>
      <c r="G2187">
        <v>0.125287635678871</v>
      </c>
      <c r="H2187">
        <v>7.8759863483825701E-2</v>
      </c>
      <c r="I2187">
        <v>7.0098923604618002E-2</v>
      </c>
      <c r="J2187">
        <v>6.0587704041076502E-2</v>
      </c>
      <c r="K2187">
        <v>3.9574934381747903E-2</v>
      </c>
      <c r="L2187">
        <v>844.55586540175295</v>
      </c>
      <c r="M2187">
        <v>17.553233487255198</v>
      </c>
      <c r="N2187">
        <v>48.442917308445601</v>
      </c>
      <c r="O2187">
        <v>47.502542223828002</v>
      </c>
      <c r="P2187">
        <v>-8.7194880369557706E-2</v>
      </c>
      <c r="Q2187">
        <v>5.6184647995637202E-2</v>
      </c>
      <c r="R2187">
        <v>0.99457700475806998</v>
      </c>
      <c r="S2187" t="s">
        <v>8472</v>
      </c>
      <c r="T2187" t="s">
        <v>12568</v>
      </c>
      <c r="U2187" t="s">
        <v>12568</v>
      </c>
      <c r="V2187" t="s">
        <v>12568</v>
      </c>
      <c r="W2187" t="s">
        <v>14721</v>
      </c>
      <c r="X2187">
        <v>9</v>
      </c>
      <c r="Y2187" t="s">
        <v>20901</v>
      </c>
      <c r="Z2187" t="s">
        <v>27057</v>
      </c>
      <c r="AA2187">
        <v>0.32903630645481169</v>
      </c>
      <c r="AB2187" t="str">
        <f>HYPERLINK("Melting_Curves/meltCurve_P46020_2_PHKA1.pdf", "Melting_Curves/meltCurve_P46020_2_PHKA1.pdf")</f>
        <v>Melting_Curves/meltCurve_P46020_2_PHKA1.pdf</v>
      </c>
    </row>
    <row r="2188" spans="1:28" x14ac:dyDescent="0.25">
      <c r="A2188" t="s">
        <v>2192</v>
      </c>
      <c r="B2188">
        <v>0.99352677808782597</v>
      </c>
      <c r="C2188">
        <v>0.88092083053306802</v>
      </c>
      <c r="D2188">
        <v>0.90217513337630295</v>
      </c>
      <c r="E2188">
        <v>0.45582397209764802</v>
      </c>
      <c r="F2188">
        <v>0.35475426990661602</v>
      </c>
      <c r="G2188">
        <v>0.19187684185745199</v>
      </c>
      <c r="H2188">
        <v>0.10833130564638201</v>
      </c>
      <c r="I2188">
        <v>9.6848592848038095E-2</v>
      </c>
      <c r="J2188">
        <v>8.3988920370929504E-2</v>
      </c>
      <c r="K2188">
        <v>5.8254737014914203E-2</v>
      </c>
      <c r="L2188">
        <v>841.66955916944698</v>
      </c>
      <c r="M2188">
        <v>16.872591156877601</v>
      </c>
      <c r="N2188">
        <v>50.339536643165999</v>
      </c>
      <c r="O2188">
        <v>49.1989181342922</v>
      </c>
      <c r="P2188">
        <v>-7.9669499826061502E-2</v>
      </c>
      <c r="Q2188">
        <v>7.0823522146014201E-2</v>
      </c>
      <c r="R2188">
        <v>0.98614178575691802</v>
      </c>
      <c r="S2188" t="s">
        <v>8473</v>
      </c>
      <c r="T2188" t="s">
        <v>12568</v>
      </c>
      <c r="U2188" t="s">
        <v>12568</v>
      </c>
      <c r="V2188" t="s">
        <v>12568</v>
      </c>
      <c r="W2188" t="s">
        <v>14722</v>
      </c>
      <c r="X2188">
        <v>22</v>
      </c>
      <c r="Y2188" t="s">
        <v>20902</v>
      </c>
      <c r="Z2188" t="s">
        <v>27058</v>
      </c>
      <c r="AA2188">
        <v>0.39488599288082471</v>
      </c>
      <c r="AB2188" t="str">
        <f>HYPERLINK("Melting_Curves/meltCurve_P46060_RANGAP1.pdf", "Melting_Curves/meltCurve_P46060_RANGAP1.pdf")</f>
        <v>Melting_Curves/meltCurve_P46060_RANGAP1.pdf</v>
      </c>
    </row>
    <row r="2189" spans="1:28" x14ac:dyDescent="0.25">
      <c r="A2189" t="s">
        <v>2193</v>
      </c>
      <c r="B2189">
        <v>0.99352677808782597</v>
      </c>
      <c r="C2189">
        <v>0.95096476500439997</v>
      </c>
      <c r="D2189">
        <v>0.83054147454119698</v>
      </c>
      <c r="E2189">
        <v>0.29537300511210701</v>
      </c>
      <c r="F2189">
        <v>0.227951935848591</v>
      </c>
      <c r="G2189">
        <v>0.146126177972288</v>
      </c>
      <c r="H2189">
        <v>9.3577588311885201E-2</v>
      </c>
      <c r="I2189">
        <v>8.9177670477929599E-2</v>
      </c>
      <c r="J2189">
        <v>7.7403272267241197E-2</v>
      </c>
      <c r="K2189">
        <v>6.5773559964326003E-2</v>
      </c>
      <c r="L2189">
        <v>1306.4834653778901</v>
      </c>
      <c r="M2189">
        <v>27.123173131948398</v>
      </c>
      <c r="N2189">
        <v>48.552170986448402</v>
      </c>
      <c r="O2189">
        <v>47.9089780316447</v>
      </c>
      <c r="P2189">
        <v>-0.127884684212761</v>
      </c>
      <c r="Q2189">
        <v>9.6453075989304901E-2</v>
      </c>
      <c r="R2189">
        <v>0.99285631803844399</v>
      </c>
      <c r="S2189" t="s">
        <v>8474</v>
      </c>
      <c r="T2189" t="s">
        <v>12568</v>
      </c>
      <c r="U2189" t="s">
        <v>12568</v>
      </c>
      <c r="V2189" t="s">
        <v>12568</v>
      </c>
      <c r="W2189" t="s">
        <v>14723</v>
      </c>
      <c r="X2189">
        <v>30</v>
      </c>
      <c r="Y2189" t="s">
        <v>20903</v>
      </c>
      <c r="Z2189" t="s">
        <v>27059</v>
      </c>
      <c r="AA2189">
        <v>0.34919953935934961</v>
      </c>
      <c r="AB2189" t="str">
        <f>HYPERLINK("Melting_Curves/meltCurve_P46063_RECQL.pdf", "Melting_Curves/meltCurve_P46063_RECQL.pdf")</f>
        <v>Melting_Curves/meltCurve_P46063_RECQL.pdf</v>
      </c>
    </row>
    <row r="2190" spans="1:28" x14ac:dyDescent="0.25">
      <c r="A2190" t="s">
        <v>2194</v>
      </c>
      <c r="B2190">
        <v>0.99352677808782597</v>
      </c>
      <c r="C2190">
        <v>0.95853641814363799</v>
      </c>
      <c r="D2190">
        <v>1.1551395907753099</v>
      </c>
      <c r="E2190">
        <v>1.0253564415520799</v>
      </c>
      <c r="F2190">
        <v>0.93110877002143599</v>
      </c>
      <c r="G2190">
        <v>0.81927262162514802</v>
      </c>
      <c r="H2190">
        <v>0.71717624851778805</v>
      </c>
      <c r="I2190">
        <v>0.79459717379154604</v>
      </c>
      <c r="J2190">
        <v>0.771925727463037</v>
      </c>
      <c r="K2190">
        <v>0.67474574914218299</v>
      </c>
      <c r="L2190">
        <v>1813.70422249792</v>
      </c>
      <c r="M2190">
        <v>32.817434430020299</v>
      </c>
      <c r="O2190">
        <v>55.062481963833399</v>
      </c>
      <c r="P2190">
        <v>-3.91262510136028E-2</v>
      </c>
      <c r="Q2190">
        <v>0.737410469879758</v>
      </c>
      <c r="R2190">
        <v>0.82583453346741198</v>
      </c>
      <c r="S2190" t="s">
        <v>8475</v>
      </c>
      <c r="T2190" t="s">
        <v>12568</v>
      </c>
      <c r="U2190" t="s">
        <v>12568</v>
      </c>
      <c r="V2190" t="s">
        <v>12568</v>
      </c>
      <c r="W2190" t="s">
        <v>14724</v>
      </c>
      <c r="X2190">
        <v>15</v>
      </c>
      <c r="Y2190" t="s">
        <v>20904</v>
      </c>
      <c r="Z2190" t="s">
        <v>27060</v>
      </c>
      <c r="AA2190">
        <v>0.87250931453185532</v>
      </c>
      <c r="AB2190" t="str">
        <f>HYPERLINK("Melting_Curves/meltCurve_P46087_NOP2.pdf", "Melting_Curves/meltCurve_P46087_NOP2.pdf")</f>
        <v>Melting_Curves/meltCurve_P46087_NOP2.pdf</v>
      </c>
    </row>
    <row r="2191" spans="1:28" x14ac:dyDescent="0.25">
      <c r="A2191" t="s">
        <v>2195</v>
      </c>
      <c r="B2191">
        <v>0.99352677808782597</v>
      </c>
      <c r="C2191">
        <v>1.02163811480942</v>
      </c>
      <c r="D2191">
        <v>0.84343573088391899</v>
      </c>
      <c r="E2191">
        <v>0.72119319380884095</v>
      </c>
      <c r="F2191">
        <v>0.73612975583756901</v>
      </c>
      <c r="G2191">
        <v>0.49185298739361299</v>
      </c>
      <c r="H2191">
        <v>0.46007289142667301</v>
      </c>
      <c r="I2191">
        <v>0.47712583521590601</v>
      </c>
      <c r="J2191">
        <v>0.47658509955401002</v>
      </c>
      <c r="K2191">
        <v>0.387253971228671</v>
      </c>
      <c r="L2191">
        <v>638.982922258489</v>
      </c>
      <c r="M2191">
        <v>12.382015278973901</v>
      </c>
      <c r="N2191">
        <v>59.430995839713603</v>
      </c>
      <c r="O2191">
        <v>50.315065458592599</v>
      </c>
      <c r="P2191">
        <v>-3.6794036725178302E-2</v>
      </c>
      <c r="Q2191">
        <v>0.40206823825322702</v>
      </c>
      <c r="R2191">
        <v>0.95543069385310198</v>
      </c>
      <c r="S2191" t="s">
        <v>8476</v>
      </c>
      <c r="T2191" t="s">
        <v>12568</v>
      </c>
      <c r="U2191" t="s">
        <v>12568</v>
      </c>
      <c r="V2191" t="s">
        <v>12568</v>
      </c>
      <c r="W2191" t="s">
        <v>14725</v>
      </c>
      <c r="X2191">
        <v>15</v>
      </c>
      <c r="Y2191" t="s">
        <v>20905</v>
      </c>
      <c r="Z2191" t="s">
        <v>27061</v>
      </c>
      <c r="AA2191">
        <v>0.65137675751410407</v>
      </c>
      <c r="AB2191" t="str">
        <f>HYPERLINK("Melting_Curves/meltCurve_P46100_4_ATRX.pdf", "Melting_Curves/meltCurve_P46100_4_ATRX.pdf")</f>
        <v>Melting_Curves/meltCurve_P46100_4_ATRX.pdf</v>
      </c>
    </row>
    <row r="2192" spans="1:28" x14ac:dyDescent="0.25">
      <c r="A2192" t="s">
        <v>2196</v>
      </c>
      <c r="B2192">
        <v>0.99352677808782597</v>
      </c>
      <c r="C2192">
        <v>0.96956991556609795</v>
      </c>
      <c r="D2192">
        <v>1.0164929389522701</v>
      </c>
      <c r="E2192">
        <v>0.82970308712427299</v>
      </c>
      <c r="F2192">
        <v>0.74863673123989705</v>
      </c>
      <c r="G2192">
        <v>0.43893240582538701</v>
      </c>
      <c r="H2192">
        <v>0.227637118765699</v>
      </c>
      <c r="I2192">
        <v>0.188342251751489</v>
      </c>
      <c r="J2192">
        <v>0.15186371175388999</v>
      </c>
      <c r="K2192">
        <v>0.107591122270615</v>
      </c>
      <c r="L2192">
        <v>951.93898050001496</v>
      </c>
      <c r="M2192">
        <v>17.173153798760499</v>
      </c>
      <c r="N2192">
        <v>56.104775805914699</v>
      </c>
      <c r="O2192">
        <v>54.696562053893302</v>
      </c>
      <c r="P2192">
        <v>-7.1191059960364997E-2</v>
      </c>
      <c r="Q2192">
        <v>9.3078922390018096E-2</v>
      </c>
      <c r="R2192">
        <v>0.99479670968118605</v>
      </c>
      <c r="S2192" t="s">
        <v>8477</v>
      </c>
      <c r="T2192" t="s">
        <v>12568</v>
      </c>
      <c r="U2192" t="s">
        <v>12568</v>
      </c>
      <c r="V2192" t="s">
        <v>12568</v>
      </c>
      <c r="W2192" t="s">
        <v>14726</v>
      </c>
      <c r="X2192">
        <v>20</v>
      </c>
      <c r="Y2192" t="s">
        <v>20906</v>
      </c>
      <c r="Z2192" t="s">
        <v>27062</v>
      </c>
      <c r="AA2192">
        <v>0.57419025321037609</v>
      </c>
      <c r="AB2192" t="str">
        <f>HYPERLINK("Melting_Curves/meltCurve_P46108_CRK.pdf", "Melting_Curves/meltCurve_P46108_CRK.pdf")</f>
        <v>Melting_Curves/meltCurve_P46108_CRK.pdf</v>
      </c>
    </row>
    <row r="2193" spans="1:28" x14ac:dyDescent="0.25">
      <c r="A2193" t="s">
        <v>2197</v>
      </c>
      <c r="B2193">
        <v>0.99352677808782597</v>
      </c>
      <c r="C2193">
        <v>1.00067513704188</v>
      </c>
      <c r="D2193">
        <v>1.0110962735089599</v>
      </c>
      <c r="E2193">
        <v>0.88588263865891803</v>
      </c>
      <c r="F2193">
        <v>0.74421858010534003</v>
      </c>
      <c r="G2193">
        <v>0.56019004478246903</v>
      </c>
      <c r="H2193">
        <v>0.41398495171363497</v>
      </c>
      <c r="I2193">
        <v>0.34535008770026299</v>
      </c>
      <c r="J2193">
        <v>0.24236447930805999</v>
      </c>
      <c r="K2193">
        <v>0.167133945007231</v>
      </c>
      <c r="L2193">
        <v>691.40716090646401</v>
      </c>
      <c r="M2193">
        <v>11.981521921575</v>
      </c>
      <c r="N2193">
        <v>58.7439600947991</v>
      </c>
      <c r="O2193">
        <v>56.169116198883401</v>
      </c>
      <c r="P2193">
        <v>-4.8252751463386E-2</v>
      </c>
      <c r="Q2193">
        <v>9.5387949450502593E-2</v>
      </c>
      <c r="R2193">
        <v>0.99377116787024899</v>
      </c>
      <c r="S2193" t="s">
        <v>8478</v>
      </c>
      <c r="T2193" t="s">
        <v>12568</v>
      </c>
      <c r="U2193" t="s">
        <v>12568</v>
      </c>
      <c r="V2193" t="s">
        <v>12568</v>
      </c>
      <c r="W2193" t="s">
        <v>14727</v>
      </c>
      <c r="X2193">
        <v>11</v>
      </c>
      <c r="Y2193" t="s">
        <v>20907</v>
      </c>
      <c r="Z2193" t="s">
        <v>27063</v>
      </c>
      <c r="AA2193">
        <v>0.64193139074856542</v>
      </c>
      <c r="AB2193" t="str">
        <f>HYPERLINK("Melting_Curves/meltCurve_P46109_CRKL.pdf", "Melting_Curves/meltCurve_P46109_CRKL.pdf")</f>
        <v>Melting_Curves/meltCurve_P46109_CRKL.pdf</v>
      </c>
    </row>
    <row r="2194" spans="1:28" x14ac:dyDescent="0.25">
      <c r="A2194" t="s">
        <v>2198</v>
      </c>
      <c r="B2194">
        <v>0.99352677808782597</v>
      </c>
      <c r="C2194">
        <v>0.86141326427521903</v>
      </c>
      <c r="D2194">
        <v>0.589742879330168</v>
      </c>
      <c r="E2194">
        <v>0.22674497642222699</v>
      </c>
      <c r="F2194">
        <v>0.164909508836796</v>
      </c>
      <c r="G2194">
        <v>8.4088477846585102E-2</v>
      </c>
      <c r="H2194">
        <v>5.7470180002485903E-2</v>
      </c>
      <c r="I2194">
        <v>4.2692923402432199E-2</v>
      </c>
      <c r="J2194">
        <v>4.7319395799394898E-2</v>
      </c>
      <c r="K2194">
        <v>3.1023756984032799E-2</v>
      </c>
      <c r="L2194">
        <v>932.49571712162196</v>
      </c>
      <c r="M2194">
        <v>19.9792565587905</v>
      </c>
      <c r="N2194">
        <v>46.908773244576899</v>
      </c>
      <c r="O2194">
        <v>46.213156280331802</v>
      </c>
      <c r="P2194">
        <v>-0.102926270905409</v>
      </c>
      <c r="Q2194">
        <v>4.77338587878944E-2</v>
      </c>
      <c r="R2194">
        <v>0.99750101325631602</v>
      </c>
      <c r="S2194" t="s">
        <v>8479</v>
      </c>
      <c r="T2194" t="s">
        <v>12568</v>
      </c>
      <c r="U2194" t="s">
        <v>12568</v>
      </c>
      <c r="V2194" t="s">
        <v>12568</v>
      </c>
      <c r="W2194" t="s">
        <v>14728</v>
      </c>
      <c r="X2194">
        <v>3</v>
      </c>
      <c r="Y2194" t="s">
        <v>20908</v>
      </c>
      <c r="Z2194" t="s">
        <v>27064</v>
      </c>
      <c r="AA2194">
        <v>0.27373339864283902</v>
      </c>
      <c r="AB2194" t="str">
        <f>HYPERLINK("Melting_Curves/meltCurve_P46199_MTIF2.pdf", "Melting_Curves/meltCurve_P46199_MTIF2.pdf")</f>
        <v>Melting_Curves/meltCurve_P46199_MTIF2.pdf</v>
      </c>
    </row>
    <row r="2195" spans="1:28" x14ac:dyDescent="0.25">
      <c r="A2195" t="s">
        <v>2199</v>
      </c>
      <c r="B2195">
        <v>0.99352677808782597</v>
      </c>
      <c r="C2195">
        <v>0.96590217649745502</v>
      </c>
      <c r="D2195">
        <v>0.91080536477090102</v>
      </c>
      <c r="E2195">
        <v>0.85891600444753002</v>
      </c>
      <c r="F2195">
        <v>0.77437223032952396</v>
      </c>
      <c r="G2195">
        <v>0.70086273923099396</v>
      </c>
      <c r="H2195">
        <v>0.75556573794840298</v>
      </c>
      <c r="I2195">
        <v>0.84448278013203504</v>
      </c>
      <c r="J2195">
        <v>0.89175139896350897</v>
      </c>
      <c r="K2195">
        <v>0.75720755572244502</v>
      </c>
      <c r="L2195">
        <v>1078.84444870219</v>
      </c>
      <c r="M2195">
        <v>23.082775857735101</v>
      </c>
      <c r="O2195">
        <v>46.3915277372015</v>
      </c>
      <c r="P2195">
        <v>-2.62680185370095E-2</v>
      </c>
      <c r="Q2195">
        <v>0.78883113235046898</v>
      </c>
      <c r="R2195">
        <v>0.69379939561398496</v>
      </c>
      <c r="S2195" t="s">
        <v>8480</v>
      </c>
      <c r="T2195" t="s">
        <v>12568</v>
      </c>
      <c r="U2195" t="s">
        <v>12568</v>
      </c>
      <c r="V2195" t="s">
        <v>12568</v>
      </c>
      <c r="W2195" t="s">
        <v>14729</v>
      </c>
      <c r="X2195">
        <v>6</v>
      </c>
      <c r="Y2195" t="s">
        <v>20909</v>
      </c>
      <c r="Z2195" t="s">
        <v>27065</v>
      </c>
      <c r="AA2195">
        <v>0.83852770255917064</v>
      </c>
      <c r="AB2195" t="str">
        <f>HYPERLINK("Melting_Curves/meltCurve_P46527_CDKN1B.pdf", "Melting_Curves/meltCurve_P46527_CDKN1B.pdf")</f>
        <v>Melting_Curves/meltCurve_P46527_CDKN1B.pdf</v>
      </c>
    </row>
    <row r="2196" spans="1:28" x14ac:dyDescent="0.25">
      <c r="A2196" t="s">
        <v>2200</v>
      </c>
      <c r="B2196">
        <v>0.99352677808782597</v>
      </c>
      <c r="C2196">
        <v>0.78933077396273899</v>
      </c>
      <c r="D2196">
        <v>0.50526687746157295</v>
      </c>
      <c r="E2196">
        <v>0.16479474224571</v>
      </c>
      <c r="F2196">
        <v>0.108709209635723</v>
      </c>
      <c r="G2196">
        <v>7.7726408077590403E-2</v>
      </c>
      <c r="H2196">
        <v>6.3710508421925396E-2</v>
      </c>
      <c r="I2196">
        <v>6.5749317533841695E-2</v>
      </c>
      <c r="J2196">
        <v>5.9089885953237699E-2</v>
      </c>
      <c r="K2196">
        <v>6.40765287034889E-2</v>
      </c>
      <c r="L2196">
        <v>1010.8039803458601</v>
      </c>
      <c r="M2196">
        <v>22.155659501899802</v>
      </c>
      <c r="N2196">
        <v>45.897382135089501</v>
      </c>
      <c r="O2196">
        <v>45.256033006733098</v>
      </c>
      <c r="P2196">
        <v>-0.114796924109611</v>
      </c>
      <c r="Q2196">
        <v>6.20651946586359E-2</v>
      </c>
      <c r="R2196">
        <v>0.99781661676506195</v>
      </c>
      <c r="S2196" t="s">
        <v>8481</v>
      </c>
      <c r="T2196" t="s">
        <v>12568</v>
      </c>
      <c r="U2196" t="s">
        <v>12568</v>
      </c>
      <c r="V2196" t="s">
        <v>12568</v>
      </c>
      <c r="W2196" t="s">
        <v>14730</v>
      </c>
      <c r="X2196">
        <v>8</v>
      </c>
      <c r="Y2196" t="s">
        <v>20910</v>
      </c>
      <c r="Z2196" t="s">
        <v>27066</v>
      </c>
      <c r="AA2196">
        <v>0.2496247296958527</v>
      </c>
      <c r="AB2196" t="str">
        <f>HYPERLINK("Melting_Curves/meltCurve_P46734_MAP2K3.pdf", "Melting_Curves/meltCurve_P46734_MAP2K3.pdf")</f>
        <v>Melting_Curves/meltCurve_P46734_MAP2K3.pdf</v>
      </c>
    </row>
    <row r="2197" spans="1:28" x14ac:dyDescent="0.25">
      <c r="A2197" t="s">
        <v>2201</v>
      </c>
      <c r="B2197">
        <v>0.99352677808782597</v>
      </c>
      <c r="C2197">
        <v>1.00739108873189</v>
      </c>
      <c r="D2197">
        <v>0.90033879826251295</v>
      </c>
      <c r="E2197">
        <v>0.83767920610190605</v>
      </c>
      <c r="F2197">
        <v>0.71974828077254005</v>
      </c>
      <c r="G2197">
        <v>0.53594709088956505</v>
      </c>
      <c r="H2197">
        <v>0.37654545000746298</v>
      </c>
      <c r="I2197">
        <v>0.185155396813559</v>
      </c>
      <c r="J2197">
        <v>0.12145213388828301</v>
      </c>
      <c r="K2197">
        <v>7.8369908959306095E-2</v>
      </c>
      <c r="L2197">
        <v>690.64927297337704</v>
      </c>
      <c r="M2197">
        <v>12.055634887569401</v>
      </c>
      <c r="N2197">
        <v>57.288496844187499</v>
      </c>
      <c r="O2197">
        <v>55.780520030482798</v>
      </c>
      <c r="P2197">
        <v>-5.4044363134993702E-2</v>
      </c>
      <c r="Q2197">
        <v>0</v>
      </c>
      <c r="R2197">
        <v>0.99250854287520596</v>
      </c>
      <c r="S2197" t="s">
        <v>8482</v>
      </c>
      <c r="T2197" t="s">
        <v>12568</v>
      </c>
      <c r="U2197" t="s">
        <v>12568</v>
      </c>
      <c r="V2197" t="s">
        <v>12568</v>
      </c>
      <c r="W2197" t="s">
        <v>14731</v>
      </c>
      <c r="X2197">
        <v>6</v>
      </c>
      <c r="Y2197" t="s">
        <v>20911</v>
      </c>
      <c r="Z2197" t="s">
        <v>27067</v>
      </c>
      <c r="AA2197">
        <v>0.59200030350858979</v>
      </c>
      <c r="AB2197" t="str">
        <f>HYPERLINK("Melting_Curves/meltCurve_P46736_2_BRCC3.pdf", "Melting_Curves/meltCurve_P46736_2_BRCC3.pdf")</f>
        <v>Melting_Curves/meltCurve_P46736_2_BRCC3.pdf</v>
      </c>
    </row>
    <row r="2198" spans="1:28" x14ac:dyDescent="0.25">
      <c r="A2198" t="s">
        <v>2202</v>
      </c>
      <c r="B2198">
        <v>0.99352677808782597</v>
      </c>
      <c r="C2198">
        <v>0.96003169219083395</v>
      </c>
      <c r="D2198">
        <v>0.87385694811197601</v>
      </c>
      <c r="E2198">
        <v>0.27302763315684803</v>
      </c>
      <c r="F2198">
        <v>0.20183800024908299</v>
      </c>
      <c r="G2198">
        <v>0.12478165652217101</v>
      </c>
      <c r="H2198">
        <v>7.9100708785896895E-2</v>
      </c>
      <c r="I2198">
        <v>7.0887483454387404E-2</v>
      </c>
      <c r="J2198">
        <v>6.1333975433116097E-2</v>
      </c>
      <c r="K2198">
        <v>4.9472024301163403E-2</v>
      </c>
      <c r="L2198">
        <v>1585.3164860684899</v>
      </c>
      <c r="M2198">
        <v>32.834270216985303</v>
      </c>
      <c r="N2198">
        <v>48.5557496210495</v>
      </c>
      <c r="O2198">
        <v>48.104311571644701</v>
      </c>
      <c r="P2198">
        <v>-0.156241147817129</v>
      </c>
      <c r="Q2198">
        <v>8.4390559392450201E-2</v>
      </c>
      <c r="R2198">
        <v>0.99270255242435101</v>
      </c>
      <c r="S2198" t="s">
        <v>8483</v>
      </c>
      <c r="T2198" t="s">
        <v>12568</v>
      </c>
      <c r="U2198" t="s">
        <v>12568</v>
      </c>
      <c r="V2198" t="s">
        <v>12568</v>
      </c>
      <c r="W2198" t="s">
        <v>14732</v>
      </c>
      <c r="X2198">
        <v>14</v>
      </c>
      <c r="Y2198" t="s">
        <v>20912</v>
      </c>
      <c r="Z2198" t="s">
        <v>27068</v>
      </c>
      <c r="AA2198">
        <v>0.34175617320297408</v>
      </c>
      <c r="AB2198" t="str">
        <f>HYPERLINK("Melting_Curves/meltCurve_P46777_RPL5.pdf", "Melting_Curves/meltCurve_P46777_RPL5.pdf")</f>
        <v>Melting_Curves/meltCurve_P46777_RPL5.pdf</v>
      </c>
    </row>
    <row r="2199" spans="1:28" x14ac:dyDescent="0.25">
      <c r="A2199" t="s">
        <v>2203</v>
      </c>
      <c r="B2199">
        <v>0.99352677808782597</v>
      </c>
      <c r="C2199">
        <v>0.74156689782729401</v>
      </c>
      <c r="D2199">
        <v>1.10481933415131</v>
      </c>
      <c r="E2199">
        <v>0.48727064006855397</v>
      </c>
      <c r="F2199">
        <v>0.44726525488754998</v>
      </c>
      <c r="G2199">
        <v>0.25777715932949702</v>
      </c>
      <c r="H2199">
        <v>0.170150640061078</v>
      </c>
      <c r="I2199">
        <v>0.17845490430101399</v>
      </c>
      <c r="J2199">
        <v>0.15874623466284199</v>
      </c>
      <c r="K2199">
        <v>0.15810755284094599</v>
      </c>
      <c r="L2199">
        <v>1089.82842484867</v>
      </c>
      <c r="M2199">
        <v>21.675253695079601</v>
      </c>
      <c r="N2199">
        <v>51.256038328172998</v>
      </c>
      <c r="O2199">
        <v>49.857742085536302</v>
      </c>
      <c r="P2199">
        <v>-9.0308121807157707E-2</v>
      </c>
      <c r="Q2199">
        <v>0.169107306997309</v>
      </c>
      <c r="R2199">
        <v>0.89721413057814203</v>
      </c>
      <c r="S2199" t="s">
        <v>8484</v>
      </c>
      <c r="T2199" t="s">
        <v>12568</v>
      </c>
      <c r="U2199" t="s">
        <v>12568</v>
      </c>
      <c r="V2199" t="s">
        <v>12568</v>
      </c>
      <c r="W2199" t="s">
        <v>14733</v>
      </c>
      <c r="X2199">
        <v>3</v>
      </c>
      <c r="Y2199" t="s">
        <v>20913</v>
      </c>
      <c r="Z2199" t="s">
        <v>27069</v>
      </c>
      <c r="AA2199">
        <v>0.46370429180216077</v>
      </c>
      <c r="AB2199" t="str">
        <f>HYPERLINK("Melting_Curves/meltCurve_P46778_RPL21.pdf", "Melting_Curves/meltCurve_P46778_RPL21.pdf")</f>
        <v>Melting_Curves/meltCurve_P46778_RPL21.pdf</v>
      </c>
    </row>
    <row r="2200" spans="1:28" x14ac:dyDescent="0.25">
      <c r="A2200" t="s">
        <v>2204</v>
      </c>
      <c r="B2200">
        <v>0.99352677808782597</v>
      </c>
      <c r="C2200">
        <v>0.90894997552152501</v>
      </c>
      <c r="D2200">
        <v>1.0525425128602801</v>
      </c>
      <c r="E2200">
        <v>0.58264574636926802</v>
      </c>
      <c r="F2200">
        <v>0.52811372359144804</v>
      </c>
      <c r="G2200">
        <v>0.29224314050836497</v>
      </c>
      <c r="H2200">
        <v>0.14394660973395801</v>
      </c>
      <c r="I2200">
        <v>0.124116162976062</v>
      </c>
      <c r="J2200">
        <v>0.111024939713791</v>
      </c>
      <c r="K2200">
        <v>0.101137648170165</v>
      </c>
      <c r="L2200">
        <v>858.96931096456399</v>
      </c>
      <c r="M2200">
        <v>16.485084903235499</v>
      </c>
      <c r="N2200">
        <v>52.725587009141897</v>
      </c>
      <c r="O2200">
        <v>51.3572113256336</v>
      </c>
      <c r="P2200">
        <v>-7.3184546147664398E-2</v>
      </c>
      <c r="Q2200">
        <v>8.8074753483378607E-2</v>
      </c>
      <c r="R2200">
        <v>0.96920698629495095</v>
      </c>
      <c r="S2200" t="s">
        <v>8485</v>
      </c>
      <c r="T2200" t="s">
        <v>12568</v>
      </c>
      <c r="U2200" t="s">
        <v>12568</v>
      </c>
      <c r="V2200" t="s">
        <v>12568</v>
      </c>
      <c r="W2200" t="s">
        <v>14734</v>
      </c>
      <c r="X2200">
        <v>8</v>
      </c>
      <c r="Y2200" t="s">
        <v>20914</v>
      </c>
      <c r="Z2200" t="s">
        <v>27070</v>
      </c>
      <c r="AA2200">
        <v>0.47358677039706593</v>
      </c>
      <c r="AB2200" t="str">
        <f>HYPERLINK("Melting_Curves/meltCurve_P46779_RPL28.pdf", "Melting_Curves/meltCurve_P46779_RPL28.pdf")</f>
        <v>Melting_Curves/meltCurve_P46779_RPL28.pdf</v>
      </c>
    </row>
    <row r="2201" spans="1:28" x14ac:dyDescent="0.25">
      <c r="A2201" t="s">
        <v>2205</v>
      </c>
      <c r="B2201">
        <v>0.99352677808782597</v>
      </c>
      <c r="C2201">
        <v>0.74683477746792903</v>
      </c>
      <c r="D2201">
        <v>1.068622545275</v>
      </c>
      <c r="E2201">
        <v>0.46931896616526297</v>
      </c>
      <c r="F2201">
        <v>0.387612269499714</v>
      </c>
      <c r="G2201">
        <v>0.19528522415574601</v>
      </c>
      <c r="H2201">
        <v>0.112386875974784</v>
      </c>
      <c r="I2201">
        <v>0.106498362960135</v>
      </c>
      <c r="J2201">
        <v>7.6477847822744693E-2</v>
      </c>
      <c r="K2201">
        <v>5.7405357954331597E-2</v>
      </c>
      <c r="L2201">
        <v>963.98806471641103</v>
      </c>
      <c r="M2201">
        <v>19.107717281378999</v>
      </c>
      <c r="N2201">
        <v>50.907321470211201</v>
      </c>
      <c r="O2201">
        <v>49.907359692861299</v>
      </c>
      <c r="P2201">
        <v>-8.8173775354131304E-2</v>
      </c>
      <c r="Q2201">
        <v>7.8833178760164199E-2</v>
      </c>
      <c r="R2201">
        <v>0.92408893858483998</v>
      </c>
      <c r="S2201" t="s">
        <v>8486</v>
      </c>
      <c r="T2201" t="s">
        <v>12568</v>
      </c>
      <c r="U2201" t="s">
        <v>12568</v>
      </c>
      <c r="V2201" t="s">
        <v>12568</v>
      </c>
      <c r="W2201" t="s">
        <v>14735</v>
      </c>
      <c r="X2201">
        <v>14</v>
      </c>
      <c r="Y2201" t="s">
        <v>20915</v>
      </c>
      <c r="Z2201" t="s">
        <v>27071</v>
      </c>
      <c r="AA2201">
        <v>0.41367954581793032</v>
      </c>
      <c r="AB2201" t="str">
        <f>HYPERLINK("Melting_Curves/meltCurve_P46781_RPS9.pdf", "Melting_Curves/meltCurve_P46781_RPS9.pdf")</f>
        <v>Melting_Curves/meltCurve_P46781_RPS9.pdf</v>
      </c>
    </row>
    <row r="2202" spans="1:28" x14ac:dyDescent="0.25">
      <c r="A2202" t="s">
        <v>2206</v>
      </c>
      <c r="B2202">
        <v>0.99352677808782597</v>
      </c>
      <c r="C2202">
        <v>0.78528422985438495</v>
      </c>
      <c r="D2202">
        <v>0.81333832037821896</v>
      </c>
      <c r="E2202">
        <v>0.51677532574809304</v>
      </c>
      <c r="F2202">
        <v>0.44617622569917498</v>
      </c>
      <c r="G2202">
        <v>0.35437253809018499</v>
      </c>
      <c r="H2202">
        <v>0.29458599012410602</v>
      </c>
      <c r="I2202">
        <v>0.304328108465721</v>
      </c>
      <c r="J2202">
        <v>0.28226989945072201</v>
      </c>
      <c r="K2202">
        <v>0.24440014856689099</v>
      </c>
      <c r="L2202">
        <v>593.13103125708096</v>
      </c>
      <c r="M2202">
        <v>12.2474069577191</v>
      </c>
      <c r="N2202">
        <v>51.292576729390099</v>
      </c>
      <c r="O2202">
        <v>47.192275524661497</v>
      </c>
      <c r="P2202">
        <v>-4.8824704415317E-2</v>
      </c>
      <c r="Q2202">
        <v>0.24763320418457199</v>
      </c>
      <c r="R2202">
        <v>0.97340189130993005</v>
      </c>
      <c r="S2202" t="s">
        <v>8487</v>
      </c>
      <c r="T2202" t="s">
        <v>12568</v>
      </c>
      <c r="U2202" t="s">
        <v>12568</v>
      </c>
      <c r="V2202" t="s">
        <v>12568</v>
      </c>
      <c r="W2202" t="s">
        <v>14736</v>
      </c>
      <c r="X2202">
        <v>8</v>
      </c>
      <c r="Y2202" t="s">
        <v>20916</v>
      </c>
      <c r="Z2202" t="s">
        <v>27072</v>
      </c>
      <c r="AA2202">
        <v>0.48666241451044068</v>
      </c>
      <c r="AB2202" t="str">
        <f>HYPERLINK("Melting_Curves/meltCurve_P46783_RPS10.pdf", "Melting_Curves/meltCurve_P46783_RPS10.pdf")</f>
        <v>Melting_Curves/meltCurve_P46783_RPS10.pdf</v>
      </c>
    </row>
    <row r="2203" spans="1:28" x14ac:dyDescent="0.25">
      <c r="A2203" t="s">
        <v>2207</v>
      </c>
      <c r="B2203">
        <v>0.99352677808782597</v>
      </c>
      <c r="C2203">
        <v>0.94681469803673401</v>
      </c>
      <c r="D2203">
        <v>0.98777078545202401</v>
      </c>
      <c r="E2203">
        <v>0.88222411339370199</v>
      </c>
      <c r="F2203">
        <v>0.79591193939442295</v>
      </c>
      <c r="G2203">
        <v>0.63652233535844605</v>
      </c>
      <c r="H2203">
        <v>0.52711395785816395</v>
      </c>
      <c r="I2203">
        <v>0.45150821161599503</v>
      </c>
      <c r="J2203">
        <v>0.56206753431733003</v>
      </c>
      <c r="K2203">
        <v>0.453467372460574</v>
      </c>
      <c r="L2203">
        <v>908.70514615716502</v>
      </c>
      <c r="M2203">
        <v>16.7554710643407</v>
      </c>
      <c r="N2203">
        <v>64.471712920372497</v>
      </c>
      <c r="O2203">
        <v>53.478496532053498</v>
      </c>
      <c r="P2203">
        <v>-4.1903940135041402E-2</v>
      </c>
      <c r="Q2203">
        <v>0.46505517985311001</v>
      </c>
      <c r="R2203">
        <v>0.97308475848994902</v>
      </c>
      <c r="S2203" t="s">
        <v>8488</v>
      </c>
      <c r="T2203" t="s">
        <v>12568</v>
      </c>
      <c r="U2203" t="s">
        <v>12568</v>
      </c>
      <c r="V2203" t="s">
        <v>12568</v>
      </c>
      <c r="W2203" t="s">
        <v>14737</v>
      </c>
      <c r="X2203">
        <v>91</v>
      </c>
      <c r="Y2203" t="s">
        <v>20917</v>
      </c>
      <c r="Z2203" t="s">
        <v>27073</v>
      </c>
      <c r="AA2203">
        <v>0.72825979874643243</v>
      </c>
      <c r="AB2203" t="str">
        <f>HYPERLINK("Melting_Curves/meltCurve_P46821_MAP1B.pdf", "Melting_Curves/meltCurve_P46821_MAP1B.pdf")</f>
        <v>Melting_Curves/meltCurve_P46821_MAP1B.pdf</v>
      </c>
    </row>
    <row r="2204" spans="1:28" x14ac:dyDescent="0.25">
      <c r="A2204" t="s">
        <v>2208</v>
      </c>
      <c r="B2204">
        <v>0.99352677808782597</v>
      </c>
      <c r="C2204">
        <v>1.0711524284099201</v>
      </c>
      <c r="D2204">
        <v>0.93443904744585404</v>
      </c>
      <c r="E2204">
        <v>0.83666372146169998</v>
      </c>
      <c r="F2204">
        <v>0.70647780545699401</v>
      </c>
      <c r="G2204">
        <v>0.62463855190499695</v>
      </c>
      <c r="H2204">
        <v>0.90289533263372201</v>
      </c>
      <c r="I2204">
        <v>0.83669557625207003</v>
      </c>
      <c r="J2204">
        <v>0.51197611109736896</v>
      </c>
      <c r="K2204">
        <v>9.6561697170193E-2</v>
      </c>
      <c r="L2204">
        <v>510.16779513218501</v>
      </c>
      <c r="M2204">
        <v>7.6798503236514302</v>
      </c>
      <c r="N2204">
        <v>66.429392751699595</v>
      </c>
      <c r="O2204">
        <v>62.375183540690401</v>
      </c>
      <c r="P2204">
        <v>-3.08214077929846E-2</v>
      </c>
      <c r="Q2204">
        <v>0</v>
      </c>
      <c r="R2204">
        <v>0.60494906029398499</v>
      </c>
      <c r="S2204" t="s">
        <v>8489</v>
      </c>
      <c r="T2204" t="s">
        <v>12568</v>
      </c>
      <c r="U2204" t="s">
        <v>12568</v>
      </c>
      <c r="V2204" t="s">
        <v>12568</v>
      </c>
      <c r="W2204" t="s">
        <v>14738</v>
      </c>
      <c r="X2204">
        <v>14</v>
      </c>
      <c r="Y2204" t="s">
        <v>20918</v>
      </c>
      <c r="Z2204" t="s">
        <v>27074</v>
      </c>
      <c r="AA2204">
        <v>0.77953928121040739</v>
      </c>
      <c r="AB2204" t="str">
        <f>HYPERLINK("Melting_Curves/meltCurve_P46926_GNPDA1.pdf", "Melting_Curves/meltCurve_P46926_GNPDA1.pdf")</f>
        <v>Melting_Curves/meltCurve_P46926_GNPDA1.pdf</v>
      </c>
    </row>
    <row r="2205" spans="1:28" x14ac:dyDescent="0.25">
      <c r="A2205" t="s">
        <v>2209</v>
      </c>
      <c r="B2205">
        <v>0.99352677808782597</v>
      </c>
      <c r="C2205">
        <v>0.97142219550912201</v>
      </c>
      <c r="D2205">
        <v>0.95734232371432104</v>
      </c>
      <c r="E2205">
        <v>0.46316245757977798</v>
      </c>
      <c r="F2205">
        <v>0.36829204882258498</v>
      </c>
      <c r="G2205">
        <v>0.25182019148739598</v>
      </c>
      <c r="H2205">
        <v>0.15584812406269</v>
      </c>
      <c r="I2205">
        <v>0.13409058399829099</v>
      </c>
      <c r="J2205">
        <v>0.120750491710618</v>
      </c>
      <c r="K2205">
        <v>0.107233255816288</v>
      </c>
      <c r="L2205">
        <v>1088.7456295613399</v>
      </c>
      <c r="M2205">
        <v>21.875569474390499</v>
      </c>
      <c r="N2205">
        <v>50.522907660461598</v>
      </c>
      <c r="O2205">
        <v>49.359622935811103</v>
      </c>
      <c r="P2205">
        <v>-9.5386833987685798E-2</v>
      </c>
      <c r="Q2205">
        <v>0.13910343308870199</v>
      </c>
      <c r="R2205">
        <v>0.98310830977834796</v>
      </c>
      <c r="S2205" t="s">
        <v>8490</v>
      </c>
      <c r="T2205" t="s">
        <v>12568</v>
      </c>
      <c r="U2205" t="s">
        <v>12568</v>
      </c>
      <c r="V2205" t="s">
        <v>12568</v>
      </c>
      <c r="W2205" t="s">
        <v>14739</v>
      </c>
      <c r="X2205">
        <v>20</v>
      </c>
      <c r="Y2205" t="s">
        <v>20919</v>
      </c>
      <c r="Z2205" t="s">
        <v>27075</v>
      </c>
      <c r="AA2205">
        <v>0.42950848842762779</v>
      </c>
      <c r="AB2205" t="str">
        <f>HYPERLINK("Melting_Curves/meltCurve_P46934_4_NEDD4.pdf", "Melting_Curves/meltCurve_P46934_4_NEDD4.pdf")</f>
        <v>Melting_Curves/meltCurve_P46934_4_NEDD4.pdf</v>
      </c>
    </row>
    <row r="2206" spans="1:28" x14ac:dyDescent="0.25">
      <c r="A2206" t="s">
        <v>2210</v>
      </c>
      <c r="B2206">
        <v>0.99352677808782597</v>
      </c>
      <c r="C2206">
        <v>0.96724867771992495</v>
      </c>
      <c r="D2206">
        <v>1.0186636029437599</v>
      </c>
      <c r="E2206">
        <v>1.03817803869347</v>
      </c>
      <c r="F2206">
        <v>0.95210721900482398</v>
      </c>
      <c r="G2206">
        <v>0.88279569048220197</v>
      </c>
      <c r="H2206">
        <v>0.92585772043977499</v>
      </c>
      <c r="I2206">
        <v>1.04051030946103</v>
      </c>
      <c r="J2206">
        <v>0.96242446228352596</v>
      </c>
      <c r="K2206">
        <v>0.89616857989606202</v>
      </c>
      <c r="L2206">
        <v>13169.851816009301</v>
      </c>
      <c r="M2206">
        <v>250</v>
      </c>
      <c r="O2206">
        <v>52.676036187380397</v>
      </c>
      <c r="P2206">
        <v>-6.9349257258959393E-2</v>
      </c>
      <c r="Q2206">
        <v>0.94155129637158397</v>
      </c>
      <c r="R2206">
        <v>0.32184429327416902</v>
      </c>
      <c r="S2206" t="s">
        <v>8491</v>
      </c>
      <c r="T2206" t="s">
        <v>12568</v>
      </c>
      <c r="U2206" t="s">
        <v>12568</v>
      </c>
      <c r="V2206" t="s">
        <v>12568</v>
      </c>
      <c r="W2206" t="s">
        <v>14740</v>
      </c>
      <c r="X2206">
        <v>10</v>
      </c>
      <c r="Y2206" t="s">
        <v>20920</v>
      </c>
      <c r="Z2206" t="s">
        <v>27076</v>
      </c>
      <c r="AA2206">
        <v>0.96625986395622832</v>
      </c>
      <c r="AB2206" t="str">
        <f>HYPERLINK("Melting_Curves/meltCurve_P46937_YAP1.pdf", "Melting_Curves/meltCurve_P46937_YAP1.pdf")</f>
        <v>Melting_Curves/meltCurve_P46937_YAP1.pdf</v>
      </c>
    </row>
    <row r="2207" spans="1:28" x14ac:dyDescent="0.25">
      <c r="A2207" t="s">
        <v>2211</v>
      </c>
      <c r="B2207">
        <v>0.99352677808782597</v>
      </c>
      <c r="C2207">
        <v>0.90278727428139305</v>
      </c>
      <c r="D2207">
        <v>0.83594286460968703</v>
      </c>
      <c r="E2207">
        <v>0.39817720569781001</v>
      </c>
      <c r="F2207">
        <v>0.31055662056439398</v>
      </c>
      <c r="G2207">
        <v>0.20310152296379799</v>
      </c>
      <c r="H2207">
        <v>0.14322585047807501</v>
      </c>
      <c r="I2207">
        <v>0.138314931895096</v>
      </c>
      <c r="J2207">
        <v>0.11964630399140599</v>
      </c>
      <c r="K2207">
        <v>8.7272446590786895E-2</v>
      </c>
      <c r="L2207">
        <v>922.45028168466001</v>
      </c>
      <c r="M2207">
        <v>18.927281663539901</v>
      </c>
      <c r="N2207">
        <v>49.454978679282497</v>
      </c>
      <c r="O2207">
        <v>48.202281578006399</v>
      </c>
      <c r="P2207">
        <v>-8.6370066074635904E-2</v>
      </c>
      <c r="Q2207">
        <v>0.120197822567415</v>
      </c>
      <c r="R2207">
        <v>0.99068652277642699</v>
      </c>
      <c r="S2207" t="s">
        <v>8492</v>
      </c>
      <c r="T2207" t="s">
        <v>12568</v>
      </c>
      <c r="U2207" t="s">
        <v>12568</v>
      </c>
      <c r="V2207" t="s">
        <v>12568</v>
      </c>
      <c r="W2207" t="s">
        <v>14741</v>
      </c>
      <c r="X2207">
        <v>42</v>
      </c>
      <c r="Y2207" t="s">
        <v>20921</v>
      </c>
      <c r="Z2207" t="s">
        <v>27077</v>
      </c>
      <c r="AA2207">
        <v>0.39024695974284362</v>
      </c>
      <c r="AB2207" t="str">
        <f>HYPERLINK("Melting_Curves/meltCurve_P46939_UTRN.pdf", "Melting_Curves/meltCurve_P46939_UTRN.pdf")</f>
        <v>Melting_Curves/meltCurve_P46939_UTRN.pdf</v>
      </c>
    </row>
    <row r="2208" spans="1:28" x14ac:dyDescent="0.25">
      <c r="A2208" t="s">
        <v>2212</v>
      </c>
      <c r="B2208">
        <v>0.99352677808782597</v>
      </c>
      <c r="C2208">
        <v>0.90269157416492696</v>
      </c>
      <c r="D2208">
        <v>0.97002316448168302</v>
      </c>
      <c r="E2208">
        <v>0.48276288357679598</v>
      </c>
      <c r="F2208">
        <v>0.37303983600333201</v>
      </c>
      <c r="G2208">
        <v>0.16595073072499</v>
      </c>
      <c r="H2208">
        <v>0.102166982355978</v>
      </c>
      <c r="I2208">
        <v>9.19244456748642E-2</v>
      </c>
      <c r="J2208">
        <v>7.8419853598085801E-2</v>
      </c>
      <c r="K2208">
        <v>5.8397923877399803E-2</v>
      </c>
      <c r="L2208">
        <v>993.58409367545403</v>
      </c>
      <c r="M2208">
        <v>19.758798074072399</v>
      </c>
      <c r="N2208">
        <v>50.700826308199197</v>
      </c>
      <c r="O2208">
        <v>49.779074004599899</v>
      </c>
      <c r="P2208">
        <v>-9.1823573479831402E-2</v>
      </c>
      <c r="Q2208">
        <v>7.4693436286182399E-2</v>
      </c>
      <c r="R2208">
        <v>0.98304469348499901</v>
      </c>
      <c r="S2208" t="s">
        <v>8493</v>
      </c>
      <c r="T2208" t="s">
        <v>12568</v>
      </c>
      <c r="U2208" t="s">
        <v>12568</v>
      </c>
      <c r="V2208" t="s">
        <v>12568</v>
      </c>
      <c r="W2208" t="s">
        <v>14742</v>
      </c>
      <c r="X2208">
        <v>68</v>
      </c>
      <c r="Y2208" t="s">
        <v>20922</v>
      </c>
      <c r="Z2208" t="s">
        <v>27078</v>
      </c>
      <c r="AA2208">
        <v>0.40511254538543212</v>
      </c>
      <c r="AB2208" t="str">
        <f>HYPERLINK("Melting_Curves/meltCurve_P46940_IQGAP1.pdf", "Melting_Curves/meltCurve_P46940_IQGAP1.pdf")</f>
        <v>Melting_Curves/meltCurve_P46940_IQGAP1.pdf</v>
      </c>
    </row>
    <row r="2209" spans="1:28" x14ac:dyDescent="0.25">
      <c r="A2209" t="s">
        <v>2213</v>
      </c>
      <c r="B2209">
        <v>0.99352677808782597</v>
      </c>
      <c r="C2209">
        <v>1.0354991697531699</v>
      </c>
      <c r="D2209">
        <v>0.99488254105618001</v>
      </c>
      <c r="E2209">
        <v>0.89110821657926498</v>
      </c>
      <c r="F2209">
        <v>0.75723768972413397</v>
      </c>
      <c r="G2209">
        <v>0.58815176320145801</v>
      </c>
      <c r="H2209">
        <v>0.69204681050041505</v>
      </c>
      <c r="I2209">
        <v>0.56098471429646601</v>
      </c>
      <c r="J2209">
        <v>0.57073905669998903</v>
      </c>
      <c r="K2209">
        <v>0.34263617363677401</v>
      </c>
      <c r="L2209">
        <v>494.207208934829</v>
      </c>
      <c r="M2209">
        <v>8.3476988403328996</v>
      </c>
      <c r="N2209">
        <v>66.0386556623518</v>
      </c>
      <c r="O2209">
        <v>56.097503668041398</v>
      </c>
      <c r="P2209">
        <v>-2.6465407636153199E-2</v>
      </c>
      <c r="Q2209">
        <v>0.289283002666615</v>
      </c>
      <c r="R2209">
        <v>0.89885874754216999</v>
      </c>
      <c r="S2209" t="s">
        <v>8494</v>
      </c>
      <c r="T2209" t="s">
        <v>12568</v>
      </c>
      <c r="U2209" t="s">
        <v>12568</v>
      </c>
      <c r="V2209" t="s">
        <v>12568</v>
      </c>
      <c r="W2209" t="s">
        <v>14743</v>
      </c>
      <c r="X2209">
        <v>10</v>
      </c>
      <c r="Y2209" t="s">
        <v>20923</v>
      </c>
      <c r="Z2209" t="s">
        <v>27079</v>
      </c>
      <c r="AA2209">
        <v>0.74043379331259562</v>
      </c>
      <c r="AB2209" t="str">
        <f>HYPERLINK("Melting_Curves/meltCurve_P46976_2_GYG1.pdf", "Melting_Curves/meltCurve_P46976_2_GYG1.pdf")</f>
        <v>Melting_Curves/meltCurve_P46976_2_GYG1.pdf</v>
      </c>
    </row>
    <row r="2210" spans="1:28" x14ac:dyDescent="0.25">
      <c r="A2210" t="s">
        <v>2214</v>
      </c>
      <c r="B2210">
        <v>0.99352677808782597</v>
      </c>
      <c r="C2210">
        <v>0.98301507791753695</v>
      </c>
      <c r="D2210">
        <v>0.99616603605126397</v>
      </c>
      <c r="E2210">
        <v>0.90480979667556005</v>
      </c>
      <c r="F2210">
        <v>0.87596542958770396</v>
      </c>
      <c r="G2210">
        <v>0.77877800794281804</v>
      </c>
      <c r="H2210">
        <v>0.63948262468564598</v>
      </c>
      <c r="I2210">
        <v>0.64128903431537398</v>
      </c>
      <c r="J2210">
        <v>0.54323430592279998</v>
      </c>
      <c r="K2210">
        <v>0.44825487398269398</v>
      </c>
      <c r="L2210">
        <v>491.89826150543797</v>
      </c>
      <c r="M2210">
        <v>7.58618537815767</v>
      </c>
      <c r="N2210">
        <v>68.350395820476194</v>
      </c>
      <c r="O2210">
        <v>60.795634482866497</v>
      </c>
      <c r="P2210">
        <v>-2.61999148088045E-2</v>
      </c>
      <c r="Q2210">
        <v>0.16129250742607801</v>
      </c>
      <c r="R2210">
        <v>0.98635011892179603</v>
      </c>
      <c r="S2210" t="s">
        <v>8495</v>
      </c>
      <c r="T2210" t="s">
        <v>12568</v>
      </c>
      <c r="U2210" t="s">
        <v>12568</v>
      </c>
      <c r="V2210" t="s">
        <v>12568</v>
      </c>
      <c r="W2210" t="s">
        <v>14744</v>
      </c>
      <c r="X2210">
        <v>3</v>
      </c>
      <c r="Y2210" t="s">
        <v>20924</v>
      </c>
      <c r="Z2210" t="s">
        <v>27080</v>
      </c>
      <c r="AA2210">
        <v>0.78974623428279889</v>
      </c>
      <c r="AB2210" t="str">
        <f>HYPERLINK("Melting_Curves/meltCurve_P47224_RABIF.pdf", "Melting_Curves/meltCurve_P47224_RABIF.pdf")</f>
        <v>Melting_Curves/meltCurve_P47224_RABIF.pdf</v>
      </c>
    </row>
    <row r="2211" spans="1:28" x14ac:dyDescent="0.25">
      <c r="A2211" t="s">
        <v>2215</v>
      </c>
      <c r="B2211">
        <v>0.99352677808782597</v>
      </c>
      <c r="C2211">
        <v>1.0707631324406399</v>
      </c>
      <c r="D2211">
        <v>0.87633023132294696</v>
      </c>
      <c r="E2211">
        <v>0.83166027586656599</v>
      </c>
      <c r="F2211">
        <v>0.81198411951055205</v>
      </c>
      <c r="G2211">
        <v>0.42468323517231699</v>
      </c>
      <c r="H2211">
        <v>8.7847324845905406E-2</v>
      </c>
      <c r="I2211">
        <v>7.9305848265808498E-2</v>
      </c>
      <c r="J2211">
        <v>4.9389834088836203E-2</v>
      </c>
      <c r="K2211">
        <v>4.44294172242835E-2</v>
      </c>
      <c r="L2211">
        <v>1156.32395711703</v>
      </c>
      <c r="M2211">
        <v>20.691397148573799</v>
      </c>
      <c r="N2211">
        <v>55.918798538694404</v>
      </c>
      <c r="O2211">
        <v>55.370152425163901</v>
      </c>
      <c r="P2211">
        <v>-9.2832966572858597E-2</v>
      </c>
      <c r="Q2211">
        <v>6.3446574125610904E-3</v>
      </c>
      <c r="R2211">
        <v>0.97942597043887802</v>
      </c>
      <c r="S2211" t="s">
        <v>8496</v>
      </c>
      <c r="T2211" t="s">
        <v>12568</v>
      </c>
      <c r="U2211" t="s">
        <v>12568</v>
      </c>
      <c r="V2211" t="s">
        <v>12568</v>
      </c>
      <c r="W2211" t="s">
        <v>14745</v>
      </c>
      <c r="X2211">
        <v>1</v>
      </c>
      <c r="Y2211" t="s">
        <v>20925</v>
      </c>
      <c r="Z2211" t="s">
        <v>27081</v>
      </c>
      <c r="AA2211">
        <v>0.5447221062725478</v>
      </c>
      <c r="AB2211" t="str">
        <f>HYPERLINK("Melting_Curves/meltCurve_P47710_2_CSN1S1.pdf", "Melting_Curves/meltCurve_P47710_2_CSN1S1.pdf")</f>
        <v>Melting_Curves/meltCurve_P47710_2_CSN1S1.pdf</v>
      </c>
    </row>
    <row r="2212" spans="1:28" x14ac:dyDescent="0.25">
      <c r="A2212" t="s">
        <v>2216</v>
      </c>
      <c r="B2212">
        <v>0.99352677808782597</v>
      </c>
      <c r="C2212">
        <v>1.0007279940412299</v>
      </c>
      <c r="D2212">
        <v>0.91744930339971198</v>
      </c>
      <c r="E2212">
        <v>0.51390914682585997</v>
      </c>
      <c r="F2212">
        <v>0.41828529292275901</v>
      </c>
      <c r="G2212">
        <v>0.24749912641709801</v>
      </c>
      <c r="H2212">
        <v>0.14914619560763401</v>
      </c>
      <c r="I2212">
        <v>0.14356172927477701</v>
      </c>
      <c r="J2212">
        <v>0.111523148547766</v>
      </c>
      <c r="K2212">
        <v>9.6647237569062003E-2</v>
      </c>
      <c r="L2212">
        <v>901.22570904495205</v>
      </c>
      <c r="M2212">
        <v>17.8637093200898</v>
      </c>
      <c r="N2212">
        <v>51.192921237976897</v>
      </c>
      <c r="O2212">
        <v>49.830609416043998</v>
      </c>
      <c r="P2212">
        <v>-7.9394100026888195E-2</v>
      </c>
      <c r="Q2212">
        <v>0.114169375702505</v>
      </c>
      <c r="R2212">
        <v>0.98931549790942197</v>
      </c>
      <c r="S2212" t="s">
        <v>8497</v>
      </c>
      <c r="T2212" t="s">
        <v>12568</v>
      </c>
      <c r="U2212" t="s">
        <v>12568</v>
      </c>
      <c r="V2212" t="s">
        <v>12568</v>
      </c>
      <c r="W2212" t="s">
        <v>14746</v>
      </c>
      <c r="X2212">
        <v>11</v>
      </c>
      <c r="Y2212" t="s">
        <v>20926</v>
      </c>
      <c r="Z2212" t="s">
        <v>27082</v>
      </c>
      <c r="AA2212">
        <v>0.43797162753581009</v>
      </c>
      <c r="AB2212" t="str">
        <f>HYPERLINK("Melting_Curves/meltCurve_P47712_PLA2G4A.pdf", "Melting_Curves/meltCurve_P47712_PLA2G4A.pdf")</f>
        <v>Melting_Curves/meltCurve_P47712_PLA2G4A.pdf</v>
      </c>
    </row>
    <row r="2213" spans="1:28" x14ac:dyDescent="0.25">
      <c r="A2213" t="s">
        <v>2217</v>
      </c>
      <c r="B2213">
        <v>0.99352677808782597</v>
      </c>
      <c r="C2213">
        <v>0.93495158878912399</v>
      </c>
      <c r="D2213">
        <v>0.81584721836117402</v>
      </c>
      <c r="E2213">
        <v>0.421516523041289</v>
      </c>
      <c r="F2213">
        <v>0.35565033777838001</v>
      </c>
      <c r="G2213">
        <v>0.267952382685334</v>
      </c>
      <c r="H2213">
        <v>0.21286165412390101</v>
      </c>
      <c r="I2213">
        <v>0.219717625856029</v>
      </c>
      <c r="J2213">
        <v>0.200303194525391</v>
      </c>
      <c r="K2213">
        <v>0.16624695533359901</v>
      </c>
      <c r="L2213">
        <v>978.35106974964106</v>
      </c>
      <c r="M2213">
        <v>20.252634848641701</v>
      </c>
      <c r="N2213">
        <v>49.586282746301201</v>
      </c>
      <c r="O2213">
        <v>47.843767199652397</v>
      </c>
      <c r="P2213">
        <v>-8.4300112056074697E-2</v>
      </c>
      <c r="Q2213">
        <v>0.203439940293482</v>
      </c>
      <c r="R2213">
        <v>0.99243558526283904</v>
      </c>
      <c r="S2213" t="s">
        <v>8498</v>
      </c>
      <c r="T2213" t="s">
        <v>12568</v>
      </c>
      <c r="U2213" t="s">
        <v>12568</v>
      </c>
      <c r="V2213" t="s">
        <v>12568</v>
      </c>
      <c r="W2213" t="s">
        <v>14747</v>
      </c>
      <c r="X2213">
        <v>9</v>
      </c>
      <c r="Y2213" t="s">
        <v>20927</v>
      </c>
      <c r="Z2213" t="s">
        <v>27083</v>
      </c>
      <c r="AA2213">
        <v>0.43498060741937061</v>
      </c>
      <c r="AB2213" t="str">
        <f>HYPERLINK("Melting_Curves/meltCurve_P47736_RAP1GAP.pdf", "Melting_Curves/meltCurve_P47736_RAP1GAP.pdf")</f>
        <v>Melting_Curves/meltCurve_P47736_RAP1GAP.pdf</v>
      </c>
    </row>
    <row r="2214" spans="1:28" x14ac:dyDescent="0.25">
      <c r="A2214" t="s">
        <v>2218</v>
      </c>
      <c r="B2214">
        <v>0.99352677808782597</v>
      </c>
      <c r="C2214">
        <v>1.0040174936522801</v>
      </c>
      <c r="D2214">
        <v>0.93444150708622298</v>
      </c>
      <c r="E2214">
        <v>0.89539429375616797</v>
      </c>
      <c r="F2214">
        <v>0.758710983090918</v>
      </c>
      <c r="G2214">
        <v>0.474177088540641</v>
      </c>
      <c r="H2214">
        <v>0.21847650565624899</v>
      </c>
      <c r="I2214">
        <v>0.13252448365083999</v>
      </c>
      <c r="J2214">
        <v>9.6174428011992705E-2</v>
      </c>
      <c r="K2214">
        <v>7.6192416113491798E-2</v>
      </c>
      <c r="L2214">
        <v>972.57953014731004</v>
      </c>
      <c r="M2214">
        <v>17.292092089273702</v>
      </c>
      <c r="N2214">
        <v>56.483978271361899</v>
      </c>
      <c r="O2214">
        <v>55.508146010981797</v>
      </c>
      <c r="P2214">
        <v>-7.5128867159028404E-2</v>
      </c>
      <c r="Q2214">
        <v>3.5391878293959102E-2</v>
      </c>
      <c r="R2214">
        <v>0.99803869430484304</v>
      </c>
      <c r="S2214" t="s">
        <v>8499</v>
      </c>
      <c r="T2214" t="s">
        <v>12568</v>
      </c>
      <c r="U2214" t="s">
        <v>12568</v>
      </c>
      <c r="V2214" t="s">
        <v>12568</v>
      </c>
      <c r="W2214" t="s">
        <v>14748</v>
      </c>
      <c r="X2214">
        <v>14</v>
      </c>
      <c r="Y2214" t="s">
        <v>20928</v>
      </c>
      <c r="Z2214" t="s">
        <v>27084</v>
      </c>
      <c r="AA2214">
        <v>0.57233294930996237</v>
      </c>
      <c r="AB2214" t="str">
        <f>HYPERLINK("Melting_Curves/meltCurve_P47755_CAPZA2.pdf", "Melting_Curves/meltCurve_P47755_CAPZA2.pdf")</f>
        <v>Melting_Curves/meltCurve_P47755_CAPZA2.pdf</v>
      </c>
    </row>
    <row r="2215" spans="1:28" x14ac:dyDescent="0.25">
      <c r="A2215" t="s">
        <v>2219</v>
      </c>
      <c r="B2215">
        <v>0.99352677808782597</v>
      </c>
      <c r="C2215">
        <v>0.98381897886414105</v>
      </c>
      <c r="D2215">
        <v>0.95899579047364003</v>
      </c>
      <c r="E2215">
        <v>0.93005536896263996</v>
      </c>
      <c r="F2215">
        <v>0.83290934455435595</v>
      </c>
      <c r="G2215">
        <v>0.61898688998303197</v>
      </c>
      <c r="H2215">
        <v>0.37871102110855198</v>
      </c>
      <c r="I2215">
        <v>0.20734593242020399</v>
      </c>
      <c r="J2215">
        <v>0.143995170211211</v>
      </c>
      <c r="K2215">
        <v>0.10909470665523401</v>
      </c>
      <c r="L2215">
        <v>888.11115344616803</v>
      </c>
      <c r="M2215">
        <v>15.1593120597233</v>
      </c>
      <c r="N2215">
        <v>58.739138436989002</v>
      </c>
      <c r="O2215">
        <v>57.594081900999399</v>
      </c>
      <c r="P2215">
        <v>-6.4527072421553894E-2</v>
      </c>
      <c r="Q2215">
        <v>1.94760735157028E-2</v>
      </c>
      <c r="R2215">
        <v>0.99850458847613399</v>
      </c>
      <c r="S2215" t="s">
        <v>8500</v>
      </c>
      <c r="T2215" t="s">
        <v>12568</v>
      </c>
      <c r="U2215" t="s">
        <v>12568</v>
      </c>
      <c r="V2215" t="s">
        <v>12568</v>
      </c>
      <c r="W2215" t="s">
        <v>14749</v>
      </c>
      <c r="X2215">
        <v>25</v>
      </c>
      <c r="Y2215" t="s">
        <v>20929</v>
      </c>
      <c r="Z2215" t="s">
        <v>27085</v>
      </c>
      <c r="AA2215">
        <v>0.63848417349274089</v>
      </c>
      <c r="AB2215" t="str">
        <f>HYPERLINK("Melting_Curves/meltCurve_P47756_2_CAPZB.pdf", "Melting_Curves/meltCurve_P47756_2_CAPZB.pdf")</f>
        <v>Melting_Curves/meltCurve_P47756_2_CAPZB.pdf</v>
      </c>
    </row>
    <row r="2216" spans="1:28" x14ac:dyDescent="0.25">
      <c r="A2216" t="s">
        <v>2220</v>
      </c>
      <c r="B2216">
        <v>0.99352677808782597</v>
      </c>
      <c r="C2216">
        <v>0.88074499413952601</v>
      </c>
      <c r="D2216">
        <v>0.98452702297518802</v>
      </c>
      <c r="E2216">
        <v>0.94319464502005901</v>
      </c>
      <c r="F2216">
        <v>0.84624828776599104</v>
      </c>
      <c r="G2216">
        <v>0.75787059274921897</v>
      </c>
      <c r="H2216">
        <v>0.46882411312927302</v>
      </c>
      <c r="I2216">
        <v>0.34874009474899598</v>
      </c>
      <c r="J2216">
        <v>0.28819366655423501</v>
      </c>
      <c r="K2216">
        <v>0.21510055375111001</v>
      </c>
      <c r="L2216">
        <v>832.92555700811704</v>
      </c>
      <c r="M2216">
        <v>13.909752247587299</v>
      </c>
      <c r="N2216">
        <v>60.935381728691297</v>
      </c>
      <c r="O2216">
        <v>58.683769458752501</v>
      </c>
      <c r="P2216">
        <v>-5.2924917937014801E-2</v>
      </c>
      <c r="Q2216">
        <v>0.106982922620027</v>
      </c>
      <c r="R2216">
        <v>0.97856897952946897</v>
      </c>
      <c r="S2216" t="s">
        <v>8501</v>
      </c>
      <c r="T2216" t="s">
        <v>12568</v>
      </c>
      <c r="U2216" t="s">
        <v>12568</v>
      </c>
      <c r="V2216" t="s">
        <v>12568</v>
      </c>
      <c r="W2216" t="s">
        <v>14750</v>
      </c>
      <c r="X2216">
        <v>10</v>
      </c>
      <c r="Y2216" t="s">
        <v>20930</v>
      </c>
      <c r="Z2216" t="s">
        <v>27086</v>
      </c>
      <c r="AA2216">
        <v>0.70437828057090046</v>
      </c>
      <c r="AB2216" t="str">
        <f>HYPERLINK("Melting_Curves/meltCurve_P47813_EIF1AX.pdf", "Melting_Curves/meltCurve_P47813_EIF1AX.pdf")</f>
        <v>Melting_Curves/meltCurve_P47813_EIF1AX.pdf</v>
      </c>
    </row>
    <row r="2217" spans="1:28" x14ac:dyDescent="0.25">
      <c r="A2217" t="s">
        <v>2221</v>
      </c>
      <c r="B2217">
        <v>0.99352677808782597</v>
      </c>
      <c r="C2217">
        <v>0.83170993192229103</v>
      </c>
      <c r="D2217">
        <v>0.70471882321419399</v>
      </c>
      <c r="E2217">
        <v>0.467886746083155</v>
      </c>
      <c r="F2217">
        <v>0.39162922702091202</v>
      </c>
      <c r="G2217">
        <v>0.25430626199598699</v>
      </c>
      <c r="H2217">
        <v>0.21288754812226399</v>
      </c>
      <c r="I2217">
        <v>0.17429026050282301</v>
      </c>
      <c r="J2217">
        <v>0.146914423843924</v>
      </c>
      <c r="K2217">
        <v>8.9150321529558596E-2</v>
      </c>
      <c r="L2217">
        <v>552.851020750011</v>
      </c>
      <c r="M2217">
        <v>11.285878730120199</v>
      </c>
      <c r="N2217">
        <v>49.981493983172001</v>
      </c>
      <c r="O2217">
        <v>47.5236689266642</v>
      </c>
      <c r="P2217">
        <v>-5.34106587627039E-2</v>
      </c>
      <c r="Q2217">
        <v>0.100647793057922</v>
      </c>
      <c r="R2217">
        <v>0.99126728040242695</v>
      </c>
      <c r="S2217" t="s">
        <v>8502</v>
      </c>
      <c r="T2217" t="s">
        <v>12568</v>
      </c>
      <c r="U2217" t="s">
        <v>12568</v>
      </c>
      <c r="V2217" t="s">
        <v>12568</v>
      </c>
      <c r="W2217" t="s">
        <v>14751</v>
      </c>
      <c r="X2217">
        <v>9</v>
      </c>
      <c r="Y2217" t="s">
        <v>20931</v>
      </c>
      <c r="Z2217" t="s">
        <v>27087</v>
      </c>
      <c r="AA2217">
        <v>0.40661068039160481</v>
      </c>
      <c r="AB2217" t="str">
        <f>HYPERLINK("Melting_Curves/meltCurve_P47895_ALDH1A3.pdf", "Melting_Curves/meltCurve_P47895_ALDH1A3.pdf")</f>
        <v>Melting_Curves/meltCurve_P47895_ALDH1A3.pdf</v>
      </c>
    </row>
    <row r="2218" spans="1:28" x14ac:dyDescent="0.25">
      <c r="A2218" t="s">
        <v>2222</v>
      </c>
      <c r="B2218">
        <v>0.99352677808782597</v>
      </c>
      <c r="C2218">
        <v>0.85853383934157201</v>
      </c>
      <c r="D2218">
        <v>0.85355843686835398</v>
      </c>
      <c r="E2218">
        <v>0.38167851617624099</v>
      </c>
      <c r="F2218">
        <v>0.31814572270274399</v>
      </c>
      <c r="G2218">
        <v>0.155963356218496</v>
      </c>
      <c r="H2218">
        <v>9.910484412935E-2</v>
      </c>
      <c r="I2218">
        <v>9.2506614253127395E-2</v>
      </c>
      <c r="J2218">
        <v>6.9838810863901896E-2</v>
      </c>
      <c r="K2218">
        <v>5.5616369522761097E-2</v>
      </c>
      <c r="L2218">
        <v>838.05699341547199</v>
      </c>
      <c r="M2218">
        <v>17.083095523196299</v>
      </c>
      <c r="N2218">
        <v>49.4747664714344</v>
      </c>
      <c r="O2218">
        <v>48.400235159120498</v>
      </c>
      <c r="P2218">
        <v>-8.2326128806701496E-2</v>
      </c>
      <c r="Q2218">
        <v>6.7063115182346006E-2</v>
      </c>
      <c r="R2218">
        <v>0.98406957338646395</v>
      </c>
      <c r="S2218" t="s">
        <v>8503</v>
      </c>
      <c r="T2218" t="s">
        <v>12568</v>
      </c>
      <c r="U2218" t="s">
        <v>12568</v>
      </c>
      <c r="V2218" t="s">
        <v>12568</v>
      </c>
      <c r="W2218" t="s">
        <v>14752</v>
      </c>
      <c r="X2218">
        <v>22</v>
      </c>
      <c r="Y2218" t="s">
        <v>20932</v>
      </c>
      <c r="Z2218" t="s">
        <v>27088</v>
      </c>
      <c r="AA2218">
        <v>0.36663601080208702</v>
      </c>
      <c r="AB2218" t="str">
        <f>HYPERLINK("Melting_Curves/meltCurve_P47897_QARS.pdf", "Melting_Curves/meltCurve_P47897_QARS.pdf")</f>
        <v>Melting_Curves/meltCurve_P47897_QARS.pdf</v>
      </c>
    </row>
    <row r="2219" spans="1:28" x14ac:dyDescent="0.25">
      <c r="A2219" t="s">
        <v>2223</v>
      </c>
      <c r="B2219">
        <v>0.99352677808782597</v>
      </c>
      <c r="C2219">
        <v>1.06055507967231</v>
      </c>
      <c r="D2219">
        <v>1.1789182792021899</v>
      </c>
      <c r="E2219">
        <v>1.07595267422425</v>
      </c>
      <c r="F2219">
        <v>1.00635281335633</v>
      </c>
      <c r="G2219">
        <v>0.68020529987579303</v>
      </c>
      <c r="H2219">
        <v>0.56385399742259901</v>
      </c>
      <c r="I2219">
        <v>0.55688966371903603</v>
      </c>
      <c r="J2219">
        <v>0.644534907063394</v>
      </c>
      <c r="K2219">
        <v>0.51682811182540001</v>
      </c>
      <c r="L2219">
        <v>14189.0028943257</v>
      </c>
      <c r="M2219">
        <v>250</v>
      </c>
      <c r="O2219">
        <v>56.752379591310103</v>
      </c>
      <c r="P2219">
        <v>-0.47296842067983902</v>
      </c>
      <c r="Q2219">
        <v>0.57052666715011502</v>
      </c>
      <c r="R2219">
        <v>0.91555283924539599</v>
      </c>
      <c r="S2219" t="s">
        <v>8504</v>
      </c>
      <c r="T2219" t="s">
        <v>12568</v>
      </c>
      <c r="U2219" t="s">
        <v>12568</v>
      </c>
      <c r="V2219" t="s">
        <v>12568</v>
      </c>
      <c r="W2219" t="s">
        <v>14753</v>
      </c>
      <c r="X2219">
        <v>5</v>
      </c>
      <c r="Y2219" t="s">
        <v>20933</v>
      </c>
      <c r="Z2219" t="s">
        <v>27089</v>
      </c>
      <c r="AA2219">
        <v>0.81044478314777679</v>
      </c>
      <c r="AB2219" t="str">
        <f>HYPERLINK("Melting_Curves/meltCurve_P47914_RPL29.pdf", "Melting_Curves/meltCurve_P47914_RPL29.pdf")</f>
        <v>Melting_Curves/meltCurve_P47914_RPL29.pdf</v>
      </c>
    </row>
    <row r="2220" spans="1:28" x14ac:dyDescent="0.25">
      <c r="A2220" t="s">
        <v>2224</v>
      </c>
      <c r="B2220">
        <v>0.99352677808782597</v>
      </c>
      <c r="C2220">
        <v>0.92618983312629799</v>
      </c>
      <c r="D2220">
        <v>1.0017132825248301</v>
      </c>
      <c r="E2220">
        <v>0.92882531987528805</v>
      </c>
      <c r="F2220">
        <v>0.84912427909558497</v>
      </c>
      <c r="G2220">
        <v>0.87759390156653205</v>
      </c>
      <c r="H2220">
        <v>0.83730923431022497</v>
      </c>
      <c r="I2220">
        <v>0.88160690433727396</v>
      </c>
      <c r="J2220">
        <v>0.86703075693957099</v>
      </c>
      <c r="K2220">
        <v>0.77680123014558999</v>
      </c>
      <c r="L2220">
        <v>400.76498589531701</v>
      </c>
      <c r="M2220">
        <v>7.6143271205192997</v>
      </c>
      <c r="O2220">
        <v>49.370835906560899</v>
      </c>
      <c r="P2220">
        <v>-7.7552230237688397E-3</v>
      </c>
      <c r="Q2220">
        <v>0.79913546602490304</v>
      </c>
      <c r="R2220">
        <v>0.71258696125353305</v>
      </c>
      <c r="S2220" t="s">
        <v>8505</v>
      </c>
      <c r="T2220" t="s">
        <v>12568</v>
      </c>
      <c r="U2220" t="s">
        <v>12568</v>
      </c>
      <c r="V2220" t="s">
        <v>12568</v>
      </c>
      <c r="W2220" t="s">
        <v>14754</v>
      </c>
      <c r="X2220">
        <v>4</v>
      </c>
      <c r="Y2220" t="s">
        <v>20934</v>
      </c>
      <c r="Z2220" t="s">
        <v>27090</v>
      </c>
      <c r="AA2220">
        <v>0.89268830177598146</v>
      </c>
      <c r="AB2220" t="str">
        <f>HYPERLINK("Melting_Curves/meltCurve_P47974_ZFP36L2.pdf", "Melting_Curves/meltCurve_P47974_ZFP36L2.pdf")</f>
        <v>Melting_Curves/meltCurve_P47974_ZFP36L2.pdf</v>
      </c>
    </row>
    <row r="2221" spans="1:28" x14ac:dyDescent="0.25">
      <c r="A2221" t="s">
        <v>2225</v>
      </c>
      <c r="B2221">
        <v>0.99352677808782597</v>
      </c>
      <c r="C2221">
        <v>0.94294860868681796</v>
      </c>
      <c r="D2221">
        <v>0.94315419018763302</v>
      </c>
      <c r="E2221">
        <v>0.74795439453695001</v>
      </c>
      <c r="F2221">
        <v>0.71242300492083699</v>
      </c>
      <c r="G2221">
        <v>0.57985215756696795</v>
      </c>
      <c r="H2221">
        <v>0.51768597723569498</v>
      </c>
      <c r="I2221">
        <v>0.512888075283224</v>
      </c>
      <c r="J2221">
        <v>0.43989815432685297</v>
      </c>
      <c r="K2221">
        <v>0.39582868047997</v>
      </c>
      <c r="L2221">
        <v>540.88288131035597</v>
      </c>
      <c r="M2221">
        <v>10.1049042107924</v>
      </c>
      <c r="N2221">
        <v>61.790318276570801</v>
      </c>
      <c r="O2221">
        <v>51.557292570385201</v>
      </c>
      <c r="P2221">
        <v>-3.08560318528034E-2</v>
      </c>
      <c r="Q2221">
        <v>0.37055896764940199</v>
      </c>
      <c r="R2221">
        <v>0.98415597462729099</v>
      </c>
      <c r="S2221" t="s">
        <v>8506</v>
      </c>
      <c r="T2221" t="s">
        <v>12568</v>
      </c>
      <c r="U2221" t="s">
        <v>12568</v>
      </c>
      <c r="V2221" t="s">
        <v>12568</v>
      </c>
      <c r="W2221" t="s">
        <v>14755</v>
      </c>
      <c r="X2221">
        <v>5</v>
      </c>
      <c r="Y2221" t="s">
        <v>20935</v>
      </c>
      <c r="Z2221" t="s">
        <v>27091</v>
      </c>
      <c r="AA2221">
        <v>0.67443197744609829</v>
      </c>
      <c r="AB2221" t="str">
        <f>HYPERLINK("Melting_Curves/meltCurve_P47985_UQCRFS1.pdf", "Melting_Curves/meltCurve_P47985_UQCRFS1.pdf")</f>
        <v>Melting_Curves/meltCurve_P47985_UQCRFS1.pdf</v>
      </c>
    </row>
    <row r="2222" spans="1:28" x14ac:dyDescent="0.25">
      <c r="A2222" t="s">
        <v>2226</v>
      </c>
      <c r="B2222">
        <v>0.99352677808782597</v>
      </c>
      <c r="C2222">
        <v>0.94433930930097798</v>
      </c>
      <c r="D2222">
        <v>1.0139219288928001</v>
      </c>
      <c r="E2222">
        <v>1.0158134009500099</v>
      </c>
      <c r="F2222">
        <v>0.78163443193554705</v>
      </c>
      <c r="G2222">
        <v>0.92452004733965598</v>
      </c>
      <c r="H2222">
        <v>0.83742527886867801</v>
      </c>
      <c r="I2222">
        <v>0.69291490047267201</v>
      </c>
      <c r="J2222">
        <v>0.77443816767801399</v>
      </c>
      <c r="K2222">
        <v>0.61454316176055201</v>
      </c>
      <c r="L2222">
        <v>394.25167476521</v>
      </c>
      <c r="M2222">
        <v>5.0220457721024196</v>
      </c>
      <c r="O2222">
        <v>68.586667741269693</v>
      </c>
      <c r="P2222">
        <v>-1.8415972816234999E-2</v>
      </c>
      <c r="Q2222">
        <v>0</v>
      </c>
      <c r="R2222">
        <v>0.77056863996466995</v>
      </c>
      <c r="S2222" t="s">
        <v>8507</v>
      </c>
      <c r="T2222" t="s">
        <v>12568</v>
      </c>
      <c r="U2222" t="s">
        <v>12568</v>
      </c>
      <c r="V2222" t="s">
        <v>12568</v>
      </c>
      <c r="W2222" t="s">
        <v>14756</v>
      </c>
      <c r="X2222">
        <v>1</v>
      </c>
      <c r="Y2222" t="s">
        <v>20936</v>
      </c>
      <c r="Z2222" t="s">
        <v>27092</v>
      </c>
      <c r="AA2222">
        <v>0.86820261346504524</v>
      </c>
      <c r="AB2222" t="str">
        <f>HYPERLINK("Melting_Curves/meltCurve_P47989_XDH.pdf", "Melting_Curves/meltCurve_P47989_XDH.pdf")</f>
        <v>Melting_Curves/meltCurve_P47989_XDH.pdf</v>
      </c>
    </row>
    <row r="2223" spans="1:28" x14ac:dyDescent="0.25">
      <c r="A2223" t="s">
        <v>2227</v>
      </c>
      <c r="B2223">
        <v>0.99352677808782597</v>
      </c>
      <c r="C2223">
        <v>0.97258157436824</v>
      </c>
      <c r="D2223">
        <v>0.93308924383025005</v>
      </c>
      <c r="E2223">
        <v>1.0298590099335101</v>
      </c>
      <c r="F2223">
        <v>0.92830470361694895</v>
      </c>
      <c r="G2223">
        <v>0.80870862757010098</v>
      </c>
      <c r="H2223">
        <v>0.510475852773006</v>
      </c>
      <c r="I2223">
        <v>0.32160564513946499</v>
      </c>
      <c r="J2223">
        <v>0.19512482173540099</v>
      </c>
      <c r="K2223">
        <v>0.101395859722251</v>
      </c>
      <c r="L2223">
        <v>1139.10224877259</v>
      </c>
      <c r="M2223">
        <v>18.640604815311701</v>
      </c>
      <c r="N2223">
        <v>61.283444072736899</v>
      </c>
      <c r="O2223">
        <v>60.418393268133698</v>
      </c>
      <c r="P2223">
        <v>-7.5137727921821801E-2</v>
      </c>
      <c r="Q2223">
        <v>2.5888765298917999E-2</v>
      </c>
      <c r="R2223">
        <v>0.99340700579457197</v>
      </c>
      <c r="S2223" t="s">
        <v>8508</v>
      </c>
      <c r="T2223" t="s">
        <v>12568</v>
      </c>
      <c r="U2223" t="s">
        <v>12568</v>
      </c>
      <c r="V2223" t="s">
        <v>12568</v>
      </c>
      <c r="W2223" t="s">
        <v>14757</v>
      </c>
      <c r="X2223">
        <v>20</v>
      </c>
      <c r="Y2223" t="s">
        <v>20937</v>
      </c>
      <c r="Z2223" t="s">
        <v>27093</v>
      </c>
      <c r="AA2223">
        <v>0.71642751713620745</v>
      </c>
      <c r="AB2223" t="str">
        <f>HYPERLINK("Melting_Curves/meltCurve_P48059_LIMS1.pdf", "Melting_Curves/meltCurve_P48059_LIMS1.pdf")</f>
        <v>Melting_Curves/meltCurve_P48059_LIMS1.pdf</v>
      </c>
    </row>
    <row r="2224" spans="1:28" x14ac:dyDescent="0.25">
      <c r="A2224" t="s">
        <v>2228</v>
      </c>
      <c r="B2224">
        <v>0.99352677808782597</v>
      </c>
      <c r="C2224">
        <v>0.77981596285060395</v>
      </c>
      <c r="D2224">
        <v>1.00594701750787</v>
      </c>
      <c r="E2224">
        <v>0.352618865796827</v>
      </c>
      <c r="F2224">
        <v>0.25378061103392202</v>
      </c>
      <c r="G2224">
        <v>0.14218639434906</v>
      </c>
      <c r="H2224">
        <v>9.2808703362670705E-2</v>
      </c>
      <c r="I2224">
        <v>8.0097994888706198E-2</v>
      </c>
      <c r="J2224">
        <v>7.0499041210183994E-2</v>
      </c>
      <c r="K2224">
        <v>5.7892751296093899E-2</v>
      </c>
      <c r="L2224">
        <v>1741.45076494616</v>
      </c>
      <c r="M2224">
        <v>35.501050137752998</v>
      </c>
      <c r="N2224">
        <v>49.361160515815598</v>
      </c>
      <c r="O2224">
        <v>48.898635027323202</v>
      </c>
      <c r="P2224">
        <v>-0.1634889282875</v>
      </c>
      <c r="Q2224">
        <v>9.9253855067740704E-2</v>
      </c>
      <c r="R2224">
        <v>0.94970524512020804</v>
      </c>
      <c r="S2224" t="s">
        <v>8509</v>
      </c>
      <c r="T2224" t="s">
        <v>12568</v>
      </c>
      <c r="U2224" t="s">
        <v>12568</v>
      </c>
      <c r="V2224" t="s">
        <v>12568</v>
      </c>
      <c r="W2224" t="s">
        <v>14758</v>
      </c>
      <c r="X2224">
        <v>25</v>
      </c>
      <c r="Y2224" t="s">
        <v>20938</v>
      </c>
      <c r="Z2224" t="s">
        <v>27094</v>
      </c>
      <c r="AA2224">
        <v>0.37497814244911681</v>
      </c>
      <c r="AB2224" t="str">
        <f>HYPERLINK("Melting_Curves/meltCurve_P48147_PREP.pdf", "Melting_Curves/meltCurve_P48147_PREP.pdf")</f>
        <v>Melting_Curves/meltCurve_P48147_PREP.pdf</v>
      </c>
    </row>
    <row r="2225" spans="1:28" x14ac:dyDescent="0.25">
      <c r="A2225" t="s">
        <v>2229</v>
      </c>
      <c r="B2225">
        <v>0.99352677808782597</v>
      </c>
      <c r="C2225">
        <v>1.0909790309088001</v>
      </c>
      <c r="D2225">
        <v>0.93074597601550801</v>
      </c>
      <c r="E2225">
        <v>0.86520552547820095</v>
      </c>
      <c r="F2225">
        <v>0.73438887864269398</v>
      </c>
      <c r="G2225">
        <v>0.48285734111911699</v>
      </c>
      <c r="H2225">
        <v>0.226567638790652</v>
      </c>
      <c r="I2225">
        <v>0.14120282546281501</v>
      </c>
      <c r="J2225">
        <v>8.8418537156530599E-2</v>
      </c>
      <c r="K2225">
        <v>7.4193942340610497E-2</v>
      </c>
      <c r="L2225">
        <v>879.761135639901</v>
      </c>
      <c r="M2225">
        <v>15.6203733759973</v>
      </c>
      <c r="N2225">
        <v>56.442709789114502</v>
      </c>
      <c r="O2225">
        <v>55.4225327672495</v>
      </c>
      <c r="P2225">
        <v>-6.9303076283781101E-2</v>
      </c>
      <c r="Q2225">
        <v>1.6509807807808499E-2</v>
      </c>
      <c r="R2225">
        <v>0.99154473461710202</v>
      </c>
      <c r="S2225" t="s">
        <v>8510</v>
      </c>
      <c r="T2225" t="s">
        <v>12568</v>
      </c>
      <c r="U2225" t="s">
        <v>12568</v>
      </c>
      <c r="V2225" t="s">
        <v>12568</v>
      </c>
      <c r="W2225" t="s">
        <v>14759</v>
      </c>
      <c r="X2225">
        <v>23</v>
      </c>
      <c r="Y2225" t="s">
        <v>20939</v>
      </c>
      <c r="Z2225" t="s">
        <v>27095</v>
      </c>
      <c r="AA2225">
        <v>0.56791563185500449</v>
      </c>
      <c r="AB2225" t="str">
        <f>HYPERLINK("Melting_Curves/meltCurve_P48163_ME1.pdf", "Melting_Curves/meltCurve_P48163_ME1.pdf")</f>
        <v>Melting_Curves/meltCurve_P48163_ME1.pdf</v>
      </c>
    </row>
    <row r="2226" spans="1:28" x14ac:dyDescent="0.25">
      <c r="A2226" t="s">
        <v>2230</v>
      </c>
      <c r="B2226">
        <v>0.99352677808782597</v>
      </c>
      <c r="C2226">
        <v>0.98913427056157599</v>
      </c>
      <c r="D2226">
        <v>0.93959363470535195</v>
      </c>
      <c r="E2226">
        <v>0.85183504544631194</v>
      </c>
      <c r="F2226">
        <v>0.76544397642145701</v>
      </c>
      <c r="G2226">
        <v>0.57425566001596196</v>
      </c>
      <c r="H2226">
        <v>0.73471656369389504</v>
      </c>
      <c r="I2226">
        <v>0.71515833069023604</v>
      </c>
      <c r="J2226">
        <v>0.91555033629589599</v>
      </c>
      <c r="K2226">
        <v>0.69580412855929397</v>
      </c>
      <c r="L2226">
        <v>1438.5712238913</v>
      </c>
      <c r="M2226">
        <v>29.290764483479499</v>
      </c>
      <c r="O2226">
        <v>48.886249792601802</v>
      </c>
      <c r="P2226">
        <v>-4.0481264608816098E-2</v>
      </c>
      <c r="Q2226">
        <v>0.72974917137506201</v>
      </c>
      <c r="R2226">
        <v>0.65101473562733603</v>
      </c>
      <c r="S2226" t="s">
        <v>8511</v>
      </c>
      <c r="T2226" t="s">
        <v>12568</v>
      </c>
      <c r="U2226" t="s">
        <v>12568</v>
      </c>
      <c r="V2226" t="s">
        <v>12568</v>
      </c>
      <c r="W2226" t="s">
        <v>14760</v>
      </c>
      <c r="X2226">
        <v>1</v>
      </c>
      <c r="Y2226" t="s">
        <v>20940</v>
      </c>
      <c r="Z2226" t="s">
        <v>27096</v>
      </c>
      <c r="AA2226">
        <v>0.81357809762352629</v>
      </c>
      <c r="AB2226" t="str">
        <f>HYPERLINK("Melting_Curves/meltCurve_P48169_GABRA4.pdf", "Melting_Curves/meltCurve_P48169_GABRA4.pdf")</f>
        <v>Melting_Curves/meltCurve_P48169_GABRA4.pdf</v>
      </c>
    </row>
    <row r="2227" spans="1:28" x14ac:dyDescent="0.25">
      <c r="A2227" t="s">
        <v>2231</v>
      </c>
      <c r="B2227">
        <v>0.99352677808782597</v>
      </c>
      <c r="C2227">
        <v>0.95047678938713198</v>
      </c>
      <c r="D2227">
        <v>0.80016878379144096</v>
      </c>
      <c r="E2227">
        <v>0.20832038993400201</v>
      </c>
      <c r="F2227">
        <v>0.12842027955844099</v>
      </c>
      <c r="G2227">
        <v>9.4399087716400196E-2</v>
      </c>
      <c r="H2227">
        <v>6.3919148613106797E-2</v>
      </c>
      <c r="I2227">
        <v>6.3205655524185403E-2</v>
      </c>
      <c r="J2227">
        <v>5.2695595419825103E-2</v>
      </c>
      <c r="K2227">
        <v>4.2539118167454898E-2</v>
      </c>
      <c r="L2227">
        <v>1616.06616662601</v>
      </c>
      <c r="M2227">
        <v>33.901958603929799</v>
      </c>
      <c r="N2227">
        <v>47.869430064548098</v>
      </c>
      <c r="O2227">
        <v>47.503871388723702</v>
      </c>
      <c r="P2227">
        <v>-0.16660184913012899</v>
      </c>
      <c r="Q2227">
        <v>6.6224920845084204E-2</v>
      </c>
      <c r="R2227">
        <v>0.997477264342856</v>
      </c>
      <c r="S2227" t="s">
        <v>8512</v>
      </c>
      <c r="T2227" t="s">
        <v>12568</v>
      </c>
      <c r="U2227" t="s">
        <v>12568</v>
      </c>
      <c r="V2227" t="s">
        <v>12568</v>
      </c>
      <c r="W2227" t="s">
        <v>14761</v>
      </c>
      <c r="X2227">
        <v>10</v>
      </c>
      <c r="Y2227" t="s">
        <v>20941</v>
      </c>
      <c r="Z2227" t="s">
        <v>27097</v>
      </c>
      <c r="AA2227">
        <v>0.30926479900435921</v>
      </c>
      <c r="AB2227" t="str">
        <f>HYPERLINK("Melting_Curves/meltCurve_P48200_IREB2.pdf", "Melting_Curves/meltCurve_P48200_IREB2.pdf")</f>
        <v>Melting_Curves/meltCurve_P48200_IREB2.pdf</v>
      </c>
    </row>
    <row r="2228" spans="1:28" x14ac:dyDescent="0.25">
      <c r="A2228" t="s">
        <v>2232</v>
      </c>
      <c r="B2228">
        <v>0.99352677808782597</v>
      </c>
      <c r="C2228">
        <v>1.04290168603634</v>
      </c>
      <c r="D2228">
        <v>0.98844749009347499</v>
      </c>
      <c r="E2228">
        <v>0.96263998035640996</v>
      </c>
      <c r="F2228">
        <v>0.940147989316241</v>
      </c>
      <c r="G2228">
        <v>0.81922262841589799</v>
      </c>
      <c r="H2228">
        <v>0.701588500078827</v>
      </c>
      <c r="I2228">
        <v>0.74452808243203095</v>
      </c>
      <c r="J2228">
        <v>0.67140126706196801</v>
      </c>
      <c r="K2228">
        <v>0.63866719308917297</v>
      </c>
      <c r="L2228">
        <v>997.01732814723698</v>
      </c>
      <c r="M2228">
        <v>17.494162715771299</v>
      </c>
      <c r="O2228">
        <v>56.262383319040602</v>
      </c>
      <c r="P2228">
        <v>-2.7386107041703502E-2</v>
      </c>
      <c r="Q2228">
        <v>0.64771732850705299</v>
      </c>
      <c r="R2228">
        <v>0.96909529538885397</v>
      </c>
      <c r="S2228" t="s">
        <v>8513</v>
      </c>
      <c r="T2228" t="s">
        <v>12568</v>
      </c>
      <c r="U2228" t="s">
        <v>12568</v>
      </c>
      <c r="V2228" t="s">
        <v>12568</v>
      </c>
      <c r="W2228" t="s">
        <v>14762</v>
      </c>
      <c r="X2228">
        <v>1</v>
      </c>
      <c r="Y2228" t="s">
        <v>20942</v>
      </c>
      <c r="Z2228" t="s">
        <v>27098</v>
      </c>
      <c r="AA2228">
        <v>0.85221411495120725</v>
      </c>
      <c r="AB2228" t="str">
        <f>HYPERLINK("Melting_Curves/meltCurve_P48307_TFPI2.pdf", "Melting_Curves/meltCurve_P48307_TFPI2.pdf")</f>
        <v>Melting_Curves/meltCurve_P48307_TFPI2.pdf</v>
      </c>
    </row>
    <row r="2229" spans="1:28" x14ac:dyDescent="0.25">
      <c r="A2229" t="s">
        <v>2233</v>
      </c>
      <c r="B2229">
        <v>0.99352677808782597</v>
      </c>
      <c r="C2229">
        <v>0.93489202072988498</v>
      </c>
      <c r="D2229">
        <v>0.99646259729861597</v>
      </c>
      <c r="E2229">
        <v>0.97937514436041295</v>
      </c>
      <c r="F2229">
        <v>1.1355994262932301</v>
      </c>
      <c r="G2229">
        <v>1.0174468207715199</v>
      </c>
      <c r="H2229">
        <v>0.92487332093639896</v>
      </c>
      <c r="I2229">
        <v>0.95754587956188497</v>
      </c>
      <c r="J2229">
        <v>0.82240746391893105</v>
      </c>
      <c r="K2229">
        <v>0.72539973465110197</v>
      </c>
      <c r="L2229">
        <v>1569.7198337340501</v>
      </c>
      <c r="M2229">
        <v>22.905274338297499</v>
      </c>
      <c r="O2229">
        <v>68.015001032156704</v>
      </c>
      <c r="P2229">
        <v>-3.7706660416135303E-2</v>
      </c>
      <c r="Q2229">
        <v>0.55214344243673297</v>
      </c>
      <c r="R2229">
        <v>0.75480942159154096</v>
      </c>
      <c r="S2229" t="s">
        <v>8514</v>
      </c>
      <c r="T2229" t="s">
        <v>12568</v>
      </c>
      <c r="U2229" t="s">
        <v>12568</v>
      </c>
      <c r="V2229" t="s">
        <v>12568</v>
      </c>
      <c r="W2229" t="s">
        <v>14763</v>
      </c>
      <c r="X2229">
        <v>2</v>
      </c>
      <c r="Y2229" t="s">
        <v>20943</v>
      </c>
      <c r="Z2229" t="s">
        <v>27099</v>
      </c>
      <c r="AA2229">
        <v>0.95957702737745931</v>
      </c>
      <c r="AB2229" t="str">
        <f>HYPERLINK("Melting_Curves/meltCurve_P48431_SOX2.pdf", "Melting_Curves/meltCurve_P48431_SOX2.pdf")</f>
        <v>Melting_Curves/meltCurve_P48431_SOX2.pdf</v>
      </c>
    </row>
    <row r="2230" spans="1:28" x14ac:dyDescent="0.25">
      <c r="A2230" t="s">
        <v>2234</v>
      </c>
      <c r="B2230">
        <v>0.99352677808782597</v>
      </c>
      <c r="C2230">
        <v>0.95408113567137798</v>
      </c>
      <c r="D2230">
        <v>0.86427879227163895</v>
      </c>
      <c r="E2230">
        <v>0.73331078428398599</v>
      </c>
      <c r="F2230">
        <v>0.67581979902577705</v>
      </c>
      <c r="G2230">
        <v>0.52879146523258203</v>
      </c>
      <c r="H2230">
        <v>0.43049588797050298</v>
      </c>
      <c r="I2230">
        <v>0.44429496862443901</v>
      </c>
      <c r="J2230">
        <v>0.45172942162688801</v>
      </c>
      <c r="K2230">
        <v>0.37252744538407401</v>
      </c>
      <c r="L2230">
        <v>584.91886364338995</v>
      </c>
      <c r="M2230">
        <v>11.278357861730701</v>
      </c>
      <c r="N2230">
        <v>58.711456157056404</v>
      </c>
      <c r="O2230">
        <v>50.311823357474097</v>
      </c>
      <c r="P2230">
        <v>-3.5549305109737903E-2</v>
      </c>
      <c r="Q2230">
        <v>0.365864277866365</v>
      </c>
      <c r="R2230">
        <v>0.98909902943623895</v>
      </c>
      <c r="S2230" t="s">
        <v>8515</v>
      </c>
      <c r="T2230" t="s">
        <v>12568</v>
      </c>
      <c r="U2230" t="s">
        <v>12568</v>
      </c>
      <c r="V2230" t="s">
        <v>12568</v>
      </c>
      <c r="W2230" t="s">
        <v>14764</v>
      </c>
      <c r="X2230">
        <v>9</v>
      </c>
      <c r="Y2230" t="s">
        <v>20944</v>
      </c>
      <c r="Z2230" t="s">
        <v>27100</v>
      </c>
      <c r="AA2230">
        <v>0.63779451498218542</v>
      </c>
      <c r="AB2230" t="str">
        <f>HYPERLINK("Melting_Curves/meltCurve_P48436_SOX9.pdf", "Melting_Curves/meltCurve_P48436_SOX9.pdf")</f>
        <v>Melting_Curves/meltCurve_P48436_SOX9.pdf</v>
      </c>
    </row>
    <row r="2231" spans="1:28" x14ac:dyDescent="0.25">
      <c r="A2231" t="s">
        <v>2235</v>
      </c>
      <c r="B2231">
        <v>0.99352677808782597</v>
      </c>
      <c r="C2231">
        <v>0.93292593794208101</v>
      </c>
      <c r="D2231">
        <v>0.87836131113920801</v>
      </c>
      <c r="E2231">
        <v>0.81980773214093405</v>
      </c>
      <c r="F2231">
        <v>0.72203889338628202</v>
      </c>
      <c r="G2231">
        <v>0.39386859647099498</v>
      </c>
      <c r="H2231">
        <v>0.18410040204554201</v>
      </c>
      <c r="I2231">
        <v>0.13562573659584001</v>
      </c>
      <c r="J2231">
        <v>0.111461707483999</v>
      </c>
      <c r="K2231">
        <v>9.06751282915218E-2</v>
      </c>
      <c r="L2231">
        <v>815.28079975803405</v>
      </c>
      <c r="M2231">
        <v>14.762007758605399</v>
      </c>
      <c r="N2231">
        <v>55.465787939560101</v>
      </c>
      <c r="O2231">
        <v>54.244526124643002</v>
      </c>
      <c r="P2231">
        <v>-6.5958380671371303E-2</v>
      </c>
      <c r="Q2231">
        <v>3.0620706732221201E-2</v>
      </c>
      <c r="R2231">
        <v>0.98877159214333199</v>
      </c>
      <c r="S2231" t="s">
        <v>8516</v>
      </c>
      <c r="T2231" t="s">
        <v>12568</v>
      </c>
      <c r="U2231" t="s">
        <v>12568</v>
      </c>
      <c r="V2231" t="s">
        <v>12568</v>
      </c>
      <c r="W2231" t="s">
        <v>14765</v>
      </c>
      <c r="X2231">
        <v>27</v>
      </c>
      <c r="Y2231" t="s">
        <v>20945</v>
      </c>
      <c r="Z2231" t="s">
        <v>27101</v>
      </c>
      <c r="AA2231">
        <v>0.5413652589324105</v>
      </c>
      <c r="AB2231" t="str">
        <f>HYPERLINK("Melting_Curves/meltCurve_P48444_ARCN1.pdf", "Melting_Curves/meltCurve_P48444_ARCN1.pdf")</f>
        <v>Melting_Curves/meltCurve_P48444_ARCN1.pdf</v>
      </c>
    </row>
    <row r="2232" spans="1:28" x14ac:dyDescent="0.25">
      <c r="A2232" t="s">
        <v>2236</v>
      </c>
      <c r="B2232">
        <v>0.99352677808782597</v>
      </c>
      <c r="C2232">
        <v>0.97058055398567</v>
      </c>
      <c r="D2232">
        <v>0.91364988458378704</v>
      </c>
      <c r="E2232">
        <v>0.71620228110180195</v>
      </c>
      <c r="F2232">
        <v>0.62958383212098601</v>
      </c>
      <c r="G2232">
        <v>0.38731996133707602</v>
      </c>
      <c r="H2232">
        <v>0.20419008540619801</v>
      </c>
      <c r="I2232">
        <v>0.14608512831109699</v>
      </c>
      <c r="J2232">
        <v>9.4187190279793304E-2</v>
      </c>
      <c r="K2232">
        <v>7.3199771524415896E-2</v>
      </c>
      <c r="L2232">
        <v>660.57342675139</v>
      </c>
      <c r="M2232">
        <v>12.07796216405</v>
      </c>
      <c r="N2232">
        <v>54.692457007475703</v>
      </c>
      <c r="O2232">
        <v>53.257892107610701</v>
      </c>
      <c r="P2232">
        <v>-5.6708973971923503E-2</v>
      </c>
      <c r="Q2232">
        <v>0</v>
      </c>
      <c r="R2232">
        <v>0.99735455300456999</v>
      </c>
      <c r="S2232" t="s">
        <v>8517</v>
      </c>
      <c r="T2232" t="s">
        <v>12568</v>
      </c>
      <c r="U2232" t="s">
        <v>12568</v>
      </c>
      <c r="V2232" t="s">
        <v>12568</v>
      </c>
      <c r="W2232" t="s">
        <v>14766</v>
      </c>
      <c r="X2232">
        <v>6</v>
      </c>
      <c r="Y2232" t="s">
        <v>20946</v>
      </c>
      <c r="Z2232" t="s">
        <v>27102</v>
      </c>
      <c r="AA2232">
        <v>0.51393719927163595</v>
      </c>
      <c r="AB2232" t="str">
        <f>HYPERLINK("Melting_Curves/meltCurve_P48454_2_PPP3CC.pdf", "Melting_Curves/meltCurve_P48454_2_PPP3CC.pdf")</f>
        <v>Melting_Curves/meltCurve_P48454_2_PPP3CC.pdf</v>
      </c>
    </row>
    <row r="2233" spans="1:28" x14ac:dyDescent="0.25">
      <c r="A2233" t="s">
        <v>2237</v>
      </c>
      <c r="B2233">
        <v>0.99352677808782597</v>
      </c>
      <c r="C2233">
        <v>0.99363143685070798</v>
      </c>
      <c r="D2233">
        <v>0.99122790363570601</v>
      </c>
      <c r="E2233">
        <v>0.336634239812859</v>
      </c>
      <c r="F2233">
        <v>0.25330993881282299</v>
      </c>
      <c r="G2233">
        <v>0.146067159381711</v>
      </c>
      <c r="H2233">
        <v>9.8406124739035594E-2</v>
      </c>
      <c r="I2233">
        <v>9.0170436360602901E-2</v>
      </c>
      <c r="J2233">
        <v>8.3431977305714097E-2</v>
      </c>
      <c r="K2233">
        <v>6.5436551869331894E-2</v>
      </c>
      <c r="L2233">
        <v>2099.4179825578599</v>
      </c>
      <c r="M2233">
        <v>42.898021788255697</v>
      </c>
      <c r="N2233">
        <v>49.234342680015899</v>
      </c>
      <c r="O2233">
        <v>48.8337459049404</v>
      </c>
      <c r="P2233">
        <v>-0.19475536687242101</v>
      </c>
      <c r="Q2233">
        <v>0.113188089027438</v>
      </c>
      <c r="R2233">
        <v>0.98728602970343804</v>
      </c>
      <c r="S2233" t="s">
        <v>8518</v>
      </c>
      <c r="T2233" t="s">
        <v>12568</v>
      </c>
      <c r="U2233" t="s">
        <v>12568</v>
      </c>
      <c r="V2233" t="s">
        <v>12568</v>
      </c>
      <c r="W2233" t="s">
        <v>14767</v>
      </c>
      <c r="X2233">
        <v>33</v>
      </c>
      <c r="Y2233" t="s">
        <v>20947</v>
      </c>
      <c r="Z2233" t="s">
        <v>27103</v>
      </c>
      <c r="AA2233">
        <v>0.38005766465087898</v>
      </c>
      <c r="AB2233" t="str">
        <f>HYPERLINK("Melting_Curves/meltCurve_P48506_GCLC.pdf", "Melting_Curves/meltCurve_P48506_GCLC.pdf")</f>
        <v>Melting_Curves/meltCurve_P48506_GCLC.pdf</v>
      </c>
    </row>
    <row r="2234" spans="1:28" x14ac:dyDescent="0.25">
      <c r="A2234" t="s">
        <v>2238</v>
      </c>
      <c r="B2234">
        <v>0.99352677808782597</v>
      </c>
      <c r="C2234">
        <v>0.92802210637595395</v>
      </c>
      <c r="D2234">
        <v>0.98090652513919796</v>
      </c>
      <c r="E2234">
        <v>0.35610514663833098</v>
      </c>
      <c r="F2234">
        <v>0.30110400108639301</v>
      </c>
      <c r="G2234">
        <v>0.141891073013726</v>
      </c>
      <c r="H2234">
        <v>9.6490006017234897E-2</v>
      </c>
      <c r="I2234">
        <v>8.8035533619924097E-2</v>
      </c>
      <c r="J2234">
        <v>7.5351726103386502E-2</v>
      </c>
      <c r="K2234">
        <v>5.95344769855118E-2</v>
      </c>
      <c r="L2234">
        <v>1493.9183129640301</v>
      </c>
      <c r="M2234">
        <v>30.416918281923</v>
      </c>
      <c r="N2234">
        <v>49.482853036531203</v>
      </c>
      <c r="O2234">
        <v>48.903889280978802</v>
      </c>
      <c r="P2234">
        <v>-0.13975008025532801</v>
      </c>
      <c r="Q2234">
        <v>0.101252764901559</v>
      </c>
      <c r="R2234">
        <v>0.97768740496814599</v>
      </c>
      <c r="S2234" t="s">
        <v>8519</v>
      </c>
      <c r="T2234" t="s">
        <v>12568</v>
      </c>
      <c r="U2234" t="s">
        <v>12568</v>
      </c>
      <c r="V2234" t="s">
        <v>12568</v>
      </c>
      <c r="W2234" t="s">
        <v>14768</v>
      </c>
      <c r="X2234">
        <v>13</v>
      </c>
      <c r="Y2234" t="s">
        <v>20948</v>
      </c>
      <c r="Z2234" t="s">
        <v>27104</v>
      </c>
      <c r="AA2234">
        <v>0.37964398060205701</v>
      </c>
      <c r="AB2234" t="str">
        <f>HYPERLINK("Melting_Curves/meltCurve_P48507_GCLM.pdf", "Melting_Curves/meltCurve_P48507_GCLM.pdf")</f>
        <v>Melting_Curves/meltCurve_P48507_GCLM.pdf</v>
      </c>
    </row>
    <row r="2235" spans="1:28" x14ac:dyDescent="0.25">
      <c r="A2235" t="s">
        <v>2239</v>
      </c>
      <c r="B2235">
        <v>0.99352677808782597</v>
      </c>
      <c r="C2235">
        <v>1.11130808903773</v>
      </c>
      <c r="D2235">
        <v>1.1265206930348699</v>
      </c>
      <c r="E2235">
        <v>0.70319562283547499</v>
      </c>
      <c r="F2235">
        <v>0.71337121811862503</v>
      </c>
      <c r="G2235">
        <v>0.50597601718585905</v>
      </c>
      <c r="H2235">
        <v>0.42142058159407803</v>
      </c>
      <c r="I2235">
        <v>0.56988378225672398</v>
      </c>
      <c r="J2235">
        <v>0.63641062381941804</v>
      </c>
      <c r="K2235">
        <v>0.61142108243070104</v>
      </c>
      <c r="S2235" t="s">
        <v>8520</v>
      </c>
      <c r="T2235" t="s">
        <v>12568</v>
      </c>
      <c r="U2235" t="s">
        <v>12569</v>
      </c>
      <c r="V2235" t="s">
        <v>12568</v>
      </c>
      <c r="W2235" t="s">
        <v>14769</v>
      </c>
      <c r="X2235">
        <v>3</v>
      </c>
      <c r="Y2235" t="s">
        <v>20949</v>
      </c>
      <c r="Z2235" t="s">
        <v>27105</v>
      </c>
      <c r="AB2235" t="str">
        <f>HYPERLINK("Melting_Curves/meltCurve_P48552_NRIP1.pdf", "Melting_Curves/meltCurve_P48552_NRIP1.pdf")</f>
        <v>Melting_Curves/meltCurve_P48552_NRIP1.pdf</v>
      </c>
    </row>
    <row r="2236" spans="1:28" x14ac:dyDescent="0.25">
      <c r="A2236" t="s">
        <v>2240</v>
      </c>
      <c r="B2236">
        <v>0.99352677808782597</v>
      </c>
      <c r="C2236">
        <v>0.93042663237410295</v>
      </c>
      <c r="D2236">
        <v>0.94202647261950201</v>
      </c>
      <c r="E2236">
        <v>0.77656215683822805</v>
      </c>
      <c r="F2236">
        <v>0.730388720778269</v>
      </c>
      <c r="G2236">
        <v>0.553235024387149</v>
      </c>
      <c r="H2236">
        <v>0.33271243620242102</v>
      </c>
      <c r="I2236">
        <v>0.311853178165028</v>
      </c>
      <c r="J2236">
        <v>0.27059053046450499</v>
      </c>
      <c r="K2236">
        <v>0.24987046049903699</v>
      </c>
      <c r="L2236">
        <v>621.60708152682696</v>
      </c>
      <c r="M2236">
        <v>11.161177154934601</v>
      </c>
      <c r="N2236">
        <v>57.595800299153701</v>
      </c>
      <c r="O2236">
        <v>53.995530367190398</v>
      </c>
      <c r="P2236">
        <v>-4.37244586896679E-2</v>
      </c>
      <c r="Q2236">
        <v>0.15414926795219799</v>
      </c>
      <c r="R2236">
        <v>0.98923074869782301</v>
      </c>
      <c r="S2236" t="s">
        <v>8521</v>
      </c>
      <c r="T2236" t="s">
        <v>12568</v>
      </c>
      <c r="U2236" t="s">
        <v>12568</v>
      </c>
      <c r="V2236" t="s">
        <v>12568</v>
      </c>
      <c r="W2236" t="s">
        <v>14770</v>
      </c>
      <c r="X2236">
        <v>2</v>
      </c>
      <c r="Y2236" t="s">
        <v>20950</v>
      </c>
      <c r="Z2236" t="s">
        <v>27106</v>
      </c>
      <c r="AA2236">
        <v>0.61526782391677703</v>
      </c>
      <c r="AB2236" t="str">
        <f>HYPERLINK("Melting_Curves/meltCurve_P48553_TRAPPC10.pdf", "Melting_Curves/meltCurve_P48553_TRAPPC10.pdf")</f>
        <v>Melting_Curves/meltCurve_P48553_TRAPPC10.pdf</v>
      </c>
    </row>
    <row r="2237" spans="1:28" x14ac:dyDescent="0.25">
      <c r="A2237" t="s">
        <v>2241</v>
      </c>
      <c r="B2237">
        <v>0.99352677808782597</v>
      </c>
      <c r="C2237">
        <v>0.97731834404884799</v>
      </c>
      <c r="D2237">
        <v>1.00206955461779</v>
      </c>
      <c r="E2237">
        <v>0.92457372392761406</v>
      </c>
      <c r="F2237">
        <v>0.82789180981384203</v>
      </c>
      <c r="G2237">
        <v>0.71620816236562901</v>
      </c>
      <c r="H2237">
        <v>0.73088326693361305</v>
      </c>
      <c r="I2237">
        <v>0.73926631719168301</v>
      </c>
      <c r="J2237">
        <v>0.79907691864873098</v>
      </c>
      <c r="K2237">
        <v>0.66953536260192503</v>
      </c>
      <c r="L2237">
        <v>1646.24325060511</v>
      </c>
      <c r="M2237">
        <v>31.8175132443099</v>
      </c>
      <c r="O2237">
        <v>51.537080510806099</v>
      </c>
      <c r="P2237">
        <v>-4.1797400138262303E-2</v>
      </c>
      <c r="Q2237">
        <v>0.72919265228195096</v>
      </c>
      <c r="R2237">
        <v>0.93039737380630605</v>
      </c>
      <c r="S2237" t="s">
        <v>8522</v>
      </c>
      <c r="T2237" t="s">
        <v>12568</v>
      </c>
      <c r="U2237" t="s">
        <v>12568</v>
      </c>
      <c r="V2237" t="s">
        <v>12568</v>
      </c>
      <c r="W2237" t="s">
        <v>14771</v>
      </c>
      <c r="X2237">
        <v>44</v>
      </c>
      <c r="Y2237" t="s">
        <v>20951</v>
      </c>
      <c r="Z2237" t="s">
        <v>27107</v>
      </c>
      <c r="AA2237">
        <v>0.83670263688755475</v>
      </c>
      <c r="AB2237" t="str">
        <f>HYPERLINK("Melting_Curves/meltCurve_P48634_PRRC2A.pdf", "Melting_Curves/meltCurve_P48634_PRRC2A.pdf")</f>
        <v>Melting_Curves/meltCurve_P48634_PRRC2A.pdf</v>
      </c>
    </row>
    <row r="2238" spans="1:28" x14ac:dyDescent="0.25">
      <c r="A2238" t="s">
        <v>2242</v>
      </c>
      <c r="B2238">
        <v>0.99352677808782597</v>
      </c>
      <c r="C2238">
        <v>1.08279751774892</v>
      </c>
      <c r="D2238">
        <v>1.01151632439704</v>
      </c>
      <c r="E2238">
        <v>0.891249123795267</v>
      </c>
      <c r="F2238">
        <v>0.77207631534374599</v>
      </c>
      <c r="G2238">
        <v>0.62027029407330303</v>
      </c>
      <c r="H2238">
        <v>0.59527576789874903</v>
      </c>
      <c r="I2238">
        <v>0.210128632566766</v>
      </c>
      <c r="J2238">
        <v>8.8630298264491703E-2</v>
      </c>
      <c r="K2238">
        <v>7.1133848515220102E-2</v>
      </c>
      <c r="L2238">
        <v>828.38356397630696</v>
      </c>
      <c r="M2238">
        <v>13.9356965230001</v>
      </c>
      <c r="N2238">
        <v>59.443284031972802</v>
      </c>
      <c r="O2238">
        <v>58.259371830520699</v>
      </c>
      <c r="P2238">
        <v>-5.9808294737668202E-2</v>
      </c>
      <c r="Q2238">
        <v>0</v>
      </c>
      <c r="R2238">
        <v>0.95443195577252504</v>
      </c>
      <c r="S2238" t="s">
        <v>8523</v>
      </c>
      <c r="T2238" t="s">
        <v>12568</v>
      </c>
      <c r="U2238" t="s">
        <v>12568</v>
      </c>
      <c r="V2238" t="s">
        <v>12568</v>
      </c>
      <c r="W2238" t="s">
        <v>14772</v>
      </c>
      <c r="X2238">
        <v>35</v>
      </c>
      <c r="Y2238" t="s">
        <v>20952</v>
      </c>
      <c r="Z2238" t="s">
        <v>27108</v>
      </c>
      <c r="AA2238">
        <v>0.65630806544256548</v>
      </c>
      <c r="AB2238" t="str">
        <f>HYPERLINK("Melting_Curves/meltCurve_P48637_GSS.pdf", "Melting_Curves/meltCurve_P48637_GSS.pdf")</f>
        <v>Melting_Curves/meltCurve_P48637_GSS.pdf</v>
      </c>
    </row>
    <row r="2239" spans="1:28" x14ac:dyDescent="0.25">
      <c r="A2239" t="s">
        <v>2243</v>
      </c>
      <c r="B2239">
        <v>0.99352677808782597</v>
      </c>
      <c r="C2239">
        <v>0.96126791313126803</v>
      </c>
      <c r="D2239">
        <v>0.85848558780819995</v>
      </c>
      <c r="E2239">
        <v>1.31184027434742</v>
      </c>
      <c r="F2239">
        <v>0.96715281293511601</v>
      </c>
      <c r="G2239">
        <v>0.60274966321353995</v>
      </c>
      <c r="H2239">
        <v>0.198873995352605</v>
      </c>
      <c r="I2239">
        <v>0.15663278737411901</v>
      </c>
      <c r="J2239">
        <v>0.132849011232861</v>
      </c>
      <c r="K2239">
        <v>9.7148151980327599E-2</v>
      </c>
      <c r="L2239">
        <v>2457.7735604558202</v>
      </c>
      <c r="M2239">
        <v>42.914908156685399</v>
      </c>
      <c r="N2239">
        <v>57.668142688569802</v>
      </c>
      <c r="O2239">
        <v>57.146915322222199</v>
      </c>
      <c r="P2239">
        <v>-0.16371336143774001</v>
      </c>
      <c r="Q2239">
        <v>0.12797675808338799</v>
      </c>
      <c r="R2239">
        <v>0.93307546341011105</v>
      </c>
      <c r="S2239" t="s">
        <v>8524</v>
      </c>
      <c r="T2239" t="s">
        <v>12568</v>
      </c>
      <c r="U2239" t="s">
        <v>12568</v>
      </c>
      <c r="V2239" t="s">
        <v>12568</v>
      </c>
      <c r="W2239" t="s">
        <v>14773</v>
      </c>
      <c r="X2239">
        <v>36</v>
      </c>
      <c r="Y2239" t="s">
        <v>20953</v>
      </c>
      <c r="Z2239" t="s">
        <v>27109</v>
      </c>
      <c r="AA2239">
        <v>0.63296768921388347</v>
      </c>
      <c r="AB2239" t="str">
        <f>HYPERLINK("Melting_Curves/meltCurve_P48643_CCT5.pdf", "Melting_Curves/meltCurve_P48643_CCT5.pdf")</f>
        <v>Melting_Curves/meltCurve_P48643_CCT5.pdf</v>
      </c>
    </row>
    <row r="2240" spans="1:28" x14ac:dyDescent="0.25">
      <c r="A2240" t="s">
        <v>2244</v>
      </c>
      <c r="B2240">
        <v>0.99352677808782597</v>
      </c>
      <c r="C2240">
        <v>0.97819964115366498</v>
      </c>
      <c r="D2240">
        <v>0.94750142812140503</v>
      </c>
      <c r="E2240">
        <v>0.90830218182770806</v>
      </c>
      <c r="F2240">
        <v>0.80478687466787802</v>
      </c>
      <c r="G2240">
        <v>0.65328168423686395</v>
      </c>
      <c r="H2240">
        <v>0.63709260674332002</v>
      </c>
      <c r="I2240">
        <v>0.66429216363504495</v>
      </c>
      <c r="J2240">
        <v>0.76209420975366704</v>
      </c>
      <c r="K2240">
        <v>0.63946000356002597</v>
      </c>
      <c r="L2240">
        <v>1439.08933106516</v>
      </c>
      <c r="M2240">
        <v>27.780192792746</v>
      </c>
      <c r="O2240">
        <v>51.536509313091102</v>
      </c>
      <c r="P2240">
        <v>-4.4754171676638699E-2</v>
      </c>
      <c r="Q2240">
        <v>0.667899579918244</v>
      </c>
      <c r="R2240">
        <v>0.92272147794996295</v>
      </c>
      <c r="S2240" t="s">
        <v>8525</v>
      </c>
      <c r="T2240" t="s">
        <v>12568</v>
      </c>
      <c r="U2240" t="s">
        <v>12568</v>
      </c>
      <c r="V2240" t="s">
        <v>12568</v>
      </c>
      <c r="W2240" t="s">
        <v>14774</v>
      </c>
      <c r="X2240">
        <v>14</v>
      </c>
      <c r="Y2240" t="s">
        <v>20954</v>
      </c>
      <c r="Z2240" t="s">
        <v>27110</v>
      </c>
      <c r="AA2240">
        <v>0.80101858055120789</v>
      </c>
      <c r="AB2240" t="str">
        <f>HYPERLINK("Melting_Curves/meltCurve_P48681_NES.pdf", "Melting_Curves/meltCurve_P48681_NES.pdf")</f>
        <v>Melting_Curves/meltCurve_P48681_NES.pdf</v>
      </c>
    </row>
    <row r="2241" spans="1:28" x14ac:dyDescent="0.25">
      <c r="A2241" t="s">
        <v>2245</v>
      </c>
      <c r="B2241">
        <v>0.99352677808782597</v>
      </c>
      <c r="C2241">
        <v>0.98791220559807502</v>
      </c>
      <c r="D2241">
        <v>0.87996252010158005</v>
      </c>
      <c r="E2241">
        <v>0.33650450022143402</v>
      </c>
      <c r="F2241">
        <v>0.28741009619723401</v>
      </c>
      <c r="G2241">
        <v>0.159273994367502</v>
      </c>
      <c r="H2241">
        <v>0.111996785618538</v>
      </c>
      <c r="I2241">
        <v>9.6477234073724202E-2</v>
      </c>
      <c r="J2241">
        <v>8.1813748793577806E-2</v>
      </c>
      <c r="K2241">
        <v>6.8540887859400601E-2</v>
      </c>
      <c r="L2241">
        <v>1287.37796782332</v>
      </c>
      <c r="M2241">
        <v>26.449585031016401</v>
      </c>
      <c r="N2241">
        <v>49.119277178667602</v>
      </c>
      <c r="O2241">
        <v>48.397245752229999</v>
      </c>
      <c r="P2241">
        <v>-0.122033042807387</v>
      </c>
      <c r="Q2241">
        <v>0.10682953497867199</v>
      </c>
      <c r="R2241">
        <v>0.98758857749366402</v>
      </c>
      <c r="S2241" t="s">
        <v>8526</v>
      </c>
      <c r="T2241" t="s">
        <v>12568</v>
      </c>
      <c r="U2241" t="s">
        <v>12568</v>
      </c>
      <c r="V2241" t="s">
        <v>12568</v>
      </c>
      <c r="W2241" t="s">
        <v>14775</v>
      </c>
      <c r="X2241">
        <v>10</v>
      </c>
      <c r="Y2241" t="s">
        <v>20955</v>
      </c>
      <c r="Z2241" t="s">
        <v>27111</v>
      </c>
      <c r="AA2241">
        <v>0.37206985842683638</v>
      </c>
      <c r="AB2241" t="str">
        <f>HYPERLINK("Melting_Curves/meltCurve_P48729_CSNK1A1.pdf", "Melting_Curves/meltCurve_P48729_CSNK1A1.pdf")</f>
        <v>Melting_Curves/meltCurve_P48729_CSNK1A1.pdf</v>
      </c>
    </row>
    <row r="2242" spans="1:28" x14ac:dyDescent="0.25">
      <c r="A2242" t="s">
        <v>2246</v>
      </c>
      <c r="B2242">
        <v>0.99352677808782597</v>
      </c>
      <c r="C2242">
        <v>0.95110296755453805</v>
      </c>
      <c r="D2242">
        <v>0.93543264776045698</v>
      </c>
      <c r="E2242">
        <v>0.65258071254137595</v>
      </c>
      <c r="F2242">
        <v>0.59786143151289795</v>
      </c>
      <c r="G2242">
        <v>0.491925682433282</v>
      </c>
      <c r="H2242">
        <v>0.42883992913978702</v>
      </c>
      <c r="I2242">
        <v>0.47085599608442802</v>
      </c>
      <c r="J2242">
        <v>0.425966922544255</v>
      </c>
      <c r="K2242">
        <v>0.33087581808007999</v>
      </c>
      <c r="L2242">
        <v>793.95507623134199</v>
      </c>
      <c r="M2242">
        <v>15.820309777301199</v>
      </c>
      <c r="N2242">
        <v>55.793801548413199</v>
      </c>
      <c r="O2242">
        <v>49.404473000257198</v>
      </c>
      <c r="P2242">
        <v>-4.8192941538427299E-2</v>
      </c>
      <c r="Q2242">
        <v>0.39805181695235903</v>
      </c>
      <c r="R2242">
        <v>0.97260468220960705</v>
      </c>
      <c r="S2242" t="s">
        <v>8527</v>
      </c>
      <c r="T2242" t="s">
        <v>12568</v>
      </c>
      <c r="U2242" t="s">
        <v>12568</v>
      </c>
      <c r="V2242" t="s">
        <v>12568</v>
      </c>
      <c r="W2242" t="s">
        <v>14776</v>
      </c>
      <c r="X2242">
        <v>6</v>
      </c>
      <c r="Y2242" t="s">
        <v>20956</v>
      </c>
      <c r="Z2242" t="s">
        <v>27112</v>
      </c>
      <c r="AA2242">
        <v>0.61541405928568738</v>
      </c>
      <c r="AB2242" t="str">
        <f>HYPERLINK("Melting_Curves/meltCurve_P48730_2_CSNK1D.pdf", "Melting_Curves/meltCurve_P48730_2_CSNK1D.pdf")</f>
        <v>Melting_Curves/meltCurve_P48730_2_CSNK1D.pdf</v>
      </c>
    </row>
    <row r="2243" spans="1:28" x14ac:dyDescent="0.25">
      <c r="A2243" t="s">
        <v>2247</v>
      </c>
      <c r="B2243">
        <v>0.99352677808782597</v>
      </c>
      <c r="C2243">
        <v>0.61673303695628601</v>
      </c>
      <c r="D2243">
        <v>0.39962918842942802</v>
      </c>
      <c r="E2243">
        <v>0.19238247922056201</v>
      </c>
      <c r="F2243">
        <v>0.166996957887178</v>
      </c>
      <c r="G2243">
        <v>9.1294663105547999E-2</v>
      </c>
      <c r="H2243">
        <v>7.6540240350539093E-2</v>
      </c>
      <c r="I2243">
        <v>7.3077304827534301E-2</v>
      </c>
      <c r="J2243">
        <v>5.5925731197928402E-2</v>
      </c>
      <c r="K2243">
        <v>4.16398836161294E-2</v>
      </c>
      <c r="L2243">
        <v>825.81100884721104</v>
      </c>
      <c r="M2243">
        <v>18.5908488603541</v>
      </c>
      <c r="N2243">
        <v>44.801643397585202</v>
      </c>
      <c r="O2243">
        <v>43.9159121212763</v>
      </c>
      <c r="P2243">
        <v>-9.8091715080232997E-2</v>
      </c>
      <c r="Q2243">
        <v>7.3178612812124094E-2</v>
      </c>
      <c r="R2243">
        <v>0.97900400005296395</v>
      </c>
      <c r="S2243" t="s">
        <v>8528</v>
      </c>
      <c r="T2243" t="s">
        <v>12568</v>
      </c>
      <c r="U2243" t="s">
        <v>12568</v>
      </c>
      <c r="V2243" t="s">
        <v>12568</v>
      </c>
      <c r="W2243" t="s">
        <v>14777</v>
      </c>
      <c r="X2243">
        <v>17</v>
      </c>
      <c r="Y2243" t="s">
        <v>20957</v>
      </c>
      <c r="Z2243" t="s">
        <v>27113</v>
      </c>
      <c r="AA2243">
        <v>0.2297151048919539</v>
      </c>
      <c r="AB2243" t="str">
        <f>HYPERLINK("Melting_Curves/meltCurve_P48735_IDH2.pdf", "Melting_Curves/meltCurve_P48735_IDH2.pdf")</f>
        <v>Melting_Curves/meltCurve_P48735_IDH2.pdf</v>
      </c>
    </row>
    <row r="2244" spans="1:28" x14ac:dyDescent="0.25">
      <c r="A2244" t="s">
        <v>2248</v>
      </c>
      <c r="B2244">
        <v>0.99352677808782597</v>
      </c>
      <c r="C2244">
        <v>0.69458595841523196</v>
      </c>
      <c r="D2244">
        <v>1.0193074172166801</v>
      </c>
      <c r="E2244">
        <v>0.86265080298222796</v>
      </c>
      <c r="F2244">
        <v>0.79301835545569999</v>
      </c>
      <c r="G2244">
        <v>0.57522250327538704</v>
      </c>
      <c r="H2244">
        <v>0.221703550730766</v>
      </c>
      <c r="I2244">
        <v>0.15133323038430299</v>
      </c>
      <c r="J2244">
        <v>0.12309943286863199</v>
      </c>
      <c r="K2244">
        <v>7.9351292643907403E-2</v>
      </c>
      <c r="L2244">
        <v>890.77243877427702</v>
      </c>
      <c r="M2244">
        <v>15.566432844980699</v>
      </c>
      <c r="N2244">
        <v>57.292907085821703</v>
      </c>
      <c r="O2244">
        <v>56.304495338670598</v>
      </c>
      <c r="P2244">
        <v>-6.8481521053250796E-2</v>
      </c>
      <c r="Q2244">
        <v>9.2834463203080395E-3</v>
      </c>
      <c r="R2244">
        <v>0.91975303522096097</v>
      </c>
      <c r="S2244" t="s">
        <v>8529</v>
      </c>
      <c r="T2244" t="s">
        <v>12568</v>
      </c>
      <c r="U2244" t="s">
        <v>12568</v>
      </c>
      <c r="V2244" t="s">
        <v>12568</v>
      </c>
      <c r="W2244" t="s">
        <v>14778</v>
      </c>
      <c r="X2244">
        <v>25</v>
      </c>
      <c r="Y2244" t="s">
        <v>20958</v>
      </c>
      <c r="Z2244" t="s">
        <v>27114</v>
      </c>
      <c r="AA2244">
        <v>0.59296875488122269</v>
      </c>
      <c r="AB2244" t="str">
        <f>HYPERLINK("Melting_Curves/meltCurve_P48739_PITPNB.pdf", "Melting_Curves/meltCurve_P48739_PITPNB.pdf")</f>
        <v>Melting_Curves/meltCurve_P48739_PITPNB.pdf</v>
      </c>
    </row>
    <row r="2245" spans="1:28" x14ac:dyDescent="0.25">
      <c r="A2245" t="s">
        <v>2249</v>
      </c>
      <c r="B2245">
        <v>0.99352677808782597</v>
      </c>
      <c r="C2245">
        <v>0.98608260569898998</v>
      </c>
      <c r="D2245">
        <v>0.922321488723023</v>
      </c>
      <c r="E2245">
        <v>0.55689392707437702</v>
      </c>
      <c r="F2245">
        <v>0.47337395619733103</v>
      </c>
      <c r="G2245">
        <v>0.35290722755298298</v>
      </c>
      <c r="H2245">
        <v>0.26489488972332598</v>
      </c>
      <c r="I2245">
        <v>0.16137299888109499</v>
      </c>
      <c r="J2245">
        <v>9.4619255395823401E-2</v>
      </c>
      <c r="K2245">
        <v>5.9691619458836699E-2</v>
      </c>
      <c r="L2245">
        <v>627.08371542929694</v>
      </c>
      <c r="M2245">
        <v>11.987448730893099</v>
      </c>
      <c r="N2245">
        <v>52.8393639362207</v>
      </c>
      <c r="O2245">
        <v>50.919683793876104</v>
      </c>
      <c r="P2245">
        <v>-5.5548045958495801E-2</v>
      </c>
      <c r="Q2245">
        <v>5.6411573427458298E-2</v>
      </c>
      <c r="R2245">
        <v>0.97813016163730004</v>
      </c>
      <c r="S2245" t="s">
        <v>8530</v>
      </c>
      <c r="T2245" t="s">
        <v>12568</v>
      </c>
      <c r="U2245" t="s">
        <v>12568</v>
      </c>
      <c r="V2245" t="s">
        <v>12568</v>
      </c>
      <c r="W2245" t="s">
        <v>14779</v>
      </c>
      <c r="X2245">
        <v>12</v>
      </c>
      <c r="Y2245" t="s">
        <v>20959</v>
      </c>
      <c r="Z2245" t="s">
        <v>27115</v>
      </c>
      <c r="AA2245">
        <v>0.47195377933376548</v>
      </c>
      <c r="AB2245" t="str">
        <f>HYPERLINK("Melting_Curves/meltCurve_P49005_POLD2.pdf", "Melting_Curves/meltCurve_P49005_POLD2.pdf")</f>
        <v>Melting_Curves/meltCurve_P49005_POLD2.pdf</v>
      </c>
    </row>
    <row r="2246" spans="1:28" x14ac:dyDescent="0.25">
      <c r="A2246" t="s">
        <v>2250</v>
      </c>
      <c r="B2246">
        <v>0.99352677808782597</v>
      </c>
      <c r="C2246">
        <v>0.96975105001614004</v>
      </c>
      <c r="D2246">
        <v>1.08495290953487</v>
      </c>
      <c r="E2246">
        <v>1.1913049690243001</v>
      </c>
      <c r="F2246">
        <v>1.16930677378831</v>
      </c>
      <c r="G2246">
        <v>1.14808990828088</v>
      </c>
      <c r="H2246">
        <v>1.0416092274359501</v>
      </c>
      <c r="I2246">
        <v>1.2921878289905799</v>
      </c>
      <c r="J2246">
        <v>1.3187781848842799</v>
      </c>
      <c r="K2246">
        <v>1.1643073340090799</v>
      </c>
      <c r="L2246">
        <v>11509.4892663956</v>
      </c>
      <c r="M2246">
        <v>250</v>
      </c>
      <c r="O2246">
        <v>46.035010703108597</v>
      </c>
      <c r="P2246">
        <v>0.25709939519175901</v>
      </c>
      <c r="Q2246">
        <v>1.1893691753102</v>
      </c>
      <c r="R2246">
        <v>0.56807609027490702</v>
      </c>
      <c r="S2246" t="s">
        <v>8531</v>
      </c>
      <c r="T2246" t="s">
        <v>12568</v>
      </c>
      <c r="U2246" t="s">
        <v>12568</v>
      </c>
      <c r="V2246" t="s">
        <v>12568</v>
      </c>
      <c r="W2246" t="s">
        <v>14780</v>
      </c>
      <c r="X2246">
        <v>7</v>
      </c>
      <c r="Y2246" t="s">
        <v>20960</v>
      </c>
      <c r="Z2246" t="s">
        <v>27116</v>
      </c>
      <c r="AA2246">
        <v>1.151240443388676</v>
      </c>
      <c r="AB2246" t="str">
        <f>HYPERLINK("Melting_Curves/meltCurve_P49006_MARCKSL1.pdf", "Melting_Curves/meltCurve_P49006_MARCKSL1.pdf")</f>
        <v>Melting_Curves/meltCurve_P49006_MARCKSL1.pdf</v>
      </c>
    </row>
    <row r="2247" spans="1:28" x14ac:dyDescent="0.25">
      <c r="A2247" t="s">
        <v>2251</v>
      </c>
      <c r="B2247">
        <v>0.99352677808782597</v>
      </c>
      <c r="C2247">
        <v>1.07126440360399</v>
      </c>
      <c r="D2247">
        <v>1.1300424788050301</v>
      </c>
      <c r="E2247">
        <v>0.96472087676198304</v>
      </c>
      <c r="F2247">
        <v>0.89475631274536205</v>
      </c>
      <c r="G2247">
        <v>0.72797170794883304</v>
      </c>
      <c r="H2247">
        <v>0.53945369668269405</v>
      </c>
      <c r="I2247">
        <v>0.51498944543942105</v>
      </c>
      <c r="J2247">
        <v>0.376135248484117</v>
      </c>
      <c r="K2247">
        <v>0.31178313200163998</v>
      </c>
      <c r="L2247">
        <v>905.23017042078504</v>
      </c>
      <c r="M2247">
        <v>15.2391294765127</v>
      </c>
      <c r="N2247">
        <v>62.599374326973702</v>
      </c>
      <c r="O2247">
        <v>58.406983455820601</v>
      </c>
      <c r="P2247">
        <v>-4.7592473266950798E-2</v>
      </c>
      <c r="Q2247">
        <v>0.27043893908372002</v>
      </c>
      <c r="R2247">
        <v>0.96267612809810899</v>
      </c>
      <c r="S2247" t="s">
        <v>8532</v>
      </c>
      <c r="T2247" t="s">
        <v>12568</v>
      </c>
      <c r="U2247" t="s">
        <v>12568</v>
      </c>
      <c r="V2247" t="s">
        <v>12568</v>
      </c>
      <c r="W2247" t="s">
        <v>14781</v>
      </c>
      <c r="X2247">
        <v>21</v>
      </c>
      <c r="Y2247" t="s">
        <v>19249</v>
      </c>
      <c r="Z2247" t="s">
        <v>27117</v>
      </c>
      <c r="AA2247">
        <v>0.74900294912926502</v>
      </c>
      <c r="AB2247" t="str">
        <f>HYPERLINK("Melting_Curves/meltCurve_P49023_3_PXN.pdf", "Melting_Curves/meltCurve_P49023_3_PXN.pdf")</f>
        <v>Melting_Curves/meltCurve_P49023_3_PXN.pdf</v>
      </c>
    </row>
    <row r="2248" spans="1:28" x14ac:dyDescent="0.25">
      <c r="A2248" t="s">
        <v>2252</v>
      </c>
      <c r="B2248">
        <v>0.99352677808782597</v>
      </c>
      <c r="C2248">
        <v>0.94980108891410298</v>
      </c>
      <c r="D2248">
        <v>0.89488806221365602</v>
      </c>
      <c r="E2248">
        <v>0.59786249319358398</v>
      </c>
      <c r="F2248">
        <v>0.50801611953271297</v>
      </c>
      <c r="G2248">
        <v>0.360392179140133</v>
      </c>
      <c r="H2248">
        <v>0.26107919696563497</v>
      </c>
      <c r="I2248">
        <v>0.25512822328677898</v>
      </c>
      <c r="J2248">
        <v>0.25203672471366401</v>
      </c>
      <c r="K2248">
        <v>0.207539861598138</v>
      </c>
      <c r="L2248">
        <v>758.06086859570996</v>
      </c>
      <c r="M2248">
        <v>14.9600831889923</v>
      </c>
      <c r="N2248">
        <v>52.677312863712402</v>
      </c>
      <c r="O2248">
        <v>49.792667316817401</v>
      </c>
      <c r="P2248">
        <v>-5.8812862948351398E-2</v>
      </c>
      <c r="Q2248">
        <v>0.21707644352031</v>
      </c>
      <c r="R2248">
        <v>0.99366610593069205</v>
      </c>
      <c r="S2248" t="s">
        <v>8533</v>
      </c>
      <c r="T2248" t="s">
        <v>12568</v>
      </c>
      <c r="U2248" t="s">
        <v>12568</v>
      </c>
      <c r="V2248" t="s">
        <v>12568</v>
      </c>
      <c r="W2248" t="s">
        <v>14782</v>
      </c>
      <c r="X2248">
        <v>5</v>
      </c>
      <c r="Y2248" t="s">
        <v>20961</v>
      </c>
      <c r="Z2248" t="s">
        <v>27118</v>
      </c>
      <c r="AA2248">
        <v>0.51395389273270375</v>
      </c>
      <c r="AB2248" t="str">
        <f>HYPERLINK("Melting_Curves/meltCurve_P49116_NR2C2.pdf", "Melting_Curves/meltCurve_P49116_NR2C2.pdf")</f>
        <v>Melting_Curves/meltCurve_P49116_NR2C2.pdf</v>
      </c>
    </row>
    <row r="2249" spans="1:28" x14ac:dyDescent="0.25">
      <c r="A2249" t="s">
        <v>2253</v>
      </c>
      <c r="B2249">
        <v>0.99352677808782597</v>
      </c>
      <c r="C2249">
        <v>0.942315874767367</v>
      </c>
      <c r="D2249">
        <v>0.93351219776251904</v>
      </c>
      <c r="E2249">
        <v>0.382754128960826</v>
      </c>
      <c r="F2249">
        <v>0.32433008134699198</v>
      </c>
      <c r="G2249">
        <v>0.227274361311611</v>
      </c>
      <c r="H2249">
        <v>0.178665347995171</v>
      </c>
      <c r="I2249">
        <v>0.16956099885273301</v>
      </c>
      <c r="J2249">
        <v>0.15919902102568001</v>
      </c>
      <c r="K2249">
        <v>0.12741250959221501</v>
      </c>
      <c r="L2249">
        <v>1509.6734904380201</v>
      </c>
      <c r="M2249">
        <v>30.9888985808619</v>
      </c>
      <c r="N2249">
        <v>49.425512486554702</v>
      </c>
      <c r="O2249">
        <v>48.515082486523397</v>
      </c>
      <c r="P2249">
        <v>-0.13103644193976599</v>
      </c>
      <c r="Q2249">
        <v>0.17942155592245501</v>
      </c>
      <c r="R2249">
        <v>0.98423985582328299</v>
      </c>
      <c r="S2249" t="s">
        <v>8534</v>
      </c>
      <c r="T2249" t="s">
        <v>12568</v>
      </c>
      <c r="U2249" t="s">
        <v>12568</v>
      </c>
      <c r="V2249" t="s">
        <v>12568</v>
      </c>
      <c r="W2249" t="s">
        <v>14783</v>
      </c>
      <c r="X2249">
        <v>9</v>
      </c>
      <c r="Y2249" t="s">
        <v>20962</v>
      </c>
      <c r="Z2249" t="s">
        <v>27119</v>
      </c>
      <c r="AA2249">
        <v>0.422500271562609</v>
      </c>
      <c r="AB2249" t="str">
        <f>HYPERLINK("Melting_Curves/meltCurve_P49137_MAPKAPK2.pdf", "Melting_Curves/meltCurve_P49137_MAPKAPK2.pdf")</f>
        <v>Melting_Curves/meltCurve_P49137_MAPKAPK2.pdf</v>
      </c>
    </row>
    <row r="2250" spans="1:28" x14ac:dyDescent="0.25">
      <c r="A2250" t="s">
        <v>2254</v>
      </c>
      <c r="B2250">
        <v>0.99352677808782597</v>
      </c>
      <c r="C2250">
        <v>1.02059531380716</v>
      </c>
      <c r="D2250">
        <v>0.67525265164306503</v>
      </c>
      <c r="E2250">
        <v>0.37143490507128701</v>
      </c>
      <c r="F2250">
        <v>0.30040852977893501</v>
      </c>
      <c r="G2250">
        <v>0.14084918043769601</v>
      </c>
      <c r="H2250">
        <v>7.8899042316030302E-2</v>
      </c>
      <c r="I2250">
        <v>6.8183256163191694E-2</v>
      </c>
      <c r="J2250">
        <v>4.9337175055614801E-2</v>
      </c>
      <c r="K2250">
        <v>3.9958884228869902E-2</v>
      </c>
      <c r="L2250">
        <v>835.57091899270904</v>
      </c>
      <c r="M2250">
        <v>17.224758110128501</v>
      </c>
      <c r="N2250">
        <v>48.845767026217302</v>
      </c>
      <c r="O2250">
        <v>47.870194459731302</v>
      </c>
      <c r="P2250">
        <v>-8.4936490879503598E-2</v>
      </c>
      <c r="Q2250">
        <v>5.5850258056176598E-2</v>
      </c>
      <c r="R2250">
        <v>0.98307031527001798</v>
      </c>
      <c r="S2250" t="s">
        <v>8535</v>
      </c>
      <c r="T2250" t="s">
        <v>12568</v>
      </c>
      <c r="U2250" t="s">
        <v>12568</v>
      </c>
      <c r="V2250" t="s">
        <v>12568</v>
      </c>
      <c r="W2250" t="s">
        <v>14784</v>
      </c>
      <c r="X2250">
        <v>22</v>
      </c>
      <c r="Y2250" t="s">
        <v>20963</v>
      </c>
      <c r="Z2250" t="s">
        <v>27120</v>
      </c>
      <c r="AA2250">
        <v>0.34173911438679738</v>
      </c>
      <c r="AB2250" t="str">
        <f>HYPERLINK("Melting_Curves/meltCurve_P49189_ALDH9A1.pdf", "Melting_Curves/meltCurve_P49189_ALDH9A1.pdf")</f>
        <v>Melting_Curves/meltCurve_P49189_ALDH9A1.pdf</v>
      </c>
    </row>
    <row r="2251" spans="1:28" x14ac:dyDescent="0.25">
      <c r="A2251" t="s">
        <v>2255</v>
      </c>
      <c r="B2251">
        <v>0.99352677808782597</v>
      </c>
      <c r="C2251">
        <v>0.94935009137877702</v>
      </c>
      <c r="D2251">
        <v>1.60750553179531</v>
      </c>
      <c r="E2251">
        <v>0.77673179594278596</v>
      </c>
      <c r="F2251">
        <v>0.63012496336650703</v>
      </c>
      <c r="G2251">
        <v>0.37272577276915902</v>
      </c>
      <c r="H2251">
        <v>0.20317740721317301</v>
      </c>
      <c r="I2251">
        <v>0.200298654381112</v>
      </c>
      <c r="J2251">
        <v>0.195949820888941</v>
      </c>
      <c r="K2251">
        <v>0.13645075561178599</v>
      </c>
      <c r="L2251">
        <v>1393.42542549064</v>
      </c>
      <c r="M2251">
        <v>26.0396089014362</v>
      </c>
      <c r="N2251">
        <v>54.445040547732297</v>
      </c>
      <c r="O2251">
        <v>53.1991596659377</v>
      </c>
      <c r="P2251">
        <v>-0.100340443210562</v>
      </c>
      <c r="Q2251">
        <v>0.18002361460522801</v>
      </c>
      <c r="R2251">
        <v>0.80531888565923004</v>
      </c>
      <c r="S2251" t="s">
        <v>8536</v>
      </c>
      <c r="T2251" t="s">
        <v>12568</v>
      </c>
      <c r="U2251" t="s">
        <v>12568</v>
      </c>
      <c r="V2251" t="s">
        <v>12568</v>
      </c>
      <c r="W2251" t="s">
        <v>14785</v>
      </c>
      <c r="X2251">
        <v>2</v>
      </c>
      <c r="Y2251" t="s">
        <v>20964</v>
      </c>
      <c r="Z2251" t="s">
        <v>27121</v>
      </c>
      <c r="AA2251">
        <v>0.55635417790670638</v>
      </c>
      <c r="AB2251" t="str">
        <f>HYPERLINK("Melting_Curves/meltCurve_P49207_RPL34.pdf", "Melting_Curves/meltCurve_P49207_RPL34.pdf")</f>
        <v>Melting_Curves/meltCurve_P49207_RPL34.pdf</v>
      </c>
    </row>
    <row r="2252" spans="1:28" x14ac:dyDescent="0.25">
      <c r="A2252" t="s">
        <v>2256</v>
      </c>
      <c r="B2252">
        <v>0.99352677808782597</v>
      </c>
      <c r="C2252">
        <v>1.1865316462072699</v>
      </c>
      <c r="D2252">
        <v>1.08519297891013</v>
      </c>
      <c r="E2252">
        <v>0.88327137409300904</v>
      </c>
      <c r="F2252">
        <v>0.84201664387668196</v>
      </c>
      <c r="G2252">
        <v>0.49057176099511102</v>
      </c>
      <c r="H2252">
        <v>0.82588105032278902</v>
      </c>
      <c r="I2252">
        <v>0.56963837218097102</v>
      </c>
      <c r="J2252">
        <v>0.699581606409867</v>
      </c>
      <c r="K2252">
        <v>0.42716969986568998</v>
      </c>
      <c r="L2252">
        <v>1950.25996235409</v>
      </c>
      <c r="M2252">
        <v>36.922968865515998</v>
      </c>
      <c r="O2252">
        <v>52.665470987505202</v>
      </c>
      <c r="P2252">
        <v>-6.9686332393461503E-2</v>
      </c>
      <c r="Q2252">
        <v>0.60240973631602501</v>
      </c>
      <c r="R2252">
        <v>0.72341714040242</v>
      </c>
      <c r="S2252" t="s">
        <v>8537</v>
      </c>
      <c r="T2252" t="s">
        <v>12568</v>
      </c>
      <c r="U2252" t="s">
        <v>12568</v>
      </c>
      <c r="V2252" t="s">
        <v>12568</v>
      </c>
      <c r="W2252" t="s">
        <v>14786</v>
      </c>
      <c r="X2252">
        <v>9</v>
      </c>
      <c r="Y2252" t="s">
        <v>20965</v>
      </c>
      <c r="Z2252" t="s">
        <v>27122</v>
      </c>
      <c r="AA2252">
        <v>0.77401195900133357</v>
      </c>
      <c r="AB2252" t="str">
        <f>HYPERLINK("Melting_Curves/meltCurve_P49247_RPIA.pdf", "Melting_Curves/meltCurve_P49247_RPIA.pdf")</f>
        <v>Melting_Curves/meltCurve_P49247_RPIA.pdf</v>
      </c>
    </row>
    <row r="2253" spans="1:28" x14ac:dyDescent="0.25">
      <c r="A2253" t="s">
        <v>2257</v>
      </c>
      <c r="B2253">
        <v>0.99352677808782597</v>
      </c>
      <c r="C2253">
        <v>0.99904420363356905</v>
      </c>
      <c r="D2253">
        <v>1.0270505596758599</v>
      </c>
      <c r="E2253">
        <v>0.987455287143991</v>
      </c>
      <c r="F2253">
        <v>0.88203851635588104</v>
      </c>
      <c r="G2253">
        <v>0.75061238625615201</v>
      </c>
      <c r="H2253">
        <v>0.80795218848139005</v>
      </c>
      <c r="I2253">
        <v>0.87800364468415304</v>
      </c>
      <c r="J2253">
        <v>1.05833072249806</v>
      </c>
      <c r="K2253">
        <v>0.841205014065456</v>
      </c>
      <c r="L2253">
        <v>4032.3974932260098</v>
      </c>
      <c r="M2253">
        <v>78.300637524392897</v>
      </c>
      <c r="O2253">
        <v>51.465347831269597</v>
      </c>
      <c r="P2253">
        <v>-5.0404232361265199E-2</v>
      </c>
      <c r="Q2253">
        <v>0.867481489340588</v>
      </c>
      <c r="R2253">
        <v>0.43302256071529499</v>
      </c>
      <c r="S2253" t="s">
        <v>8538</v>
      </c>
      <c r="T2253" t="s">
        <v>12568</v>
      </c>
      <c r="U2253" t="s">
        <v>12568</v>
      </c>
      <c r="V2253" t="s">
        <v>12568</v>
      </c>
      <c r="W2253" t="s">
        <v>14787</v>
      </c>
      <c r="X2253">
        <v>39</v>
      </c>
      <c r="Y2253" t="s">
        <v>20966</v>
      </c>
      <c r="Z2253" t="s">
        <v>27123</v>
      </c>
      <c r="AA2253">
        <v>0.91839778173901121</v>
      </c>
      <c r="AB2253" t="str">
        <f>HYPERLINK("Melting_Curves/meltCurve_P49321_NASP.pdf", "Melting_Curves/meltCurve_P49321_NASP.pdf")</f>
        <v>Melting_Curves/meltCurve_P49321_NASP.pdf</v>
      </c>
    </row>
    <row r="2254" spans="1:28" x14ac:dyDescent="0.25">
      <c r="A2254" t="s">
        <v>2258</v>
      </c>
      <c r="B2254">
        <v>0.99352677808782597</v>
      </c>
      <c r="C2254">
        <v>0.99117097127813103</v>
      </c>
      <c r="D2254">
        <v>0.77836518173149105</v>
      </c>
      <c r="E2254">
        <v>0.32799495358082098</v>
      </c>
      <c r="F2254">
        <v>0.24615308383259399</v>
      </c>
      <c r="G2254">
        <v>0.12614370172005099</v>
      </c>
      <c r="H2254">
        <v>8.4687111738556906E-2</v>
      </c>
      <c r="I2254">
        <v>7.8350617104845699E-2</v>
      </c>
      <c r="J2254">
        <v>6.2872530575647095E-2</v>
      </c>
      <c r="K2254">
        <v>4.9846654077762099E-2</v>
      </c>
      <c r="L2254">
        <v>1087.6262516286899</v>
      </c>
      <c r="M2254">
        <v>22.508191202768302</v>
      </c>
      <c r="N2254">
        <v>48.680110680362901</v>
      </c>
      <c r="O2254">
        <v>47.944772265963003</v>
      </c>
      <c r="P2254">
        <v>-0.10839771018007401</v>
      </c>
      <c r="Q2254">
        <v>7.6425444003858201E-2</v>
      </c>
      <c r="R2254">
        <v>0.99384915773522797</v>
      </c>
      <c r="S2254" t="s">
        <v>8539</v>
      </c>
      <c r="T2254" t="s">
        <v>12568</v>
      </c>
      <c r="U2254" t="s">
        <v>12568</v>
      </c>
      <c r="V2254" t="s">
        <v>12568</v>
      </c>
      <c r="W2254" t="s">
        <v>14788</v>
      </c>
      <c r="X2254">
        <v>107</v>
      </c>
      <c r="Y2254" t="s">
        <v>20967</v>
      </c>
      <c r="Z2254" t="s">
        <v>27124</v>
      </c>
      <c r="AA2254">
        <v>0.34278530879866148</v>
      </c>
      <c r="AB2254" t="str">
        <f>HYPERLINK("Melting_Curves/meltCurve_P49327_FASN.pdf", "Melting_Curves/meltCurve_P49327_FASN.pdf")</f>
        <v>Melting_Curves/meltCurve_P49327_FASN.pdf</v>
      </c>
    </row>
    <row r="2255" spans="1:28" x14ac:dyDescent="0.25">
      <c r="A2255" t="s">
        <v>2259</v>
      </c>
      <c r="B2255">
        <v>0.99352677808782597</v>
      </c>
      <c r="C2255">
        <v>0.92387741115812905</v>
      </c>
      <c r="D2255">
        <v>0.93728993295477103</v>
      </c>
      <c r="E2255">
        <v>0.65043289866172505</v>
      </c>
      <c r="F2255">
        <v>0.48385209933709999</v>
      </c>
      <c r="G2255">
        <v>0.25524925005252003</v>
      </c>
      <c r="H2255">
        <v>0.16153399941997701</v>
      </c>
      <c r="I2255">
        <v>0.11781131400252701</v>
      </c>
      <c r="J2255">
        <v>9.8935470120344607E-2</v>
      </c>
      <c r="K2255">
        <v>0.12581980194987899</v>
      </c>
      <c r="L2255">
        <v>845.53652003716695</v>
      </c>
      <c r="M2255">
        <v>16.312249630721301</v>
      </c>
      <c r="N2255">
        <v>52.472812157335298</v>
      </c>
      <c r="O2255">
        <v>51.074200951387901</v>
      </c>
      <c r="P2255">
        <v>-7.2665111774841806E-2</v>
      </c>
      <c r="Q2255">
        <v>8.9998124220893302E-2</v>
      </c>
      <c r="R2255">
        <v>0.99547620569165696</v>
      </c>
      <c r="S2255" t="s">
        <v>8540</v>
      </c>
      <c r="T2255" t="s">
        <v>12568</v>
      </c>
      <c r="U2255" t="s">
        <v>12568</v>
      </c>
      <c r="V2255" t="s">
        <v>12568</v>
      </c>
      <c r="W2255" t="s">
        <v>14789</v>
      </c>
      <c r="X2255">
        <v>1</v>
      </c>
      <c r="Y2255" t="s">
        <v>20968</v>
      </c>
      <c r="Z2255" t="s">
        <v>27125</v>
      </c>
      <c r="AA2255">
        <v>0.46688143493233403</v>
      </c>
      <c r="AB2255" t="str">
        <f>HYPERLINK("Melting_Curves/meltCurve_P49336_2_CDK8.pdf", "Melting_Curves/meltCurve_P49336_2_CDK8.pdf")</f>
        <v>Melting_Curves/meltCurve_P49336_2_CDK8.pdf</v>
      </c>
    </row>
    <row r="2256" spans="1:28" x14ac:dyDescent="0.25">
      <c r="A2256" t="s">
        <v>2260</v>
      </c>
      <c r="B2256">
        <v>0.99352677808782597</v>
      </c>
      <c r="C2256">
        <v>1.04168036205713</v>
      </c>
      <c r="D2256">
        <v>0.94586531914178495</v>
      </c>
      <c r="E2256">
        <v>0.55172892321339195</v>
      </c>
      <c r="F2256">
        <v>0.47051311560792902</v>
      </c>
      <c r="G2256">
        <v>0.24729848376316299</v>
      </c>
      <c r="H2256">
        <v>0.145970446412897</v>
      </c>
      <c r="I2256">
        <v>0.13277263026184299</v>
      </c>
      <c r="J2256">
        <v>0.103502390283255</v>
      </c>
      <c r="K2256">
        <v>7.3838660857409102E-2</v>
      </c>
      <c r="L2256">
        <v>883.81698105645501</v>
      </c>
      <c r="M2256">
        <v>17.2375236307027</v>
      </c>
      <c r="N2256">
        <v>51.885643030754302</v>
      </c>
      <c r="O2256">
        <v>50.597724548925299</v>
      </c>
      <c r="P2256">
        <v>-7.7330140558728999E-2</v>
      </c>
      <c r="Q2256">
        <v>9.2097142896893205E-2</v>
      </c>
      <c r="R2256">
        <v>0.98526993767986704</v>
      </c>
      <c r="S2256" t="s">
        <v>8541</v>
      </c>
      <c r="T2256" t="s">
        <v>12568</v>
      </c>
      <c r="U2256" t="s">
        <v>12568</v>
      </c>
      <c r="V2256" t="s">
        <v>12568</v>
      </c>
      <c r="W2256" t="s">
        <v>14790</v>
      </c>
      <c r="X2256">
        <v>8</v>
      </c>
      <c r="Y2256" t="s">
        <v>20969</v>
      </c>
      <c r="Z2256" t="s">
        <v>27126</v>
      </c>
      <c r="AA2256">
        <v>0.44970816913308909</v>
      </c>
      <c r="AB2256" t="str">
        <f>HYPERLINK("Melting_Curves/meltCurve_P49354_FNTA.pdf", "Melting_Curves/meltCurve_P49354_FNTA.pdf")</f>
        <v>Melting_Curves/meltCurve_P49354_FNTA.pdf</v>
      </c>
    </row>
    <row r="2257" spans="1:28" x14ac:dyDescent="0.25">
      <c r="A2257" t="s">
        <v>2261</v>
      </c>
      <c r="B2257">
        <v>0.99352677808782597</v>
      </c>
      <c r="C2257">
        <v>1.04459185934431</v>
      </c>
      <c r="D2257">
        <v>0.92683184061718704</v>
      </c>
      <c r="E2257">
        <v>0.86048277895629899</v>
      </c>
      <c r="F2257">
        <v>0.77485376689182806</v>
      </c>
      <c r="G2257">
        <v>0.57030654939005798</v>
      </c>
      <c r="H2257">
        <v>0.46076032177672999</v>
      </c>
      <c r="I2257">
        <v>0.32157543434081098</v>
      </c>
      <c r="J2257">
        <v>0.19247342999309899</v>
      </c>
      <c r="K2257">
        <v>0.110121702825278</v>
      </c>
      <c r="L2257">
        <v>644.24551441599999</v>
      </c>
      <c r="M2257">
        <v>10.9202205191555</v>
      </c>
      <c r="N2257">
        <v>58.9956724310304</v>
      </c>
      <c r="O2257">
        <v>57.120729568665801</v>
      </c>
      <c r="P2257">
        <v>-4.78110456013889E-2</v>
      </c>
      <c r="Q2257">
        <v>0</v>
      </c>
      <c r="R2257">
        <v>0.98992262949152598</v>
      </c>
      <c r="S2257" t="s">
        <v>8542</v>
      </c>
      <c r="T2257" t="s">
        <v>12568</v>
      </c>
      <c r="U2257" t="s">
        <v>12568</v>
      </c>
      <c r="V2257" t="s">
        <v>12568</v>
      </c>
      <c r="W2257" t="s">
        <v>14791</v>
      </c>
      <c r="X2257">
        <v>9</v>
      </c>
      <c r="Y2257" t="s">
        <v>20970</v>
      </c>
      <c r="Z2257" t="s">
        <v>27127</v>
      </c>
      <c r="AA2257">
        <v>0.63905642278939001</v>
      </c>
      <c r="AB2257" t="str">
        <f>HYPERLINK("Melting_Curves/meltCurve_P49366_DHPS.pdf", "Melting_Curves/meltCurve_P49366_DHPS.pdf")</f>
        <v>Melting_Curves/meltCurve_P49366_DHPS.pdf</v>
      </c>
    </row>
    <row r="2258" spans="1:28" x14ac:dyDescent="0.25">
      <c r="A2258" t="s">
        <v>2262</v>
      </c>
      <c r="B2258">
        <v>0.99352677808782597</v>
      </c>
      <c r="C2258">
        <v>0.91317175712815801</v>
      </c>
      <c r="D2258">
        <v>0.70070054011116301</v>
      </c>
      <c r="E2258">
        <v>1.6368776953411901</v>
      </c>
      <c r="F2258">
        <v>0.99600250584716299</v>
      </c>
      <c r="G2258">
        <v>0.71162665613846199</v>
      </c>
      <c r="H2258">
        <v>0.17785871574724299</v>
      </c>
      <c r="I2258">
        <v>0.14242257697281099</v>
      </c>
      <c r="J2258">
        <v>0.11687172337804901</v>
      </c>
      <c r="K2258">
        <v>8.2808319981130807E-2</v>
      </c>
      <c r="L2258">
        <v>2908.7474321905902</v>
      </c>
      <c r="M2258">
        <v>50.281891613252803</v>
      </c>
      <c r="N2258">
        <v>58.142890797158003</v>
      </c>
      <c r="O2258">
        <v>57.7575004120486</v>
      </c>
      <c r="P2258">
        <v>-0.19320585531131801</v>
      </c>
      <c r="Q2258">
        <v>0.112278219648069</v>
      </c>
      <c r="R2258">
        <v>0.787389307017616</v>
      </c>
      <c r="S2258" t="s">
        <v>8543</v>
      </c>
      <c r="T2258" t="s">
        <v>12568</v>
      </c>
      <c r="U2258" t="s">
        <v>12568</v>
      </c>
      <c r="V2258" t="s">
        <v>12568</v>
      </c>
      <c r="W2258" t="s">
        <v>14792</v>
      </c>
      <c r="X2258">
        <v>36</v>
      </c>
      <c r="Y2258" t="s">
        <v>20971</v>
      </c>
      <c r="Z2258" t="s">
        <v>27128</v>
      </c>
      <c r="AA2258">
        <v>0.64266864332958795</v>
      </c>
      <c r="AB2258" t="str">
        <f>HYPERLINK("Melting_Curves/meltCurve_P49368_CCT3.pdf", "Melting_Curves/meltCurve_P49368_CCT3.pdf")</f>
        <v>Melting_Curves/meltCurve_P49368_CCT3.pdf</v>
      </c>
    </row>
    <row r="2259" spans="1:28" x14ac:dyDescent="0.25">
      <c r="A2259" t="s">
        <v>2263</v>
      </c>
      <c r="B2259">
        <v>0.99352677808782597</v>
      </c>
      <c r="C2259">
        <v>0.86233598029223402</v>
      </c>
      <c r="D2259">
        <v>0.511149262888696</v>
      </c>
      <c r="E2259">
        <v>0.27041158937453802</v>
      </c>
      <c r="F2259">
        <v>0.22082510566107899</v>
      </c>
      <c r="G2259">
        <v>0.10155252729198599</v>
      </c>
      <c r="H2259">
        <v>9.8034345619338797E-2</v>
      </c>
      <c r="I2259">
        <v>9.73318431094915E-2</v>
      </c>
      <c r="J2259">
        <v>0.113099761776941</v>
      </c>
      <c r="K2259">
        <v>3.8770158887814002E-2</v>
      </c>
      <c r="L2259">
        <v>893.287016502048</v>
      </c>
      <c r="M2259">
        <v>19.356375132492602</v>
      </c>
      <c r="N2259">
        <v>46.639767382555902</v>
      </c>
      <c r="O2259">
        <v>45.665393896055299</v>
      </c>
      <c r="P2259">
        <v>-9.6217448985710594E-2</v>
      </c>
      <c r="Q2259">
        <v>9.2052112163299504E-2</v>
      </c>
      <c r="R2259">
        <v>0.98860699120946804</v>
      </c>
      <c r="S2259" t="s">
        <v>8544</v>
      </c>
      <c r="T2259" t="s">
        <v>12568</v>
      </c>
      <c r="U2259" t="s">
        <v>12568</v>
      </c>
      <c r="V2259" t="s">
        <v>12568</v>
      </c>
      <c r="W2259" t="s">
        <v>14793</v>
      </c>
      <c r="X2259">
        <v>2</v>
      </c>
      <c r="Y2259" t="s">
        <v>20972</v>
      </c>
      <c r="Z2259" t="s">
        <v>27129</v>
      </c>
      <c r="AA2259">
        <v>0.29313326124940292</v>
      </c>
      <c r="AB2259" t="str">
        <f>HYPERLINK("Melting_Curves/meltCurve_P49406_MRPL19.pdf", "Melting_Curves/meltCurve_P49406_MRPL19.pdf")</f>
        <v>Melting_Curves/meltCurve_P49406_MRPL19.pdf</v>
      </c>
    </row>
    <row r="2260" spans="1:28" x14ac:dyDescent="0.25">
      <c r="A2260" t="s">
        <v>2264</v>
      </c>
      <c r="B2260">
        <v>0.99352677808782597</v>
      </c>
      <c r="C2260">
        <v>0.99235180673342205</v>
      </c>
      <c r="D2260">
        <v>1.0004386509551</v>
      </c>
      <c r="E2260">
        <v>0.88921075204457001</v>
      </c>
      <c r="F2260">
        <v>0.80752260872197801</v>
      </c>
      <c r="G2260">
        <v>0.43805504939694201</v>
      </c>
      <c r="H2260">
        <v>0.19791903068122799</v>
      </c>
      <c r="I2260">
        <v>0.17587808718564399</v>
      </c>
      <c r="J2260">
        <v>0.18571590070088301</v>
      </c>
      <c r="K2260">
        <v>0.13472009655425801</v>
      </c>
      <c r="L2260">
        <v>1320.2364924957899</v>
      </c>
      <c r="M2260">
        <v>23.820020948742702</v>
      </c>
      <c r="N2260">
        <v>56.202054132327397</v>
      </c>
      <c r="O2260">
        <v>55.039288805194502</v>
      </c>
      <c r="P2260">
        <v>-9.3025179335706601E-2</v>
      </c>
      <c r="Q2260">
        <v>0.140226398112232</v>
      </c>
      <c r="R2260">
        <v>0.99606582708695302</v>
      </c>
      <c r="S2260" t="s">
        <v>8545</v>
      </c>
      <c r="T2260" t="s">
        <v>12568</v>
      </c>
      <c r="U2260" t="s">
        <v>12568</v>
      </c>
      <c r="V2260" t="s">
        <v>12568</v>
      </c>
      <c r="W2260" t="s">
        <v>14794</v>
      </c>
      <c r="X2260">
        <v>16</v>
      </c>
      <c r="Y2260" t="s">
        <v>20973</v>
      </c>
      <c r="Z2260" t="s">
        <v>27130</v>
      </c>
      <c r="AA2260">
        <v>0.59092014792325154</v>
      </c>
      <c r="AB2260" t="str">
        <f>HYPERLINK("Melting_Curves/meltCurve_P49407_2_ARRB1.pdf", "Melting_Curves/meltCurve_P49407_2_ARRB1.pdf")</f>
        <v>Melting_Curves/meltCurve_P49407_2_ARRB1.pdf</v>
      </c>
    </row>
    <row r="2261" spans="1:28" x14ac:dyDescent="0.25">
      <c r="A2261" t="s">
        <v>2265</v>
      </c>
      <c r="B2261">
        <v>0.99352677808782597</v>
      </c>
      <c r="C2261">
        <v>0.90850526635967999</v>
      </c>
      <c r="D2261">
        <v>0.66391505356549796</v>
      </c>
      <c r="E2261">
        <v>0.221489522074933</v>
      </c>
      <c r="F2261">
        <v>0.165908546947545</v>
      </c>
      <c r="G2261">
        <v>0.10074460704851899</v>
      </c>
      <c r="H2261">
        <v>7.5207265254815706E-2</v>
      </c>
      <c r="I2261">
        <v>6.72023201889317E-2</v>
      </c>
      <c r="J2261">
        <v>5.5796343160504698E-2</v>
      </c>
      <c r="K2261">
        <v>4.2583909852505201E-2</v>
      </c>
      <c r="L2261">
        <v>1112.21703060288</v>
      </c>
      <c r="M2261">
        <v>23.649593555372999</v>
      </c>
      <c r="N2261">
        <v>47.316835713866297</v>
      </c>
      <c r="O2261">
        <v>46.696632654556403</v>
      </c>
      <c r="P2261">
        <v>-0.11813255959086701</v>
      </c>
      <c r="Q2261">
        <v>6.6994596176476406E-2</v>
      </c>
      <c r="R2261">
        <v>0.99713408273878701</v>
      </c>
      <c r="S2261" t="s">
        <v>8546</v>
      </c>
      <c r="T2261" t="s">
        <v>12568</v>
      </c>
      <c r="U2261" t="s">
        <v>12568</v>
      </c>
      <c r="V2261" t="s">
        <v>12568</v>
      </c>
      <c r="W2261" t="s">
        <v>14795</v>
      </c>
      <c r="X2261">
        <v>22</v>
      </c>
      <c r="Y2261" t="s">
        <v>20974</v>
      </c>
      <c r="Z2261" t="s">
        <v>27131</v>
      </c>
      <c r="AA2261">
        <v>0.29500984968382338</v>
      </c>
      <c r="AB2261" t="str">
        <f>HYPERLINK("Melting_Curves/meltCurve_P49411_TUFM.pdf", "Melting_Curves/meltCurve_P49411_TUFM.pdf")</f>
        <v>Melting_Curves/meltCurve_P49411_TUFM.pdf</v>
      </c>
    </row>
    <row r="2262" spans="1:28" x14ac:dyDescent="0.25">
      <c r="A2262" t="s">
        <v>2266</v>
      </c>
      <c r="B2262">
        <v>0.99352677808782597</v>
      </c>
      <c r="C2262">
        <v>0.58741439015611596</v>
      </c>
      <c r="D2262">
        <v>1.00614847118517</v>
      </c>
      <c r="E2262">
        <v>0.30262529031652302</v>
      </c>
      <c r="F2262">
        <v>0.24486623903669699</v>
      </c>
      <c r="G2262">
        <v>0.109550809374792</v>
      </c>
      <c r="H2262">
        <v>6.6294519076083594E-2</v>
      </c>
      <c r="I2262">
        <v>5.9955328070601603E-2</v>
      </c>
      <c r="J2262">
        <v>4.8148129805134603E-2</v>
      </c>
      <c r="K2262">
        <v>3.9046235651954302E-2</v>
      </c>
      <c r="L2262">
        <v>812.33436991758003</v>
      </c>
      <c r="M2262">
        <v>16.657381609720701</v>
      </c>
      <c r="N2262">
        <v>48.9573591124703</v>
      </c>
      <c r="O2262">
        <v>48.080636805687803</v>
      </c>
      <c r="P2262">
        <v>-8.39045535085408E-2</v>
      </c>
      <c r="Q2262">
        <v>3.13209182159861E-2</v>
      </c>
      <c r="R2262">
        <v>0.85746984396287396</v>
      </c>
      <c r="S2262" t="s">
        <v>8547</v>
      </c>
      <c r="T2262" t="s">
        <v>12568</v>
      </c>
      <c r="U2262" t="s">
        <v>12568</v>
      </c>
      <c r="V2262" t="s">
        <v>12568</v>
      </c>
      <c r="W2262" t="s">
        <v>14796</v>
      </c>
      <c r="X2262">
        <v>20</v>
      </c>
      <c r="Y2262" t="s">
        <v>20975</v>
      </c>
      <c r="Z2262" t="s">
        <v>27132</v>
      </c>
      <c r="AA2262">
        <v>0.33408712563723791</v>
      </c>
      <c r="AB2262" t="str">
        <f>HYPERLINK("Melting_Curves/meltCurve_P49419_2_ALDH7A1.pdf", "Melting_Curves/meltCurve_P49419_2_ALDH7A1.pdf")</f>
        <v>Melting_Curves/meltCurve_P49419_2_ALDH7A1.pdf</v>
      </c>
    </row>
    <row r="2263" spans="1:28" x14ac:dyDescent="0.25">
      <c r="A2263" t="s">
        <v>2267</v>
      </c>
      <c r="B2263">
        <v>0.99352677808782597</v>
      </c>
      <c r="C2263">
        <v>0.98055143351038598</v>
      </c>
      <c r="D2263">
        <v>1.0327395514237701</v>
      </c>
      <c r="E2263">
        <v>0.49090621843128301</v>
      </c>
      <c r="F2263">
        <v>0.40450233035792199</v>
      </c>
      <c r="G2263">
        <v>0.19122806685573901</v>
      </c>
      <c r="H2263">
        <v>0.135157353533577</v>
      </c>
      <c r="I2263">
        <v>0.14636933389281201</v>
      </c>
      <c r="J2263">
        <v>0.11942960121884399</v>
      </c>
      <c r="K2263">
        <v>8.32280321878687E-2</v>
      </c>
      <c r="L2263">
        <v>1201.2455319195101</v>
      </c>
      <c r="M2263">
        <v>23.891283545207799</v>
      </c>
      <c r="N2263">
        <v>50.8982984135191</v>
      </c>
      <c r="O2263">
        <v>49.931368422151998</v>
      </c>
      <c r="P2263">
        <v>-0.104548121145249</v>
      </c>
      <c r="Q2263">
        <v>0.126016537146378</v>
      </c>
      <c r="R2263">
        <v>0.97665062173537698</v>
      </c>
      <c r="S2263" t="s">
        <v>8548</v>
      </c>
      <c r="T2263" t="s">
        <v>12568</v>
      </c>
      <c r="U2263" t="s">
        <v>12568</v>
      </c>
      <c r="V2263" t="s">
        <v>12568</v>
      </c>
      <c r="W2263" t="s">
        <v>14797</v>
      </c>
      <c r="X2263">
        <v>8</v>
      </c>
      <c r="Y2263" t="s">
        <v>20976</v>
      </c>
      <c r="Z2263" t="s">
        <v>27133</v>
      </c>
      <c r="AA2263">
        <v>0.43406725586415029</v>
      </c>
      <c r="AB2263" t="str">
        <f>HYPERLINK("Melting_Curves/meltCurve_P49427_CDC34.pdf", "Melting_Curves/meltCurve_P49427_CDC34.pdf")</f>
        <v>Melting_Curves/meltCurve_P49427_CDC34.pdf</v>
      </c>
    </row>
    <row r="2264" spans="1:28" x14ac:dyDescent="0.25">
      <c r="A2264" t="s">
        <v>2268</v>
      </c>
      <c r="B2264">
        <v>0.99352677808782597</v>
      </c>
      <c r="C2264">
        <v>0.68199268543603997</v>
      </c>
      <c r="D2264">
        <v>0.87765944977862898</v>
      </c>
      <c r="E2264">
        <v>0.31070668312220401</v>
      </c>
      <c r="F2264">
        <v>0.22170485883855801</v>
      </c>
      <c r="G2264">
        <v>0.12256549559886901</v>
      </c>
      <c r="H2264">
        <v>8.60498830058989E-2</v>
      </c>
      <c r="I2264">
        <v>8.3647145298236997E-2</v>
      </c>
      <c r="J2264">
        <v>6.4809047381266194E-2</v>
      </c>
      <c r="K2264">
        <v>5.3377453298791101E-2</v>
      </c>
      <c r="L2264">
        <v>779.26084149822998</v>
      </c>
      <c r="M2264">
        <v>16.177532396305899</v>
      </c>
      <c r="N2264">
        <v>48.489541998126803</v>
      </c>
      <c r="O2264">
        <v>47.451329520266</v>
      </c>
      <c r="P2264">
        <v>-8.0920571695912394E-2</v>
      </c>
      <c r="Q2264">
        <v>5.06585919383735E-2</v>
      </c>
      <c r="R2264">
        <v>0.93163432956671799</v>
      </c>
      <c r="S2264" t="s">
        <v>8549</v>
      </c>
      <c r="T2264" t="s">
        <v>12568</v>
      </c>
      <c r="U2264" t="s">
        <v>12568</v>
      </c>
      <c r="V2264" t="s">
        <v>12568</v>
      </c>
      <c r="W2264" t="s">
        <v>14798</v>
      </c>
      <c r="X2264">
        <v>8</v>
      </c>
      <c r="Y2264" t="s">
        <v>20977</v>
      </c>
      <c r="Z2264" t="s">
        <v>27134</v>
      </c>
      <c r="AA2264">
        <v>0.33002810997299908</v>
      </c>
      <c r="AB2264" t="str">
        <f>HYPERLINK("Melting_Curves/meltCurve_P49441_INPP1.pdf", "Melting_Curves/meltCurve_P49441_INPP1.pdf")</f>
        <v>Melting_Curves/meltCurve_P49441_INPP1.pdf</v>
      </c>
    </row>
    <row r="2265" spans="1:28" x14ac:dyDescent="0.25">
      <c r="A2265" t="s">
        <v>2269</v>
      </c>
      <c r="B2265">
        <v>0.99352677808782597</v>
      </c>
      <c r="C2265">
        <v>1.0337422148584301</v>
      </c>
      <c r="D2265">
        <v>0.92567433567776403</v>
      </c>
      <c r="E2265">
        <v>0.80065323970130398</v>
      </c>
      <c r="F2265">
        <v>0.71951775608491497</v>
      </c>
      <c r="G2265">
        <v>0.55103285487777498</v>
      </c>
      <c r="H2265">
        <v>0.72146064891516004</v>
      </c>
      <c r="I2265">
        <v>0.68827886946457695</v>
      </c>
      <c r="J2265">
        <v>0.89068696114717605</v>
      </c>
      <c r="K2265">
        <v>0.64662432183884599</v>
      </c>
      <c r="L2265">
        <v>1489.76808613497</v>
      </c>
      <c r="M2265">
        <v>30.813290725453101</v>
      </c>
      <c r="O2265">
        <v>48.145970539388003</v>
      </c>
      <c r="P2265">
        <v>-4.7779172821637003E-2</v>
      </c>
      <c r="Q2265">
        <v>0.70138070893572702</v>
      </c>
      <c r="R2265">
        <v>0.71168377549999795</v>
      </c>
      <c r="S2265" t="s">
        <v>8550</v>
      </c>
      <c r="T2265" t="s">
        <v>12568</v>
      </c>
      <c r="U2265" t="s">
        <v>12568</v>
      </c>
      <c r="V2265" t="s">
        <v>12568</v>
      </c>
      <c r="W2265" t="s">
        <v>14799</v>
      </c>
      <c r="X2265">
        <v>73</v>
      </c>
      <c r="Y2265" t="s">
        <v>20978</v>
      </c>
      <c r="Z2265" t="s">
        <v>27135</v>
      </c>
      <c r="AA2265">
        <v>0.78618518308346241</v>
      </c>
      <c r="AB2265" t="str">
        <f>HYPERLINK("Melting_Curves/meltCurve_P49454_CENPF.pdf", "Melting_Curves/meltCurve_P49454_CENPF.pdf")</f>
        <v>Melting_Curves/meltCurve_P49454_CENPF.pdf</v>
      </c>
    </row>
    <row r="2266" spans="1:28" x14ac:dyDescent="0.25">
      <c r="A2266" t="s">
        <v>2270</v>
      </c>
      <c r="B2266">
        <v>0.99352677808782597</v>
      </c>
      <c r="C2266">
        <v>1.0130937218846701</v>
      </c>
      <c r="D2266">
        <v>1.0015555700352301</v>
      </c>
      <c r="E2266">
        <v>0.94899302992773304</v>
      </c>
      <c r="F2266">
        <v>0.84637573829153501</v>
      </c>
      <c r="G2266">
        <v>0.70229434166692095</v>
      </c>
      <c r="H2266">
        <v>0.57271277583386804</v>
      </c>
      <c r="I2266">
        <v>0.42814089785071702</v>
      </c>
      <c r="J2266">
        <v>0.367201294541733</v>
      </c>
      <c r="K2266">
        <v>0.243421477138099</v>
      </c>
      <c r="L2266">
        <v>660.15538268853004</v>
      </c>
      <c r="M2266">
        <v>10.695610047220899</v>
      </c>
      <c r="N2266">
        <v>62.393341133680799</v>
      </c>
      <c r="O2266">
        <v>59.681792011792901</v>
      </c>
      <c r="P2266">
        <v>-4.23836799815272E-2</v>
      </c>
      <c r="Q2266">
        <v>5.4347125240835903E-2</v>
      </c>
      <c r="R2266">
        <v>0.99512925737661995</v>
      </c>
      <c r="S2266" t="s">
        <v>8551</v>
      </c>
      <c r="T2266" t="s">
        <v>12568</v>
      </c>
      <c r="U2266" t="s">
        <v>12568</v>
      </c>
      <c r="V2266" t="s">
        <v>12568</v>
      </c>
      <c r="W2266" t="s">
        <v>14800</v>
      </c>
      <c r="X2266">
        <v>9</v>
      </c>
      <c r="Y2266" t="s">
        <v>20979</v>
      </c>
      <c r="Z2266" t="s">
        <v>27136</v>
      </c>
      <c r="AA2266">
        <v>0.72504273365083227</v>
      </c>
      <c r="AB2266" t="str">
        <f>HYPERLINK("Melting_Curves/meltCurve_P49458_SRP9.pdf", "Melting_Curves/meltCurve_P49458_SRP9.pdf")</f>
        <v>Melting_Curves/meltCurve_P49458_SRP9.pdf</v>
      </c>
    </row>
    <row r="2267" spans="1:28" x14ac:dyDescent="0.25">
      <c r="A2267" t="s">
        <v>2271</v>
      </c>
      <c r="B2267">
        <v>0.99352677808782597</v>
      </c>
      <c r="C2267">
        <v>1.04607990216282</v>
      </c>
      <c r="D2267">
        <v>1.07770250288835</v>
      </c>
      <c r="E2267">
        <v>1.26947849687075</v>
      </c>
      <c r="F2267">
        <v>1.11684037092181</v>
      </c>
      <c r="G2267">
        <v>1.0277071618832301</v>
      </c>
      <c r="H2267">
        <v>0.68024740792884797</v>
      </c>
      <c r="I2267">
        <v>0.510652056776427</v>
      </c>
      <c r="J2267">
        <v>0.33003275598579501</v>
      </c>
      <c r="K2267">
        <v>0.24181932054348501</v>
      </c>
      <c r="L2267">
        <v>1894.31444031415</v>
      </c>
      <c r="M2267">
        <v>30.411294631144699</v>
      </c>
      <c r="N2267">
        <v>63.645050278157903</v>
      </c>
      <c r="O2267">
        <v>62.022353287938799</v>
      </c>
      <c r="P2267">
        <v>-9.3366260018372393E-2</v>
      </c>
      <c r="Q2267">
        <v>0.23834096575055599</v>
      </c>
      <c r="R2267">
        <v>0.90944136448782498</v>
      </c>
      <c r="S2267" t="s">
        <v>8552</v>
      </c>
      <c r="T2267" t="s">
        <v>12568</v>
      </c>
      <c r="U2267" t="s">
        <v>12568</v>
      </c>
      <c r="V2267" t="s">
        <v>12568</v>
      </c>
      <c r="W2267" t="s">
        <v>14801</v>
      </c>
      <c r="X2267">
        <v>3</v>
      </c>
      <c r="Y2267" t="s">
        <v>20980</v>
      </c>
      <c r="Z2267" t="s">
        <v>27137</v>
      </c>
      <c r="AA2267">
        <v>0.8075055344283999</v>
      </c>
      <c r="AB2267" t="str">
        <f>HYPERLINK("Melting_Curves/meltCurve_P49459_UBE2A.pdf", "Melting_Curves/meltCurve_P49459_UBE2A.pdf")</f>
        <v>Melting_Curves/meltCurve_P49459_UBE2A.pdf</v>
      </c>
    </row>
    <row r="2268" spans="1:28" x14ac:dyDescent="0.25">
      <c r="A2268" t="s">
        <v>2272</v>
      </c>
      <c r="B2268">
        <v>0.99352677808782597</v>
      </c>
      <c r="C2268">
        <v>0.96786387822737796</v>
      </c>
      <c r="D2268">
        <v>0.94609844380988195</v>
      </c>
      <c r="E2268">
        <v>0.829703403425883</v>
      </c>
      <c r="F2268">
        <v>0.73262251179262705</v>
      </c>
      <c r="G2268">
        <v>0.54372239611240403</v>
      </c>
      <c r="H2268">
        <v>0.36410594259266998</v>
      </c>
      <c r="I2268">
        <v>0.232489569701125</v>
      </c>
      <c r="J2268">
        <v>0.15289649449787701</v>
      </c>
      <c r="K2268">
        <v>0.104739126697407</v>
      </c>
      <c r="L2268">
        <v>659.64093221027497</v>
      </c>
      <c r="M2268">
        <v>11.4505405868849</v>
      </c>
      <c r="N2268">
        <v>57.607836659343498</v>
      </c>
      <c r="O2268">
        <v>55.934775657095997</v>
      </c>
      <c r="P2268">
        <v>-5.1192861271306803E-2</v>
      </c>
      <c r="Q2268">
        <v>0</v>
      </c>
      <c r="R2268">
        <v>0.99861025347287002</v>
      </c>
      <c r="S2268" t="s">
        <v>8553</v>
      </c>
      <c r="T2268" t="s">
        <v>12568</v>
      </c>
      <c r="U2268" t="s">
        <v>12568</v>
      </c>
      <c r="V2268" t="s">
        <v>12568</v>
      </c>
      <c r="W2268" t="s">
        <v>14802</v>
      </c>
      <c r="X2268">
        <v>19</v>
      </c>
      <c r="Y2268" t="s">
        <v>20981</v>
      </c>
      <c r="Z2268" t="s">
        <v>27138</v>
      </c>
      <c r="AA2268">
        <v>0.60097821626453873</v>
      </c>
      <c r="AB2268" t="str">
        <f>HYPERLINK("Melting_Curves/meltCurve_P49585_PCYT1A.pdf", "Melting_Curves/meltCurve_P49585_PCYT1A.pdf")</f>
        <v>Melting_Curves/meltCurve_P49585_PCYT1A.pdf</v>
      </c>
    </row>
    <row r="2269" spans="1:28" x14ac:dyDescent="0.25">
      <c r="A2269" t="s">
        <v>2273</v>
      </c>
      <c r="B2269">
        <v>0.99352677808782597</v>
      </c>
      <c r="C2269">
        <v>1.0086729489449899</v>
      </c>
      <c r="D2269">
        <v>0.86155174186320904</v>
      </c>
      <c r="E2269">
        <v>0.37963542341101902</v>
      </c>
      <c r="F2269">
        <v>0.28948189205709701</v>
      </c>
      <c r="G2269">
        <v>0.17861571268613899</v>
      </c>
      <c r="H2269">
        <v>0.119059809994286</v>
      </c>
      <c r="I2269">
        <v>0.10366188506301199</v>
      </c>
      <c r="J2269">
        <v>8.4996306147413103E-2</v>
      </c>
      <c r="K2269">
        <v>6.2161301062615797E-2</v>
      </c>
      <c r="L2269">
        <v>1153.6565519442099</v>
      </c>
      <c r="M2269">
        <v>23.590102537192699</v>
      </c>
      <c r="N2269">
        <v>49.396407127856001</v>
      </c>
      <c r="O2269">
        <v>48.556903840509598</v>
      </c>
      <c r="P2269">
        <v>-0.108738095552806</v>
      </c>
      <c r="Q2269">
        <v>0.104727038138305</v>
      </c>
      <c r="R2269">
        <v>0.98998696831920496</v>
      </c>
      <c r="S2269" t="s">
        <v>8554</v>
      </c>
      <c r="T2269" t="s">
        <v>12568</v>
      </c>
      <c r="U2269" t="s">
        <v>12568</v>
      </c>
      <c r="V2269" t="s">
        <v>12568</v>
      </c>
      <c r="W2269" t="s">
        <v>14803</v>
      </c>
      <c r="X2269">
        <v>52</v>
      </c>
      <c r="Y2269" t="s">
        <v>20982</v>
      </c>
      <c r="Z2269" t="s">
        <v>27139</v>
      </c>
      <c r="AA2269">
        <v>0.3793908151036362</v>
      </c>
      <c r="AB2269" t="str">
        <f>HYPERLINK("Melting_Curves/meltCurve_P49588_AARS.pdf", "Melting_Curves/meltCurve_P49588_AARS.pdf")</f>
        <v>Melting_Curves/meltCurve_P49588_AARS.pdf</v>
      </c>
    </row>
    <row r="2270" spans="1:28" x14ac:dyDescent="0.25">
      <c r="A2270" t="s">
        <v>2274</v>
      </c>
      <c r="B2270">
        <v>0.99352677808782597</v>
      </c>
      <c r="C2270">
        <v>1.0269869804963201</v>
      </c>
      <c r="D2270">
        <v>0.958990402576402</v>
      </c>
      <c r="E2270">
        <v>0.71112231440779206</v>
      </c>
      <c r="F2270">
        <v>0.57981768977316395</v>
      </c>
      <c r="G2270">
        <v>0.18509485602672601</v>
      </c>
      <c r="H2270">
        <v>0.121049985160605</v>
      </c>
      <c r="I2270">
        <v>0.11239272924718401</v>
      </c>
      <c r="J2270">
        <v>9.8770168610989306E-2</v>
      </c>
      <c r="K2270">
        <v>7.6487777159398307E-2</v>
      </c>
      <c r="L2270">
        <v>1062.01702382607</v>
      </c>
      <c r="M2270">
        <v>20.151448431999398</v>
      </c>
      <c r="N2270">
        <v>53.111223660982802</v>
      </c>
      <c r="O2270">
        <v>52.191016132982703</v>
      </c>
      <c r="P2270">
        <v>-8.9585644975831297E-2</v>
      </c>
      <c r="Q2270">
        <v>7.1944118228787601E-2</v>
      </c>
      <c r="R2270">
        <v>0.991637652356407</v>
      </c>
      <c r="S2270" t="s">
        <v>8555</v>
      </c>
      <c r="T2270" t="s">
        <v>12568</v>
      </c>
      <c r="U2270" t="s">
        <v>12568</v>
      </c>
      <c r="V2270" t="s">
        <v>12568</v>
      </c>
      <c r="W2270" t="s">
        <v>14804</v>
      </c>
      <c r="X2270">
        <v>28</v>
      </c>
      <c r="Y2270" t="s">
        <v>20983</v>
      </c>
      <c r="Z2270" t="s">
        <v>27140</v>
      </c>
      <c r="AA2270">
        <v>0.47750328794873281</v>
      </c>
      <c r="AB2270" t="str">
        <f>HYPERLINK("Melting_Curves/meltCurve_P49589_3_CARS.pdf", "Melting_Curves/meltCurve_P49589_3_CARS.pdf")</f>
        <v>Melting_Curves/meltCurve_P49589_3_CARS.pdf</v>
      </c>
    </row>
    <row r="2271" spans="1:28" x14ac:dyDescent="0.25">
      <c r="A2271" t="s">
        <v>2275</v>
      </c>
      <c r="B2271">
        <v>0.99352677808782597</v>
      </c>
      <c r="C2271">
        <v>1.0214246138459699</v>
      </c>
      <c r="D2271">
        <v>0.942390822203381</v>
      </c>
      <c r="E2271">
        <v>0.53561766204557404</v>
      </c>
      <c r="F2271">
        <v>0.46101627707537202</v>
      </c>
      <c r="G2271">
        <v>0.19837127139253899</v>
      </c>
      <c r="H2271">
        <v>0.10971577410162001</v>
      </c>
      <c r="I2271">
        <v>9.4421437062413099E-2</v>
      </c>
      <c r="J2271">
        <v>7.5151407166672499E-2</v>
      </c>
      <c r="K2271">
        <v>6.4134476050842507E-2</v>
      </c>
      <c r="L2271">
        <v>900.12220141698401</v>
      </c>
      <c r="M2271">
        <v>17.584440990198001</v>
      </c>
      <c r="N2271">
        <v>51.591047166618097</v>
      </c>
      <c r="O2271">
        <v>50.540311116576</v>
      </c>
      <c r="P2271">
        <v>-8.14115309420953E-2</v>
      </c>
      <c r="Q2271">
        <v>6.4095009534928998E-2</v>
      </c>
      <c r="R2271">
        <v>0.98717628161050197</v>
      </c>
      <c r="S2271" t="s">
        <v>8556</v>
      </c>
      <c r="T2271" t="s">
        <v>12568</v>
      </c>
      <c r="U2271" t="s">
        <v>12568</v>
      </c>
      <c r="V2271" t="s">
        <v>12568</v>
      </c>
      <c r="W2271" t="s">
        <v>14805</v>
      </c>
      <c r="X2271">
        <v>23</v>
      </c>
      <c r="Y2271" t="s">
        <v>20984</v>
      </c>
      <c r="Z2271" t="s">
        <v>27141</v>
      </c>
      <c r="AA2271">
        <v>0.42954388945936822</v>
      </c>
      <c r="AB2271" t="str">
        <f>HYPERLINK("Melting_Curves/meltCurve_P49591_SARS.pdf", "Melting_Curves/meltCurve_P49591_SARS.pdf")</f>
        <v>Melting_Curves/meltCurve_P49591_SARS.pdf</v>
      </c>
    </row>
    <row r="2272" spans="1:28" x14ac:dyDescent="0.25">
      <c r="A2272" t="s">
        <v>2276</v>
      </c>
      <c r="B2272">
        <v>0.99352677808782597</v>
      </c>
      <c r="C2272">
        <v>0.74195661405220104</v>
      </c>
      <c r="D2272">
        <v>0.41038462815617599</v>
      </c>
      <c r="E2272">
        <v>0.26036411201498699</v>
      </c>
      <c r="F2272">
        <v>0.19409715658728999</v>
      </c>
      <c r="G2272">
        <v>0.115695290466294</v>
      </c>
      <c r="H2272">
        <v>7.3149846307048502E-2</v>
      </c>
      <c r="I2272">
        <v>7.1761327830909202E-2</v>
      </c>
      <c r="J2272">
        <v>5.5078090342020297E-2</v>
      </c>
      <c r="K2272">
        <v>4.78098533445631E-2</v>
      </c>
      <c r="L2272">
        <v>802.134155582532</v>
      </c>
      <c r="M2272">
        <v>17.7329235886696</v>
      </c>
      <c r="N2272">
        <v>45.656271677878301</v>
      </c>
      <c r="O2272">
        <v>44.670687777097797</v>
      </c>
      <c r="P2272">
        <v>-9.1743867687379493E-2</v>
      </c>
      <c r="Q2272">
        <v>7.5607093463579994E-2</v>
      </c>
      <c r="R2272">
        <v>0.98343794072795399</v>
      </c>
      <c r="S2272" t="s">
        <v>8557</v>
      </c>
      <c r="T2272" t="s">
        <v>12568</v>
      </c>
      <c r="U2272" t="s">
        <v>12568</v>
      </c>
      <c r="V2272" t="s">
        <v>12568</v>
      </c>
      <c r="W2272" t="s">
        <v>14806</v>
      </c>
      <c r="X2272">
        <v>12</v>
      </c>
      <c r="Y2272" t="s">
        <v>20985</v>
      </c>
      <c r="Z2272" t="s">
        <v>27142</v>
      </c>
      <c r="AA2272">
        <v>0.25699369428054059</v>
      </c>
      <c r="AB2272" t="str">
        <f>HYPERLINK("Melting_Curves/meltCurve_P49642_PRIM1.pdf", "Melting_Curves/meltCurve_P49642_PRIM1.pdf")</f>
        <v>Melting_Curves/meltCurve_P49642_PRIM1.pdf</v>
      </c>
    </row>
    <row r="2273" spans="1:28" x14ac:dyDescent="0.25">
      <c r="A2273" t="s">
        <v>2277</v>
      </c>
      <c r="B2273">
        <v>0.99352677808782597</v>
      </c>
      <c r="C2273">
        <v>0.971137614817978</v>
      </c>
      <c r="D2273">
        <v>0.82272048970953104</v>
      </c>
      <c r="E2273">
        <v>0.30295916908084902</v>
      </c>
      <c r="F2273">
        <v>0.231482291449154</v>
      </c>
      <c r="G2273">
        <v>0.127175299831642</v>
      </c>
      <c r="H2273">
        <v>8.5594806357025405E-2</v>
      </c>
      <c r="I2273">
        <v>7.5749317291745097E-2</v>
      </c>
      <c r="J2273">
        <v>7.1025348839292499E-2</v>
      </c>
      <c r="K2273">
        <v>4.9517056122489203E-2</v>
      </c>
      <c r="L2273">
        <v>1248.2238515886299</v>
      </c>
      <c r="M2273">
        <v>25.853437841539701</v>
      </c>
      <c r="N2273">
        <v>48.622376085847797</v>
      </c>
      <c r="O2273">
        <v>47.994684533528499</v>
      </c>
      <c r="P2273">
        <v>-0.12348563968178</v>
      </c>
      <c r="Q2273">
        <v>8.3048899440697696E-2</v>
      </c>
      <c r="R2273">
        <v>0.993497383326154</v>
      </c>
      <c r="S2273" t="s">
        <v>8558</v>
      </c>
      <c r="T2273" t="s">
        <v>12568</v>
      </c>
      <c r="U2273" t="s">
        <v>12568</v>
      </c>
      <c r="V2273" t="s">
        <v>12568</v>
      </c>
      <c r="W2273" t="s">
        <v>14807</v>
      </c>
      <c r="X2273">
        <v>7</v>
      </c>
      <c r="Y2273" t="s">
        <v>20986</v>
      </c>
      <c r="Z2273" t="s">
        <v>27143</v>
      </c>
      <c r="AA2273">
        <v>0.3437017153228073</v>
      </c>
      <c r="AB2273" t="str">
        <f>HYPERLINK("Melting_Curves/meltCurve_P49643_PRIM2.pdf", "Melting_Curves/meltCurve_P49643_PRIM2.pdf")</f>
        <v>Melting_Curves/meltCurve_P49643_PRIM2.pdf</v>
      </c>
    </row>
    <row r="2274" spans="1:28" x14ac:dyDescent="0.25">
      <c r="A2274" t="s">
        <v>2278</v>
      </c>
      <c r="B2274">
        <v>0.99352677808782597</v>
      </c>
      <c r="C2274">
        <v>0.97127637851765702</v>
      </c>
      <c r="D2274">
        <v>0.92953637765414598</v>
      </c>
      <c r="E2274">
        <v>0.57701337263626096</v>
      </c>
      <c r="F2274">
        <v>0.50806311672914695</v>
      </c>
      <c r="G2274">
        <v>0.16325068865890999</v>
      </c>
      <c r="H2274">
        <v>0.100763789088519</v>
      </c>
      <c r="I2274">
        <v>0.101389886072223</v>
      </c>
      <c r="J2274">
        <v>7.4676166639875197E-2</v>
      </c>
      <c r="K2274">
        <v>7.4136543810267894E-2</v>
      </c>
      <c r="L2274">
        <v>876.97191176651495</v>
      </c>
      <c r="M2274">
        <v>17.000886150508801</v>
      </c>
      <c r="N2274">
        <v>51.931048132199699</v>
      </c>
      <c r="O2274">
        <v>50.886045497806798</v>
      </c>
      <c r="P2274">
        <v>-7.9042731118163304E-2</v>
      </c>
      <c r="Q2274">
        <v>5.3714382711507802E-2</v>
      </c>
      <c r="R2274">
        <v>0.98792963872087503</v>
      </c>
      <c r="S2274" t="s">
        <v>8559</v>
      </c>
      <c r="T2274" t="s">
        <v>12568</v>
      </c>
      <c r="U2274" t="s">
        <v>12568</v>
      </c>
      <c r="V2274" t="s">
        <v>12568</v>
      </c>
      <c r="W2274" t="s">
        <v>14808</v>
      </c>
      <c r="X2274">
        <v>4</v>
      </c>
      <c r="Y2274" t="s">
        <v>20987</v>
      </c>
      <c r="Z2274" t="s">
        <v>27144</v>
      </c>
      <c r="AA2274">
        <v>0.43657386349298011</v>
      </c>
      <c r="AB2274" t="str">
        <f>HYPERLINK("Melting_Curves/meltCurve_P49662_2_CASP4.pdf", "Melting_Curves/meltCurve_P49662_2_CASP4.pdf")</f>
        <v>Melting_Curves/meltCurve_P49662_2_CASP4.pdf</v>
      </c>
    </row>
    <row r="2275" spans="1:28" x14ac:dyDescent="0.25">
      <c r="A2275" t="s">
        <v>2279</v>
      </c>
      <c r="B2275">
        <v>0.99352677808782597</v>
      </c>
      <c r="C2275">
        <v>0.91650815160944599</v>
      </c>
      <c r="D2275">
        <v>0.88921286960956103</v>
      </c>
      <c r="E2275">
        <v>0.990490277549952</v>
      </c>
      <c r="F2275">
        <v>0.89596078960153802</v>
      </c>
      <c r="G2275">
        <v>0.93036043270819702</v>
      </c>
      <c r="H2275">
        <v>0.891346213560683</v>
      </c>
      <c r="I2275">
        <v>1.0028168545093099</v>
      </c>
      <c r="J2275">
        <v>0.88613210872259796</v>
      </c>
      <c r="K2275">
        <v>0.80137869061876299</v>
      </c>
      <c r="L2275">
        <v>125.362817983578</v>
      </c>
      <c r="M2275">
        <v>1.0000000000000001E-5</v>
      </c>
      <c r="O2275">
        <v>52.248433591881202</v>
      </c>
      <c r="P2275">
        <v>-2.99992492490636E-3</v>
      </c>
      <c r="Q2275">
        <v>0.14378138830182999</v>
      </c>
      <c r="R2275">
        <v>0.20477059009217299</v>
      </c>
      <c r="S2275" t="s">
        <v>8560</v>
      </c>
      <c r="T2275" t="s">
        <v>12568</v>
      </c>
      <c r="U2275" t="s">
        <v>12568</v>
      </c>
      <c r="V2275" t="s">
        <v>12568</v>
      </c>
      <c r="W2275" t="s">
        <v>14809</v>
      </c>
      <c r="X2275">
        <v>5</v>
      </c>
      <c r="Y2275" t="s">
        <v>20988</v>
      </c>
      <c r="Z2275" t="s">
        <v>27145</v>
      </c>
      <c r="AA2275">
        <v>0.92070331385146531</v>
      </c>
      <c r="AB2275" t="str">
        <f>HYPERLINK("Melting_Curves/meltCurve_P49674_CSNK1E.pdf", "Melting_Curves/meltCurve_P49674_CSNK1E.pdf")</f>
        <v>Melting_Curves/meltCurve_P49674_CSNK1E.pdf</v>
      </c>
    </row>
    <row r="2276" spans="1:28" x14ac:dyDescent="0.25">
      <c r="A2276" t="s">
        <v>2280</v>
      </c>
      <c r="B2276">
        <v>0.99352677808782597</v>
      </c>
      <c r="C2276">
        <v>1.04798555009386</v>
      </c>
      <c r="D2276">
        <v>1.1294819390748201</v>
      </c>
      <c r="E2276">
        <v>1.2585652456374199</v>
      </c>
      <c r="F2276">
        <v>1.1084902031089101</v>
      </c>
      <c r="G2276">
        <v>0.89348813475080102</v>
      </c>
      <c r="H2276">
        <v>0.90623223431408795</v>
      </c>
      <c r="I2276">
        <v>0.82955148180750204</v>
      </c>
      <c r="J2276">
        <v>0.981579616244316</v>
      </c>
      <c r="K2276">
        <v>0.80892605330630596</v>
      </c>
      <c r="L2276">
        <v>14125.148215092901</v>
      </c>
      <c r="M2276">
        <v>250</v>
      </c>
      <c r="O2276">
        <v>56.496977290963599</v>
      </c>
      <c r="P2276">
        <v>-0.131011071578885</v>
      </c>
      <c r="Q2276">
        <v>0.88157232776166505</v>
      </c>
      <c r="R2276">
        <v>0.36638637836092502</v>
      </c>
      <c r="S2276" t="s">
        <v>8561</v>
      </c>
      <c r="T2276" t="s">
        <v>12568</v>
      </c>
      <c r="U2276" t="s">
        <v>12568</v>
      </c>
      <c r="V2276" t="s">
        <v>12568</v>
      </c>
      <c r="W2276" t="s">
        <v>14810</v>
      </c>
      <c r="X2276">
        <v>9</v>
      </c>
      <c r="Y2276" t="s">
        <v>20989</v>
      </c>
      <c r="Z2276" t="s">
        <v>27146</v>
      </c>
      <c r="AA2276">
        <v>0.94672163087286709</v>
      </c>
      <c r="AB2276" t="str">
        <f>HYPERLINK("Melting_Curves/meltCurve_P49711_CTCF.pdf", "Melting_Curves/meltCurve_P49711_CTCF.pdf")</f>
        <v>Melting_Curves/meltCurve_P49711_CTCF.pdf</v>
      </c>
    </row>
    <row r="2277" spans="1:28" x14ac:dyDescent="0.25">
      <c r="A2277" t="s">
        <v>2281</v>
      </c>
      <c r="B2277">
        <v>0.99352677808782597</v>
      </c>
      <c r="C2277">
        <v>1.0883405825349499</v>
      </c>
      <c r="D2277">
        <v>1.2334002462359099</v>
      </c>
      <c r="E2277">
        <v>1.19372281268518</v>
      </c>
      <c r="F2277">
        <v>1.0306202161333</v>
      </c>
      <c r="G2277">
        <v>0.83269797412264301</v>
      </c>
      <c r="H2277">
        <v>0.82599171091783197</v>
      </c>
      <c r="I2277">
        <v>0.71664583399144499</v>
      </c>
      <c r="J2277">
        <v>0.75779922667884103</v>
      </c>
      <c r="K2277">
        <v>0.75905746875953495</v>
      </c>
      <c r="L2277">
        <v>7265.5799709802504</v>
      </c>
      <c r="M2277">
        <v>128.36787592779501</v>
      </c>
      <c r="O2277">
        <v>56.585941057716603</v>
      </c>
      <c r="P2277">
        <v>-0.13335746679633001</v>
      </c>
      <c r="Q2277">
        <v>0.76485838054219202</v>
      </c>
      <c r="R2277">
        <v>0.66973264990305004</v>
      </c>
      <c r="S2277" t="s">
        <v>8562</v>
      </c>
      <c r="T2277" t="s">
        <v>12568</v>
      </c>
      <c r="U2277" t="s">
        <v>12568</v>
      </c>
      <c r="V2277" t="s">
        <v>12568</v>
      </c>
      <c r="W2277" t="s">
        <v>14811</v>
      </c>
      <c r="X2277">
        <v>1</v>
      </c>
      <c r="Y2277" t="s">
        <v>20990</v>
      </c>
      <c r="Z2277" t="s">
        <v>27147</v>
      </c>
      <c r="AA2277">
        <v>0.89505616864225535</v>
      </c>
      <c r="AB2277" t="str">
        <f>HYPERLINK("Melting_Curves/meltCurve_P49716_CEBPD.pdf", "Melting_Curves/meltCurve_P49716_CEBPD.pdf")</f>
        <v>Melting_Curves/meltCurve_P49716_CEBPD.pdf</v>
      </c>
    </row>
    <row r="2278" spans="1:28" x14ac:dyDescent="0.25">
      <c r="A2278" t="s">
        <v>2282</v>
      </c>
      <c r="B2278">
        <v>0.99352677808782597</v>
      </c>
      <c r="C2278">
        <v>1.03133866710078</v>
      </c>
      <c r="D2278">
        <v>0.822927678466704</v>
      </c>
      <c r="E2278">
        <v>1.46571254584612</v>
      </c>
      <c r="F2278">
        <v>1.03065309504039</v>
      </c>
      <c r="G2278">
        <v>1.1114908480614201</v>
      </c>
      <c r="H2278">
        <v>1.56582502231648</v>
      </c>
      <c r="I2278">
        <v>1.3075362791534899</v>
      </c>
      <c r="J2278">
        <v>1.98585842448663</v>
      </c>
      <c r="K2278">
        <v>1.46351783346095</v>
      </c>
      <c r="L2278">
        <v>14321.157273360101</v>
      </c>
      <c r="M2278">
        <v>250</v>
      </c>
      <c r="O2278">
        <v>57.280963275682801</v>
      </c>
      <c r="P2278">
        <v>0.54555646867084495</v>
      </c>
      <c r="Q2278">
        <v>1.5</v>
      </c>
      <c r="R2278">
        <v>0.51568090770681596</v>
      </c>
      <c r="S2278" t="s">
        <v>8563</v>
      </c>
      <c r="T2278" t="s">
        <v>12568</v>
      </c>
      <c r="U2278" t="s">
        <v>12568</v>
      </c>
      <c r="V2278" t="s">
        <v>12568</v>
      </c>
      <c r="W2278" t="s">
        <v>14812</v>
      </c>
      <c r="X2278">
        <v>13</v>
      </c>
      <c r="Y2278" t="s">
        <v>20991</v>
      </c>
      <c r="Z2278" t="s">
        <v>27148</v>
      </c>
      <c r="AA2278">
        <v>1.2118725816264051</v>
      </c>
      <c r="AB2278" t="str">
        <f>HYPERLINK("Melting_Curves/meltCurve_P49720_PSMB3.pdf", "Melting_Curves/meltCurve_P49720_PSMB3.pdf")</f>
        <v>Melting_Curves/meltCurve_P49720_PSMB3.pdf</v>
      </c>
    </row>
    <row r="2279" spans="1:28" x14ac:dyDescent="0.25">
      <c r="A2279" t="s">
        <v>2283</v>
      </c>
      <c r="B2279">
        <v>0.99352677808782597</v>
      </c>
      <c r="C2279">
        <v>0.97924515588387095</v>
      </c>
      <c r="D2279">
        <v>0.85377566668496496</v>
      </c>
      <c r="E2279">
        <v>1.45823719540855</v>
      </c>
      <c r="F2279">
        <v>1.15757699983398</v>
      </c>
      <c r="G2279">
        <v>1.2391240933268799</v>
      </c>
      <c r="H2279">
        <v>1.7918784857255201</v>
      </c>
      <c r="I2279">
        <v>1.6754564465463699</v>
      </c>
      <c r="J2279">
        <v>2.1790410740792998</v>
      </c>
      <c r="K2279">
        <v>1.72545332628176</v>
      </c>
      <c r="L2279">
        <v>1103.2407258250901</v>
      </c>
      <c r="M2279">
        <v>21.715689779407199</v>
      </c>
      <c r="O2279">
        <v>50.378919138894702</v>
      </c>
      <c r="P2279">
        <v>5.3882164542610599E-2</v>
      </c>
      <c r="Q2279">
        <v>1.5</v>
      </c>
      <c r="R2279">
        <v>0.50330500627088504</v>
      </c>
      <c r="S2279" t="s">
        <v>8564</v>
      </c>
      <c r="T2279" t="s">
        <v>12568</v>
      </c>
      <c r="U2279" t="s">
        <v>12568</v>
      </c>
      <c r="V2279" t="s">
        <v>12568</v>
      </c>
      <c r="W2279" t="s">
        <v>14813</v>
      </c>
      <c r="X2279">
        <v>20</v>
      </c>
      <c r="Y2279" t="s">
        <v>20992</v>
      </c>
      <c r="Z2279" t="s">
        <v>27149</v>
      </c>
      <c r="AA2279">
        <v>1.3140008432652011</v>
      </c>
      <c r="AB2279" t="str">
        <f>HYPERLINK("Melting_Curves/meltCurve_P49721_PSMB2.pdf", "Melting_Curves/meltCurve_P49721_PSMB2.pdf")</f>
        <v>Melting_Curves/meltCurve_P49721_PSMB2.pdf</v>
      </c>
    </row>
    <row r="2280" spans="1:28" x14ac:dyDescent="0.25">
      <c r="A2280" t="s">
        <v>2284</v>
      </c>
      <c r="B2280">
        <v>0.99352677808782597</v>
      </c>
      <c r="C2280">
        <v>0.94668391762536797</v>
      </c>
      <c r="D2280">
        <v>0.84471439119032099</v>
      </c>
      <c r="E2280">
        <v>0.42311204370573902</v>
      </c>
      <c r="F2280">
        <v>0.32466081929047402</v>
      </c>
      <c r="G2280">
        <v>0.18886784485395</v>
      </c>
      <c r="H2280">
        <v>0.11167615157407799</v>
      </c>
      <c r="I2280">
        <v>0.111668626784536</v>
      </c>
      <c r="J2280">
        <v>9.0758385663495506E-2</v>
      </c>
      <c r="K2280">
        <v>6.8522809217977695E-2</v>
      </c>
      <c r="L2280">
        <v>912.56108718517396</v>
      </c>
      <c r="M2280">
        <v>18.5262757584368</v>
      </c>
      <c r="N2280">
        <v>49.802393933099196</v>
      </c>
      <c r="O2280">
        <v>48.694511631022401</v>
      </c>
      <c r="P2280">
        <v>-8.6395395225610003E-2</v>
      </c>
      <c r="Q2280">
        <v>9.17124735071147E-2</v>
      </c>
      <c r="R2280">
        <v>0.99337844922741303</v>
      </c>
      <c r="S2280" t="s">
        <v>8565</v>
      </c>
      <c r="T2280" t="s">
        <v>12568</v>
      </c>
      <c r="U2280" t="s">
        <v>12568</v>
      </c>
      <c r="V2280" t="s">
        <v>12568</v>
      </c>
      <c r="W2280" t="s">
        <v>14814</v>
      </c>
      <c r="X2280">
        <v>38</v>
      </c>
      <c r="Y2280" t="s">
        <v>20993</v>
      </c>
      <c r="Z2280" t="s">
        <v>27150</v>
      </c>
      <c r="AA2280">
        <v>0.38679308678335639</v>
      </c>
      <c r="AB2280" t="str">
        <f>HYPERLINK("Melting_Curves/meltCurve_P49736_MCM2.pdf", "Melting_Curves/meltCurve_P49736_MCM2.pdf")</f>
        <v>Melting_Curves/meltCurve_P49736_MCM2.pdf</v>
      </c>
    </row>
    <row r="2281" spans="1:28" x14ac:dyDescent="0.25">
      <c r="A2281" t="s">
        <v>2285</v>
      </c>
      <c r="B2281">
        <v>0.99352677808782597</v>
      </c>
      <c r="C2281">
        <v>1.06925039309794</v>
      </c>
      <c r="D2281">
        <v>0.94577391901836105</v>
      </c>
      <c r="E2281">
        <v>0.85104085891220804</v>
      </c>
      <c r="F2281">
        <v>0.61456116792897997</v>
      </c>
      <c r="G2281">
        <v>0.37655576955728998</v>
      </c>
      <c r="H2281">
        <v>0.19122449149072501</v>
      </c>
      <c r="I2281">
        <v>0.136574281733994</v>
      </c>
      <c r="J2281">
        <v>0.113397646536377</v>
      </c>
      <c r="K2281">
        <v>8.9381698036486906E-2</v>
      </c>
      <c r="L2281">
        <v>955.77277058738696</v>
      </c>
      <c r="M2281">
        <v>17.592571235363899</v>
      </c>
      <c r="N2281">
        <v>54.852412890703597</v>
      </c>
      <c r="O2281">
        <v>53.6408153777991</v>
      </c>
      <c r="P2281">
        <v>-7.56523550712902E-2</v>
      </c>
      <c r="Q2281">
        <v>7.7375352139799305E-2</v>
      </c>
      <c r="R2281">
        <v>0.99475395472154404</v>
      </c>
      <c r="S2281" t="s">
        <v>8566</v>
      </c>
      <c r="T2281" t="s">
        <v>12568</v>
      </c>
      <c r="U2281" t="s">
        <v>12568</v>
      </c>
      <c r="V2281" t="s">
        <v>12568</v>
      </c>
      <c r="W2281" t="s">
        <v>14815</v>
      </c>
      <c r="X2281">
        <v>23</v>
      </c>
      <c r="Y2281" t="s">
        <v>20994</v>
      </c>
      <c r="Z2281" t="s">
        <v>27151</v>
      </c>
      <c r="AA2281">
        <v>0.53313219471022788</v>
      </c>
      <c r="AB2281" t="str">
        <f>HYPERLINK("Melting_Curves/meltCurve_P49748_ACADVL.pdf", "Melting_Curves/meltCurve_P49748_ACADVL.pdf")</f>
        <v>Melting_Curves/meltCurve_P49748_ACADVL.pdf</v>
      </c>
    </row>
    <row r="2282" spans="1:28" x14ac:dyDescent="0.25">
      <c r="A2282" t="s">
        <v>2286</v>
      </c>
      <c r="B2282">
        <v>0.99352677808782597</v>
      </c>
      <c r="C2282">
        <v>0.938090667985784</v>
      </c>
      <c r="D2282">
        <v>0.96461868333086298</v>
      </c>
      <c r="E2282">
        <v>0.73626039167100399</v>
      </c>
      <c r="F2282">
        <v>0.64881230952739199</v>
      </c>
      <c r="G2282">
        <v>0.53431776382750695</v>
      </c>
      <c r="H2282">
        <v>0.48618764270598103</v>
      </c>
      <c r="I2282">
        <v>0.49891145703458101</v>
      </c>
      <c r="J2282">
        <v>0.52146151692077902</v>
      </c>
      <c r="K2282">
        <v>0.42238433875343701</v>
      </c>
      <c r="L2282">
        <v>888.341978732293</v>
      </c>
      <c r="M2282">
        <v>17.552330325265899</v>
      </c>
      <c r="N2282">
        <v>60.277521649132801</v>
      </c>
      <c r="O2282">
        <v>49.967824143751599</v>
      </c>
      <c r="P2282">
        <v>-4.65425281461758E-2</v>
      </c>
      <c r="Q2282">
        <v>0.47004139478163798</v>
      </c>
      <c r="R2282">
        <v>0.978497560762843</v>
      </c>
      <c r="S2282" t="s">
        <v>8567</v>
      </c>
      <c r="T2282" t="s">
        <v>12568</v>
      </c>
      <c r="U2282" t="s">
        <v>12568</v>
      </c>
      <c r="V2282" t="s">
        <v>12568</v>
      </c>
      <c r="W2282" t="s">
        <v>14816</v>
      </c>
      <c r="X2282">
        <v>29</v>
      </c>
      <c r="Y2282" t="s">
        <v>20995</v>
      </c>
      <c r="Z2282" t="s">
        <v>27152</v>
      </c>
      <c r="AA2282">
        <v>0.66688247167296244</v>
      </c>
      <c r="AB2282" t="str">
        <f>HYPERLINK("Melting_Curves/meltCurve_P49750_4_YLPM1.pdf", "Melting_Curves/meltCurve_P49750_4_YLPM1.pdf")</f>
        <v>Melting_Curves/meltCurve_P49750_4_YLPM1.pdf</v>
      </c>
    </row>
    <row r="2283" spans="1:28" x14ac:dyDescent="0.25">
      <c r="A2283" t="s">
        <v>2287</v>
      </c>
      <c r="B2283">
        <v>0.99352677808782597</v>
      </c>
      <c r="C2283">
        <v>0.92311881487588399</v>
      </c>
      <c r="D2283">
        <v>1.04249775354658</v>
      </c>
      <c r="E2283">
        <v>0.94205246343451399</v>
      </c>
      <c r="F2283">
        <v>0.78194978556010597</v>
      </c>
      <c r="G2283">
        <v>0.47663334445230199</v>
      </c>
      <c r="H2283">
        <v>0.32218838458467702</v>
      </c>
      <c r="I2283">
        <v>0.280396476821548</v>
      </c>
      <c r="J2283">
        <v>0.23860556715242201</v>
      </c>
      <c r="K2283">
        <v>0.18776929667893599</v>
      </c>
      <c r="L2283">
        <v>1196.8411189794001</v>
      </c>
      <c r="M2283">
        <v>21.6046281815272</v>
      </c>
      <c r="N2283">
        <v>56.865247607510803</v>
      </c>
      <c r="O2283">
        <v>54.929371861239197</v>
      </c>
      <c r="P2283">
        <v>-7.7315495324915495E-2</v>
      </c>
      <c r="Q2283">
        <v>0.21372593023625699</v>
      </c>
      <c r="R2283">
        <v>0.99009867112472505</v>
      </c>
      <c r="S2283" t="s">
        <v>8568</v>
      </c>
      <c r="T2283" t="s">
        <v>12568</v>
      </c>
      <c r="U2283" t="s">
        <v>12568</v>
      </c>
      <c r="V2283" t="s">
        <v>12568</v>
      </c>
      <c r="W2283" t="s">
        <v>14817</v>
      </c>
      <c r="X2283">
        <v>15</v>
      </c>
      <c r="Y2283" t="s">
        <v>20996</v>
      </c>
      <c r="Z2283" t="s">
        <v>27153</v>
      </c>
      <c r="AA2283">
        <v>0.62649939586217207</v>
      </c>
      <c r="AB2283" t="str">
        <f>HYPERLINK("Melting_Curves/meltCurve_P49756_RBM25.pdf", "Melting_Curves/meltCurve_P49756_RBM25.pdf")</f>
        <v>Melting_Curves/meltCurve_P49756_RBM25.pdf</v>
      </c>
    </row>
    <row r="2284" spans="1:28" x14ac:dyDescent="0.25">
      <c r="A2284" t="s">
        <v>2288</v>
      </c>
      <c r="B2284">
        <v>0.99352677808782597</v>
      </c>
      <c r="C2284">
        <v>0.92095987549478997</v>
      </c>
      <c r="D2284">
        <v>0.95751832590808506</v>
      </c>
      <c r="E2284">
        <v>0.70584166436197304</v>
      </c>
      <c r="F2284">
        <v>0.59770418824988103</v>
      </c>
      <c r="G2284">
        <v>0.44476323135863199</v>
      </c>
      <c r="H2284">
        <v>0.32865478780959101</v>
      </c>
      <c r="I2284">
        <v>0.328535647862847</v>
      </c>
      <c r="J2284">
        <v>0.30708371913879201</v>
      </c>
      <c r="K2284">
        <v>0.27613800692575002</v>
      </c>
      <c r="L2284">
        <v>745.59302313085198</v>
      </c>
      <c r="M2284">
        <v>14.3238664422552</v>
      </c>
      <c r="N2284">
        <v>55.019021419712999</v>
      </c>
      <c r="O2284">
        <v>51.069483146414697</v>
      </c>
      <c r="P2284">
        <v>-5.1261515505006502E-2</v>
      </c>
      <c r="Q2284">
        <v>0.26902911501103199</v>
      </c>
      <c r="R2284">
        <v>0.99055874669566002</v>
      </c>
      <c r="S2284" t="s">
        <v>8569</v>
      </c>
      <c r="T2284" t="s">
        <v>12568</v>
      </c>
      <c r="U2284" t="s">
        <v>12568</v>
      </c>
      <c r="V2284" t="s">
        <v>12568</v>
      </c>
      <c r="W2284" t="s">
        <v>14818</v>
      </c>
      <c r="X2284">
        <v>15</v>
      </c>
      <c r="Y2284" t="s">
        <v>20997</v>
      </c>
      <c r="Z2284" t="s">
        <v>27154</v>
      </c>
      <c r="AA2284">
        <v>0.58017439456544506</v>
      </c>
      <c r="AB2284" t="str">
        <f>HYPERLINK("Melting_Curves/meltCurve_P49757_4_NUMB.pdf", "Melting_Curves/meltCurve_P49757_4_NUMB.pdf")</f>
        <v>Melting_Curves/meltCurve_P49757_4_NUMB.pdf</v>
      </c>
    </row>
    <row r="2285" spans="1:28" x14ac:dyDescent="0.25">
      <c r="A2285" t="s">
        <v>2289</v>
      </c>
      <c r="B2285">
        <v>0.99352677808782597</v>
      </c>
      <c r="C2285">
        <v>0.964441226123123</v>
      </c>
      <c r="D2285">
        <v>1.04715461337702</v>
      </c>
      <c r="E2285">
        <v>0.80777599705667202</v>
      </c>
      <c r="F2285">
        <v>0.74178638714299305</v>
      </c>
      <c r="G2285">
        <v>0.25344495244118398</v>
      </c>
      <c r="H2285">
        <v>0.117088497119946</v>
      </c>
      <c r="I2285">
        <v>9.5899035041463604E-2</v>
      </c>
      <c r="J2285">
        <v>8.9368074102608497E-2</v>
      </c>
      <c r="K2285">
        <v>6.6130287323964296E-2</v>
      </c>
      <c r="L2285">
        <v>1352.73335223601</v>
      </c>
      <c r="M2285">
        <v>24.890005875172399</v>
      </c>
      <c r="N2285">
        <v>54.658629814797997</v>
      </c>
      <c r="O2285">
        <v>54.001273914849499</v>
      </c>
      <c r="P2285">
        <v>-0.107641183075926</v>
      </c>
      <c r="Q2285">
        <v>6.5860982168711404E-2</v>
      </c>
      <c r="R2285">
        <v>0.98797576693703104</v>
      </c>
      <c r="S2285" t="s">
        <v>8570</v>
      </c>
      <c r="T2285" t="s">
        <v>12568</v>
      </c>
      <c r="U2285" t="s">
        <v>12568</v>
      </c>
      <c r="V2285" t="s">
        <v>12568</v>
      </c>
      <c r="W2285" t="s">
        <v>14819</v>
      </c>
      <c r="X2285">
        <v>12</v>
      </c>
      <c r="Y2285" t="s">
        <v>20998</v>
      </c>
      <c r="Z2285" t="s">
        <v>27155</v>
      </c>
      <c r="AA2285">
        <v>0.52136116815107025</v>
      </c>
      <c r="AB2285" t="str">
        <f>HYPERLINK("Melting_Curves/meltCurve_P49770_EIF2B2.pdf", "Melting_Curves/meltCurve_P49770_EIF2B2.pdf")</f>
        <v>Melting_Curves/meltCurve_P49770_EIF2B2.pdf</v>
      </c>
    </row>
    <row r="2286" spans="1:28" x14ac:dyDescent="0.25">
      <c r="A2286" t="s">
        <v>2290</v>
      </c>
      <c r="B2286">
        <v>0.99352677808782597</v>
      </c>
      <c r="C2286">
        <v>0.87141868851782001</v>
      </c>
      <c r="D2286">
        <v>1.01818498971128</v>
      </c>
      <c r="E2286">
        <v>0.89314012196707804</v>
      </c>
      <c r="F2286">
        <v>0.90884721298662796</v>
      </c>
      <c r="G2286">
        <v>0.72694141807516999</v>
      </c>
      <c r="H2286">
        <v>0.58819390135758198</v>
      </c>
      <c r="I2286">
        <v>0.56734023299381497</v>
      </c>
      <c r="J2286">
        <v>0.53747462331075901</v>
      </c>
      <c r="K2286">
        <v>0.43845506314864002</v>
      </c>
      <c r="L2286">
        <v>649.27739308791399</v>
      </c>
      <c r="M2286">
        <v>11.030819360464401</v>
      </c>
      <c r="N2286">
        <v>67.019369842908802</v>
      </c>
      <c r="O2286">
        <v>57.025111534389502</v>
      </c>
      <c r="P2286">
        <v>-3.05028636278581E-2</v>
      </c>
      <c r="Q2286">
        <v>0.36945796228357503</v>
      </c>
      <c r="R2286">
        <v>0.94069626047184696</v>
      </c>
      <c r="S2286" t="s">
        <v>8571</v>
      </c>
      <c r="T2286" t="s">
        <v>12568</v>
      </c>
      <c r="U2286" t="s">
        <v>12568</v>
      </c>
      <c r="V2286" t="s">
        <v>12568</v>
      </c>
      <c r="W2286" t="s">
        <v>14820</v>
      </c>
      <c r="X2286">
        <v>10</v>
      </c>
      <c r="Y2286" t="s">
        <v>20999</v>
      </c>
      <c r="Z2286" t="s">
        <v>27156</v>
      </c>
      <c r="AA2286">
        <v>0.77022682750213245</v>
      </c>
      <c r="AB2286" t="str">
        <f>HYPERLINK("Melting_Curves/meltCurve_P49773_HINT1.pdf", "Melting_Curves/meltCurve_P49773_HINT1.pdf")</f>
        <v>Melting_Curves/meltCurve_P49773_HINT1.pdf</v>
      </c>
    </row>
    <row r="2287" spans="1:28" x14ac:dyDescent="0.25">
      <c r="A2287" t="s">
        <v>2291</v>
      </c>
      <c r="B2287">
        <v>0.99352677808782597</v>
      </c>
      <c r="C2287">
        <v>0.999800117720401</v>
      </c>
      <c r="D2287">
        <v>0.90432694182579698</v>
      </c>
      <c r="E2287">
        <v>1.0755854365345201</v>
      </c>
      <c r="F2287">
        <v>0.90781765840770501</v>
      </c>
      <c r="G2287">
        <v>0.72022250045362901</v>
      </c>
      <c r="H2287">
        <v>0.71671008189891094</v>
      </c>
      <c r="I2287">
        <v>0.67742749374870204</v>
      </c>
      <c r="J2287">
        <v>0.73341422684760404</v>
      </c>
      <c r="K2287">
        <v>0.54557332918806101</v>
      </c>
      <c r="L2287">
        <v>2196.54393294789</v>
      </c>
      <c r="M2287">
        <v>40.225786725731801</v>
      </c>
      <c r="O2287">
        <v>54.470942023962301</v>
      </c>
      <c r="P2287">
        <v>-6.1563196359837799E-2</v>
      </c>
      <c r="Q2287">
        <v>0.666542434683288</v>
      </c>
      <c r="R2287">
        <v>0.85833025171229904</v>
      </c>
      <c r="S2287" t="s">
        <v>8572</v>
      </c>
      <c r="T2287" t="s">
        <v>12568</v>
      </c>
      <c r="U2287" t="s">
        <v>12568</v>
      </c>
      <c r="V2287" t="s">
        <v>12568</v>
      </c>
      <c r="W2287" t="s">
        <v>14821</v>
      </c>
      <c r="X2287">
        <v>34</v>
      </c>
      <c r="Y2287" t="s">
        <v>21000</v>
      </c>
      <c r="Z2287" t="s">
        <v>27157</v>
      </c>
      <c r="AA2287">
        <v>0.83012575326448113</v>
      </c>
      <c r="AB2287" t="str">
        <f>HYPERLINK("Melting_Curves/meltCurve_P49790_NUP153.pdf", "Melting_Curves/meltCurve_P49790_NUP153.pdf")</f>
        <v>Melting_Curves/meltCurve_P49790_NUP153.pdf</v>
      </c>
    </row>
    <row r="2288" spans="1:28" x14ac:dyDescent="0.25">
      <c r="A2288" t="s">
        <v>2292</v>
      </c>
      <c r="B2288">
        <v>0.99352677808782597</v>
      </c>
      <c r="C2288">
        <v>0.97776372653505805</v>
      </c>
      <c r="D2288">
        <v>0.88330810720095498</v>
      </c>
      <c r="E2288">
        <v>0.65367199789331998</v>
      </c>
      <c r="F2288">
        <v>0.55022903804581602</v>
      </c>
      <c r="G2288">
        <v>0.40613558999202598</v>
      </c>
      <c r="H2288">
        <v>0.30643379821640099</v>
      </c>
      <c r="I2288">
        <v>0.26811987340774801</v>
      </c>
      <c r="J2288">
        <v>0.23678560708883301</v>
      </c>
      <c r="K2288">
        <v>0.181650945319908</v>
      </c>
      <c r="L2288">
        <v>641.50995701701299</v>
      </c>
      <c r="M2288">
        <v>12.3073896755166</v>
      </c>
      <c r="N2288">
        <v>54.070922490922499</v>
      </c>
      <c r="O2288">
        <v>50.805167310111301</v>
      </c>
      <c r="P2288">
        <v>-4.9732274977349798E-2</v>
      </c>
      <c r="Q2288">
        <v>0.17899585999883599</v>
      </c>
      <c r="R2288">
        <v>0.99477093440154896</v>
      </c>
      <c r="S2288" t="s">
        <v>8573</v>
      </c>
      <c r="T2288" t="s">
        <v>12568</v>
      </c>
      <c r="U2288" t="s">
        <v>12568</v>
      </c>
      <c r="V2288" t="s">
        <v>12568</v>
      </c>
      <c r="W2288" t="s">
        <v>14822</v>
      </c>
      <c r="X2288">
        <v>67</v>
      </c>
      <c r="Y2288" t="s">
        <v>21001</v>
      </c>
      <c r="Z2288" t="s">
        <v>27158</v>
      </c>
      <c r="AA2288">
        <v>0.5349129716715183</v>
      </c>
      <c r="AB2288" t="str">
        <f>HYPERLINK("Melting_Curves/meltCurve_P49792_RANBP2.pdf", "Melting_Curves/meltCurve_P49792_RANBP2.pdf")</f>
        <v>Melting_Curves/meltCurve_P49792_RANBP2.pdf</v>
      </c>
    </row>
    <row r="2289" spans="1:28" x14ac:dyDescent="0.25">
      <c r="A2289" t="s">
        <v>2293</v>
      </c>
      <c r="B2289">
        <v>0.99352677808782597</v>
      </c>
      <c r="C2289">
        <v>0.98690174240206896</v>
      </c>
      <c r="D2289">
        <v>0.88770853163657304</v>
      </c>
      <c r="E2289">
        <v>0.67959923773448305</v>
      </c>
      <c r="F2289">
        <v>0.63002866412548297</v>
      </c>
      <c r="G2289">
        <v>0.50194209354265595</v>
      </c>
      <c r="H2289">
        <v>0.38734834910678301</v>
      </c>
      <c r="I2289">
        <v>0.39022139395769501</v>
      </c>
      <c r="J2289">
        <v>0.40121612655025402</v>
      </c>
      <c r="K2289">
        <v>0.39942661063475998</v>
      </c>
      <c r="L2289">
        <v>735.30334452015097</v>
      </c>
      <c r="M2289">
        <v>14.483378335054599</v>
      </c>
      <c r="N2289">
        <v>56.104628138342001</v>
      </c>
      <c r="O2289">
        <v>49.830363232278501</v>
      </c>
      <c r="P2289">
        <v>-4.5500603510853298E-2</v>
      </c>
      <c r="Q2289">
        <v>0.37388948225251301</v>
      </c>
      <c r="R2289">
        <v>0.98910734081020102</v>
      </c>
      <c r="S2289" t="s">
        <v>8574</v>
      </c>
      <c r="T2289" t="s">
        <v>12568</v>
      </c>
      <c r="U2289" t="s">
        <v>12568</v>
      </c>
      <c r="V2289" t="s">
        <v>12568</v>
      </c>
      <c r="W2289" t="s">
        <v>14823</v>
      </c>
      <c r="X2289">
        <v>1</v>
      </c>
      <c r="Y2289" t="s">
        <v>21002</v>
      </c>
      <c r="Z2289" t="s">
        <v>27159</v>
      </c>
      <c r="AA2289">
        <v>0.61408538143731128</v>
      </c>
      <c r="AB2289" t="str">
        <f>HYPERLINK("Melting_Curves/meltCurve_P49796_4_RGS3.pdf", "Melting_Curves/meltCurve_P49796_4_RGS3.pdf")</f>
        <v>Melting_Curves/meltCurve_P49796_4_RGS3.pdf</v>
      </c>
    </row>
    <row r="2290" spans="1:28" x14ac:dyDescent="0.25">
      <c r="A2290" t="s">
        <v>2294</v>
      </c>
      <c r="B2290">
        <v>0.99352677808782597</v>
      </c>
      <c r="C2290">
        <v>0.83236787642132304</v>
      </c>
      <c r="D2290">
        <v>0.67532302603657601</v>
      </c>
      <c r="E2290">
        <v>0.29160699124427902</v>
      </c>
      <c r="F2290">
        <v>0.239735938578818</v>
      </c>
      <c r="G2290">
        <v>0.186523362219258</v>
      </c>
      <c r="H2290">
        <v>0.137676773625101</v>
      </c>
      <c r="I2290">
        <v>0.14998206946538301</v>
      </c>
      <c r="J2290">
        <v>1.1944745723607399E-2</v>
      </c>
      <c r="K2290">
        <v>0.25580182887922198</v>
      </c>
      <c r="L2290">
        <v>911.42862848748996</v>
      </c>
      <c r="M2290">
        <v>19.488278997344199</v>
      </c>
      <c r="N2290">
        <v>47.567665471307599</v>
      </c>
      <c r="O2290">
        <v>46.283952416205999</v>
      </c>
      <c r="P2290">
        <v>-9.05651606762332E-2</v>
      </c>
      <c r="Q2290">
        <v>0.13967519986531701</v>
      </c>
      <c r="R2290">
        <v>0.96363421891202194</v>
      </c>
      <c r="S2290" t="s">
        <v>8575</v>
      </c>
      <c r="T2290" t="s">
        <v>12568</v>
      </c>
      <c r="U2290" t="s">
        <v>12568</v>
      </c>
      <c r="V2290" t="s">
        <v>12568</v>
      </c>
      <c r="W2290" t="s">
        <v>14824</v>
      </c>
      <c r="X2290">
        <v>3</v>
      </c>
      <c r="Y2290" t="s">
        <v>21003</v>
      </c>
      <c r="Z2290" t="s">
        <v>27160</v>
      </c>
      <c r="AA2290">
        <v>0.34724328403712451</v>
      </c>
      <c r="AB2290" t="str">
        <f>HYPERLINK("Melting_Curves/meltCurve_P49821_2_NDUFV1.pdf", "Melting_Curves/meltCurve_P49821_2_NDUFV1.pdf")</f>
        <v>Melting_Curves/meltCurve_P49821_2_NDUFV1.pdf</v>
      </c>
    </row>
    <row r="2291" spans="1:28" x14ac:dyDescent="0.25">
      <c r="A2291" t="s">
        <v>2295</v>
      </c>
      <c r="B2291">
        <v>0.99352677808782597</v>
      </c>
      <c r="C2291">
        <v>0.93156041301733605</v>
      </c>
      <c r="D2291">
        <v>0.95081111326146495</v>
      </c>
      <c r="E2291">
        <v>0.38479198032130701</v>
      </c>
      <c r="F2291">
        <v>0.32643739808828498</v>
      </c>
      <c r="G2291">
        <v>0.217548244663748</v>
      </c>
      <c r="H2291">
        <v>0.148940966925073</v>
      </c>
      <c r="I2291">
        <v>0.17557862143599401</v>
      </c>
      <c r="J2291">
        <v>9.1837734213223304E-2</v>
      </c>
      <c r="K2291">
        <v>9.9934657190379902E-2</v>
      </c>
      <c r="L2291">
        <v>1372.8100178775201</v>
      </c>
      <c r="M2291">
        <v>28.029568017972601</v>
      </c>
      <c r="N2291">
        <v>49.609623117278197</v>
      </c>
      <c r="O2291">
        <v>48.729947917175302</v>
      </c>
      <c r="P2291">
        <v>-0.12219913755131</v>
      </c>
      <c r="Q2291">
        <v>0.15022496654990999</v>
      </c>
      <c r="R2291">
        <v>0.97674348042225201</v>
      </c>
      <c r="S2291" t="s">
        <v>8576</v>
      </c>
      <c r="T2291" t="s">
        <v>12568</v>
      </c>
      <c r="U2291" t="s">
        <v>12568</v>
      </c>
      <c r="V2291" t="s">
        <v>12568</v>
      </c>
      <c r="W2291" t="s">
        <v>14825</v>
      </c>
      <c r="X2291">
        <v>13</v>
      </c>
      <c r="Y2291" t="s">
        <v>21004</v>
      </c>
      <c r="Z2291" t="s">
        <v>27161</v>
      </c>
      <c r="AA2291">
        <v>0.41046055203923598</v>
      </c>
      <c r="AB2291" t="str">
        <f>HYPERLINK("Melting_Curves/meltCurve_P49840_GSK3A.pdf", "Melting_Curves/meltCurve_P49840_GSK3A.pdf")</f>
        <v>Melting_Curves/meltCurve_P49840_GSK3A.pdf</v>
      </c>
    </row>
    <row r="2292" spans="1:28" x14ac:dyDescent="0.25">
      <c r="A2292" t="s">
        <v>2296</v>
      </c>
      <c r="B2292">
        <v>0.99352677808782597</v>
      </c>
      <c r="C2292">
        <v>0.76727464929540801</v>
      </c>
      <c r="D2292">
        <v>0.80661726370030495</v>
      </c>
      <c r="E2292">
        <v>0.31100310175416301</v>
      </c>
      <c r="F2292">
        <v>0.20638818138735401</v>
      </c>
      <c r="G2292">
        <v>0.107272298607187</v>
      </c>
      <c r="H2292">
        <v>5.55075263345488E-2</v>
      </c>
      <c r="I2292">
        <v>4.7753732894566601E-2</v>
      </c>
      <c r="J2292">
        <v>3.9351798710683103E-2</v>
      </c>
      <c r="K2292">
        <v>2.84810574214764E-2</v>
      </c>
      <c r="L2292">
        <v>812.74283409814302</v>
      </c>
      <c r="M2292">
        <v>16.871214232001702</v>
      </c>
      <c r="N2292">
        <v>48.342336532345598</v>
      </c>
      <c r="O2292">
        <v>47.511830148152498</v>
      </c>
      <c r="P2292">
        <v>-8.6236853349426407E-2</v>
      </c>
      <c r="Q2292">
        <v>2.8639454788528002E-2</v>
      </c>
      <c r="R2292">
        <v>0.97499190072122499</v>
      </c>
      <c r="S2292" t="s">
        <v>8577</v>
      </c>
      <c r="T2292" t="s">
        <v>12568</v>
      </c>
      <c r="U2292" t="s">
        <v>12568</v>
      </c>
      <c r="V2292" t="s">
        <v>12568</v>
      </c>
      <c r="W2292" t="s">
        <v>14826</v>
      </c>
      <c r="X2292">
        <v>15</v>
      </c>
      <c r="Y2292" t="s">
        <v>21005</v>
      </c>
      <c r="Z2292" t="s">
        <v>27162</v>
      </c>
      <c r="AA2292">
        <v>0.312873392699201</v>
      </c>
      <c r="AB2292" t="str">
        <f>HYPERLINK("Melting_Curves/meltCurve_P49841_GSK3B.pdf", "Melting_Curves/meltCurve_P49841_GSK3B.pdf")</f>
        <v>Melting_Curves/meltCurve_P49841_GSK3B.pdf</v>
      </c>
    </row>
    <row r="2293" spans="1:28" x14ac:dyDescent="0.25">
      <c r="A2293" t="s">
        <v>2297</v>
      </c>
      <c r="B2293">
        <v>0.99352677808782597</v>
      </c>
      <c r="C2293">
        <v>0.87403352886490904</v>
      </c>
      <c r="D2293">
        <v>0.65062484217123395</v>
      </c>
      <c r="E2293">
        <v>0.328739364292994</v>
      </c>
      <c r="F2293">
        <v>0.26124211034779299</v>
      </c>
      <c r="G2293">
        <v>0.167308280444456</v>
      </c>
      <c r="H2293">
        <v>0.12936807950354401</v>
      </c>
      <c r="I2293">
        <v>0.120615161768168</v>
      </c>
      <c r="J2293">
        <v>0.105800861038973</v>
      </c>
      <c r="K2293">
        <v>8.1215907566537598E-2</v>
      </c>
      <c r="L2293">
        <v>816.67058385913504</v>
      </c>
      <c r="M2293">
        <v>17.283877242273402</v>
      </c>
      <c r="N2293">
        <v>47.917316804921299</v>
      </c>
      <c r="O2293">
        <v>46.631506800703797</v>
      </c>
      <c r="P2293">
        <v>-8.2761178622630105E-2</v>
      </c>
      <c r="Q2293">
        <v>0.10690047501823401</v>
      </c>
      <c r="R2293">
        <v>0.99599220529379495</v>
      </c>
      <c r="S2293" t="s">
        <v>8578</v>
      </c>
      <c r="T2293" t="s">
        <v>12568</v>
      </c>
      <c r="U2293" t="s">
        <v>12568</v>
      </c>
      <c r="V2293" t="s">
        <v>12568</v>
      </c>
      <c r="W2293" t="s">
        <v>14827</v>
      </c>
      <c r="X2293">
        <v>5</v>
      </c>
      <c r="Y2293" t="s">
        <v>21006</v>
      </c>
      <c r="Z2293" t="s">
        <v>27163</v>
      </c>
      <c r="AA2293">
        <v>0.34051532108228272</v>
      </c>
      <c r="AB2293" t="str">
        <f>HYPERLINK("Melting_Curves/meltCurve_P49848_TAF6.pdf", "Melting_Curves/meltCurve_P49848_TAF6.pdf")</f>
        <v>Melting_Curves/meltCurve_P49848_TAF6.pdf</v>
      </c>
    </row>
    <row r="2294" spans="1:28" x14ac:dyDescent="0.25">
      <c r="A2294" t="s">
        <v>2298</v>
      </c>
      <c r="B2294">
        <v>0.99352677808782597</v>
      </c>
      <c r="C2294">
        <v>0.99278944739043695</v>
      </c>
      <c r="D2294">
        <v>0.76401575547301204</v>
      </c>
      <c r="E2294">
        <v>0.88690996446008596</v>
      </c>
      <c r="F2294">
        <v>0.705444479383743</v>
      </c>
      <c r="G2294">
        <v>0.50686099652149197</v>
      </c>
      <c r="H2294">
        <v>0.207993332255059</v>
      </c>
      <c r="I2294">
        <v>0.12710857605204201</v>
      </c>
      <c r="J2294">
        <v>0.11006043943678</v>
      </c>
      <c r="K2294">
        <v>8.0096704878724306E-2</v>
      </c>
      <c r="L2294">
        <v>752.26335020932902</v>
      </c>
      <c r="M2294">
        <v>13.3821958046326</v>
      </c>
      <c r="N2294">
        <v>56.213745456782704</v>
      </c>
      <c r="O2294">
        <v>55.0029772869783</v>
      </c>
      <c r="P2294">
        <v>-6.0834465585678302E-2</v>
      </c>
      <c r="Q2294">
        <v>0</v>
      </c>
      <c r="R2294">
        <v>0.96545862043082298</v>
      </c>
      <c r="S2294" t="s">
        <v>8579</v>
      </c>
      <c r="T2294" t="s">
        <v>12568</v>
      </c>
      <c r="U2294" t="s">
        <v>12568</v>
      </c>
      <c r="V2294" t="s">
        <v>12568</v>
      </c>
      <c r="W2294" t="s">
        <v>14828</v>
      </c>
      <c r="X2294">
        <v>16</v>
      </c>
      <c r="Y2294" t="s">
        <v>21007</v>
      </c>
      <c r="Z2294" t="s">
        <v>27164</v>
      </c>
      <c r="AA2294">
        <v>0.55921748732286214</v>
      </c>
      <c r="AB2294" t="str">
        <f>HYPERLINK("Melting_Curves/meltCurve_P49902_NT5C2.pdf", "Melting_Curves/meltCurve_P49902_NT5C2.pdf")</f>
        <v>Melting_Curves/meltCurve_P49902_NT5C2.pdf</v>
      </c>
    </row>
    <row r="2295" spans="1:28" x14ac:dyDescent="0.25">
      <c r="A2295" t="s">
        <v>2299</v>
      </c>
      <c r="B2295">
        <v>0.99352677808782597</v>
      </c>
      <c r="C2295">
        <v>0.99950848325847297</v>
      </c>
      <c r="D2295">
        <v>0.97197039848574596</v>
      </c>
      <c r="E2295">
        <v>0.89973184546817198</v>
      </c>
      <c r="F2295">
        <v>0.80662053145592305</v>
      </c>
      <c r="G2295">
        <v>0.67520970938081804</v>
      </c>
      <c r="H2295">
        <v>0.73577930546204495</v>
      </c>
      <c r="I2295">
        <v>0.79358352870991999</v>
      </c>
      <c r="J2295">
        <v>0.87964815569404797</v>
      </c>
      <c r="K2295">
        <v>0.59977955275842398</v>
      </c>
      <c r="L2295">
        <v>1669.7955495172901</v>
      </c>
      <c r="M2295">
        <v>32.896311689301903</v>
      </c>
      <c r="O2295">
        <v>50.572880619529599</v>
      </c>
      <c r="P2295">
        <v>-4.2624244805185597E-2</v>
      </c>
      <c r="Q2295">
        <v>0.73788901836001597</v>
      </c>
      <c r="R2295">
        <v>0.71953195296193695</v>
      </c>
      <c r="S2295" t="s">
        <v>8580</v>
      </c>
      <c r="T2295" t="s">
        <v>12568</v>
      </c>
      <c r="U2295" t="s">
        <v>12568</v>
      </c>
      <c r="V2295" t="s">
        <v>12568</v>
      </c>
      <c r="W2295" t="s">
        <v>14829</v>
      </c>
      <c r="X2295">
        <v>12</v>
      </c>
      <c r="Y2295" t="s">
        <v>21008</v>
      </c>
      <c r="Z2295" t="s">
        <v>27165</v>
      </c>
      <c r="AA2295">
        <v>0.83325764305304328</v>
      </c>
      <c r="AB2295" t="str">
        <f>HYPERLINK("Melting_Curves/meltCurve_P49903_SEPHS1.pdf", "Melting_Curves/meltCurve_P49903_SEPHS1.pdf")</f>
        <v>Melting_Curves/meltCurve_P49903_SEPHS1.pdf</v>
      </c>
    </row>
    <row r="2296" spans="1:28" x14ac:dyDescent="0.25">
      <c r="A2296" t="s">
        <v>2300</v>
      </c>
      <c r="B2296">
        <v>0.99352677808782597</v>
      </c>
      <c r="C2296">
        <v>0.92074861790951501</v>
      </c>
      <c r="D2296">
        <v>0.89125142559794501</v>
      </c>
      <c r="E2296">
        <v>0.234286547561874</v>
      </c>
      <c r="F2296">
        <v>0.16389421649786701</v>
      </c>
      <c r="G2296">
        <v>0.105246473291239</v>
      </c>
      <c r="H2296">
        <v>9.0448655630275807E-2</v>
      </c>
      <c r="I2296">
        <v>8.5930271961311505E-2</v>
      </c>
      <c r="J2296">
        <v>8.0676366059603405E-2</v>
      </c>
      <c r="K2296">
        <v>5.0316154699031702E-2</v>
      </c>
      <c r="L2296">
        <v>1940.5636611406201</v>
      </c>
      <c r="M2296">
        <v>40.342949819639202</v>
      </c>
      <c r="N2296">
        <v>48.3391370797886</v>
      </c>
      <c r="O2296">
        <v>47.983943573097498</v>
      </c>
      <c r="P2296">
        <v>-0.191297477432055</v>
      </c>
      <c r="Q2296">
        <v>8.9884202302299002E-2</v>
      </c>
      <c r="R2296">
        <v>0.992727936696706</v>
      </c>
      <c r="S2296" t="s">
        <v>8581</v>
      </c>
      <c r="T2296" t="s">
        <v>12568</v>
      </c>
      <c r="U2296" t="s">
        <v>12568</v>
      </c>
      <c r="V2296" t="s">
        <v>12568</v>
      </c>
      <c r="W2296" t="s">
        <v>14830</v>
      </c>
      <c r="X2296">
        <v>9</v>
      </c>
      <c r="Y2296" t="s">
        <v>21009</v>
      </c>
      <c r="Z2296" t="s">
        <v>27166</v>
      </c>
      <c r="AA2296">
        <v>0.33864820171852789</v>
      </c>
      <c r="AB2296" t="str">
        <f>HYPERLINK("Melting_Curves/meltCurve_P49914_MTHFS.pdf", "Melting_Curves/meltCurve_P49914_MTHFS.pdf")</f>
        <v>Melting_Curves/meltCurve_P49914_MTHFS.pdf</v>
      </c>
    </row>
    <row r="2297" spans="1:28" x14ac:dyDescent="0.25">
      <c r="A2297" t="s">
        <v>2301</v>
      </c>
      <c r="B2297">
        <v>0.99352677808782597</v>
      </c>
      <c r="C2297">
        <v>0.82448453558942103</v>
      </c>
      <c r="D2297">
        <v>0.96467801188917301</v>
      </c>
      <c r="E2297">
        <v>0.24029062194656001</v>
      </c>
      <c r="F2297">
        <v>0.17032263334394801</v>
      </c>
      <c r="G2297">
        <v>9.7127796139226494E-2</v>
      </c>
      <c r="H2297">
        <v>6.5044812241421696E-2</v>
      </c>
      <c r="I2297">
        <v>5.5866305802833499E-2</v>
      </c>
      <c r="J2297">
        <v>4.6034672668922499E-2</v>
      </c>
      <c r="K2297">
        <v>3.4743269806562997E-2</v>
      </c>
      <c r="L2297">
        <v>2341.13131357165</v>
      </c>
      <c r="M2297">
        <v>48.223032328607701</v>
      </c>
      <c r="N2297">
        <v>48.707938828338897</v>
      </c>
      <c r="O2297">
        <v>48.4647222380556</v>
      </c>
      <c r="P2297">
        <v>-0.230537522693573</v>
      </c>
      <c r="Q2297">
        <v>7.3229079052602203E-2</v>
      </c>
      <c r="R2297">
        <v>0.97246979911392994</v>
      </c>
      <c r="S2297" t="s">
        <v>8582</v>
      </c>
      <c r="T2297" t="s">
        <v>12568</v>
      </c>
      <c r="U2297" t="s">
        <v>12568</v>
      </c>
      <c r="V2297" t="s">
        <v>12568</v>
      </c>
      <c r="W2297" t="s">
        <v>14831</v>
      </c>
      <c r="X2297">
        <v>29</v>
      </c>
      <c r="Y2297" t="s">
        <v>21010</v>
      </c>
      <c r="Z2297" t="s">
        <v>27167</v>
      </c>
      <c r="AA2297">
        <v>0.33943188825646459</v>
      </c>
      <c r="AB2297" t="str">
        <f>HYPERLINK("Melting_Curves/meltCurve_P49915_GMPS.pdf", "Melting_Curves/meltCurve_P49915_GMPS.pdf")</f>
        <v>Melting_Curves/meltCurve_P49915_GMPS.pdf</v>
      </c>
    </row>
    <row r="2298" spans="1:28" x14ac:dyDescent="0.25">
      <c r="A2298" t="s">
        <v>2302</v>
      </c>
      <c r="B2298">
        <v>0.99352677808782597</v>
      </c>
      <c r="C2298">
        <v>0.82519219713043201</v>
      </c>
      <c r="D2298">
        <v>0.75127369169893399</v>
      </c>
      <c r="E2298">
        <v>0.35254327726888401</v>
      </c>
      <c r="F2298">
        <v>0.286638103439182</v>
      </c>
      <c r="G2298">
        <v>0.186122947651956</v>
      </c>
      <c r="H2298">
        <v>0.134914141699332</v>
      </c>
      <c r="I2298">
        <v>0.134086756521647</v>
      </c>
      <c r="J2298">
        <v>0.12903888534691599</v>
      </c>
      <c r="K2298">
        <v>0.10571502490032</v>
      </c>
      <c r="L2298">
        <v>788.79450235279398</v>
      </c>
      <c r="M2298">
        <v>16.506979620983898</v>
      </c>
      <c r="N2298">
        <v>48.564217355963798</v>
      </c>
      <c r="O2298">
        <v>47.100734032145198</v>
      </c>
      <c r="P2298">
        <v>-7.7433224496325601E-2</v>
      </c>
      <c r="Q2298">
        <v>0.11627505089039</v>
      </c>
      <c r="R2298">
        <v>0.98924202970873099</v>
      </c>
      <c r="S2298" t="s">
        <v>8583</v>
      </c>
      <c r="T2298" t="s">
        <v>12568</v>
      </c>
      <c r="U2298" t="s">
        <v>12568</v>
      </c>
      <c r="V2298" t="s">
        <v>12568</v>
      </c>
      <c r="W2298" t="s">
        <v>14832</v>
      </c>
      <c r="X2298">
        <v>7</v>
      </c>
      <c r="Y2298" t="s">
        <v>21011</v>
      </c>
      <c r="Z2298" t="s">
        <v>27168</v>
      </c>
      <c r="AA2298">
        <v>0.36453239744172322</v>
      </c>
      <c r="AB2298" t="str">
        <f>HYPERLINK("Melting_Curves/meltCurve_P49916_LIG3.pdf", "Melting_Curves/meltCurve_P49916_LIG3.pdf")</f>
        <v>Melting_Curves/meltCurve_P49916_LIG3.pdf</v>
      </c>
    </row>
    <row r="2299" spans="1:28" x14ac:dyDescent="0.25">
      <c r="A2299" t="s">
        <v>2303</v>
      </c>
      <c r="B2299">
        <v>0.99352677808782597</v>
      </c>
      <c r="C2299">
        <v>0.97210704449123198</v>
      </c>
      <c r="D2299">
        <v>0.83300862371898399</v>
      </c>
      <c r="E2299">
        <v>0.66006725780617803</v>
      </c>
      <c r="F2299">
        <v>0.57027498190653503</v>
      </c>
      <c r="G2299">
        <v>0.43787803789889401</v>
      </c>
      <c r="H2299">
        <v>0.32874310007584001</v>
      </c>
      <c r="I2299">
        <v>0.27839328484062298</v>
      </c>
      <c r="J2299">
        <v>0.232762708762314</v>
      </c>
      <c r="K2299">
        <v>0.20473153710366301</v>
      </c>
      <c r="L2299">
        <v>549.03643831027898</v>
      </c>
      <c r="M2299">
        <v>10.4210781472023</v>
      </c>
      <c r="N2299">
        <v>54.658128267697499</v>
      </c>
      <c r="O2299">
        <v>50.8559407471623</v>
      </c>
      <c r="P2299">
        <v>-4.3216130364088098E-2</v>
      </c>
      <c r="Q2299">
        <v>0.15675353694896099</v>
      </c>
      <c r="R2299">
        <v>0.994647372085399</v>
      </c>
      <c r="S2299" t="s">
        <v>8584</v>
      </c>
      <c r="T2299" t="s">
        <v>12568</v>
      </c>
      <c r="U2299" t="s">
        <v>12568</v>
      </c>
      <c r="V2299" t="s">
        <v>12568</v>
      </c>
      <c r="W2299" t="s">
        <v>14833</v>
      </c>
      <c r="X2299">
        <v>22</v>
      </c>
      <c r="Y2299" t="s">
        <v>21012</v>
      </c>
      <c r="Z2299" t="s">
        <v>27169</v>
      </c>
      <c r="AA2299">
        <v>0.54198542177349118</v>
      </c>
      <c r="AB2299" t="str">
        <f>HYPERLINK("Melting_Curves/meltCurve_P49959_MRE11A.pdf", "Melting_Curves/meltCurve_P49959_MRE11A.pdf")</f>
        <v>Melting_Curves/meltCurve_P49959_MRE11A.pdf</v>
      </c>
    </row>
    <row r="2300" spans="1:28" x14ac:dyDescent="0.25">
      <c r="A2300" t="s">
        <v>2304</v>
      </c>
      <c r="B2300">
        <v>0.99352677808782597</v>
      </c>
      <c r="C2300">
        <v>0.99091589624004806</v>
      </c>
      <c r="D2300">
        <v>0.96370203253750197</v>
      </c>
      <c r="E2300">
        <v>0.87874248555284096</v>
      </c>
      <c r="F2300">
        <v>0.750849451937187</v>
      </c>
      <c r="G2300">
        <v>0.61581889577160598</v>
      </c>
      <c r="H2300">
        <v>0.65729904912043502</v>
      </c>
      <c r="I2300">
        <v>0.63967759375284305</v>
      </c>
      <c r="J2300">
        <v>0.56198741447917999</v>
      </c>
      <c r="K2300">
        <v>0.17075926371268699</v>
      </c>
      <c r="L2300">
        <v>435.95955149658499</v>
      </c>
      <c r="M2300">
        <v>6.7445789452736502</v>
      </c>
      <c r="N2300">
        <v>64.638512563951593</v>
      </c>
      <c r="O2300">
        <v>59.6684126995535</v>
      </c>
      <c r="P2300">
        <v>-2.8318592501531702E-2</v>
      </c>
      <c r="Q2300">
        <v>0</v>
      </c>
      <c r="R2300">
        <v>0.84731791577999704</v>
      </c>
      <c r="S2300" t="s">
        <v>8585</v>
      </c>
      <c r="T2300" t="s">
        <v>12568</v>
      </c>
      <c r="U2300" t="s">
        <v>12568</v>
      </c>
      <c r="V2300" t="s">
        <v>12568</v>
      </c>
      <c r="W2300" t="s">
        <v>14834</v>
      </c>
      <c r="X2300">
        <v>7</v>
      </c>
      <c r="Y2300" t="s">
        <v>21013</v>
      </c>
      <c r="Z2300" t="s">
        <v>27170</v>
      </c>
      <c r="AA2300">
        <v>0.7329216153921112</v>
      </c>
      <c r="AB2300" t="str">
        <f>HYPERLINK("Melting_Curves/meltCurve_P50053_KHK.pdf", "Melting_Curves/meltCurve_P50053_KHK.pdf")</f>
        <v>Melting_Curves/meltCurve_P50053_KHK.pdf</v>
      </c>
    </row>
    <row r="2301" spans="1:28" x14ac:dyDescent="0.25">
      <c r="A2301" t="s">
        <v>2305</v>
      </c>
      <c r="B2301">
        <v>0.99352677808782597</v>
      </c>
      <c r="C2301">
        <v>0.98308119778697101</v>
      </c>
      <c r="D2301">
        <v>1.04211728654743</v>
      </c>
      <c r="E2301">
        <v>0.66403352989600295</v>
      </c>
      <c r="F2301">
        <v>0.56641485587302298</v>
      </c>
      <c r="G2301">
        <v>0.15725281144476999</v>
      </c>
      <c r="H2301">
        <v>8.7656763120050399E-2</v>
      </c>
      <c r="I2301">
        <v>7.9595005443724498E-2</v>
      </c>
      <c r="J2301">
        <v>5.7324773515029299E-2</v>
      </c>
      <c r="K2301">
        <v>4.5890965596497399E-2</v>
      </c>
      <c r="L2301">
        <v>1080.9214551520599</v>
      </c>
      <c r="M2301">
        <v>20.53721465412</v>
      </c>
      <c r="N2301">
        <v>52.8456882275201</v>
      </c>
      <c r="O2301">
        <v>52.140908340619198</v>
      </c>
      <c r="P2301">
        <v>-9.4554826179451601E-2</v>
      </c>
      <c r="Q2301">
        <v>3.9785642582989798E-2</v>
      </c>
      <c r="R2301">
        <v>0.98447206668019605</v>
      </c>
      <c r="S2301" t="s">
        <v>8586</v>
      </c>
      <c r="T2301" t="s">
        <v>12568</v>
      </c>
      <c r="U2301" t="s">
        <v>12568</v>
      </c>
      <c r="V2301" t="s">
        <v>12568</v>
      </c>
      <c r="W2301" t="s">
        <v>14835</v>
      </c>
      <c r="X2301">
        <v>2</v>
      </c>
      <c r="Y2301" t="s">
        <v>21014</v>
      </c>
      <c r="Z2301" t="s">
        <v>27171</v>
      </c>
      <c r="AA2301">
        <v>0.45675352173305878</v>
      </c>
      <c r="AB2301" t="str">
        <f>HYPERLINK("Melting_Curves/meltCurve_P50135_HNMT.pdf", "Melting_Curves/meltCurve_P50135_HNMT.pdf")</f>
        <v>Melting_Curves/meltCurve_P50135_HNMT.pdf</v>
      </c>
    </row>
    <row r="2302" spans="1:28" x14ac:dyDescent="0.25">
      <c r="A2302" t="s">
        <v>2306</v>
      </c>
      <c r="B2302">
        <v>0.99352677808782597</v>
      </c>
      <c r="C2302">
        <v>0.87487294501595703</v>
      </c>
      <c r="D2302">
        <v>0.742229848814285</v>
      </c>
      <c r="E2302">
        <v>0.310624843372036</v>
      </c>
      <c r="F2302">
        <v>0.24842371321547499</v>
      </c>
      <c r="G2302">
        <v>0.152256917752046</v>
      </c>
      <c r="H2302">
        <v>9.2655796707961993E-2</v>
      </c>
      <c r="I2302">
        <v>8.0966818000183099E-2</v>
      </c>
      <c r="J2302">
        <v>7.0305780212632105E-2</v>
      </c>
      <c r="K2302">
        <v>6.0618892347395398E-2</v>
      </c>
      <c r="L2302">
        <v>878.82992378808399</v>
      </c>
      <c r="M2302">
        <v>18.351787315904801</v>
      </c>
      <c r="N2302">
        <v>48.319916540760701</v>
      </c>
      <c r="O2302">
        <v>47.330222069601298</v>
      </c>
      <c r="P2302">
        <v>-8.9605687677910606E-2</v>
      </c>
      <c r="Q2302">
        <v>7.5651192814158302E-2</v>
      </c>
      <c r="R2302">
        <v>0.99287720035096005</v>
      </c>
      <c r="S2302" t="s">
        <v>8587</v>
      </c>
      <c r="T2302" t="s">
        <v>12568</v>
      </c>
      <c r="U2302" t="s">
        <v>12568</v>
      </c>
      <c r="V2302" t="s">
        <v>12568</v>
      </c>
      <c r="W2302" t="s">
        <v>14836</v>
      </c>
      <c r="X2302">
        <v>13</v>
      </c>
      <c r="Y2302" t="s">
        <v>21015</v>
      </c>
      <c r="Z2302" t="s">
        <v>27172</v>
      </c>
      <c r="AA2302">
        <v>0.33449389611976188</v>
      </c>
      <c r="AB2302" t="str">
        <f>HYPERLINK("Melting_Curves/meltCurve_P50213_IDH3A.pdf", "Melting_Curves/meltCurve_P50213_IDH3A.pdf")</f>
        <v>Melting_Curves/meltCurve_P50213_IDH3A.pdf</v>
      </c>
    </row>
    <row r="2303" spans="1:28" x14ac:dyDescent="0.25">
      <c r="A2303" t="s">
        <v>2307</v>
      </c>
      <c r="B2303">
        <v>0.99352677808782597</v>
      </c>
      <c r="C2303">
        <v>1.12299359047267</v>
      </c>
      <c r="D2303">
        <v>1.1073122491065699</v>
      </c>
      <c r="E2303">
        <v>0.81714415909608096</v>
      </c>
      <c r="F2303">
        <v>0.68176025551328601</v>
      </c>
      <c r="G2303">
        <v>0.46510326251143302</v>
      </c>
      <c r="H2303">
        <v>0.43844537033743097</v>
      </c>
      <c r="I2303">
        <v>0.61752409700903599</v>
      </c>
      <c r="J2303">
        <v>0.29301701477172898</v>
      </c>
      <c r="K2303">
        <v>0.48124806987295399</v>
      </c>
      <c r="L2303">
        <v>1513.8266079657201</v>
      </c>
      <c r="M2303">
        <v>29.1442120394935</v>
      </c>
      <c r="N2303">
        <v>56.487239541930599</v>
      </c>
      <c r="O2303">
        <v>51.699925724429598</v>
      </c>
      <c r="P2303">
        <v>-7.7220849146544895E-2</v>
      </c>
      <c r="Q2303">
        <v>0.45206527715359202</v>
      </c>
      <c r="R2303">
        <v>0.88919144647641601</v>
      </c>
      <c r="S2303" t="s">
        <v>8588</v>
      </c>
      <c r="T2303" t="s">
        <v>12568</v>
      </c>
      <c r="U2303" t="s">
        <v>12568</v>
      </c>
      <c r="V2303" t="s">
        <v>12568</v>
      </c>
      <c r="W2303" t="s">
        <v>14837</v>
      </c>
      <c r="X2303">
        <v>1</v>
      </c>
      <c r="Y2303" t="s">
        <v>21016</v>
      </c>
      <c r="Z2303" t="s">
        <v>27173</v>
      </c>
      <c r="AA2303">
        <v>0.67389523907074367</v>
      </c>
      <c r="AB2303" t="str">
        <f>HYPERLINK("Melting_Curves/meltCurve_P50219_MNX1.pdf", "Melting_Curves/meltCurve_P50219_MNX1.pdf")</f>
        <v>Melting_Curves/meltCurve_P50219_MNX1.pdf</v>
      </c>
    </row>
    <row r="2304" spans="1:28" x14ac:dyDescent="0.25">
      <c r="A2304" t="s">
        <v>2308</v>
      </c>
      <c r="B2304">
        <v>0.99352677808782597</v>
      </c>
      <c r="C2304">
        <v>0.75816237267115505</v>
      </c>
      <c r="D2304">
        <v>0.46469366900783099</v>
      </c>
      <c r="E2304">
        <v>0.19732273098113601</v>
      </c>
      <c r="F2304">
        <v>0.15173653030072401</v>
      </c>
      <c r="G2304">
        <v>9.11725906979024E-2</v>
      </c>
      <c r="H2304">
        <v>6.1659409328265198E-2</v>
      </c>
      <c r="I2304">
        <v>5.4045264445257001E-2</v>
      </c>
      <c r="J2304">
        <v>4.8411145634924102E-2</v>
      </c>
      <c r="K2304">
        <v>3.455873945718E-2</v>
      </c>
      <c r="L2304">
        <v>877.38557397434602</v>
      </c>
      <c r="M2304">
        <v>19.295553469132098</v>
      </c>
      <c r="N2304">
        <v>45.759188648219499</v>
      </c>
      <c r="O2304">
        <v>44.9909234196071</v>
      </c>
      <c r="P2304">
        <v>-0.10108543387374901</v>
      </c>
      <c r="Q2304">
        <v>5.7242605179905801E-2</v>
      </c>
      <c r="R2304">
        <v>0.99430309971116604</v>
      </c>
      <c r="S2304" t="s">
        <v>8589</v>
      </c>
      <c r="T2304" t="s">
        <v>12568</v>
      </c>
      <c r="U2304" t="s">
        <v>12568</v>
      </c>
      <c r="V2304" t="s">
        <v>12568</v>
      </c>
      <c r="W2304" t="s">
        <v>14838</v>
      </c>
      <c r="X2304">
        <v>8</v>
      </c>
      <c r="Y2304" t="s">
        <v>21017</v>
      </c>
      <c r="Z2304" t="s">
        <v>27174</v>
      </c>
      <c r="AA2304">
        <v>0.24569064981412261</v>
      </c>
      <c r="AB2304" t="str">
        <f>HYPERLINK("Melting_Curves/meltCurve_P50224_SULT1A3.pdf", "Melting_Curves/meltCurve_P50224_SULT1A3.pdf")</f>
        <v>Melting_Curves/meltCurve_P50224_SULT1A3.pdf</v>
      </c>
    </row>
    <row r="2305" spans="1:28" x14ac:dyDescent="0.25">
      <c r="A2305" t="s">
        <v>2309</v>
      </c>
      <c r="B2305">
        <v>0.99352677808782597</v>
      </c>
      <c r="C2305">
        <v>0.95055417487305305</v>
      </c>
      <c r="D2305">
        <v>1.0235799341673499</v>
      </c>
      <c r="E2305">
        <v>0.992336759751133</v>
      </c>
      <c r="F2305">
        <v>0.93013312045852203</v>
      </c>
      <c r="G2305">
        <v>0.91543841698861295</v>
      </c>
      <c r="H2305">
        <v>0.79701101311421196</v>
      </c>
      <c r="I2305">
        <v>0.83926991984744204</v>
      </c>
      <c r="J2305">
        <v>0.85266435269671903</v>
      </c>
      <c r="K2305">
        <v>0.76672165874147202</v>
      </c>
      <c r="L2305">
        <v>999.877414528543</v>
      </c>
      <c r="M2305">
        <v>17.722944707240799</v>
      </c>
      <c r="O2305">
        <v>55.713527523786397</v>
      </c>
      <c r="P2305">
        <v>-1.6123153483091499E-2</v>
      </c>
      <c r="Q2305">
        <v>0.79727275286380905</v>
      </c>
      <c r="R2305">
        <v>0.85936408359913097</v>
      </c>
      <c r="S2305" t="s">
        <v>8590</v>
      </c>
      <c r="T2305" t="s">
        <v>12568</v>
      </c>
      <c r="U2305" t="s">
        <v>12568</v>
      </c>
      <c r="V2305" t="s">
        <v>12568</v>
      </c>
      <c r="W2305" t="s">
        <v>14839</v>
      </c>
      <c r="X2305">
        <v>7</v>
      </c>
      <c r="Y2305" t="s">
        <v>21018</v>
      </c>
      <c r="Z2305" t="s">
        <v>27175</v>
      </c>
      <c r="AA2305">
        <v>0.91117082771643509</v>
      </c>
      <c r="AB2305" t="str">
        <f>HYPERLINK("Melting_Curves/meltCurve_P50238_CRIP1.pdf", "Melting_Curves/meltCurve_P50238_CRIP1.pdf")</f>
        <v>Melting_Curves/meltCurve_P50238_CRIP1.pdf</v>
      </c>
    </row>
    <row r="2306" spans="1:28" x14ac:dyDescent="0.25">
      <c r="A2306" t="s">
        <v>2310</v>
      </c>
      <c r="B2306">
        <v>0.99352677808782597</v>
      </c>
      <c r="C2306">
        <v>0.98097882529930502</v>
      </c>
      <c r="D2306">
        <v>0.837914936149603</v>
      </c>
      <c r="E2306">
        <v>0.451918809282221</v>
      </c>
      <c r="F2306">
        <v>0.36880385498138801</v>
      </c>
      <c r="G2306">
        <v>0.23488736752824699</v>
      </c>
      <c r="H2306">
        <v>0.16049781241219899</v>
      </c>
      <c r="I2306">
        <v>0.13874048768935901</v>
      </c>
      <c r="J2306">
        <v>0.12830859165325301</v>
      </c>
      <c r="K2306">
        <v>0.10837461965612399</v>
      </c>
      <c r="L2306">
        <v>887.83555176994605</v>
      </c>
      <c r="M2306">
        <v>17.984724423393601</v>
      </c>
      <c r="N2306">
        <v>50.203480632392498</v>
      </c>
      <c r="O2306">
        <v>48.767889443447999</v>
      </c>
      <c r="P2306">
        <v>-8.0252396322933198E-2</v>
      </c>
      <c r="Q2306">
        <v>0.12958438453394999</v>
      </c>
      <c r="R2306">
        <v>0.99194142432533705</v>
      </c>
      <c r="S2306" t="s">
        <v>8591</v>
      </c>
      <c r="T2306" t="s">
        <v>12568</v>
      </c>
      <c r="U2306" t="s">
        <v>12568</v>
      </c>
      <c r="V2306" t="s">
        <v>12568</v>
      </c>
      <c r="W2306" t="s">
        <v>14840</v>
      </c>
      <c r="X2306">
        <v>2</v>
      </c>
      <c r="Y2306" t="s">
        <v>21019</v>
      </c>
      <c r="Z2306" t="s">
        <v>27176</v>
      </c>
      <c r="AA2306">
        <v>0.41633604851694822</v>
      </c>
      <c r="AB2306" t="str">
        <f>HYPERLINK("Melting_Curves/meltCurve_P50336_PPOX.pdf", "Melting_Curves/meltCurve_P50336_PPOX.pdf")</f>
        <v>Melting_Curves/meltCurve_P50336_PPOX.pdf</v>
      </c>
    </row>
    <row r="2307" spans="1:28" x14ac:dyDescent="0.25">
      <c r="A2307" t="s">
        <v>2311</v>
      </c>
      <c r="B2307">
        <v>0.99352677808782597</v>
      </c>
      <c r="C2307">
        <v>0.89203335780797499</v>
      </c>
      <c r="D2307">
        <v>1.0419896337271499</v>
      </c>
      <c r="E2307">
        <v>0.85334371314860902</v>
      </c>
      <c r="F2307">
        <v>0.74816457806385195</v>
      </c>
      <c r="G2307">
        <v>0.43672362379624602</v>
      </c>
      <c r="H2307">
        <v>0.12955892801419899</v>
      </c>
      <c r="I2307">
        <v>0.116621444560087</v>
      </c>
      <c r="J2307">
        <v>8.93446612165648E-2</v>
      </c>
      <c r="K2307">
        <v>6.6997714462397703E-2</v>
      </c>
      <c r="L2307">
        <v>1091.1101961516299</v>
      </c>
      <c r="M2307">
        <v>19.629279978051301</v>
      </c>
      <c r="N2307">
        <v>55.835821514805701</v>
      </c>
      <c r="O2307">
        <v>55.018586275266799</v>
      </c>
      <c r="P2307">
        <v>-8.5445002665152606E-2</v>
      </c>
      <c r="Q2307">
        <v>4.2064007264848997E-2</v>
      </c>
      <c r="R2307">
        <v>0.98577821466346305</v>
      </c>
      <c r="S2307" t="s">
        <v>8592</v>
      </c>
      <c r="T2307" t="s">
        <v>12568</v>
      </c>
      <c r="U2307" t="s">
        <v>12568</v>
      </c>
      <c r="V2307" t="s">
        <v>12568</v>
      </c>
      <c r="W2307" t="s">
        <v>14841</v>
      </c>
      <c r="X2307">
        <v>45</v>
      </c>
      <c r="Y2307" t="s">
        <v>21020</v>
      </c>
      <c r="Z2307" t="s">
        <v>27177</v>
      </c>
      <c r="AA2307">
        <v>0.55260546634991436</v>
      </c>
      <c r="AB2307" t="str">
        <f>HYPERLINK("Melting_Curves/meltCurve_P50395_GDI2.pdf", "Melting_Curves/meltCurve_P50395_GDI2.pdf")</f>
        <v>Melting_Curves/meltCurve_P50395_GDI2.pdf</v>
      </c>
    </row>
    <row r="2308" spans="1:28" x14ac:dyDescent="0.25">
      <c r="A2308" t="s">
        <v>2312</v>
      </c>
      <c r="B2308">
        <v>0.99352677808782597</v>
      </c>
      <c r="C2308">
        <v>0.93162573102493396</v>
      </c>
      <c r="D2308">
        <v>0.975230046580292</v>
      </c>
      <c r="E2308">
        <v>0.84054351180209796</v>
      </c>
      <c r="F2308">
        <v>0.749073334470025</v>
      </c>
      <c r="G2308">
        <v>0.74880834011457398</v>
      </c>
      <c r="H2308">
        <v>0.63826587293176196</v>
      </c>
      <c r="I2308">
        <v>0.71001832100879103</v>
      </c>
      <c r="J2308">
        <v>0.733511368071456</v>
      </c>
      <c r="K2308">
        <v>0.72032945153421701</v>
      </c>
      <c r="L2308">
        <v>1108.8972035474601</v>
      </c>
      <c r="M2308">
        <v>22.363737362954499</v>
      </c>
      <c r="O2308">
        <v>49.193238829979997</v>
      </c>
      <c r="P2308">
        <v>-3.3635640925235501E-2</v>
      </c>
      <c r="Q2308">
        <v>0.70405450713273499</v>
      </c>
      <c r="R2308">
        <v>0.92003748196815105</v>
      </c>
      <c r="S2308" t="s">
        <v>8593</v>
      </c>
      <c r="T2308" t="s">
        <v>12568</v>
      </c>
      <c r="U2308" t="s">
        <v>12568</v>
      </c>
      <c r="V2308" t="s">
        <v>12568</v>
      </c>
      <c r="W2308" t="s">
        <v>14842</v>
      </c>
      <c r="X2308">
        <v>7</v>
      </c>
      <c r="Y2308" t="s">
        <v>21021</v>
      </c>
      <c r="Z2308" t="s">
        <v>27178</v>
      </c>
      <c r="AA2308">
        <v>0.80190625494586898</v>
      </c>
      <c r="AB2308" t="str">
        <f>HYPERLINK("Melting_Curves/meltCurve_P50402_EMD.pdf", "Melting_Curves/meltCurve_P50402_EMD.pdf")</f>
        <v>Melting_Curves/meltCurve_P50402_EMD.pdf</v>
      </c>
    </row>
    <row r="2309" spans="1:28" x14ac:dyDescent="0.25">
      <c r="A2309" t="s">
        <v>2313</v>
      </c>
      <c r="B2309">
        <v>0.99352677808782597</v>
      </c>
      <c r="C2309">
        <v>1.02735201109736</v>
      </c>
      <c r="D2309">
        <v>0.98571406143496698</v>
      </c>
      <c r="E2309">
        <v>0.47315273643023298</v>
      </c>
      <c r="F2309">
        <v>0.42432146032395601</v>
      </c>
      <c r="G2309">
        <v>0.251209079926967</v>
      </c>
      <c r="H2309">
        <v>0.17413675825051</v>
      </c>
      <c r="I2309">
        <v>0.19008982418871001</v>
      </c>
      <c r="J2309">
        <v>0.138120616520511</v>
      </c>
      <c r="K2309">
        <v>0.116103483841724</v>
      </c>
      <c r="L2309">
        <v>1133.4933840966</v>
      </c>
      <c r="M2309">
        <v>22.683761538856601</v>
      </c>
      <c r="N2309">
        <v>50.858875165026198</v>
      </c>
      <c r="O2309">
        <v>49.585886836285603</v>
      </c>
      <c r="P2309">
        <v>-9.5641390179260904E-2</v>
      </c>
      <c r="Q2309">
        <v>0.16374201184680101</v>
      </c>
      <c r="R2309">
        <v>0.97456018714685699</v>
      </c>
      <c r="S2309" t="s">
        <v>8594</v>
      </c>
      <c r="T2309" t="s">
        <v>12568</v>
      </c>
      <c r="U2309" t="s">
        <v>12568</v>
      </c>
      <c r="V2309" t="s">
        <v>12568</v>
      </c>
      <c r="W2309" t="s">
        <v>14843</v>
      </c>
      <c r="X2309">
        <v>9</v>
      </c>
      <c r="Y2309" t="s">
        <v>21022</v>
      </c>
      <c r="Z2309" t="s">
        <v>27179</v>
      </c>
      <c r="AA2309">
        <v>0.45072025984779263</v>
      </c>
      <c r="AB2309" t="str">
        <f>HYPERLINK("Melting_Curves/meltCurve_P50440_2_GATM.pdf", "Melting_Curves/meltCurve_P50440_2_GATM.pdf")</f>
        <v>Melting_Curves/meltCurve_P50440_2_GATM.pdf</v>
      </c>
    </row>
    <row r="2310" spans="1:28" x14ac:dyDescent="0.25">
      <c r="A2310" t="s">
        <v>2314</v>
      </c>
      <c r="B2310">
        <v>0.99352677808782597</v>
      </c>
      <c r="C2310">
        <v>0.94124662768074596</v>
      </c>
      <c r="D2310">
        <v>0.94746641905949702</v>
      </c>
      <c r="E2310">
        <v>0.66788629667433297</v>
      </c>
      <c r="F2310">
        <v>0.54505043010006005</v>
      </c>
      <c r="G2310">
        <v>0.58603269376880296</v>
      </c>
      <c r="H2310">
        <v>0.63359657071393705</v>
      </c>
      <c r="I2310">
        <v>0.62635331075416001</v>
      </c>
      <c r="J2310">
        <v>0.65393159706437398</v>
      </c>
      <c r="K2310">
        <v>0.60349281205187899</v>
      </c>
      <c r="L2310">
        <v>2189.4433276970399</v>
      </c>
      <c r="M2310">
        <v>45.731969443242598</v>
      </c>
      <c r="O2310">
        <v>47.784278444776596</v>
      </c>
      <c r="P2310">
        <v>-9.3597146510581403E-2</v>
      </c>
      <c r="Q2310">
        <v>0.60881049436864798</v>
      </c>
      <c r="R2310">
        <v>0.95567948697212701</v>
      </c>
      <c r="S2310" t="s">
        <v>8595</v>
      </c>
      <c r="T2310" t="s">
        <v>12568</v>
      </c>
      <c r="U2310" t="s">
        <v>12568</v>
      </c>
      <c r="V2310" t="s">
        <v>12568</v>
      </c>
      <c r="W2310" t="s">
        <v>14844</v>
      </c>
      <c r="X2310">
        <v>6</v>
      </c>
      <c r="Y2310" t="s">
        <v>21023</v>
      </c>
      <c r="Z2310" t="s">
        <v>27180</v>
      </c>
      <c r="AA2310">
        <v>0.71249466795234073</v>
      </c>
      <c r="AB2310" t="str">
        <f>HYPERLINK("Melting_Curves/meltCurve_P50452_SERPINB8.pdf", "Melting_Curves/meltCurve_P50452_SERPINB8.pdf")</f>
        <v>Melting_Curves/meltCurve_P50452_SERPINB8.pdf</v>
      </c>
    </row>
    <row r="2311" spans="1:28" x14ac:dyDescent="0.25">
      <c r="A2311" t="s">
        <v>2315</v>
      </c>
      <c r="B2311">
        <v>0.99352677808782597</v>
      </c>
      <c r="C2311">
        <v>0.974176067633442</v>
      </c>
      <c r="D2311">
        <v>0.99748815390592305</v>
      </c>
      <c r="E2311">
        <v>0.89651815871691598</v>
      </c>
      <c r="F2311">
        <v>0.81260482782327803</v>
      </c>
      <c r="G2311">
        <v>0.49466480385115402</v>
      </c>
      <c r="H2311">
        <v>0.15829643405031299</v>
      </c>
      <c r="I2311">
        <v>0.15271687056687899</v>
      </c>
      <c r="J2311">
        <v>0.125448097063733</v>
      </c>
      <c r="K2311">
        <v>0.104581591585684</v>
      </c>
      <c r="L2311">
        <v>1263.58104014177</v>
      </c>
      <c r="M2311">
        <v>22.525725809399798</v>
      </c>
      <c r="N2311">
        <v>56.5788847993757</v>
      </c>
      <c r="O2311">
        <v>55.6585354130656</v>
      </c>
      <c r="P2311">
        <v>-9.2315776490037194E-2</v>
      </c>
      <c r="Q2311">
        <v>8.7610938828566395E-2</v>
      </c>
      <c r="R2311">
        <v>0.99465546678620798</v>
      </c>
      <c r="S2311" t="s">
        <v>8596</v>
      </c>
      <c r="T2311" t="s">
        <v>12568</v>
      </c>
      <c r="U2311" t="s">
        <v>12568</v>
      </c>
      <c r="V2311" t="s">
        <v>12568</v>
      </c>
      <c r="W2311" t="s">
        <v>14845</v>
      </c>
      <c r="X2311">
        <v>21</v>
      </c>
      <c r="Y2311" t="s">
        <v>21024</v>
      </c>
      <c r="Z2311" t="s">
        <v>27181</v>
      </c>
      <c r="AA2311">
        <v>0.58697866678949906</v>
      </c>
      <c r="AB2311" t="str">
        <f>HYPERLINK("Melting_Curves/meltCurve_P50453_SERPINB9.pdf", "Melting_Curves/meltCurve_P50453_SERPINB9.pdf")</f>
        <v>Melting_Curves/meltCurve_P50453_SERPINB9.pdf</v>
      </c>
    </row>
    <row r="2312" spans="1:28" x14ac:dyDescent="0.25">
      <c r="A2312" t="s">
        <v>2316</v>
      </c>
      <c r="B2312">
        <v>0.99352677808782597</v>
      </c>
      <c r="C2312">
        <v>0.759686250144469</v>
      </c>
      <c r="D2312">
        <v>1.05465860267554</v>
      </c>
      <c r="E2312">
        <v>0.39298967511410499</v>
      </c>
      <c r="F2312">
        <v>0.30583802106642499</v>
      </c>
      <c r="G2312">
        <v>0.125205652323752</v>
      </c>
      <c r="H2312">
        <v>9.9837925192843305E-2</v>
      </c>
      <c r="I2312">
        <v>8.8441258801658901E-2</v>
      </c>
      <c r="J2312">
        <v>6.9623716288741103E-2</v>
      </c>
      <c r="K2312">
        <v>4.4942584717766E-2</v>
      </c>
      <c r="L2312">
        <v>1459.0884817500801</v>
      </c>
      <c r="M2312">
        <v>29.4727061970341</v>
      </c>
      <c r="N2312">
        <v>49.845293842687902</v>
      </c>
      <c r="O2312">
        <v>49.2801927119922</v>
      </c>
      <c r="P2312">
        <v>-0.135944092487607</v>
      </c>
      <c r="Q2312">
        <v>9.0778538002836001E-2</v>
      </c>
      <c r="R2312">
        <v>0.93369421015028498</v>
      </c>
      <c r="S2312" t="s">
        <v>8597</v>
      </c>
      <c r="T2312" t="s">
        <v>12568</v>
      </c>
      <c r="U2312" t="s">
        <v>12568</v>
      </c>
      <c r="V2312" t="s">
        <v>12568</v>
      </c>
      <c r="W2312" t="s">
        <v>14846</v>
      </c>
      <c r="X2312">
        <v>15</v>
      </c>
      <c r="Y2312" t="s">
        <v>21025</v>
      </c>
      <c r="Z2312" t="s">
        <v>27182</v>
      </c>
      <c r="AA2312">
        <v>0.38467841129025332</v>
      </c>
      <c r="AB2312" t="str">
        <f>HYPERLINK("Melting_Curves/meltCurve_P50454_SERPINH1.pdf", "Melting_Curves/meltCurve_P50454_SERPINH1.pdf")</f>
        <v>Melting_Curves/meltCurve_P50454_SERPINH1.pdf</v>
      </c>
    </row>
    <row r="2313" spans="1:28" x14ac:dyDescent="0.25">
      <c r="A2313" t="s">
        <v>2317</v>
      </c>
      <c r="B2313">
        <v>0.99352677808782597</v>
      </c>
      <c r="C2313">
        <v>1.0082565008395601</v>
      </c>
      <c r="D2313">
        <v>0.98155759229260897</v>
      </c>
      <c r="E2313">
        <v>0.978799319820296</v>
      </c>
      <c r="F2313">
        <v>0.88146864319058604</v>
      </c>
      <c r="G2313">
        <v>0.55618776389883595</v>
      </c>
      <c r="H2313">
        <v>0.35642358796303197</v>
      </c>
      <c r="I2313">
        <v>0.33127700610524502</v>
      </c>
      <c r="J2313">
        <v>0.38612835533551199</v>
      </c>
      <c r="K2313">
        <v>0.31160787641913301</v>
      </c>
      <c r="L2313">
        <v>1749.4673058308099</v>
      </c>
      <c r="M2313">
        <v>31.436278651983901</v>
      </c>
      <c r="N2313">
        <v>57.674026051250301</v>
      </c>
      <c r="O2313">
        <v>55.427455910842902</v>
      </c>
      <c r="P2313">
        <v>-9.4434012747059898E-2</v>
      </c>
      <c r="Q2313">
        <v>0.33399106615922602</v>
      </c>
      <c r="R2313">
        <v>0.99559061554488404</v>
      </c>
      <c r="S2313" t="s">
        <v>8598</v>
      </c>
      <c r="T2313" t="s">
        <v>12568</v>
      </c>
      <c r="U2313" t="s">
        <v>12568</v>
      </c>
      <c r="V2313" t="s">
        <v>12568</v>
      </c>
      <c r="W2313" t="s">
        <v>14847</v>
      </c>
      <c r="X2313">
        <v>17</v>
      </c>
      <c r="Y2313" t="s">
        <v>21026</v>
      </c>
      <c r="Z2313" t="s">
        <v>27183</v>
      </c>
      <c r="AA2313">
        <v>0.68551743302792179</v>
      </c>
      <c r="AB2313" t="str">
        <f>HYPERLINK("Melting_Curves/meltCurve_P50502_ST13.pdf", "Melting_Curves/meltCurve_P50502_ST13.pdf")</f>
        <v>Melting_Curves/meltCurve_P50502_ST13.pdf</v>
      </c>
    </row>
    <row r="2314" spans="1:28" x14ac:dyDescent="0.25">
      <c r="A2314" t="s">
        <v>2318</v>
      </c>
      <c r="B2314">
        <v>0.99352677808782597</v>
      </c>
      <c r="C2314">
        <v>1.03761472128865</v>
      </c>
      <c r="D2314">
        <v>0.95718138377693296</v>
      </c>
      <c r="E2314">
        <v>0.47783584218910702</v>
      </c>
      <c r="F2314">
        <v>0.36779063708349402</v>
      </c>
      <c r="G2314">
        <v>0.28492994877892103</v>
      </c>
      <c r="H2314">
        <v>0.22611220453454101</v>
      </c>
      <c r="I2314">
        <v>0.22386813295105401</v>
      </c>
      <c r="J2314">
        <v>0.217625390910132</v>
      </c>
      <c r="K2314">
        <v>0.19772727063826001</v>
      </c>
      <c r="L2314">
        <v>1556.4341334011799</v>
      </c>
      <c r="M2314">
        <v>31.660100831595599</v>
      </c>
      <c r="N2314">
        <v>50.165010510210799</v>
      </c>
      <c r="O2314">
        <v>48.965860072291598</v>
      </c>
      <c r="P2314">
        <v>-0.123703807375327</v>
      </c>
      <c r="Q2314">
        <v>0.234717351048571</v>
      </c>
      <c r="R2314">
        <v>0.98898582775426802</v>
      </c>
      <c r="S2314" t="s">
        <v>8599</v>
      </c>
      <c r="T2314" t="s">
        <v>12568</v>
      </c>
      <c r="U2314" t="s">
        <v>12568</v>
      </c>
      <c r="V2314" t="s">
        <v>12568</v>
      </c>
      <c r="W2314" t="s">
        <v>14848</v>
      </c>
      <c r="X2314">
        <v>7</v>
      </c>
      <c r="Y2314" t="s">
        <v>21027</v>
      </c>
      <c r="Z2314" t="s">
        <v>27184</v>
      </c>
      <c r="AA2314">
        <v>0.47258779879973301</v>
      </c>
      <c r="AB2314" t="str">
        <f>HYPERLINK("Melting_Curves/meltCurve_P50542_PEX5.pdf", "Melting_Curves/meltCurve_P50542_PEX5.pdf")</f>
        <v>Melting_Curves/meltCurve_P50542_PEX5.pdf</v>
      </c>
    </row>
    <row r="2315" spans="1:28" x14ac:dyDescent="0.25">
      <c r="A2315" t="s">
        <v>2319</v>
      </c>
      <c r="B2315">
        <v>0.99352677808782597</v>
      </c>
      <c r="C2315">
        <v>0.96492499010235</v>
      </c>
      <c r="D2315">
        <v>0.94642902501110104</v>
      </c>
      <c r="E2315">
        <v>0.61149711988758404</v>
      </c>
      <c r="F2315">
        <v>0.545155882344594</v>
      </c>
      <c r="G2315">
        <v>0.32646841630562201</v>
      </c>
      <c r="H2315">
        <v>0.18022539102327501</v>
      </c>
      <c r="I2315">
        <v>0.15689642565877199</v>
      </c>
      <c r="J2315">
        <v>0.141322793740181</v>
      </c>
      <c r="K2315">
        <v>0.11851623056800099</v>
      </c>
      <c r="L2315">
        <v>746.29962546638603</v>
      </c>
      <c r="M2315">
        <v>14.276085626511</v>
      </c>
      <c r="N2315">
        <v>53.080154187173797</v>
      </c>
      <c r="O2315">
        <v>51.282557994496997</v>
      </c>
      <c r="P2315">
        <v>-6.2836716302709095E-2</v>
      </c>
      <c r="Q2315">
        <v>9.7222434025965601E-2</v>
      </c>
      <c r="R2315">
        <v>0.98984671696711701</v>
      </c>
      <c r="S2315" t="s">
        <v>8600</v>
      </c>
      <c r="T2315" t="s">
        <v>12568</v>
      </c>
      <c r="U2315" t="s">
        <v>12568</v>
      </c>
      <c r="V2315" t="s">
        <v>12568</v>
      </c>
      <c r="W2315" t="s">
        <v>14849</v>
      </c>
      <c r="X2315">
        <v>20</v>
      </c>
      <c r="Y2315" t="s">
        <v>21028</v>
      </c>
      <c r="Z2315" t="s">
        <v>27185</v>
      </c>
      <c r="AA2315">
        <v>0.48813187974333239</v>
      </c>
      <c r="AB2315" t="str">
        <f>HYPERLINK("Melting_Curves/meltCurve_P50552_VASP.pdf", "Melting_Curves/meltCurve_P50552_VASP.pdf")</f>
        <v>Melting_Curves/meltCurve_P50552_VASP.pdf</v>
      </c>
    </row>
    <row r="2316" spans="1:28" x14ac:dyDescent="0.25">
      <c r="A2316" t="s">
        <v>2320</v>
      </c>
      <c r="B2316">
        <v>0.99352677808782597</v>
      </c>
      <c r="C2316">
        <v>0.90368201154680505</v>
      </c>
      <c r="D2316">
        <v>0.82999114180478195</v>
      </c>
      <c r="E2316">
        <v>0.22513849256238599</v>
      </c>
      <c r="F2316">
        <v>0.17744721453710899</v>
      </c>
      <c r="G2316">
        <v>8.2977670253059702E-2</v>
      </c>
      <c r="H2316">
        <v>6.0764606847874297E-2</v>
      </c>
      <c r="I2316">
        <v>3.58844336033384E-2</v>
      </c>
      <c r="J2316">
        <v>3.5223530939591997E-2</v>
      </c>
      <c r="K2316">
        <v>2.2467840977957801E-2</v>
      </c>
      <c r="L2316">
        <v>1414.34882079566</v>
      </c>
      <c r="M2316">
        <v>29.478364944310002</v>
      </c>
      <c r="N2316">
        <v>48.159709285171097</v>
      </c>
      <c r="O2316">
        <v>47.760040757408802</v>
      </c>
      <c r="P2316">
        <v>-0.14623503926994699</v>
      </c>
      <c r="Q2316">
        <v>5.2302581529225102E-2</v>
      </c>
      <c r="R2316">
        <v>0.98941812391012096</v>
      </c>
      <c r="S2316" t="s">
        <v>8601</v>
      </c>
      <c r="T2316" t="s">
        <v>12568</v>
      </c>
      <c r="U2316" t="s">
        <v>12568</v>
      </c>
      <c r="V2316" t="s">
        <v>12568</v>
      </c>
      <c r="W2316" t="s">
        <v>14850</v>
      </c>
      <c r="X2316">
        <v>32</v>
      </c>
      <c r="Y2316" t="s">
        <v>19615</v>
      </c>
      <c r="Z2316" t="s">
        <v>27186</v>
      </c>
      <c r="AA2316">
        <v>0.31028124237107779</v>
      </c>
      <c r="AB2316" t="str">
        <f>HYPERLINK("Melting_Curves/meltCurve_P50570_2_DNM2.pdf", "Melting_Curves/meltCurve_P50570_2_DNM2.pdf")</f>
        <v>Melting_Curves/meltCurve_P50570_2_DNM2.pdf</v>
      </c>
    </row>
    <row r="2317" spans="1:28" x14ac:dyDescent="0.25">
      <c r="A2317" t="s">
        <v>2321</v>
      </c>
      <c r="B2317">
        <v>0.99352677808782597</v>
      </c>
      <c r="C2317">
        <v>0.93350583318035796</v>
      </c>
      <c r="D2317">
        <v>0.80356587192388995</v>
      </c>
      <c r="E2317">
        <v>0.26646258983312499</v>
      </c>
      <c r="F2317">
        <v>0.20310289859649699</v>
      </c>
      <c r="G2317">
        <v>0.116553235986163</v>
      </c>
      <c r="H2317">
        <v>9.0038788766405295E-2</v>
      </c>
      <c r="I2317">
        <v>8.21117426447011E-2</v>
      </c>
      <c r="J2317">
        <v>7.1742431265925097E-2</v>
      </c>
      <c r="K2317">
        <v>5.8214872620504399E-2</v>
      </c>
      <c r="L2317">
        <v>1310.19704162835</v>
      </c>
      <c r="M2317">
        <v>27.348442553894799</v>
      </c>
      <c r="N2317">
        <v>48.239981270520502</v>
      </c>
      <c r="O2317">
        <v>47.653606565018002</v>
      </c>
      <c r="P2317">
        <v>-0.13115435109427101</v>
      </c>
      <c r="Q2317">
        <v>8.5883040030219598E-2</v>
      </c>
      <c r="R2317">
        <v>0.99427240002984996</v>
      </c>
      <c r="S2317" t="s">
        <v>8602</v>
      </c>
      <c r="T2317" t="s">
        <v>12568</v>
      </c>
      <c r="U2317" t="s">
        <v>12568</v>
      </c>
      <c r="V2317" t="s">
        <v>12568</v>
      </c>
      <c r="W2317" t="s">
        <v>14851</v>
      </c>
      <c r="X2317">
        <v>32</v>
      </c>
      <c r="Y2317" t="s">
        <v>19615</v>
      </c>
      <c r="Z2317" t="s">
        <v>27187</v>
      </c>
      <c r="AA2317">
        <v>0.33350996837244529</v>
      </c>
      <c r="AB2317" t="str">
        <f>HYPERLINK("Melting_Curves/meltCurve_P50570_3_DNM2.pdf", "Melting_Curves/meltCurve_P50570_3_DNM2.pdf")</f>
        <v>Melting_Curves/meltCurve_P50570_3_DNM2.pdf</v>
      </c>
    </row>
    <row r="2318" spans="1:28" x14ac:dyDescent="0.25">
      <c r="A2318" t="s">
        <v>2322</v>
      </c>
      <c r="B2318">
        <v>0.99352677808782597</v>
      </c>
      <c r="C2318">
        <v>0.95977993365558201</v>
      </c>
      <c r="D2318">
        <v>0.73743846705653504</v>
      </c>
      <c r="E2318">
        <v>0.26280587532176303</v>
      </c>
      <c r="F2318">
        <v>0.20256596304440799</v>
      </c>
      <c r="G2318">
        <v>0.10988698011315499</v>
      </c>
      <c r="H2318">
        <v>5.5347590976567697E-2</v>
      </c>
      <c r="I2318">
        <v>0</v>
      </c>
      <c r="J2318">
        <v>4.7679105522565601E-2</v>
      </c>
      <c r="K2318">
        <v>3.9487047122942098E-2</v>
      </c>
      <c r="L2318">
        <v>1092.9520417874201</v>
      </c>
      <c r="M2318">
        <v>22.8340263564642</v>
      </c>
      <c r="N2318">
        <v>48.078106929168399</v>
      </c>
      <c r="O2318">
        <v>47.502477962696702</v>
      </c>
      <c r="P2318">
        <v>-0.11439263808502401</v>
      </c>
      <c r="Q2318">
        <v>4.8117225703724197E-2</v>
      </c>
      <c r="R2318">
        <v>0.99258440366411305</v>
      </c>
      <c r="S2318" t="s">
        <v>8603</v>
      </c>
      <c r="T2318" t="s">
        <v>12568</v>
      </c>
      <c r="U2318" t="s">
        <v>12568</v>
      </c>
      <c r="V2318" t="s">
        <v>12568</v>
      </c>
      <c r="W2318" t="s">
        <v>14852</v>
      </c>
      <c r="X2318">
        <v>32</v>
      </c>
      <c r="Y2318" t="s">
        <v>19615</v>
      </c>
      <c r="Z2318" t="s">
        <v>27188</v>
      </c>
      <c r="AA2318">
        <v>0.30788820682511198</v>
      </c>
      <c r="AB2318" t="str">
        <f>HYPERLINK("Melting_Curves/meltCurve_P50570_4_DNM2.pdf", "Melting_Curves/meltCurve_P50570_4_DNM2.pdf")</f>
        <v>Melting_Curves/meltCurve_P50570_4_DNM2.pdf</v>
      </c>
    </row>
    <row r="2319" spans="1:28" x14ac:dyDescent="0.25">
      <c r="A2319" t="s">
        <v>2323</v>
      </c>
      <c r="B2319">
        <v>0.99352677808782597</v>
      </c>
      <c r="C2319">
        <v>0.956952618011914</v>
      </c>
      <c r="D2319">
        <v>0.94820680133605395</v>
      </c>
      <c r="E2319">
        <v>0.82798269774579902</v>
      </c>
      <c r="F2319">
        <v>0.741918467696151</v>
      </c>
      <c r="G2319">
        <v>0.64726056161349499</v>
      </c>
      <c r="H2319">
        <v>0.58364066701155604</v>
      </c>
      <c r="I2319">
        <v>0.50446293773929596</v>
      </c>
      <c r="J2319">
        <v>0.281156445458284</v>
      </c>
      <c r="K2319">
        <v>0.135532112570596</v>
      </c>
      <c r="L2319">
        <v>526.41797344305303</v>
      </c>
      <c r="M2319">
        <v>8.6123485950001495</v>
      </c>
      <c r="N2319">
        <v>61.123622240499003</v>
      </c>
      <c r="O2319">
        <v>58.095974107243499</v>
      </c>
      <c r="P2319">
        <v>-3.7092649840418199E-2</v>
      </c>
      <c r="Q2319">
        <v>0</v>
      </c>
      <c r="R2319">
        <v>0.95344161428781404</v>
      </c>
      <c r="S2319" t="s">
        <v>8604</v>
      </c>
      <c r="T2319" t="s">
        <v>12568</v>
      </c>
      <c r="U2319" t="s">
        <v>12568</v>
      </c>
      <c r="V2319" t="s">
        <v>12568</v>
      </c>
      <c r="W2319" t="s">
        <v>14853</v>
      </c>
      <c r="X2319">
        <v>23</v>
      </c>
      <c r="Y2319" t="s">
        <v>19306</v>
      </c>
      <c r="Z2319" t="s">
        <v>27189</v>
      </c>
      <c r="AA2319">
        <v>0.682144886891632</v>
      </c>
      <c r="AB2319" t="str">
        <f>HYPERLINK("Melting_Curves/meltCurve_P50579_METAP2.pdf", "Melting_Curves/meltCurve_P50579_METAP2.pdf")</f>
        <v>Melting_Curves/meltCurve_P50579_METAP2.pdf</v>
      </c>
    </row>
    <row r="2320" spans="1:28" x14ac:dyDescent="0.25">
      <c r="A2320" t="s">
        <v>2324</v>
      </c>
      <c r="B2320">
        <v>0.99352677808782597</v>
      </c>
      <c r="C2320">
        <v>0.94033029340171903</v>
      </c>
      <c r="D2320">
        <v>0.97321833611216801</v>
      </c>
      <c r="E2320">
        <v>0.31919390531353897</v>
      </c>
      <c r="F2320">
        <v>0.267938292682951</v>
      </c>
      <c r="G2320">
        <v>0.169972688042416</v>
      </c>
      <c r="H2320">
        <v>0.14349750396764099</v>
      </c>
      <c r="I2320">
        <v>0.137178500466792</v>
      </c>
      <c r="J2320">
        <v>0.12565994804855801</v>
      </c>
      <c r="K2320">
        <v>0.110260386971215</v>
      </c>
      <c r="L2320">
        <v>2294.9026150050099</v>
      </c>
      <c r="M2320">
        <v>47.170138392736298</v>
      </c>
      <c r="N2320">
        <v>49.032556275133402</v>
      </c>
      <c r="O2320">
        <v>48.564397518042398</v>
      </c>
      <c r="P2320">
        <v>-0.20556952902272499</v>
      </c>
      <c r="Q2320">
        <v>0.15341783929824299</v>
      </c>
      <c r="R2320">
        <v>0.98720161171607201</v>
      </c>
      <c r="S2320" t="s">
        <v>8605</v>
      </c>
      <c r="T2320" t="s">
        <v>12568</v>
      </c>
      <c r="U2320" t="s">
        <v>12568</v>
      </c>
      <c r="V2320" t="s">
        <v>12568</v>
      </c>
      <c r="W2320" t="s">
        <v>14854</v>
      </c>
      <c r="X2320">
        <v>4</v>
      </c>
      <c r="Y2320" t="s">
        <v>21029</v>
      </c>
      <c r="Z2320" t="s">
        <v>27190</v>
      </c>
      <c r="AA2320">
        <v>0.39960421737468282</v>
      </c>
      <c r="AB2320" t="str">
        <f>HYPERLINK("Melting_Curves/meltCurve_P50583_NUDT2.pdf", "Melting_Curves/meltCurve_P50583_NUDT2.pdf")</f>
        <v>Melting_Curves/meltCurve_P50583_NUDT2.pdf</v>
      </c>
    </row>
    <row r="2321" spans="1:28" x14ac:dyDescent="0.25">
      <c r="A2321" t="s">
        <v>2325</v>
      </c>
      <c r="B2321">
        <v>0.99352677808782597</v>
      </c>
      <c r="C2321">
        <v>0.99522048451629497</v>
      </c>
      <c r="D2321">
        <v>1.02858298649007</v>
      </c>
      <c r="E2321">
        <v>0.95236126974129198</v>
      </c>
      <c r="F2321">
        <v>0.81811069238300405</v>
      </c>
      <c r="G2321">
        <v>0.42478067099710798</v>
      </c>
      <c r="H2321">
        <v>0.13232461548464899</v>
      </c>
      <c r="I2321">
        <v>0.123013720543186</v>
      </c>
      <c r="J2321">
        <v>9.8968216030459702E-2</v>
      </c>
      <c r="K2321">
        <v>6.7126963435454795E-2</v>
      </c>
      <c r="L2321">
        <v>1503.8239880763899</v>
      </c>
      <c r="M2321">
        <v>26.935268387242999</v>
      </c>
      <c r="N2321">
        <v>56.1712283931587</v>
      </c>
      <c r="O2321">
        <v>55.5260194164049</v>
      </c>
      <c r="P2321">
        <v>-0.112147388888704</v>
      </c>
      <c r="Q2321">
        <v>7.5259138930811195E-2</v>
      </c>
      <c r="R2321">
        <v>0.99831775810624401</v>
      </c>
      <c r="S2321" t="s">
        <v>8606</v>
      </c>
      <c r="T2321" t="s">
        <v>12568</v>
      </c>
      <c r="U2321" t="s">
        <v>12568</v>
      </c>
      <c r="V2321" t="s">
        <v>12568</v>
      </c>
      <c r="W2321" t="s">
        <v>14855</v>
      </c>
      <c r="X2321">
        <v>7</v>
      </c>
      <c r="Y2321" t="s">
        <v>21030</v>
      </c>
      <c r="Z2321" t="s">
        <v>27191</v>
      </c>
      <c r="AA2321">
        <v>0.57072953255430092</v>
      </c>
      <c r="AB2321" t="str">
        <f>HYPERLINK("Melting_Curves/meltCurve_P50613_CDK7.pdf", "Melting_Curves/meltCurve_P50613_CDK7.pdf")</f>
        <v>Melting_Curves/meltCurve_P50613_CDK7.pdf</v>
      </c>
    </row>
    <row r="2322" spans="1:28" x14ac:dyDescent="0.25">
      <c r="A2322" t="s">
        <v>2326</v>
      </c>
      <c r="B2322">
        <v>0.99352677808782597</v>
      </c>
      <c r="C2322">
        <v>0.97944306034428696</v>
      </c>
      <c r="D2322">
        <v>1.0671993418685499</v>
      </c>
      <c r="E2322">
        <v>0.71044265503266302</v>
      </c>
      <c r="F2322">
        <v>0.56694817863227898</v>
      </c>
      <c r="G2322">
        <v>0.40462511062364598</v>
      </c>
      <c r="H2322">
        <v>0.20054012541455701</v>
      </c>
      <c r="I2322">
        <v>0.186550906638555</v>
      </c>
      <c r="J2322">
        <v>0.128910379603415</v>
      </c>
      <c r="K2322">
        <v>0.103441406556759</v>
      </c>
      <c r="L2322">
        <v>833.84827945449103</v>
      </c>
      <c r="M2322">
        <v>15.5592244526324</v>
      </c>
      <c r="N2322">
        <v>54.358985388853199</v>
      </c>
      <c r="O2322">
        <v>52.730043225598301</v>
      </c>
      <c r="P2322">
        <v>-6.6503061614897205E-2</v>
      </c>
      <c r="Q2322">
        <v>9.8566335335823596E-2</v>
      </c>
      <c r="R2322">
        <v>0.98035949698229696</v>
      </c>
      <c r="S2322" t="s">
        <v>8607</v>
      </c>
      <c r="T2322" t="s">
        <v>12568</v>
      </c>
      <c r="U2322" t="s">
        <v>12568</v>
      </c>
      <c r="V2322" t="s">
        <v>12568</v>
      </c>
      <c r="W2322" t="s">
        <v>14856</v>
      </c>
      <c r="X2322">
        <v>1</v>
      </c>
      <c r="Y2322" t="s">
        <v>21031</v>
      </c>
      <c r="Z2322" t="s">
        <v>27192</v>
      </c>
      <c r="AA2322">
        <v>0.52496187780008341</v>
      </c>
      <c r="AB2322" t="str">
        <f>HYPERLINK("Melting_Curves/meltCurve_P50616_TOB1.pdf", "Melting_Curves/meltCurve_P50616_TOB1.pdf")</f>
        <v>Melting_Curves/meltCurve_P50616_TOB1.pdf</v>
      </c>
    </row>
    <row r="2323" spans="1:28" x14ac:dyDescent="0.25">
      <c r="A2323" t="s">
        <v>2327</v>
      </c>
      <c r="B2323">
        <v>0.99352677808782597</v>
      </c>
      <c r="C2323">
        <v>0.98814444501487897</v>
      </c>
      <c r="D2323">
        <v>0.96118948186491104</v>
      </c>
      <c r="E2323">
        <v>0.455188554854704</v>
      </c>
      <c r="F2323">
        <v>0.34861446278062802</v>
      </c>
      <c r="G2323">
        <v>0.22169959718931201</v>
      </c>
      <c r="H2323">
        <v>0.13377934799199601</v>
      </c>
      <c r="I2323">
        <v>0.119736239896999</v>
      </c>
      <c r="J2323">
        <v>6.8320382327317797E-2</v>
      </c>
      <c r="K2323">
        <v>7.8419692691535897E-2</v>
      </c>
      <c r="L2323">
        <v>1106.3965393450701</v>
      </c>
      <c r="M2323">
        <v>22.189268074792601</v>
      </c>
      <c r="N2323">
        <v>50.422692985386</v>
      </c>
      <c r="O2323">
        <v>49.462106163816102</v>
      </c>
      <c r="P2323">
        <v>-9.98895348773364E-2</v>
      </c>
      <c r="Q2323">
        <v>0.10936401942949101</v>
      </c>
      <c r="R2323">
        <v>0.98332792011784198</v>
      </c>
      <c r="S2323" t="s">
        <v>8608</v>
      </c>
      <c r="T2323" t="s">
        <v>12568</v>
      </c>
      <c r="U2323" t="s">
        <v>12568</v>
      </c>
      <c r="V2323" t="s">
        <v>12568</v>
      </c>
      <c r="W2323" t="s">
        <v>14857</v>
      </c>
      <c r="X2323">
        <v>5</v>
      </c>
      <c r="Y2323" t="s">
        <v>21032</v>
      </c>
      <c r="Z2323" t="s">
        <v>27193</v>
      </c>
      <c r="AA2323">
        <v>0.41223920740882358</v>
      </c>
      <c r="AB2323" t="str">
        <f>HYPERLINK("Melting_Curves/meltCurve_P50747_HLCS.pdf", "Melting_Curves/meltCurve_P50747_HLCS.pdf")</f>
        <v>Melting_Curves/meltCurve_P50747_HLCS.pdf</v>
      </c>
    </row>
    <row r="2324" spans="1:28" x14ac:dyDescent="0.25">
      <c r="A2324" t="s">
        <v>2328</v>
      </c>
      <c r="B2324">
        <v>0.99352677808782597</v>
      </c>
      <c r="C2324">
        <v>0.91712962327034098</v>
      </c>
      <c r="D2324">
        <v>0.77762346689846995</v>
      </c>
      <c r="E2324">
        <v>0.42369759966903903</v>
      </c>
      <c r="F2324">
        <v>0.346842445617219</v>
      </c>
      <c r="G2324">
        <v>0.16859408653594901</v>
      </c>
      <c r="H2324">
        <v>0.112529648309543</v>
      </c>
      <c r="I2324">
        <v>0.115515868041321</v>
      </c>
      <c r="J2324">
        <v>7.9205303601551799E-2</v>
      </c>
      <c r="K2324">
        <v>5.5268330667689797E-2</v>
      </c>
      <c r="L2324">
        <v>756.06687268999099</v>
      </c>
      <c r="M2324">
        <v>15.372844613184601</v>
      </c>
      <c r="N2324">
        <v>49.662252893135303</v>
      </c>
      <c r="O2324">
        <v>48.3722715743584</v>
      </c>
      <c r="P2324">
        <v>-7.3969617090161296E-2</v>
      </c>
      <c r="Q2324">
        <v>6.9072693734390095E-2</v>
      </c>
      <c r="R2324">
        <v>0.99447842470824299</v>
      </c>
      <c r="S2324" t="s">
        <v>8609</v>
      </c>
      <c r="T2324" t="s">
        <v>12568</v>
      </c>
      <c r="U2324" t="s">
        <v>12568</v>
      </c>
      <c r="V2324" t="s">
        <v>12568</v>
      </c>
      <c r="W2324" t="s">
        <v>14858</v>
      </c>
      <c r="X2324">
        <v>26</v>
      </c>
      <c r="Y2324" t="s">
        <v>21033</v>
      </c>
      <c r="Z2324" t="s">
        <v>27194</v>
      </c>
      <c r="AA2324">
        <v>0.37579611688575137</v>
      </c>
      <c r="AB2324" t="str">
        <f>HYPERLINK("Melting_Curves/meltCurve_P50748_KNTC1.pdf", "Melting_Curves/meltCurve_P50748_KNTC1.pdf")</f>
        <v>Melting_Curves/meltCurve_P50748_KNTC1.pdf</v>
      </c>
    </row>
    <row r="2325" spans="1:28" x14ac:dyDescent="0.25">
      <c r="A2325" t="s">
        <v>2329</v>
      </c>
      <c r="B2325">
        <v>0.99352677808782597</v>
      </c>
      <c r="C2325">
        <v>0.92625513120799097</v>
      </c>
      <c r="D2325">
        <v>0.79794256271451403</v>
      </c>
      <c r="E2325">
        <v>0.27707024011438502</v>
      </c>
      <c r="F2325">
        <v>0.20778279032039801</v>
      </c>
      <c r="G2325">
        <v>0.122989276991137</v>
      </c>
      <c r="H2325">
        <v>7.0373733695189997E-2</v>
      </c>
      <c r="I2325">
        <v>5.90370728057358E-2</v>
      </c>
      <c r="J2325">
        <v>5.4355057088174397E-2</v>
      </c>
      <c r="K2325">
        <v>4.3447875399786402E-2</v>
      </c>
      <c r="L2325">
        <v>1173.8801998198601</v>
      </c>
      <c r="M2325">
        <v>24.4316169840885</v>
      </c>
      <c r="N2325">
        <v>48.337211776470703</v>
      </c>
      <c r="O2325">
        <v>47.729157495784399</v>
      </c>
      <c r="P2325">
        <v>-0.11925845167527099</v>
      </c>
      <c r="Q2325">
        <v>6.8089268886623699E-2</v>
      </c>
      <c r="R2325">
        <v>0.99314404497579001</v>
      </c>
      <c r="S2325" t="s">
        <v>8610</v>
      </c>
      <c r="T2325" t="s">
        <v>12568</v>
      </c>
      <c r="U2325" t="s">
        <v>12568</v>
      </c>
      <c r="V2325" t="s">
        <v>12568</v>
      </c>
      <c r="W2325" t="s">
        <v>14859</v>
      </c>
      <c r="X2325">
        <v>8</v>
      </c>
      <c r="Y2325" t="s">
        <v>21034</v>
      </c>
      <c r="Z2325" t="s">
        <v>27195</v>
      </c>
      <c r="AA2325">
        <v>0.32672478493080492</v>
      </c>
      <c r="AB2325" t="str">
        <f>HYPERLINK("Melting_Curves/meltCurve_P50749_RASSF2.pdf", "Melting_Curves/meltCurve_P50749_RASSF2.pdf")</f>
        <v>Melting_Curves/meltCurve_P50749_RASSF2.pdf</v>
      </c>
    </row>
    <row r="2326" spans="1:28" x14ac:dyDescent="0.25">
      <c r="A2326" t="s">
        <v>2330</v>
      </c>
      <c r="B2326">
        <v>0.99352677808782597</v>
      </c>
      <c r="C2326">
        <v>0.93194014449237705</v>
      </c>
      <c r="D2326">
        <v>0.93379521277823696</v>
      </c>
      <c r="E2326">
        <v>0.51320387040475601</v>
      </c>
      <c r="F2326">
        <v>0.44239688303631802</v>
      </c>
      <c r="G2326">
        <v>0.19599550682455499</v>
      </c>
      <c r="H2326">
        <v>0.125618697397434</v>
      </c>
      <c r="I2326">
        <v>0.122918705844183</v>
      </c>
      <c r="J2326">
        <v>0.10518697816391</v>
      </c>
      <c r="K2326">
        <v>6.9334917977551605E-2</v>
      </c>
      <c r="L2326">
        <v>855.39617938932099</v>
      </c>
      <c r="M2326">
        <v>16.866933113658799</v>
      </c>
      <c r="N2326">
        <v>51.259183467167801</v>
      </c>
      <c r="O2326">
        <v>50.017610014288501</v>
      </c>
      <c r="P2326">
        <v>-7.7391985418832396E-2</v>
      </c>
      <c r="Q2326">
        <v>8.2058276883365894E-2</v>
      </c>
      <c r="R2326">
        <v>0.98662709202949095</v>
      </c>
      <c r="S2326" t="s">
        <v>8611</v>
      </c>
      <c r="T2326" t="s">
        <v>12568</v>
      </c>
      <c r="U2326" t="s">
        <v>12568</v>
      </c>
      <c r="V2326" t="s">
        <v>12568</v>
      </c>
      <c r="W2326" t="s">
        <v>14860</v>
      </c>
      <c r="X2326">
        <v>8</v>
      </c>
      <c r="Y2326" t="s">
        <v>21035</v>
      </c>
      <c r="Z2326" t="s">
        <v>27196</v>
      </c>
      <c r="AA2326">
        <v>0.4273519147399662</v>
      </c>
      <c r="AB2326" t="str">
        <f>HYPERLINK("Melting_Curves/meltCurve_P50750_CDK9.pdf", "Melting_Curves/meltCurve_P50750_CDK9.pdf")</f>
        <v>Melting_Curves/meltCurve_P50750_CDK9.pdf</v>
      </c>
    </row>
    <row r="2327" spans="1:28" x14ac:dyDescent="0.25">
      <c r="A2327" t="s">
        <v>2331</v>
      </c>
      <c r="B2327">
        <v>0.99352677808782597</v>
      </c>
      <c r="C2327">
        <v>1.05608460926337</v>
      </c>
      <c r="D2327">
        <v>0.87812300571822</v>
      </c>
      <c r="E2327">
        <v>0.552012889627301</v>
      </c>
      <c r="F2327">
        <v>0.43909812178879898</v>
      </c>
      <c r="G2327">
        <v>0.245983608484236</v>
      </c>
      <c r="H2327">
        <v>0.15013694816363399</v>
      </c>
      <c r="I2327">
        <v>0.12029270216603399</v>
      </c>
      <c r="J2327">
        <v>0.10449861682839399</v>
      </c>
      <c r="K2327">
        <v>7.7931870408845597E-2</v>
      </c>
      <c r="L2327">
        <v>843.41167063506202</v>
      </c>
      <c r="M2327">
        <v>16.552544100153799</v>
      </c>
      <c r="N2327">
        <v>51.571451488120402</v>
      </c>
      <c r="O2327">
        <v>50.227330425746899</v>
      </c>
      <c r="P2327">
        <v>-7.49831803172476E-2</v>
      </c>
      <c r="Q2327">
        <v>8.9941518771192996E-2</v>
      </c>
      <c r="R2327">
        <v>0.98858550424562697</v>
      </c>
      <c r="S2327" t="s">
        <v>8612</v>
      </c>
      <c r="T2327" t="s">
        <v>12568</v>
      </c>
      <c r="U2327" t="s">
        <v>12568</v>
      </c>
      <c r="V2327" t="s">
        <v>12568</v>
      </c>
      <c r="W2327" t="s">
        <v>14861</v>
      </c>
      <c r="X2327">
        <v>49</v>
      </c>
      <c r="Y2327" t="s">
        <v>21036</v>
      </c>
      <c r="Z2327" t="s">
        <v>27197</v>
      </c>
      <c r="AA2327">
        <v>0.44002858597769101</v>
      </c>
      <c r="AB2327" t="str">
        <f>HYPERLINK("Melting_Curves/meltCurve_P50851_LRBA.pdf", "Melting_Curves/meltCurve_P50851_LRBA.pdf")</f>
        <v>Melting_Curves/meltCurve_P50851_LRBA.pdf</v>
      </c>
    </row>
    <row r="2328" spans="1:28" x14ac:dyDescent="0.25">
      <c r="A2328" t="s">
        <v>2332</v>
      </c>
      <c r="B2328">
        <v>0.99352677808782597</v>
      </c>
      <c r="C2328">
        <v>0.98435696605758705</v>
      </c>
      <c r="D2328">
        <v>0.97056496125486702</v>
      </c>
      <c r="E2328">
        <v>0.80879228647391799</v>
      </c>
      <c r="F2328">
        <v>0.71052918231825701</v>
      </c>
      <c r="G2328">
        <v>0.59213634684109995</v>
      </c>
      <c r="H2328">
        <v>0.63089144676609998</v>
      </c>
      <c r="I2328">
        <v>0.66435484876487205</v>
      </c>
      <c r="J2328">
        <v>0.82813060362135105</v>
      </c>
      <c r="K2328">
        <v>0.62602565737304905</v>
      </c>
      <c r="L2328">
        <v>1733.7403407244799</v>
      </c>
      <c r="M2328">
        <v>35.019139174306702</v>
      </c>
      <c r="O2328">
        <v>49.3477693350154</v>
      </c>
      <c r="P2328">
        <v>-5.8582504155509703E-2</v>
      </c>
      <c r="Q2328">
        <v>0.66979144178110805</v>
      </c>
      <c r="R2328">
        <v>0.84293871528208597</v>
      </c>
      <c r="S2328" t="s">
        <v>8613</v>
      </c>
      <c r="T2328" t="s">
        <v>12568</v>
      </c>
      <c r="U2328" t="s">
        <v>12568</v>
      </c>
      <c r="V2328" t="s">
        <v>12568</v>
      </c>
      <c r="W2328" t="s">
        <v>14862</v>
      </c>
      <c r="X2328">
        <v>11</v>
      </c>
      <c r="Y2328" t="s">
        <v>21037</v>
      </c>
      <c r="Z2328" t="s">
        <v>27198</v>
      </c>
      <c r="AA2328">
        <v>0.77592951714568226</v>
      </c>
      <c r="AB2328" t="str">
        <f>HYPERLINK("Melting_Curves/meltCurve_P50895_BCAM.pdf", "Melting_Curves/meltCurve_P50895_BCAM.pdf")</f>
        <v>Melting_Curves/meltCurve_P50895_BCAM.pdf</v>
      </c>
    </row>
    <row r="2329" spans="1:28" x14ac:dyDescent="0.25">
      <c r="A2329" t="s">
        <v>2333</v>
      </c>
      <c r="B2329">
        <v>0.99352677808782597</v>
      </c>
      <c r="C2329">
        <v>0.889457780569059</v>
      </c>
      <c r="D2329">
        <v>0.71624322728869605</v>
      </c>
      <c r="E2329">
        <v>0.28761565907936598</v>
      </c>
      <c r="F2329">
        <v>0.21498439222763999</v>
      </c>
      <c r="G2329">
        <v>0.145856964119678</v>
      </c>
      <c r="H2329">
        <v>0.102416920446848</v>
      </c>
      <c r="I2329">
        <v>8.36225204910446E-2</v>
      </c>
      <c r="J2329">
        <v>7.5507443432597396E-2</v>
      </c>
      <c r="K2329">
        <v>5.9034303314816398E-2</v>
      </c>
      <c r="L2329">
        <v>964.77966776861501</v>
      </c>
      <c r="M2329">
        <v>20.298446742969499</v>
      </c>
      <c r="N2329">
        <v>47.963732831249203</v>
      </c>
      <c r="O2329">
        <v>47.075658564914498</v>
      </c>
      <c r="P2329">
        <v>-9.8756324137068294E-2</v>
      </c>
      <c r="Q2329">
        <v>8.3895633686809107E-2</v>
      </c>
      <c r="R2329">
        <v>0.99517163359604699</v>
      </c>
      <c r="S2329" t="s">
        <v>8614</v>
      </c>
      <c r="T2329" t="s">
        <v>12568</v>
      </c>
      <c r="U2329" t="s">
        <v>12568</v>
      </c>
      <c r="V2329" t="s">
        <v>12568</v>
      </c>
      <c r="W2329" t="s">
        <v>14863</v>
      </c>
      <c r="X2329">
        <v>4</v>
      </c>
      <c r="Y2329" t="s">
        <v>21038</v>
      </c>
      <c r="Z2329" t="s">
        <v>27199</v>
      </c>
      <c r="AA2329">
        <v>0.32658416754787012</v>
      </c>
      <c r="AB2329" t="str">
        <f>HYPERLINK("Melting_Curves/meltCurve_P50897_PPT1.pdf", "Melting_Curves/meltCurve_P50897_PPT1.pdf")</f>
        <v>Melting_Curves/meltCurve_P50897_PPT1.pdf</v>
      </c>
    </row>
    <row r="2330" spans="1:28" x14ac:dyDescent="0.25">
      <c r="A2330" t="s">
        <v>2334</v>
      </c>
      <c r="B2330">
        <v>0.99352677808782597</v>
      </c>
      <c r="C2330">
        <v>0.970819237542484</v>
      </c>
      <c r="D2330">
        <v>0.85975546415228998</v>
      </c>
      <c r="E2330">
        <v>1.3738197621008199</v>
      </c>
      <c r="F2330">
        <v>0.93685004884617196</v>
      </c>
      <c r="G2330">
        <v>0.64734179827926597</v>
      </c>
      <c r="H2330">
        <v>0.21611045623233699</v>
      </c>
      <c r="I2330">
        <v>0.18410232113639199</v>
      </c>
      <c r="J2330">
        <v>0.161133165536201</v>
      </c>
      <c r="K2330">
        <v>0.115955438450103</v>
      </c>
      <c r="L2330">
        <v>2380.1122367298699</v>
      </c>
      <c r="M2330">
        <v>41.4116833687251</v>
      </c>
      <c r="N2330">
        <v>57.964329434570502</v>
      </c>
      <c r="O2330">
        <v>57.340887388567701</v>
      </c>
      <c r="P2330">
        <v>-0.15389055685931399</v>
      </c>
      <c r="Q2330">
        <v>0.14766049365574899</v>
      </c>
      <c r="R2330">
        <v>0.90846753380842804</v>
      </c>
      <c r="S2330" t="s">
        <v>8615</v>
      </c>
      <c r="T2330" t="s">
        <v>12568</v>
      </c>
      <c r="U2330" t="s">
        <v>12568</v>
      </c>
      <c r="V2330" t="s">
        <v>12568</v>
      </c>
      <c r="W2330" t="s">
        <v>14864</v>
      </c>
      <c r="X2330">
        <v>42</v>
      </c>
      <c r="Y2330" t="s">
        <v>21039</v>
      </c>
      <c r="Z2330" t="s">
        <v>27200</v>
      </c>
      <c r="AA2330">
        <v>0.64725220410947604</v>
      </c>
      <c r="AB2330" t="str">
        <f>HYPERLINK("Melting_Curves/meltCurve_P50990_CCT8.pdf", "Melting_Curves/meltCurve_P50990_CCT8.pdf")</f>
        <v>Melting_Curves/meltCurve_P50990_CCT8.pdf</v>
      </c>
    </row>
    <row r="2331" spans="1:28" x14ac:dyDescent="0.25">
      <c r="A2331" t="s">
        <v>2335</v>
      </c>
      <c r="B2331">
        <v>0.99352677808782597</v>
      </c>
      <c r="C2331">
        <v>0.91959864347903097</v>
      </c>
      <c r="D2331">
        <v>0.61058904756965804</v>
      </c>
      <c r="E2331">
        <v>1.05959041622032</v>
      </c>
      <c r="F2331">
        <v>0.82517265011847496</v>
      </c>
      <c r="G2331">
        <v>0.48755798301673597</v>
      </c>
      <c r="H2331">
        <v>0.138470385374072</v>
      </c>
      <c r="I2331">
        <v>0.10184934879792</v>
      </c>
      <c r="J2331">
        <v>8.5635004025129399E-2</v>
      </c>
      <c r="K2331">
        <v>6.2687990650522593E-2</v>
      </c>
      <c r="L2331">
        <v>1509.1137933151999</v>
      </c>
      <c r="M2331">
        <v>26.745109038891201</v>
      </c>
      <c r="N2331">
        <v>56.687514822385303</v>
      </c>
      <c r="O2331">
        <v>56.1131594309118</v>
      </c>
      <c r="P2331">
        <v>-0.112237310153165</v>
      </c>
      <c r="Q2331">
        <v>5.8081940659970098E-2</v>
      </c>
      <c r="R2331">
        <v>0.888241210417963</v>
      </c>
      <c r="S2331" t="s">
        <v>8616</v>
      </c>
      <c r="T2331" t="s">
        <v>12568</v>
      </c>
      <c r="U2331" t="s">
        <v>12568</v>
      </c>
      <c r="V2331" t="s">
        <v>12568</v>
      </c>
      <c r="W2331" t="s">
        <v>14865</v>
      </c>
      <c r="X2331">
        <v>34</v>
      </c>
      <c r="Y2331" t="s">
        <v>21040</v>
      </c>
      <c r="Z2331" t="s">
        <v>27201</v>
      </c>
      <c r="AA2331">
        <v>0.58148981730400129</v>
      </c>
      <c r="AB2331" t="str">
        <f>HYPERLINK("Melting_Curves/meltCurve_P50991_CCT4.pdf", "Melting_Curves/meltCurve_P50991_CCT4.pdf")</f>
        <v>Melting_Curves/meltCurve_P50991_CCT4.pdf</v>
      </c>
    </row>
    <row r="2332" spans="1:28" x14ac:dyDescent="0.25">
      <c r="A2332" t="s">
        <v>2336</v>
      </c>
      <c r="B2332">
        <v>0.99352677808782597</v>
      </c>
      <c r="C2332">
        <v>0.95017351596127697</v>
      </c>
      <c r="D2332">
        <v>0.96169629057471695</v>
      </c>
      <c r="E2332">
        <v>0.37493838779883498</v>
      </c>
      <c r="F2332">
        <v>0.30197584395236499</v>
      </c>
      <c r="G2332">
        <v>0.18043520059825299</v>
      </c>
      <c r="H2332">
        <v>0.11657940815921899</v>
      </c>
      <c r="I2332">
        <v>0.10629320579722</v>
      </c>
      <c r="J2332">
        <v>8.2599723130668906E-2</v>
      </c>
      <c r="K2332">
        <v>6.2032274565505002E-2</v>
      </c>
      <c r="L2332">
        <v>1401.07574557421</v>
      </c>
      <c r="M2332">
        <v>28.520587614916</v>
      </c>
      <c r="N2332">
        <v>49.5732300368525</v>
      </c>
      <c r="O2332">
        <v>48.885477767424902</v>
      </c>
      <c r="P2332">
        <v>-0.129280811931131</v>
      </c>
      <c r="Q2332">
        <v>0.11363663142939701</v>
      </c>
      <c r="R2332">
        <v>0.98119287006884903</v>
      </c>
      <c r="S2332" t="s">
        <v>8617</v>
      </c>
      <c r="T2332" t="s">
        <v>12568</v>
      </c>
      <c r="U2332" t="s">
        <v>12568</v>
      </c>
      <c r="V2332" t="s">
        <v>12568</v>
      </c>
      <c r="W2332" t="s">
        <v>14866</v>
      </c>
      <c r="X2332">
        <v>22</v>
      </c>
      <c r="Y2332" t="s">
        <v>21041</v>
      </c>
      <c r="Z2332" t="s">
        <v>27202</v>
      </c>
      <c r="AA2332">
        <v>0.38923915970719941</v>
      </c>
      <c r="AB2332" t="str">
        <f>HYPERLINK("Melting_Curves/meltCurve_P51003_PAPOLA.pdf", "Melting_Curves/meltCurve_P51003_PAPOLA.pdf")</f>
        <v>Melting_Curves/meltCurve_P51003_PAPOLA.pdf</v>
      </c>
    </row>
    <row r="2333" spans="1:28" x14ac:dyDescent="0.25">
      <c r="A2333" t="s">
        <v>2337</v>
      </c>
      <c r="B2333">
        <v>0.99352677808782597</v>
      </c>
      <c r="C2333">
        <v>0.97283488548564101</v>
      </c>
      <c r="D2333">
        <v>0.88529458219448498</v>
      </c>
      <c r="E2333">
        <v>0.60556689933486596</v>
      </c>
      <c r="F2333">
        <v>0.54224262632210996</v>
      </c>
      <c r="G2333">
        <v>0.44543581854454001</v>
      </c>
      <c r="H2333">
        <v>0.37118977792112301</v>
      </c>
      <c r="I2333">
        <v>0.36464761138247498</v>
      </c>
      <c r="J2333">
        <v>0.37160981866363002</v>
      </c>
      <c r="K2333">
        <v>0.29969119992884302</v>
      </c>
      <c r="L2333">
        <v>803.49803251653805</v>
      </c>
      <c r="M2333">
        <v>16.150528958896</v>
      </c>
      <c r="N2333">
        <v>53.549287101321802</v>
      </c>
      <c r="O2333">
        <v>49.006580627040101</v>
      </c>
      <c r="P2333">
        <v>-5.4298941615220302E-2</v>
      </c>
      <c r="Q2333">
        <v>0.34099880618436101</v>
      </c>
      <c r="R2333">
        <v>0.98803912981342501</v>
      </c>
      <c r="S2333" t="s">
        <v>8618</v>
      </c>
      <c r="T2333" t="s">
        <v>12568</v>
      </c>
      <c r="U2333" t="s">
        <v>12568</v>
      </c>
      <c r="V2333" t="s">
        <v>12568</v>
      </c>
      <c r="W2333" t="s">
        <v>14867</v>
      </c>
      <c r="X2333">
        <v>14</v>
      </c>
      <c r="Y2333" t="s">
        <v>21042</v>
      </c>
      <c r="Z2333" t="s">
        <v>27203</v>
      </c>
      <c r="AA2333">
        <v>0.56902799358678047</v>
      </c>
      <c r="AB2333" t="str">
        <f>HYPERLINK("Melting_Curves/meltCurve_P51116_FXR2.pdf", "Melting_Curves/meltCurve_P51116_FXR2.pdf")</f>
        <v>Melting_Curves/meltCurve_P51116_FXR2.pdf</v>
      </c>
    </row>
    <row r="2334" spans="1:28" x14ac:dyDescent="0.25">
      <c r="A2334" t="s">
        <v>2338</v>
      </c>
      <c r="B2334">
        <v>0.99352677808782597</v>
      </c>
      <c r="C2334">
        <v>1.06359801398622</v>
      </c>
      <c r="D2334">
        <v>1.0147775693900201</v>
      </c>
      <c r="E2334">
        <v>0.90054956818103205</v>
      </c>
      <c r="F2334">
        <v>0.750721498545038</v>
      </c>
      <c r="G2334">
        <v>0.552842843956594</v>
      </c>
      <c r="H2334">
        <v>0.23646281379623901</v>
      </c>
      <c r="I2334">
        <v>0.156540231305175</v>
      </c>
      <c r="J2334">
        <v>0.10020430495459</v>
      </c>
      <c r="K2334">
        <v>7.3566057636748297E-2</v>
      </c>
      <c r="L2334">
        <v>949.75740090500904</v>
      </c>
      <c r="M2334">
        <v>16.674264219780699</v>
      </c>
      <c r="N2334">
        <v>57.127283603172501</v>
      </c>
      <c r="O2334">
        <v>56.159151606631802</v>
      </c>
      <c r="P2334">
        <v>-7.2458592909250899E-2</v>
      </c>
      <c r="Q2334">
        <v>2.3899280701819601E-2</v>
      </c>
      <c r="R2334">
        <v>0.99356196343109304</v>
      </c>
      <c r="S2334" t="s">
        <v>8619</v>
      </c>
      <c r="T2334" t="s">
        <v>12568</v>
      </c>
      <c r="U2334" t="s">
        <v>12568</v>
      </c>
      <c r="V2334" t="s">
        <v>12568</v>
      </c>
      <c r="W2334" t="s">
        <v>14868</v>
      </c>
      <c r="X2334">
        <v>10</v>
      </c>
      <c r="Y2334" t="s">
        <v>21043</v>
      </c>
      <c r="Z2334" t="s">
        <v>27204</v>
      </c>
      <c r="AA2334">
        <v>0.59011201406733327</v>
      </c>
      <c r="AB2334" t="str">
        <f>HYPERLINK("Melting_Curves/meltCurve_P51148_RAB5C.pdf", "Melting_Curves/meltCurve_P51148_RAB5C.pdf")</f>
        <v>Melting_Curves/meltCurve_P51148_RAB5C.pdf</v>
      </c>
    </row>
    <row r="2335" spans="1:28" x14ac:dyDescent="0.25">
      <c r="A2335" t="s">
        <v>2339</v>
      </c>
      <c r="B2335">
        <v>0.99352677808782597</v>
      </c>
      <c r="C2335">
        <v>1.0002013213385501</v>
      </c>
      <c r="D2335">
        <v>1.02134507010493</v>
      </c>
      <c r="E2335">
        <v>0.88530210932763198</v>
      </c>
      <c r="F2335">
        <v>0.77410238072121995</v>
      </c>
      <c r="G2335">
        <v>0.54959943263318201</v>
      </c>
      <c r="H2335">
        <v>0.284282662893657</v>
      </c>
      <c r="I2335">
        <v>0.213662377023978</v>
      </c>
      <c r="J2335">
        <v>0.13801166396297401</v>
      </c>
      <c r="K2335">
        <v>0.102416058575241</v>
      </c>
      <c r="L2335">
        <v>892.70625298613595</v>
      </c>
      <c r="M2335">
        <v>15.6465106961956</v>
      </c>
      <c r="N2335">
        <v>57.475705094553298</v>
      </c>
      <c r="O2335">
        <v>56.147053248376601</v>
      </c>
      <c r="P2335">
        <v>-6.5900829113151899E-2</v>
      </c>
      <c r="Q2335">
        <v>5.4148057491162298E-2</v>
      </c>
      <c r="R2335">
        <v>0.99741815901788999</v>
      </c>
      <c r="S2335" t="s">
        <v>8620</v>
      </c>
      <c r="T2335" t="s">
        <v>12568</v>
      </c>
      <c r="U2335" t="s">
        <v>12568</v>
      </c>
      <c r="V2335" t="s">
        <v>12568</v>
      </c>
      <c r="W2335" t="s">
        <v>14869</v>
      </c>
      <c r="X2335">
        <v>8</v>
      </c>
      <c r="Y2335" t="s">
        <v>21044</v>
      </c>
      <c r="Z2335" t="s">
        <v>27205</v>
      </c>
      <c r="AA2335">
        <v>0.6063323348647971</v>
      </c>
      <c r="AB2335" t="str">
        <f>HYPERLINK("Melting_Curves/meltCurve_P51149_RAB7A.pdf", "Melting_Curves/meltCurve_P51149_RAB7A.pdf")</f>
        <v>Melting_Curves/meltCurve_P51149_RAB7A.pdf</v>
      </c>
    </row>
    <row r="2336" spans="1:28" x14ac:dyDescent="0.25">
      <c r="A2336" t="s">
        <v>2340</v>
      </c>
      <c r="B2336">
        <v>0.99352677808782597</v>
      </c>
      <c r="C2336">
        <v>0.83789871609233502</v>
      </c>
      <c r="D2336">
        <v>0.693290503963648</v>
      </c>
      <c r="E2336">
        <v>0.34053693138804703</v>
      </c>
      <c r="F2336">
        <v>0.280783921464409</v>
      </c>
      <c r="G2336">
        <v>0.175278011715017</v>
      </c>
      <c r="H2336">
        <v>0.110913520294061</v>
      </c>
      <c r="I2336">
        <v>0.10518557268546599</v>
      </c>
      <c r="J2336">
        <v>7.2679230025910396E-2</v>
      </c>
      <c r="K2336">
        <v>5.7724702254202002E-2</v>
      </c>
      <c r="L2336">
        <v>716.73770171651597</v>
      </c>
      <c r="M2336">
        <v>14.9873764808068</v>
      </c>
      <c r="N2336">
        <v>48.3368346195954</v>
      </c>
      <c r="O2336">
        <v>46.995589546760797</v>
      </c>
      <c r="P2336">
        <v>-7.38614504606111E-2</v>
      </c>
      <c r="Q2336">
        <v>7.3671004299418905E-2</v>
      </c>
      <c r="R2336">
        <v>0.99281916152595295</v>
      </c>
      <c r="S2336" t="s">
        <v>8621</v>
      </c>
      <c r="T2336" t="s">
        <v>12568</v>
      </c>
      <c r="U2336" t="s">
        <v>12568</v>
      </c>
      <c r="V2336" t="s">
        <v>12568</v>
      </c>
      <c r="W2336" t="s">
        <v>14870</v>
      </c>
      <c r="X2336">
        <v>7</v>
      </c>
      <c r="Y2336" t="s">
        <v>21045</v>
      </c>
      <c r="Z2336" t="s">
        <v>27206</v>
      </c>
      <c r="AA2336">
        <v>0.33930219801837769</v>
      </c>
      <c r="AB2336" t="str">
        <f>HYPERLINK("Melting_Curves/meltCurve_P51153_RAB13.pdf", "Melting_Curves/meltCurve_P51153_RAB13.pdf")</f>
        <v>Melting_Curves/meltCurve_P51153_RAB13.pdf</v>
      </c>
    </row>
    <row r="2337" spans="1:28" x14ac:dyDescent="0.25">
      <c r="A2337" t="s">
        <v>2341</v>
      </c>
      <c r="B2337">
        <v>0.99352677808782597</v>
      </c>
      <c r="C2337">
        <v>0.88872412441387305</v>
      </c>
      <c r="D2337">
        <v>0.66268712225009696</v>
      </c>
      <c r="E2337">
        <v>0.23853845298422599</v>
      </c>
      <c r="F2337">
        <v>0.18486271582232</v>
      </c>
      <c r="G2337">
        <v>0.120432754621543</v>
      </c>
      <c r="H2337">
        <v>6.9261480444110096E-2</v>
      </c>
      <c r="I2337">
        <v>6.01976475014286E-2</v>
      </c>
      <c r="J2337">
        <v>4.8492451435000597E-2</v>
      </c>
      <c r="K2337">
        <v>6.8372316043974299E-2</v>
      </c>
      <c r="L2337">
        <v>1010.85595509289</v>
      </c>
      <c r="M2337">
        <v>21.4746211835797</v>
      </c>
      <c r="N2337">
        <v>47.398885615068799</v>
      </c>
      <c r="O2337">
        <v>46.669632463688203</v>
      </c>
      <c r="P2337">
        <v>-0.107123072905634</v>
      </c>
      <c r="Q2337">
        <v>6.8803757787799194E-2</v>
      </c>
      <c r="R2337">
        <v>0.99603242707358197</v>
      </c>
      <c r="S2337" t="s">
        <v>8622</v>
      </c>
      <c r="T2337" t="s">
        <v>12568</v>
      </c>
      <c r="U2337" t="s">
        <v>12568</v>
      </c>
      <c r="V2337" t="s">
        <v>12568</v>
      </c>
      <c r="W2337" t="s">
        <v>14871</v>
      </c>
      <c r="X2337">
        <v>4</v>
      </c>
      <c r="Y2337" t="s">
        <v>21046</v>
      </c>
      <c r="Z2337" t="s">
        <v>27207</v>
      </c>
      <c r="AA2337">
        <v>0.29993784503603999</v>
      </c>
      <c r="AB2337" t="str">
        <f>HYPERLINK("Melting_Curves/meltCurve_P51157_3_RAB28.pdf", "Melting_Curves/meltCurve_P51157_3_RAB28.pdf")</f>
        <v>Melting_Curves/meltCurve_P51157_3_RAB28.pdf</v>
      </c>
    </row>
    <row r="2338" spans="1:28" x14ac:dyDescent="0.25">
      <c r="A2338" t="s">
        <v>2342</v>
      </c>
      <c r="B2338">
        <v>0.99352677808782597</v>
      </c>
      <c r="C2338">
        <v>1.0267631656632701</v>
      </c>
      <c r="D2338">
        <v>1.0057939951714601</v>
      </c>
      <c r="E2338">
        <v>0.89147859468912305</v>
      </c>
      <c r="F2338">
        <v>0.75868099704022196</v>
      </c>
      <c r="G2338">
        <v>0.64718614871966296</v>
      </c>
      <c r="H2338">
        <v>0.51217566097790501</v>
      </c>
      <c r="I2338">
        <v>0.54914143066194898</v>
      </c>
      <c r="J2338">
        <v>0.53869065704804997</v>
      </c>
      <c r="K2338">
        <v>0.46337708551170798</v>
      </c>
      <c r="L2338">
        <v>995.65316588735902</v>
      </c>
      <c r="M2338">
        <v>18.570424064886801</v>
      </c>
      <c r="O2338">
        <v>53.004863145961302</v>
      </c>
      <c r="P2338">
        <v>-4.4084032983273298E-2</v>
      </c>
      <c r="Q2338">
        <v>0.496712211572995</v>
      </c>
      <c r="R2338">
        <v>0.98434665120095099</v>
      </c>
      <c r="S2338" t="s">
        <v>8623</v>
      </c>
      <c r="T2338" t="s">
        <v>12568</v>
      </c>
      <c r="U2338" t="s">
        <v>12568</v>
      </c>
      <c r="V2338" t="s">
        <v>12568</v>
      </c>
      <c r="W2338" t="s">
        <v>14872</v>
      </c>
      <c r="X2338">
        <v>1</v>
      </c>
      <c r="Y2338" t="s">
        <v>21047</v>
      </c>
      <c r="Z2338" t="s">
        <v>27208</v>
      </c>
      <c r="AA2338">
        <v>0.73287005209578426</v>
      </c>
      <c r="AB2338" t="str">
        <f>HYPERLINK("Melting_Curves/meltCurve_P51161_FABP6.pdf", "Melting_Curves/meltCurve_P51161_FABP6.pdf")</f>
        <v>Melting_Curves/meltCurve_P51161_FABP6.pdf</v>
      </c>
    </row>
    <row r="2339" spans="1:28" x14ac:dyDescent="0.25">
      <c r="A2339" t="s">
        <v>2343</v>
      </c>
      <c r="B2339">
        <v>0.99352677808782597</v>
      </c>
      <c r="C2339">
        <v>0.91355363392829103</v>
      </c>
      <c r="D2339">
        <v>0.72378671633917602</v>
      </c>
      <c r="E2339">
        <v>0.24624937337615499</v>
      </c>
      <c r="F2339">
        <v>0.29086817906676599</v>
      </c>
      <c r="G2339">
        <v>0.25408771684542802</v>
      </c>
      <c r="H2339">
        <v>0.20823199083475999</v>
      </c>
      <c r="I2339">
        <v>0.20095403886305699</v>
      </c>
      <c r="J2339">
        <v>0</v>
      </c>
      <c r="K2339">
        <v>0</v>
      </c>
      <c r="L2339">
        <v>955.68668524204497</v>
      </c>
      <c r="M2339">
        <v>20.170838415457801</v>
      </c>
      <c r="N2339">
        <v>48.054745283373002</v>
      </c>
      <c r="O2339">
        <v>46.9213076332436</v>
      </c>
      <c r="P2339">
        <v>-9.4214345975230401E-2</v>
      </c>
      <c r="Q2339">
        <v>0.123383743802695</v>
      </c>
      <c r="R2339">
        <v>0.93977565833176202</v>
      </c>
      <c r="S2339" t="s">
        <v>8624</v>
      </c>
      <c r="T2339" t="s">
        <v>12568</v>
      </c>
      <c r="U2339" t="s">
        <v>12568</v>
      </c>
      <c r="V2339" t="s">
        <v>12568</v>
      </c>
      <c r="W2339" t="s">
        <v>14873</v>
      </c>
      <c r="X2339">
        <v>2</v>
      </c>
      <c r="Y2339" t="s">
        <v>21048</v>
      </c>
      <c r="Z2339" t="s">
        <v>27209</v>
      </c>
      <c r="AA2339">
        <v>0.35144764219695768</v>
      </c>
      <c r="AB2339" t="str">
        <f>HYPERLINK("Melting_Curves/meltCurve_P51178_PLCD1.pdf", "Melting_Curves/meltCurve_P51178_PLCD1.pdf")</f>
        <v>Melting_Curves/meltCurve_P51178_PLCD1.pdf</v>
      </c>
    </row>
    <row r="2340" spans="1:28" x14ac:dyDescent="0.25">
      <c r="A2340" t="s">
        <v>2344</v>
      </c>
      <c r="B2340">
        <v>0.99352677808782597</v>
      </c>
      <c r="C2340">
        <v>0.86930332855010195</v>
      </c>
      <c r="D2340">
        <v>0.85774471744479497</v>
      </c>
      <c r="E2340">
        <v>1.0049685887514199</v>
      </c>
      <c r="F2340">
        <v>1.10645471665091</v>
      </c>
      <c r="G2340">
        <v>0.56473087965839597</v>
      </c>
      <c r="H2340">
        <v>0.91683917209448496</v>
      </c>
      <c r="I2340">
        <v>0.66293057178266801</v>
      </c>
      <c r="J2340">
        <v>1.2430413926732899</v>
      </c>
      <c r="K2340">
        <v>0.483645029691046</v>
      </c>
      <c r="L2340">
        <v>215.35840451740901</v>
      </c>
      <c r="M2340">
        <v>1.91967771478553</v>
      </c>
      <c r="O2340">
        <v>64.947685578667404</v>
      </c>
      <c r="P2340">
        <v>-8.1202086047682202E-3</v>
      </c>
      <c r="Q2340">
        <v>0</v>
      </c>
      <c r="R2340">
        <v>8.3767348021223403E-2</v>
      </c>
      <c r="S2340" t="s">
        <v>8625</v>
      </c>
      <c r="T2340" t="s">
        <v>12568</v>
      </c>
      <c r="U2340" t="s">
        <v>12568</v>
      </c>
      <c r="V2340" t="s">
        <v>12568</v>
      </c>
      <c r="W2340" t="s">
        <v>14874</v>
      </c>
      <c r="X2340">
        <v>1</v>
      </c>
      <c r="Y2340" t="s">
        <v>21049</v>
      </c>
      <c r="Z2340" t="s">
        <v>27210</v>
      </c>
      <c r="AA2340">
        <v>0.8753257785056433</v>
      </c>
      <c r="AB2340" t="str">
        <f>HYPERLINK("Melting_Curves/meltCurve_P51397_DAP.pdf", "Melting_Curves/meltCurve_P51397_DAP.pdf")</f>
        <v>Melting_Curves/meltCurve_P51397_DAP.pdf</v>
      </c>
    </row>
    <row r="2341" spans="1:28" x14ac:dyDescent="0.25">
      <c r="A2341" t="s">
        <v>2345</v>
      </c>
      <c r="B2341">
        <v>0.99352677808782597</v>
      </c>
      <c r="C2341">
        <v>0.90216744934383397</v>
      </c>
      <c r="D2341">
        <v>1.00765334604103</v>
      </c>
      <c r="E2341">
        <v>0.45012593659663103</v>
      </c>
      <c r="F2341">
        <v>0.362124427420423</v>
      </c>
      <c r="G2341">
        <v>0.17001381703931001</v>
      </c>
      <c r="H2341">
        <v>0.117039671679096</v>
      </c>
      <c r="I2341">
        <v>0.108416438057634</v>
      </c>
      <c r="J2341">
        <v>8.5658594467876395E-2</v>
      </c>
      <c r="K2341">
        <v>3.71898586495805E-2</v>
      </c>
      <c r="L2341">
        <v>1106.4503311109199</v>
      </c>
      <c r="M2341">
        <v>22.108522748988602</v>
      </c>
      <c r="N2341">
        <v>50.495449561419903</v>
      </c>
      <c r="O2341">
        <v>49.642269918939597</v>
      </c>
      <c r="P2341">
        <v>-0.101403657626811</v>
      </c>
      <c r="Q2341">
        <v>8.9256645689427094E-2</v>
      </c>
      <c r="R2341">
        <v>0.97283924010046297</v>
      </c>
      <c r="S2341" t="s">
        <v>8626</v>
      </c>
      <c r="T2341" t="s">
        <v>12568</v>
      </c>
      <c r="U2341" t="s">
        <v>12568</v>
      </c>
      <c r="V2341" t="s">
        <v>12568</v>
      </c>
      <c r="W2341" t="s">
        <v>14875</v>
      </c>
      <c r="X2341">
        <v>3</v>
      </c>
      <c r="Y2341" t="s">
        <v>21050</v>
      </c>
      <c r="Z2341" t="s">
        <v>27211</v>
      </c>
      <c r="AA2341">
        <v>0.40465358283910019</v>
      </c>
      <c r="AB2341" t="str">
        <f>HYPERLINK("Melting_Curves/meltCurve_P51398_2_DAP3.pdf", "Melting_Curves/meltCurve_P51398_2_DAP3.pdf")</f>
        <v>Melting_Curves/meltCurve_P51398_2_DAP3.pdf</v>
      </c>
    </row>
    <row r="2342" spans="1:28" x14ac:dyDescent="0.25">
      <c r="A2342" t="s">
        <v>2346</v>
      </c>
      <c r="B2342">
        <v>0.99352677808782597</v>
      </c>
      <c r="C2342">
        <v>1.0150977845708999</v>
      </c>
      <c r="D2342">
        <v>1.0288848379197</v>
      </c>
      <c r="E2342">
        <v>0.85833815024383797</v>
      </c>
      <c r="F2342">
        <v>0.75135697326935103</v>
      </c>
      <c r="G2342">
        <v>0.40106420386788799</v>
      </c>
      <c r="H2342">
        <v>0.16829424907947199</v>
      </c>
      <c r="I2342">
        <v>0.15598984508458999</v>
      </c>
      <c r="J2342">
        <v>0.11828261741960699</v>
      </c>
      <c r="K2342">
        <v>9.3143035724635295E-2</v>
      </c>
      <c r="L2342">
        <v>1150.5367629</v>
      </c>
      <c r="M2342">
        <v>20.851390636853001</v>
      </c>
      <c r="N2342">
        <v>55.6941380042107</v>
      </c>
      <c r="O2342">
        <v>54.677949640093999</v>
      </c>
      <c r="P2342">
        <v>-8.69627789699709E-2</v>
      </c>
      <c r="Q2342">
        <v>8.7866093284124897E-2</v>
      </c>
      <c r="R2342">
        <v>0.99579071805836405</v>
      </c>
      <c r="S2342" t="s">
        <v>8627</v>
      </c>
      <c r="T2342" t="s">
        <v>12568</v>
      </c>
      <c r="U2342" t="s">
        <v>12568</v>
      </c>
      <c r="V2342" t="s">
        <v>12568</v>
      </c>
      <c r="W2342" t="s">
        <v>14876</v>
      </c>
      <c r="X2342">
        <v>6</v>
      </c>
      <c r="Y2342" t="s">
        <v>21051</v>
      </c>
      <c r="Z2342" t="s">
        <v>27212</v>
      </c>
      <c r="AA2342">
        <v>0.56069541817453483</v>
      </c>
      <c r="AB2342" t="str">
        <f>HYPERLINK("Melting_Curves/meltCurve_P51452_DUSP3.pdf", "Melting_Curves/meltCurve_P51452_DUSP3.pdf")</f>
        <v>Melting_Curves/meltCurve_P51452_DUSP3.pdf</v>
      </c>
    </row>
    <row r="2343" spans="1:28" x14ac:dyDescent="0.25">
      <c r="A2343" t="s">
        <v>2347</v>
      </c>
      <c r="B2343">
        <v>0.99352677808782597</v>
      </c>
      <c r="C2343">
        <v>0.97171536391448898</v>
      </c>
      <c r="D2343">
        <v>0.97305343129898103</v>
      </c>
      <c r="E2343">
        <v>0.71132697951221402</v>
      </c>
      <c r="F2343">
        <v>0.64665733913616796</v>
      </c>
      <c r="G2343">
        <v>0.3086190134574</v>
      </c>
      <c r="H2343">
        <v>0.185828291238812</v>
      </c>
      <c r="I2343">
        <v>0.17625313916007701</v>
      </c>
      <c r="J2343">
        <v>0.18411692023475801</v>
      </c>
      <c r="K2343">
        <v>0.13251916410980299</v>
      </c>
      <c r="L2343">
        <v>902.07451645241201</v>
      </c>
      <c r="M2343">
        <v>16.964241381310099</v>
      </c>
      <c r="N2343">
        <v>54.096823679314902</v>
      </c>
      <c r="O2343">
        <v>52.452642009744601</v>
      </c>
      <c r="P2343">
        <v>-7.0710922462255202E-2</v>
      </c>
      <c r="Q2343">
        <v>0.12551501437102799</v>
      </c>
      <c r="R2343">
        <v>0.98892332225006596</v>
      </c>
      <c r="S2343" t="s">
        <v>8628</v>
      </c>
      <c r="T2343" t="s">
        <v>12568</v>
      </c>
      <c r="U2343" t="s">
        <v>12568</v>
      </c>
      <c r="V2343" t="s">
        <v>12568</v>
      </c>
      <c r="W2343" t="s">
        <v>14877</v>
      </c>
      <c r="X2343">
        <v>6</v>
      </c>
      <c r="Y2343" t="s">
        <v>21052</v>
      </c>
      <c r="Z2343" t="s">
        <v>27213</v>
      </c>
      <c r="AA2343">
        <v>0.52520223451809178</v>
      </c>
      <c r="AB2343" t="str">
        <f>HYPERLINK("Melting_Curves/meltCurve_P51513_4_NOVA1.pdf", "Melting_Curves/meltCurve_P51513_4_NOVA1.pdf")</f>
        <v>Melting_Curves/meltCurve_P51513_4_NOVA1.pdf</v>
      </c>
    </row>
    <row r="2344" spans="1:28" x14ac:dyDescent="0.25">
      <c r="A2344" t="s">
        <v>2348</v>
      </c>
      <c r="B2344">
        <v>0.99352677808782597</v>
      </c>
      <c r="C2344">
        <v>0.95038270594225904</v>
      </c>
      <c r="D2344">
        <v>0.84993819625449596</v>
      </c>
      <c r="E2344">
        <v>0.614421052912134</v>
      </c>
      <c r="F2344">
        <v>0.54379208128807799</v>
      </c>
      <c r="G2344">
        <v>0.429080917719321</v>
      </c>
      <c r="H2344">
        <v>0.383100563567143</v>
      </c>
      <c r="I2344">
        <v>0.36180248172823498</v>
      </c>
      <c r="J2344">
        <v>0.28857883510327398</v>
      </c>
      <c r="K2344">
        <v>0.24611597152908299</v>
      </c>
      <c r="L2344">
        <v>611.67106070949103</v>
      </c>
      <c r="M2344">
        <v>12.0701399528138</v>
      </c>
      <c r="N2344">
        <v>54.105638947839701</v>
      </c>
      <c r="O2344">
        <v>49.345516809421603</v>
      </c>
      <c r="P2344">
        <v>-4.4813790717643798E-2</v>
      </c>
      <c r="Q2344">
        <v>0.26733629884787402</v>
      </c>
      <c r="R2344">
        <v>0.98718338496589098</v>
      </c>
      <c r="S2344" t="s">
        <v>8629</v>
      </c>
      <c r="T2344" t="s">
        <v>12568</v>
      </c>
      <c r="U2344" t="s">
        <v>12568</v>
      </c>
      <c r="V2344" t="s">
        <v>12568</v>
      </c>
      <c r="W2344" t="s">
        <v>14878</v>
      </c>
      <c r="X2344">
        <v>14</v>
      </c>
      <c r="Y2344" t="s">
        <v>21053</v>
      </c>
      <c r="Z2344" t="s">
        <v>27214</v>
      </c>
      <c r="AA2344">
        <v>0.55223392644617175</v>
      </c>
      <c r="AB2344" t="str">
        <f>HYPERLINK("Melting_Curves/meltCurve_P51531_2_SMARCA2.pdf", "Melting_Curves/meltCurve_P51531_2_SMARCA2.pdf")</f>
        <v>Melting_Curves/meltCurve_P51531_2_SMARCA2.pdf</v>
      </c>
    </row>
    <row r="2345" spans="1:28" x14ac:dyDescent="0.25">
      <c r="A2345" t="s">
        <v>2349</v>
      </c>
      <c r="B2345">
        <v>0.99352677808782597</v>
      </c>
      <c r="C2345">
        <v>0.78509301653753305</v>
      </c>
      <c r="D2345">
        <v>0.83721675499298498</v>
      </c>
      <c r="E2345">
        <v>0.49361599959223701</v>
      </c>
      <c r="F2345">
        <v>0.41769132349985599</v>
      </c>
      <c r="G2345">
        <v>0.231139319191144</v>
      </c>
      <c r="H2345">
        <v>0.12000401247152601</v>
      </c>
      <c r="I2345">
        <v>0.101428197271262</v>
      </c>
      <c r="J2345">
        <v>8.7300126034329906E-2</v>
      </c>
      <c r="K2345">
        <v>7.2643798644407606E-2</v>
      </c>
      <c r="L2345">
        <v>570.01285928033997</v>
      </c>
      <c r="M2345">
        <v>11.2812213985512</v>
      </c>
      <c r="N2345">
        <v>50.724456168015799</v>
      </c>
      <c r="O2345">
        <v>49.017963341287498</v>
      </c>
      <c r="P2345">
        <v>-5.6320966579068502E-2</v>
      </c>
      <c r="Q2345">
        <v>2.14200490448553E-2</v>
      </c>
      <c r="R2345">
        <v>0.98012780517415399</v>
      </c>
      <c r="S2345" t="s">
        <v>8630</v>
      </c>
      <c r="T2345" t="s">
        <v>12568</v>
      </c>
      <c r="U2345" t="s">
        <v>12568</v>
      </c>
      <c r="V2345" t="s">
        <v>12568</v>
      </c>
      <c r="W2345" t="s">
        <v>14879</v>
      </c>
      <c r="X2345">
        <v>4</v>
      </c>
      <c r="Y2345" t="s">
        <v>21054</v>
      </c>
      <c r="Z2345" t="s">
        <v>27215</v>
      </c>
      <c r="AA2345">
        <v>0.40076134378701478</v>
      </c>
      <c r="AB2345" t="str">
        <f>HYPERLINK("Melting_Curves/meltCurve_P51553_IDH3G.pdf", "Melting_Curves/meltCurve_P51553_IDH3G.pdf")</f>
        <v>Melting_Curves/meltCurve_P51553_IDH3G.pdf</v>
      </c>
    </row>
    <row r="2346" spans="1:28" x14ac:dyDescent="0.25">
      <c r="A2346" t="s">
        <v>2350</v>
      </c>
      <c r="B2346">
        <v>0.99352677808782597</v>
      </c>
      <c r="C2346">
        <v>0.94848806644782002</v>
      </c>
      <c r="D2346">
        <v>0.92225634276972601</v>
      </c>
      <c r="E2346">
        <v>0.29536648428272999</v>
      </c>
      <c r="F2346">
        <v>0.24974428827237499</v>
      </c>
      <c r="G2346">
        <v>0.14079384208975601</v>
      </c>
      <c r="H2346">
        <v>0.12092371467018501</v>
      </c>
      <c r="I2346">
        <v>0.12595337192088499</v>
      </c>
      <c r="J2346">
        <v>7.9575131308099206E-2</v>
      </c>
      <c r="K2346">
        <v>6.4141862181340797E-2</v>
      </c>
      <c r="L2346">
        <v>1796.0444301738401</v>
      </c>
      <c r="M2346">
        <v>37.069591122444699</v>
      </c>
      <c r="N2346">
        <v>48.80866546232</v>
      </c>
      <c r="O2346">
        <v>48.310241755761503</v>
      </c>
      <c r="P2346">
        <v>-0.16899412556367299</v>
      </c>
      <c r="Q2346">
        <v>0.119048580294673</v>
      </c>
      <c r="R2346">
        <v>0.98691164570095202</v>
      </c>
      <c r="S2346" t="s">
        <v>8631</v>
      </c>
      <c r="T2346" t="s">
        <v>12568</v>
      </c>
      <c r="U2346" t="s">
        <v>12568</v>
      </c>
      <c r="V2346" t="s">
        <v>12568</v>
      </c>
      <c r="W2346" t="s">
        <v>14880</v>
      </c>
      <c r="X2346">
        <v>19</v>
      </c>
      <c r="Y2346" t="s">
        <v>21055</v>
      </c>
      <c r="Z2346" t="s">
        <v>27216</v>
      </c>
      <c r="AA2346">
        <v>0.37065151316501338</v>
      </c>
      <c r="AB2346" t="str">
        <f>HYPERLINK("Melting_Curves/meltCurve_P51570_GALK1.pdf", "Melting_Curves/meltCurve_P51570_GALK1.pdf")</f>
        <v>Melting_Curves/meltCurve_P51570_GALK1.pdf</v>
      </c>
    </row>
    <row r="2347" spans="1:28" x14ac:dyDescent="0.25">
      <c r="A2347" t="s">
        <v>2351</v>
      </c>
      <c r="B2347">
        <v>0.99352677808782597</v>
      </c>
      <c r="C2347">
        <v>1.0377063839821301</v>
      </c>
      <c r="D2347">
        <v>1.0043438917740299</v>
      </c>
      <c r="E2347">
        <v>0.83124485235927104</v>
      </c>
      <c r="F2347">
        <v>0.70708051218972601</v>
      </c>
      <c r="G2347">
        <v>0.55453303326077097</v>
      </c>
      <c r="H2347">
        <v>0.38247318412472597</v>
      </c>
      <c r="I2347">
        <v>0.38449619024440901</v>
      </c>
      <c r="J2347">
        <v>0.35096781213614298</v>
      </c>
      <c r="K2347">
        <v>0.247550345577915</v>
      </c>
      <c r="L2347">
        <v>788.34489779038802</v>
      </c>
      <c r="M2347">
        <v>14.3674968424176</v>
      </c>
      <c r="N2347">
        <v>57.929681158304597</v>
      </c>
      <c r="O2347">
        <v>53.839892632362798</v>
      </c>
      <c r="P2347">
        <v>-4.89808410425282E-2</v>
      </c>
      <c r="Q2347">
        <v>0.265896409409835</v>
      </c>
      <c r="R2347">
        <v>0.986250166892777</v>
      </c>
      <c r="S2347" t="s">
        <v>8632</v>
      </c>
      <c r="T2347" t="s">
        <v>12568</v>
      </c>
      <c r="U2347" t="s">
        <v>12568</v>
      </c>
      <c r="V2347" t="s">
        <v>12568</v>
      </c>
      <c r="W2347" t="s">
        <v>14881</v>
      </c>
      <c r="X2347">
        <v>2</v>
      </c>
      <c r="Y2347" t="s">
        <v>21056</v>
      </c>
      <c r="Z2347" t="s">
        <v>27217</v>
      </c>
      <c r="AA2347">
        <v>0.64471540886346734</v>
      </c>
      <c r="AB2347" t="str">
        <f>HYPERLINK("Melting_Curves/meltCurve_P51572_BCAP31.pdf", "Melting_Curves/meltCurve_P51572_BCAP31.pdf")</f>
        <v>Melting_Curves/meltCurve_P51572_BCAP31.pdf</v>
      </c>
    </row>
    <row r="2348" spans="1:28" x14ac:dyDescent="0.25">
      <c r="A2348" t="s">
        <v>2352</v>
      </c>
      <c r="B2348">
        <v>0.99352677808782597</v>
      </c>
      <c r="C2348">
        <v>0.95055204027419105</v>
      </c>
      <c r="D2348">
        <v>0.98363289411194799</v>
      </c>
      <c r="E2348">
        <v>0.84553036724655395</v>
      </c>
      <c r="F2348">
        <v>0.75063721749690704</v>
      </c>
      <c r="G2348">
        <v>0.46721358089243697</v>
      </c>
      <c r="H2348">
        <v>0.13072238769200201</v>
      </c>
      <c r="I2348">
        <v>9.4217793575792796E-2</v>
      </c>
      <c r="J2348">
        <v>7.74000716620412E-2</v>
      </c>
      <c r="K2348">
        <v>6.5050498640082194E-2</v>
      </c>
      <c r="L2348">
        <v>1020.05047474753</v>
      </c>
      <c r="M2348">
        <v>18.249053172523801</v>
      </c>
      <c r="N2348">
        <v>56.004085376553398</v>
      </c>
      <c r="O2348">
        <v>55.237845869126502</v>
      </c>
      <c r="P2348">
        <v>-8.1168395985767902E-2</v>
      </c>
      <c r="Q2348">
        <v>1.72952525386957E-2</v>
      </c>
      <c r="R2348">
        <v>0.99224110373121099</v>
      </c>
      <c r="S2348" t="s">
        <v>8633</v>
      </c>
      <c r="T2348" t="s">
        <v>12568</v>
      </c>
      <c r="U2348" t="s">
        <v>12568</v>
      </c>
      <c r="V2348" t="s">
        <v>12568</v>
      </c>
      <c r="W2348" t="s">
        <v>14882</v>
      </c>
      <c r="X2348">
        <v>9</v>
      </c>
      <c r="Y2348" t="s">
        <v>21057</v>
      </c>
      <c r="Z2348" t="s">
        <v>27218</v>
      </c>
      <c r="AA2348">
        <v>0.55232222666230768</v>
      </c>
      <c r="AB2348" t="str">
        <f>HYPERLINK("Melting_Curves/meltCurve_P51580_TPMT.pdf", "Melting_Curves/meltCurve_P51580_TPMT.pdf")</f>
        <v>Melting_Curves/meltCurve_P51580_TPMT.pdf</v>
      </c>
    </row>
    <row r="2349" spans="1:28" x14ac:dyDescent="0.25">
      <c r="A2349" t="s">
        <v>2353</v>
      </c>
      <c r="B2349">
        <v>0.99352677808782597</v>
      </c>
      <c r="C2349">
        <v>0.971550176968626</v>
      </c>
      <c r="D2349">
        <v>0.93018896234764803</v>
      </c>
      <c r="E2349">
        <v>0.71202277367299305</v>
      </c>
      <c r="F2349">
        <v>0.60448291581246905</v>
      </c>
      <c r="G2349">
        <v>0.55258702152317396</v>
      </c>
      <c r="H2349">
        <v>0.51494949209986596</v>
      </c>
      <c r="I2349">
        <v>0.53879158673935101</v>
      </c>
      <c r="J2349">
        <v>0.508264350489818</v>
      </c>
      <c r="K2349">
        <v>0.441550365171201</v>
      </c>
      <c r="L2349">
        <v>980.46362611387599</v>
      </c>
      <c r="M2349">
        <v>19.782767186523198</v>
      </c>
      <c r="N2349">
        <v>68.706300779328203</v>
      </c>
      <c r="O2349">
        <v>49.063400986032697</v>
      </c>
      <c r="P2349">
        <v>-5.0606183064099301E-2</v>
      </c>
      <c r="Q2349">
        <v>0.497981810864634</v>
      </c>
      <c r="R2349">
        <v>0.98582221078644805</v>
      </c>
      <c r="S2349" t="s">
        <v>8634</v>
      </c>
      <c r="T2349" t="s">
        <v>12568</v>
      </c>
      <c r="U2349" t="s">
        <v>12568</v>
      </c>
      <c r="V2349" t="s">
        <v>12568</v>
      </c>
      <c r="W2349" t="s">
        <v>14883</v>
      </c>
      <c r="X2349">
        <v>4</v>
      </c>
      <c r="Y2349" t="s">
        <v>21058</v>
      </c>
      <c r="Z2349" t="s">
        <v>27219</v>
      </c>
      <c r="AA2349">
        <v>0.66513990577007565</v>
      </c>
      <c r="AB2349" t="str">
        <f>HYPERLINK("Melting_Curves/meltCurve_P51587_BRCA2.pdf", "Melting_Curves/meltCurve_P51587_BRCA2.pdf")</f>
        <v>Melting_Curves/meltCurve_P51587_BRCA2.pdf</v>
      </c>
    </row>
    <row r="2350" spans="1:28" x14ac:dyDescent="0.25">
      <c r="A2350" t="s">
        <v>2354</v>
      </c>
      <c r="B2350">
        <v>0.99352677808782597</v>
      </c>
      <c r="C2350">
        <v>1.15231520267487</v>
      </c>
      <c r="D2350">
        <v>0.83912930281042397</v>
      </c>
      <c r="E2350">
        <v>1.42338136323625</v>
      </c>
      <c r="F2350">
        <v>1.2207085397366499</v>
      </c>
      <c r="G2350">
        <v>0.52966503864284897</v>
      </c>
      <c r="H2350">
        <v>0.20100297485763599</v>
      </c>
      <c r="I2350">
        <v>0.19984561465612999</v>
      </c>
      <c r="J2350">
        <v>0.10747900046208</v>
      </c>
      <c r="K2350">
        <v>0.103359768708675</v>
      </c>
      <c r="L2350">
        <v>12160.016300257599</v>
      </c>
      <c r="M2350">
        <v>213.55549890025401</v>
      </c>
      <c r="N2350">
        <v>57.0382809994965</v>
      </c>
      <c r="O2350">
        <v>56.935784842153701</v>
      </c>
      <c r="P2350">
        <v>-0.79430817231322703</v>
      </c>
      <c r="Q2350">
        <v>0.15292166622928499</v>
      </c>
      <c r="R2350">
        <v>0.87743713590666705</v>
      </c>
      <c r="S2350" t="s">
        <v>8635</v>
      </c>
      <c r="T2350" t="s">
        <v>12568</v>
      </c>
      <c r="U2350" t="s">
        <v>12568</v>
      </c>
      <c r="V2350" t="s">
        <v>12568</v>
      </c>
      <c r="W2350" t="s">
        <v>14884</v>
      </c>
      <c r="X2350">
        <v>1</v>
      </c>
      <c r="Y2350" t="s">
        <v>21059</v>
      </c>
      <c r="Z2350" t="s">
        <v>27220</v>
      </c>
      <c r="AA2350">
        <v>0.63137655415696226</v>
      </c>
      <c r="AB2350" t="str">
        <f>HYPERLINK("Melting_Curves/meltCurve_P51589_CYP2J2.pdf", "Melting_Curves/meltCurve_P51589_CYP2J2.pdf")</f>
        <v>Melting_Curves/meltCurve_P51589_CYP2J2.pdf</v>
      </c>
    </row>
    <row r="2351" spans="1:28" x14ac:dyDescent="0.25">
      <c r="A2351" t="s">
        <v>2355</v>
      </c>
      <c r="B2351">
        <v>0.99352677808782597</v>
      </c>
      <c r="C2351">
        <v>0.92961308964997102</v>
      </c>
      <c r="D2351">
        <v>0.93762639609905996</v>
      </c>
      <c r="E2351">
        <v>0.96211272129394398</v>
      </c>
      <c r="F2351">
        <v>0.87884496195321304</v>
      </c>
      <c r="G2351">
        <v>0.81892196338283896</v>
      </c>
      <c r="H2351">
        <v>0.75845048876719101</v>
      </c>
      <c r="I2351">
        <v>0.81534778758473203</v>
      </c>
      <c r="J2351">
        <v>0.79205745640733805</v>
      </c>
      <c r="K2351">
        <v>0.77712141600581297</v>
      </c>
      <c r="L2351">
        <v>484.55853235209099</v>
      </c>
      <c r="M2351">
        <v>9.1212837334562398</v>
      </c>
      <c r="O2351">
        <v>50.757298479185501</v>
      </c>
      <c r="P2351">
        <v>-1.13564347579525E-2</v>
      </c>
      <c r="Q2351">
        <v>0.74739332040065498</v>
      </c>
      <c r="R2351">
        <v>0.87001384583919295</v>
      </c>
      <c r="S2351" t="s">
        <v>8636</v>
      </c>
      <c r="T2351" t="s">
        <v>12568</v>
      </c>
      <c r="U2351" t="s">
        <v>12568</v>
      </c>
      <c r="V2351" t="s">
        <v>12568</v>
      </c>
      <c r="W2351" t="s">
        <v>14885</v>
      </c>
      <c r="X2351">
        <v>3</v>
      </c>
      <c r="Y2351" t="s">
        <v>21060</v>
      </c>
      <c r="Z2351" t="s">
        <v>27221</v>
      </c>
      <c r="AA2351">
        <v>0.86709065944399299</v>
      </c>
      <c r="AB2351" t="str">
        <f>HYPERLINK("Melting_Curves/meltCurve_P51608_MECP2.pdf", "Melting_Curves/meltCurve_P51608_MECP2.pdf")</f>
        <v>Melting_Curves/meltCurve_P51608_MECP2.pdf</v>
      </c>
    </row>
    <row r="2352" spans="1:28" x14ac:dyDescent="0.25">
      <c r="A2352" t="s">
        <v>2356</v>
      </c>
      <c r="B2352">
        <v>0.99352677808782597</v>
      </c>
      <c r="C2352">
        <v>1.0837929517849201</v>
      </c>
      <c r="D2352">
        <v>1.1998774867222</v>
      </c>
      <c r="E2352">
        <v>0.95361196904922396</v>
      </c>
      <c r="F2352">
        <v>0.98108625173363295</v>
      </c>
      <c r="G2352">
        <v>0</v>
      </c>
      <c r="H2352">
        <v>0.466838408853959</v>
      </c>
      <c r="I2352">
        <v>0</v>
      </c>
      <c r="J2352">
        <v>0.27323894806705301</v>
      </c>
      <c r="K2352">
        <v>0</v>
      </c>
      <c r="L2352">
        <v>13450.602397468399</v>
      </c>
      <c r="M2352">
        <v>250</v>
      </c>
      <c r="N2352">
        <v>53.878046255602698</v>
      </c>
      <c r="O2352">
        <v>53.798967203878</v>
      </c>
      <c r="P2352">
        <v>-0.98977809840116704</v>
      </c>
      <c r="Q2352">
        <v>0.14801537939864901</v>
      </c>
      <c r="R2352">
        <v>0.895551899456144</v>
      </c>
      <c r="S2352" t="s">
        <v>8637</v>
      </c>
      <c r="T2352" t="s">
        <v>12568</v>
      </c>
      <c r="U2352" t="s">
        <v>12568</v>
      </c>
      <c r="V2352" t="s">
        <v>12568</v>
      </c>
      <c r="W2352" t="s">
        <v>14886</v>
      </c>
      <c r="X2352">
        <v>39</v>
      </c>
      <c r="Y2352" t="s">
        <v>21061</v>
      </c>
      <c r="Z2352" t="s">
        <v>27222</v>
      </c>
      <c r="AA2352">
        <v>0.54007718241779368</v>
      </c>
      <c r="AB2352" t="str">
        <f>HYPERLINK("Melting_Curves/meltCurve_P51610_HCFC1.pdf", "Melting_Curves/meltCurve_P51610_HCFC1.pdf")</f>
        <v>Melting_Curves/meltCurve_P51610_HCFC1.pdf</v>
      </c>
    </row>
    <row r="2353" spans="1:28" x14ac:dyDescent="0.25">
      <c r="A2353" t="s">
        <v>2357</v>
      </c>
      <c r="B2353">
        <v>0.99352677808782597</v>
      </c>
      <c r="C2353">
        <v>0.98890899374297803</v>
      </c>
      <c r="D2353">
        <v>0.95154466834057605</v>
      </c>
      <c r="E2353">
        <v>0.77112053500953903</v>
      </c>
      <c r="F2353">
        <v>0.68592802359849603</v>
      </c>
      <c r="G2353">
        <v>0.44188323249534001</v>
      </c>
      <c r="H2353">
        <v>0.25796901505875303</v>
      </c>
      <c r="I2353">
        <v>0.20933439985803701</v>
      </c>
      <c r="J2353">
        <v>0.19363820830998599</v>
      </c>
      <c r="K2353">
        <v>0.15478534217043799</v>
      </c>
      <c r="L2353">
        <v>762.59011861014199</v>
      </c>
      <c r="M2353">
        <v>13.9431424980577</v>
      </c>
      <c r="N2353">
        <v>55.719233050634301</v>
      </c>
      <c r="O2353">
        <v>53.604667540217797</v>
      </c>
      <c r="P2353">
        <v>-5.7670765337614997E-2</v>
      </c>
      <c r="Q2353">
        <v>0.113253955951978</v>
      </c>
      <c r="R2353">
        <v>0.99654504142028499</v>
      </c>
      <c r="S2353" t="s">
        <v>8638</v>
      </c>
      <c r="T2353" t="s">
        <v>12568</v>
      </c>
      <c r="U2353" t="s">
        <v>12568</v>
      </c>
      <c r="V2353" t="s">
        <v>12568</v>
      </c>
      <c r="W2353" t="s">
        <v>14887</v>
      </c>
      <c r="X2353">
        <v>41</v>
      </c>
      <c r="Y2353" t="s">
        <v>21061</v>
      </c>
      <c r="Z2353" t="s">
        <v>27223</v>
      </c>
      <c r="AA2353">
        <v>0.56641929061785146</v>
      </c>
      <c r="AB2353" t="str">
        <f>HYPERLINK("Melting_Curves/meltCurve_P51610_4_HCFC1.pdf", "Melting_Curves/meltCurve_P51610_4_HCFC1.pdf")</f>
        <v>Melting_Curves/meltCurve_P51610_4_HCFC1.pdf</v>
      </c>
    </row>
    <row r="2354" spans="1:28" x14ac:dyDescent="0.25">
      <c r="A2354" t="s">
        <v>2358</v>
      </c>
      <c r="B2354">
        <v>0.99352677808782597</v>
      </c>
      <c r="C2354">
        <v>0.79225216765293105</v>
      </c>
      <c r="D2354">
        <v>0.54479484737413897</v>
      </c>
      <c r="E2354">
        <v>0.30024762627611701</v>
      </c>
      <c r="F2354">
        <v>0.26139441000628499</v>
      </c>
      <c r="G2354">
        <v>0.18196596589094799</v>
      </c>
      <c r="H2354">
        <v>0.13421678102222501</v>
      </c>
      <c r="I2354">
        <v>0.14364090444317101</v>
      </c>
      <c r="J2354">
        <v>0.11857228063142999</v>
      </c>
      <c r="K2354">
        <v>0.11148629789525701</v>
      </c>
      <c r="L2354">
        <v>777.25217335612399</v>
      </c>
      <c r="M2354">
        <v>16.897973835342398</v>
      </c>
      <c r="N2354">
        <v>46.839817309823601</v>
      </c>
      <c r="O2354">
        <v>45.367073620099802</v>
      </c>
      <c r="P2354">
        <v>-8.0913409662999203E-2</v>
      </c>
      <c r="Q2354">
        <v>0.131121312120586</v>
      </c>
      <c r="R2354">
        <v>0.99175943042595105</v>
      </c>
      <c r="S2354" t="s">
        <v>8639</v>
      </c>
      <c r="T2354" t="s">
        <v>12568</v>
      </c>
      <c r="U2354" t="s">
        <v>12568</v>
      </c>
      <c r="V2354" t="s">
        <v>12568</v>
      </c>
      <c r="W2354" t="s">
        <v>14888</v>
      </c>
      <c r="X2354">
        <v>5</v>
      </c>
      <c r="Y2354" t="s">
        <v>21062</v>
      </c>
      <c r="Z2354" t="s">
        <v>27224</v>
      </c>
      <c r="AA2354">
        <v>0.32443844664752741</v>
      </c>
      <c r="AB2354" t="str">
        <f>HYPERLINK("Melting_Curves/meltCurve_P51617_IRAK1.pdf", "Melting_Curves/meltCurve_P51617_IRAK1.pdf")</f>
        <v>Melting_Curves/meltCurve_P51617_IRAK1.pdf</v>
      </c>
    </row>
    <row r="2355" spans="1:28" x14ac:dyDescent="0.25">
      <c r="A2355" t="s">
        <v>2359</v>
      </c>
      <c r="B2355">
        <v>0.99352677808782597</v>
      </c>
      <c r="C2355">
        <v>0.96181250913452498</v>
      </c>
      <c r="D2355">
        <v>0.83217290539574595</v>
      </c>
      <c r="E2355">
        <v>0.66891525768386295</v>
      </c>
      <c r="F2355">
        <v>0.555255457482837</v>
      </c>
      <c r="G2355">
        <v>0.14010287229690499</v>
      </c>
      <c r="H2355">
        <v>6.0451242228912599E-2</v>
      </c>
      <c r="I2355">
        <v>4.7730600513725803E-2</v>
      </c>
      <c r="J2355">
        <v>3.8643882168362703E-2</v>
      </c>
      <c r="K2355">
        <v>2.5075576067091699E-2</v>
      </c>
      <c r="L2355">
        <v>841.79657306198499</v>
      </c>
      <c r="M2355">
        <v>16.064871395275201</v>
      </c>
      <c r="N2355">
        <v>52.399840022646103</v>
      </c>
      <c r="O2355">
        <v>51.608058433669299</v>
      </c>
      <c r="P2355">
        <v>-7.78275332525801E-2</v>
      </c>
      <c r="Q2355">
        <v>0</v>
      </c>
      <c r="R2355">
        <v>0.98526101318080705</v>
      </c>
      <c r="S2355" t="s">
        <v>8640</v>
      </c>
      <c r="T2355" t="s">
        <v>12568</v>
      </c>
      <c r="U2355" t="s">
        <v>12568</v>
      </c>
      <c r="V2355" t="s">
        <v>12568</v>
      </c>
      <c r="W2355" t="s">
        <v>14889</v>
      </c>
      <c r="X2355">
        <v>9</v>
      </c>
      <c r="Y2355" t="s">
        <v>21063</v>
      </c>
      <c r="Z2355" t="s">
        <v>27225</v>
      </c>
      <c r="AA2355">
        <v>0.43319265374701588</v>
      </c>
      <c r="AB2355" t="str">
        <f>HYPERLINK("Melting_Curves/meltCurve_P51649_ALDH5A1.pdf", "Melting_Curves/meltCurve_P51649_ALDH5A1.pdf")</f>
        <v>Melting_Curves/meltCurve_P51649_ALDH5A1.pdf</v>
      </c>
    </row>
    <row r="2356" spans="1:28" x14ac:dyDescent="0.25">
      <c r="A2356" t="s">
        <v>2360</v>
      </c>
      <c r="B2356">
        <v>0.99352677808782597</v>
      </c>
      <c r="C2356">
        <v>1.0111129627231099</v>
      </c>
      <c r="D2356">
        <v>0.96393562857729698</v>
      </c>
      <c r="E2356">
        <v>0.64720546331377005</v>
      </c>
      <c r="F2356">
        <v>0.56305046600313702</v>
      </c>
      <c r="G2356">
        <v>0.37386502592561099</v>
      </c>
      <c r="H2356">
        <v>0.311106666909652</v>
      </c>
      <c r="I2356">
        <v>0.243995125847393</v>
      </c>
      <c r="J2356">
        <v>0.21736514967918</v>
      </c>
      <c r="K2356">
        <v>0.13479888289497199</v>
      </c>
      <c r="L2356">
        <v>740.27772423779402</v>
      </c>
      <c r="M2356">
        <v>14.121343940052901</v>
      </c>
      <c r="N2356">
        <v>53.9962327268534</v>
      </c>
      <c r="O2356">
        <v>51.404923572562403</v>
      </c>
      <c r="P2356">
        <v>-5.7099596281790801E-2</v>
      </c>
      <c r="Q2356">
        <v>0.16868397073115199</v>
      </c>
      <c r="R2356">
        <v>0.98348308077728996</v>
      </c>
      <c r="S2356" t="s">
        <v>8641</v>
      </c>
      <c r="T2356" t="s">
        <v>12568</v>
      </c>
      <c r="U2356" t="s">
        <v>12568</v>
      </c>
      <c r="V2356" t="s">
        <v>12568</v>
      </c>
      <c r="W2356" t="s">
        <v>14890</v>
      </c>
      <c r="X2356">
        <v>12</v>
      </c>
      <c r="Y2356" t="s">
        <v>21064</v>
      </c>
      <c r="Z2356" t="s">
        <v>27226</v>
      </c>
      <c r="AA2356">
        <v>0.53288492341865512</v>
      </c>
      <c r="AB2356" t="str">
        <f>HYPERLINK("Melting_Curves/meltCurve_P51659_HSD17B4.pdf", "Melting_Curves/meltCurve_P51659_HSD17B4.pdf")</f>
        <v>Melting_Curves/meltCurve_P51659_HSD17B4.pdf</v>
      </c>
    </row>
    <row r="2357" spans="1:28" x14ac:dyDescent="0.25">
      <c r="A2357" t="s">
        <v>2361</v>
      </c>
      <c r="B2357">
        <v>0.99352677808782597</v>
      </c>
      <c r="C2357">
        <v>0.98433605082478004</v>
      </c>
      <c r="D2357">
        <v>0.81920505180536995</v>
      </c>
      <c r="E2357">
        <v>0.97896797196699703</v>
      </c>
      <c r="F2357">
        <v>0.80024485651128396</v>
      </c>
      <c r="G2357">
        <v>0.39071824617203899</v>
      </c>
      <c r="H2357">
        <v>0.192578532881132</v>
      </c>
      <c r="I2357">
        <v>0.16325207670134401</v>
      </c>
      <c r="J2357">
        <v>0.16188833519833901</v>
      </c>
      <c r="K2357">
        <v>0.113104631577613</v>
      </c>
      <c r="L2357">
        <v>1536.55301381202</v>
      </c>
      <c r="M2357">
        <v>27.801606399668099</v>
      </c>
      <c r="N2357">
        <v>55.903027831617599</v>
      </c>
      <c r="O2357">
        <v>54.984919216026597</v>
      </c>
      <c r="P2357">
        <v>-0.109302615187955</v>
      </c>
      <c r="Q2357">
        <v>0.13531004049371301</v>
      </c>
      <c r="R2357">
        <v>0.97517204498106402</v>
      </c>
      <c r="S2357" t="s">
        <v>8642</v>
      </c>
      <c r="T2357" t="s">
        <v>12568</v>
      </c>
      <c r="U2357" t="s">
        <v>12568</v>
      </c>
      <c r="V2357" t="s">
        <v>12568</v>
      </c>
      <c r="W2357" t="s">
        <v>14891</v>
      </c>
      <c r="X2357">
        <v>9</v>
      </c>
      <c r="Y2357" t="s">
        <v>21065</v>
      </c>
      <c r="Z2357" t="s">
        <v>27227</v>
      </c>
      <c r="AA2357">
        <v>0.58200927832674887</v>
      </c>
      <c r="AB2357" t="str">
        <f>HYPERLINK("Melting_Curves/meltCurve_P51665_PSMD7.pdf", "Melting_Curves/meltCurve_P51665_PSMD7.pdf")</f>
        <v>Melting_Curves/meltCurve_P51665_PSMD7.pdf</v>
      </c>
    </row>
    <row r="2358" spans="1:28" x14ac:dyDescent="0.25">
      <c r="A2358" t="s">
        <v>2362</v>
      </c>
      <c r="B2358">
        <v>0.99352677808782597</v>
      </c>
      <c r="C2358">
        <v>0.99718292025937505</v>
      </c>
      <c r="D2358">
        <v>1.0956758203205901</v>
      </c>
      <c r="E2358">
        <v>0.85554019563529804</v>
      </c>
      <c r="F2358">
        <v>0.82697237884000596</v>
      </c>
      <c r="G2358">
        <v>0.213468350459117</v>
      </c>
      <c r="H2358">
        <v>0.110158128717231</v>
      </c>
      <c r="I2358">
        <v>7.5243264405956703E-2</v>
      </c>
      <c r="J2358">
        <v>5.5129859469766403E-2</v>
      </c>
      <c r="K2358">
        <v>6.2962398943240502E-2</v>
      </c>
      <c r="L2358">
        <v>2081.5341298056101</v>
      </c>
      <c r="M2358">
        <v>38.020089211278403</v>
      </c>
      <c r="N2358">
        <v>54.953916198622899</v>
      </c>
      <c r="O2358">
        <v>54.597470190697898</v>
      </c>
      <c r="P2358">
        <v>-0.16254913650869801</v>
      </c>
      <c r="Q2358">
        <v>6.6309517728578002E-2</v>
      </c>
      <c r="R2358">
        <v>0.98600734478141605</v>
      </c>
      <c r="S2358" t="s">
        <v>8643</v>
      </c>
      <c r="T2358" t="s">
        <v>12568</v>
      </c>
      <c r="U2358" t="s">
        <v>12568</v>
      </c>
      <c r="V2358" t="s">
        <v>12568</v>
      </c>
      <c r="W2358" t="s">
        <v>14892</v>
      </c>
      <c r="X2358">
        <v>2</v>
      </c>
      <c r="Y2358" t="s">
        <v>21066</v>
      </c>
      <c r="Z2358" t="s">
        <v>27228</v>
      </c>
      <c r="AA2358">
        <v>0.52921617753971084</v>
      </c>
      <c r="AB2358" t="str">
        <f>HYPERLINK("Melting_Curves/meltCurve_P51668_UBE2D1.pdf", "Melting_Curves/meltCurve_P51668_UBE2D1.pdf")</f>
        <v>Melting_Curves/meltCurve_P51668_UBE2D1.pdf</v>
      </c>
    </row>
    <row r="2359" spans="1:28" x14ac:dyDescent="0.25">
      <c r="A2359" t="s">
        <v>2363</v>
      </c>
      <c r="B2359">
        <v>0.99352677808782597</v>
      </c>
      <c r="C2359">
        <v>0.96572880418847595</v>
      </c>
      <c r="D2359">
        <v>0.94858062108652197</v>
      </c>
      <c r="E2359">
        <v>0.738587152734973</v>
      </c>
      <c r="F2359">
        <v>0.68602778344633297</v>
      </c>
      <c r="G2359">
        <v>0.52045370056427498</v>
      </c>
      <c r="H2359">
        <v>0.44326576228224002</v>
      </c>
      <c r="I2359">
        <v>0.284842966048382</v>
      </c>
      <c r="J2359">
        <v>0.16842692251828101</v>
      </c>
      <c r="K2359">
        <v>0.13202220319225999</v>
      </c>
      <c r="L2359">
        <v>534.46260459643599</v>
      </c>
      <c r="M2359">
        <v>9.2935147805225302</v>
      </c>
      <c r="N2359">
        <v>57.509200538550303</v>
      </c>
      <c r="O2359">
        <v>55.034678704956498</v>
      </c>
      <c r="P2359">
        <v>-4.2243776935940003E-2</v>
      </c>
      <c r="Q2359">
        <v>0</v>
      </c>
      <c r="R2359">
        <v>0.98606408040426796</v>
      </c>
      <c r="S2359" t="s">
        <v>8644</v>
      </c>
      <c r="T2359" t="s">
        <v>12568</v>
      </c>
      <c r="U2359" t="s">
        <v>12568</v>
      </c>
      <c r="V2359" t="s">
        <v>12568</v>
      </c>
      <c r="W2359" t="s">
        <v>14893</v>
      </c>
      <c r="X2359">
        <v>4</v>
      </c>
      <c r="Y2359" t="s">
        <v>21067</v>
      </c>
      <c r="Z2359" t="s">
        <v>27229</v>
      </c>
      <c r="AA2359">
        <v>0.59518086694769812</v>
      </c>
      <c r="AB2359" t="str">
        <f>HYPERLINK("Melting_Curves/meltCurve_P51687_SUOX.pdf", "Melting_Curves/meltCurve_P51687_SUOX.pdf")</f>
        <v>Melting_Curves/meltCurve_P51687_SUOX.pdf</v>
      </c>
    </row>
    <row r="2360" spans="1:28" x14ac:dyDescent="0.25">
      <c r="A2360" t="s">
        <v>2364</v>
      </c>
      <c r="B2360">
        <v>0.99352677808782597</v>
      </c>
      <c r="C2360">
        <v>1.0471292199133799</v>
      </c>
      <c r="D2360">
        <v>0.89391535007050504</v>
      </c>
      <c r="E2360">
        <v>0.78471808171586399</v>
      </c>
      <c r="F2360">
        <v>0.62245823461527905</v>
      </c>
      <c r="G2360">
        <v>0.46181818600019697</v>
      </c>
      <c r="H2360">
        <v>0.58883627169835795</v>
      </c>
      <c r="I2360">
        <v>0.43802017093350898</v>
      </c>
      <c r="J2360">
        <v>0.61321199756584199</v>
      </c>
      <c r="K2360">
        <v>0.390405146199926</v>
      </c>
      <c r="L2360">
        <v>1086.5090668764501</v>
      </c>
      <c r="M2360">
        <v>21.5876895193412</v>
      </c>
      <c r="N2360">
        <v>61.260723888711603</v>
      </c>
      <c r="O2360">
        <v>49.904118529954197</v>
      </c>
      <c r="P2360">
        <v>-5.5222756275846802E-2</v>
      </c>
      <c r="Q2360">
        <v>0.48937996713606102</v>
      </c>
      <c r="R2360">
        <v>0.90684680341172197</v>
      </c>
      <c r="S2360" t="s">
        <v>8645</v>
      </c>
      <c r="T2360" t="s">
        <v>12568</v>
      </c>
      <c r="U2360" t="s">
        <v>12568</v>
      </c>
      <c r="V2360" t="s">
        <v>12568</v>
      </c>
      <c r="W2360" t="s">
        <v>14894</v>
      </c>
      <c r="X2360">
        <v>3</v>
      </c>
      <c r="Y2360" t="s">
        <v>21068</v>
      </c>
      <c r="Z2360" t="s">
        <v>27230</v>
      </c>
      <c r="AA2360">
        <v>0.6713260664225752</v>
      </c>
      <c r="AB2360" t="str">
        <f>HYPERLINK("Melting_Curves/meltCurve_P51688_SGSH.pdf", "Melting_Curves/meltCurve_P51688_SGSH.pdf")</f>
        <v>Melting_Curves/meltCurve_P51688_SGSH.pdf</v>
      </c>
    </row>
    <row r="2361" spans="1:28" x14ac:dyDescent="0.25">
      <c r="A2361" t="s">
        <v>2365</v>
      </c>
      <c r="B2361">
        <v>0.99352677808782597</v>
      </c>
      <c r="C2361">
        <v>0.94390102242444696</v>
      </c>
      <c r="D2361">
        <v>0.90826198435998795</v>
      </c>
      <c r="E2361">
        <v>0.26845612546158598</v>
      </c>
      <c r="F2361">
        <v>0.21110994990130499</v>
      </c>
      <c r="G2361">
        <v>0.12827318189728701</v>
      </c>
      <c r="H2361">
        <v>8.1292827472137993E-2</v>
      </c>
      <c r="I2361">
        <v>7.6735080573362494E-2</v>
      </c>
      <c r="J2361">
        <v>6.3927286623460602E-2</v>
      </c>
      <c r="K2361">
        <v>5.7275548957538301E-2</v>
      </c>
      <c r="L2361">
        <v>1790.57909641778</v>
      </c>
      <c r="M2361">
        <v>37.023556269793303</v>
      </c>
      <c r="N2361">
        <v>48.632129762095502</v>
      </c>
      <c r="O2361">
        <v>48.222809949375403</v>
      </c>
      <c r="P2361">
        <v>-0.17417528418276801</v>
      </c>
      <c r="Q2361">
        <v>9.2556675671948294E-2</v>
      </c>
      <c r="R2361">
        <v>0.98996115715144495</v>
      </c>
      <c r="S2361" t="s">
        <v>8646</v>
      </c>
      <c r="T2361" t="s">
        <v>12568</v>
      </c>
      <c r="U2361" t="s">
        <v>12568</v>
      </c>
      <c r="V2361" t="s">
        <v>12568</v>
      </c>
      <c r="W2361" t="s">
        <v>14895</v>
      </c>
      <c r="X2361">
        <v>13</v>
      </c>
      <c r="Y2361" t="s">
        <v>21069</v>
      </c>
      <c r="Z2361" t="s">
        <v>27231</v>
      </c>
      <c r="AA2361">
        <v>0.34908641450897099</v>
      </c>
      <c r="AB2361" t="str">
        <f>HYPERLINK("Melting_Curves/meltCurve_P51692_STAT5B.pdf", "Melting_Curves/meltCurve_P51692_STAT5B.pdf")</f>
        <v>Melting_Curves/meltCurve_P51692_STAT5B.pdf</v>
      </c>
    </row>
    <row r="2362" spans="1:28" x14ac:dyDescent="0.25">
      <c r="A2362" t="s">
        <v>2366</v>
      </c>
      <c r="B2362">
        <v>0.99352677808782597</v>
      </c>
      <c r="C2362">
        <v>1.0107821328183999</v>
      </c>
      <c r="D2362">
        <v>0.92317604260910602</v>
      </c>
      <c r="E2362">
        <v>1.14567774110766</v>
      </c>
      <c r="F2362">
        <v>1.1362345048534599</v>
      </c>
      <c r="G2362">
        <v>0.62666854999559596</v>
      </c>
      <c r="H2362">
        <v>0.34858046506009199</v>
      </c>
      <c r="I2362">
        <v>0.30715862310324799</v>
      </c>
      <c r="J2362">
        <v>0.21028719519000399</v>
      </c>
      <c r="K2362">
        <v>0.15394922939536801</v>
      </c>
      <c r="L2362">
        <v>2984.0986738735901</v>
      </c>
      <c r="M2362">
        <v>52.216325733516797</v>
      </c>
      <c r="N2362">
        <v>57.894710575969498</v>
      </c>
      <c r="O2362">
        <v>57.0651319160254</v>
      </c>
      <c r="P2362">
        <v>-0.17274523795270499</v>
      </c>
      <c r="Q2362">
        <v>0.24485512476510399</v>
      </c>
      <c r="R2362">
        <v>0.95216855339292406</v>
      </c>
      <c r="S2362" t="s">
        <v>8647</v>
      </c>
      <c r="T2362" t="s">
        <v>12568</v>
      </c>
      <c r="U2362" t="s">
        <v>12568</v>
      </c>
      <c r="V2362" t="s">
        <v>12568</v>
      </c>
      <c r="W2362" t="s">
        <v>14896</v>
      </c>
      <c r="X2362">
        <v>1</v>
      </c>
      <c r="Y2362" t="s">
        <v>21070</v>
      </c>
      <c r="Z2362" t="s">
        <v>27232</v>
      </c>
      <c r="AA2362">
        <v>0.67825690794046523</v>
      </c>
      <c r="AB2362" t="str">
        <f>HYPERLINK("Melting_Curves/meltCurve_P51808_DYNLT3.pdf", "Melting_Curves/meltCurve_P51808_DYNLT3.pdf")</f>
        <v>Melting_Curves/meltCurve_P51808_DYNLT3.pdf</v>
      </c>
    </row>
    <row r="2363" spans="1:28" x14ac:dyDescent="0.25">
      <c r="A2363" t="s">
        <v>2367</v>
      </c>
      <c r="B2363">
        <v>0.99352677808782597</v>
      </c>
      <c r="C2363">
        <v>0.95951986613350804</v>
      </c>
      <c r="D2363">
        <v>0.898868798198456</v>
      </c>
      <c r="E2363">
        <v>0.281213966379533</v>
      </c>
      <c r="F2363">
        <v>0.20917916532824199</v>
      </c>
      <c r="G2363">
        <v>0.11127577661763299</v>
      </c>
      <c r="H2363">
        <v>7.0369345056153096E-2</v>
      </c>
      <c r="I2363">
        <v>6.09550124145894E-2</v>
      </c>
      <c r="J2363">
        <v>5.24639056463196E-2</v>
      </c>
      <c r="K2363">
        <v>4.0427084767790999E-2</v>
      </c>
      <c r="L2363">
        <v>1617.7180880716801</v>
      </c>
      <c r="M2363">
        <v>33.372647445065603</v>
      </c>
      <c r="N2363">
        <v>48.715263416834702</v>
      </c>
      <c r="O2363">
        <v>48.301306955381797</v>
      </c>
      <c r="P2363">
        <v>-0.15959365727406</v>
      </c>
      <c r="Q2363">
        <v>7.6063748770306E-2</v>
      </c>
      <c r="R2363">
        <v>0.99129813373450304</v>
      </c>
      <c r="S2363" t="s">
        <v>8648</v>
      </c>
      <c r="T2363" t="s">
        <v>12568</v>
      </c>
      <c r="U2363" t="s">
        <v>12568</v>
      </c>
      <c r="V2363" t="s">
        <v>12568</v>
      </c>
      <c r="W2363" t="s">
        <v>14897</v>
      </c>
      <c r="X2363">
        <v>32</v>
      </c>
      <c r="Y2363" t="s">
        <v>21071</v>
      </c>
      <c r="Z2363" t="s">
        <v>27233</v>
      </c>
      <c r="AA2363">
        <v>0.34154370853589072</v>
      </c>
      <c r="AB2363" t="str">
        <f>HYPERLINK("Melting_Curves/meltCurve_P51812_RPS6KA3.pdf", "Melting_Curves/meltCurve_P51812_RPS6KA3.pdf")</f>
        <v>Melting_Curves/meltCurve_P51812_RPS6KA3.pdf</v>
      </c>
    </row>
    <row r="2364" spans="1:28" x14ac:dyDescent="0.25">
      <c r="A2364" t="s">
        <v>2368</v>
      </c>
      <c r="B2364">
        <v>0.99352677808782597</v>
      </c>
      <c r="C2364">
        <v>0.86103605966020702</v>
      </c>
      <c r="D2364">
        <v>0.62944592887753303</v>
      </c>
      <c r="E2364">
        <v>0.29958651058257402</v>
      </c>
      <c r="F2364">
        <v>0.24395795885411301</v>
      </c>
      <c r="G2364">
        <v>0.15693961309020699</v>
      </c>
      <c r="H2364">
        <v>0.14244310717391401</v>
      </c>
      <c r="I2364">
        <v>0.15780292034569901</v>
      </c>
      <c r="J2364">
        <v>8.9078998661895795E-2</v>
      </c>
      <c r="K2364">
        <v>8.1033446202686002E-2</v>
      </c>
      <c r="L2364">
        <v>864.72227568047094</v>
      </c>
      <c r="M2364">
        <v>18.469838323792899</v>
      </c>
      <c r="N2364">
        <v>47.503221896152901</v>
      </c>
      <c r="O2364">
        <v>46.279598991986902</v>
      </c>
      <c r="P2364">
        <v>-8.8110444681484101E-2</v>
      </c>
      <c r="Q2364">
        <v>0.11693124178299</v>
      </c>
      <c r="R2364">
        <v>0.993480769282863</v>
      </c>
      <c r="S2364" t="s">
        <v>8649</v>
      </c>
      <c r="T2364" t="s">
        <v>12568</v>
      </c>
      <c r="U2364" t="s">
        <v>12568</v>
      </c>
      <c r="V2364" t="s">
        <v>12568</v>
      </c>
      <c r="W2364" t="s">
        <v>14898</v>
      </c>
      <c r="X2364">
        <v>4</v>
      </c>
      <c r="Y2364" t="s">
        <v>21072</v>
      </c>
      <c r="Z2364" t="s">
        <v>27234</v>
      </c>
      <c r="AA2364">
        <v>0.33316568774021299</v>
      </c>
      <c r="AB2364" t="str">
        <f>HYPERLINK("Melting_Curves/meltCurve_P51817_PRKX.pdf", "Melting_Curves/meltCurve_P51817_PRKX.pdf")</f>
        <v>Melting_Curves/meltCurve_P51817_PRKX.pdf</v>
      </c>
    </row>
    <row r="2365" spans="1:28" x14ac:dyDescent="0.25">
      <c r="A2365" t="s">
        <v>2369</v>
      </c>
      <c r="B2365">
        <v>0.99352677808782597</v>
      </c>
      <c r="C2365">
        <v>0.88955698713269904</v>
      </c>
      <c r="D2365">
        <v>0.86557649302311201</v>
      </c>
      <c r="E2365">
        <v>0.78803349689888003</v>
      </c>
      <c r="F2365">
        <v>0.76218071560996603</v>
      </c>
      <c r="G2365">
        <v>0.71301727468775999</v>
      </c>
      <c r="H2365">
        <v>0.51456569498262805</v>
      </c>
      <c r="I2365">
        <v>0.45381576949671698</v>
      </c>
      <c r="J2365">
        <v>0.46581862427905302</v>
      </c>
      <c r="K2365">
        <v>0.42227749866368303</v>
      </c>
      <c r="L2365">
        <v>343.79842716307797</v>
      </c>
      <c r="M2365">
        <v>5.6003496745160497</v>
      </c>
      <c r="N2365">
        <v>64.061764195765406</v>
      </c>
      <c r="O2365">
        <v>54.900154806220897</v>
      </c>
      <c r="P2365">
        <v>-2.2939732154156501E-2</v>
      </c>
      <c r="Q2365">
        <v>0.104191771971824</v>
      </c>
      <c r="R2365">
        <v>0.96635133926308503</v>
      </c>
      <c r="S2365" t="s">
        <v>8650</v>
      </c>
      <c r="T2365" t="s">
        <v>12568</v>
      </c>
      <c r="U2365" t="s">
        <v>12568</v>
      </c>
      <c r="V2365" t="s">
        <v>12568</v>
      </c>
      <c r="W2365" t="s">
        <v>14899</v>
      </c>
      <c r="X2365">
        <v>2</v>
      </c>
      <c r="Y2365" t="s">
        <v>21073</v>
      </c>
      <c r="Z2365" t="s">
        <v>27235</v>
      </c>
      <c r="AA2365">
        <v>0.69015098003505826</v>
      </c>
      <c r="AB2365" t="str">
        <f>HYPERLINK("Melting_Curves/meltCurve_P51825_2_AFF1.pdf", "Melting_Curves/meltCurve_P51825_2_AFF1.pdf")</f>
        <v>Melting_Curves/meltCurve_P51825_2_AFF1.pdf</v>
      </c>
    </row>
    <row r="2366" spans="1:28" x14ac:dyDescent="0.25">
      <c r="A2366" t="s">
        <v>2370</v>
      </c>
      <c r="B2366">
        <v>0.99352677808782597</v>
      </c>
      <c r="C2366">
        <v>0.93129422032812204</v>
      </c>
      <c r="D2366">
        <v>1.03934066304661</v>
      </c>
      <c r="E2366">
        <v>0.80079376237683597</v>
      </c>
      <c r="F2366">
        <v>1.0086692618690101</v>
      </c>
      <c r="G2366">
        <v>0.66499981868829705</v>
      </c>
      <c r="H2366">
        <v>0.60323145936671896</v>
      </c>
      <c r="I2366">
        <v>0.49792014994593298</v>
      </c>
      <c r="J2366">
        <v>0.496780192371364</v>
      </c>
      <c r="K2366">
        <v>0.61737479372681903</v>
      </c>
      <c r="L2366">
        <v>4443.5658400400598</v>
      </c>
      <c r="M2366">
        <v>79.044922426444202</v>
      </c>
      <c r="O2366">
        <v>56.179756784076702</v>
      </c>
      <c r="P2366">
        <v>-0.15708865512234199</v>
      </c>
      <c r="Q2366">
        <v>0.55340835646543496</v>
      </c>
      <c r="R2366">
        <v>0.85873863085853896</v>
      </c>
      <c r="S2366" t="s">
        <v>8651</v>
      </c>
      <c r="T2366" t="s">
        <v>12568</v>
      </c>
      <c r="U2366" t="s">
        <v>12568</v>
      </c>
      <c r="V2366" t="s">
        <v>12568</v>
      </c>
      <c r="W2366" t="s">
        <v>14900</v>
      </c>
      <c r="X2366">
        <v>1</v>
      </c>
      <c r="Y2366" t="s">
        <v>21074</v>
      </c>
      <c r="Z2366" t="s">
        <v>27236</v>
      </c>
      <c r="AA2366">
        <v>0.79524320679155514</v>
      </c>
      <c r="AB2366" t="str">
        <f>HYPERLINK("Melting_Curves/meltCurve_P51843_2_NR0B1.pdf", "Melting_Curves/meltCurve_P51843_2_NR0B1.pdf")</f>
        <v>Melting_Curves/meltCurve_P51843_2_NR0B1.pdf</v>
      </c>
    </row>
    <row r="2367" spans="1:28" x14ac:dyDescent="0.25">
      <c r="A2367" t="s">
        <v>2371</v>
      </c>
      <c r="B2367">
        <v>0.99352677808782597</v>
      </c>
      <c r="C2367">
        <v>0.92292822180294498</v>
      </c>
      <c r="D2367">
        <v>0.97297122939194303</v>
      </c>
      <c r="E2367">
        <v>0.22571044440620999</v>
      </c>
      <c r="F2367">
        <v>0.17042871991455999</v>
      </c>
      <c r="G2367">
        <v>9.5647915078657594E-2</v>
      </c>
      <c r="H2367">
        <v>9.0081039182290504E-2</v>
      </c>
      <c r="I2367">
        <v>7.5935066663116599E-2</v>
      </c>
      <c r="J2367">
        <v>5.1836918346579199E-2</v>
      </c>
      <c r="K2367">
        <v>4.47513664475351E-2</v>
      </c>
      <c r="L2367">
        <v>2717.4441015431498</v>
      </c>
      <c r="M2367">
        <v>55.987257685001197</v>
      </c>
      <c r="N2367">
        <v>48.699937992347699</v>
      </c>
      <c r="O2367">
        <v>48.475025700667302</v>
      </c>
      <c r="P2367">
        <v>-0.26405641335295699</v>
      </c>
      <c r="Q2367">
        <v>8.5496592159095997E-2</v>
      </c>
      <c r="R2367">
        <v>0.99039641348934904</v>
      </c>
      <c r="S2367" t="s">
        <v>8652</v>
      </c>
      <c r="T2367" t="s">
        <v>12568</v>
      </c>
      <c r="U2367" t="s">
        <v>12568</v>
      </c>
      <c r="V2367" t="s">
        <v>12568</v>
      </c>
      <c r="W2367" t="s">
        <v>14901</v>
      </c>
      <c r="X2367">
        <v>2</v>
      </c>
      <c r="Y2367" t="s">
        <v>21075</v>
      </c>
      <c r="Z2367" t="s">
        <v>27237</v>
      </c>
      <c r="AA2367">
        <v>0.34728854425799588</v>
      </c>
      <c r="AB2367" t="str">
        <f>HYPERLINK("Melting_Curves/meltCurve_P51857_2_AKR1D1.pdf", "Melting_Curves/meltCurve_P51857_2_AKR1D1.pdf")</f>
        <v>Melting_Curves/meltCurve_P51857_2_AKR1D1.pdf</v>
      </c>
    </row>
    <row r="2368" spans="1:28" x14ac:dyDescent="0.25">
      <c r="A2368" t="s">
        <v>2372</v>
      </c>
      <c r="B2368">
        <v>0.99352677808782597</v>
      </c>
      <c r="C2368">
        <v>0.95498372174415003</v>
      </c>
      <c r="D2368">
        <v>0.99103605802406103</v>
      </c>
      <c r="E2368">
        <v>0.97377434091794302</v>
      </c>
      <c r="F2368">
        <v>0.89680016231120796</v>
      </c>
      <c r="G2368">
        <v>0.85842006874933396</v>
      </c>
      <c r="H2368">
        <v>0.76947661095511899</v>
      </c>
      <c r="I2368">
        <v>0.80357188385429401</v>
      </c>
      <c r="J2368">
        <v>0.92912765148197096</v>
      </c>
      <c r="K2368">
        <v>0.80511996021466004</v>
      </c>
      <c r="L2368">
        <v>1741.7691569805299</v>
      </c>
      <c r="M2368">
        <v>33.230910683741598</v>
      </c>
      <c r="O2368">
        <v>52.225384231410104</v>
      </c>
      <c r="P2368">
        <v>-2.7021869554975798E-2</v>
      </c>
      <c r="Q2368">
        <v>0.83013139980553596</v>
      </c>
      <c r="R2368">
        <v>0.72496697391672305</v>
      </c>
      <c r="S2368" t="s">
        <v>8653</v>
      </c>
      <c r="T2368" t="s">
        <v>12568</v>
      </c>
      <c r="U2368" t="s">
        <v>12568</v>
      </c>
      <c r="V2368" t="s">
        <v>12568</v>
      </c>
      <c r="W2368" t="s">
        <v>14902</v>
      </c>
      <c r="X2368">
        <v>22</v>
      </c>
      <c r="Y2368" t="s">
        <v>21076</v>
      </c>
      <c r="Z2368" t="s">
        <v>27238</v>
      </c>
      <c r="AA2368">
        <v>0.90131535040860333</v>
      </c>
      <c r="AB2368" t="str">
        <f>HYPERLINK("Melting_Curves/meltCurve_P51858_HDGF.pdf", "Melting_Curves/meltCurve_P51858_HDGF.pdf")</f>
        <v>Melting_Curves/meltCurve_P51858_HDGF.pdf</v>
      </c>
    </row>
    <row r="2369" spans="1:28" x14ac:dyDescent="0.25">
      <c r="A2369" t="s">
        <v>2373</v>
      </c>
      <c r="B2369">
        <v>0.99352677808782597</v>
      </c>
      <c r="C2369">
        <v>1.02997844532066</v>
      </c>
      <c r="D2369">
        <v>1.05506705307489</v>
      </c>
      <c r="E2369">
        <v>1.04574959087088</v>
      </c>
      <c r="F2369">
        <v>0.89708085221467704</v>
      </c>
      <c r="G2369">
        <v>0.61690410741048496</v>
      </c>
      <c r="H2369">
        <v>0.32478936290740301</v>
      </c>
      <c r="I2369">
        <v>0.33847172912164902</v>
      </c>
      <c r="J2369">
        <v>0.35289578736296101</v>
      </c>
      <c r="K2369">
        <v>0.34350619734229298</v>
      </c>
      <c r="L2369">
        <v>2000.49950180774</v>
      </c>
      <c r="M2369">
        <v>35.521368873481002</v>
      </c>
      <c r="N2369">
        <v>58.080478467070598</v>
      </c>
      <c r="O2369">
        <v>56.140599228617198</v>
      </c>
      <c r="P2369">
        <v>-0.106008290520194</v>
      </c>
      <c r="Q2369">
        <v>0.32982885623230301</v>
      </c>
      <c r="R2369">
        <v>0.988601395598946</v>
      </c>
      <c r="S2369" t="s">
        <v>8654</v>
      </c>
      <c r="T2369" t="s">
        <v>12568</v>
      </c>
      <c r="U2369" t="s">
        <v>12568</v>
      </c>
      <c r="V2369" t="s">
        <v>12568</v>
      </c>
      <c r="W2369" t="s">
        <v>14903</v>
      </c>
      <c r="X2369">
        <v>6</v>
      </c>
      <c r="Y2369" t="s">
        <v>21077</v>
      </c>
      <c r="Z2369" t="s">
        <v>27239</v>
      </c>
      <c r="AA2369">
        <v>0.69762190914880218</v>
      </c>
      <c r="AB2369" t="str">
        <f>HYPERLINK("Melting_Curves/meltCurve_P51948_MNAT1.pdf", "Melting_Curves/meltCurve_P51948_MNAT1.pdf")</f>
        <v>Melting_Curves/meltCurve_P51948_MNAT1.pdf</v>
      </c>
    </row>
    <row r="2370" spans="1:28" x14ac:dyDescent="0.25">
      <c r="A2370" t="s">
        <v>2374</v>
      </c>
      <c r="B2370">
        <v>0.99352677808782597</v>
      </c>
      <c r="C2370">
        <v>0.875955396521929</v>
      </c>
      <c r="D2370">
        <v>0.94249303386572703</v>
      </c>
      <c r="E2370">
        <v>0.62404820383556203</v>
      </c>
      <c r="F2370">
        <v>0.52897056804797404</v>
      </c>
      <c r="G2370">
        <v>0.31472910177135499</v>
      </c>
      <c r="H2370">
        <v>0.221678961625353</v>
      </c>
      <c r="I2370">
        <v>0.22710830697296899</v>
      </c>
      <c r="J2370">
        <v>0.25459427555414299</v>
      </c>
      <c r="K2370">
        <v>0.21908226909718201</v>
      </c>
      <c r="L2370">
        <v>815.40986032680803</v>
      </c>
      <c r="M2370">
        <v>15.9862574915417</v>
      </c>
      <c r="N2370">
        <v>52.737843254715898</v>
      </c>
      <c r="O2370">
        <v>50.228792436143699</v>
      </c>
      <c r="P2370">
        <v>-6.3330144070732897E-2</v>
      </c>
      <c r="Q2370">
        <v>0.20412983899932399</v>
      </c>
      <c r="R2370">
        <v>0.98078633415155703</v>
      </c>
      <c r="S2370" t="s">
        <v>8655</v>
      </c>
      <c r="T2370" t="s">
        <v>12568</v>
      </c>
      <c r="U2370" t="s">
        <v>12568</v>
      </c>
      <c r="V2370" t="s">
        <v>12568</v>
      </c>
      <c r="W2370" t="s">
        <v>14904</v>
      </c>
      <c r="X2370">
        <v>9</v>
      </c>
      <c r="Y2370" t="s">
        <v>21078</v>
      </c>
      <c r="Z2370" t="s">
        <v>27240</v>
      </c>
      <c r="AA2370">
        <v>0.51265033880754962</v>
      </c>
      <c r="AB2370" t="str">
        <f>HYPERLINK("Melting_Curves/meltCurve_P51991_HNRNPA3.pdf", "Melting_Curves/meltCurve_P51991_HNRNPA3.pdf")</f>
        <v>Melting_Curves/meltCurve_P51991_HNRNPA3.pdf</v>
      </c>
    </row>
    <row r="2371" spans="1:28" x14ac:dyDescent="0.25">
      <c r="A2371" t="s">
        <v>2375</v>
      </c>
      <c r="B2371">
        <v>0.99352677808782597</v>
      </c>
      <c r="C2371">
        <v>0.960605856568155</v>
      </c>
      <c r="D2371">
        <v>1.0735082879420399</v>
      </c>
      <c r="E2371">
        <v>0.72773869022666104</v>
      </c>
      <c r="F2371">
        <v>0.64966249253669694</v>
      </c>
      <c r="G2371">
        <v>0.50941926721234998</v>
      </c>
      <c r="H2371">
        <v>0.36101787769194998</v>
      </c>
      <c r="I2371">
        <v>0.34111021549069298</v>
      </c>
      <c r="J2371">
        <v>0.32915079476008702</v>
      </c>
      <c r="K2371">
        <v>0.28189008814073802</v>
      </c>
      <c r="L2371">
        <v>843.81005654876401</v>
      </c>
      <c r="M2371">
        <v>15.9006275735545</v>
      </c>
      <c r="N2371">
        <v>56.1715617993002</v>
      </c>
      <c r="O2371">
        <v>52.249627398421602</v>
      </c>
      <c r="P2371">
        <v>-5.3844650630914898E-2</v>
      </c>
      <c r="Q2371">
        <v>0.29232055293484999</v>
      </c>
      <c r="R2371">
        <v>0.96847272022615605</v>
      </c>
      <c r="S2371" t="s">
        <v>8656</v>
      </c>
      <c r="T2371" t="s">
        <v>12568</v>
      </c>
      <c r="U2371" t="s">
        <v>12568</v>
      </c>
      <c r="V2371" t="s">
        <v>12568</v>
      </c>
      <c r="W2371" t="s">
        <v>14905</v>
      </c>
      <c r="X2371">
        <v>39</v>
      </c>
      <c r="Y2371" t="s">
        <v>19624</v>
      </c>
      <c r="Z2371" t="s">
        <v>27241</v>
      </c>
      <c r="AA2371">
        <v>0.61455918928413922</v>
      </c>
      <c r="AB2371" t="str">
        <f>HYPERLINK("Melting_Curves/meltCurve_P52272_2_HNRNPM.pdf", "Melting_Curves/meltCurve_P52272_2_HNRNPM.pdf")</f>
        <v>Melting_Curves/meltCurve_P52272_2_HNRNPM.pdf</v>
      </c>
    </row>
    <row r="2372" spans="1:28" x14ac:dyDescent="0.25">
      <c r="A2372" t="s">
        <v>2376</v>
      </c>
      <c r="B2372">
        <v>0.99352677808782597</v>
      </c>
      <c r="C2372">
        <v>0.91608070159441302</v>
      </c>
      <c r="D2372">
        <v>0.52861621740102505</v>
      </c>
      <c r="E2372">
        <v>0.203792879375052</v>
      </c>
      <c r="F2372">
        <v>0.14850364322885401</v>
      </c>
      <c r="G2372">
        <v>8.6365223898653407E-2</v>
      </c>
      <c r="H2372">
        <v>5.7165840898487703E-2</v>
      </c>
      <c r="I2372">
        <v>5.6807449307839097E-2</v>
      </c>
      <c r="J2372">
        <v>4.4770144111449903E-2</v>
      </c>
      <c r="K2372">
        <v>3.3729069090198301E-2</v>
      </c>
      <c r="L2372">
        <v>1117.9807214776299</v>
      </c>
      <c r="M2372">
        <v>24.173079006691701</v>
      </c>
      <c r="N2372">
        <v>46.501481085723903</v>
      </c>
      <c r="O2372">
        <v>45.935973894246303</v>
      </c>
      <c r="P2372">
        <v>-0.12346981791683501</v>
      </c>
      <c r="Q2372">
        <v>6.1498260296392902E-2</v>
      </c>
      <c r="R2372">
        <v>0.99481305101727602</v>
      </c>
      <c r="S2372" t="s">
        <v>8657</v>
      </c>
      <c r="T2372" t="s">
        <v>12568</v>
      </c>
      <c r="U2372" t="s">
        <v>12568</v>
      </c>
      <c r="V2372" t="s">
        <v>12568</v>
      </c>
      <c r="W2372" t="s">
        <v>14906</v>
      </c>
      <c r="X2372">
        <v>11</v>
      </c>
      <c r="Y2372" t="s">
        <v>21079</v>
      </c>
      <c r="Z2372" t="s">
        <v>27242</v>
      </c>
      <c r="AA2372">
        <v>0.26624231466551818</v>
      </c>
      <c r="AB2372" t="str">
        <f>HYPERLINK("Melting_Curves/meltCurve_P52292_KPNA2.pdf", "Melting_Curves/meltCurve_P52292_KPNA2.pdf")</f>
        <v>Melting_Curves/meltCurve_P52292_KPNA2.pdf</v>
      </c>
    </row>
    <row r="2373" spans="1:28" x14ac:dyDescent="0.25">
      <c r="A2373" t="s">
        <v>2377</v>
      </c>
      <c r="B2373">
        <v>0.99352677808782597</v>
      </c>
      <c r="C2373">
        <v>0.92867272370259302</v>
      </c>
      <c r="D2373">
        <v>0.84926382228217401</v>
      </c>
      <c r="E2373">
        <v>0.33607640446088599</v>
      </c>
      <c r="F2373">
        <v>0.248054164189279</v>
      </c>
      <c r="G2373">
        <v>0.16574830223506001</v>
      </c>
      <c r="H2373">
        <v>0.124761132680625</v>
      </c>
      <c r="I2373">
        <v>0.119157486317557</v>
      </c>
      <c r="J2373">
        <v>0.104402920707016</v>
      </c>
      <c r="K2373">
        <v>8.9075177439254097E-2</v>
      </c>
      <c r="L2373">
        <v>1256.5774303467001</v>
      </c>
      <c r="M2373">
        <v>26.001901548488298</v>
      </c>
      <c r="N2373">
        <v>48.840314751079298</v>
      </c>
      <c r="O2373">
        <v>48.043261788844802</v>
      </c>
      <c r="P2373">
        <v>-0.119111568791437</v>
      </c>
      <c r="Q2373">
        <v>0.119688995965339</v>
      </c>
      <c r="R2373">
        <v>0.99275193419052299</v>
      </c>
      <c r="S2373" t="s">
        <v>8658</v>
      </c>
      <c r="T2373" t="s">
        <v>12568</v>
      </c>
      <c r="U2373" t="s">
        <v>12568</v>
      </c>
      <c r="V2373" t="s">
        <v>12568</v>
      </c>
      <c r="W2373" t="s">
        <v>14907</v>
      </c>
      <c r="X2373">
        <v>16</v>
      </c>
      <c r="Y2373" t="s">
        <v>21080</v>
      </c>
      <c r="Z2373" t="s">
        <v>27243</v>
      </c>
      <c r="AA2373">
        <v>0.37117900996726322</v>
      </c>
      <c r="AB2373" t="str">
        <f>HYPERLINK("Melting_Curves/meltCurve_P52294_KPNA1.pdf", "Melting_Curves/meltCurve_P52294_KPNA1.pdf")</f>
        <v>Melting_Curves/meltCurve_P52294_KPNA1.pdf</v>
      </c>
    </row>
    <row r="2374" spans="1:28" x14ac:dyDescent="0.25">
      <c r="A2374" t="s">
        <v>2378</v>
      </c>
      <c r="B2374">
        <v>0.99352677808782597</v>
      </c>
      <c r="C2374">
        <v>1.0047801153453999</v>
      </c>
      <c r="D2374">
        <v>0.88660497949848804</v>
      </c>
      <c r="E2374">
        <v>0.48048548224118398</v>
      </c>
      <c r="F2374">
        <v>0.39984066450436601</v>
      </c>
      <c r="G2374">
        <v>0.27896270619327701</v>
      </c>
      <c r="H2374">
        <v>0.18993358010476399</v>
      </c>
      <c r="I2374">
        <v>0.156073472645648</v>
      </c>
      <c r="J2374">
        <v>0.13844252022851999</v>
      </c>
      <c r="K2374">
        <v>0.116563733109736</v>
      </c>
      <c r="L2374">
        <v>905.79631071511005</v>
      </c>
      <c r="M2374">
        <v>18.1793661389158</v>
      </c>
      <c r="N2374">
        <v>50.800948462407298</v>
      </c>
      <c r="O2374">
        <v>49.234351051715798</v>
      </c>
      <c r="P2374">
        <v>-7.8714532480581606E-2</v>
      </c>
      <c r="Q2374">
        <v>0.147324440448275</v>
      </c>
      <c r="R2374">
        <v>0.986280364011758</v>
      </c>
      <c r="S2374" t="s">
        <v>8659</v>
      </c>
      <c r="T2374" t="s">
        <v>12568</v>
      </c>
      <c r="U2374" t="s">
        <v>12568</v>
      </c>
      <c r="V2374" t="s">
        <v>12568</v>
      </c>
      <c r="W2374" t="s">
        <v>14908</v>
      </c>
      <c r="X2374">
        <v>7</v>
      </c>
      <c r="Y2374" t="s">
        <v>21081</v>
      </c>
      <c r="Z2374" t="s">
        <v>27244</v>
      </c>
      <c r="AA2374">
        <v>0.4408909497963614</v>
      </c>
      <c r="AB2374" t="str">
        <f>HYPERLINK("Melting_Curves/meltCurve_P52298_NCBP2.pdf", "Melting_Curves/meltCurve_P52298_NCBP2.pdf")</f>
        <v>Melting_Curves/meltCurve_P52298_NCBP2.pdf</v>
      </c>
    </row>
    <row r="2375" spans="1:28" x14ac:dyDescent="0.25">
      <c r="A2375" t="s">
        <v>2379</v>
      </c>
      <c r="B2375">
        <v>0.99352677808782597</v>
      </c>
      <c r="C2375">
        <v>0.99318738788930605</v>
      </c>
      <c r="D2375">
        <v>1.0206125375017501</v>
      </c>
      <c r="E2375">
        <v>0.60839689178693201</v>
      </c>
      <c r="F2375">
        <v>0.51708368737686405</v>
      </c>
      <c r="G2375">
        <v>0.23157976206530401</v>
      </c>
      <c r="H2375">
        <v>0.155089821156768</v>
      </c>
      <c r="I2375">
        <v>0.128905561495917</v>
      </c>
      <c r="J2375">
        <v>0.123549302887643</v>
      </c>
      <c r="K2375">
        <v>8.0207030141933602E-2</v>
      </c>
      <c r="L2375">
        <v>967.49823069247702</v>
      </c>
      <c r="M2375">
        <v>18.651553219234099</v>
      </c>
      <c r="N2375">
        <v>52.4887701984198</v>
      </c>
      <c r="O2375">
        <v>51.287006294392199</v>
      </c>
      <c r="P2375">
        <v>-8.1977766102068098E-2</v>
      </c>
      <c r="Q2375">
        <v>9.8367012671328996E-2</v>
      </c>
      <c r="R2375">
        <v>0.98439339553057403</v>
      </c>
      <c r="S2375" t="s">
        <v>8660</v>
      </c>
      <c r="T2375" t="s">
        <v>12568</v>
      </c>
      <c r="U2375" t="s">
        <v>12568</v>
      </c>
      <c r="V2375" t="s">
        <v>12568</v>
      </c>
      <c r="W2375" t="s">
        <v>14909</v>
      </c>
      <c r="X2375">
        <v>22</v>
      </c>
      <c r="Y2375" t="s">
        <v>21082</v>
      </c>
      <c r="Z2375" t="s">
        <v>27245</v>
      </c>
      <c r="AA2375">
        <v>0.46931252660096762</v>
      </c>
      <c r="AB2375" t="str">
        <f>HYPERLINK("Melting_Curves/meltCurve_P52306_RAP1GDS1.pdf", "Melting_Curves/meltCurve_P52306_RAP1GDS1.pdf")</f>
        <v>Melting_Curves/meltCurve_P52306_RAP1GDS1.pdf</v>
      </c>
    </row>
    <row r="2376" spans="1:28" x14ac:dyDescent="0.25">
      <c r="A2376" t="s">
        <v>2380</v>
      </c>
      <c r="B2376">
        <v>0.99352677808782597</v>
      </c>
      <c r="C2376">
        <v>0.80570868936595896</v>
      </c>
      <c r="D2376">
        <v>0.933504614754323</v>
      </c>
      <c r="E2376">
        <v>0.32840359930760099</v>
      </c>
      <c r="F2376">
        <v>0.25945696863699502</v>
      </c>
      <c r="G2376">
        <v>0.10621515661863599</v>
      </c>
      <c r="H2376">
        <v>6.5717967525716597E-2</v>
      </c>
      <c r="I2376">
        <v>6.4377541303313607E-2</v>
      </c>
      <c r="J2376">
        <v>4.9299807988783299E-2</v>
      </c>
      <c r="K2376">
        <v>3.9474440584255699E-2</v>
      </c>
      <c r="L2376">
        <v>1139.4500982222601</v>
      </c>
      <c r="M2376">
        <v>23.301188389801101</v>
      </c>
      <c r="N2376">
        <v>49.166843063414497</v>
      </c>
      <c r="O2376">
        <v>48.545051233391803</v>
      </c>
      <c r="P2376">
        <v>-0.112896011529076</v>
      </c>
      <c r="Q2376">
        <v>5.9199209252033799E-2</v>
      </c>
      <c r="R2376">
        <v>0.96398272198864199</v>
      </c>
      <c r="S2376" t="s">
        <v>8661</v>
      </c>
      <c r="T2376" t="s">
        <v>12568</v>
      </c>
      <c r="U2376" t="s">
        <v>12568</v>
      </c>
      <c r="V2376" t="s">
        <v>12568</v>
      </c>
      <c r="W2376" t="s">
        <v>14910</v>
      </c>
      <c r="X2376">
        <v>12</v>
      </c>
      <c r="Y2376" t="s">
        <v>21083</v>
      </c>
      <c r="Z2376" t="s">
        <v>27246</v>
      </c>
      <c r="AA2376">
        <v>0.34796862109268661</v>
      </c>
      <c r="AB2376" t="str">
        <f>HYPERLINK("Melting_Curves/meltCurve_P52564_MAP2K6.pdf", "Melting_Curves/meltCurve_P52564_MAP2K6.pdf")</f>
        <v>Melting_Curves/meltCurve_P52564_MAP2K6.pdf</v>
      </c>
    </row>
    <row r="2377" spans="1:28" x14ac:dyDescent="0.25">
      <c r="A2377" t="s">
        <v>2381</v>
      </c>
      <c r="B2377">
        <v>0.99352677808782597</v>
      </c>
      <c r="C2377">
        <v>0.91435865942859196</v>
      </c>
      <c r="D2377">
        <v>0.97767835908953205</v>
      </c>
      <c r="E2377">
        <v>0.80924028685710503</v>
      </c>
      <c r="F2377">
        <v>0.78694071218596295</v>
      </c>
      <c r="G2377">
        <v>0.32217059256302599</v>
      </c>
      <c r="H2377">
        <v>0.13834419139317899</v>
      </c>
      <c r="I2377">
        <v>0.116928200135701</v>
      </c>
      <c r="J2377">
        <v>0.102345718372365</v>
      </c>
      <c r="K2377">
        <v>7.4656967076326006E-2</v>
      </c>
      <c r="L2377">
        <v>1209.3322644884199</v>
      </c>
      <c r="M2377">
        <v>22.031345954225799</v>
      </c>
      <c r="N2377">
        <v>55.255274290934601</v>
      </c>
      <c r="O2377">
        <v>54.445196541242602</v>
      </c>
      <c r="P2377">
        <v>-9.4334690549976397E-2</v>
      </c>
      <c r="Q2377">
        <v>6.7518298651454103E-2</v>
      </c>
      <c r="R2377">
        <v>0.98357717264969202</v>
      </c>
      <c r="S2377" t="s">
        <v>8662</v>
      </c>
      <c r="T2377" t="s">
        <v>12568</v>
      </c>
      <c r="U2377" t="s">
        <v>12568</v>
      </c>
      <c r="V2377" t="s">
        <v>12568</v>
      </c>
      <c r="W2377" t="s">
        <v>14911</v>
      </c>
      <c r="X2377">
        <v>13</v>
      </c>
      <c r="Y2377" t="s">
        <v>21084</v>
      </c>
      <c r="Z2377" t="s">
        <v>27247</v>
      </c>
      <c r="AA2377">
        <v>0.54107940482768924</v>
      </c>
      <c r="AB2377" t="str">
        <f>HYPERLINK("Melting_Curves/meltCurve_P52565_ARHGDIA.pdf", "Melting_Curves/meltCurve_P52565_ARHGDIA.pdf")</f>
        <v>Melting_Curves/meltCurve_P52565_ARHGDIA.pdf</v>
      </c>
    </row>
    <row r="2378" spans="1:28" x14ac:dyDescent="0.25">
      <c r="A2378" t="s">
        <v>2382</v>
      </c>
      <c r="B2378">
        <v>0.99352677808782597</v>
      </c>
      <c r="C2378">
        <v>0.92784405508628998</v>
      </c>
      <c r="D2378">
        <v>1.0699298922648299</v>
      </c>
      <c r="E2378">
        <v>0.98472061676700495</v>
      </c>
      <c r="F2378">
        <v>0.88168585641951802</v>
      </c>
      <c r="G2378">
        <v>0.76318922780820897</v>
      </c>
      <c r="H2378">
        <v>0.50686665932040997</v>
      </c>
      <c r="I2378">
        <v>0.285663086946361</v>
      </c>
      <c r="J2378">
        <v>0.20242883988209001</v>
      </c>
      <c r="K2378">
        <v>0.139135542877699</v>
      </c>
      <c r="L2378">
        <v>1035.2487032905699</v>
      </c>
      <c r="M2378">
        <v>17.123712943247199</v>
      </c>
      <c r="N2378">
        <v>60.815690599037403</v>
      </c>
      <c r="O2378">
        <v>59.650568229964001</v>
      </c>
      <c r="P2378">
        <v>-6.8324025394381996E-2</v>
      </c>
      <c r="Q2378">
        <v>4.8028391638430701E-2</v>
      </c>
      <c r="R2378">
        <v>0.98816335940255495</v>
      </c>
      <c r="S2378" t="s">
        <v>8663</v>
      </c>
      <c r="T2378" t="s">
        <v>12568</v>
      </c>
      <c r="U2378" t="s">
        <v>12568</v>
      </c>
      <c r="V2378" t="s">
        <v>12568</v>
      </c>
      <c r="W2378" t="s">
        <v>14912</v>
      </c>
      <c r="X2378">
        <v>12</v>
      </c>
      <c r="Y2378" t="s">
        <v>21085</v>
      </c>
      <c r="Z2378" t="s">
        <v>27248</v>
      </c>
      <c r="AA2378">
        <v>0.70348654788062936</v>
      </c>
      <c r="AB2378" t="str">
        <f>HYPERLINK("Melting_Curves/meltCurve_P52594_2_AGFG1.pdf", "Melting_Curves/meltCurve_P52594_2_AGFG1.pdf")</f>
        <v>Melting_Curves/meltCurve_P52594_2_AGFG1.pdf</v>
      </c>
    </row>
    <row r="2379" spans="1:28" x14ac:dyDescent="0.25">
      <c r="A2379" t="s">
        <v>2383</v>
      </c>
      <c r="B2379">
        <v>0.99352677808782597</v>
      </c>
      <c r="C2379">
        <v>0.61508104624304505</v>
      </c>
      <c r="D2379">
        <v>1.3668833011014301</v>
      </c>
      <c r="E2379">
        <v>0.62528388154709102</v>
      </c>
      <c r="F2379">
        <v>0.53873380382107505</v>
      </c>
      <c r="G2379">
        <v>0.25185566065799903</v>
      </c>
      <c r="H2379">
        <v>0.141278929628332</v>
      </c>
      <c r="I2379">
        <v>0.121488493990109</v>
      </c>
      <c r="J2379">
        <v>0.102530871027631</v>
      </c>
      <c r="K2379">
        <v>8.5221179303307998E-2</v>
      </c>
      <c r="L2379">
        <v>1183.5447853805799</v>
      </c>
      <c r="M2379">
        <v>22.596199600037099</v>
      </c>
      <c r="N2379">
        <v>52.923062556921899</v>
      </c>
      <c r="O2379">
        <v>51.9729904532009</v>
      </c>
      <c r="P2379">
        <v>-9.7411387526445403E-2</v>
      </c>
      <c r="Q2379">
        <v>0.103803389583861</v>
      </c>
      <c r="R2379">
        <v>0.80327368397869203</v>
      </c>
      <c r="S2379" t="s">
        <v>8664</v>
      </c>
      <c r="T2379" t="s">
        <v>12568</v>
      </c>
      <c r="U2379" t="s">
        <v>12568</v>
      </c>
      <c r="V2379" t="s">
        <v>12568</v>
      </c>
      <c r="W2379" t="s">
        <v>14913</v>
      </c>
      <c r="X2379">
        <v>15</v>
      </c>
      <c r="Y2379" t="s">
        <v>21086</v>
      </c>
      <c r="Z2379" t="s">
        <v>27249</v>
      </c>
      <c r="AA2379">
        <v>0.48350464629790191</v>
      </c>
      <c r="AB2379" t="str">
        <f>HYPERLINK("Melting_Curves/meltCurve_P52597_HNRNPF.pdf", "Melting_Curves/meltCurve_P52597_HNRNPF.pdf")</f>
        <v>Melting_Curves/meltCurve_P52597_HNRNPF.pdf</v>
      </c>
    </row>
    <row r="2380" spans="1:28" x14ac:dyDescent="0.25">
      <c r="A2380" t="s">
        <v>2384</v>
      </c>
      <c r="B2380">
        <v>0.99352677808782597</v>
      </c>
      <c r="C2380">
        <v>1.0009172309942</v>
      </c>
      <c r="D2380">
        <v>0.84391903837687499</v>
      </c>
      <c r="E2380">
        <v>0.340427778884976</v>
      </c>
      <c r="F2380">
        <v>0.28380095081632001</v>
      </c>
      <c r="G2380">
        <v>0.19827036008467999</v>
      </c>
      <c r="H2380">
        <v>0.140042076800549</v>
      </c>
      <c r="I2380">
        <v>0.13901385851565301</v>
      </c>
      <c r="J2380">
        <v>0.14463428798354599</v>
      </c>
      <c r="K2380">
        <v>0.114999403970444</v>
      </c>
      <c r="L2380">
        <v>1365.2052321906799</v>
      </c>
      <c r="M2380">
        <v>28.296886654790502</v>
      </c>
      <c r="N2380">
        <v>48.872132932297497</v>
      </c>
      <c r="O2380">
        <v>48.0067487984143</v>
      </c>
      <c r="P2380">
        <v>-0.12494834851250999</v>
      </c>
      <c r="Q2380">
        <v>0.15208838787088899</v>
      </c>
      <c r="R2380">
        <v>0.99160567497797303</v>
      </c>
      <c r="S2380" t="s">
        <v>8665</v>
      </c>
      <c r="T2380" t="s">
        <v>12568</v>
      </c>
      <c r="U2380" t="s">
        <v>12568</v>
      </c>
      <c r="V2380" t="s">
        <v>12568</v>
      </c>
      <c r="W2380" t="s">
        <v>14914</v>
      </c>
      <c r="X2380">
        <v>9</v>
      </c>
      <c r="Y2380" t="s">
        <v>21087</v>
      </c>
      <c r="Z2380" t="s">
        <v>27250</v>
      </c>
      <c r="AA2380">
        <v>0.39092239023333059</v>
      </c>
      <c r="AB2380" t="str">
        <f>HYPERLINK("Melting_Curves/meltCurve_P52630_4_STAT2.pdf", "Melting_Curves/meltCurve_P52630_4_STAT2.pdf")</f>
        <v>Melting_Curves/meltCurve_P52630_4_STAT2.pdf</v>
      </c>
    </row>
    <row r="2381" spans="1:28" x14ac:dyDescent="0.25">
      <c r="A2381" t="s">
        <v>2385</v>
      </c>
      <c r="B2381">
        <v>0.99352677808782597</v>
      </c>
      <c r="C2381">
        <v>0.93506633114022297</v>
      </c>
      <c r="D2381">
        <v>0.94308086077827402</v>
      </c>
      <c r="E2381">
        <v>0.83392915381772403</v>
      </c>
      <c r="F2381">
        <v>0.692234016226002</v>
      </c>
      <c r="G2381">
        <v>0.613900946799672</v>
      </c>
      <c r="H2381">
        <v>0.55054994204551899</v>
      </c>
      <c r="I2381">
        <v>0.55662466709519198</v>
      </c>
      <c r="J2381">
        <v>0.57985061042367103</v>
      </c>
      <c r="K2381">
        <v>0.467851484589004</v>
      </c>
      <c r="L2381">
        <v>723.12744069629298</v>
      </c>
      <c r="M2381">
        <v>13.9670586579287</v>
      </c>
      <c r="O2381">
        <v>50.747091409806202</v>
      </c>
      <c r="P2381">
        <v>-3.3873459071645497E-2</v>
      </c>
      <c r="Q2381">
        <v>0.50777037658053203</v>
      </c>
      <c r="R2381">
        <v>0.97437104769745797</v>
      </c>
      <c r="S2381" t="s">
        <v>8666</v>
      </c>
      <c r="T2381" t="s">
        <v>12568</v>
      </c>
      <c r="U2381" t="s">
        <v>12568</v>
      </c>
      <c r="V2381" t="s">
        <v>12568</v>
      </c>
      <c r="W2381" t="s">
        <v>14915</v>
      </c>
      <c r="X2381">
        <v>4</v>
      </c>
      <c r="Y2381" t="s">
        <v>21088</v>
      </c>
      <c r="Z2381" t="s">
        <v>27251</v>
      </c>
      <c r="AA2381">
        <v>0.71331171516968983</v>
      </c>
      <c r="AB2381" t="str">
        <f>HYPERLINK("Melting_Curves/meltCurve_P52655_GTF2A1.pdf", "Melting_Curves/meltCurve_P52655_GTF2A1.pdf")</f>
        <v>Melting_Curves/meltCurve_P52655_GTF2A1.pdf</v>
      </c>
    </row>
    <row r="2382" spans="1:28" x14ac:dyDescent="0.25">
      <c r="A2382" t="s">
        <v>2386</v>
      </c>
      <c r="B2382">
        <v>0.99352677808782597</v>
      </c>
      <c r="C2382">
        <v>0.90672559651118001</v>
      </c>
      <c r="D2382">
        <v>0.98294469828190201</v>
      </c>
      <c r="E2382">
        <v>1.0328452671069599</v>
      </c>
      <c r="F2382">
        <v>1.05266962577684</v>
      </c>
      <c r="G2382">
        <v>1.0384476724537299</v>
      </c>
      <c r="H2382">
        <v>0.96373400897616301</v>
      </c>
      <c r="I2382">
        <v>0.95331487531820203</v>
      </c>
      <c r="J2382">
        <v>0.48945221331240502</v>
      </c>
      <c r="K2382">
        <v>0.15180477546304899</v>
      </c>
      <c r="L2382">
        <v>4489.7982583295097</v>
      </c>
      <c r="M2382">
        <v>67.324705352780498</v>
      </c>
      <c r="N2382">
        <v>66.952747190958306</v>
      </c>
      <c r="O2382">
        <v>66.629954627666507</v>
      </c>
      <c r="P2382">
        <v>-0.223156011317025</v>
      </c>
      <c r="Q2382">
        <v>0.11658756976556001</v>
      </c>
      <c r="R2382">
        <v>0.98034537291919099</v>
      </c>
      <c r="S2382" t="s">
        <v>8667</v>
      </c>
      <c r="T2382" t="s">
        <v>12568</v>
      </c>
      <c r="U2382" t="s">
        <v>12568</v>
      </c>
      <c r="V2382" t="s">
        <v>12568</v>
      </c>
      <c r="W2382" t="s">
        <v>14916</v>
      </c>
      <c r="X2382">
        <v>2</v>
      </c>
      <c r="Y2382" t="s">
        <v>21089</v>
      </c>
      <c r="Z2382" t="s">
        <v>27252</v>
      </c>
      <c r="AA2382">
        <v>0.90257565498443404</v>
      </c>
      <c r="AB2382" t="str">
        <f>HYPERLINK("Melting_Curves/meltCurve_P52657_GTF2A2.pdf", "Melting_Curves/meltCurve_P52657_GTF2A2.pdf")</f>
        <v>Melting_Curves/meltCurve_P52657_GTF2A2.pdf</v>
      </c>
    </row>
    <row r="2383" spans="1:28" x14ac:dyDescent="0.25">
      <c r="A2383" t="s">
        <v>2387</v>
      </c>
      <c r="B2383">
        <v>0.99352677808782597</v>
      </c>
      <c r="C2383">
        <v>0.65231782898426605</v>
      </c>
      <c r="D2383">
        <v>0.45645588243219998</v>
      </c>
      <c r="E2383">
        <v>0.220373384022437</v>
      </c>
      <c r="F2383">
        <v>0.181188584688034</v>
      </c>
      <c r="G2383">
        <v>9.9963024546603399E-2</v>
      </c>
      <c r="H2383">
        <v>6.8100928009052403E-2</v>
      </c>
      <c r="I2383">
        <v>6.4797484230827193E-2</v>
      </c>
      <c r="J2383">
        <v>5.3264020929683097E-2</v>
      </c>
      <c r="K2383">
        <v>4.2597392094780903E-2</v>
      </c>
      <c r="L2383">
        <v>740.091825008299</v>
      </c>
      <c r="M2383">
        <v>16.4140984589847</v>
      </c>
      <c r="N2383">
        <v>45.452748579332599</v>
      </c>
      <c r="O2383">
        <v>44.4354815884045</v>
      </c>
      <c r="P2383">
        <v>-8.6667101165329094E-2</v>
      </c>
      <c r="Q2383">
        <v>6.1582040242423003E-2</v>
      </c>
      <c r="R2383">
        <v>0.98230864410600705</v>
      </c>
      <c r="S2383" t="s">
        <v>8668</v>
      </c>
      <c r="T2383" t="s">
        <v>12568</v>
      </c>
      <c r="U2383" t="s">
        <v>12568</v>
      </c>
      <c r="V2383" t="s">
        <v>12568</v>
      </c>
      <c r="W2383" t="s">
        <v>14917</v>
      </c>
      <c r="X2383">
        <v>31</v>
      </c>
      <c r="Y2383" t="s">
        <v>21090</v>
      </c>
      <c r="Z2383" t="s">
        <v>27253</v>
      </c>
      <c r="AA2383">
        <v>0.2453719771233964</v>
      </c>
      <c r="AB2383" t="str">
        <f>HYPERLINK("Melting_Curves/meltCurve_P52701_MSH6.pdf", "Melting_Curves/meltCurve_P52701_MSH6.pdf")</f>
        <v>Melting_Curves/meltCurve_P52701_MSH6.pdf</v>
      </c>
    </row>
    <row r="2384" spans="1:28" x14ac:dyDescent="0.25">
      <c r="A2384" t="s">
        <v>2388</v>
      </c>
      <c r="B2384">
        <v>0.99352677808782597</v>
      </c>
      <c r="C2384">
        <v>0.98806215081826598</v>
      </c>
      <c r="D2384">
        <v>0.62304392977832601</v>
      </c>
      <c r="E2384">
        <v>0.36037742055522398</v>
      </c>
      <c r="F2384">
        <v>0.26940107240456801</v>
      </c>
      <c r="G2384">
        <v>0.202442954371123</v>
      </c>
      <c r="H2384">
        <v>0.13023026443640601</v>
      </c>
      <c r="I2384">
        <v>0.12355443782086301</v>
      </c>
      <c r="J2384">
        <v>0.11414364289027901</v>
      </c>
      <c r="K2384">
        <v>8.5830634937251293E-2</v>
      </c>
      <c r="L2384">
        <v>902.11465099625195</v>
      </c>
      <c r="M2384">
        <v>19.014884430856299</v>
      </c>
      <c r="N2384">
        <v>48.1605917435461</v>
      </c>
      <c r="O2384">
        <v>46.927158785654001</v>
      </c>
      <c r="P2384">
        <v>-8.8800548017073003E-2</v>
      </c>
      <c r="Q2384">
        <v>0.123425012623072</v>
      </c>
      <c r="R2384">
        <v>0.98375403172355702</v>
      </c>
      <c r="S2384" t="s">
        <v>8669</v>
      </c>
      <c r="T2384" t="s">
        <v>12568</v>
      </c>
      <c r="U2384" t="s">
        <v>12568</v>
      </c>
      <c r="V2384" t="s">
        <v>12568</v>
      </c>
      <c r="W2384" t="s">
        <v>14918</v>
      </c>
      <c r="X2384">
        <v>20</v>
      </c>
      <c r="Y2384" t="s">
        <v>21091</v>
      </c>
      <c r="Z2384" t="s">
        <v>27254</v>
      </c>
      <c r="AA2384">
        <v>0.35498470169813262</v>
      </c>
      <c r="AB2384" t="str">
        <f>HYPERLINK("Melting_Curves/meltCurve_P52732_KIF11.pdf", "Melting_Curves/meltCurve_P52732_KIF11.pdf")</f>
        <v>Melting_Curves/meltCurve_P52732_KIF11.pdf</v>
      </c>
    </row>
    <row r="2385" spans="1:28" x14ac:dyDescent="0.25">
      <c r="A2385" t="s">
        <v>2389</v>
      </c>
      <c r="B2385">
        <v>0.99352677808782597</v>
      </c>
      <c r="C2385">
        <v>0.95692058426952198</v>
      </c>
      <c r="D2385">
        <v>0.957452019244039</v>
      </c>
      <c r="E2385">
        <v>0.28915859961503898</v>
      </c>
      <c r="F2385">
        <v>0.194902911169725</v>
      </c>
      <c r="G2385">
        <v>0.11127663889103501</v>
      </c>
      <c r="H2385">
        <v>7.8180609876952398E-2</v>
      </c>
      <c r="I2385">
        <v>7.6628714912517798E-2</v>
      </c>
      <c r="J2385">
        <v>6.4425774465353997E-2</v>
      </c>
      <c r="K2385">
        <v>5.6339117364040001E-2</v>
      </c>
      <c r="L2385">
        <v>2109.7816385617998</v>
      </c>
      <c r="M2385">
        <v>43.337440001879401</v>
      </c>
      <c r="N2385">
        <v>48.905549120807002</v>
      </c>
      <c r="O2385">
        <v>48.579349296726299</v>
      </c>
      <c r="P2385">
        <v>-0.203037110177266</v>
      </c>
      <c r="Q2385">
        <v>8.9619169313197994E-2</v>
      </c>
      <c r="R2385">
        <v>0.99257592065551203</v>
      </c>
      <c r="S2385" t="s">
        <v>8670</v>
      </c>
      <c r="T2385" t="s">
        <v>12568</v>
      </c>
      <c r="U2385" t="s">
        <v>12568</v>
      </c>
      <c r="V2385" t="s">
        <v>12568</v>
      </c>
      <c r="W2385" t="s">
        <v>14919</v>
      </c>
      <c r="X2385">
        <v>13</v>
      </c>
      <c r="Y2385" t="s">
        <v>21092</v>
      </c>
      <c r="Z2385" t="s">
        <v>27255</v>
      </c>
      <c r="AA2385">
        <v>0.35571208840783158</v>
      </c>
      <c r="AB2385" t="str">
        <f>HYPERLINK("Melting_Curves/meltCurve_P52735_3_VAV2.pdf", "Melting_Curves/meltCurve_P52735_3_VAV2.pdf")</f>
        <v>Melting_Curves/meltCurve_P52735_3_VAV2.pdf</v>
      </c>
    </row>
    <row r="2386" spans="1:28" x14ac:dyDescent="0.25">
      <c r="A2386" t="s">
        <v>2390</v>
      </c>
      <c r="B2386">
        <v>0.99352677808782597</v>
      </c>
      <c r="C2386">
        <v>0.91959182672234097</v>
      </c>
      <c r="D2386">
        <v>0.92227151460898005</v>
      </c>
      <c r="E2386">
        <v>0.82775178608451905</v>
      </c>
      <c r="F2386">
        <v>0.77787222854426896</v>
      </c>
      <c r="G2386">
        <v>0.67580660908868995</v>
      </c>
      <c r="H2386">
        <v>0.60525342260970205</v>
      </c>
      <c r="I2386">
        <v>0.55738319321753005</v>
      </c>
      <c r="J2386">
        <v>0.55162260640040395</v>
      </c>
      <c r="K2386">
        <v>0.38418630896544098</v>
      </c>
      <c r="L2386">
        <v>333.40689537863</v>
      </c>
      <c r="M2386">
        <v>5.02121250177363</v>
      </c>
      <c r="N2386">
        <v>66.399679873410903</v>
      </c>
      <c r="O2386">
        <v>58.009068386636201</v>
      </c>
      <c r="P2386">
        <v>-2.17704654762025E-2</v>
      </c>
      <c r="Q2386">
        <v>0</v>
      </c>
      <c r="R2386">
        <v>0.97483296688959098</v>
      </c>
      <c r="S2386" t="s">
        <v>8671</v>
      </c>
      <c r="T2386" t="s">
        <v>12568</v>
      </c>
      <c r="U2386" t="s">
        <v>12568</v>
      </c>
      <c r="V2386" t="s">
        <v>12568</v>
      </c>
      <c r="W2386" t="s">
        <v>14920</v>
      </c>
      <c r="X2386">
        <v>5</v>
      </c>
      <c r="Y2386" t="s">
        <v>21093</v>
      </c>
      <c r="Z2386" t="s">
        <v>27256</v>
      </c>
      <c r="AA2386">
        <v>0.7259229685314269</v>
      </c>
      <c r="AB2386" t="str">
        <f>HYPERLINK("Melting_Curves/meltCurve_P52739_2_ZNF131.pdf", "Melting_Curves/meltCurve_P52739_2_ZNF131.pdf")</f>
        <v>Melting_Curves/meltCurve_P52739_2_ZNF131.pdf</v>
      </c>
    </row>
    <row r="2387" spans="1:28" x14ac:dyDescent="0.25">
      <c r="A2387" t="s">
        <v>2391</v>
      </c>
      <c r="B2387">
        <v>0.99352677808782597</v>
      </c>
      <c r="C2387">
        <v>0.95653143429315901</v>
      </c>
      <c r="D2387">
        <v>0.92873989139380397</v>
      </c>
      <c r="E2387">
        <v>0.82427386042528805</v>
      </c>
      <c r="F2387">
        <v>0.80355912613820302</v>
      </c>
      <c r="G2387">
        <v>0.61342705158534605</v>
      </c>
      <c r="H2387">
        <v>0.61527835277293597</v>
      </c>
      <c r="I2387">
        <v>0.66610609574590496</v>
      </c>
      <c r="J2387">
        <v>0.777920027155937</v>
      </c>
      <c r="K2387">
        <v>0.64042292420735902</v>
      </c>
      <c r="L2387">
        <v>898.44365442069397</v>
      </c>
      <c r="M2387">
        <v>18.031505290934501</v>
      </c>
      <c r="O2387">
        <v>49.225611610990804</v>
      </c>
      <c r="P2387">
        <v>-3.1041261728566701E-2</v>
      </c>
      <c r="Q2387">
        <v>0.66104876167195203</v>
      </c>
      <c r="R2387">
        <v>0.85682119497864095</v>
      </c>
      <c r="S2387" t="s">
        <v>8672</v>
      </c>
      <c r="T2387" t="s">
        <v>12568</v>
      </c>
      <c r="U2387" t="s">
        <v>12568</v>
      </c>
      <c r="V2387" t="s">
        <v>12568</v>
      </c>
      <c r="W2387" t="s">
        <v>14921</v>
      </c>
      <c r="X2387">
        <v>6</v>
      </c>
      <c r="Y2387" t="s">
        <v>21094</v>
      </c>
      <c r="Z2387" t="s">
        <v>27257</v>
      </c>
      <c r="AA2387">
        <v>0.77784467026749027</v>
      </c>
      <c r="AB2387" t="str">
        <f>HYPERLINK("Melting_Curves/meltCurve_P52747_2_ZNF143.pdf", "Melting_Curves/meltCurve_P52747_2_ZNF143.pdf")</f>
        <v>Melting_Curves/meltCurve_P52747_2_ZNF143.pdf</v>
      </c>
    </row>
    <row r="2388" spans="1:28" x14ac:dyDescent="0.25">
      <c r="A2388" t="s">
        <v>2392</v>
      </c>
      <c r="B2388">
        <v>0.99352677808782597</v>
      </c>
      <c r="C2388">
        <v>0.98314825537866202</v>
      </c>
      <c r="D2388">
        <v>0.97641946557247195</v>
      </c>
      <c r="E2388">
        <v>0.81375159819626997</v>
      </c>
      <c r="F2388">
        <v>0.71027098680691703</v>
      </c>
      <c r="G2388">
        <v>0.57678340078303802</v>
      </c>
      <c r="H2388">
        <v>0.59618414263471897</v>
      </c>
      <c r="I2388">
        <v>0.51153840629889502</v>
      </c>
      <c r="J2388">
        <v>0.61085257683106498</v>
      </c>
      <c r="K2388">
        <v>0.42197239193382402</v>
      </c>
      <c r="L2388">
        <v>878.33009637167504</v>
      </c>
      <c r="M2388">
        <v>16.9648980750089</v>
      </c>
      <c r="O2388">
        <v>51.070058969877998</v>
      </c>
      <c r="P2388">
        <v>-4.0491670469223202E-2</v>
      </c>
      <c r="Q2388">
        <v>0.51245609415406801</v>
      </c>
      <c r="R2388">
        <v>0.94666823793333099</v>
      </c>
      <c r="S2388" t="s">
        <v>8673</v>
      </c>
      <c r="T2388" t="s">
        <v>12568</v>
      </c>
      <c r="U2388" t="s">
        <v>12568</v>
      </c>
      <c r="V2388" t="s">
        <v>12568</v>
      </c>
      <c r="W2388" t="s">
        <v>14922</v>
      </c>
      <c r="X2388">
        <v>6</v>
      </c>
      <c r="Y2388" t="s">
        <v>21095</v>
      </c>
      <c r="Z2388" t="s">
        <v>27258</v>
      </c>
      <c r="AA2388">
        <v>0.71279197764367785</v>
      </c>
      <c r="AB2388" t="str">
        <f>HYPERLINK("Melting_Curves/meltCurve_P52758_HRSP12.pdf", "Melting_Curves/meltCurve_P52758_HRSP12.pdf")</f>
        <v>Melting_Curves/meltCurve_P52758_HRSP12.pdf</v>
      </c>
    </row>
    <row r="2389" spans="1:28" x14ac:dyDescent="0.25">
      <c r="A2389" t="s">
        <v>2393</v>
      </c>
      <c r="B2389">
        <v>0.99352677808782597</v>
      </c>
      <c r="C2389">
        <v>1.0065064604523299</v>
      </c>
      <c r="D2389">
        <v>0.99905172852517599</v>
      </c>
      <c r="E2389">
        <v>0.90768238503257104</v>
      </c>
      <c r="F2389">
        <v>0.82933407707558804</v>
      </c>
      <c r="G2389">
        <v>0.47795011344669203</v>
      </c>
      <c r="H2389">
        <v>0.194444787415683</v>
      </c>
      <c r="I2389">
        <v>0.13228889583732301</v>
      </c>
      <c r="J2389">
        <v>9.50134667314015E-2</v>
      </c>
      <c r="K2389">
        <v>7.6596255641020697E-2</v>
      </c>
      <c r="L2389">
        <v>1238.3459275469399</v>
      </c>
      <c r="M2389">
        <v>21.9754841681461</v>
      </c>
      <c r="N2389">
        <v>56.699750518137499</v>
      </c>
      <c r="O2389">
        <v>55.890831642807399</v>
      </c>
      <c r="P2389">
        <v>-9.2088792261291103E-2</v>
      </c>
      <c r="Q2389">
        <v>6.3173449443194196E-2</v>
      </c>
      <c r="R2389">
        <v>0.99857817102505897</v>
      </c>
      <c r="S2389" t="s">
        <v>8674</v>
      </c>
      <c r="T2389" t="s">
        <v>12568</v>
      </c>
      <c r="U2389" t="s">
        <v>12568</v>
      </c>
      <c r="V2389" t="s">
        <v>12568</v>
      </c>
      <c r="W2389" t="s">
        <v>14923</v>
      </c>
      <c r="X2389">
        <v>23</v>
      </c>
      <c r="Y2389" t="s">
        <v>21096</v>
      </c>
      <c r="Z2389" t="s">
        <v>27259</v>
      </c>
      <c r="AA2389">
        <v>0.58421829936338265</v>
      </c>
      <c r="AB2389" t="str">
        <f>HYPERLINK("Melting_Curves/meltCurve_P52788_SMS.pdf", "Melting_Curves/meltCurve_P52788_SMS.pdf")</f>
        <v>Melting_Curves/meltCurve_P52788_SMS.pdf</v>
      </c>
    </row>
    <row r="2390" spans="1:28" x14ac:dyDescent="0.25">
      <c r="A2390" t="s">
        <v>2394</v>
      </c>
      <c r="B2390">
        <v>0.99352677808782597</v>
      </c>
      <c r="C2390">
        <v>1.03498220190876</v>
      </c>
      <c r="D2390">
        <v>1.0103356849311</v>
      </c>
      <c r="E2390">
        <v>0.87842417455295096</v>
      </c>
      <c r="F2390">
        <v>0.76739551397278405</v>
      </c>
      <c r="G2390">
        <v>0.62772649348165099</v>
      </c>
      <c r="H2390">
        <v>0.55114679358401097</v>
      </c>
      <c r="I2390">
        <v>0.51015477923407104</v>
      </c>
      <c r="J2390">
        <v>0.71236757329040701</v>
      </c>
      <c r="K2390">
        <v>0.45271884430946802</v>
      </c>
      <c r="L2390">
        <v>1190.11993621121</v>
      </c>
      <c r="M2390">
        <v>22.590445389168</v>
      </c>
      <c r="O2390">
        <v>52.274819721167603</v>
      </c>
      <c r="P2390">
        <v>-4.8561284868587698E-2</v>
      </c>
      <c r="Q2390">
        <v>0.55052113327668795</v>
      </c>
      <c r="R2390">
        <v>0.90559505069707003</v>
      </c>
      <c r="S2390" t="s">
        <v>8675</v>
      </c>
      <c r="T2390" t="s">
        <v>12568</v>
      </c>
      <c r="U2390" t="s">
        <v>12568</v>
      </c>
      <c r="V2390" t="s">
        <v>12568</v>
      </c>
      <c r="W2390" t="s">
        <v>14924</v>
      </c>
      <c r="X2390">
        <v>5</v>
      </c>
      <c r="Y2390" t="s">
        <v>21097</v>
      </c>
      <c r="Z2390" t="s">
        <v>27260</v>
      </c>
      <c r="AA2390">
        <v>0.74552412726083239</v>
      </c>
      <c r="AB2390" t="str">
        <f>HYPERLINK("Melting_Curves/meltCurve_P52815_MRPL12.pdf", "Melting_Curves/meltCurve_P52815_MRPL12.pdf")</f>
        <v>Melting_Curves/meltCurve_P52815_MRPL12.pdf</v>
      </c>
    </row>
    <row r="2391" spans="1:28" x14ac:dyDescent="0.25">
      <c r="A2391" t="s">
        <v>2395</v>
      </c>
      <c r="B2391">
        <v>0.99352677808782597</v>
      </c>
      <c r="C2391">
        <v>0.92694754103337496</v>
      </c>
      <c r="D2391">
        <v>0.93126930526321905</v>
      </c>
      <c r="E2391">
        <v>0.37311660372674899</v>
      </c>
      <c r="F2391">
        <v>0.33709759168499598</v>
      </c>
      <c r="G2391">
        <v>0.24734297824622301</v>
      </c>
      <c r="H2391">
        <v>0.27163655058742497</v>
      </c>
      <c r="I2391">
        <v>0.28555266976233301</v>
      </c>
      <c r="J2391">
        <v>0.212908159711412</v>
      </c>
      <c r="K2391">
        <v>7.7551584367478096E-2</v>
      </c>
      <c r="L2391">
        <v>1842.6052992981199</v>
      </c>
      <c r="M2391">
        <v>38.095622862327602</v>
      </c>
      <c r="N2391">
        <v>49.162996026917</v>
      </c>
      <c r="O2391">
        <v>48.235198558113801</v>
      </c>
      <c r="P2391">
        <v>-0.15203861088134299</v>
      </c>
      <c r="Q2391">
        <v>0.229980395272395</v>
      </c>
      <c r="R2391">
        <v>0.96142166690511399</v>
      </c>
      <c r="S2391" t="s">
        <v>8676</v>
      </c>
      <c r="T2391" t="s">
        <v>12568</v>
      </c>
      <c r="U2391" t="s">
        <v>12568</v>
      </c>
      <c r="V2391" t="s">
        <v>12568</v>
      </c>
      <c r="W2391" t="s">
        <v>14925</v>
      </c>
      <c r="X2391">
        <v>1</v>
      </c>
      <c r="Y2391" t="s">
        <v>21098</v>
      </c>
      <c r="Z2391" t="s">
        <v>27261</v>
      </c>
      <c r="AA2391">
        <v>0.44761046611153138</v>
      </c>
      <c r="AB2391" t="str">
        <f>HYPERLINK("Melting_Curves/meltCurve_P52824_DGKQ.pdf", "Melting_Curves/meltCurve_P52824_DGKQ.pdf")</f>
        <v>Melting_Curves/meltCurve_P52824_DGKQ.pdf</v>
      </c>
    </row>
    <row r="2392" spans="1:28" x14ac:dyDescent="0.25">
      <c r="A2392" t="s">
        <v>2396</v>
      </c>
      <c r="B2392">
        <v>0.99352677808782597</v>
      </c>
      <c r="C2392">
        <v>0.96596929289364197</v>
      </c>
      <c r="D2392">
        <v>0.92700893316324096</v>
      </c>
      <c r="E2392">
        <v>0.82272527982319199</v>
      </c>
      <c r="F2392">
        <v>0.78174123534051898</v>
      </c>
      <c r="G2392">
        <v>0.67386233651822702</v>
      </c>
      <c r="H2392">
        <v>0.51211262034147098</v>
      </c>
      <c r="I2392">
        <v>0.20298261616770499</v>
      </c>
      <c r="J2392">
        <v>0.10717603185097101</v>
      </c>
      <c r="K2392">
        <v>8.6256101205372804E-2</v>
      </c>
      <c r="L2392">
        <v>770.39002113228401</v>
      </c>
      <c r="M2392">
        <v>13.035299037486</v>
      </c>
      <c r="N2392">
        <v>59.100295293173403</v>
      </c>
      <c r="O2392">
        <v>57.761268825616902</v>
      </c>
      <c r="P2392">
        <v>-5.6428719581615397E-2</v>
      </c>
      <c r="Q2392">
        <v>0</v>
      </c>
      <c r="R2392">
        <v>0.96641359654125203</v>
      </c>
      <c r="S2392" t="s">
        <v>8677</v>
      </c>
      <c r="T2392" t="s">
        <v>12568</v>
      </c>
      <c r="U2392" t="s">
        <v>12568</v>
      </c>
      <c r="V2392" t="s">
        <v>12568</v>
      </c>
      <c r="W2392" t="s">
        <v>14926</v>
      </c>
      <c r="X2392">
        <v>34</v>
      </c>
      <c r="Y2392" t="s">
        <v>21099</v>
      </c>
      <c r="Z2392" t="s">
        <v>27262</v>
      </c>
      <c r="AA2392">
        <v>0.64546144598841293</v>
      </c>
      <c r="AB2392" t="str">
        <f>HYPERLINK("Melting_Curves/meltCurve_P52888_THOP1.pdf", "Melting_Curves/meltCurve_P52888_THOP1.pdf")</f>
        <v>Melting_Curves/meltCurve_P52888_THOP1.pdf</v>
      </c>
    </row>
    <row r="2393" spans="1:28" x14ac:dyDescent="0.25">
      <c r="A2393" t="s">
        <v>2397</v>
      </c>
      <c r="B2393">
        <v>0.99352677808782597</v>
      </c>
      <c r="C2393">
        <v>0.920991969377012</v>
      </c>
      <c r="D2393">
        <v>0.59824916729910305</v>
      </c>
      <c r="E2393">
        <v>0.24541391321476499</v>
      </c>
      <c r="F2393">
        <v>0.189532561963314</v>
      </c>
      <c r="G2393">
        <v>0.123043313346933</v>
      </c>
      <c r="H2393">
        <v>8.9533362529432906E-2</v>
      </c>
      <c r="I2393">
        <v>7.71708666763435E-2</v>
      </c>
      <c r="J2393">
        <v>6.2872527382547894E-2</v>
      </c>
      <c r="K2393">
        <v>4.9439878416377002E-2</v>
      </c>
      <c r="L2393">
        <v>1029.04015347019</v>
      </c>
      <c r="M2393">
        <v>22.016575970023901</v>
      </c>
      <c r="N2393">
        <v>47.1153495309348</v>
      </c>
      <c r="O2393">
        <v>46.358875327277701</v>
      </c>
      <c r="P2393">
        <v>-0.10916569676604999</v>
      </c>
      <c r="Q2393">
        <v>8.0568186039602294E-2</v>
      </c>
      <c r="R2393">
        <v>0.99490564973629902</v>
      </c>
      <c r="S2393" t="s">
        <v>8678</v>
      </c>
      <c r="T2393" t="s">
        <v>12568</v>
      </c>
      <c r="U2393" t="s">
        <v>12568</v>
      </c>
      <c r="V2393" t="s">
        <v>12568</v>
      </c>
      <c r="W2393" t="s">
        <v>14927</v>
      </c>
      <c r="X2393">
        <v>28</v>
      </c>
      <c r="Y2393" t="s">
        <v>21100</v>
      </c>
      <c r="Z2393" t="s">
        <v>27263</v>
      </c>
      <c r="AA2393">
        <v>0.29809118560297743</v>
      </c>
      <c r="AB2393" t="str">
        <f>HYPERLINK("Melting_Curves/meltCurve_P52895_AKR1C2.pdf", "Melting_Curves/meltCurve_P52895_AKR1C2.pdf")</f>
        <v>Melting_Curves/meltCurve_P52895_AKR1C2.pdf</v>
      </c>
    </row>
    <row r="2394" spans="1:28" x14ac:dyDescent="0.25">
      <c r="A2394" t="s">
        <v>2398</v>
      </c>
      <c r="B2394">
        <v>0.99352677808782597</v>
      </c>
      <c r="C2394">
        <v>0.97483481830527896</v>
      </c>
      <c r="D2394">
        <v>0.92905499020893401</v>
      </c>
      <c r="E2394">
        <v>0.95620127747790395</v>
      </c>
      <c r="F2394">
        <v>0.91862662269157203</v>
      </c>
      <c r="G2394">
        <v>0.76206861956708605</v>
      </c>
      <c r="H2394">
        <v>0.48175411221853898</v>
      </c>
      <c r="I2394">
        <v>0.22226478413453099</v>
      </c>
      <c r="J2394">
        <v>0.112638482044081</v>
      </c>
      <c r="K2394">
        <v>8.8941852669959298E-2</v>
      </c>
      <c r="L2394">
        <v>1161.7269397249399</v>
      </c>
      <c r="M2394">
        <v>19.236952262870901</v>
      </c>
      <c r="N2394">
        <v>60.3903861614505</v>
      </c>
      <c r="O2394">
        <v>59.7491427064192</v>
      </c>
      <c r="P2394">
        <v>-8.0493550475120496E-2</v>
      </c>
      <c r="Q2394">
        <v>0</v>
      </c>
      <c r="R2394">
        <v>0.99309174613606799</v>
      </c>
      <c r="S2394" t="s">
        <v>8679</v>
      </c>
      <c r="T2394" t="s">
        <v>12568</v>
      </c>
      <c r="U2394" t="s">
        <v>12568</v>
      </c>
      <c r="V2394" t="s">
        <v>12568</v>
      </c>
      <c r="W2394" t="s">
        <v>14928</v>
      </c>
      <c r="X2394">
        <v>15</v>
      </c>
      <c r="Y2394" t="s">
        <v>21101</v>
      </c>
      <c r="Z2394" t="s">
        <v>27264</v>
      </c>
      <c r="AA2394">
        <v>0.68714822482255788</v>
      </c>
      <c r="AB2394" t="str">
        <f>HYPERLINK("Melting_Curves/meltCurve_P52907_CAPZA1.pdf", "Melting_Curves/meltCurve_P52907_CAPZA1.pdf")</f>
        <v>Melting_Curves/meltCurve_P52907_CAPZA1.pdf</v>
      </c>
    </row>
    <row r="2395" spans="1:28" x14ac:dyDescent="0.25">
      <c r="A2395" t="s">
        <v>2399</v>
      </c>
      <c r="B2395">
        <v>0.99352677808782597</v>
      </c>
      <c r="C2395">
        <v>0.96001791843380802</v>
      </c>
      <c r="D2395">
        <v>0.96285391527692199</v>
      </c>
      <c r="E2395">
        <v>0.89617248801582605</v>
      </c>
      <c r="F2395">
        <v>0.85142784136819805</v>
      </c>
      <c r="G2395">
        <v>0.74893526821312795</v>
      </c>
      <c r="H2395">
        <v>0.599273729587258</v>
      </c>
      <c r="I2395">
        <v>0.63399244482717299</v>
      </c>
      <c r="J2395">
        <v>0.744888965504656</v>
      </c>
      <c r="K2395">
        <v>0.61539952945070397</v>
      </c>
      <c r="L2395">
        <v>885.13462554606099</v>
      </c>
      <c r="M2395">
        <v>16.601583487108499</v>
      </c>
      <c r="O2395">
        <v>52.560683965308499</v>
      </c>
      <c r="P2395">
        <v>-2.8771598607059402E-2</v>
      </c>
      <c r="Q2395">
        <v>0.63566058139616699</v>
      </c>
      <c r="R2395">
        <v>0.90862341370113997</v>
      </c>
      <c r="S2395" t="s">
        <v>8680</v>
      </c>
      <c r="T2395" t="s">
        <v>12568</v>
      </c>
      <c r="U2395" t="s">
        <v>12568</v>
      </c>
      <c r="V2395" t="s">
        <v>12568</v>
      </c>
      <c r="W2395" t="s">
        <v>14929</v>
      </c>
      <c r="X2395">
        <v>8</v>
      </c>
      <c r="Y2395" t="s">
        <v>21102</v>
      </c>
      <c r="Z2395" t="s">
        <v>27265</v>
      </c>
      <c r="AA2395">
        <v>0.80408451096081568</v>
      </c>
      <c r="AB2395" t="str">
        <f>HYPERLINK("Melting_Curves/meltCurve_P52943_CRIP2.pdf", "Melting_Curves/meltCurve_P52943_CRIP2.pdf")</f>
        <v>Melting_Curves/meltCurve_P52943_CRIP2.pdf</v>
      </c>
    </row>
    <row r="2396" spans="1:28" x14ac:dyDescent="0.25">
      <c r="A2396" t="s">
        <v>2400</v>
      </c>
      <c r="B2396">
        <v>0.99352677808782597</v>
      </c>
      <c r="C2396">
        <v>0.94167785658037995</v>
      </c>
      <c r="D2396">
        <v>0.79682872226510904</v>
      </c>
      <c r="E2396">
        <v>0.45313171787964301</v>
      </c>
      <c r="F2396">
        <v>0.368972846526257</v>
      </c>
      <c r="G2396">
        <v>0.25983760945687401</v>
      </c>
      <c r="H2396">
        <v>0.20320598509215701</v>
      </c>
      <c r="I2396">
        <v>0.210979692031079</v>
      </c>
      <c r="J2396">
        <v>0.21610041483579601</v>
      </c>
      <c r="K2396">
        <v>0.18380127484329101</v>
      </c>
      <c r="L2396">
        <v>909.85938443457803</v>
      </c>
      <c r="M2396">
        <v>18.777001353465799</v>
      </c>
      <c r="N2396">
        <v>49.8235550022086</v>
      </c>
      <c r="O2396">
        <v>47.916472084164504</v>
      </c>
      <c r="P2396">
        <v>-7.8243864824971102E-2</v>
      </c>
      <c r="Q2396">
        <v>0.20136028864907701</v>
      </c>
      <c r="R2396">
        <v>0.99623493829449405</v>
      </c>
      <c r="S2396" t="s">
        <v>8681</v>
      </c>
      <c r="T2396" t="s">
        <v>12568</v>
      </c>
      <c r="U2396" t="s">
        <v>12568</v>
      </c>
      <c r="V2396" t="s">
        <v>12568</v>
      </c>
      <c r="W2396" t="s">
        <v>14930</v>
      </c>
      <c r="X2396">
        <v>19</v>
      </c>
      <c r="Y2396" t="s">
        <v>21103</v>
      </c>
      <c r="Z2396" t="s">
        <v>27266</v>
      </c>
      <c r="AA2396">
        <v>0.43930322416258788</v>
      </c>
      <c r="AB2396" t="str">
        <f>HYPERLINK("Melting_Curves/meltCurve_P52948_5_NUP98.pdf", "Melting_Curves/meltCurve_P52948_5_NUP98.pdf")</f>
        <v>Melting_Curves/meltCurve_P52948_5_NUP98.pdf</v>
      </c>
    </row>
    <row r="2397" spans="1:28" x14ac:dyDescent="0.25">
      <c r="A2397" t="s">
        <v>2401</v>
      </c>
      <c r="B2397">
        <v>0.99352677808782597</v>
      </c>
      <c r="C2397">
        <v>0.72631932256675402</v>
      </c>
      <c r="D2397">
        <v>1.0906405629737299</v>
      </c>
      <c r="E2397">
        <v>0.31863645263151402</v>
      </c>
      <c r="F2397">
        <v>0.23283359335264101</v>
      </c>
      <c r="G2397">
        <v>9.2883148912884503E-2</v>
      </c>
      <c r="H2397">
        <v>5.65640297764963E-2</v>
      </c>
      <c r="I2397">
        <v>5.1247725165434299E-2</v>
      </c>
      <c r="J2397">
        <v>3.9552374765144997E-2</v>
      </c>
      <c r="K2397">
        <v>3.0147363591901399E-2</v>
      </c>
      <c r="L2397">
        <v>3313.26825215283</v>
      </c>
      <c r="M2397">
        <v>67.261628970950994</v>
      </c>
      <c r="N2397">
        <v>49.389553620080498</v>
      </c>
      <c r="O2397">
        <v>49.215923155461297</v>
      </c>
      <c r="P2397">
        <v>-0.31392015479846902</v>
      </c>
      <c r="Q2397">
        <v>8.1207735825578803E-2</v>
      </c>
      <c r="R2397">
        <v>0.92850509436501505</v>
      </c>
      <c r="S2397" t="s">
        <v>8682</v>
      </c>
      <c r="T2397" t="s">
        <v>12568</v>
      </c>
      <c r="U2397" t="s">
        <v>12568</v>
      </c>
      <c r="V2397" t="s">
        <v>12568</v>
      </c>
      <c r="W2397" t="s">
        <v>14931</v>
      </c>
      <c r="X2397">
        <v>10</v>
      </c>
      <c r="Y2397" t="s">
        <v>21104</v>
      </c>
      <c r="Z2397" t="s">
        <v>27267</v>
      </c>
      <c r="AA2397">
        <v>0.36589068729149971</v>
      </c>
      <c r="AB2397" t="str">
        <f>HYPERLINK("Melting_Curves/meltCurve_P53004_BLVRA.pdf", "Melting_Curves/meltCurve_P53004_BLVRA.pdf")</f>
        <v>Melting_Curves/meltCurve_P53004_BLVRA.pdf</v>
      </c>
    </row>
    <row r="2398" spans="1:28" x14ac:dyDescent="0.25">
      <c r="A2398" t="s">
        <v>2402</v>
      </c>
      <c r="B2398">
        <v>0.99352677808782597</v>
      </c>
      <c r="C2398">
        <v>0.87173050812816899</v>
      </c>
      <c r="D2398">
        <v>0.83642760961454399</v>
      </c>
      <c r="E2398">
        <v>0.39807509012450498</v>
      </c>
      <c r="F2398">
        <v>0.27827012547350999</v>
      </c>
      <c r="G2398">
        <v>0.13130500897580599</v>
      </c>
      <c r="H2398">
        <v>7.1638541820582005E-2</v>
      </c>
      <c r="I2398">
        <v>3.8729582544473E-2</v>
      </c>
      <c r="J2398">
        <v>4.1976729792797401E-2</v>
      </c>
      <c r="K2398">
        <v>3.13584853472266E-2</v>
      </c>
      <c r="L2398">
        <v>842.03698189619695</v>
      </c>
      <c r="M2398">
        <v>17.111454759450801</v>
      </c>
      <c r="N2398">
        <v>49.400879526171003</v>
      </c>
      <c r="O2398">
        <v>48.5516344060905</v>
      </c>
      <c r="P2398">
        <v>-8.5281379203861807E-2</v>
      </c>
      <c r="Q2398">
        <v>3.2156930150532899E-2</v>
      </c>
      <c r="R2398">
        <v>0.99185829784117696</v>
      </c>
      <c r="S2398" t="s">
        <v>8683</v>
      </c>
      <c r="T2398" t="s">
        <v>12568</v>
      </c>
      <c r="U2398" t="s">
        <v>12568</v>
      </c>
      <c r="V2398" t="s">
        <v>12568</v>
      </c>
      <c r="W2398" t="s">
        <v>14932</v>
      </c>
      <c r="X2398">
        <v>5</v>
      </c>
      <c r="Y2398" t="s">
        <v>21105</v>
      </c>
      <c r="Z2398" t="s">
        <v>27268</v>
      </c>
      <c r="AA2398">
        <v>0.34769536171292892</v>
      </c>
      <c r="AB2398" t="str">
        <f>HYPERLINK("Melting_Curves/meltCurve_P53350_PLK1.pdf", "Melting_Curves/meltCurve_P53350_PLK1.pdf")</f>
        <v>Melting_Curves/meltCurve_P53350_PLK1.pdf</v>
      </c>
    </row>
    <row r="2399" spans="1:28" x14ac:dyDescent="0.25">
      <c r="A2399" t="s">
        <v>2403</v>
      </c>
      <c r="B2399">
        <v>0.99352677808782597</v>
      </c>
      <c r="C2399">
        <v>0.96664452056988703</v>
      </c>
      <c r="D2399">
        <v>0.981436112202976</v>
      </c>
      <c r="E2399">
        <v>0.40979673254944499</v>
      </c>
      <c r="F2399">
        <v>0.32521953219168398</v>
      </c>
      <c r="G2399">
        <v>0.15644909662326001</v>
      </c>
      <c r="H2399">
        <v>0.10433003514332601</v>
      </c>
      <c r="I2399">
        <v>8.87072808990058E-2</v>
      </c>
      <c r="J2399">
        <v>7.1092441773591905E-2</v>
      </c>
      <c r="K2399">
        <v>5.5517246754794303E-2</v>
      </c>
      <c r="L2399">
        <v>1268.7015885896301</v>
      </c>
      <c r="M2399">
        <v>25.587739295826701</v>
      </c>
      <c r="N2399">
        <v>49.984814771334896</v>
      </c>
      <c r="O2399">
        <v>49.282535817831999</v>
      </c>
      <c r="P2399">
        <v>-0.117720645760339</v>
      </c>
      <c r="Q2399">
        <v>9.3081176792574299E-2</v>
      </c>
      <c r="R2399">
        <v>0.98198879448183696</v>
      </c>
      <c r="S2399" t="s">
        <v>8684</v>
      </c>
      <c r="T2399" t="s">
        <v>12568</v>
      </c>
      <c r="U2399" t="s">
        <v>12568</v>
      </c>
      <c r="V2399" t="s">
        <v>12568</v>
      </c>
      <c r="W2399" t="s">
        <v>14933</v>
      </c>
      <c r="X2399">
        <v>12</v>
      </c>
      <c r="Y2399" t="s">
        <v>21106</v>
      </c>
      <c r="Z2399" t="s">
        <v>27269</v>
      </c>
      <c r="AA2399">
        <v>0.39046430629103013</v>
      </c>
      <c r="AB2399" t="str">
        <f>HYPERLINK("Melting_Curves/meltCurve_P53365_ARFIP2.pdf", "Melting_Curves/meltCurve_P53365_ARFIP2.pdf")</f>
        <v>Melting_Curves/meltCurve_P53365_ARFIP2.pdf</v>
      </c>
    </row>
    <row r="2400" spans="1:28" x14ac:dyDescent="0.25">
      <c r="A2400" t="s">
        <v>2404</v>
      </c>
      <c r="B2400">
        <v>0.99352677808782597</v>
      </c>
      <c r="C2400">
        <v>0.69892317273986004</v>
      </c>
      <c r="D2400">
        <v>0.74380557283539905</v>
      </c>
      <c r="E2400">
        <v>0.36713084546427899</v>
      </c>
      <c r="F2400">
        <v>0.248738554823246</v>
      </c>
      <c r="G2400">
        <v>0.17735782698194599</v>
      </c>
      <c r="H2400">
        <v>0.11328617664412099</v>
      </c>
      <c r="I2400">
        <v>0.118789781081173</v>
      </c>
      <c r="J2400">
        <v>9.4635060608725799E-2</v>
      </c>
      <c r="K2400">
        <v>9.0012086550655707E-2</v>
      </c>
      <c r="L2400">
        <v>629.96365301034302</v>
      </c>
      <c r="M2400">
        <v>13.228956225130601</v>
      </c>
      <c r="N2400">
        <v>48.210731407604499</v>
      </c>
      <c r="O2400">
        <v>46.571356552859797</v>
      </c>
      <c r="P2400">
        <v>-6.5712422532627102E-2</v>
      </c>
      <c r="Q2400">
        <v>7.48139048388618E-2</v>
      </c>
      <c r="R2400">
        <v>0.967656645014775</v>
      </c>
      <c r="S2400" t="s">
        <v>8685</v>
      </c>
      <c r="T2400" t="s">
        <v>12568</v>
      </c>
      <c r="U2400" t="s">
        <v>12568</v>
      </c>
      <c r="V2400" t="s">
        <v>12568</v>
      </c>
      <c r="W2400" t="s">
        <v>14934</v>
      </c>
      <c r="X2400">
        <v>14</v>
      </c>
      <c r="Y2400" t="s">
        <v>21107</v>
      </c>
      <c r="Z2400" t="s">
        <v>27270</v>
      </c>
      <c r="AA2400">
        <v>0.34083816460891531</v>
      </c>
      <c r="AB2400" t="str">
        <f>HYPERLINK("Melting_Curves/meltCurve_P53367_ARFIP1.pdf", "Melting_Curves/meltCurve_P53367_ARFIP1.pdf")</f>
        <v>Melting_Curves/meltCurve_P53367_ARFIP1.pdf</v>
      </c>
    </row>
    <row r="2401" spans="1:28" x14ac:dyDescent="0.25">
      <c r="A2401" t="s">
        <v>2405</v>
      </c>
      <c r="B2401">
        <v>0.99352677808782597</v>
      </c>
      <c r="C2401">
        <v>1.0407735804946401</v>
      </c>
      <c r="D2401">
        <v>0.97894759707924905</v>
      </c>
      <c r="E2401">
        <v>0.54506940568754603</v>
      </c>
      <c r="F2401">
        <v>0.40404864267163998</v>
      </c>
      <c r="G2401">
        <v>0.36551978807297902</v>
      </c>
      <c r="H2401">
        <v>0.29892378859086399</v>
      </c>
      <c r="I2401">
        <v>0.338995907675323</v>
      </c>
      <c r="J2401">
        <v>0.30459319939854601</v>
      </c>
      <c r="K2401">
        <v>0.28218191342709997</v>
      </c>
      <c r="L2401">
        <v>1865.30802068051</v>
      </c>
      <c r="M2401">
        <v>37.902675615518298</v>
      </c>
      <c r="N2401">
        <v>50.595524507285198</v>
      </c>
      <c r="O2401">
        <v>49.076704985401598</v>
      </c>
      <c r="P2401">
        <v>-0.13081180230828701</v>
      </c>
      <c r="Q2401">
        <v>0.322496849776084</v>
      </c>
      <c r="R2401">
        <v>0.99052914269899806</v>
      </c>
      <c r="S2401" t="s">
        <v>8686</v>
      </c>
      <c r="T2401" t="s">
        <v>12568</v>
      </c>
      <c r="U2401" t="s">
        <v>12568</v>
      </c>
      <c r="V2401" t="s">
        <v>12568</v>
      </c>
      <c r="W2401" t="s">
        <v>14935</v>
      </c>
      <c r="X2401">
        <v>14</v>
      </c>
      <c r="Y2401" t="s">
        <v>21107</v>
      </c>
      <c r="Z2401" t="s">
        <v>27271</v>
      </c>
      <c r="AA2401">
        <v>0.53313257243659262</v>
      </c>
      <c r="AB2401" t="str">
        <f>HYPERLINK("Melting_Curves/meltCurve_P53367_2_ARFIP1.pdf", "Melting_Curves/meltCurve_P53367_2_ARFIP1.pdf")</f>
        <v>Melting_Curves/meltCurve_P53367_2_ARFIP1.pdf</v>
      </c>
    </row>
    <row r="2402" spans="1:28" x14ac:dyDescent="0.25">
      <c r="A2402" t="s">
        <v>2406</v>
      </c>
      <c r="B2402">
        <v>0.99352677808782597</v>
      </c>
      <c r="C2402">
        <v>1.0243167990008699</v>
      </c>
      <c r="D2402">
        <v>1.01868025246529</v>
      </c>
      <c r="E2402">
        <v>0.57451861264607396</v>
      </c>
      <c r="F2402">
        <v>0.50623985559691498</v>
      </c>
      <c r="G2402">
        <v>0.311627162601254</v>
      </c>
      <c r="H2402">
        <v>0.22204428677179699</v>
      </c>
      <c r="I2402">
        <v>0.200507565297292</v>
      </c>
      <c r="J2402">
        <v>0.19134907107294</v>
      </c>
      <c r="K2402">
        <v>0.15123956727159199</v>
      </c>
      <c r="L2402">
        <v>989.49752490725496</v>
      </c>
      <c r="M2402">
        <v>19.355614025978898</v>
      </c>
      <c r="N2402">
        <v>52.3563734154028</v>
      </c>
      <c r="O2402">
        <v>50.585683433095497</v>
      </c>
      <c r="P2402">
        <v>-7.8135964279097206E-2</v>
      </c>
      <c r="Q2402">
        <v>0.18320034256735901</v>
      </c>
      <c r="R2402">
        <v>0.97660536315409696</v>
      </c>
      <c r="S2402" t="s">
        <v>8687</v>
      </c>
      <c r="T2402" t="s">
        <v>12568</v>
      </c>
      <c r="U2402" t="s">
        <v>12568</v>
      </c>
      <c r="V2402" t="s">
        <v>12568</v>
      </c>
      <c r="W2402" t="s">
        <v>14936</v>
      </c>
      <c r="X2402">
        <v>8</v>
      </c>
      <c r="Y2402" t="s">
        <v>21108</v>
      </c>
      <c r="Z2402" t="s">
        <v>27272</v>
      </c>
      <c r="AA2402">
        <v>0.4980588210311982</v>
      </c>
      <c r="AB2402" t="str">
        <f>HYPERLINK("Melting_Curves/meltCurve_P53384_2_NUBP1.pdf", "Melting_Curves/meltCurve_P53384_2_NUBP1.pdf")</f>
        <v>Melting_Curves/meltCurve_P53384_2_NUBP1.pdf</v>
      </c>
    </row>
    <row r="2403" spans="1:28" x14ac:dyDescent="0.25">
      <c r="A2403" t="s">
        <v>2407</v>
      </c>
      <c r="B2403">
        <v>0.99352677808782597</v>
      </c>
      <c r="C2403">
        <v>1.0142333067578</v>
      </c>
      <c r="D2403">
        <v>0.77441515551180296</v>
      </c>
      <c r="E2403">
        <v>0.37981837919921901</v>
      </c>
      <c r="F2403">
        <v>0.26009075808857202</v>
      </c>
      <c r="G2403">
        <v>0.12967566061490801</v>
      </c>
      <c r="H2403">
        <v>8.1245585683329902E-2</v>
      </c>
      <c r="I2403">
        <v>7.2696002841315902E-2</v>
      </c>
      <c r="J2403">
        <v>5.90519649447643E-2</v>
      </c>
      <c r="K2403">
        <v>4.4914587363720802E-2</v>
      </c>
      <c r="L2403">
        <v>1002.18769947162</v>
      </c>
      <c r="M2403">
        <v>20.5636620591773</v>
      </c>
      <c r="N2403">
        <v>49.074874801357097</v>
      </c>
      <c r="O2403">
        <v>48.282002809913401</v>
      </c>
      <c r="P2403">
        <v>-9.9429501789142602E-2</v>
      </c>
      <c r="Q2403">
        <v>6.6214166838062596E-2</v>
      </c>
      <c r="R2403">
        <v>0.99367787946730102</v>
      </c>
      <c r="S2403" t="s">
        <v>8688</v>
      </c>
      <c r="T2403" t="s">
        <v>12568</v>
      </c>
      <c r="U2403" t="s">
        <v>12568</v>
      </c>
      <c r="V2403" t="s">
        <v>12568</v>
      </c>
      <c r="W2403" t="s">
        <v>14937</v>
      </c>
      <c r="X2403">
        <v>64</v>
      </c>
      <c r="Y2403" t="s">
        <v>21109</v>
      </c>
      <c r="Z2403" t="s">
        <v>27273</v>
      </c>
      <c r="AA2403">
        <v>0.35051515008924589</v>
      </c>
      <c r="AB2403" t="str">
        <f>HYPERLINK("Melting_Curves/meltCurve_P53396_ACLY.pdf", "Melting_Curves/meltCurve_P53396_ACLY.pdf")</f>
        <v>Melting_Curves/meltCurve_P53396_ACLY.pdf</v>
      </c>
    </row>
    <row r="2404" spans="1:28" x14ac:dyDescent="0.25">
      <c r="A2404" t="s">
        <v>2408</v>
      </c>
      <c r="B2404">
        <v>0.99352677808782597</v>
      </c>
      <c r="C2404">
        <v>1.0370188510208</v>
      </c>
      <c r="D2404">
        <v>0.75193923579746003</v>
      </c>
      <c r="E2404">
        <v>0.34396177614566797</v>
      </c>
      <c r="F2404">
        <v>0.29729339328648502</v>
      </c>
      <c r="G2404">
        <v>0.101587350445319</v>
      </c>
      <c r="H2404">
        <v>0.24054092425808901</v>
      </c>
      <c r="I2404">
        <v>9.8881762137840404E-2</v>
      </c>
      <c r="J2404">
        <v>8.9722941674246603E-2</v>
      </c>
      <c r="K2404">
        <v>5.86232409335034E-2</v>
      </c>
      <c r="L2404">
        <v>1102.4500940331</v>
      </c>
      <c r="M2404">
        <v>22.903293757390799</v>
      </c>
      <c r="N2404">
        <v>48.717240912124602</v>
      </c>
      <c r="O2404">
        <v>47.772555880726699</v>
      </c>
      <c r="P2404">
        <v>-0.105507605086684</v>
      </c>
      <c r="Q2404">
        <v>0.119729861955282</v>
      </c>
      <c r="R2404">
        <v>0.97222392735643903</v>
      </c>
      <c r="S2404" t="s">
        <v>8689</v>
      </c>
      <c r="T2404" t="s">
        <v>12568</v>
      </c>
      <c r="U2404" t="s">
        <v>12568</v>
      </c>
      <c r="V2404" t="s">
        <v>12568</v>
      </c>
      <c r="W2404" t="s">
        <v>14938</v>
      </c>
      <c r="X2404">
        <v>63</v>
      </c>
      <c r="Y2404" t="s">
        <v>21109</v>
      </c>
      <c r="Z2404" t="s">
        <v>27274</v>
      </c>
      <c r="AA2404">
        <v>0.36779427782859381</v>
      </c>
      <c r="AB2404" t="str">
        <f>HYPERLINK("Melting_Curves/meltCurve_P53396_2_ACLY.pdf", "Melting_Curves/meltCurve_P53396_2_ACLY.pdf")</f>
        <v>Melting_Curves/meltCurve_P53396_2_ACLY.pdf</v>
      </c>
    </row>
    <row r="2405" spans="1:28" x14ac:dyDescent="0.25">
      <c r="A2405" t="s">
        <v>2409</v>
      </c>
      <c r="B2405">
        <v>0.99352677808782597</v>
      </c>
      <c r="C2405">
        <v>0.758753928936862</v>
      </c>
      <c r="D2405">
        <v>0.42119901793893999</v>
      </c>
      <c r="E2405">
        <v>0.241833766926459</v>
      </c>
      <c r="F2405">
        <v>0.18964921062187101</v>
      </c>
      <c r="G2405">
        <v>0.13087238667461901</v>
      </c>
      <c r="H2405">
        <v>0.107938605034004</v>
      </c>
      <c r="I2405">
        <v>9.4500843689052899E-2</v>
      </c>
      <c r="J2405">
        <v>7.6875358581031103E-2</v>
      </c>
      <c r="K2405">
        <v>6.2740094392658805E-2</v>
      </c>
      <c r="L2405">
        <v>904.74525139650802</v>
      </c>
      <c r="M2405">
        <v>20.075652295713201</v>
      </c>
      <c r="N2405">
        <v>45.577358553177099</v>
      </c>
      <c r="O2405">
        <v>44.6267781337312</v>
      </c>
      <c r="P2405">
        <v>-0.10114268400267699</v>
      </c>
      <c r="Q2405">
        <v>0.10069631033375</v>
      </c>
      <c r="R2405">
        <v>0.98857030317564298</v>
      </c>
      <c r="S2405" t="s">
        <v>8690</v>
      </c>
      <c r="T2405" t="s">
        <v>12568</v>
      </c>
      <c r="U2405" t="s">
        <v>12568</v>
      </c>
      <c r="V2405" t="s">
        <v>12568</v>
      </c>
      <c r="W2405" t="s">
        <v>14939</v>
      </c>
      <c r="X2405">
        <v>6</v>
      </c>
      <c r="Y2405" t="s">
        <v>21110</v>
      </c>
      <c r="Z2405" t="s">
        <v>27275</v>
      </c>
      <c r="AA2405">
        <v>0.26756133773282958</v>
      </c>
      <c r="AB2405" t="str">
        <f>HYPERLINK("Melting_Curves/meltCurve_P53582_METAP1.pdf", "Melting_Curves/meltCurve_P53582_METAP1.pdf")</f>
        <v>Melting_Curves/meltCurve_P53582_METAP1.pdf</v>
      </c>
    </row>
    <row r="2406" spans="1:28" x14ac:dyDescent="0.25">
      <c r="A2406" t="s">
        <v>2410</v>
      </c>
      <c r="B2406">
        <v>0.99352677808782597</v>
      </c>
      <c r="C2406">
        <v>0.91206429350361096</v>
      </c>
      <c r="D2406">
        <v>0.86472995438391598</v>
      </c>
      <c r="E2406">
        <v>0.248892935247256</v>
      </c>
      <c r="F2406">
        <v>0.189127942911028</v>
      </c>
      <c r="G2406">
        <v>0.100140199052474</v>
      </c>
      <c r="H2406">
        <v>6.7845405327436797E-2</v>
      </c>
      <c r="I2406">
        <v>5.7101964639442303E-2</v>
      </c>
      <c r="J2406">
        <v>4.9291861911114399E-2</v>
      </c>
      <c r="K2406">
        <v>4.0440129394292999E-2</v>
      </c>
      <c r="L2406">
        <v>1539.2687356947899</v>
      </c>
      <c r="M2406">
        <v>31.9579113656396</v>
      </c>
      <c r="N2406">
        <v>48.392624967739302</v>
      </c>
      <c r="O2406">
        <v>47.978085506784602</v>
      </c>
      <c r="P2406">
        <v>-0.154927199387526</v>
      </c>
      <c r="Q2406">
        <v>6.9642369878828797E-2</v>
      </c>
      <c r="R2406">
        <v>0.98971237225214903</v>
      </c>
      <c r="S2406" t="s">
        <v>8691</v>
      </c>
      <c r="T2406" t="s">
        <v>12568</v>
      </c>
      <c r="U2406" t="s">
        <v>12568</v>
      </c>
      <c r="V2406" t="s">
        <v>12568</v>
      </c>
      <c r="W2406" t="s">
        <v>14940</v>
      </c>
      <c r="X2406">
        <v>9</v>
      </c>
      <c r="Y2406" t="s">
        <v>21111</v>
      </c>
      <c r="Z2406" t="s">
        <v>27276</v>
      </c>
      <c r="AA2406">
        <v>0.32778882866577419</v>
      </c>
      <c r="AB2406" t="str">
        <f>HYPERLINK("Melting_Curves/meltCurve_P53597_SUCLG1.pdf", "Melting_Curves/meltCurve_P53597_SUCLG1.pdf")</f>
        <v>Melting_Curves/meltCurve_P53597_SUCLG1.pdf</v>
      </c>
    </row>
    <row r="2407" spans="1:28" x14ac:dyDescent="0.25">
      <c r="A2407" t="s">
        <v>2411</v>
      </c>
      <c r="B2407">
        <v>0.99352677808782597</v>
      </c>
      <c r="C2407">
        <v>0.80074558087262504</v>
      </c>
      <c r="D2407">
        <v>0.92095697736419602</v>
      </c>
      <c r="E2407">
        <v>0.407238017161829</v>
      </c>
      <c r="F2407">
        <v>0.34671063733369201</v>
      </c>
      <c r="G2407">
        <v>0.137982132930943</v>
      </c>
      <c r="H2407">
        <v>0.102567426878844</v>
      </c>
      <c r="I2407">
        <v>8.12361548560952E-2</v>
      </c>
      <c r="J2407">
        <v>6.2933851768025698E-2</v>
      </c>
      <c r="K2407">
        <v>4.5450137462818403E-2</v>
      </c>
      <c r="L2407">
        <v>815.05276870276896</v>
      </c>
      <c r="M2407">
        <v>16.430439591242902</v>
      </c>
      <c r="N2407">
        <v>49.930661589441002</v>
      </c>
      <c r="O2407">
        <v>48.888898587173003</v>
      </c>
      <c r="P2407">
        <v>-7.97715646751124E-2</v>
      </c>
      <c r="Q2407">
        <v>5.06234851165972E-2</v>
      </c>
      <c r="R2407">
        <v>0.96568220139558603</v>
      </c>
      <c r="S2407" t="s">
        <v>8692</v>
      </c>
      <c r="T2407" t="s">
        <v>12568</v>
      </c>
      <c r="U2407" t="s">
        <v>12568</v>
      </c>
      <c r="V2407" t="s">
        <v>12568</v>
      </c>
      <c r="W2407" t="s">
        <v>14941</v>
      </c>
      <c r="X2407">
        <v>12</v>
      </c>
      <c r="Y2407" t="s">
        <v>21112</v>
      </c>
      <c r="Z2407" t="s">
        <v>27277</v>
      </c>
      <c r="AA2407">
        <v>0.37400050079431951</v>
      </c>
      <c r="AB2407" t="str">
        <f>HYPERLINK("Melting_Curves/meltCurve_P53602_MVD.pdf", "Melting_Curves/meltCurve_P53602_MVD.pdf")</f>
        <v>Melting_Curves/meltCurve_P53602_MVD.pdf</v>
      </c>
    </row>
    <row r="2408" spans="1:28" x14ac:dyDescent="0.25">
      <c r="A2408" t="s">
        <v>2412</v>
      </c>
      <c r="B2408">
        <v>0.99352677808782597</v>
      </c>
      <c r="C2408">
        <v>0.99634592852317505</v>
      </c>
      <c r="D2408">
        <v>1.0012060900209401</v>
      </c>
      <c r="E2408">
        <v>0.58500088070269196</v>
      </c>
      <c r="F2408">
        <v>0.51932366597826995</v>
      </c>
      <c r="G2408">
        <v>0.21168492851081</v>
      </c>
      <c r="H2408">
        <v>9.7573761614040494E-2</v>
      </c>
      <c r="I2408">
        <v>8.9830071466335398E-2</v>
      </c>
      <c r="J2408">
        <v>6.8594812930187002E-2</v>
      </c>
      <c r="K2408">
        <v>5.9055566297286199E-2</v>
      </c>
      <c r="L2408">
        <v>915.18712482932597</v>
      </c>
      <c r="M2408">
        <v>17.586283677508298</v>
      </c>
      <c r="N2408">
        <v>52.3467043746125</v>
      </c>
      <c r="O2408">
        <v>51.380920950573298</v>
      </c>
      <c r="P2408">
        <v>-8.1381337865093495E-2</v>
      </c>
      <c r="Q2408">
        <v>4.8980916713895199E-2</v>
      </c>
      <c r="R2408">
        <v>0.98437822128422703</v>
      </c>
      <c r="S2408" t="s">
        <v>8693</v>
      </c>
      <c r="T2408" t="s">
        <v>12568</v>
      </c>
      <c r="U2408" t="s">
        <v>12568</v>
      </c>
      <c r="V2408" t="s">
        <v>12568</v>
      </c>
      <c r="W2408" t="s">
        <v>14942</v>
      </c>
      <c r="X2408">
        <v>6</v>
      </c>
      <c r="Y2408" t="s">
        <v>21113</v>
      </c>
      <c r="Z2408" t="s">
        <v>27278</v>
      </c>
      <c r="AA2408">
        <v>0.44710250448960048</v>
      </c>
      <c r="AB2408" t="str">
        <f>HYPERLINK("Melting_Curves/meltCurve_P53609_PGGT1B.pdf", "Melting_Curves/meltCurve_P53609_PGGT1B.pdf")</f>
        <v>Melting_Curves/meltCurve_P53609_PGGT1B.pdf</v>
      </c>
    </row>
    <row r="2409" spans="1:28" x14ac:dyDescent="0.25">
      <c r="A2409" t="s">
        <v>2413</v>
      </c>
      <c r="B2409">
        <v>0.99352677808782597</v>
      </c>
      <c r="C2409">
        <v>1.0115641597845499</v>
      </c>
      <c r="D2409">
        <v>0.95762088370368403</v>
      </c>
      <c r="E2409">
        <v>0.52847646800286596</v>
      </c>
      <c r="F2409">
        <v>0.42384383589374103</v>
      </c>
      <c r="G2409">
        <v>0.25387498211276199</v>
      </c>
      <c r="H2409">
        <v>0.119423682135536</v>
      </c>
      <c r="I2409">
        <v>9.6080683598522204E-2</v>
      </c>
      <c r="J2409">
        <v>7.3267224679049503E-2</v>
      </c>
      <c r="K2409">
        <v>5.9440613634617098E-2</v>
      </c>
      <c r="L2409">
        <v>885.52660537627401</v>
      </c>
      <c r="M2409">
        <v>17.334998170651399</v>
      </c>
      <c r="N2409">
        <v>51.536178240655602</v>
      </c>
      <c r="O2409">
        <v>50.417907704696198</v>
      </c>
      <c r="P2409">
        <v>-7.9886755536783302E-2</v>
      </c>
      <c r="Q2409">
        <v>7.0667926044793494E-2</v>
      </c>
      <c r="R2409">
        <v>0.98570781803978302</v>
      </c>
      <c r="S2409" t="s">
        <v>8694</v>
      </c>
      <c r="T2409" t="s">
        <v>12568</v>
      </c>
      <c r="U2409" t="s">
        <v>12568</v>
      </c>
      <c r="V2409" t="s">
        <v>12568</v>
      </c>
      <c r="W2409" t="s">
        <v>14943</v>
      </c>
      <c r="X2409">
        <v>6</v>
      </c>
      <c r="Y2409" t="s">
        <v>21114</v>
      </c>
      <c r="Z2409" t="s">
        <v>27279</v>
      </c>
      <c r="AA2409">
        <v>0.4307279356741856</v>
      </c>
      <c r="AB2409" t="str">
        <f>HYPERLINK("Melting_Curves/meltCurve_P53611_RABGGTB.pdf", "Melting_Curves/meltCurve_P53611_RABGGTB.pdf")</f>
        <v>Melting_Curves/meltCurve_P53611_RABGGTB.pdf</v>
      </c>
    </row>
    <row r="2410" spans="1:28" x14ac:dyDescent="0.25">
      <c r="A2410" t="s">
        <v>2414</v>
      </c>
      <c r="B2410">
        <v>0.99352677808782597</v>
      </c>
      <c r="C2410">
        <v>0.952755976288294</v>
      </c>
      <c r="D2410">
        <v>0.87879124366058103</v>
      </c>
      <c r="E2410">
        <v>0.76957644961534299</v>
      </c>
      <c r="F2410">
        <v>0.53470361244430198</v>
      </c>
      <c r="G2410">
        <v>0.317855831554549</v>
      </c>
      <c r="H2410">
        <v>0.14256056315806601</v>
      </c>
      <c r="I2410">
        <v>0.11763916518661501</v>
      </c>
      <c r="J2410">
        <v>0.104101925709043</v>
      </c>
      <c r="K2410">
        <v>7.2886520440335098E-2</v>
      </c>
      <c r="L2410">
        <v>778.86193503524703</v>
      </c>
      <c r="M2410">
        <v>14.6046771012786</v>
      </c>
      <c r="N2410">
        <v>53.6427271982555</v>
      </c>
      <c r="O2410">
        <v>52.359695825520802</v>
      </c>
      <c r="P2410">
        <v>-6.6891105468876597E-2</v>
      </c>
      <c r="Q2410">
        <v>4.0853801982268401E-2</v>
      </c>
      <c r="R2410">
        <v>0.99686988216640304</v>
      </c>
      <c r="S2410" t="s">
        <v>8695</v>
      </c>
      <c r="T2410" t="s">
        <v>12568</v>
      </c>
      <c r="U2410" t="s">
        <v>12568</v>
      </c>
      <c r="V2410" t="s">
        <v>12568</v>
      </c>
      <c r="W2410" t="s">
        <v>14593</v>
      </c>
      <c r="X2410">
        <v>29</v>
      </c>
      <c r="Y2410" t="s">
        <v>21115</v>
      </c>
      <c r="Z2410" t="s">
        <v>27280</v>
      </c>
      <c r="AA2410">
        <v>0.48809992341453251</v>
      </c>
      <c r="AB2410" t="str">
        <f>HYPERLINK("Melting_Curves/meltCurve_P53618_COPB1.pdf", "Melting_Curves/meltCurve_P53618_COPB1.pdf")</f>
        <v>Melting_Curves/meltCurve_P53618_COPB1.pdf</v>
      </c>
    </row>
    <row r="2411" spans="1:28" x14ac:dyDescent="0.25">
      <c r="A2411" t="s">
        <v>2415</v>
      </c>
      <c r="B2411">
        <v>0.99352677808782597</v>
      </c>
      <c r="C2411">
        <v>0.84029555901877495</v>
      </c>
      <c r="D2411">
        <v>0.80443657137567703</v>
      </c>
      <c r="E2411">
        <v>0.753590733253376</v>
      </c>
      <c r="F2411">
        <v>0.56420604407606501</v>
      </c>
      <c r="G2411">
        <v>0.25399217244925698</v>
      </c>
      <c r="H2411">
        <v>0.109485331778363</v>
      </c>
      <c r="I2411">
        <v>9.6173465512114698E-2</v>
      </c>
      <c r="J2411">
        <v>7.9639991545583405E-2</v>
      </c>
      <c r="K2411">
        <v>5.9561127808615798E-2</v>
      </c>
      <c r="L2411">
        <v>669.39678074577796</v>
      </c>
      <c r="M2411">
        <v>12.602916010235701</v>
      </c>
      <c r="N2411">
        <v>53.114441408727302</v>
      </c>
      <c r="O2411">
        <v>51.830385177724601</v>
      </c>
      <c r="P2411">
        <v>-6.0801342448571001E-2</v>
      </c>
      <c r="Q2411">
        <v>0</v>
      </c>
      <c r="R2411">
        <v>0.97535004695387695</v>
      </c>
      <c r="S2411" t="s">
        <v>8696</v>
      </c>
      <c r="T2411" t="s">
        <v>12568</v>
      </c>
      <c r="U2411" t="s">
        <v>12568</v>
      </c>
      <c r="V2411" t="s">
        <v>12568</v>
      </c>
      <c r="W2411" t="s">
        <v>14944</v>
      </c>
      <c r="X2411">
        <v>32</v>
      </c>
      <c r="Y2411" t="s">
        <v>21116</v>
      </c>
      <c r="Z2411" t="s">
        <v>27281</v>
      </c>
      <c r="AA2411">
        <v>0.46384630498879659</v>
      </c>
      <c r="AB2411" t="str">
        <f>HYPERLINK("Melting_Curves/meltCurve_P53621_COPA.pdf", "Melting_Curves/meltCurve_P53621_COPA.pdf")</f>
        <v>Melting_Curves/meltCurve_P53621_COPA.pdf</v>
      </c>
    </row>
    <row r="2412" spans="1:28" x14ac:dyDescent="0.25">
      <c r="A2412" t="s">
        <v>2416</v>
      </c>
      <c r="B2412">
        <v>0.99352677808782597</v>
      </c>
      <c r="C2412">
        <v>1.0005874204699201</v>
      </c>
      <c r="D2412">
        <v>0.928767307366407</v>
      </c>
      <c r="E2412">
        <v>0.92649302754061702</v>
      </c>
      <c r="F2412">
        <v>0.90295760391126001</v>
      </c>
      <c r="G2412">
        <v>0.72214895065049201</v>
      </c>
      <c r="H2412">
        <v>0.53957730305484497</v>
      </c>
      <c r="I2412">
        <v>0.47413090983714201</v>
      </c>
      <c r="J2412">
        <v>0.40482711711550201</v>
      </c>
      <c r="K2412">
        <v>0.291263731294928</v>
      </c>
      <c r="L2412">
        <v>674.08858790505099</v>
      </c>
      <c r="M2412">
        <v>11.059903498290099</v>
      </c>
      <c r="N2412">
        <v>62.9059629530419</v>
      </c>
      <c r="O2412">
        <v>59.058028041415099</v>
      </c>
      <c r="P2412">
        <v>-4.0015959133618502E-2</v>
      </c>
      <c r="Q2412">
        <v>0.145568287329539</v>
      </c>
      <c r="R2412">
        <v>0.99015292080578199</v>
      </c>
      <c r="S2412" t="s">
        <v>8697</v>
      </c>
      <c r="T2412" t="s">
        <v>12568</v>
      </c>
      <c r="U2412" t="s">
        <v>12568</v>
      </c>
      <c r="V2412" t="s">
        <v>12568</v>
      </c>
      <c r="W2412" t="s">
        <v>14945</v>
      </c>
      <c r="X2412">
        <v>8</v>
      </c>
      <c r="Y2412" t="s">
        <v>21117</v>
      </c>
      <c r="Z2412" t="s">
        <v>27282</v>
      </c>
      <c r="AA2412">
        <v>0.73627832027713613</v>
      </c>
      <c r="AB2412" t="str">
        <f>HYPERLINK("Melting_Curves/meltCurve_P53634_CTSC.pdf", "Melting_Curves/meltCurve_P53634_CTSC.pdf")</f>
        <v>Melting_Curves/meltCurve_P53634_CTSC.pdf</v>
      </c>
    </row>
    <row r="2413" spans="1:28" x14ac:dyDescent="0.25">
      <c r="A2413" t="s">
        <v>2417</v>
      </c>
      <c r="B2413">
        <v>0.99352677808782597</v>
      </c>
      <c r="C2413">
        <v>1.1909990436815301</v>
      </c>
      <c r="D2413">
        <v>0.976667858039727</v>
      </c>
      <c r="E2413">
        <v>0.21954588019851801</v>
      </c>
      <c r="F2413">
        <v>0.14768296010964499</v>
      </c>
      <c r="G2413">
        <v>7.0325207556315897E-2</v>
      </c>
      <c r="H2413">
        <v>4.3351391145969802E-2</v>
      </c>
      <c r="I2413">
        <v>4.1572011299909097E-2</v>
      </c>
      <c r="J2413">
        <v>3.7858269676001699E-2</v>
      </c>
      <c r="K2413">
        <v>3.21461353885742E-2</v>
      </c>
      <c r="L2413">
        <v>2793.1040836443199</v>
      </c>
      <c r="M2413">
        <v>57.390969067591499</v>
      </c>
      <c r="N2413">
        <v>48.775856957001203</v>
      </c>
      <c r="O2413">
        <v>48.609027894913602</v>
      </c>
      <c r="P2413">
        <v>-0.27757456137886799</v>
      </c>
      <c r="Q2413">
        <v>5.9599677308639798E-2</v>
      </c>
      <c r="R2413">
        <v>0.97781106917604699</v>
      </c>
      <c r="S2413" t="s">
        <v>8698</v>
      </c>
      <c r="T2413" t="s">
        <v>12568</v>
      </c>
      <c r="U2413" t="s">
        <v>12568</v>
      </c>
      <c r="V2413" t="s">
        <v>12568</v>
      </c>
      <c r="W2413" t="s">
        <v>14946</v>
      </c>
      <c r="X2413">
        <v>19</v>
      </c>
      <c r="Y2413" t="s">
        <v>21118</v>
      </c>
      <c r="Z2413" t="s">
        <v>27283</v>
      </c>
      <c r="AA2413">
        <v>0.33284321291867552</v>
      </c>
      <c r="AB2413" t="str">
        <f>HYPERLINK("Melting_Curves/meltCurve_P53675_2_CLTCL1.pdf", "Melting_Curves/meltCurve_P53675_2_CLTCL1.pdf")</f>
        <v>Melting_Curves/meltCurve_P53675_2_CLTCL1.pdf</v>
      </c>
    </row>
    <row r="2414" spans="1:28" x14ac:dyDescent="0.25">
      <c r="A2414" t="s">
        <v>2418</v>
      </c>
      <c r="B2414">
        <v>0.99352677808782597</v>
      </c>
      <c r="C2414">
        <v>1.02723750087956</v>
      </c>
      <c r="D2414">
        <v>0.87024835800136902</v>
      </c>
      <c r="E2414">
        <v>0.54033514979768604</v>
      </c>
      <c r="F2414">
        <v>0.45059165354779601</v>
      </c>
      <c r="G2414">
        <v>0.199671556547137</v>
      </c>
      <c r="H2414">
        <v>0.100421920109539</v>
      </c>
      <c r="I2414">
        <v>9.6086619037385898E-2</v>
      </c>
      <c r="J2414">
        <v>8.2555570562889605E-2</v>
      </c>
      <c r="K2414">
        <v>6.8641046296601699E-2</v>
      </c>
      <c r="L2414">
        <v>832.04762565213196</v>
      </c>
      <c r="M2414">
        <v>16.311902245825699</v>
      </c>
      <c r="N2414">
        <v>51.407625797439898</v>
      </c>
      <c r="O2414">
        <v>50.260479437014297</v>
      </c>
      <c r="P2414">
        <v>-7.6317995300768604E-2</v>
      </c>
      <c r="Q2414">
        <v>5.9459854919157902E-2</v>
      </c>
      <c r="R2414">
        <v>0.99057879186758402</v>
      </c>
      <c r="S2414" t="s">
        <v>8699</v>
      </c>
      <c r="T2414" t="s">
        <v>12568</v>
      </c>
      <c r="U2414" t="s">
        <v>12568</v>
      </c>
      <c r="V2414" t="s">
        <v>12568</v>
      </c>
      <c r="W2414" t="s">
        <v>14947</v>
      </c>
      <c r="X2414">
        <v>3</v>
      </c>
      <c r="Y2414" t="s">
        <v>21119</v>
      </c>
      <c r="Z2414" t="s">
        <v>27284</v>
      </c>
      <c r="AA2414">
        <v>0.42344967289029078</v>
      </c>
      <c r="AB2414" t="str">
        <f>HYPERLINK("Melting_Curves/meltCurve_P53680_AP2S1.pdf", "Melting_Curves/meltCurve_P53680_AP2S1.pdf")</f>
        <v>Melting_Curves/meltCurve_P53680_AP2S1.pdf</v>
      </c>
    </row>
    <row r="2415" spans="1:28" x14ac:dyDescent="0.25">
      <c r="A2415" t="s">
        <v>2419</v>
      </c>
      <c r="B2415">
        <v>0.99352677808782597</v>
      </c>
      <c r="C2415">
        <v>0.893418798938026</v>
      </c>
      <c r="D2415">
        <v>0.93923643943857504</v>
      </c>
      <c r="E2415">
        <v>0.73173226202174302</v>
      </c>
      <c r="F2415">
        <v>0.69147122993145704</v>
      </c>
      <c r="G2415">
        <v>0.460699269311934</v>
      </c>
      <c r="H2415">
        <v>0.36427828872255902</v>
      </c>
      <c r="I2415">
        <v>0.41753097930338601</v>
      </c>
      <c r="J2415">
        <v>0.37540687092195901</v>
      </c>
      <c r="K2415">
        <v>0.29476795149872498</v>
      </c>
      <c r="L2415">
        <v>639.466447637329</v>
      </c>
      <c r="M2415">
        <v>12.113250271595501</v>
      </c>
      <c r="N2415">
        <v>56.925076954662302</v>
      </c>
      <c r="O2415">
        <v>51.413674916981797</v>
      </c>
      <c r="P2415">
        <v>-4.1678431120195203E-2</v>
      </c>
      <c r="Q2415">
        <v>0.292561864702443</v>
      </c>
      <c r="R2415">
        <v>0.97204485033194998</v>
      </c>
      <c r="S2415" t="s">
        <v>8700</v>
      </c>
      <c r="T2415" t="s">
        <v>12568</v>
      </c>
      <c r="U2415" t="s">
        <v>12568</v>
      </c>
      <c r="V2415" t="s">
        <v>12568</v>
      </c>
      <c r="W2415" t="s">
        <v>14948</v>
      </c>
      <c r="X2415">
        <v>3</v>
      </c>
      <c r="Y2415" t="s">
        <v>21120</v>
      </c>
      <c r="Z2415" t="s">
        <v>27285</v>
      </c>
      <c r="AA2415">
        <v>0.6144280947212617</v>
      </c>
      <c r="AB2415" t="str">
        <f>HYPERLINK("Melting_Curves/meltCurve_P53778_MAPK12.pdf", "Melting_Curves/meltCurve_P53778_MAPK12.pdf")</f>
        <v>Melting_Curves/meltCurve_P53778_MAPK12.pdf</v>
      </c>
    </row>
    <row r="2416" spans="1:28" x14ac:dyDescent="0.25">
      <c r="A2416" t="s">
        <v>2420</v>
      </c>
      <c r="B2416">
        <v>0.99352677808782597</v>
      </c>
      <c r="C2416">
        <v>1.01085518415853</v>
      </c>
      <c r="D2416">
        <v>1.01591849945044</v>
      </c>
      <c r="E2416">
        <v>0.99899596597359896</v>
      </c>
      <c r="F2416">
        <v>0.88248690902206295</v>
      </c>
      <c r="G2416">
        <v>0.77530831921582999</v>
      </c>
      <c r="H2416">
        <v>0.590680410258966</v>
      </c>
      <c r="I2416">
        <v>0.58137281871282598</v>
      </c>
      <c r="J2416">
        <v>0.52013472105152803</v>
      </c>
      <c r="K2416">
        <v>0.398749576057778</v>
      </c>
      <c r="L2416">
        <v>831.47564734994796</v>
      </c>
      <c r="M2416">
        <v>14.0047794762379</v>
      </c>
      <c r="N2416">
        <v>65.906385153155995</v>
      </c>
      <c r="O2416">
        <v>58.199637962925003</v>
      </c>
      <c r="P2416">
        <v>-3.7585358571443399E-2</v>
      </c>
      <c r="Q2416">
        <v>0.375308944640807</v>
      </c>
      <c r="R2416">
        <v>0.98098622245660905</v>
      </c>
      <c r="S2416" t="s">
        <v>8701</v>
      </c>
      <c r="T2416" t="s">
        <v>12568</v>
      </c>
      <c r="U2416" t="s">
        <v>12568</v>
      </c>
      <c r="V2416" t="s">
        <v>12568</v>
      </c>
      <c r="W2416" t="s">
        <v>14949</v>
      </c>
      <c r="X2416">
        <v>4</v>
      </c>
      <c r="Y2416" t="s">
        <v>21121</v>
      </c>
      <c r="Z2416" t="s">
        <v>27286</v>
      </c>
      <c r="AA2416">
        <v>0.78401460279800717</v>
      </c>
      <c r="AB2416" t="str">
        <f>HYPERLINK("Melting_Curves/meltCurve_P53803_POLR2K.pdf", "Melting_Curves/meltCurve_P53803_POLR2K.pdf")</f>
        <v>Melting_Curves/meltCurve_P53803_POLR2K.pdf</v>
      </c>
    </row>
    <row r="2417" spans="1:28" x14ac:dyDescent="0.25">
      <c r="A2417" t="s">
        <v>2421</v>
      </c>
      <c r="B2417">
        <v>0.99352677808782597</v>
      </c>
      <c r="C2417">
        <v>0.93700672471331703</v>
      </c>
      <c r="D2417">
        <v>0.85271491459891202</v>
      </c>
      <c r="E2417">
        <v>0.41323943874206098</v>
      </c>
      <c r="F2417">
        <v>0.35733614079019699</v>
      </c>
      <c r="G2417">
        <v>0.29910353037827903</v>
      </c>
      <c r="H2417">
        <v>0.18919074618878201</v>
      </c>
      <c r="I2417">
        <v>0.120126941036031</v>
      </c>
      <c r="J2417">
        <v>0.10316243019643299</v>
      </c>
      <c r="K2417">
        <v>9.86245106230417E-2</v>
      </c>
      <c r="L2417">
        <v>806.92591521399504</v>
      </c>
      <c r="M2417">
        <v>16.3762695920014</v>
      </c>
      <c r="N2417">
        <v>50.147096487766397</v>
      </c>
      <c r="O2417">
        <v>48.556930309701997</v>
      </c>
      <c r="P2417">
        <v>-7.3862799479570404E-2</v>
      </c>
      <c r="Q2417">
        <v>0.12402670435754801</v>
      </c>
      <c r="R2417">
        <v>0.97793048859974696</v>
      </c>
      <c r="S2417" t="s">
        <v>8702</v>
      </c>
      <c r="T2417" t="s">
        <v>12568</v>
      </c>
      <c r="U2417" t="s">
        <v>12568</v>
      </c>
      <c r="V2417" t="s">
        <v>12568</v>
      </c>
      <c r="W2417" t="s">
        <v>14950</v>
      </c>
      <c r="X2417">
        <v>1</v>
      </c>
      <c r="Y2417" t="s">
        <v>21122</v>
      </c>
      <c r="Z2417" t="s">
        <v>27287</v>
      </c>
      <c r="AA2417">
        <v>0.41296438310000227</v>
      </c>
      <c r="AB2417" t="str">
        <f>HYPERLINK("Melting_Curves/meltCurve_P53805_RCAN1.pdf", "Melting_Curves/meltCurve_P53805_RCAN1.pdf")</f>
        <v>Melting_Curves/meltCurve_P53805_RCAN1.pdf</v>
      </c>
    </row>
    <row r="2418" spans="1:28" x14ac:dyDescent="0.25">
      <c r="A2418" t="s">
        <v>2422</v>
      </c>
      <c r="B2418">
        <v>0.99352677808782597</v>
      </c>
      <c r="C2418">
        <v>0.92505303548965201</v>
      </c>
      <c r="D2418">
        <v>0.96366218521861502</v>
      </c>
      <c r="E2418">
        <v>0.81235020237136202</v>
      </c>
      <c r="F2418">
        <v>0.70209980367432301</v>
      </c>
      <c r="G2418">
        <v>0.59549988950946597</v>
      </c>
      <c r="H2418">
        <v>0.56225861948437905</v>
      </c>
      <c r="I2418">
        <v>0.54814111808787502</v>
      </c>
      <c r="J2418">
        <v>0.56506854364100501</v>
      </c>
      <c r="K2418">
        <v>0.46174104815748401</v>
      </c>
      <c r="L2418">
        <v>731.89672246472799</v>
      </c>
      <c r="M2418">
        <v>14.1389389306167</v>
      </c>
      <c r="O2418">
        <v>50.762119038500401</v>
      </c>
      <c r="P2418">
        <v>-3.4687270010168497E-2</v>
      </c>
      <c r="Q2418">
        <v>0.50192154648224996</v>
      </c>
      <c r="R2418">
        <v>0.97406625273929004</v>
      </c>
      <c r="S2418" t="s">
        <v>8703</v>
      </c>
      <c r="T2418" t="s">
        <v>12568</v>
      </c>
      <c r="U2418" t="s">
        <v>12568</v>
      </c>
      <c r="V2418" t="s">
        <v>12568</v>
      </c>
      <c r="W2418" t="s">
        <v>14951</v>
      </c>
      <c r="X2418">
        <v>17</v>
      </c>
      <c r="Y2418" t="s">
        <v>21123</v>
      </c>
      <c r="Z2418" t="s">
        <v>27288</v>
      </c>
      <c r="AA2418">
        <v>0.70953185315806877</v>
      </c>
      <c r="AB2418" t="str">
        <f>HYPERLINK("Melting_Curves/meltCurve_P53814_5_SMTN.pdf", "Melting_Curves/meltCurve_P53814_5_SMTN.pdf")</f>
        <v>Melting_Curves/meltCurve_P53814_5_SMTN.pdf</v>
      </c>
    </row>
    <row r="2419" spans="1:28" x14ac:dyDescent="0.25">
      <c r="A2419" t="s">
        <v>2423</v>
      </c>
      <c r="B2419">
        <v>0.99352677808782597</v>
      </c>
      <c r="C2419">
        <v>0.91543265953903896</v>
      </c>
      <c r="D2419">
        <v>1.0418129562059999</v>
      </c>
      <c r="E2419">
        <v>1.04743738519263</v>
      </c>
      <c r="F2419">
        <v>1.02597198169106</v>
      </c>
      <c r="G2419">
        <v>1.1013389146853501</v>
      </c>
      <c r="H2419">
        <v>0.97271339768611598</v>
      </c>
      <c r="I2419">
        <v>1.0473167329149899</v>
      </c>
      <c r="J2419">
        <v>1.1492188258546101</v>
      </c>
      <c r="K2419">
        <v>1.02795082150966</v>
      </c>
      <c r="L2419">
        <v>11439.905035347199</v>
      </c>
      <c r="M2419">
        <v>250</v>
      </c>
      <c r="O2419">
        <v>45.756691844215602</v>
      </c>
      <c r="P2419">
        <v>7.2578782818134402E-2</v>
      </c>
      <c r="Q2419">
        <v>1.0531354399177</v>
      </c>
      <c r="R2419">
        <v>0.29394432414279797</v>
      </c>
      <c r="S2419" t="s">
        <v>8704</v>
      </c>
      <c r="T2419" t="s">
        <v>12568</v>
      </c>
      <c r="U2419" t="s">
        <v>12568</v>
      </c>
      <c r="V2419" t="s">
        <v>12568</v>
      </c>
      <c r="W2419" t="s">
        <v>14952</v>
      </c>
      <c r="X2419">
        <v>1</v>
      </c>
      <c r="Y2419" t="s">
        <v>21124</v>
      </c>
      <c r="Z2419" t="s">
        <v>27289</v>
      </c>
      <c r="AA2419">
        <v>1.0429298410818291</v>
      </c>
      <c r="AB2419" t="str">
        <f>HYPERLINK("Melting_Curves/meltCurve_P53985_SLC16A1.pdf", "Melting_Curves/meltCurve_P53985_SLC16A1.pdf")</f>
        <v>Melting_Curves/meltCurve_P53985_SLC16A1.pdf</v>
      </c>
    </row>
    <row r="2420" spans="1:28" x14ac:dyDescent="0.25">
      <c r="A2420" t="s">
        <v>2424</v>
      </c>
      <c r="B2420">
        <v>0.99352677808782597</v>
      </c>
      <c r="C2420">
        <v>0.96405196644352797</v>
      </c>
      <c r="D2420">
        <v>1.05128801127006</v>
      </c>
      <c r="E2420">
        <v>0.60361279816918001</v>
      </c>
      <c r="F2420">
        <v>0.537654973590035</v>
      </c>
      <c r="G2420">
        <v>0.196302037701057</v>
      </c>
      <c r="H2420">
        <v>0.12944601401193501</v>
      </c>
      <c r="I2420">
        <v>0.10376576594348701</v>
      </c>
      <c r="J2420">
        <v>9.5964170516521397E-2</v>
      </c>
      <c r="K2420">
        <v>7.1884298895110499E-2</v>
      </c>
      <c r="L2420">
        <v>996.685161746228</v>
      </c>
      <c r="M2420">
        <v>19.141376176041199</v>
      </c>
      <c r="N2420">
        <v>52.515629313964901</v>
      </c>
      <c r="O2420">
        <v>51.5113460788195</v>
      </c>
      <c r="P2420">
        <v>-8.5933671279827706E-2</v>
      </c>
      <c r="Q2420">
        <v>7.5011635296547502E-2</v>
      </c>
      <c r="R2420">
        <v>0.97779853690129903</v>
      </c>
      <c r="S2420" t="s">
        <v>8705</v>
      </c>
      <c r="T2420" t="s">
        <v>12568</v>
      </c>
      <c r="U2420" t="s">
        <v>12568</v>
      </c>
      <c r="V2420" t="s">
        <v>12568</v>
      </c>
      <c r="W2420" t="s">
        <v>14953</v>
      </c>
      <c r="X2420">
        <v>10</v>
      </c>
      <c r="Y2420" t="s">
        <v>21125</v>
      </c>
      <c r="Z2420" t="s">
        <v>27290</v>
      </c>
      <c r="AA2420">
        <v>0.46098502963639743</v>
      </c>
      <c r="AB2420" t="str">
        <f>HYPERLINK("Melting_Curves/meltCurve_P53990_2_IST1.pdf", "Melting_Curves/meltCurve_P53990_2_IST1.pdf")</f>
        <v>Melting_Curves/meltCurve_P53990_2_IST1.pdf</v>
      </c>
    </row>
    <row r="2421" spans="1:28" x14ac:dyDescent="0.25">
      <c r="A2421" t="s">
        <v>2425</v>
      </c>
      <c r="B2421">
        <v>0.99352677808782597</v>
      </c>
      <c r="C2421">
        <v>0.97840841705575399</v>
      </c>
      <c r="D2421">
        <v>0.910244563932742</v>
      </c>
      <c r="E2421">
        <v>0.30268045844085301</v>
      </c>
      <c r="F2421">
        <v>0.22543985403392899</v>
      </c>
      <c r="G2421">
        <v>0.124550811632515</v>
      </c>
      <c r="H2421">
        <v>7.8107532883863795E-2</v>
      </c>
      <c r="I2421">
        <v>7.7103291726912798E-2</v>
      </c>
      <c r="J2421">
        <v>6.0824252375547297E-2</v>
      </c>
      <c r="K2421">
        <v>4.8995792711630903E-2</v>
      </c>
      <c r="L2421">
        <v>1620.1509246529199</v>
      </c>
      <c r="M2421">
        <v>33.3407988753547</v>
      </c>
      <c r="N2421">
        <v>48.874074585387703</v>
      </c>
      <c r="O2421">
        <v>48.419838310955903</v>
      </c>
      <c r="P2421">
        <v>-0.15715827725345199</v>
      </c>
      <c r="Q2421">
        <v>8.7059181847719699E-2</v>
      </c>
      <c r="R2421">
        <v>0.99117354248881795</v>
      </c>
      <c r="S2421" t="s">
        <v>8706</v>
      </c>
      <c r="T2421" t="s">
        <v>12568</v>
      </c>
      <c r="U2421" t="s">
        <v>12568</v>
      </c>
      <c r="V2421" t="s">
        <v>12568</v>
      </c>
      <c r="W2421" t="s">
        <v>14954</v>
      </c>
      <c r="X2421">
        <v>19</v>
      </c>
      <c r="Y2421" t="s">
        <v>21126</v>
      </c>
      <c r="Z2421" t="s">
        <v>27291</v>
      </c>
      <c r="AA2421">
        <v>0.35302641412065022</v>
      </c>
      <c r="AB2421" t="str">
        <f>HYPERLINK("Melting_Curves/meltCurve_P53992_SEC24C.pdf", "Melting_Curves/meltCurve_P53992_SEC24C.pdf")</f>
        <v>Melting_Curves/meltCurve_P53992_SEC24C.pdf</v>
      </c>
    </row>
    <row r="2422" spans="1:28" x14ac:dyDescent="0.25">
      <c r="A2422" t="s">
        <v>2426</v>
      </c>
      <c r="B2422">
        <v>0.99352677808782597</v>
      </c>
      <c r="C2422">
        <v>0.96564633165749603</v>
      </c>
      <c r="D2422">
        <v>1.0043937126487901</v>
      </c>
      <c r="E2422">
        <v>0.85906254577236196</v>
      </c>
      <c r="F2422">
        <v>0.76163127789163199</v>
      </c>
      <c r="G2422">
        <v>0.63834323885037503</v>
      </c>
      <c r="H2422">
        <v>0.55386599015589999</v>
      </c>
      <c r="I2422">
        <v>0.61973176676657704</v>
      </c>
      <c r="J2422">
        <v>0.69717419509287304</v>
      </c>
      <c r="K2422">
        <v>0.59914916878040103</v>
      </c>
      <c r="L2422">
        <v>1328.2429171331601</v>
      </c>
      <c r="M2422">
        <v>25.804234950824601</v>
      </c>
      <c r="O2422">
        <v>51.1676938395523</v>
      </c>
      <c r="P2422">
        <v>-4.84186913190576E-2</v>
      </c>
      <c r="Q2422">
        <v>0.61596341114118902</v>
      </c>
      <c r="R2422">
        <v>0.94905065101899</v>
      </c>
      <c r="S2422" t="s">
        <v>8707</v>
      </c>
      <c r="T2422" t="s">
        <v>12568</v>
      </c>
      <c r="U2422" t="s">
        <v>12568</v>
      </c>
      <c r="V2422" t="s">
        <v>12568</v>
      </c>
      <c r="W2422" t="s">
        <v>14955</v>
      </c>
      <c r="X2422">
        <v>11</v>
      </c>
      <c r="Y2422" t="s">
        <v>21127</v>
      </c>
      <c r="Z2422" t="s">
        <v>27292</v>
      </c>
      <c r="AA2422">
        <v>0.76612050291088429</v>
      </c>
      <c r="AB2422" t="str">
        <f>HYPERLINK("Melting_Curves/meltCurve_P53999_SUB1.pdf", "Melting_Curves/meltCurve_P53999_SUB1.pdf")</f>
        <v>Melting_Curves/meltCurve_P53999_SUB1.pdf</v>
      </c>
    </row>
    <row r="2423" spans="1:28" x14ac:dyDescent="0.25">
      <c r="A2423" t="s">
        <v>2427</v>
      </c>
      <c r="B2423">
        <v>0.99352677808782597</v>
      </c>
      <c r="C2423">
        <v>0.86004021091866101</v>
      </c>
      <c r="D2423">
        <v>0.60162911048270695</v>
      </c>
      <c r="E2423">
        <v>0.29483119062879998</v>
      </c>
      <c r="F2423">
        <v>0.21439229425154599</v>
      </c>
      <c r="G2423">
        <v>0.12630141549730201</v>
      </c>
      <c r="H2423">
        <v>7.2579487365457801E-2</v>
      </c>
      <c r="I2423">
        <v>6.5573769348401006E-2</v>
      </c>
      <c r="J2423">
        <v>5.7648041518573299E-2</v>
      </c>
      <c r="K2423">
        <v>4.6020756483240402E-2</v>
      </c>
      <c r="L2423">
        <v>803.44005584786498</v>
      </c>
      <c r="M2423">
        <v>17.075534795127801</v>
      </c>
      <c r="N2423">
        <v>47.404149321356599</v>
      </c>
      <c r="O2423">
        <v>46.420993449895803</v>
      </c>
      <c r="P2423">
        <v>-8.6489479840550096E-2</v>
      </c>
      <c r="Q2423">
        <v>5.9546916370519697E-2</v>
      </c>
      <c r="R2423">
        <v>0.99633226850090995</v>
      </c>
      <c r="S2423" t="s">
        <v>8708</v>
      </c>
      <c r="T2423" t="s">
        <v>12568</v>
      </c>
      <c r="U2423" t="s">
        <v>12568</v>
      </c>
      <c r="V2423" t="s">
        <v>12568</v>
      </c>
      <c r="W2423" t="s">
        <v>14956</v>
      </c>
      <c r="X2423">
        <v>37</v>
      </c>
      <c r="Y2423" t="s">
        <v>21128</v>
      </c>
      <c r="Z2423" t="s">
        <v>27293</v>
      </c>
      <c r="AA2423">
        <v>0.30001366567539628</v>
      </c>
      <c r="AB2423" t="str">
        <f>HYPERLINK("Melting_Curves/meltCurve_P54136_RARS.pdf", "Melting_Curves/meltCurve_P54136_RARS.pdf")</f>
        <v>Melting_Curves/meltCurve_P54136_RARS.pdf</v>
      </c>
    </row>
    <row r="2424" spans="1:28" x14ac:dyDescent="0.25">
      <c r="A2424" t="s">
        <v>2428</v>
      </c>
      <c r="B2424">
        <v>0.99352677808782597</v>
      </c>
      <c r="C2424">
        <v>0.96160092082080895</v>
      </c>
      <c r="D2424">
        <v>0.894575199908893</v>
      </c>
      <c r="E2424">
        <v>0.98297719767750602</v>
      </c>
      <c r="F2424">
        <v>0.81940779766917904</v>
      </c>
      <c r="G2424">
        <v>0.90274370478967303</v>
      </c>
      <c r="H2424">
        <v>1.07332608146703</v>
      </c>
      <c r="I2424">
        <v>1.1552086769157299</v>
      </c>
      <c r="J2424">
        <v>1.4049994205761001</v>
      </c>
      <c r="K2424">
        <v>1.0649912954466501</v>
      </c>
      <c r="L2424">
        <v>3742.4810794568398</v>
      </c>
      <c r="M2424">
        <v>60.338288118755401</v>
      </c>
      <c r="O2424">
        <v>61.956972695557397</v>
      </c>
      <c r="P2424">
        <v>5.3886331981725502E-2</v>
      </c>
      <c r="Q2424">
        <v>1.22132758266117</v>
      </c>
      <c r="R2424">
        <v>0.52999161386398996</v>
      </c>
      <c r="S2424" t="s">
        <v>8709</v>
      </c>
      <c r="T2424" t="s">
        <v>12568</v>
      </c>
      <c r="U2424" t="s">
        <v>12568</v>
      </c>
      <c r="V2424" t="s">
        <v>12568</v>
      </c>
      <c r="W2424" t="s">
        <v>14957</v>
      </c>
      <c r="X2424">
        <v>1</v>
      </c>
      <c r="Y2424" t="s">
        <v>21129</v>
      </c>
      <c r="Z2424" t="s">
        <v>27294</v>
      </c>
      <c r="AA2424">
        <v>1.058431699178058</v>
      </c>
      <c r="AB2424" t="str">
        <f>HYPERLINK("Melting_Curves/meltCurve_P54198_2_HIRA.pdf", "Melting_Curves/meltCurve_P54198_2_HIRA.pdf")</f>
        <v>Melting_Curves/meltCurve_P54198_2_HIRA.pdf</v>
      </c>
    </row>
    <row r="2425" spans="1:28" x14ac:dyDescent="0.25">
      <c r="A2425" t="s">
        <v>2429</v>
      </c>
      <c r="B2425">
        <v>0.99352677808782597</v>
      </c>
      <c r="C2425">
        <v>1.0062244977593</v>
      </c>
      <c r="D2425">
        <v>0.98818574308814999</v>
      </c>
      <c r="E2425">
        <v>0.84691000081772205</v>
      </c>
      <c r="F2425">
        <v>0.78276150412480405</v>
      </c>
      <c r="G2425">
        <v>0.65094393768235304</v>
      </c>
      <c r="H2425">
        <v>0.61435333905995104</v>
      </c>
      <c r="I2425">
        <v>0.62994155492078996</v>
      </c>
      <c r="J2425">
        <v>0.78146012242699503</v>
      </c>
      <c r="K2425">
        <v>0.66263774078256399</v>
      </c>
      <c r="L2425">
        <v>1348.1402951208299</v>
      </c>
      <c r="M2425">
        <v>26.5695843644571</v>
      </c>
      <c r="O2425">
        <v>50.455170618977398</v>
      </c>
      <c r="P2425">
        <v>-4.3772428340604699E-2</v>
      </c>
      <c r="Q2425">
        <v>0.66751125807604195</v>
      </c>
      <c r="R2425">
        <v>0.90787157548325903</v>
      </c>
      <c r="S2425" t="s">
        <v>8710</v>
      </c>
      <c r="T2425" t="s">
        <v>12568</v>
      </c>
      <c r="U2425" t="s">
        <v>12568</v>
      </c>
      <c r="V2425" t="s">
        <v>12568</v>
      </c>
      <c r="W2425" t="s">
        <v>14958</v>
      </c>
      <c r="X2425">
        <v>8</v>
      </c>
      <c r="Y2425" t="s">
        <v>21130</v>
      </c>
      <c r="Z2425" t="s">
        <v>27295</v>
      </c>
      <c r="AA2425">
        <v>0.78919615023092138</v>
      </c>
      <c r="AB2425" t="str">
        <f>HYPERLINK("Melting_Curves/meltCurve_P54259_ATN1.pdf", "Melting_Curves/meltCurve_P54259_ATN1.pdf")</f>
        <v>Melting_Curves/meltCurve_P54259_ATN1.pdf</v>
      </c>
    </row>
    <row r="2426" spans="1:28" x14ac:dyDescent="0.25">
      <c r="A2426" t="s">
        <v>2430</v>
      </c>
      <c r="B2426">
        <v>0.99352677808782597</v>
      </c>
      <c r="C2426">
        <v>0.73082789868760201</v>
      </c>
      <c r="D2426">
        <v>0.65971618248301001</v>
      </c>
      <c r="E2426">
        <v>0.44536004456323802</v>
      </c>
      <c r="F2426">
        <v>0.36157533617235699</v>
      </c>
      <c r="G2426">
        <v>0.25002042793264301</v>
      </c>
      <c r="H2426">
        <v>0.157902790443334</v>
      </c>
      <c r="I2426">
        <v>0.125135471421115</v>
      </c>
      <c r="J2426">
        <v>9.1476222187399606E-2</v>
      </c>
      <c r="K2426">
        <v>7.5816720494860296E-2</v>
      </c>
      <c r="L2426">
        <v>472.40626633846</v>
      </c>
      <c r="M2426">
        <v>9.6713001208944895</v>
      </c>
      <c r="N2426">
        <v>49.218209191362497</v>
      </c>
      <c r="O2426">
        <v>46.894933718204499</v>
      </c>
      <c r="P2426">
        <v>-4.9768627999834801E-2</v>
      </c>
      <c r="Q2426">
        <v>3.5245557242922797E-2</v>
      </c>
      <c r="R2426">
        <v>0.98295669877232505</v>
      </c>
      <c r="S2426" t="s">
        <v>8711</v>
      </c>
      <c r="T2426" t="s">
        <v>12568</v>
      </c>
      <c r="U2426" t="s">
        <v>12568</v>
      </c>
      <c r="V2426" t="s">
        <v>12568</v>
      </c>
      <c r="W2426" t="s">
        <v>14959</v>
      </c>
      <c r="X2426">
        <v>4</v>
      </c>
      <c r="Y2426" t="s">
        <v>21131</v>
      </c>
      <c r="Z2426" t="s">
        <v>27296</v>
      </c>
      <c r="AA2426">
        <v>0.36992101673328631</v>
      </c>
      <c r="AB2426" t="str">
        <f>HYPERLINK("Melting_Curves/meltCurve_P54277_3_PMS1.pdf", "Melting_Curves/meltCurve_P54277_3_PMS1.pdf")</f>
        <v>Melting_Curves/meltCurve_P54277_3_PMS1.pdf</v>
      </c>
    </row>
    <row r="2427" spans="1:28" x14ac:dyDescent="0.25">
      <c r="A2427" t="s">
        <v>2431</v>
      </c>
      <c r="B2427">
        <v>0.99352677808782597</v>
      </c>
      <c r="C2427">
        <v>0.76088599811701896</v>
      </c>
      <c r="D2427">
        <v>0.61355513350990198</v>
      </c>
      <c r="E2427">
        <v>0.31176633537790899</v>
      </c>
      <c r="F2427">
        <v>0.26015366379461902</v>
      </c>
      <c r="G2427">
        <v>0.16478248316052399</v>
      </c>
      <c r="H2427">
        <v>0.10519039263317401</v>
      </c>
      <c r="I2427">
        <v>0.11219222491909001</v>
      </c>
      <c r="J2427">
        <v>7.8613492919380898E-2</v>
      </c>
      <c r="K2427">
        <v>6.5196227499301096E-2</v>
      </c>
      <c r="L2427">
        <v>667.30043075141805</v>
      </c>
      <c r="M2427">
        <v>14.2440346922681</v>
      </c>
      <c r="N2427">
        <v>47.414205113691501</v>
      </c>
      <c r="O2427">
        <v>45.953365540859501</v>
      </c>
      <c r="P2427">
        <v>-7.1437284708052703E-2</v>
      </c>
      <c r="Q2427">
        <v>7.8245108005088895E-2</v>
      </c>
      <c r="R2427">
        <v>0.98956977504075605</v>
      </c>
      <c r="S2427" t="s">
        <v>8712</v>
      </c>
      <c r="T2427" t="s">
        <v>12568</v>
      </c>
      <c r="U2427" t="s">
        <v>12568</v>
      </c>
      <c r="V2427" t="s">
        <v>12568</v>
      </c>
      <c r="W2427" t="s">
        <v>14960</v>
      </c>
      <c r="X2427">
        <v>8</v>
      </c>
      <c r="Y2427" t="s">
        <v>21132</v>
      </c>
      <c r="Z2427" t="s">
        <v>27297</v>
      </c>
      <c r="AA2427">
        <v>0.31674998267681043</v>
      </c>
      <c r="AB2427" t="str">
        <f>HYPERLINK("Melting_Curves/meltCurve_P54278_PMS2.pdf", "Melting_Curves/meltCurve_P54278_PMS2.pdf")</f>
        <v>Melting_Curves/meltCurve_P54278_PMS2.pdf</v>
      </c>
    </row>
    <row r="2428" spans="1:28" x14ac:dyDescent="0.25">
      <c r="A2428" t="s">
        <v>2432</v>
      </c>
      <c r="B2428">
        <v>0.99352677808782597</v>
      </c>
      <c r="C2428">
        <v>0.95485488857558998</v>
      </c>
      <c r="D2428">
        <v>0.74053755739350102</v>
      </c>
      <c r="E2428">
        <v>0.303226154569749</v>
      </c>
      <c r="F2428">
        <v>0.21606122791766899</v>
      </c>
      <c r="G2428">
        <v>0.133651815627435</v>
      </c>
      <c r="H2428">
        <v>9.6563973349242493E-2</v>
      </c>
      <c r="I2428">
        <v>0.10131399552520801</v>
      </c>
      <c r="J2428">
        <v>7.3034718233576698E-2</v>
      </c>
      <c r="K2428">
        <v>5.60894388069351E-2</v>
      </c>
      <c r="L2428">
        <v>1093.5797256616199</v>
      </c>
      <c r="M2428">
        <v>22.8734158776576</v>
      </c>
      <c r="N2428">
        <v>48.221166279368298</v>
      </c>
      <c r="O2428">
        <v>47.449139957146599</v>
      </c>
      <c r="P2428">
        <v>-0.109842040258818</v>
      </c>
      <c r="Q2428">
        <v>8.8582019700922193E-2</v>
      </c>
      <c r="R2428">
        <v>0.99626007949356299</v>
      </c>
      <c r="S2428" t="s">
        <v>8713</v>
      </c>
      <c r="T2428" t="s">
        <v>12568</v>
      </c>
      <c r="U2428" t="s">
        <v>12568</v>
      </c>
      <c r="V2428" t="s">
        <v>12568</v>
      </c>
      <c r="W2428" t="s">
        <v>14961</v>
      </c>
      <c r="X2428">
        <v>37</v>
      </c>
      <c r="Y2428" t="s">
        <v>21133</v>
      </c>
      <c r="Z2428" t="s">
        <v>27298</v>
      </c>
      <c r="AA2428">
        <v>0.33560969918129729</v>
      </c>
      <c r="AB2428" t="str">
        <f>HYPERLINK("Melting_Curves/meltCurve_P54577_YARS.pdf", "Melting_Curves/meltCurve_P54577_YARS.pdf")</f>
        <v>Melting_Curves/meltCurve_P54577_YARS.pdf</v>
      </c>
    </row>
    <row r="2429" spans="1:28" x14ac:dyDescent="0.25">
      <c r="A2429" t="s">
        <v>2433</v>
      </c>
      <c r="B2429">
        <v>0.99352677808782597</v>
      </c>
      <c r="C2429">
        <v>0.84278804881872404</v>
      </c>
      <c r="D2429">
        <v>1.03293265126018</v>
      </c>
      <c r="E2429">
        <v>0.527808734020903</v>
      </c>
      <c r="F2429">
        <v>0.405270512941109</v>
      </c>
      <c r="G2429">
        <v>0.20883575973591501</v>
      </c>
      <c r="H2429">
        <v>0.141529996189384</v>
      </c>
      <c r="I2429">
        <v>0.12145959869827801</v>
      </c>
      <c r="J2429">
        <v>0.11091786364051399</v>
      </c>
      <c r="K2429">
        <v>8.4759394998093901E-2</v>
      </c>
      <c r="L2429">
        <v>1021.66980441482</v>
      </c>
      <c r="M2429">
        <v>20.1758593596361</v>
      </c>
      <c r="N2429">
        <v>51.249253948671999</v>
      </c>
      <c r="O2429">
        <v>50.148635235721599</v>
      </c>
      <c r="P2429">
        <v>-8.9830959883687403E-2</v>
      </c>
      <c r="Q2429">
        <v>0.10690130889767099</v>
      </c>
      <c r="R2429">
        <v>0.96476136754837705</v>
      </c>
      <c r="S2429" t="s">
        <v>8714</v>
      </c>
      <c r="T2429" t="s">
        <v>12568</v>
      </c>
      <c r="U2429" t="s">
        <v>12568</v>
      </c>
      <c r="V2429" t="s">
        <v>12568</v>
      </c>
      <c r="W2429" t="s">
        <v>14962</v>
      </c>
      <c r="X2429">
        <v>28</v>
      </c>
      <c r="Y2429" t="s">
        <v>21134</v>
      </c>
      <c r="Z2429" t="s">
        <v>27299</v>
      </c>
      <c r="AA2429">
        <v>0.4358047041362782</v>
      </c>
      <c r="AB2429" t="str">
        <f>HYPERLINK("Melting_Curves/meltCurve_P54578_USP14.pdf", "Melting_Curves/meltCurve_P54578_USP14.pdf")</f>
        <v>Melting_Curves/meltCurve_P54578_USP14.pdf</v>
      </c>
    </row>
    <row r="2430" spans="1:28" x14ac:dyDescent="0.25">
      <c r="A2430" t="s">
        <v>2434</v>
      </c>
      <c r="B2430">
        <v>0.99352677808782597</v>
      </c>
      <c r="C2430">
        <v>0.98991404392020199</v>
      </c>
      <c r="D2430">
        <v>0.92634829492045001</v>
      </c>
      <c r="E2430">
        <v>0.67878097071340404</v>
      </c>
      <c r="F2430">
        <v>0.53924316811780304</v>
      </c>
      <c r="G2430">
        <v>0.209574408296829</v>
      </c>
      <c r="H2430">
        <v>8.7642289594029005E-2</v>
      </c>
      <c r="I2430">
        <v>7.2247157746381005E-2</v>
      </c>
      <c r="J2430">
        <v>5.8197029444202797E-2</v>
      </c>
      <c r="K2430">
        <v>4.2886669017699698E-2</v>
      </c>
      <c r="L2430">
        <v>891.04298917622202</v>
      </c>
      <c r="M2430">
        <v>16.9106993028159</v>
      </c>
      <c r="N2430">
        <v>52.824203641043702</v>
      </c>
      <c r="O2430">
        <v>51.970788999421501</v>
      </c>
      <c r="P2430">
        <v>-7.9655266768582506E-2</v>
      </c>
      <c r="Q2430">
        <v>2.0859694883323399E-2</v>
      </c>
      <c r="R2430">
        <v>0.99616880312982703</v>
      </c>
      <c r="S2430" t="s">
        <v>8715</v>
      </c>
      <c r="T2430" t="s">
        <v>12568</v>
      </c>
      <c r="U2430" t="s">
        <v>12568</v>
      </c>
      <c r="V2430" t="s">
        <v>12568</v>
      </c>
      <c r="W2430" t="s">
        <v>14963</v>
      </c>
      <c r="X2430">
        <v>8</v>
      </c>
      <c r="Y2430" t="s">
        <v>21135</v>
      </c>
      <c r="Z2430" t="s">
        <v>27300</v>
      </c>
      <c r="AA2430">
        <v>0.45288933450731889</v>
      </c>
      <c r="AB2430" t="str">
        <f>HYPERLINK("Melting_Curves/meltCurve_P54619_2_PRKAG1.pdf", "Melting_Curves/meltCurve_P54619_2_PRKAG1.pdf")</f>
        <v>Melting_Curves/meltCurve_P54619_2_PRKAG1.pdf</v>
      </c>
    </row>
    <row r="2431" spans="1:28" x14ac:dyDescent="0.25">
      <c r="A2431" t="s">
        <v>2435</v>
      </c>
      <c r="B2431">
        <v>0.99352677808782597</v>
      </c>
      <c r="C2431">
        <v>1.0207020155687001</v>
      </c>
      <c r="D2431">
        <v>0.87649009601925998</v>
      </c>
      <c r="E2431">
        <v>0.63220312201769702</v>
      </c>
      <c r="F2431">
        <v>0.58006873976451101</v>
      </c>
      <c r="G2431">
        <v>0.20295467317053301</v>
      </c>
      <c r="H2431">
        <v>0.13249787919596001</v>
      </c>
      <c r="I2431">
        <v>0.141511569570033</v>
      </c>
      <c r="J2431">
        <v>6.9959987870241699E-2</v>
      </c>
      <c r="K2431">
        <v>5.1641866153716402E-2</v>
      </c>
      <c r="L2431">
        <v>776.93804316337105</v>
      </c>
      <c r="M2431">
        <v>14.7876727706322</v>
      </c>
      <c r="N2431">
        <v>52.802460933970799</v>
      </c>
      <c r="O2431">
        <v>51.606830427806997</v>
      </c>
      <c r="P2431">
        <v>-6.9101300925080503E-2</v>
      </c>
      <c r="Q2431">
        <v>3.5489018772333597E-2</v>
      </c>
      <c r="R2431">
        <v>0.98478443354410305</v>
      </c>
      <c r="S2431" t="s">
        <v>8716</v>
      </c>
      <c r="T2431" t="s">
        <v>12568</v>
      </c>
      <c r="U2431" t="s">
        <v>12568</v>
      </c>
      <c r="V2431" t="s">
        <v>12568</v>
      </c>
      <c r="W2431" t="s">
        <v>14964</v>
      </c>
      <c r="X2431">
        <v>5</v>
      </c>
      <c r="Y2431" t="s">
        <v>21136</v>
      </c>
      <c r="Z2431" t="s">
        <v>27301</v>
      </c>
      <c r="AA2431">
        <v>0.46022448578540848</v>
      </c>
      <c r="AB2431" t="str">
        <f>HYPERLINK("Melting_Curves/meltCurve_P54646_PRKAA2.pdf", "Melting_Curves/meltCurve_P54646_PRKAA2.pdf")</f>
        <v>Melting_Curves/meltCurve_P54646_PRKAA2.pdf</v>
      </c>
    </row>
    <row r="2432" spans="1:28" x14ac:dyDescent="0.25">
      <c r="A2432" t="s">
        <v>2436</v>
      </c>
      <c r="B2432">
        <v>0.99352677808782597</v>
      </c>
      <c r="C2432">
        <v>0.981637958606978</v>
      </c>
      <c r="D2432">
        <v>0.96220746276685498</v>
      </c>
      <c r="E2432">
        <v>0.39563355378270598</v>
      </c>
      <c r="F2432">
        <v>0.29018336933535499</v>
      </c>
      <c r="G2432">
        <v>0.16959891703468599</v>
      </c>
      <c r="H2432">
        <v>0.104248322400533</v>
      </c>
      <c r="I2432">
        <v>9.3737935109518195E-2</v>
      </c>
      <c r="J2432">
        <v>7.8906149278051896E-2</v>
      </c>
      <c r="K2432">
        <v>5.90735111797899E-2</v>
      </c>
      <c r="L2432">
        <v>1397.7740107187001</v>
      </c>
      <c r="M2432">
        <v>28.359041598851501</v>
      </c>
      <c r="N2432">
        <v>49.694116210244196</v>
      </c>
      <c r="O2432">
        <v>49.045328456758497</v>
      </c>
      <c r="P2432">
        <v>-0.12962096979865501</v>
      </c>
      <c r="Q2432">
        <v>0.103318976615852</v>
      </c>
      <c r="R2432">
        <v>0.98633749687278105</v>
      </c>
      <c r="S2432" t="s">
        <v>8717</v>
      </c>
      <c r="T2432" t="s">
        <v>12568</v>
      </c>
      <c r="U2432" t="s">
        <v>12568</v>
      </c>
      <c r="V2432" t="s">
        <v>12568</v>
      </c>
      <c r="W2432" t="s">
        <v>14965</v>
      </c>
      <c r="X2432">
        <v>45</v>
      </c>
      <c r="Y2432" t="s">
        <v>21137</v>
      </c>
      <c r="Z2432" t="s">
        <v>27302</v>
      </c>
      <c r="AA2432">
        <v>0.387098088273167</v>
      </c>
      <c r="AB2432" t="str">
        <f>HYPERLINK("Melting_Curves/meltCurve_P54652_HSPA2.pdf", "Melting_Curves/meltCurve_P54652_HSPA2.pdf")</f>
        <v>Melting_Curves/meltCurve_P54652_HSPA2.pdf</v>
      </c>
    </row>
    <row r="2433" spans="1:28" x14ac:dyDescent="0.25">
      <c r="A2433" t="s">
        <v>2437</v>
      </c>
      <c r="B2433">
        <v>0.99352677808782597</v>
      </c>
      <c r="C2433">
        <v>0.96011878686264895</v>
      </c>
      <c r="D2433">
        <v>0.91229703838355103</v>
      </c>
      <c r="E2433">
        <v>0.80340144463149799</v>
      </c>
      <c r="F2433">
        <v>0.71609414105375302</v>
      </c>
      <c r="G2433">
        <v>0.572283412721319</v>
      </c>
      <c r="H2433">
        <v>0.50307526928194102</v>
      </c>
      <c r="I2433">
        <v>0.39914638477988001</v>
      </c>
      <c r="J2433">
        <v>0.33771160065406602</v>
      </c>
      <c r="K2433">
        <v>0.29642007552642002</v>
      </c>
      <c r="L2433">
        <v>478.69305031769301</v>
      </c>
      <c r="M2433">
        <v>8.3014976923571204</v>
      </c>
      <c r="N2433">
        <v>59.991717385590398</v>
      </c>
      <c r="O2433">
        <v>54.608037015723703</v>
      </c>
      <c r="P2433">
        <v>-3.2803323114772402E-2</v>
      </c>
      <c r="Q2433">
        <v>0.13771564849097301</v>
      </c>
      <c r="R2433">
        <v>0.99732399226733404</v>
      </c>
      <c r="S2433" t="s">
        <v>8718</v>
      </c>
      <c r="T2433" t="s">
        <v>12568</v>
      </c>
      <c r="U2433" t="s">
        <v>12568</v>
      </c>
      <c r="V2433" t="s">
        <v>12568</v>
      </c>
      <c r="W2433" t="s">
        <v>14966</v>
      </c>
      <c r="X2433">
        <v>8</v>
      </c>
      <c r="Y2433" t="s">
        <v>21138</v>
      </c>
      <c r="Z2433" t="s">
        <v>27303</v>
      </c>
      <c r="AA2433">
        <v>0.65196340106887085</v>
      </c>
      <c r="AB2433" t="str">
        <f>HYPERLINK("Melting_Curves/meltCurve_P54687_BCAT1.pdf", "Melting_Curves/meltCurve_P54687_BCAT1.pdf")</f>
        <v>Melting_Curves/meltCurve_P54687_BCAT1.pdf</v>
      </c>
    </row>
    <row r="2434" spans="1:28" x14ac:dyDescent="0.25">
      <c r="A2434" t="s">
        <v>2438</v>
      </c>
      <c r="B2434">
        <v>0.99352677808782597</v>
      </c>
      <c r="C2434">
        <v>0.96236568032845404</v>
      </c>
      <c r="D2434">
        <v>1.0645332432842201</v>
      </c>
      <c r="E2434">
        <v>1.11997534504759</v>
      </c>
      <c r="F2434">
        <v>1.0160185990322801</v>
      </c>
      <c r="G2434">
        <v>0.91066568723617902</v>
      </c>
      <c r="H2434">
        <v>0.94399967621117697</v>
      </c>
      <c r="I2434">
        <v>1.0364897323544</v>
      </c>
      <c r="J2434">
        <v>1.06763953248016</v>
      </c>
      <c r="K2434">
        <v>1.0108695087755</v>
      </c>
      <c r="L2434">
        <v>11097.4727872815</v>
      </c>
      <c r="M2434">
        <v>250</v>
      </c>
      <c r="O2434">
        <v>44.387050571035601</v>
      </c>
      <c r="P2434">
        <v>2.99533908252941E-2</v>
      </c>
      <c r="Q2434">
        <v>1.0212726827098599</v>
      </c>
      <c r="R2434">
        <v>5.6674162382807002E-2</v>
      </c>
      <c r="S2434" t="s">
        <v>8719</v>
      </c>
      <c r="T2434" t="s">
        <v>12568</v>
      </c>
      <c r="U2434" t="s">
        <v>12568</v>
      </c>
      <c r="V2434" t="s">
        <v>12568</v>
      </c>
      <c r="W2434" t="s">
        <v>14967</v>
      </c>
      <c r="X2434">
        <v>17</v>
      </c>
      <c r="Y2434" t="s">
        <v>21139</v>
      </c>
      <c r="Z2434" t="s">
        <v>27304</v>
      </c>
      <c r="AA2434">
        <v>1.018158200107101</v>
      </c>
      <c r="AB2434" t="str">
        <f>HYPERLINK("Melting_Curves/meltCurve_P54727_RAD23B.pdf", "Melting_Curves/meltCurve_P54727_RAD23B.pdf")</f>
        <v>Melting_Curves/meltCurve_P54727_RAD23B.pdf</v>
      </c>
    </row>
    <row r="2435" spans="1:28" x14ac:dyDescent="0.25">
      <c r="A2435" t="s">
        <v>2439</v>
      </c>
      <c r="B2435">
        <v>0.99352677808782597</v>
      </c>
      <c r="C2435">
        <v>1.0271866585159199</v>
      </c>
      <c r="D2435">
        <v>0.897952993425574</v>
      </c>
      <c r="E2435">
        <v>0.91455209163683304</v>
      </c>
      <c r="F2435">
        <v>0.746833126590559</v>
      </c>
      <c r="G2435">
        <v>0.53053166554117004</v>
      </c>
      <c r="H2435">
        <v>0.277514346632387</v>
      </c>
      <c r="I2435">
        <v>0.15404303072934999</v>
      </c>
      <c r="J2435">
        <v>0.120260833994443</v>
      </c>
      <c r="K2435">
        <v>8.2691295783989899E-2</v>
      </c>
      <c r="L2435">
        <v>844.43744748047197</v>
      </c>
      <c r="M2435">
        <v>14.802873059563501</v>
      </c>
      <c r="N2435">
        <v>57.145614794121798</v>
      </c>
      <c r="O2435">
        <v>56.034788940312403</v>
      </c>
      <c r="P2435">
        <v>-6.5204892164741707E-2</v>
      </c>
      <c r="Q2435">
        <v>1.27987626903569E-2</v>
      </c>
      <c r="R2435">
        <v>0.99350204382599505</v>
      </c>
      <c r="S2435" t="s">
        <v>8720</v>
      </c>
      <c r="T2435" t="s">
        <v>12568</v>
      </c>
      <c r="U2435" t="s">
        <v>12568</v>
      </c>
      <c r="V2435" t="s">
        <v>12568</v>
      </c>
      <c r="W2435" t="s">
        <v>14968</v>
      </c>
      <c r="X2435">
        <v>6</v>
      </c>
      <c r="Y2435" t="s">
        <v>21140</v>
      </c>
      <c r="Z2435" t="s">
        <v>27305</v>
      </c>
      <c r="AA2435">
        <v>0.58934203645021455</v>
      </c>
      <c r="AB2435" t="str">
        <f>HYPERLINK("Melting_Curves/meltCurve_P54802_NAGLU.pdf", "Melting_Curves/meltCurve_P54802_NAGLU.pdf")</f>
        <v>Melting_Curves/meltCurve_P54802_NAGLU.pdf</v>
      </c>
    </row>
    <row r="2436" spans="1:28" x14ac:dyDescent="0.25">
      <c r="A2436" t="s">
        <v>2440</v>
      </c>
      <c r="B2436">
        <v>0.99352677808782597</v>
      </c>
      <c r="C2436">
        <v>0.99208792660464595</v>
      </c>
      <c r="D2436">
        <v>1.0501162969743201</v>
      </c>
      <c r="E2436">
        <v>1.0213775808333201</v>
      </c>
      <c r="F2436">
        <v>0.94347639864502097</v>
      </c>
      <c r="G2436">
        <v>0.93231281226012197</v>
      </c>
      <c r="H2436">
        <v>0.51448995263446096</v>
      </c>
      <c r="I2436">
        <v>0.223592839520242</v>
      </c>
      <c r="J2436">
        <v>0.135768024753605</v>
      </c>
      <c r="K2436">
        <v>0.101445070687861</v>
      </c>
      <c r="L2436">
        <v>2190.5134884470299</v>
      </c>
      <c r="M2436">
        <v>36.055582474799202</v>
      </c>
      <c r="N2436">
        <v>61.128487622527402</v>
      </c>
      <c r="O2436">
        <v>60.567815838072697</v>
      </c>
      <c r="P2436">
        <v>-0.13406953606876101</v>
      </c>
      <c r="Q2436">
        <v>9.91382962654552E-2</v>
      </c>
      <c r="R2436">
        <v>0.99589396927912699</v>
      </c>
      <c r="S2436" t="s">
        <v>8721</v>
      </c>
      <c r="T2436" t="s">
        <v>12568</v>
      </c>
      <c r="U2436" t="s">
        <v>12568</v>
      </c>
      <c r="V2436" t="s">
        <v>12568</v>
      </c>
      <c r="W2436" t="s">
        <v>14969</v>
      </c>
      <c r="X2436">
        <v>14</v>
      </c>
      <c r="Y2436" t="s">
        <v>21141</v>
      </c>
      <c r="Z2436" t="s">
        <v>27306</v>
      </c>
      <c r="AA2436">
        <v>0.72640329140217685</v>
      </c>
      <c r="AB2436" t="str">
        <f>HYPERLINK("Melting_Curves/meltCurve_P54819_AK2.pdf", "Melting_Curves/meltCurve_P54819_AK2.pdf")</f>
        <v>Melting_Curves/meltCurve_P54819_AK2.pdf</v>
      </c>
    </row>
    <row r="2437" spans="1:28" x14ac:dyDescent="0.25">
      <c r="A2437" t="s">
        <v>2441</v>
      </c>
      <c r="B2437">
        <v>0.99352677808782597</v>
      </c>
      <c r="C2437">
        <v>0.95923100611141299</v>
      </c>
      <c r="D2437">
        <v>0.74995716516914701</v>
      </c>
      <c r="E2437">
        <v>0.30935893445604601</v>
      </c>
      <c r="F2437">
        <v>0.23949856927829</v>
      </c>
      <c r="G2437">
        <v>0.129414363769075</v>
      </c>
      <c r="H2437">
        <v>8.0436568709881903E-2</v>
      </c>
      <c r="I2437">
        <v>7.5899624837255694E-2</v>
      </c>
      <c r="J2437">
        <v>6.1101136719428399E-2</v>
      </c>
      <c r="K2437">
        <v>5.18519255210909E-2</v>
      </c>
      <c r="L2437">
        <v>1031.73435312018</v>
      </c>
      <c r="M2437">
        <v>21.470517909316101</v>
      </c>
      <c r="N2437">
        <v>48.415841366422598</v>
      </c>
      <c r="O2437">
        <v>47.642503917426502</v>
      </c>
      <c r="P2437">
        <v>-0.104305879523132</v>
      </c>
      <c r="Q2437">
        <v>7.4214953346393595E-2</v>
      </c>
      <c r="R2437">
        <v>0.994614010585263</v>
      </c>
      <c r="S2437" t="s">
        <v>8722</v>
      </c>
      <c r="T2437" t="s">
        <v>12568</v>
      </c>
      <c r="U2437" t="s">
        <v>12568</v>
      </c>
      <c r="V2437" t="s">
        <v>12568</v>
      </c>
      <c r="W2437" t="s">
        <v>14970</v>
      </c>
      <c r="X2437">
        <v>19</v>
      </c>
      <c r="Y2437" t="s">
        <v>21142</v>
      </c>
      <c r="Z2437" t="s">
        <v>27307</v>
      </c>
      <c r="AA2437">
        <v>0.33404923867728709</v>
      </c>
      <c r="AB2437" t="str">
        <f>HYPERLINK("Melting_Curves/meltCurve_P54886_2_ALDH18A1.pdf", "Melting_Curves/meltCurve_P54886_2_ALDH18A1.pdf")</f>
        <v>Melting_Curves/meltCurve_P54886_2_ALDH18A1.pdf</v>
      </c>
    </row>
    <row r="2438" spans="1:28" x14ac:dyDescent="0.25">
      <c r="A2438" t="s">
        <v>2442</v>
      </c>
      <c r="B2438">
        <v>0.99352677808782597</v>
      </c>
      <c r="C2438">
        <v>0.99812234831093305</v>
      </c>
      <c r="D2438">
        <v>0.98440226299296796</v>
      </c>
      <c r="E2438">
        <v>0.89138547338471197</v>
      </c>
      <c r="F2438">
        <v>0.77880442908719605</v>
      </c>
      <c r="G2438">
        <v>0.513221832496363</v>
      </c>
      <c r="H2438">
        <v>0.15564066928176201</v>
      </c>
      <c r="I2438">
        <v>0.15977177222861999</v>
      </c>
      <c r="J2438">
        <v>0.12050513135160699</v>
      </c>
      <c r="K2438">
        <v>9.7358041079718904E-2</v>
      </c>
      <c r="L2438">
        <v>1127.12763963058</v>
      </c>
      <c r="M2438">
        <v>20.079828957216801</v>
      </c>
      <c r="N2438">
        <v>56.569519379503703</v>
      </c>
      <c r="O2438">
        <v>55.584498938889503</v>
      </c>
      <c r="P2438">
        <v>-8.3824083278867798E-2</v>
      </c>
      <c r="Q2438">
        <v>7.1870499224112497E-2</v>
      </c>
      <c r="R2438">
        <v>0.99358746460105096</v>
      </c>
      <c r="S2438" t="s">
        <v>8723</v>
      </c>
      <c r="T2438" t="s">
        <v>12568</v>
      </c>
      <c r="U2438" t="s">
        <v>12568</v>
      </c>
      <c r="V2438" t="s">
        <v>12568</v>
      </c>
      <c r="W2438" t="s">
        <v>14971</v>
      </c>
      <c r="X2438">
        <v>22</v>
      </c>
      <c r="Y2438" t="s">
        <v>21143</v>
      </c>
      <c r="Z2438" t="s">
        <v>27308</v>
      </c>
      <c r="AA2438">
        <v>0.58279282195930693</v>
      </c>
      <c r="AB2438" t="str">
        <f>HYPERLINK("Melting_Curves/meltCurve_P54920_NAPA.pdf", "Melting_Curves/meltCurve_P54920_NAPA.pdf")</f>
        <v>Melting_Curves/meltCurve_P54920_NAPA.pdf</v>
      </c>
    </row>
    <row r="2439" spans="1:28" x14ac:dyDescent="0.25">
      <c r="A2439" t="s">
        <v>2443</v>
      </c>
      <c r="B2439">
        <v>0.99352677808782597</v>
      </c>
      <c r="C2439">
        <v>0.92018042030562297</v>
      </c>
      <c r="D2439">
        <v>0.967027830292427</v>
      </c>
      <c r="E2439">
        <v>0.38626929807974703</v>
      </c>
      <c r="F2439">
        <v>0.335246841690643</v>
      </c>
      <c r="G2439">
        <v>0.22497444352020801</v>
      </c>
      <c r="H2439">
        <v>0.15918380710089999</v>
      </c>
      <c r="I2439">
        <v>0.160847208930432</v>
      </c>
      <c r="J2439">
        <v>0.11632774649790199</v>
      </c>
      <c r="K2439">
        <v>0.101198470888561</v>
      </c>
      <c r="L2439">
        <v>1437.64305129852</v>
      </c>
      <c r="M2439">
        <v>29.341789496666401</v>
      </c>
      <c r="N2439">
        <v>49.640391661626403</v>
      </c>
      <c r="O2439">
        <v>48.770553978101603</v>
      </c>
      <c r="P2439">
        <v>-0.12660065896078901</v>
      </c>
      <c r="Q2439">
        <v>0.158287393611175</v>
      </c>
      <c r="R2439">
        <v>0.97423151867097402</v>
      </c>
      <c r="S2439" t="s">
        <v>8724</v>
      </c>
      <c r="T2439" t="s">
        <v>12568</v>
      </c>
      <c r="U2439" t="s">
        <v>12568</v>
      </c>
      <c r="V2439" t="s">
        <v>12568</v>
      </c>
      <c r="W2439" t="s">
        <v>14972</v>
      </c>
      <c r="X2439">
        <v>4</v>
      </c>
      <c r="Y2439" t="s">
        <v>21144</v>
      </c>
      <c r="Z2439" t="s">
        <v>27309</v>
      </c>
      <c r="AA2439">
        <v>0.41606605548363351</v>
      </c>
      <c r="AB2439" t="str">
        <f>HYPERLINK("Melting_Curves/meltCurve_P54922_ADPRH.pdf", "Melting_Curves/meltCurve_P54922_ADPRH.pdf")</f>
        <v>Melting_Curves/meltCurve_P54922_ADPRH.pdf</v>
      </c>
    </row>
    <row r="2440" spans="1:28" x14ac:dyDescent="0.25">
      <c r="A2440" t="s">
        <v>2444</v>
      </c>
      <c r="B2440">
        <v>0.99352677808782597</v>
      </c>
      <c r="C2440">
        <v>0.89070102146375296</v>
      </c>
      <c r="D2440">
        <v>0.61586538798181301</v>
      </c>
      <c r="E2440">
        <v>0.60849353134307405</v>
      </c>
      <c r="F2440">
        <v>0.51772105958229497</v>
      </c>
      <c r="G2440">
        <v>0.21073132227423</v>
      </c>
      <c r="H2440">
        <v>0.13024186355770001</v>
      </c>
      <c r="I2440">
        <v>0.11733854938636699</v>
      </c>
      <c r="J2440">
        <v>0.10454721982982899</v>
      </c>
      <c r="K2440">
        <v>7.0500159767348095E-2</v>
      </c>
      <c r="L2440">
        <v>499.47884668371597</v>
      </c>
      <c r="M2440">
        <v>9.7562873309696503</v>
      </c>
      <c r="N2440">
        <v>51.195568828967197</v>
      </c>
      <c r="O2440">
        <v>49.183667984832297</v>
      </c>
      <c r="P2440">
        <v>-4.9617601590291598E-2</v>
      </c>
      <c r="Q2440">
        <v>0</v>
      </c>
      <c r="R2440">
        <v>0.96299953169155705</v>
      </c>
      <c r="S2440" t="s">
        <v>8725</v>
      </c>
      <c r="T2440" t="s">
        <v>12568</v>
      </c>
      <c r="U2440" t="s">
        <v>12568</v>
      </c>
      <c r="V2440" t="s">
        <v>12568</v>
      </c>
      <c r="W2440" t="s">
        <v>14973</v>
      </c>
      <c r="X2440">
        <v>16</v>
      </c>
      <c r="Y2440" t="s">
        <v>21145</v>
      </c>
      <c r="Z2440" t="s">
        <v>27310</v>
      </c>
      <c r="AA2440">
        <v>0.41529667360891781</v>
      </c>
      <c r="AB2440" t="str">
        <f>HYPERLINK("Melting_Curves/meltCurve_P55010_EIF5.pdf", "Melting_Curves/meltCurve_P55010_EIF5.pdf")</f>
        <v>Melting_Curves/meltCurve_P55010_EIF5.pdf</v>
      </c>
    </row>
    <row r="2441" spans="1:28" x14ac:dyDescent="0.25">
      <c r="A2441" t="s">
        <v>2445</v>
      </c>
      <c r="B2441">
        <v>0.99352677808782597</v>
      </c>
      <c r="C2441">
        <v>1.0063672208502601</v>
      </c>
      <c r="D2441">
        <v>0.91708326569593202</v>
      </c>
      <c r="E2441">
        <v>1.0325433671472299</v>
      </c>
      <c r="F2441">
        <v>0.969510087687247</v>
      </c>
      <c r="G2441">
        <v>0.74572324977799898</v>
      </c>
      <c r="H2441">
        <v>0.57440182634403003</v>
      </c>
      <c r="I2441">
        <v>0.51011117902039205</v>
      </c>
      <c r="J2441">
        <v>0.45444945932026298</v>
      </c>
      <c r="K2441">
        <v>0.31959680095515602</v>
      </c>
      <c r="L2441">
        <v>1019.1272855915699</v>
      </c>
      <c r="M2441">
        <v>17.1068488864451</v>
      </c>
      <c r="N2441">
        <v>63.354694339212003</v>
      </c>
      <c r="O2441">
        <v>58.7780120026814</v>
      </c>
      <c r="P2441">
        <v>-4.9491332881996197E-2</v>
      </c>
      <c r="Q2441">
        <v>0.31984507466628098</v>
      </c>
      <c r="R2441">
        <v>0.97081370643048503</v>
      </c>
      <c r="S2441" t="s">
        <v>8726</v>
      </c>
      <c r="T2441" t="s">
        <v>12568</v>
      </c>
      <c r="U2441" t="s">
        <v>12568</v>
      </c>
      <c r="V2441" t="s">
        <v>12568</v>
      </c>
      <c r="W2441" t="s">
        <v>14974</v>
      </c>
      <c r="X2441">
        <v>11</v>
      </c>
      <c r="Y2441" t="s">
        <v>21146</v>
      </c>
      <c r="Z2441" t="s">
        <v>27311</v>
      </c>
      <c r="AA2441">
        <v>0.7699262218628673</v>
      </c>
      <c r="AB2441" t="str">
        <f>HYPERLINK("Melting_Curves/meltCurve_P55036_PSMD4.pdf", "Melting_Curves/meltCurve_P55036_PSMD4.pdf")</f>
        <v>Melting_Curves/meltCurve_P55036_PSMD4.pdf</v>
      </c>
    </row>
    <row r="2442" spans="1:28" x14ac:dyDescent="0.25">
      <c r="A2442" t="s">
        <v>2446</v>
      </c>
      <c r="B2442">
        <v>0.99352677808782597</v>
      </c>
      <c r="C2442">
        <v>0.92152903874949899</v>
      </c>
      <c r="D2442">
        <v>1.00129215794536</v>
      </c>
      <c r="E2442">
        <v>0.56146416280513001</v>
      </c>
      <c r="F2442">
        <v>0.50252610675001397</v>
      </c>
      <c r="G2442">
        <v>0.16198659532159099</v>
      </c>
      <c r="H2442">
        <v>0.10095677061205301</v>
      </c>
      <c r="I2442">
        <v>9.1720165877241203E-2</v>
      </c>
      <c r="J2442">
        <v>7.17239693623557E-2</v>
      </c>
      <c r="K2442">
        <v>5.6864476234211897E-2</v>
      </c>
      <c r="L2442">
        <v>922.46464739160297</v>
      </c>
      <c r="M2442">
        <v>17.867907316475801</v>
      </c>
      <c r="N2442">
        <v>51.940269605807401</v>
      </c>
      <c r="O2442">
        <v>50.993261154746797</v>
      </c>
      <c r="P2442">
        <v>-8.31274887914214E-2</v>
      </c>
      <c r="Q2442">
        <v>5.1097283085248101E-2</v>
      </c>
      <c r="R2442">
        <v>0.97896920530335396</v>
      </c>
      <c r="S2442" t="s">
        <v>8727</v>
      </c>
      <c r="T2442" t="s">
        <v>12568</v>
      </c>
      <c r="U2442" t="s">
        <v>12568</v>
      </c>
      <c r="V2442" t="s">
        <v>12568</v>
      </c>
      <c r="W2442" t="s">
        <v>14975</v>
      </c>
      <c r="X2442">
        <v>14</v>
      </c>
      <c r="Y2442" t="s">
        <v>21147</v>
      </c>
      <c r="Z2442" t="s">
        <v>27312</v>
      </c>
      <c r="AA2442">
        <v>0.43493010513419128</v>
      </c>
      <c r="AB2442" t="str">
        <f>HYPERLINK("Melting_Curves/meltCurve_P55039_DRG2.pdf", "Melting_Curves/meltCurve_P55039_DRG2.pdf")</f>
        <v>Melting_Curves/meltCurve_P55039_DRG2.pdf</v>
      </c>
    </row>
    <row r="2443" spans="1:28" x14ac:dyDescent="0.25">
      <c r="A2443" t="s">
        <v>2447</v>
      </c>
      <c r="B2443">
        <v>0.99352677808782597</v>
      </c>
      <c r="C2443">
        <v>1.01171533861663</v>
      </c>
      <c r="D2443">
        <v>0.90234145801562504</v>
      </c>
      <c r="E2443">
        <v>0.37064979619141603</v>
      </c>
      <c r="F2443">
        <v>0.262502152099788</v>
      </c>
      <c r="G2443">
        <v>0.114255397259675</v>
      </c>
      <c r="H2443">
        <v>7.8248841377138306E-2</v>
      </c>
      <c r="I2443">
        <v>7.7339421346936194E-2</v>
      </c>
      <c r="J2443">
        <v>5.39266942287389E-2</v>
      </c>
      <c r="K2443">
        <v>4.2861935542254703E-2</v>
      </c>
      <c r="L2443">
        <v>1299.0121419992499</v>
      </c>
      <c r="M2443">
        <v>26.460761933231499</v>
      </c>
      <c r="N2443">
        <v>49.390716828973801</v>
      </c>
      <c r="O2443">
        <v>48.814200287970401</v>
      </c>
      <c r="P2443">
        <v>-0.125499049779419</v>
      </c>
      <c r="Q2443">
        <v>7.3938986400676102E-2</v>
      </c>
      <c r="R2443">
        <v>0.99172918699879997</v>
      </c>
      <c r="S2443" t="s">
        <v>8728</v>
      </c>
      <c r="T2443" t="s">
        <v>12568</v>
      </c>
      <c r="U2443" t="s">
        <v>12568</v>
      </c>
      <c r="V2443" t="s">
        <v>12568</v>
      </c>
      <c r="W2443" t="s">
        <v>14976</v>
      </c>
      <c r="X2443">
        <v>39</v>
      </c>
      <c r="Y2443" t="s">
        <v>21148</v>
      </c>
      <c r="Z2443" t="s">
        <v>27313</v>
      </c>
      <c r="AA2443">
        <v>0.36190434406380889</v>
      </c>
      <c r="AB2443" t="str">
        <f>HYPERLINK("Melting_Curves/meltCurve_P55060_3_CSE1L.pdf", "Melting_Curves/meltCurve_P55060_3_CSE1L.pdf")</f>
        <v>Melting_Curves/meltCurve_P55060_3_CSE1L.pdf</v>
      </c>
    </row>
    <row r="2444" spans="1:28" x14ac:dyDescent="0.25">
      <c r="A2444" t="s">
        <v>2448</v>
      </c>
      <c r="B2444">
        <v>0.99352677808782597</v>
      </c>
      <c r="C2444">
        <v>0.99829710503800895</v>
      </c>
      <c r="D2444">
        <v>0.811441956160874</v>
      </c>
      <c r="E2444">
        <v>1.20761439705137</v>
      </c>
      <c r="F2444">
        <v>0.97340877329183895</v>
      </c>
      <c r="G2444">
        <v>1.0221895041656399</v>
      </c>
      <c r="H2444">
        <v>1.30051133383337</v>
      </c>
      <c r="I2444">
        <v>1.1583327353539401</v>
      </c>
      <c r="J2444">
        <v>0.97773792397489601</v>
      </c>
      <c r="K2444">
        <v>0.170451165920528</v>
      </c>
      <c r="L2444">
        <v>15000</v>
      </c>
      <c r="M2444">
        <v>220.287048498269</v>
      </c>
      <c r="N2444">
        <v>68.220152450456695</v>
      </c>
      <c r="O2444">
        <v>68.087360150536995</v>
      </c>
      <c r="P2444">
        <v>-0.67263301237557704</v>
      </c>
      <c r="Q2444">
        <v>0.16839765674565099</v>
      </c>
      <c r="R2444">
        <v>0.77528037243285597</v>
      </c>
      <c r="S2444" t="s">
        <v>8729</v>
      </c>
      <c r="T2444" t="s">
        <v>12568</v>
      </c>
      <c r="U2444" t="s">
        <v>12568</v>
      </c>
      <c r="V2444" t="s">
        <v>12568</v>
      </c>
      <c r="W2444" t="s">
        <v>14977</v>
      </c>
      <c r="X2444">
        <v>62</v>
      </c>
      <c r="Y2444" t="s">
        <v>21149</v>
      </c>
      <c r="Z2444" t="s">
        <v>27314</v>
      </c>
      <c r="AA2444">
        <v>0.94724246001949397</v>
      </c>
      <c r="AB2444" t="str">
        <f>HYPERLINK("Melting_Curves/meltCurve_P55072_VCP.pdf", "Melting_Curves/meltCurve_P55072_VCP.pdf")</f>
        <v>Melting_Curves/meltCurve_P55072_VCP.pdf</v>
      </c>
    </row>
    <row r="2445" spans="1:28" x14ac:dyDescent="0.25">
      <c r="A2445" t="s">
        <v>2449</v>
      </c>
      <c r="B2445">
        <v>0.99352677808782597</v>
      </c>
      <c r="C2445">
        <v>1.05047329087958</v>
      </c>
      <c r="D2445">
        <v>1.17016611306643</v>
      </c>
      <c r="E2445">
        <v>1.36664981250771</v>
      </c>
      <c r="F2445">
        <v>1.36914987567528</v>
      </c>
      <c r="G2445">
        <v>1.24140952507571</v>
      </c>
      <c r="H2445">
        <v>1.2687098414369899</v>
      </c>
      <c r="I2445">
        <v>1.35649207803759</v>
      </c>
      <c r="J2445">
        <v>1.51793657216276</v>
      </c>
      <c r="K2445">
        <v>1.3707493930291501</v>
      </c>
      <c r="L2445">
        <v>1596.4184826360699</v>
      </c>
      <c r="M2445">
        <v>34.741047306193501</v>
      </c>
      <c r="O2445">
        <v>45.8004828651856</v>
      </c>
      <c r="P2445">
        <v>6.7977012468338996E-2</v>
      </c>
      <c r="Q2445">
        <v>1.3584657227079</v>
      </c>
      <c r="R2445">
        <v>0.79040534345871105</v>
      </c>
      <c r="S2445" t="s">
        <v>8730</v>
      </c>
      <c r="T2445" t="s">
        <v>12568</v>
      </c>
      <c r="U2445" t="s">
        <v>12568</v>
      </c>
      <c r="V2445" t="s">
        <v>12568</v>
      </c>
      <c r="W2445" t="s">
        <v>14978</v>
      </c>
      <c r="X2445">
        <v>5</v>
      </c>
      <c r="Y2445" t="s">
        <v>21150</v>
      </c>
      <c r="Z2445" t="s">
        <v>27315</v>
      </c>
      <c r="AA2445">
        <v>1.2857681111623021</v>
      </c>
      <c r="AB2445" t="str">
        <f>HYPERLINK("Melting_Curves/meltCurve_P55081_MFAP1.pdf", "Melting_Curves/meltCurve_P55081_MFAP1.pdf")</f>
        <v>Melting_Curves/meltCurve_P55081_MFAP1.pdf</v>
      </c>
    </row>
    <row r="2446" spans="1:28" x14ac:dyDescent="0.25">
      <c r="A2446" t="s">
        <v>2450</v>
      </c>
      <c r="B2446">
        <v>0.99352677808782597</v>
      </c>
      <c r="C2446">
        <v>0.96200955077863104</v>
      </c>
      <c r="D2446">
        <v>1.0637243454535501</v>
      </c>
      <c r="E2446">
        <v>1.01134972673531</v>
      </c>
      <c r="F2446">
        <v>0.91315387163560702</v>
      </c>
      <c r="G2446">
        <v>0.91148820376536899</v>
      </c>
      <c r="H2446">
        <v>0.79925554401911503</v>
      </c>
      <c r="I2446">
        <v>0.94119255352835496</v>
      </c>
      <c r="J2446">
        <v>0.98493115077191595</v>
      </c>
      <c r="K2446">
        <v>0.77194259131237497</v>
      </c>
      <c r="L2446">
        <v>13196.0679143744</v>
      </c>
      <c r="M2446">
        <v>250</v>
      </c>
      <c r="O2446">
        <v>52.780913872844501</v>
      </c>
      <c r="P2446">
        <v>-0.140010415265275</v>
      </c>
      <c r="Q2446">
        <v>0.88176200209597799</v>
      </c>
      <c r="R2446">
        <v>0.472883020754022</v>
      </c>
      <c r="S2446" t="s">
        <v>8731</v>
      </c>
      <c r="T2446" t="s">
        <v>12568</v>
      </c>
      <c r="U2446" t="s">
        <v>12568</v>
      </c>
      <c r="V2446" t="s">
        <v>12568</v>
      </c>
      <c r="W2446" t="s">
        <v>14979</v>
      </c>
      <c r="X2446">
        <v>15</v>
      </c>
      <c r="Y2446" t="s">
        <v>21151</v>
      </c>
      <c r="Z2446" t="s">
        <v>27316</v>
      </c>
      <c r="AA2446">
        <v>0.93215917798905201</v>
      </c>
      <c r="AB2446" t="str">
        <f>HYPERLINK("Melting_Curves/meltCurve_P55145_MANF.pdf", "Melting_Curves/meltCurve_P55145_MANF.pdf")</f>
        <v>Melting_Curves/meltCurve_P55145_MANF.pdf</v>
      </c>
    </row>
    <row r="2447" spans="1:28" x14ac:dyDescent="0.25">
      <c r="A2447" t="s">
        <v>2451</v>
      </c>
      <c r="B2447">
        <v>0.99352677808782597</v>
      </c>
      <c r="C2447">
        <v>0.95861499490854996</v>
      </c>
      <c r="D2447">
        <v>0.94955169288684504</v>
      </c>
      <c r="E2447">
        <v>0.621866588134527</v>
      </c>
      <c r="F2447">
        <v>0.602064512624926</v>
      </c>
      <c r="G2447">
        <v>0.48386157340491598</v>
      </c>
      <c r="H2447">
        <v>0.44395341788789999</v>
      </c>
      <c r="I2447">
        <v>0.49223755578275302</v>
      </c>
      <c r="J2447">
        <v>0.50666079490742</v>
      </c>
      <c r="K2447">
        <v>0.431931370683871</v>
      </c>
      <c r="L2447">
        <v>1215.89698621197</v>
      </c>
      <c r="M2447">
        <v>24.837351863954499</v>
      </c>
      <c r="N2447">
        <v>55.4796451103783</v>
      </c>
      <c r="O2447">
        <v>48.640337092000998</v>
      </c>
      <c r="P2447">
        <v>-6.7268237905856607E-2</v>
      </c>
      <c r="Q2447">
        <v>0.47306708337505798</v>
      </c>
      <c r="R2447">
        <v>0.97378386109570902</v>
      </c>
      <c r="S2447" t="s">
        <v>8732</v>
      </c>
      <c r="T2447" t="s">
        <v>12568</v>
      </c>
      <c r="U2447" t="s">
        <v>12568</v>
      </c>
      <c r="V2447" t="s">
        <v>12568</v>
      </c>
      <c r="W2447" t="s">
        <v>14980</v>
      </c>
      <c r="X2447">
        <v>30</v>
      </c>
      <c r="Y2447" t="s">
        <v>21152</v>
      </c>
      <c r="Z2447" t="s">
        <v>27317</v>
      </c>
      <c r="AA2447">
        <v>0.63507686997429502</v>
      </c>
      <c r="AB2447" t="str">
        <f>HYPERLINK("Melting_Curves/meltCurve_P55196_MLLT4.pdf", "Melting_Curves/meltCurve_P55196_MLLT4.pdf")</f>
        <v>Melting_Curves/meltCurve_P55196_MLLT4.pdf</v>
      </c>
    </row>
    <row r="2448" spans="1:28" x14ac:dyDescent="0.25">
      <c r="A2448" t="s">
        <v>2452</v>
      </c>
      <c r="B2448">
        <v>0.99352677808782597</v>
      </c>
      <c r="C2448">
        <v>0.96026699015827</v>
      </c>
      <c r="D2448">
        <v>0.96221989597574897</v>
      </c>
      <c r="E2448">
        <v>0.74112359101325898</v>
      </c>
      <c r="F2448">
        <v>0.66063925647580501</v>
      </c>
      <c r="G2448">
        <v>0.44926103494567898</v>
      </c>
      <c r="H2448">
        <v>0.40890944684988201</v>
      </c>
      <c r="I2448">
        <v>0.34175370581895798</v>
      </c>
      <c r="J2448">
        <v>0.27747408615735403</v>
      </c>
      <c r="K2448">
        <v>0.255194972114823</v>
      </c>
      <c r="L2448">
        <v>673.71031753145701</v>
      </c>
      <c r="M2448">
        <v>12.5724908446635</v>
      </c>
      <c r="N2448">
        <v>56.4278459832626</v>
      </c>
      <c r="O2448">
        <v>52.284584343773801</v>
      </c>
      <c r="P2448">
        <v>-4.6024993766413003E-2</v>
      </c>
      <c r="Q2448">
        <v>0.234546690778108</v>
      </c>
      <c r="R2448">
        <v>0.99070843252659102</v>
      </c>
      <c r="S2448" t="s">
        <v>8733</v>
      </c>
      <c r="T2448" t="s">
        <v>12568</v>
      </c>
      <c r="U2448" t="s">
        <v>12568</v>
      </c>
      <c r="V2448" t="s">
        <v>12568</v>
      </c>
      <c r="W2448" t="s">
        <v>14981</v>
      </c>
      <c r="X2448">
        <v>6</v>
      </c>
      <c r="Y2448" t="s">
        <v>21153</v>
      </c>
      <c r="Z2448" t="s">
        <v>27318</v>
      </c>
      <c r="AA2448">
        <v>0.60097850851658718</v>
      </c>
      <c r="AB2448" t="str">
        <f>HYPERLINK("Melting_Curves/meltCurve_P55199_ELL.pdf", "Melting_Curves/meltCurve_P55199_ELL.pdf")</f>
        <v>Melting_Curves/meltCurve_P55199_ELL.pdf</v>
      </c>
    </row>
    <row r="2449" spans="1:28" x14ac:dyDescent="0.25">
      <c r="A2449" t="s">
        <v>2453</v>
      </c>
      <c r="B2449">
        <v>0.99352677808782597</v>
      </c>
      <c r="C2449">
        <v>0.94789103280046705</v>
      </c>
      <c r="D2449">
        <v>0.94558006888201696</v>
      </c>
      <c r="E2449">
        <v>0.56007207687775096</v>
      </c>
      <c r="F2449">
        <v>0.50533798700240296</v>
      </c>
      <c r="G2449">
        <v>0.38977524714159001</v>
      </c>
      <c r="H2449">
        <v>0.26659507937570698</v>
      </c>
      <c r="I2449">
        <v>0.21514585633424199</v>
      </c>
      <c r="J2449">
        <v>0.165071513560199</v>
      </c>
      <c r="K2449">
        <v>0.11948012965488999</v>
      </c>
      <c r="L2449">
        <v>645.101135446184</v>
      </c>
      <c r="M2449">
        <v>12.427247184350399</v>
      </c>
      <c r="N2449">
        <v>53.1313497624608</v>
      </c>
      <c r="O2449">
        <v>50.621011673949901</v>
      </c>
      <c r="P2449">
        <v>-5.3761090635522001E-2</v>
      </c>
      <c r="Q2449">
        <v>0.12422500007949799</v>
      </c>
      <c r="R2449">
        <v>0.97669175471240199</v>
      </c>
      <c r="S2449" t="s">
        <v>8734</v>
      </c>
      <c r="T2449" t="s">
        <v>12568</v>
      </c>
      <c r="U2449" t="s">
        <v>12568</v>
      </c>
      <c r="V2449" t="s">
        <v>12568</v>
      </c>
      <c r="W2449" t="s">
        <v>14982</v>
      </c>
      <c r="X2449">
        <v>13</v>
      </c>
      <c r="Y2449" t="s">
        <v>21154</v>
      </c>
      <c r="Z2449" t="s">
        <v>27319</v>
      </c>
      <c r="AA2449">
        <v>0.49766280073152391</v>
      </c>
      <c r="AB2449" t="str">
        <f>HYPERLINK("Melting_Curves/meltCurve_P55210_CASP7.pdf", "Melting_Curves/meltCurve_P55210_CASP7.pdf")</f>
        <v>Melting_Curves/meltCurve_P55210_CASP7.pdf</v>
      </c>
    </row>
    <row r="2450" spans="1:28" x14ac:dyDescent="0.25">
      <c r="A2450" t="s">
        <v>2454</v>
      </c>
      <c r="B2450">
        <v>0.99352677808782597</v>
      </c>
      <c r="C2450">
        <v>0.89246446746470498</v>
      </c>
      <c r="D2450">
        <v>0.90878334993961896</v>
      </c>
      <c r="E2450">
        <v>0.415226766260822</v>
      </c>
      <c r="F2450">
        <v>0.31150549976566899</v>
      </c>
      <c r="G2450">
        <v>0.19074525343948801</v>
      </c>
      <c r="H2450">
        <v>0.116830398041426</v>
      </c>
      <c r="I2450">
        <v>0.12116486527317399</v>
      </c>
      <c r="J2450">
        <v>9.0420229080031597E-2</v>
      </c>
      <c r="K2450">
        <v>0.10923340209728501</v>
      </c>
      <c r="L2450">
        <v>1053.14223792501</v>
      </c>
      <c r="M2450">
        <v>21.412445775215499</v>
      </c>
      <c r="N2450">
        <v>49.779464110822403</v>
      </c>
      <c r="O2450">
        <v>48.760696575176802</v>
      </c>
      <c r="P2450">
        <v>-9.7375876486720594E-2</v>
      </c>
      <c r="Q2450">
        <v>0.113039652731456</v>
      </c>
      <c r="R2450">
        <v>0.98539652374681996</v>
      </c>
      <c r="S2450" t="s">
        <v>8735</v>
      </c>
      <c r="T2450" t="s">
        <v>12568</v>
      </c>
      <c r="U2450" t="s">
        <v>12568</v>
      </c>
      <c r="V2450" t="s">
        <v>12568</v>
      </c>
      <c r="W2450" t="s">
        <v>14983</v>
      </c>
      <c r="X2450">
        <v>2</v>
      </c>
      <c r="Y2450" t="s">
        <v>21155</v>
      </c>
      <c r="Z2450" t="s">
        <v>27320</v>
      </c>
      <c r="AA2450">
        <v>0.39535993595931629</v>
      </c>
      <c r="AB2450" t="str">
        <f>HYPERLINK("Melting_Curves/meltCurve_P55211_2_CASP9.pdf", "Melting_Curves/meltCurve_P55211_2_CASP9.pdf")</f>
        <v>Melting_Curves/meltCurve_P55211_2_CASP9.pdf</v>
      </c>
    </row>
    <row r="2451" spans="1:28" x14ac:dyDescent="0.25">
      <c r="A2451" t="s">
        <v>2455</v>
      </c>
      <c r="B2451">
        <v>0.99352677808782597</v>
      </c>
      <c r="C2451">
        <v>0.94310430674269097</v>
      </c>
      <c r="D2451">
        <v>0.85751848806724695</v>
      </c>
      <c r="E2451">
        <v>0.703976243742793</v>
      </c>
      <c r="F2451">
        <v>0.59798529288491897</v>
      </c>
      <c r="G2451">
        <v>0.50172775868841502</v>
      </c>
      <c r="H2451">
        <v>0.46220317928972598</v>
      </c>
      <c r="I2451">
        <v>0.49138690872558399</v>
      </c>
      <c r="J2451">
        <v>0.50602163796897004</v>
      </c>
      <c r="K2451">
        <v>0.282937372699747</v>
      </c>
      <c r="L2451">
        <v>599.33710147230204</v>
      </c>
      <c r="M2451">
        <v>11.866991531805599</v>
      </c>
      <c r="N2451">
        <v>57.763500153634602</v>
      </c>
      <c r="O2451">
        <v>49.134434668051199</v>
      </c>
      <c r="P2451">
        <v>-3.69947031099341E-2</v>
      </c>
      <c r="Q2451">
        <v>0.38745842676290099</v>
      </c>
      <c r="R2451">
        <v>0.94319851216338901</v>
      </c>
      <c r="S2451" t="s">
        <v>8736</v>
      </c>
      <c r="T2451" t="s">
        <v>12568</v>
      </c>
      <c r="U2451" t="s">
        <v>12568</v>
      </c>
      <c r="V2451" t="s">
        <v>12568</v>
      </c>
      <c r="W2451" t="s">
        <v>14984</v>
      </c>
      <c r="X2451">
        <v>15</v>
      </c>
      <c r="Y2451" t="s">
        <v>21156</v>
      </c>
      <c r="Z2451" t="s">
        <v>27321</v>
      </c>
      <c r="AA2451">
        <v>0.6228673469175886</v>
      </c>
      <c r="AB2451" t="str">
        <f>HYPERLINK("Melting_Curves/meltCurve_P55212_CASP6.pdf", "Melting_Curves/meltCurve_P55212_CASP6.pdf")</f>
        <v>Melting_Curves/meltCurve_P55212_CASP6.pdf</v>
      </c>
    </row>
    <row r="2452" spans="1:28" x14ac:dyDescent="0.25">
      <c r="A2452" t="s">
        <v>2456</v>
      </c>
      <c r="B2452">
        <v>0.99352677808782597</v>
      </c>
      <c r="C2452">
        <v>0.95008847183703404</v>
      </c>
      <c r="D2452">
        <v>0.96708632950792595</v>
      </c>
      <c r="E2452">
        <v>0.442999536545016</v>
      </c>
      <c r="F2452">
        <v>0.31657341921596699</v>
      </c>
      <c r="G2452">
        <v>0.142685050820306</v>
      </c>
      <c r="H2452">
        <v>9.2384854941691602E-2</v>
      </c>
      <c r="I2452">
        <v>8.5456711779330202E-2</v>
      </c>
      <c r="J2452">
        <v>7.3974854600280401E-2</v>
      </c>
      <c r="K2452">
        <v>5.4163373734845303E-2</v>
      </c>
      <c r="L2452">
        <v>1199.63299303095</v>
      </c>
      <c r="M2452">
        <v>24.103344471868699</v>
      </c>
      <c r="N2452">
        <v>50.143503552715899</v>
      </c>
      <c r="O2452">
        <v>49.431607166469803</v>
      </c>
      <c r="P2452">
        <v>-0.111897031578126</v>
      </c>
      <c r="Q2452">
        <v>8.2091857492007606E-2</v>
      </c>
      <c r="R2452">
        <v>0.98794502565167197</v>
      </c>
      <c r="S2452" t="s">
        <v>8737</v>
      </c>
      <c r="T2452" t="s">
        <v>12568</v>
      </c>
      <c r="U2452" t="s">
        <v>12568</v>
      </c>
      <c r="V2452" t="s">
        <v>12568</v>
      </c>
      <c r="W2452" t="s">
        <v>14985</v>
      </c>
      <c r="X2452">
        <v>17</v>
      </c>
      <c r="Y2452" t="s">
        <v>21157</v>
      </c>
      <c r="Z2452" t="s">
        <v>27322</v>
      </c>
      <c r="AA2452">
        <v>0.38984803705616689</v>
      </c>
      <c r="AB2452" t="str">
        <f>HYPERLINK("Melting_Curves/meltCurve_P55263_ADK.pdf", "Melting_Curves/meltCurve_P55263_ADK.pdf")</f>
        <v>Melting_Curves/meltCurve_P55263_ADK.pdf</v>
      </c>
    </row>
    <row r="2453" spans="1:28" x14ac:dyDescent="0.25">
      <c r="A2453" t="s">
        <v>2457</v>
      </c>
      <c r="B2453">
        <v>0.99352677808782597</v>
      </c>
      <c r="C2453">
        <v>0.95942096276617606</v>
      </c>
      <c r="D2453">
        <v>0.93383088085065902</v>
      </c>
      <c r="E2453">
        <v>0.70812011672132902</v>
      </c>
      <c r="F2453">
        <v>0.63930672438609804</v>
      </c>
      <c r="G2453">
        <v>0.38955553257519998</v>
      </c>
      <c r="H2453">
        <v>0.25349899544136401</v>
      </c>
      <c r="I2453">
        <v>0.25118088495015101</v>
      </c>
      <c r="J2453">
        <v>0.23108774901479701</v>
      </c>
      <c r="K2453">
        <v>0.19665508282507899</v>
      </c>
      <c r="L2453">
        <v>744.70985985965103</v>
      </c>
      <c r="M2453">
        <v>14.0352348568114</v>
      </c>
      <c r="N2453">
        <v>54.703763440329702</v>
      </c>
      <c r="O2453">
        <v>52.017692479062603</v>
      </c>
      <c r="P2453">
        <v>-5.58563715183037E-2</v>
      </c>
      <c r="Q2453">
        <v>0.17204410252685701</v>
      </c>
      <c r="R2453">
        <v>0.99311169141115097</v>
      </c>
      <c r="S2453" t="s">
        <v>8738</v>
      </c>
      <c r="T2453" t="s">
        <v>12568</v>
      </c>
      <c r="U2453" t="s">
        <v>12568</v>
      </c>
      <c r="V2453" t="s">
        <v>12568</v>
      </c>
      <c r="W2453" t="s">
        <v>14986</v>
      </c>
      <c r="X2453">
        <v>15</v>
      </c>
      <c r="Y2453" t="s">
        <v>21158</v>
      </c>
      <c r="Z2453" t="s">
        <v>27323</v>
      </c>
      <c r="AA2453">
        <v>0.55191149330968192</v>
      </c>
      <c r="AB2453" t="str">
        <f>HYPERLINK("Melting_Curves/meltCurve_P55265_5_ADAR.pdf", "Melting_Curves/meltCurve_P55265_5_ADAR.pdf")</f>
        <v>Melting_Curves/meltCurve_P55265_5_ADAR.pdf</v>
      </c>
    </row>
    <row r="2454" spans="1:28" x14ac:dyDescent="0.25">
      <c r="A2454" t="s">
        <v>2458</v>
      </c>
      <c r="B2454">
        <v>0.99352677808782597</v>
      </c>
      <c r="C2454">
        <v>0.84943056564949504</v>
      </c>
      <c r="D2454">
        <v>0.87403917853509505</v>
      </c>
      <c r="E2454">
        <v>0.65868295916695496</v>
      </c>
      <c r="F2454">
        <v>0.60391160975831104</v>
      </c>
      <c r="G2454">
        <v>0.446066016595075</v>
      </c>
      <c r="H2454">
        <v>0.37039100095812</v>
      </c>
      <c r="I2454">
        <v>0.34192142303918399</v>
      </c>
      <c r="J2454">
        <v>0.31227716796764099</v>
      </c>
      <c r="K2454">
        <v>0.26537510768959899</v>
      </c>
      <c r="L2454">
        <v>488.44576222183798</v>
      </c>
      <c r="M2454">
        <v>9.3403762102544103</v>
      </c>
      <c r="N2454">
        <v>55.5398535996435</v>
      </c>
      <c r="O2454">
        <v>50.064826469802902</v>
      </c>
      <c r="P2454">
        <v>-3.6854544059820603E-2</v>
      </c>
      <c r="Q2454">
        <v>0.21032993068386799</v>
      </c>
      <c r="R2454">
        <v>0.98545753354082999</v>
      </c>
      <c r="S2454" t="s">
        <v>8739</v>
      </c>
      <c r="T2454" t="s">
        <v>12568</v>
      </c>
      <c r="U2454" t="s">
        <v>12568</v>
      </c>
      <c r="V2454" t="s">
        <v>12568</v>
      </c>
      <c r="W2454" t="s">
        <v>14987</v>
      </c>
      <c r="X2454">
        <v>3</v>
      </c>
      <c r="Y2454" t="s">
        <v>21159</v>
      </c>
      <c r="Z2454" t="s">
        <v>27324</v>
      </c>
      <c r="AA2454">
        <v>0.56510881040774408</v>
      </c>
      <c r="AB2454" t="str">
        <f>HYPERLINK("Melting_Curves/meltCurve_P55268_LAMB2.pdf", "Melting_Curves/meltCurve_P55268_LAMB2.pdf")</f>
        <v>Melting_Curves/meltCurve_P55268_LAMB2.pdf</v>
      </c>
    </row>
    <row r="2455" spans="1:28" x14ac:dyDescent="0.25">
      <c r="A2455" t="s">
        <v>2459</v>
      </c>
      <c r="B2455">
        <v>0.99352677808782597</v>
      </c>
      <c r="C2455">
        <v>0.87649286991071895</v>
      </c>
      <c r="D2455">
        <v>0.93076881347671403</v>
      </c>
      <c r="E2455">
        <v>1.0484439753819199</v>
      </c>
      <c r="F2455">
        <v>1.01876188043724</v>
      </c>
      <c r="G2455">
        <v>0.67976670058341804</v>
      </c>
      <c r="H2455">
        <v>0.51749639681735404</v>
      </c>
      <c r="I2455">
        <v>0.64816264461585504</v>
      </c>
      <c r="J2455">
        <v>0.69309383910390399</v>
      </c>
      <c r="K2455">
        <v>0.55971367320394805</v>
      </c>
      <c r="L2455">
        <v>14167.3749118949</v>
      </c>
      <c r="M2455">
        <v>250</v>
      </c>
      <c r="O2455">
        <v>56.665871702927099</v>
      </c>
      <c r="P2455">
        <v>-0.43609069723759802</v>
      </c>
      <c r="Q2455">
        <v>0.60461663817643396</v>
      </c>
      <c r="R2455">
        <v>0.88180837100343101</v>
      </c>
      <c r="S2455" t="s">
        <v>8740</v>
      </c>
      <c r="T2455" t="s">
        <v>12568</v>
      </c>
      <c r="U2455" t="s">
        <v>12568</v>
      </c>
      <c r="V2455" t="s">
        <v>12568</v>
      </c>
      <c r="W2455" t="s">
        <v>14988</v>
      </c>
      <c r="X2455">
        <v>1</v>
      </c>
      <c r="Y2455" t="s">
        <v>21160</v>
      </c>
      <c r="Z2455" t="s">
        <v>27325</v>
      </c>
      <c r="AA2455">
        <v>0.82435072102140861</v>
      </c>
      <c r="AB2455" t="str">
        <f>HYPERLINK("Melting_Curves/meltCurve_P55273_CDKN2D.pdf", "Melting_Curves/meltCurve_P55273_CDKN2D.pdf")</f>
        <v>Melting_Curves/meltCurve_P55273_CDKN2D.pdf</v>
      </c>
    </row>
    <row r="2456" spans="1:28" x14ac:dyDescent="0.25">
      <c r="A2456" t="s">
        <v>2460</v>
      </c>
      <c r="B2456">
        <v>0.99352677808782597</v>
      </c>
      <c r="C2456">
        <v>0.83304924725052198</v>
      </c>
      <c r="D2456">
        <v>1.0161083865501099</v>
      </c>
      <c r="E2456">
        <v>0.86180245838486103</v>
      </c>
      <c r="F2456">
        <v>0.75959631906220304</v>
      </c>
      <c r="G2456">
        <v>0.71118504961611995</v>
      </c>
      <c r="H2456">
        <v>0.62441617311954201</v>
      </c>
      <c r="I2456">
        <v>0.67415677363883297</v>
      </c>
      <c r="J2456">
        <v>0.81775782172151201</v>
      </c>
      <c r="K2456">
        <v>0.68438505336031497</v>
      </c>
      <c r="L2456">
        <v>1583.57810817221</v>
      </c>
      <c r="M2456">
        <v>31.445031457483999</v>
      </c>
      <c r="O2456">
        <v>50.1578595050633</v>
      </c>
      <c r="P2456">
        <v>-4.6810136453206301E-2</v>
      </c>
      <c r="Q2456">
        <v>0.70133499382063103</v>
      </c>
      <c r="R2456">
        <v>0.69037580592519099</v>
      </c>
      <c r="S2456" t="s">
        <v>8741</v>
      </c>
      <c r="T2456" t="s">
        <v>12568</v>
      </c>
      <c r="U2456" t="s">
        <v>12568</v>
      </c>
      <c r="V2456" t="s">
        <v>12568</v>
      </c>
      <c r="W2456" t="s">
        <v>14989</v>
      </c>
      <c r="X2456">
        <v>11</v>
      </c>
      <c r="Y2456" t="s">
        <v>19253</v>
      </c>
      <c r="Z2456" t="s">
        <v>27326</v>
      </c>
      <c r="AA2456">
        <v>0.80616595831101978</v>
      </c>
      <c r="AB2456" t="str">
        <f>HYPERLINK("Melting_Curves/meltCurve_P55327_2_TPD52.pdf", "Melting_Curves/meltCurve_P55327_2_TPD52.pdf")</f>
        <v>Melting_Curves/meltCurve_P55327_2_TPD52.pdf</v>
      </c>
    </row>
    <row r="2457" spans="1:28" x14ac:dyDescent="0.25">
      <c r="A2457" t="s">
        <v>2461</v>
      </c>
      <c r="B2457">
        <v>0.99352677808782597</v>
      </c>
      <c r="C2457">
        <v>1.00833053556764</v>
      </c>
      <c r="D2457">
        <v>0.91201031612538297</v>
      </c>
      <c r="E2457">
        <v>0.77838847201931605</v>
      </c>
      <c r="F2457">
        <v>0.68605910779517698</v>
      </c>
      <c r="G2457">
        <v>0.41039517363303701</v>
      </c>
      <c r="H2457">
        <v>0.32928444016985903</v>
      </c>
      <c r="I2457">
        <v>0.314786299262373</v>
      </c>
      <c r="J2457">
        <v>0.28417264156153499</v>
      </c>
      <c r="K2457">
        <v>0.16915046483663701</v>
      </c>
      <c r="L2457">
        <v>723.06761242949995</v>
      </c>
      <c r="M2457">
        <v>13.382971859112899</v>
      </c>
      <c r="N2457">
        <v>55.985599530134301</v>
      </c>
      <c r="O2457">
        <v>52.8653455258221</v>
      </c>
      <c r="P2457">
        <v>-5.1474685850241002E-2</v>
      </c>
      <c r="Q2457">
        <v>0.18678809413893899</v>
      </c>
      <c r="R2457">
        <v>0.98775578364808303</v>
      </c>
      <c r="S2457" t="s">
        <v>8742</v>
      </c>
      <c r="T2457" t="s">
        <v>12568</v>
      </c>
      <c r="U2457" t="s">
        <v>12568</v>
      </c>
      <c r="V2457" t="s">
        <v>12568</v>
      </c>
      <c r="W2457" t="s">
        <v>14990</v>
      </c>
      <c r="X2457">
        <v>1</v>
      </c>
      <c r="Y2457" t="s">
        <v>21161</v>
      </c>
      <c r="Z2457" t="s">
        <v>27327</v>
      </c>
      <c r="AA2457">
        <v>0.58607367445046288</v>
      </c>
      <c r="AB2457" t="str">
        <f>HYPERLINK("Melting_Curves/meltCurve_P55345_PRMT2.pdf", "Melting_Curves/meltCurve_P55345_PRMT2.pdf")</f>
        <v>Melting_Curves/meltCurve_P55345_PRMT2.pdf</v>
      </c>
    </row>
    <row r="2458" spans="1:28" x14ac:dyDescent="0.25">
      <c r="A2458" t="s">
        <v>2462</v>
      </c>
      <c r="B2458">
        <v>0.99352677808782597</v>
      </c>
      <c r="C2458">
        <v>1.00180261771405</v>
      </c>
      <c r="D2458">
        <v>0.95581035017427496</v>
      </c>
      <c r="E2458">
        <v>0.757953127319825</v>
      </c>
      <c r="F2458">
        <v>0.62354003179106599</v>
      </c>
      <c r="G2458">
        <v>0.29071736249656499</v>
      </c>
      <c r="H2458">
        <v>0.17159821897258401</v>
      </c>
      <c r="I2458">
        <v>0.13909530426726199</v>
      </c>
      <c r="J2458">
        <v>0.14393264463511199</v>
      </c>
      <c r="K2458">
        <v>0.10700755317501399</v>
      </c>
      <c r="L2458">
        <v>971.43470662790003</v>
      </c>
      <c r="M2458">
        <v>18.202919882479101</v>
      </c>
      <c r="N2458">
        <v>54.026243473251903</v>
      </c>
      <c r="O2458">
        <v>52.7353977753191</v>
      </c>
      <c r="P2458">
        <v>-7.7703070581009004E-2</v>
      </c>
      <c r="Q2458">
        <v>9.9593071470739494E-2</v>
      </c>
      <c r="R2458">
        <v>0.99635591620424202</v>
      </c>
      <c r="S2458" t="s">
        <v>8743</v>
      </c>
      <c r="T2458" t="s">
        <v>12568</v>
      </c>
      <c r="U2458" t="s">
        <v>12568</v>
      </c>
      <c r="V2458" t="s">
        <v>12568</v>
      </c>
      <c r="W2458" t="s">
        <v>14991</v>
      </c>
      <c r="X2458">
        <v>8</v>
      </c>
      <c r="Y2458" t="s">
        <v>21162</v>
      </c>
      <c r="Z2458" t="s">
        <v>27328</v>
      </c>
      <c r="AA2458">
        <v>0.51516192679058925</v>
      </c>
      <c r="AB2458" t="str">
        <f>HYPERLINK("Melting_Curves/meltCurve_P55735_SEC13.pdf", "Melting_Curves/meltCurve_P55735_SEC13.pdf")</f>
        <v>Melting_Curves/meltCurve_P55735_SEC13.pdf</v>
      </c>
    </row>
    <row r="2459" spans="1:28" x14ac:dyDescent="0.25">
      <c r="A2459" t="s">
        <v>2463</v>
      </c>
      <c r="B2459">
        <v>0.99352677808782597</v>
      </c>
      <c r="C2459">
        <v>1.0719272772185799</v>
      </c>
      <c r="D2459">
        <v>0.39901399154650902</v>
      </c>
      <c r="E2459">
        <v>0.29429450160625398</v>
      </c>
      <c r="F2459">
        <v>0.227354548970405</v>
      </c>
      <c r="G2459">
        <v>0.14829089841430801</v>
      </c>
      <c r="H2459">
        <v>9.3647073413757401E-2</v>
      </c>
      <c r="I2459">
        <v>8.3042080535821794E-2</v>
      </c>
      <c r="J2459">
        <v>7.5574153855385906E-2</v>
      </c>
      <c r="K2459">
        <v>5.0619586466318797E-2</v>
      </c>
      <c r="L2459">
        <v>11461.464014917499</v>
      </c>
      <c r="M2459">
        <v>250</v>
      </c>
      <c r="N2459">
        <v>45.905655080958098</v>
      </c>
      <c r="O2459">
        <v>45.842938905392401</v>
      </c>
      <c r="P2459">
        <v>-1.17387982952129</v>
      </c>
      <c r="Q2459">
        <v>0.138974691536148</v>
      </c>
      <c r="R2459">
        <v>0.958209601094824</v>
      </c>
      <c r="S2459" t="s">
        <v>8744</v>
      </c>
      <c r="T2459" t="s">
        <v>12568</v>
      </c>
      <c r="U2459" t="s">
        <v>12568</v>
      </c>
      <c r="V2459" t="s">
        <v>12568</v>
      </c>
      <c r="W2459" t="s">
        <v>14992</v>
      </c>
      <c r="X2459">
        <v>4</v>
      </c>
      <c r="Y2459" t="s">
        <v>21163</v>
      </c>
      <c r="Z2459" t="s">
        <v>27329</v>
      </c>
      <c r="AA2459">
        <v>0.30682496913521179</v>
      </c>
      <c r="AB2459" t="str">
        <f>HYPERLINK("Melting_Curves/meltCurve_P55769_NHP2L1.pdf", "Melting_Curves/meltCurve_P55769_NHP2L1.pdf")</f>
        <v>Melting_Curves/meltCurve_P55769_NHP2L1.pdf</v>
      </c>
    </row>
    <row r="2460" spans="1:28" x14ac:dyDescent="0.25">
      <c r="A2460" t="s">
        <v>2464</v>
      </c>
      <c r="B2460">
        <v>0.99352677808782597</v>
      </c>
      <c r="C2460">
        <v>0.91334908226564304</v>
      </c>
      <c r="D2460">
        <v>0.87344396188861595</v>
      </c>
      <c r="E2460">
        <v>0.56872144726422003</v>
      </c>
      <c r="F2460">
        <v>0.50879706121337998</v>
      </c>
      <c r="G2460">
        <v>0.38255582843814701</v>
      </c>
      <c r="H2460">
        <v>0.333410348010657</v>
      </c>
      <c r="I2460">
        <v>0.33263273089950601</v>
      </c>
      <c r="J2460">
        <v>0.28487333490759698</v>
      </c>
      <c r="K2460">
        <v>0.21612949612145699</v>
      </c>
      <c r="L2460">
        <v>682.56215757659197</v>
      </c>
      <c r="M2460">
        <v>13.6616802949804</v>
      </c>
      <c r="N2460">
        <v>52.7765360165617</v>
      </c>
      <c r="O2460">
        <v>48.927785787929203</v>
      </c>
      <c r="P2460">
        <v>-5.1753343167883797E-2</v>
      </c>
      <c r="Q2460">
        <v>0.258712595479689</v>
      </c>
      <c r="R2460">
        <v>0.98408209811771497</v>
      </c>
      <c r="S2460" t="s">
        <v>8745</v>
      </c>
      <c r="T2460" t="s">
        <v>12568</v>
      </c>
      <c r="U2460" t="s">
        <v>12568</v>
      </c>
      <c r="V2460" t="s">
        <v>12568</v>
      </c>
      <c r="W2460" t="s">
        <v>14993</v>
      </c>
      <c r="X2460">
        <v>8</v>
      </c>
      <c r="Y2460" t="s">
        <v>21164</v>
      </c>
      <c r="Z2460" t="s">
        <v>27330</v>
      </c>
      <c r="AA2460">
        <v>0.52567981630965688</v>
      </c>
      <c r="AB2460" t="str">
        <f>HYPERLINK("Melting_Curves/meltCurve_P55795_HNRNPH2.pdf", "Melting_Curves/meltCurve_P55795_HNRNPH2.pdf")</f>
        <v>Melting_Curves/meltCurve_P55795_HNRNPH2.pdf</v>
      </c>
    </row>
    <row r="2461" spans="1:28" x14ac:dyDescent="0.25">
      <c r="A2461" t="s">
        <v>2465</v>
      </c>
      <c r="B2461">
        <v>0.99352677808782597</v>
      </c>
      <c r="C2461">
        <v>0.918568110805975</v>
      </c>
      <c r="D2461">
        <v>0.93536758083078497</v>
      </c>
      <c r="E2461">
        <v>0.47355480078450402</v>
      </c>
      <c r="F2461">
        <v>0.40294242029918198</v>
      </c>
      <c r="G2461">
        <v>0.14456835368666901</v>
      </c>
      <c r="H2461">
        <v>8.0456882143847594E-2</v>
      </c>
      <c r="I2461">
        <v>6.1402135516807899E-2</v>
      </c>
      <c r="J2461">
        <v>4.9790501549070498E-2</v>
      </c>
      <c r="K2461">
        <v>4.7368854356961199E-2</v>
      </c>
      <c r="L2461">
        <v>884.92858503392404</v>
      </c>
      <c r="M2461">
        <v>17.518054045378499</v>
      </c>
      <c r="N2461">
        <v>50.756645552757298</v>
      </c>
      <c r="O2461">
        <v>49.870757021626801</v>
      </c>
      <c r="P2461">
        <v>-8.4311735704808599E-2</v>
      </c>
      <c r="Q2461">
        <v>3.9971180206437702E-2</v>
      </c>
      <c r="R2461">
        <v>0.98523456375947904</v>
      </c>
      <c r="S2461" t="s">
        <v>8746</v>
      </c>
      <c r="T2461" t="s">
        <v>12568</v>
      </c>
      <c r="U2461" t="s">
        <v>12568</v>
      </c>
      <c r="V2461" t="s">
        <v>12568</v>
      </c>
      <c r="W2461" t="s">
        <v>14994</v>
      </c>
      <c r="X2461">
        <v>1</v>
      </c>
      <c r="Y2461" t="s">
        <v>21165</v>
      </c>
      <c r="Z2461" t="s">
        <v>27331</v>
      </c>
      <c r="AA2461">
        <v>0.39357003478457792</v>
      </c>
      <c r="AB2461" t="str">
        <f>HYPERLINK("Melting_Curves/meltCurve_P55809_OXCT1.pdf", "Melting_Curves/meltCurve_P55809_OXCT1.pdf")</f>
        <v>Melting_Curves/meltCurve_P55809_OXCT1.pdf</v>
      </c>
    </row>
    <row r="2462" spans="1:28" x14ac:dyDescent="0.25">
      <c r="A2462" t="s">
        <v>2466</v>
      </c>
      <c r="B2462">
        <v>0.99352677808782597</v>
      </c>
      <c r="C2462">
        <v>0.94431770305105101</v>
      </c>
      <c r="D2462">
        <v>0.98198027476101002</v>
      </c>
      <c r="E2462">
        <v>0.91952648999799602</v>
      </c>
      <c r="F2462">
        <v>0.86727535524334298</v>
      </c>
      <c r="G2462">
        <v>0.97304179100752097</v>
      </c>
      <c r="H2462">
        <v>0.84402161058762604</v>
      </c>
      <c r="I2462">
        <v>0.94676689496422295</v>
      </c>
      <c r="J2462">
        <v>0.92570681613713601</v>
      </c>
      <c r="K2462">
        <v>0.90011896722133</v>
      </c>
      <c r="L2462">
        <v>688.36494868008106</v>
      </c>
      <c r="M2462">
        <v>15.294471677871201</v>
      </c>
      <c r="O2462">
        <v>44.259071905008099</v>
      </c>
      <c r="P2462">
        <v>-7.8834204751681604E-3</v>
      </c>
      <c r="Q2462">
        <v>0.90875655175679504</v>
      </c>
      <c r="R2462">
        <v>0.33345862672644999</v>
      </c>
      <c r="S2462" t="s">
        <v>8747</v>
      </c>
      <c r="T2462" t="s">
        <v>12568</v>
      </c>
      <c r="U2462" t="s">
        <v>12568</v>
      </c>
      <c r="V2462" t="s">
        <v>12568</v>
      </c>
      <c r="W2462" t="s">
        <v>14995</v>
      </c>
      <c r="X2462">
        <v>4</v>
      </c>
      <c r="Y2462" t="s">
        <v>21166</v>
      </c>
      <c r="Z2462" t="s">
        <v>27332</v>
      </c>
      <c r="AA2462">
        <v>0.92679728741455503</v>
      </c>
      <c r="AB2462" t="str">
        <f>HYPERLINK("Melting_Curves/meltCurve_P55854_SUMO3.pdf", "Melting_Curves/meltCurve_P55854_SUMO3.pdf")</f>
        <v>Melting_Curves/meltCurve_P55854_SUMO3.pdf</v>
      </c>
    </row>
    <row r="2463" spans="1:28" x14ac:dyDescent="0.25">
      <c r="A2463" t="s">
        <v>2467</v>
      </c>
      <c r="B2463">
        <v>0.99352677808782597</v>
      </c>
      <c r="C2463">
        <v>1.02173185131356</v>
      </c>
      <c r="D2463">
        <v>0.64479019489475098</v>
      </c>
      <c r="E2463">
        <v>0.55097203197663902</v>
      </c>
      <c r="F2463">
        <v>0.43308449315582198</v>
      </c>
      <c r="G2463">
        <v>0.27992040080248998</v>
      </c>
      <c r="H2463">
        <v>0.16300960134078099</v>
      </c>
      <c r="I2463">
        <v>0.133393546267701</v>
      </c>
      <c r="J2463">
        <v>0.111676303726257</v>
      </c>
      <c r="K2463">
        <v>8.3697248607626701E-2</v>
      </c>
      <c r="L2463">
        <v>587.42372028443503</v>
      </c>
      <c r="M2463">
        <v>11.6463521192788</v>
      </c>
      <c r="N2463">
        <v>51.016666973748002</v>
      </c>
      <c r="O2463">
        <v>49.020188230128703</v>
      </c>
      <c r="P2463">
        <v>-5.5738294393971301E-2</v>
      </c>
      <c r="Q2463">
        <v>6.183075788695E-2</v>
      </c>
      <c r="R2463">
        <v>0.96868487968276396</v>
      </c>
      <c r="S2463" t="s">
        <v>8748</v>
      </c>
      <c r="T2463" t="s">
        <v>12568</v>
      </c>
      <c r="U2463" t="s">
        <v>12568</v>
      </c>
      <c r="V2463" t="s">
        <v>12568</v>
      </c>
      <c r="W2463" t="s">
        <v>14996</v>
      </c>
      <c r="X2463">
        <v>31</v>
      </c>
      <c r="Y2463" t="s">
        <v>21167</v>
      </c>
      <c r="Z2463" t="s">
        <v>27333</v>
      </c>
      <c r="AA2463">
        <v>0.42135383126976922</v>
      </c>
      <c r="AB2463" t="str">
        <f>HYPERLINK("Melting_Curves/meltCurve_P55884_EIF3B.pdf", "Melting_Curves/meltCurve_P55884_EIF3B.pdf")</f>
        <v>Melting_Curves/meltCurve_P55884_EIF3B.pdf</v>
      </c>
    </row>
    <row r="2464" spans="1:28" x14ac:dyDescent="0.25">
      <c r="A2464" t="s">
        <v>2468</v>
      </c>
      <c r="B2464">
        <v>0.99352677808782597</v>
      </c>
      <c r="C2464">
        <v>0.97126827599335397</v>
      </c>
      <c r="D2464">
        <v>1.03270144349681</v>
      </c>
      <c r="E2464">
        <v>0.723989321760105</v>
      </c>
      <c r="F2464">
        <v>0.70571443976741599</v>
      </c>
      <c r="G2464">
        <v>0.68474610337904895</v>
      </c>
      <c r="H2464">
        <v>0.61071752197918105</v>
      </c>
      <c r="I2464">
        <v>0.68161807674178698</v>
      </c>
      <c r="J2464">
        <v>0.64295267824705304</v>
      </c>
      <c r="K2464">
        <v>0.65413282768950198</v>
      </c>
      <c r="L2464">
        <v>5259.3210160645103</v>
      </c>
      <c r="M2464">
        <v>106.694739801121</v>
      </c>
      <c r="O2464">
        <v>49.2758288365442</v>
      </c>
      <c r="P2464">
        <v>-0.182291078773127</v>
      </c>
      <c r="Q2464">
        <v>0.66324309255421399</v>
      </c>
      <c r="R2464">
        <v>0.96696274768281099</v>
      </c>
      <c r="S2464" t="s">
        <v>8749</v>
      </c>
      <c r="T2464" t="s">
        <v>12568</v>
      </c>
      <c r="U2464" t="s">
        <v>12568</v>
      </c>
      <c r="V2464" t="s">
        <v>12568</v>
      </c>
      <c r="W2464" t="s">
        <v>14997</v>
      </c>
      <c r="X2464">
        <v>11</v>
      </c>
      <c r="Y2464" t="s">
        <v>21168</v>
      </c>
      <c r="Z2464" t="s">
        <v>27334</v>
      </c>
      <c r="AA2464">
        <v>0.76772107176565241</v>
      </c>
      <c r="AB2464" t="str">
        <f>HYPERLINK("Melting_Curves/meltCurve_P56181_2_NDUFV3.pdf", "Melting_Curves/meltCurve_P56181_2_NDUFV3.pdf")</f>
        <v>Melting_Curves/meltCurve_P56181_2_NDUFV3.pdf</v>
      </c>
    </row>
    <row r="2465" spans="1:28" x14ac:dyDescent="0.25">
      <c r="A2465" t="s">
        <v>2469</v>
      </c>
      <c r="B2465">
        <v>0.99352677808782597</v>
      </c>
      <c r="C2465">
        <v>0.81134884476814795</v>
      </c>
      <c r="D2465">
        <v>0.69338833574887504</v>
      </c>
      <c r="E2465">
        <v>0.36321082539778798</v>
      </c>
      <c r="F2465">
        <v>0.290935787045567</v>
      </c>
      <c r="G2465">
        <v>0.15939074826379501</v>
      </c>
      <c r="H2465">
        <v>0.10516211759691201</v>
      </c>
      <c r="I2465">
        <v>0.100593431018093</v>
      </c>
      <c r="J2465">
        <v>8.19468011841923E-2</v>
      </c>
      <c r="K2465">
        <v>6.28357754253136E-2</v>
      </c>
      <c r="L2465">
        <v>674.28310136947596</v>
      </c>
      <c r="M2465">
        <v>14.0647430834131</v>
      </c>
      <c r="N2465">
        <v>48.425354253388498</v>
      </c>
      <c r="O2465">
        <v>47.003438688964302</v>
      </c>
      <c r="P2465">
        <v>-6.9911061879360498E-2</v>
      </c>
      <c r="Q2465">
        <v>6.5569341458017599E-2</v>
      </c>
      <c r="R2465">
        <v>0.99325012080019803</v>
      </c>
      <c r="S2465" t="s">
        <v>8750</v>
      </c>
      <c r="T2465" t="s">
        <v>12568</v>
      </c>
      <c r="U2465" t="s">
        <v>12568</v>
      </c>
      <c r="V2465" t="s">
        <v>12568</v>
      </c>
      <c r="W2465" t="s">
        <v>14998</v>
      </c>
      <c r="X2465">
        <v>20</v>
      </c>
      <c r="Y2465" t="s">
        <v>21169</v>
      </c>
      <c r="Z2465" t="s">
        <v>27335</v>
      </c>
      <c r="AA2465">
        <v>0.34027739665621459</v>
      </c>
      <c r="AB2465" t="str">
        <f>HYPERLINK("Melting_Curves/meltCurve_P56192_MARS.pdf", "Melting_Curves/meltCurve_P56192_MARS.pdf")</f>
        <v>Melting_Curves/meltCurve_P56192_MARS.pdf</v>
      </c>
    </row>
    <row r="2466" spans="1:28" x14ac:dyDescent="0.25">
      <c r="A2466" t="s">
        <v>2470</v>
      </c>
      <c r="B2466">
        <v>0.99352677808782597</v>
      </c>
      <c r="C2466">
        <v>1.0552061284902601</v>
      </c>
      <c r="D2466">
        <v>1.0383829760654599</v>
      </c>
      <c r="E2466">
        <v>0.88880627332858297</v>
      </c>
      <c r="F2466">
        <v>0.82283337637424703</v>
      </c>
      <c r="G2466">
        <v>0.734698921113486</v>
      </c>
      <c r="H2466">
        <v>0.65882964562160096</v>
      </c>
      <c r="I2466">
        <v>0.64076731018807398</v>
      </c>
      <c r="J2466">
        <v>0.65382526645162597</v>
      </c>
      <c r="K2466">
        <v>0.54944424617432897</v>
      </c>
      <c r="L2466">
        <v>851.90964335496301</v>
      </c>
      <c r="M2466">
        <v>15.670742358379</v>
      </c>
      <c r="O2466">
        <v>53.500887627182102</v>
      </c>
      <c r="P2466">
        <v>-2.9844373738854801E-2</v>
      </c>
      <c r="Q2466">
        <v>0.59247249974954397</v>
      </c>
      <c r="R2466">
        <v>0.95534240771541701</v>
      </c>
      <c r="S2466" t="s">
        <v>8751</v>
      </c>
      <c r="T2466" t="s">
        <v>12568</v>
      </c>
      <c r="U2466" t="s">
        <v>12568</v>
      </c>
      <c r="V2466" t="s">
        <v>12568</v>
      </c>
      <c r="W2466" t="s">
        <v>14999</v>
      </c>
      <c r="X2466">
        <v>9</v>
      </c>
      <c r="Y2466" t="s">
        <v>21170</v>
      </c>
      <c r="Z2466" t="s">
        <v>27336</v>
      </c>
      <c r="AA2466">
        <v>0.79535260692013621</v>
      </c>
      <c r="AB2466" t="str">
        <f>HYPERLINK("Melting_Curves/meltCurve_P56211_ARPP19.pdf", "Melting_Curves/meltCurve_P56211_ARPP19.pdf")</f>
        <v>Melting_Curves/meltCurve_P56211_ARPP19.pdf</v>
      </c>
    </row>
    <row r="2467" spans="1:28" x14ac:dyDescent="0.25">
      <c r="A2467" t="s">
        <v>2471</v>
      </c>
      <c r="B2467">
        <v>0.99352677808782597</v>
      </c>
      <c r="C2467">
        <v>0.98014077077664696</v>
      </c>
      <c r="D2467">
        <v>1.0256961913516001</v>
      </c>
      <c r="E2467">
        <v>0.998220566234856</v>
      </c>
      <c r="F2467">
        <v>0.92031036546081602</v>
      </c>
      <c r="G2467">
        <v>0.92996877446480997</v>
      </c>
      <c r="H2467">
        <v>0.78587485640218202</v>
      </c>
      <c r="I2467">
        <v>0.85014195828112604</v>
      </c>
      <c r="J2467">
        <v>0.85964595593478399</v>
      </c>
      <c r="K2467">
        <v>0.78696551282855398</v>
      </c>
      <c r="L2467">
        <v>1107.5216473047899</v>
      </c>
      <c r="M2467">
        <v>19.811981941898701</v>
      </c>
      <c r="O2467">
        <v>55.341421240401601</v>
      </c>
      <c r="P2467">
        <v>-1.6719282376146598E-2</v>
      </c>
      <c r="Q2467">
        <v>0.81319635907043597</v>
      </c>
      <c r="R2467">
        <v>0.851391200465764</v>
      </c>
      <c r="S2467" t="s">
        <v>8752</v>
      </c>
      <c r="T2467" t="s">
        <v>12568</v>
      </c>
      <c r="U2467" t="s">
        <v>12568</v>
      </c>
      <c r="V2467" t="s">
        <v>12568</v>
      </c>
      <c r="W2467" t="s">
        <v>15000</v>
      </c>
      <c r="X2467">
        <v>5</v>
      </c>
      <c r="Y2467" t="s">
        <v>21171</v>
      </c>
      <c r="Z2467" t="s">
        <v>27337</v>
      </c>
      <c r="AA2467">
        <v>0.9146595061331998</v>
      </c>
      <c r="AB2467" t="str">
        <f>HYPERLINK("Melting_Curves/meltCurve_P56277_CMC4.pdf", "Melting_Curves/meltCurve_P56277_CMC4.pdf")</f>
        <v>Melting_Curves/meltCurve_P56277_CMC4.pdf</v>
      </c>
    </row>
    <row r="2468" spans="1:28" x14ac:dyDescent="0.25">
      <c r="A2468" t="s">
        <v>2472</v>
      </c>
      <c r="B2468">
        <v>0.99352677808782597</v>
      </c>
      <c r="C2468">
        <v>0.93847987469960004</v>
      </c>
      <c r="D2468">
        <v>0.73966765203320906</v>
      </c>
      <c r="E2468">
        <v>0.321218644154457</v>
      </c>
      <c r="F2468">
        <v>0.26005022311134102</v>
      </c>
      <c r="G2468">
        <v>0.13968107822012901</v>
      </c>
      <c r="H2468">
        <v>8.4359196889703794E-2</v>
      </c>
      <c r="I2468">
        <v>7.2391457771964998E-2</v>
      </c>
      <c r="J2468">
        <v>7.0528204891448495E-2</v>
      </c>
      <c r="K2468">
        <v>6.0989811939650099E-2</v>
      </c>
      <c r="L2468">
        <v>942.47486233132099</v>
      </c>
      <c r="M2468">
        <v>19.601765140433901</v>
      </c>
      <c r="N2468">
        <v>48.485604526730398</v>
      </c>
      <c r="O2468">
        <v>47.589090700547999</v>
      </c>
      <c r="P2468">
        <v>-9.5210047668107201E-2</v>
      </c>
      <c r="Q2468">
        <v>7.5430222315394604E-2</v>
      </c>
      <c r="R2468">
        <v>0.99436987201209404</v>
      </c>
      <c r="S2468" t="s">
        <v>8753</v>
      </c>
      <c r="T2468" t="s">
        <v>12568</v>
      </c>
      <c r="U2468" t="s">
        <v>12568</v>
      </c>
      <c r="V2468" t="s">
        <v>12568</v>
      </c>
      <c r="W2468" t="s">
        <v>15001</v>
      </c>
      <c r="X2468">
        <v>1</v>
      </c>
      <c r="Y2468" t="s">
        <v>21172</v>
      </c>
      <c r="Z2468" t="s">
        <v>27338</v>
      </c>
      <c r="AA2468">
        <v>0.33816922606990651</v>
      </c>
      <c r="AB2468" t="str">
        <f>HYPERLINK("Melting_Curves/meltCurve_P56282_2_POLE2.pdf", "Melting_Curves/meltCurve_P56282_2_POLE2.pdf")</f>
        <v>Melting_Curves/meltCurve_P56282_2_POLE2.pdf</v>
      </c>
    </row>
    <row r="2469" spans="1:28" x14ac:dyDescent="0.25">
      <c r="A2469" t="s">
        <v>2473</v>
      </c>
      <c r="B2469">
        <v>0.99352677808782597</v>
      </c>
      <c r="C2469">
        <v>0.99842692421740797</v>
      </c>
      <c r="D2469">
        <v>0.85112638497467397</v>
      </c>
      <c r="E2469">
        <v>0.78435638213357095</v>
      </c>
      <c r="F2469">
        <v>0.64166423776655002</v>
      </c>
      <c r="G2469">
        <v>0.45974655236865197</v>
      </c>
      <c r="H2469">
        <v>0.37192670479496398</v>
      </c>
      <c r="I2469">
        <v>0.34095446861807499</v>
      </c>
      <c r="J2469">
        <v>0.32241294388334202</v>
      </c>
      <c r="K2469">
        <v>0.25938122579834599</v>
      </c>
      <c r="L2469">
        <v>638.45570985672396</v>
      </c>
      <c r="M2469">
        <v>11.9766656598201</v>
      </c>
      <c r="N2469">
        <v>56.371258385607703</v>
      </c>
      <c r="O2469">
        <v>51.887331602100602</v>
      </c>
      <c r="P2469">
        <v>-4.3914196866121302E-2</v>
      </c>
      <c r="Q2469">
        <v>0.239174830054322</v>
      </c>
      <c r="R2469">
        <v>0.99190652292648795</v>
      </c>
      <c r="S2469" t="s">
        <v>8754</v>
      </c>
      <c r="T2469" t="s">
        <v>12568</v>
      </c>
      <c r="U2469" t="s">
        <v>12568</v>
      </c>
      <c r="V2469" t="s">
        <v>12568</v>
      </c>
      <c r="W2469" t="s">
        <v>15002</v>
      </c>
      <c r="X2469">
        <v>16</v>
      </c>
      <c r="Y2469" t="s">
        <v>21173</v>
      </c>
      <c r="Z2469" t="s">
        <v>27339</v>
      </c>
      <c r="AA2469">
        <v>0.59785878876808118</v>
      </c>
      <c r="AB2469" t="str">
        <f>HYPERLINK("Melting_Curves/meltCurve_P56524_HDAC4.pdf", "Melting_Curves/meltCurve_P56524_HDAC4.pdf")</f>
        <v>Melting_Curves/meltCurve_P56524_HDAC4.pdf</v>
      </c>
    </row>
    <row r="2470" spans="1:28" x14ac:dyDescent="0.25">
      <c r="A2470" t="s">
        <v>2474</v>
      </c>
      <c r="B2470">
        <v>0.99352677808782597</v>
      </c>
      <c r="C2470">
        <v>0.57445921034867697</v>
      </c>
      <c r="D2470">
        <v>1.1723859132597501</v>
      </c>
      <c r="E2470">
        <v>0.87163535137442905</v>
      </c>
      <c r="F2470">
        <v>0.79203749695681902</v>
      </c>
      <c r="G2470">
        <v>0.692620285097724</v>
      </c>
      <c r="H2470">
        <v>0.26279606719533199</v>
      </c>
      <c r="I2470">
        <v>0.105187161629757</v>
      </c>
      <c r="J2470">
        <v>6.8711737213915394E-2</v>
      </c>
      <c r="K2470">
        <v>5.3645960596997E-2</v>
      </c>
      <c r="L2470">
        <v>1103.83728069465</v>
      </c>
      <c r="M2470">
        <v>18.977154254080499</v>
      </c>
      <c r="N2470">
        <v>58.166640764828699</v>
      </c>
      <c r="O2470">
        <v>57.5322912826893</v>
      </c>
      <c r="P2470">
        <v>-8.2466359562934105E-2</v>
      </c>
      <c r="Q2470">
        <v>0</v>
      </c>
      <c r="R2470">
        <v>0.84441504118014199</v>
      </c>
      <c r="S2470" t="s">
        <v>8755</v>
      </c>
      <c r="T2470" t="s">
        <v>12568</v>
      </c>
      <c r="U2470" t="s">
        <v>12568</v>
      </c>
      <c r="V2470" t="s">
        <v>12568</v>
      </c>
      <c r="W2470" t="s">
        <v>15003</v>
      </c>
      <c r="X2470">
        <v>8</v>
      </c>
      <c r="Y2470" t="s">
        <v>21174</v>
      </c>
      <c r="Z2470" t="s">
        <v>27340</v>
      </c>
      <c r="AA2470">
        <v>0.61720907415562454</v>
      </c>
      <c r="AB2470" t="str">
        <f>HYPERLINK("Melting_Curves/meltCurve_P56537_EIF6.pdf", "Melting_Curves/meltCurve_P56537_EIF6.pdf")</f>
        <v>Melting_Curves/meltCurve_P56537_EIF6.pdf</v>
      </c>
    </row>
    <row r="2471" spans="1:28" x14ac:dyDescent="0.25">
      <c r="A2471" t="s">
        <v>2475</v>
      </c>
      <c r="B2471">
        <v>0.99352677808782597</v>
      </c>
      <c r="C2471">
        <v>0.88253549806069298</v>
      </c>
      <c r="D2471">
        <v>0.71490765314249305</v>
      </c>
      <c r="E2471">
        <v>0.269810155697007</v>
      </c>
      <c r="F2471">
        <v>0.21475825947459601</v>
      </c>
      <c r="G2471">
        <v>0.11857396343485101</v>
      </c>
      <c r="H2471">
        <v>7.6145454728800105E-2</v>
      </c>
      <c r="I2471">
        <v>6.2701607082212202E-2</v>
      </c>
      <c r="J2471">
        <v>5.2484293388789502E-2</v>
      </c>
      <c r="K2471">
        <v>3.9163039253452901E-2</v>
      </c>
      <c r="L2471">
        <v>941.15354393391101</v>
      </c>
      <c r="M2471">
        <v>19.774724497820799</v>
      </c>
      <c r="N2471">
        <v>47.904181662309803</v>
      </c>
      <c r="O2471">
        <v>47.115075367256601</v>
      </c>
      <c r="P2471">
        <v>-9.8621357137586602E-2</v>
      </c>
      <c r="Q2471">
        <v>6.0134979827993103E-2</v>
      </c>
      <c r="R2471">
        <v>0.99405418704500703</v>
      </c>
      <c r="S2471" t="s">
        <v>8756</v>
      </c>
      <c r="T2471" t="s">
        <v>12568</v>
      </c>
      <c r="U2471" t="s">
        <v>12568</v>
      </c>
      <c r="V2471" t="s">
        <v>12568</v>
      </c>
      <c r="W2471" t="s">
        <v>15004</v>
      </c>
      <c r="X2471">
        <v>14</v>
      </c>
      <c r="Y2471" t="s">
        <v>21175</v>
      </c>
      <c r="Z2471" t="s">
        <v>27341</v>
      </c>
      <c r="AA2471">
        <v>0.31185961459282407</v>
      </c>
      <c r="AB2471" t="str">
        <f>HYPERLINK("Melting_Curves/meltCurve_P56545_CTBP2.pdf", "Melting_Curves/meltCurve_P56545_CTBP2.pdf")</f>
        <v>Melting_Curves/meltCurve_P56545_CTBP2.pdf</v>
      </c>
    </row>
    <row r="2472" spans="1:28" x14ac:dyDescent="0.25">
      <c r="A2472" t="s">
        <v>2476</v>
      </c>
      <c r="B2472">
        <v>0.99352677808782597</v>
      </c>
      <c r="C2472">
        <v>0.98673448916208195</v>
      </c>
      <c r="D2472">
        <v>0.97287150393916899</v>
      </c>
      <c r="E2472">
        <v>0.70879590256456804</v>
      </c>
      <c r="F2472">
        <v>0.648094100799537</v>
      </c>
      <c r="G2472">
        <v>0.54390350250924802</v>
      </c>
      <c r="H2472">
        <v>0.42183250051071097</v>
      </c>
      <c r="I2472">
        <v>0.48486944428344902</v>
      </c>
      <c r="J2472">
        <v>0.45665215682555699</v>
      </c>
      <c r="K2472">
        <v>0.40500141990522898</v>
      </c>
      <c r="L2472">
        <v>882.76783490891796</v>
      </c>
      <c r="M2472">
        <v>17.3218602046</v>
      </c>
      <c r="N2472">
        <v>57.695487988942197</v>
      </c>
      <c r="O2472">
        <v>50.297977545074502</v>
      </c>
      <c r="P2472">
        <v>-4.8753519156412302E-2</v>
      </c>
      <c r="Q2472">
        <v>0.433764677012552</v>
      </c>
      <c r="R2472">
        <v>0.97838660325195004</v>
      </c>
      <c r="S2472" t="s">
        <v>8757</v>
      </c>
      <c r="T2472" t="s">
        <v>12568</v>
      </c>
      <c r="U2472" t="s">
        <v>12568</v>
      </c>
      <c r="V2472" t="s">
        <v>12568</v>
      </c>
      <c r="W2472" t="s">
        <v>15005</v>
      </c>
      <c r="X2472">
        <v>12</v>
      </c>
      <c r="Y2472" t="s">
        <v>21176</v>
      </c>
      <c r="Z2472" t="s">
        <v>27342</v>
      </c>
      <c r="AA2472">
        <v>0.65090459594842143</v>
      </c>
      <c r="AB2472" t="str">
        <f>HYPERLINK("Melting_Curves/meltCurve_P56945_BCAR1.pdf", "Melting_Curves/meltCurve_P56945_BCAR1.pdf")</f>
        <v>Melting_Curves/meltCurve_P56945_BCAR1.pdf</v>
      </c>
    </row>
    <row r="2473" spans="1:28" x14ac:dyDescent="0.25">
      <c r="A2473" t="s">
        <v>2477</v>
      </c>
      <c r="B2473">
        <v>0.99352677808782597</v>
      </c>
      <c r="C2473">
        <v>0.91353585050406505</v>
      </c>
      <c r="D2473">
        <v>0.90738854956539805</v>
      </c>
      <c r="E2473">
        <v>0.62689169748123397</v>
      </c>
      <c r="F2473">
        <v>0.58040558857231805</v>
      </c>
      <c r="G2473">
        <v>0.408529913517723</v>
      </c>
      <c r="H2473">
        <v>0.22987538592593301</v>
      </c>
      <c r="I2473">
        <v>0.196950494267257</v>
      </c>
      <c r="J2473">
        <v>0.20299325967110199</v>
      </c>
      <c r="K2473">
        <v>0.183883129497529</v>
      </c>
      <c r="L2473">
        <v>614.39748789689099</v>
      </c>
      <c r="M2473">
        <v>11.677967365122701</v>
      </c>
      <c r="N2473">
        <v>53.910676754833901</v>
      </c>
      <c r="O2473">
        <v>51.139964603191302</v>
      </c>
      <c r="P2473">
        <v>-5.0100896628053601E-2</v>
      </c>
      <c r="Q2473">
        <v>0.122630924341847</v>
      </c>
      <c r="R2473">
        <v>0.98725647758576995</v>
      </c>
      <c r="S2473" t="s">
        <v>8758</v>
      </c>
      <c r="T2473" t="s">
        <v>12568</v>
      </c>
      <c r="U2473" t="s">
        <v>12568</v>
      </c>
      <c r="V2473" t="s">
        <v>12568</v>
      </c>
      <c r="W2473" t="s">
        <v>15006</v>
      </c>
      <c r="X2473">
        <v>6</v>
      </c>
      <c r="Y2473" t="s">
        <v>21177</v>
      </c>
      <c r="Z2473" t="s">
        <v>27343</v>
      </c>
      <c r="AA2473">
        <v>0.51802261037330366</v>
      </c>
      <c r="AB2473" t="str">
        <f>HYPERLINK("Melting_Curves/meltCurve_P56962_STX17.pdf", "Melting_Curves/meltCurve_P56962_STX17.pdf")</f>
        <v>Melting_Curves/meltCurve_P56962_STX17.pdf</v>
      </c>
    </row>
    <row r="2474" spans="1:28" x14ac:dyDescent="0.25">
      <c r="A2474" t="s">
        <v>2478</v>
      </c>
      <c r="B2474">
        <v>0.99352677808782597</v>
      </c>
      <c r="C2474">
        <v>0.84714470465734604</v>
      </c>
      <c r="D2474">
        <v>0.86130933362142903</v>
      </c>
      <c r="E2474">
        <v>0.26123772741501999</v>
      </c>
      <c r="F2474">
        <v>0.21012183914927701</v>
      </c>
      <c r="G2474">
        <v>0.126629577080031</v>
      </c>
      <c r="H2474">
        <v>0.10375196310910299</v>
      </c>
      <c r="I2474">
        <v>0.114478293666361</v>
      </c>
      <c r="J2474">
        <v>8.0044052644075006E-2</v>
      </c>
      <c r="K2474">
        <v>6.7385683948593705E-2</v>
      </c>
      <c r="L2474">
        <v>1447.24646894734</v>
      </c>
      <c r="M2474">
        <v>30.149188476345401</v>
      </c>
      <c r="N2474">
        <v>48.367858655522703</v>
      </c>
      <c r="O2474">
        <v>47.793147127419402</v>
      </c>
      <c r="P2474">
        <v>-0.141660744075609</v>
      </c>
      <c r="Q2474">
        <v>0.10175133199269799</v>
      </c>
      <c r="R2474">
        <v>0.978588489948087</v>
      </c>
      <c r="S2474" t="s">
        <v>8759</v>
      </c>
      <c r="T2474" t="s">
        <v>12568</v>
      </c>
      <c r="U2474" t="s">
        <v>12568</v>
      </c>
      <c r="V2474" t="s">
        <v>12568</v>
      </c>
      <c r="W2474" t="s">
        <v>15007</v>
      </c>
      <c r="X2474">
        <v>6</v>
      </c>
      <c r="Y2474" t="s">
        <v>21178</v>
      </c>
      <c r="Z2474" t="s">
        <v>27344</v>
      </c>
      <c r="AA2474">
        <v>0.34671975024217699</v>
      </c>
      <c r="AB2474" t="str">
        <f>HYPERLINK("Melting_Curves/meltCurve_P57076_C21orf59.pdf", "Melting_Curves/meltCurve_P57076_C21orf59.pdf")</f>
        <v>Melting_Curves/meltCurve_P57076_C21orf59.pdf</v>
      </c>
    </row>
    <row r="2475" spans="1:28" x14ac:dyDescent="0.25">
      <c r="A2475" t="s">
        <v>2479</v>
      </c>
      <c r="B2475">
        <v>0.99352677808782597</v>
      </c>
      <c r="C2475">
        <v>1.05102315688901</v>
      </c>
      <c r="D2475">
        <v>1.0033610500790899</v>
      </c>
      <c r="E2475">
        <v>0.79979856961224305</v>
      </c>
      <c r="F2475">
        <v>0.69106192379128994</v>
      </c>
      <c r="G2475">
        <v>0.18383199174286699</v>
      </c>
      <c r="H2475">
        <v>0.12309175478464</v>
      </c>
      <c r="I2475">
        <v>0.109652384832233</v>
      </c>
      <c r="J2475">
        <v>9.0261262083559696E-2</v>
      </c>
      <c r="K2475">
        <v>6.9618441420533805E-2</v>
      </c>
      <c r="L2475">
        <v>1410.3675714830799</v>
      </c>
      <c r="M2475">
        <v>26.251289137877102</v>
      </c>
      <c r="N2475">
        <v>54.063797524480897</v>
      </c>
      <c r="O2475">
        <v>53.416790469466797</v>
      </c>
      <c r="P2475">
        <v>-0.113560117058237</v>
      </c>
      <c r="Q2475">
        <v>7.5710238659296297E-2</v>
      </c>
      <c r="R2475">
        <v>0.98831698254629397</v>
      </c>
      <c r="S2475" t="s">
        <v>8760</v>
      </c>
      <c r="T2475" t="s">
        <v>12568</v>
      </c>
      <c r="U2475" t="s">
        <v>12568</v>
      </c>
      <c r="V2475" t="s">
        <v>12568</v>
      </c>
      <c r="W2475" t="s">
        <v>15008</v>
      </c>
      <c r="X2475">
        <v>13</v>
      </c>
      <c r="Y2475" t="s">
        <v>21179</v>
      </c>
      <c r="Z2475" t="s">
        <v>27345</v>
      </c>
      <c r="AA2475">
        <v>0.50639806443967461</v>
      </c>
      <c r="AB2475" t="str">
        <f>HYPERLINK("Melting_Curves/meltCurve_P57081_WDR4.pdf", "Melting_Curves/meltCurve_P57081_WDR4.pdf")</f>
        <v>Melting_Curves/meltCurve_P57081_WDR4.pdf</v>
      </c>
    </row>
    <row r="2476" spans="1:28" x14ac:dyDescent="0.25">
      <c r="A2476" t="s">
        <v>2480</v>
      </c>
      <c r="B2476">
        <v>0.99352677808782597</v>
      </c>
      <c r="C2476">
        <v>1.0098015678733501</v>
      </c>
      <c r="D2476">
        <v>0.92163885260526801</v>
      </c>
      <c r="E2476">
        <v>0.72462474450757997</v>
      </c>
      <c r="F2476">
        <v>0.63967001362254705</v>
      </c>
      <c r="G2476">
        <v>0.52183449711121099</v>
      </c>
      <c r="H2476">
        <v>0.378724089576085</v>
      </c>
      <c r="I2476">
        <v>0.39670770781902998</v>
      </c>
      <c r="J2476">
        <v>0.36072493799682398</v>
      </c>
      <c r="K2476">
        <v>0.31630831639072798</v>
      </c>
      <c r="L2476">
        <v>696.28978842502704</v>
      </c>
      <c r="M2476">
        <v>13.275324076694901</v>
      </c>
      <c r="N2476">
        <v>56.702137300599396</v>
      </c>
      <c r="O2476">
        <v>51.302609736292403</v>
      </c>
      <c r="P2476">
        <v>-4.4305272451085898E-2</v>
      </c>
      <c r="Q2476">
        <v>0.315238772756125</v>
      </c>
      <c r="R2476">
        <v>0.989966653074146</v>
      </c>
      <c r="S2476" t="s">
        <v>8761</v>
      </c>
      <c r="T2476" t="s">
        <v>12568</v>
      </c>
      <c r="U2476" t="s">
        <v>12568</v>
      </c>
      <c r="V2476" t="s">
        <v>12568</v>
      </c>
      <c r="W2476" t="s">
        <v>15009</v>
      </c>
      <c r="X2476">
        <v>3</v>
      </c>
      <c r="Y2476" t="s">
        <v>21180</v>
      </c>
      <c r="Z2476" t="s">
        <v>27346</v>
      </c>
      <c r="AA2476">
        <v>0.61728115285580243</v>
      </c>
      <c r="AB2476" t="str">
        <f>HYPERLINK("Melting_Curves/meltCurve_P57105_SYNJ2BP.pdf", "Melting_Curves/meltCurve_P57105_SYNJ2BP.pdf")</f>
        <v>Melting_Curves/meltCurve_P57105_SYNJ2BP.pdf</v>
      </c>
    </row>
    <row r="2477" spans="1:28" x14ac:dyDescent="0.25">
      <c r="A2477" t="s">
        <v>2481</v>
      </c>
      <c r="B2477">
        <v>0.99352677808782597</v>
      </c>
      <c r="C2477">
        <v>0.92043870589315402</v>
      </c>
      <c r="D2477">
        <v>0.68270117938527397</v>
      </c>
      <c r="E2477">
        <v>0.26082760228517798</v>
      </c>
      <c r="F2477">
        <v>0.20966583326046201</v>
      </c>
      <c r="G2477">
        <v>0.12586079962900701</v>
      </c>
      <c r="H2477">
        <v>9.5950428358299394E-2</v>
      </c>
      <c r="I2477">
        <v>9.34591481901067E-2</v>
      </c>
      <c r="J2477">
        <v>8.0576069999498706E-2</v>
      </c>
      <c r="K2477">
        <v>6.2038177711130703E-2</v>
      </c>
      <c r="L2477">
        <v>1059.57305754752</v>
      </c>
      <c r="M2477">
        <v>22.434798577408699</v>
      </c>
      <c r="N2477">
        <v>47.649438880947599</v>
      </c>
      <c r="O2477">
        <v>46.858555274053103</v>
      </c>
      <c r="P2477">
        <v>-0.10894829970752699</v>
      </c>
      <c r="Q2477">
        <v>8.9797138613186403E-2</v>
      </c>
      <c r="R2477">
        <v>0.99617661048964301</v>
      </c>
      <c r="S2477" t="s">
        <v>8762</v>
      </c>
      <c r="T2477" t="s">
        <v>12568</v>
      </c>
      <c r="U2477" t="s">
        <v>12568</v>
      </c>
      <c r="V2477" t="s">
        <v>12568</v>
      </c>
      <c r="W2477" t="s">
        <v>15010</v>
      </c>
      <c r="X2477">
        <v>10</v>
      </c>
      <c r="Y2477" t="s">
        <v>21181</v>
      </c>
      <c r="Z2477" t="s">
        <v>27347</v>
      </c>
      <c r="AA2477">
        <v>0.31939001902481601</v>
      </c>
      <c r="AB2477" t="str">
        <f>HYPERLINK("Melting_Curves/meltCurve_P57737_3_CORO7.pdf", "Melting_Curves/meltCurve_P57737_3_CORO7.pdf")</f>
        <v>Melting_Curves/meltCurve_P57737_3_CORO7.pdf</v>
      </c>
    </row>
    <row r="2478" spans="1:28" x14ac:dyDescent="0.25">
      <c r="A2478" t="s">
        <v>2482</v>
      </c>
      <c r="B2478">
        <v>0.99352677808782597</v>
      </c>
      <c r="C2478">
        <v>0.97372685098886202</v>
      </c>
      <c r="D2478">
        <v>0.77267967251839098</v>
      </c>
      <c r="E2478">
        <v>0.43683824631558599</v>
      </c>
      <c r="F2478">
        <v>0.34966511869410499</v>
      </c>
      <c r="G2478">
        <v>0.26306266718885002</v>
      </c>
      <c r="H2478">
        <v>0.20119745929774299</v>
      </c>
      <c r="I2478">
        <v>0.20556865490541501</v>
      </c>
      <c r="J2478">
        <v>0.18880380051871901</v>
      </c>
      <c r="K2478">
        <v>0.16796478131262299</v>
      </c>
      <c r="L2478">
        <v>939.19378779994497</v>
      </c>
      <c r="M2478">
        <v>19.442495703043001</v>
      </c>
      <c r="N2478">
        <v>49.5554250375558</v>
      </c>
      <c r="O2478">
        <v>47.803915021153102</v>
      </c>
      <c r="P2478">
        <v>-8.1984338564208795E-2</v>
      </c>
      <c r="Q2478">
        <v>0.19371889700470801</v>
      </c>
      <c r="R2478">
        <v>0.99446538443065302</v>
      </c>
      <c r="S2478" t="s">
        <v>8763</v>
      </c>
      <c r="T2478" t="s">
        <v>12568</v>
      </c>
      <c r="U2478" t="s">
        <v>12568</v>
      </c>
      <c r="V2478" t="s">
        <v>12568</v>
      </c>
      <c r="W2478" t="s">
        <v>15011</v>
      </c>
      <c r="X2478">
        <v>14</v>
      </c>
      <c r="Y2478" t="s">
        <v>21182</v>
      </c>
      <c r="Z2478" t="s">
        <v>27348</v>
      </c>
      <c r="AA2478">
        <v>0.42904461935766869</v>
      </c>
      <c r="AB2478" t="str">
        <f>HYPERLINK("Melting_Curves/meltCurve_P57740_NUP107.pdf", "Melting_Curves/meltCurve_P57740_NUP107.pdf")</f>
        <v>Melting_Curves/meltCurve_P57740_NUP107.pdf</v>
      </c>
    </row>
    <row r="2479" spans="1:28" x14ac:dyDescent="0.25">
      <c r="A2479" t="s">
        <v>2483</v>
      </c>
      <c r="B2479">
        <v>0.99352677808782597</v>
      </c>
      <c r="C2479">
        <v>0.94127638541372904</v>
      </c>
      <c r="D2479">
        <v>0.90098483544906804</v>
      </c>
      <c r="E2479">
        <v>0.35583356951928202</v>
      </c>
      <c r="F2479">
        <v>0.28826201772659898</v>
      </c>
      <c r="G2479">
        <v>0.167418590281499</v>
      </c>
      <c r="H2479">
        <v>8.0459851056270598E-2</v>
      </c>
      <c r="I2479">
        <v>6.5630750491933995E-2</v>
      </c>
      <c r="J2479">
        <v>6.8109345420585707E-2</v>
      </c>
      <c r="K2479">
        <v>3.9860544707596403E-2</v>
      </c>
      <c r="L2479">
        <v>1122.2916552117999</v>
      </c>
      <c r="M2479">
        <v>22.882192930498299</v>
      </c>
      <c r="N2479">
        <v>49.407431747891202</v>
      </c>
      <c r="O2479">
        <v>48.676518166425701</v>
      </c>
      <c r="P2479">
        <v>-0.1084786384389</v>
      </c>
      <c r="Q2479">
        <v>7.6965802805019801E-2</v>
      </c>
      <c r="R2479">
        <v>0.98465262606481196</v>
      </c>
      <c r="S2479" t="s">
        <v>8764</v>
      </c>
      <c r="T2479" t="s">
        <v>12568</v>
      </c>
      <c r="U2479" t="s">
        <v>12568</v>
      </c>
      <c r="V2479" t="s">
        <v>12568</v>
      </c>
      <c r="W2479" t="s">
        <v>15012</v>
      </c>
      <c r="X2479">
        <v>2</v>
      </c>
      <c r="Y2479" t="s">
        <v>21183</v>
      </c>
      <c r="Z2479" t="s">
        <v>27349</v>
      </c>
      <c r="AA2479">
        <v>0.36512258500691269</v>
      </c>
      <c r="AB2479" t="str">
        <f>HYPERLINK("Melting_Curves/meltCurve_P57764_GSDMD.pdf", "Melting_Curves/meltCurve_P57764_GSDMD.pdf")</f>
        <v>Melting_Curves/meltCurve_P57764_GSDMD.pdf</v>
      </c>
    </row>
    <row r="2480" spans="1:28" x14ac:dyDescent="0.25">
      <c r="A2480" t="s">
        <v>2484</v>
      </c>
      <c r="B2480">
        <v>0.99352677808782597</v>
      </c>
      <c r="C2480">
        <v>0.92393415469939599</v>
      </c>
      <c r="D2480">
        <v>0.99050341604759695</v>
      </c>
      <c r="E2480">
        <v>0.69896818183063703</v>
      </c>
      <c r="F2480">
        <v>0.60730760396806505</v>
      </c>
      <c r="G2480">
        <v>0.40111311316987203</v>
      </c>
      <c r="H2480">
        <v>0.27027536034532101</v>
      </c>
      <c r="I2480">
        <v>0.26628090671009602</v>
      </c>
      <c r="J2480">
        <v>0.240373091084637</v>
      </c>
      <c r="K2480">
        <v>0.16877605759139799</v>
      </c>
      <c r="L2480">
        <v>747.77247854249902</v>
      </c>
      <c r="M2480">
        <v>14.1134749176542</v>
      </c>
      <c r="N2480">
        <v>54.662467528129199</v>
      </c>
      <c r="O2480">
        <v>51.9532005878497</v>
      </c>
      <c r="P2480">
        <v>-5.5973212925222497E-2</v>
      </c>
      <c r="Q2480">
        <v>0.17593229291915</v>
      </c>
      <c r="R2480">
        <v>0.98579977624099602</v>
      </c>
      <c r="S2480" t="s">
        <v>8765</v>
      </c>
      <c r="T2480" t="s">
        <v>12568</v>
      </c>
      <c r="U2480" t="s">
        <v>12568</v>
      </c>
      <c r="V2480" t="s">
        <v>12568</v>
      </c>
      <c r="W2480" t="s">
        <v>15013</v>
      </c>
      <c r="X2480">
        <v>2</v>
      </c>
      <c r="Y2480" t="s">
        <v>21184</v>
      </c>
      <c r="Z2480" t="s">
        <v>27350</v>
      </c>
      <c r="AA2480">
        <v>0.55183325086827462</v>
      </c>
      <c r="AB2480" t="str">
        <f>HYPERLINK("Melting_Curves/meltCurve_P57768_SNX16.pdf", "Melting_Curves/meltCurve_P57768_SNX16.pdf")</f>
        <v>Melting_Curves/meltCurve_P57768_SNX16.pdf</v>
      </c>
    </row>
    <row r="2481" spans="1:28" x14ac:dyDescent="0.25">
      <c r="A2481" t="s">
        <v>2485</v>
      </c>
      <c r="B2481">
        <v>0.99352677808782597</v>
      </c>
      <c r="C2481">
        <v>0.83751307754215398</v>
      </c>
      <c r="D2481">
        <v>0.59176453920423799</v>
      </c>
      <c r="E2481">
        <v>0.228170686102425</v>
      </c>
      <c r="F2481">
        <v>0.187468047408029</v>
      </c>
      <c r="G2481">
        <v>0.118808088529003</v>
      </c>
      <c r="H2481">
        <v>7.8554276280862395E-2</v>
      </c>
      <c r="I2481">
        <v>7.6578177083810303E-2</v>
      </c>
      <c r="J2481">
        <v>6.85596962408212E-2</v>
      </c>
      <c r="K2481">
        <v>5.5601711100642603E-2</v>
      </c>
      <c r="L2481">
        <v>914.89045499829399</v>
      </c>
      <c r="M2481">
        <v>19.688342123743599</v>
      </c>
      <c r="N2481">
        <v>46.851284086114902</v>
      </c>
      <c r="O2481">
        <v>45.9972111283072</v>
      </c>
      <c r="P2481">
        <v>-9.9064418426887499E-2</v>
      </c>
      <c r="Q2481">
        <v>7.4268595290233094E-2</v>
      </c>
      <c r="R2481">
        <v>0.99602011984230399</v>
      </c>
      <c r="S2481" t="s">
        <v>8766</v>
      </c>
      <c r="T2481" t="s">
        <v>12568</v>
      </c>
      <c r="U2481" t="s">
        <v>12568</v>
      </c>
      <c r="V2481" t="s">
        <v>12568</v>
      </c>
      <c r="W2481" t="s">
        <v>15014</v>
      </c>
      <c r="X2481">
        <v>7</v>
      </c>
      <c r="Y2481" t="s">
        <v>21185</v>
      </c>
      <c r="Z2481" t="s">
        <v>27351</v>
      </c>
      <c r="AA2481">
        <v>0.28827391686171783</v>
      </c>
      <c r="AB2481" t="str">
        <f>HYPERLINK("Melting_Curves/meltCurve_P57772_EEFSEC.pdf", "Melting_Curves/meltCurve_P57772_EEFSEC.pdf")</f>
        <v>Melting_Curves/meltCurve_P57772_EEFSEC.pdf</v>
      </c>
    </row>
    <row r="2482" spans="1:28" x14ac:dyDescent="0.25">
      <c r="A2482" t="s">
        <v>2486</v>
      </c>
      <c r="B2482">
        <v>0.99352677808782597</v>
      </c>
      <c r="C2482">
        <v>0.92342221958683302</v>
      </c>
      <c r="D2482">
        <v>1.00744912236105</v>
      </c>
      <c r="E2482">
        <v>0.92238128848897305</v>
      </c>
      <c r="F2482">
        <v>0.84964032612682405</v>
      </c>
      <c r="G2482">
        <v>0.69857097323640105</v>
      </c>
      <c r="H2482">
        <v>0.53862964560688498</v>
      </c>
      <c r="I2482">
        <v>0.484490313973785</v>
      </c>
      <c r="J2482">
        <v>0.55792742169439602</v>
      </c>
      <c r="K2482">
        <v>0.474734342972153</v>
      </c>
      <c r="L2482">
        <v>1024.3876274300701</v>
      </c>
      <c r="M2482">
        <v>18.453416843969698</v>
      </c>
      <c r="N2482">
        <v>66.977211989275304</v>
      </c>
      <c r="O2482">
        <v>54.872498258735</v>
      </c>
      <c r="P2482">
        <v>-4.3824503439580997E-2</v>
      </c>
      <c r="Q2482">
        <v>0.47876266164973702</v>
      </c>
      <c r="R2482">
        <v>0.97162818455015798</v>
      </c>
      <c r="S2482" t="s">
        <v>8767</v>
      </c>
      <c r="T2482" t="s">
        <v>12568</v>
      </c>
      <c r="U2482" t="s">
        <v>12568</v>
      </c>
      <c r="V2482" t="s">
        <v>12568</v>
      </c>
      <c r="W2482" t="s">
        <v>15015</v>
      </c>
      <c r="X2482">
        <v>7</v>
      </c>
      <c r="Y2482" t="s">
        <v>21186</v>
      </c>
      <c r="Z2482" t="s">
        <v>27352</v>
      </c>
      <c r="AA2482">
        <v>0.7559117221448034</v>
      </c>
      <c r="AB2482" t="str">
        <f>HYPERLINK("Melting_Curves/meltCurve_P58546_MTPN.pdf", "Melting_Curves/meltCurve_P58546_MTPN.pdf")</f>
        <v>Melting_Curves/meltCurve_P58546_MTPN.pdf</v>
      </c>
    </row>
    <row r="2483" spans="1:28" x14ac:dyDescent="0.25">
      <c r="A2483" t="s">
        <v>2487</v>
      </c>
      <c r="B2483">
        <v>0.99352677808782597</v>
      </c>
      <c r="C2483">
        <v>1.10905350332768</v>
      </c>
      <c r="D2483">
        <v>0.933172913956134</v>
      </c>
      <c r="E2483">
        <v>0.54168178124803701</v>
      </c>
      <c r="F2483">
        <v>0.43626755823226399</v>
      </c>
      <c r="G2483">
        <v>0.224662092356441</v>
      </c>
      <c r="H2483">
        <v>0.14478300882530001</v>
      </c>
      <c r="I2483">
        <v>0.144955730680456</v>
      </c>
      <c r="J2483">
        <v>0.106312589077056</v>
      </c>
      <c r="K2483">
        <v>0.117880956302104</v>
      </c>
      <c r="L2483">
        <v>1027.0789261085399</v>
      </c>
      <c r="M2483">
        <v>20.268214061863699</v>
      </c>
      <c r="N2483">
        <v>51.393280286256299</v>
      </c>
      <c r="O2483">
        <v>50.188807393264803</v>
      </c>
      <c r="P2483">
        <v>-8.8500563813455002E-2</v>
      </c>
      <c r="Q2483">
        <v>0.12343523148779401</v>
      </c>
      <c r="R2483">
        <v>0.97984424456036101</v>
      </c>
      <c r="S2483" t="s">
        <v>8768</v>
      </c>
      <c r="T2483" t="s">
        <v>12568</v>
      </c>
      <c r="U2483" t="s">
        <v>12568</v>
      </c>
      <c r="V2483" t="s">
        <v>12568</v>
      </c>
      <c r="W2483" t="s">
        <v>15016</v>
      </c>
      <c r="X2483">
        <v>4</v>
      </c>
      <c r="Y2483" t="s">
        <v>21187</v>
      </c>
      <c r="Z2483" t="s">
        <v>27353</v>
      </c>
      <c r="AA2483">
        <v>0.44720108546910359</v>
      </c>
      <c r="AB2483" t="str">
        <f>HYPERLINK("Melting_Curves/meltCurve_P59780_AP3S2.pdf", "Melting_Curves/meltCurve_P59780_AP3S2.pdf")</f>
        <v>Melting_Curves/meltCurve_P59780_AP3S2.pdf</v>
      </c>
    </row>
    <row r="2484" spans="1:28" x14ac:dyDescent="0.25">
      <c r="A2484" t="s">
        <v>2488</v>
      </c>
      <c r="B2484">
        <v>0.99352677808782597</v>
      </c>
      <c r="C2484">
        <v>1.0751420585821101</v>
      </c>
      <c r="D2484">
        <v>0.91358112855840801</v>
      </c>
      <c r="E2484">
        <v>0.87407058168183305</v>
      </c>
      <c r="F2484">
        <v>0.71574192301158301</v>
      </c>
      <c r="G2484">
        <v>0.55109220579895002</v>
      </c>
      <c r="H2484">
        <v>0.384150950613172</v>
      </c>
      <c r="I2484">
        <v>0.119356617311199</v>
      </c>
      <c r="J2484">
        <v>6.3605582997490501E-2</v>
      </c>
      <c r="K2484">
        <v>5.0754110946516502E-2</v>
      </c>
      <c r="L2484">
        <v>808.79829312185302</v>
      </c>
      <c r="M2484">
        <v>14.1183682962058</v>
      </c>
      <c r="N2484">
        <v>57.286952462800798</v>
      </c>
      <c r="O2484">
        <v>56.174391288805701</v>
      </c>
      <c r="P2484">
        <v>-6.2840820144293402E-2</v>
      </c>
      <c r="Q2484">
        <v>0</v>
      </c>
      <c r="R2484">
        <v>0.98033630648125303</v>
      </c>
      <c r="S2484" t="s">
        <v>8769</v>
      </c>
      <c r="T2484" t="s">
        <v>12568</v>
      </c>
      <c r="U2484" t="s">
        <v>12568</v>
      </c>
      <c r="V2484" t="s">
        <v>12568</v>
      </c>
      <c r="W2484" t="s">
        <v>15017</v>
      </c>
      <c r="X2484">
        <v>10</v>
      </c>
      <c r="Y2484" t="s">
        <v>21188</v>
      </c>
      <c r="Z2484" t="s">
        <v>27354</v>
      </c>
      <c r="AA2484">
        <v>0.59178162970620474</v>
      </c>
      <c r="AB2484" t="str">
        <f>HYPERLINK("Melting_Curves/meltCurve_P59998_ARPC4.pdf", "Melting_Curves/meltCurve_P59998_ARPC4.pdf")</f>
        <v>Melting_Curves/meltCurve_P59998_ARPC4.pdf</v>
      </c>
    </row>
    <row r="2485" spans="1:28" x14ac:dyDescent="0.25">
      <c r="A2485" t="s">
        <v>2489</v>
      </c>
      <c r="B2485">
        <v>0.99352677808782597</v>
      </c>
      <c r="C2485">
        <v>0.96063760840304402</v>
      </c>
      <c r="D2485">
        <v>1.00592747460298</v>
      </c>
      <c r="E2485">
        <v>0.95001901137854305</v>
      </c>
      <c r="F2485">
        <v>0.87368531516588399</v>
      </c>
      <c r="G2485">
        <v>0.80390544120081497</v>
      </c>
      <c r="H2485">
        <v>0.582519530973439</v>
      </c>
      <c r="I2485">
        <v>0.33615439589535101</v>
      </c>
      <c r="J2485">
        <v>0.209754391670187</v>
      </c>
      <c r="K2485">
        <v>0.15986723402105099</v>
      </c>
      <c r="L2485">
        <v>943.91172449382395</v>
      </c>
      <c r="M2485">
        <v>15.2901056812516</v>
      </c>
      <c r="N2485">
        <v>61.733499061033498</v>
      </c>
      <c r="O2485">
        <v>60.706453541859297</v>
      </c>
      <c r="P2485">
        <v>-6.2973308162991404E-2</v>
      </c>
      <c r="Q2485">
        <v>0</v>
      </c>
      <c r="R2485">
        <v>0.99169787345751703</v>
      </c>
      <c r="S2485" t="s">
        <v>8770</v>
      </c>
      <c r="T2485" t="s">
        <v>12568</v>
      </c>
      <c r="U2485" t="s">
        <v>12568</v>
      </c>
      <c r="V2485" t="s">
        <v>12568</v>
      </c>
      <c r="W2485" t="s">
        <v>15018</v>
      </c>
      <c r="X2485">
        <v>27</v>
      </c>
      <c r="Y2485" t="s">
        <v>21189</v>
      </c>
      <c r="Z2485" t="s">
        <v>27355</v>
      </c>
      <c r="AA2485">
        <v>0.72365618830180123</v>
      </c>
      <c r="AB2485" t="str">
        <f>HYPERLINK("Melting_Curves/meltCurve_P60174_1_TPI1.pdf", "Melting_Curves/meltCurve_P60174_1_TPI1.pdf")</f>
        <v>Melting_Curves/meltCurve_P60174_1_TPI1.pdf</v>
      </c>
    </row>
    <row r="2486" spans="1:28" x14ac:dyDescent="0.25">
      <c r="A2486" t="s">
        <v>2490</v>
      </c>
      <c r="B2486">
        <v>0.99352677808782597</v>
      </c>
      <c r="C2486">
        <v>0.89520202093666001</v>
      </c>
      <c r="D2486">
        <v>0.489178072485773</v>
      </c>
      <c r="E2486">
        <v>0.32990250631248003</v>
      </c>
      <c r="F2486">
        <v>0.25927665393511001</v>
      </c>
      <c r="G2486">
        <v>0.15374667902766201</v>
      </c>
      <c r="H2486">
        <v>0.105380574059071</v>
      </c>
      <c r="I2486">
        <v>9.5670861516428798E-2</v>
      </c>
      <c r="J2486">
        <v>9.0870729905472403E-2</v>
      </c>
      <c r="K2486">
        <v>6.9047550230571006E-2</v>
      </c>
      <c r="L2486">
        <v>798.40507687827903</v>
      </c>
      <c r="M2486">
        <v>17.188061977996298</v>
      </c>
      <c r="N2486">
        <v>47.0569626719114</v>
      </c>
      <c r="O2486">
        <v>45.836064762220303</v>
      </c>
      <c r="P2486">
        <v>-8.4447593404160096E-2</v>
      </c>
      <c r="Q2486">
        <v>9.9255169622743306E-2</v>
      </c>
      <c r="R2486">
        <v>0.97779949743427397</v>
      </c>
      <c r="S2486" t="s">
        <v>8771</v>
      </c>
      <c r="T2486" t="s">
        <v>12568</v>
      </c>
      <c r="U2486" t="s">
        <v>12568</v>
      </c>
      <c r="V2486" t="s">
        <v>12568</v>
      </c>
      <c r="W2486" t="s">
        <v>15019</v>
      </c>
      <c r="X2486">
        <v>13</v>
      </c>
      <c r="Y2486" t="s">
        <v>21190</v>
      </c>
      <c r="Z2486" t="s">
        <v>27356</v>
      </c>
      <c r="AA2486">
        <v>0.31192077907272542</v>
      </c>
      <c r="AB2486" t="str">
        <f>HYPERLINK("Melting_Curves/meltCurve_P60228_EIF3E.pdf", "Melting_Curves/meltCurve_P60228_EIF3E.pdf")</f>
        <v>Melting_Curves/meltCurve_P60228_EIF3E.pdf</v>
      </c>
    </row>
    <row r="2487" spans="1:28" x14ac:dyDescent="0.25">
      <c r="A2487" t="s">
        <v>2491</v>
      </c>
      <c r="B2487">
        <v>0.99352677808782597</v>
      </c>
      <c r="C2487">
        <v>0.91739314637686897</v>
      </c>
      <c r="D2487">
        <v>0.97885121167323397</v>
      </c>
      <c r="E2487">
        <v>1.28667707815566</v>
      </c>
      <c r="F2487">
        <v>1.2132776753887899</v>
      </c>
      <c r="G2487">
        <v>1.28534583647844</v>
      </c>
      <c r="H2487">
        <v>1.1790987461037501</v>
      </c>
      <c r="I2487">
        <v>1.2821322945215501</v>
      </c>
      <c r="J2487">
        <v>1.1819977986671899</v>
      </c>
      <c r="K2487">
        <v>1.27672423687949</v>
      </c>
      <c r="L2487">
        <v>11964.226279398001</v>
      </c>
      <c r="M2487">
        <v>250</v>
      </c>
      <c r="O2487">
        <v>47.853824213994997</v>
      </c>
      <c r="P2487">
        <v>0.31816694842514098</v>
      </c>
      <c r="Q2487">
        <v>1.24360817736874</v>
      </c>
      <c r="R2487">
        <v>0.87801229793431801</v>
      </c>
      <c r="S2487" t="s">
        <v>8772</v>
      </c>
      <c r="T2487" t="s">
        <v>12568</v>
      </c>
      <c r="U2487" t="s">
        <v>12568</v>
      </c>
      <c r="V2487" t="s">
        <v>12568</v>
      </c>
      <c r="W2487" t="s">
        <v>15020</v>
      </c>
      <c r="X2487">
        <v>1</v>
      </c>
      <c r="Y2487" t="s">
        <v>21191</v>
      </c>
      <c r="Z2487" t="s">
        <v>27357</v>
      </c>
      <c r="AA2487">
        <v>1.1797875059931571</v>
      </c>
      <c r="AB2487" t="str">
        <f>HYPERLINK("Melting_Curves/meltCurve_P60468_SEC61B.pdf", "Melting_Curves/meltCurve_P60468_SEC61B.pdf")</f>
        <v>Melting_Curves/meltCurve_P60468_SEC61B.pdf</v>
      </c>
    </row>
    <row r="2488" spans="1:28" x14ac:dyDescent="0.25">
      <c r="A2488" t="s">
        <v>2492</v>
      </c>
      <c r="B2488">
        <v>0.99352677808782597</v>
      </c>
      <c r="C2488">
        <v>1.0210308664982599</v>
      </c>
      <c r="D2488">
        <v>0.90635282570952702</v>
      </c>
      <c r="E2488">
        <v>0.93496077307224601</v>
      </c>
      <c r="F2488">
        <v>0.83859206013001197</v>
      </c>
      <c r="G2488">
        <v>0.76333317872600703</v>
      </c>
      <c r="H2488">
        <v>0.58621596333694703</v>
      </c>
      <c r="I2488">
        <v>0.51884324541025395</v>
      </c>
      <c r="J2488">
        <v>0.42570303419687999</v>
      </c>
      <c r="K2488">
        <v>0.23007983166089799</v>
      </c>
      <c r="L2488">
        <v>593.64228825301905</v>
      </c>
      <c r="M2488">
        <v>9.3335951694778601</v>
      </c>
      <c r="N2488">
        <v>63.6027344269583</v>
      </c>
      <c r="O2488">
        <v>60.887851025603297</v>
      </c>
      <c r="P2488">
        <v>-3.8347139334938003E-2</v>
      </c>
      <c r="Q2488">
        <v>0</v>
      </c>
      <c r="R2488">
        <v>0.97797497230429697</v>
      </c>
      <c r="S2488" t="s">
        <v>8773</v>
      </c>
      <c r="T2488" t="s">
        <v>12568</v>
      </c>
      <c r="U2488" t="s">
        <v>12568</v>
      </c>
      <c r="V2488" t="s">
        <v>12568</v>
      </c>
      <c r="W2488" t="s">
        <v>15021</v>
      </c>
      <c r="X2488">
        <v>14</v>
      </c>
      <c r="Y2488" t="s">
        <v>21192</v>
      </c>
      <c r="Z2488" t="s">
        <v>27358</v>
      </c>
      <c r="AA2488">
        <v>0.74360249089486385</v>
      </c>
      <c r="AB2488" t="str">
        <f>HYPERLINK("Melting_Curves/meltCurve_P60510_PPP4C.pdf", "Melting_Curves/meltCurve_P60510_PPP4C.pdf")</f>
        <v>Melting_Curves/meltCurve_P60510_PPP4C.pdf</v>
      </c>
    </row>
    <row r="2489" spans="1:28" x14ac:dyDescent="0.25">
      <c r="A2489" t="s">
        <v>2493</v>
      </c>
      <c r="B2489">
        <v>0.99352677808782597</v>
      </c>
      <c r="C2489">
        <v>0.96595703308821002</v>
      </c>
      <c r="D2489">
        <v>0.982651349557776</v>
      </c>
      <c r="E2489">
        <v>0.871824466724898</v>
      </c>
      <c r="F2489">
        <v>0.75248209639785901</v>
      </c>
      <c r="G2489">
        <v>0.59124486321910896</v>
      </c>
      <c r="H2489">
        <v>0.31608708384746897</v>
      </c>
      <c r="I2489">
        <v>0.16735865000851899</v>
      </c>
      <c r="J2489">
        <v>0.10446649656460499</v>
      </c>
      <c r="K2489">
        <v>8.6438094438341301E-2</v>
      </c>
      <c r="L2489">
        <v>816.93548368740096</v>
      </c>
      <c r="M2489">
        <v>14.166495964712601</v>
      </c>
      <c r="N2489">
        <v>57.666729058181602</v>
      </c>
      <c r="O2489">
        <v>56.554134444523399</v>
      </c>
      <c r="P2489">
        <v>-6.2631521735410103E-2</v>
      </c>
      <c r="Q2489">
        <v>0</v>
      </c>
      <c r="R2489">
        <v>0.99549199220595697</v>
      </c>
      <c r="S2489" t="s">
        <v>8774</v>
      </c>
      <c r="T2489" t="s">
        <v>12568</v>
      </c>
      <c r="U2489" t="s">
        <v>12568</v>
      </c>
      <c r="V2489" t="s">
        <v>12568</v>
      </c>
      <c r="W2489" t="s">
        <v>15022</v>
      </c>
      <c r="X2489">
        <v>4</v>
      </c>
      <c r="Y2489" t="s">
        <v>21193</v>
      </c>
      <c r="Z2489" t="s">
        <v>27359</v>
      </c>
      <c r="AA2489">
        <v>0.60337243137402485</v>
      </c>
      <c r="AB2489" t="str">
        <f>HYPERLINK("Melting_Curves/meltCurve_P60520_GABARAPL2.pdf", "Melting_Curves/meltCurve_P60520_GABARAPL2.pdf")</f>
        <v>Melting_Curves/meltCurve_P60520_GABARAPL2.pdf</v>
      </c>
    </row>
    <row r="2490" spans="1:28" x14ac:dyDescent="0.25">
      <c r="A2490" t="s">
        <v>2494</v>
      </c>
      <c r="B2490">
        <v>0.99352677808782597</v>
      </c>
      <c r="C2490">
        <v>0.986917126789291</v>
      </c>
      <c r="D2490">
        <v>0.89026902626317295</v>
      </c>
      <c r="E2490">
        <v>0.79187524344181104</v>
      </c>
      <c r="F2490">
        <v>0.66820162881373102</v>
      </c>
      <c r="G2490">
        <v>0.51864047055183005</v>
      </c>
      <c r="H2490">
        <v>0.44927562570914897</v>
      </c>
      <c r="I2490">
        <v>0.52334451011696004</v>
      </c>
      <c r="J2490">
        <v>0.48616682832075397</v>
      </c>
      <c r="K2490">
        <v>0.35476732309824399</v>
      </c>
      <c r="L2490">
        <v>712.70014687500702</v>
      </c>
      <c r="M2490">
        <v>13.7529843034348</v>
      </c>
      <c r="N2490">
        <v>59.372761297373003</v>
      </c>
      <c r="O2490">
        <v>50.762701166228403</v>
      </c>
      <c r="P2490">
        <v>-3.97614581916204E-2</v>
      </c>
      <c r="Q2490">
        <v>0.41304004756242602</v>
      </c>
      <c r="R2490">
        <v>0.96892011012747004</v>
      </c>
      <c r="S2490" t="s">
        <v>8775</v>
      </c>
      <c r="T2490" t="s">
        <v>12568</v>
      </c>
      <c r="U2490" t="s">
        <v>12568</v>
      </c>
      <c r="V2490" t="s">
        <v>12568</v>
      </c>
      <c r="W2490" t="s">
        <v>15023</v>
      </c>
      <c r="X2490">
        <v>13</v>
      </c>
      <c r="Y2490" t="s">
        <v>19351</v>
      </c>
      <c r="Z2490" t="s">
        <v>27360</v>
      </c>
      <c r="AA2490">
        <v>0.65937850650588159</v>
      </c>
      <c r="AB2490" t="str">
        <f>HYPERLINK("Melting_Curves/meltCurve_P60660_2_MYL6.pdf", "Melting_Curves/meltCurve_P60660_2_MYL6.pdf")</f>
        <v>Melting_Curves/meltCurve_P60660_2_MYL6.pdf</v>
      </c>
    </row>
    <row r="2491" spans="1:28" x14ac:dyDescent="0.25">
      <c r="A2491" t="s">
        <v>2495</v>
      </c>
      <c r="B2491">
        <v>0.99352677808782597</v>
      </c>
      <c r="C2491">
        <v>0.96424104691304302</v>
      </c>
      <c r="D2491">
        <v>0.92736607844274299</v>
      </c>
      <c r="E2491">
        <v>0.58058052426000195</v>
      </c>
      <c r="F2491">
        <v>0.57884640187748904</v>
      </c>
      <c r="G2491">
        <v>0.19925208716043499</v>
      </c>
      <c r="H2491">
        <v>0.13748624889074201</v>
      </c>
      <c r="I2491">
        <v>0.12470301171408101</v>
      </c>
      <c r="J2491">
        <v>0.114663739154543</v>
      </c>
      <c r="K2491">
        <v>6.95572626244471E-2</v>
      </c>
      <c r="L2491">
        <v>791.21287421075294</v>
      </c>
      <c r="M2491">
        <v>15.192695412075899</v>
      </c>
      <c r="N2491">
        <v>52.5202901795369</v>
      </c>
      <c r="O2491">
        <v>51.201231513393203</v>
      </c>
      <c r="P2491">
        <v>-6.9738335750379896E-2</v>
      </c>
      <c r="Q2491">
        <v>5.9983638175503298E-2</v>
      </c>
      <c r="R2491">
        <v>0.979845192725323</v>
      </c>
      <c r="S2491" t="s">
        <v>8776</v>
      </c>
      <c r="T2491" t="s">
        <v>12568</v>
      </c>
      <c r="U2491" t="s">
        <v>12568</v>
      </c>
      <c r="V2491" t="s">
        <v>12568</v>
      </c>
      <c r="W2491" t="s">
        <v>15024</v>
      </c>
      <c r="X2491">
        <v>37</v>
      </c>
      <c r="Y2491" t="s">
        <v>21194</v>
      </c>
      <c r="Z2491" t="s">
        <v>27361</v>
      </c>
      <c r="AA2491">
        <v>0.4590038664416291</v>
      </c>
      <c r="AB2491" t="str">
        <f>HYPERLINK("Melting_Curves/meltCurve_P60709_ACTB.pdf", "Melting_Curves/meltCurve_P60709_ACTB.pdf")</f>
        <v>Melting_Curves/meltCurve_P60709_ACTB.pdf</v>
      </c>
    </row>
    <row r="2492" spans="1:28" x14ac:dyDescent="0.25">
      <c r="A2492" t="s">
        <v>2496</v>
      </c>
      <c r="B2492">
        <v>0.99352677808782597</v>
      </c>
      <c r="C2492">
        <v>0.90988343748629197</v>
      </c>
      <c r="D2492">
        <v>0.93288470870446505</v>
      </c>
      <c r="E2492">
        <v>0.34172862560931899</v>
      </c>
      <c r="F2492">
        <v>0.27273857358903097</v>
      </c>
      <c r="G2492">
        <v>0.12769984580305199</v>
      </c>
      <c r="H2492">
        <v>7.0209847958679905E-2</v>
      </c>
      <c r="I2492">
        <v>5.6297796124685801E-2</v>
      </c>
      <c r="J2492">
        <v>4.0884734188540599E-2</v>
      </c>
      <c r="K2492">
        <v>3.8195731222830501E-2</v>
      </c>
      <c r="L2492">
        <v>1237.8353720674199</v>
      </c>
      <c r="M2492">
        <v>25.2314232425047</v>
      </c>
      <c r="N2492">
        <v>49.333319664972798</v>
      </c>
      <c r="O2492">
        <v>48.754244442296603</v>
      </c>
      <c r="P2492">
        <v>-0.12092213665128999</v>
      </c>
      <c r="Q2492">
        <v>6.5389539775052699E-2</v>
      </c>
      <c r="R2492">
        <v>0.98152272814596497</v>
      </c>
      <c r="S2492" t="s">
        <v>8777</v>
      </c>
      <c r="T2492" t="s">
        <v>12568</v>
      </c>
      <c r="U2492" t="s">
        <v>12568</v>
      </c>
      <c r="V2492" t="s">
        <v>12568</v>
      </c>
      <c r="W2492" t="s">
        <v>15025</v>
      </c>
      <c r="X2492">
        <v>9</v>
      </c>
      <c r="Y2492" t="s">
        <v>21195</v>
      </c>
      <c r="Z2492" t="s">
        <v>27362</v>
      </c>
      <c r="AA2492">
        <v>0.35574897894752261</v>
      </c>
      <c r="AB2492" t="str">
        <f>HYPERLINK("Melting_Curves/meltCurve_P60763_RAC3.pdf", "Melting_Curves/meltCurve_P60763_RAC3.pdf")</f>
        <v>Melting_Curves/meltCurve_P60763_RAC3.pdf</v>
      </c>
    </row>
    <row r="2493" spans="1:28" x14ac:dyDescent="0.25">
      <c r="A2493" t="s">
        <v>2497</v>
      </c>
      <c r="B2493">
        <v>0.99352677808782597</v>
      </c>
      <c r="C2493">
        <v>0.82054072198551997</v>
      </c>
      <c r="D2493">
        <v>1.00542029699126</v>
      </c>
      <c r="E2493">
        <v>0.29083863135292598</v>
      </c>
      <c r="F2493">
        <v>0.21406275828943599</v>
      </c>
      <c r="G2493">
        <v>0.115395682450387</v>
      </c>
      <c r="H2493">
        <v>7.6673024030583098E-2</v>
      </c>
      <c r="I2493">
        <v>7.3179831037487E-2</v>
      </c>
      <c r="J2493">
        <v>6.0353246871215301E-2</v>
      </c>
      <c r="K2493">
        <v>4.3895477113226E-2</v>
      </c>
      <c r="L2493">
        <v>2525.4497221024899</v>
      </c>
      <c r="M2493">
        <v>51.672075994228599</v>
      </c>
      <c r="N2493">
        <v>49.068097872262399</v>
      </c>
      <c r="O2493">
        <v>48.801517887189</v>
      </c>
      <c r="P2493">
        <v>-0.240302091429513</v>
      </c>
      <c r="Q2493">
        <v>9.2190692019555098E-2</v>
      </c>
      <c r="R2493">
        <v>0.96620636112667102</v>
      </c>
      <c r="S2493" t="s">
        <v>8778</v>
      </c>
      <c r="T2493" t="s">
        <v>12568</v>
      </c>
      <c r="U2493" t="s">
        <v>12568</v>
      </c>
      <c r="V2493" t="s">
        <v>12568</v>
      </c>
      <c r="W2493" t="s">
        <v>15026</v>
      </c>
      <c r="X2493">
        <v>29</v>
      </c>
      <c r="Y2493" t="s">
        <v>21196</v>
      </c>
      <c r="Z2493" t="s">
        <v>27363</v>
      </c>
      <c r="AA2493">
        <v>0.36256952144528493</v>
      </c>
      <c r="AB2493" t="str">
        <f>HYPERLINK("Melting_Curves/meltCurve_P60842_EIF4A1.pdf", "Melting_Curves/meltCurve_P60842_EIF4A1.pdf")</f>
        <v>Melting_Curves/meltCurve_P60842_EIF4A1.pdf</v>
      </c>
    </row>
    <row r="2494" spans="1:28" x14ac:dyDescent="0.25">
      <c r="A2494" t="s">
        <v>2498</v>
      </c>
      <c r="B2494">
        <v>0.99352677808782597</v>
      </c>
      <c r="C2494">
        <v>0.89913870529194695</v>
      </c>
      <c r="D2494">
        <v>0.84946460660449397</v>
      </c>
      <c r="E2494">
        <v>0.30500533837182903</v>
      </c>
      <c r="F2494">
        <v>0.23149873830685899</v>
      </c>
      <c r="G2494">
        <v>0.13741653908918999</v>
      </c>
      <c r="H2494">
        <v>9.1927422546570603E-2</v>
      </c>
      <c r="I2494">
        <v>6.87237424658865E-2</v>
      </c>
      <c r="J2494">
        <v>7.4758811995358901E-2</v>
      </c>
      <c r="K2494">
        <v>6.2419697034150998E-2</v>
      </c>
      <c r="L2494">
        <v>1207.0243855389001</v>
      </c>
      <c r="M2494">
        <v>24.9773699375578</v>
      </c>
      <c r="N2494">
        <v>48.6883180750254</v>
      </c>
      <c r="O2494">
        <v>48.018145373424296</v>
      </c>
      <c r="P2494">
        <v>-0.118978668014429</v>
      </c>
      <c r="Q2494">
        <v>8.5082448366626401E-2</v>
      </c>
      <c r="R2494">
        <v>0.98869772028716796</v>
      </c>
      <c r="S2494" t="s">
        <v>8779</v>
      </c>
      <c r="T2494" t="s">
        <v>12568</v>
      </c>
      <c r="U2494" t="s">
        <v>12568</v>
      </c>
      <c r="V2494" t="s">
        <v>12568</v>
      </c>
      <c r="W2494" t="s">
        <v>15027</v>
      </c>
      <c r="X2494">
        <v>9</v>
      </c>
      <c r="Y2494" t="s">
        <v>21197</v>
      </c>
      <c r="Z2494" t="s">
        <v>27364</v>
      </c>
      <c r="AA2494">
        <v>0.34706424686819642</v>
      </c>
      <c r="AB2494" t="str">
        <f>HYPERLINK("Melting_Curves/meltCurve_P60866_RPS20.pdf", "Melting_Curves/meltCurve_P60866_RPS20.pdf")</f>
        <v>Melting_Curves/meltCurve_P60866_RPS20.pdf</v>
      </c>
    </row>
    <row r="2495" spans="1:28" x14ac:dyDescent="0.25">
      <c r="A2495" t="s">
        <v>2499</v>
      </c>
      <c r="B2495">
        <v>0.99352677808782597</v>
      </c>
      <c r="C2495">
        <v>0.96096079416337399</v>
      </c>
      <c r="D2495">
        <v>0.96825693124733303</v>
      </c>
      <c r="E2495">
        <v>0.84380821014153495</v>
      </c>
      <c r="F2495">
        <v>0.79898070254796205</v>
      </c>
      <c r="G2495">
        <v>0.72429856134428805</v>
      </c>
      <c r="H2495">
        <v>0.61469687301008302</v>
      </c>
      <c r="I2495">
        <v>0.67031048507989299</v>
      </c>
      <c r="J2495">
        <v>0.68665217791995703</v>
      </c>
      <c r="K2495">
        <v>0.57387765941027302</v>
      </c>
      <c r="L2495">
        <v>666.21848266878101</v>
      </c>
      <c r="M2495">
        <v>12.697865361839099</v>
      </c>
      <c r="O2495">
        <v>51.216725259468802</v>
      </c>
      <c r="P2495">
        <v>-2.4396697740976699E-2</v>
      </c>
      <c r="Q2495">
        <v>0.60646074504312497</v>
      </c>
      <c r="R2495">
        <v>0.951906123825075</v>
      </c>
      <c r="S2495" t="s">
        <v>8780</v>
      </c>
      <c r="T2495" t="s">
        <v>12568</v>
      </c>
      <c r="U2495" t="s">
        <v>12568</v>
      </c>
      <c r="V2495" t="s">
        <v>12568</v>
      </c>
      <c r="W2495" t="s">
        <v>15028</v>
      </c>
      <c r="X2495">
        <v>4</v>
      </c>
      <c r="Y2495" t="s">
        <v>21198</v>
      </c>
      <c r="Z2495" t="s">
        <v>27365</v>
      </c>
      <c r="AA2495">
        <v>0.78087213744391781</v>
      </c>
      <c r="AB2495" t="str">
        <f>HYPERLINK("Melting_Curves/meltCurve_P60880_2_SNAP25.pdf", "Melting_Curves/meltCurve_P60880_2_SNAP25.pdf")</f>
        <v>Melting_Curves/meltCurve_P60880_2_SNAP25.pdf</v>
      </c>
    </row>
    <row r="2496" spans="1:28" x14ac:dyDescent="0.25">
      <c r="A2496" t="s">
        <v>2500</v>
      </c>
      <c r="B2496">
        <v>0.99352677808782597</v>
      </c>
      <c r="C2496">
        <v>1.0335476843990601</v>
      </c>
      <c r="D2496">
        <v>1.0014321415191401</v>
      </c>
      <c r="E2496">
        <v>1.9565401313545601</v>
      </c>
      <c r="F2496">
        <v>1.69165995196778</v>
      </c>
      <c r="G2496">
        <v>0.97544110219753299</v>
      </c>
      <c r="H2496">
        <v>0.29149557535614901</v>
      </c>
      <c r="I2496">
        <v>0.15988304163644099</v>
      </c>
      <c r="J2496">
        <v>0.107593768849229</v>
      </c>
      <c r="K2496">
        <v>7.5759901563784204E-2</v>
      </c>
      <c r="L2496">
        <v>4161.5764719437102</v>
      </c>
      <c r="M2496">
        <v>69.559906895825705</v>
      </c>
      <c r="N2496">
        <v>60.041788693238402</v>
      </c>
      <c r="O2496">
        <v>59.777838474630798</v>
      </c>
      <c r="P2496">
        <v>-0.25889749875277701</v>
      </c>
      <c r="Q2496">
        <v>0.110043125424021</v>
      </c>
      <c r="R2496">
        <v>0.64709163335080799</v>
      </c>
      <c r="S2496" t="s">
        <v>8781</v>
      </c>
      <c r="T2496" t="s">
        <v>12568</v>
      </c>
      <c r="U2496" t="s">
        <v>12568</v>
      </c>
      <c r="V2496" t="s">
        <v>12568</v>
      </c>
      <c r="W2496" t="s">
        <v>15029</v>
      </c>
      <c r="X2496">
        <v>14</v>
      </c>
      <c r="Y2496" t="s">
        <v>21199</v>
      </c>
      <c r="Z2496" t="s">
        <v>27366</v>
      </c>
      <c r="AA2496">
        <v>0.69943113159723191</v>
      </c>
      <c r="AB2496" t="str">
        <f>HYPERLINK("Melting_Curves/meltCurve_P60891_PRPS1.pdf", "Melting_Curves/meltCurve_P60891_PRPS1.pdf")</f>
        <v>Melting_Curves/meltCurve_P60891_PRPS1.pdf</v>
      </c>
    </row>
    <row r="2497" spans="1:28" x14ac:dyDescent="0.25">
      <c r="A2497" t="s">
        <v>2501</v>
      </c>
      <c r="B2497">
        <v>0.99352677808782597</v>
      </c>
      <c r="C2497">
        <v>1.0218982351685399</v>
      </c>
      <c r="D2497">
        <v>0.86178357256187099</v>
      </c>
      <c r="E2497">
        <v>1.4498663550993101</v>
      </c>
      <c r="F2497">
        <v>1.09981172716489</v>
      </c>
      <c r="G2497">
        <v>1.2077498290267801</v>
      </c>
      <c r="H2497">
        <v>1.7648306244379399</v>
      </c>
      <c r="I2497">
        <v>1.5621586773065199</v>
      </c>
      <c r="J2497">
        <v>2.1686663675965501</v>
      </c>
      <c r="K2497">
        <v>1.9330651553768099</v>
      </c>
      <c r="L2497">
        <v>1045.5826787865001</v>
      </c>
      <c r="M2497">
        <v>20.161231761595499</v>
      </c>
      <c r="O2497">
        <v>51.358906171207003</v>
      </c>
      <c r="P2497">
        <v>4.9070999623236203E-2</v>
      </c>
      <c r="Q2497">
        <v>1.5</v>
      </c>
      <c r="R2497">
        <v>0.46779620872182498</v>
      </c>
      <c r="S2497" t="s">
        <v>8782</v>
      </c>
      <c r="T2497" t="s">
        <v>12568</v>
      </c>
      <c r="U2497" t="s">
        <v>12568</v>
      </c>
      <c r="V2497" t="s">
        <v>12568</v>
      </c>
      <c r="W2497" t="s">
        <v>15030</v>
      </c>
      <c r="X2497">
        <v>19</v>
      </c>
      <c r="Y2497" t="s">
        <v>21200</v>
      </c>
      <c r="Z2497" t="s">
        <v>27367</v>
      </c>
      <c r="AA2497">
        <v>1.295492296419628</v>
      </c>
      <c r="AB2497" t="str">
        <f>HYPERLINK("Melting_Curves/meltCurve_P60900_PSMA6.pdf", "Melting_Curves/meltCurve_P60900_PSMA6.pdf")</f>
        <v>Melting_Curves/meltCurve_P60900_PSMA6.pdf</v>
      </c>
    </row>
    <row r="2498" spans="1:28" x14ac:dyDescent="0.25">
      <c r="A2498" t="s">
        <v>2502</v>
      </c>
      <c r="B2498">
        <v>0.99352677808782597</v>
      </c>
      <c r="C2498">
        <v>0.84875352098018797</v>
      </c>
      <c r="D2498">
        <v>0.92764768897992</v>
      </c>
      <c r="E2498">
        <v>0.58725351257148894</v>
      </c>
      <c r="F2498">
        <v>0.51599304450679895</v>
      </c>
      <c r="G2498">
        <v>0.196773338218276</v>
      </c>
      <c r="H2498">
        <v>0.16308217351820101</v>
      </c>
      <c r="I2498">
        <v>0.15346236449981801</v>
      </c>
      <c r="J2498">
        <v>0.14870889114783301</v>
      </c>
      <c r="K2498">
        <v>0.10974744722801499</v>
      </c>
      <c r="L2498">
        <v>764.82443798482802</v>
      </c>
      <c r="M2498">
        <v>14.910582315775599</v>
      </c>
      <c r="N2498">
        <v>52.045727718588097</v>
      </c>
      <c r="O2498">
        <v>50.3979561843475</v>
      </c>
      <c r="P2498">
        <v>-6.6806446787216298E-2</v>
      </c>
      <c r="Q2498">
        <v>9.6866885171202705E-2</v>
      </c>
      <c r="R2498">
        <v>0.97531438870012099</v>
      </c>
      <c r="S2498" t="s">
        <v>8783</v>
      </c>
      <c r="T2498" t="s">
        <v>12568</v>
      </c>
      <c r="U2498" t="s">
        <v>12568</v>
      </c>
      <c r="V2498" t="s">
        <v>12568</v>
      </c>
      <c r="W2498" t="s">
        <v>15031</v>
      </c>
      <c r="X2498">
        <v>10</v>
      </c>
      <c r="Y2498" t="s">
        <v>21201</v>
      </c>
      <c r="Z2498" t="s">
        <v>27368</v>
      </c>
      <c r="AA2498">
        <v>0.45774124826573143</v>
      </c>
      <c r="AB2498" t="str">
        <f>HYPERLINK("Melting_Curves/meltCurve_P60903_S100A10.pdf", "Melting_Curves/meltCurve_P60903_S100A10.pdf")</f>
        <v>Melting_Curves/meltCurve_P60903_S100A10.pdf</v>
      </c>
    </row>
    <row r="2499" spans="1:28" x14ac:dyDescent="0.25">
      <c r="A2499" t="s">
        <v>2503</v>
      </c>
      <c r="B2499">
        <v>0.99352677808782597</v>
      </c>
      <c r="C2499">
        <v>0.78148554263724601</v>
      </c>
      <c r="D2499">
        <v>1.0626402129605099</v>
      </c>
      <c r="E2499">
        <v>0.75739283515637601</v>
      </c>
      <c r="F2499">
        <v>0.71325368349859097</v>
      </c>
      <c r="G2499">
        <v>0.195785642459992</v>
      </c>
      <c r="H2499">
        <v>9.9417937381866897E-2</v>
      </c>
      <c r="I2499">
        <v>8.5259190673576096E-2</v>
      </c>
      <c r="J2499">
        <v>6.9230381086335196E-2</v>
      </c>
      <c r="K2499">
        <v>5.59015362125624E-2</v>
      </c>
      <c r="L2499">
        <v>1255.82324759669</v>
      </c>
      <c r="M2499">
        <v>23.2923412247602</v>
      </c>
      <c r="N2499">
        <v>54.144600500990698</v>
      </c>
      <c r="O2499">
        <v>53.523027707719002</v>
      </c>
      <c r="P2499">
        <v>-0.103696955040945</v>
      </c>
      <c r="Q2499">
        <v>4.68840441597657E-2</v>
      </c>
      <c r="R2499">
        <v>0.94951229859672404</v>
      </c>
      <c r="S2499" t="s">
        <v>8784</v>
      </c>
      <c r="T2499" t="s">
        <v>12568</v>
      </c>
      <c r="U2499" t="s">
        <v>12568</v>
      </c>
      <c r="V2499" t="s">
        <v>12568</v>
      </c>
      <c r="W2499" t="s">
        <v>15032</v>
      </c>
      <c r="X2499">
        <v>9</v>
      </c>
      <c r="Y2499" t="s">
        <v>21202</v>
      </c>
      <c r="Z2499" t="s">
        <v>27369</v>
      </c>
      <c r="AA2499">
        <v>0.49900812621143492</v>
      </c>
      <c r="AB2499" t="str">
        <f>HYPERLINK("Melting_Curves/meltCurve_P60953_CDC42.pdf", "Melting_Curves/meltCurve_P60953_CDC42.pdf")</f>
        <v>Melting_Curves/meltCurve_P60953_CDC42.pdf</v>
      </c>
    </row>
    <row r="2500" spans="1:28" x14ac:dyDescent="0.25">
      <c r="A2500" t="s">
        <v>2504</v>
      </c>
      <c r="B2500">
        <v>0.99352677808782597</v>
      </c>
      <c r="C2500">
        <v>0.969161977613056</v>
      </c>
      <c r="D2500">
        <v>1.0461331218082499</v>
      </c>
      <c r="E2500">
        <v>0.664554918116528</v>
      </c>
      <c r="F2500">
        <v>0.61829313022307297</v>
      </c>
      <c r="G2500">
        <v>0.27575481545413599</v>
      </c>
      <c r="H2500">
        <v>0.175011508885834</v>
      </c>
      <c r="I2500">
        <v>0.22300108891188899</v>
      </c>
      <c r="J2500">
        <v>0.108910458211621</v>
      </c>
      <c r="K2500">
        <v>0.13062531480285799</v>
      </c>
      <c r="L2500">
        <v>951.441256347695</v>
      </c>
      <c r="M2500">
        <v>18.028875166532099</v>
      </c>
      <c r="N2500">
        <v>53.620280119426397</v>
      </c>
      <c r="O2500">
        <v>52.136771631935702</v>
      </c>
      <c r="P2500">
        <v>-7.5740382832583206E-2</v>
      </c>
      <c r="Q2500">
        <v>0.123924237925518</v>
      </c>
      <c r="R2500">
        <v>0.97510561944737395</v>
      </c>
      <c r="S2500" t="s">
        <v>8785</v>
      </c>
      <c r="T2500" t="s">
        <v>12568</v>
      </c>
      <c r="U2500" t="s">
        <v>12568</v>
      </c>
      <c r="V2500" t="s">
        <v>12568</v>
      </c>
      <c r="W2500" t="s">
        <v>15033</v>
      </c>
      <c r="X2500">
        <v>7</v>
      </c>
      <c r="Y2500" t="s">
        <v>21202</v>
      </c>
      <c r="Z2500" t="s">
        <v>27370</v>
      </c>
      <c r="AA2500">
        <v>0.51130071139399225</v>
      </c>
      <c r="AB2500" t="str">
        <f>HYPERLINK("Melting_Curves/meltCurve_P60953_1_CDC42.pdf", "Melting_Curves/meltCurve_P60953_1_CDC42.pdf")</f>
        <v>Melting_Curves/meltCurve_P60953_1_CDC42.pdf</v>
      </c>
    </row>
    <row r="2501" spans="1:28" x14ac:dyDescent="0.25">
      <c r="A2501" t="s">
        <v>2505</v>
      </c>
      <c r="B2501">
        <v>0.99352677808782597</v>
      </c>
      <c r="C2501">
        <v>0.87500021517966897</v>
      </c>
      <c r="D2501">
        <v>0.94920175075000501</v>
      </c>
      <c r="E2501">
        <v>0.58570583380091001</v>
      </c>
      <c r="F2501">
        <v>0.53412925627343699</v>
      </c>
      <c r="G2501">
        <v>0.189345826500665</v>
      </c>
      <c r="H2501">
        <v>0.11105850045976</v>
      </c>
      <c r="I2501">
        <v>9.6480390752965703E-2</v>
      </c>
      <c r="J2501">
        <v>8.3795432725496999E-2</v>
      </c>
      <c r="K2501">
        <v>6.5654183729804194E-2</v>
      </c>
      <c r="L2501">
        <v>783.39291030095796</v>
      </c>
      <c r="M2501">
        <v>15.077348474975301</v>
      </c>
      <c r="N2501">
        <v>52.230194122144901</v>
      </c>
      <c r="O2501">
        <v>51.069955529863698</v>
      </c>
      <c r="P2501">
        <v>-7.1028306470651406E-2</v>
      </c>
      <c r="Q2501">
        <v>3.7747691743712397E-2</v>
      </c>
      <c r="R2501">
        <v>0.979222905517249</v>
      </c>
      <c r="S2501" t="s">
        <v>8786</v>
      </c>
      <c r="T2501" t="s">
        <v>12568</v>
      </c>
      <c r="U2501" t="s">
        <v>12568</v>
      </c>
      <c r="V2501" t="s">
        <v>12568</v>
      </c>
      <c r="W2501" t="s">
        <v>15034</v>
      </c>
      <c r="X2501">
        <v>16</v>
      </c>
      <c r="Y2501" t="s">
        <v>21203</v>
      </c>
      <c r="Z2501" t="s">
        <v>27371</v>
      </c>
      <c r="AA2501">
        <v>0.44268443051059431</v>
      </c>
      <c r="AB2501" t="str">
        <f>HYPERLINK("Melting_Curves/meltCurve_P60981_DSTN.pdf", "Melting_Curves/meltCurve_P60981_DSTN.pdf")</f>
        <v>Melting_Curves/meltCurve_P60981_DSTN.pdf</v>
      </c>
    </row>
    <row r="2502" spans="1:28" x14ac:dyDescent="0.25">
      <c r="A2502" t="s">
        <v>2506</v>
      </c>
      <c r="B2502">
        <v>0.99352677808782597</v>
      </c>
      <c r="C2502">
        <v>0.95884929079673797</v>
      </c>
      <c r="D2502">
        <v>1.00333127216478</v>
      </c>
      <c r="E2502">
        <v>0.912298652587751</v>
      </c>
      <c r="F2502">
        <v>0.95828311222968598</v>
      </c>
      <c r="G2502">
        <v>0.95116553619766797</v>
      </c>
      <c r="H2502">
        <v>0.86890909092006596</v>
      </c>
      <c r="I2502">
        <v>0.98670259511994396</v>
      </c>
      <c r="J2502">
        <v>0.93826886846588897</v>
      </c>
      <c r="K2502">
        <v>0.832697791152468</v>
      </c>
      <c r="L2502">
        <v>195.86327922978001</v>
      </c>
      <c r="M2502">
        <v>0.72561825486452003</v>
      </c>
      <c r="Q2502">
        <v>0</v>
      </c>
      <c r="R2502">
        <v>0.36976946117700998</v>
      </c>
      <c r="S2502" t="s">
        <v>8787</v>
      </c>
      <c r="T2502" t="s">
        <v>12568</v>
      </c>
      <c r="U2502" t="s">
        <v>12568</v>
      </c>
      <c r="V2502" t="s">
        <v>12568</v>
      </c>
      <c r="W2502" t="s">
        <v>15035</v>
      </c>
      <c r="X2502">
        <v>11</v>
      </c>
      <c r="Y2502" t="s">
        <v>21204</v>
      </c>
      <c r="Z2502" t="s">
        <v>27372</v>
      </c>
      <c r="AA2502">
        <v>0.94187123785685434</v>
      </c>
      <c r="AB2502" t="str">
        <f>HYPERLINK("Melting_Curves/meltCurve_P60983_GMFB.pdf", "Melting_Curves/meltCurve_P60983_GMFB.pdf")</f>
        <v>Melting_Curves/meltCurve_P60983_GMFB.pdf</v>
      </c>
    </row>
    <row r="2503" spans="1:28" x14ac:dyDescent="0.25">
      <c r="A2503" t="s">
        <v>2507</v>
      </c>
      <c r="B2503">
        <v>0.99352677808782597</v>
      </c>
      <c r="C2503">
        <v>0.98510577594615401</v>
      </c>
      <c r="D2503">
        <v>1.0278783585939699</v>
      </c>
      <c r="E2503">
        <v>0.85036495710248505</v>
      </c>
      <c r="F2503">
        <v>0.76762393869857504</v>
      </c>
      <c r="G2503">
        <v>0.557040455424193</v>
      </c>
      <c r="H2503">
        <v>0.34312355707845899</v>
      </c>
      <c r="I2503">
        <v>0.227908479323294</v>
      </c>
      <c r="J2503">
        <v>0.12395898419298</v>
      </c>
      <c r="K2503">
        <v>0.103892481230741</v>
      </c>
      <c r="L2503">
        <v>755.31185685858804</v>
      </c>
      <c r="M2503">
        <v>13.0509690557159</v>
      </c>
      <c r="N2503">
        <v>57.874005671688899</v>
      </c>
      <c r="O2503">
        <v>56.565813272222101</v>
      </c>
      <c r="P2503">
        <v>-5.7690519448341901E-2</v>
      </c>
      <c r="Q2503">
        <v>0</v>
      </c>
      <c r="R2503">
        <v>0.99546954662897902</v>
      </c>
      <c r="S2503" t="s">
        <v>8788</v>
      </c>
      <c r="T2503" t="s">
        <v>12568</v>
      </c>
      <c r="U2503" t="s">
        <v>12568</v>
      </c>
      <c r="V2503" t="s">
        <v>12568</v>
      </c>
      <c r="W2503" t="s">
        <v>15036</v>
      </c>
      <c r="X2503">
        <v>9</v>
      </c>
      <c r="Y2503" t="s">
        <v>21205</v>
      </c>
      <c r="Z2503" t="s">
        <v>27373</v>
      </c>
      <c r="AA2503">
        <v>0.60955746962368829</v>
      </c>
      <c r="AB2503" t="str">
        <f>HYPERLINK("Melting_Curves/meltCurve_P61006_RAB8A.pdf", "Melting_Curves/meltCurve_P61006_RAB8A.pdf")</f>
        <v>Melting_Curves/meltCurve_P61006_RAB8A.pdf</v>
      </c>
    </row>
    <row r="2504" spans="1:28" x14ac:dyDescent="0.25">
      <c r="A2504" t="s">
        <v>2508</v>
      </c>
      <c r="B2504">
        <v>0.99352677808782597</v>
      </c>
      <c r="C2504">
        <v>0.95317294533270702</v>
      </c>
      <c r="D2504">
        <v>0.77429140311967903</v>
      </c>
      <c r="E2504">
        <v>0.38495083214334902</v>
      </c>
      <c r="F2504">
        <v>0.30619591124776802</v>
      </c>
      <c r="G2504">
        <v>0.15994679444559501</v>
      </c>
      <c r="H2504">
        <v>0.10212035177465301</v>
      </c>
      <c r="I2504">
        <v>9.2426768235738505E-2</v>
      </c>
      <c r="J2504">
        <v>6.9664576069839598E-2</v>
      </c>
      <c r="K2504">
        <v>5.1814519028100199E-2</v>
      </c>
      <c r="L2504">
        <v>860.70944707967203</v>
      </c>
      <c r="M2504">
        <v>17.634809615461599</v>
      </c>
      <c r="N2504">
        <v>49.248123825399396</v>
      </c>
      <c r="O2504">
        <v>48.1927698281266</v>
      </c>
      <c r="P2504">
        <v>-8.4807584206549297E-2</v>
      </c>
      <c r="Q2504">
        <v>7.2993911201703607E-2</v>
      </c>
      <c r="R2504">
        <v>0.99396756969193101</v>
      </c>
      <c r="S2504" t="s">
        <v>8789</v>
      </c>
      <c r="T2504" t="s">
        <v>12568</v>
      </c>
      <c r="U2504" t="s">
        <v>12568</v>
      </c>
      <c r="V2504" t="s">
        <v>12568</v>
      </c>
      <c r="W2504" t="s">
        <v>15037</v>
      </c>
      <c r="X2504">
        <v>10</v>
      </c>
      <c r="Y2504" t="s">
        <v>21206</v>
      </c>
      <c r="Z2504" t="s">
        <v>27374</v>
      </c>
      <c r="AA2504">
        <v>0.36193935035627572</v>
      </c>
      <c r="AB2504" t="str">
        <f>HYPERLINK("Melting_Curves/meltCurve_P61011_SRP54.pdf", "Melting_Curves/meltCurve_P61011_SRP54.pdf")</f>
        <v>Melting_Curves/meltCurve_P61011_SRP54.pdf</v>
      </c>
    </row>
    <row r="2505" spans="1:28" x14ac:dyDescent="0.25">
      <c r="A2505" t="s">
        <v>2509</v>
      </c>
      <c r="B2505">
        <v>0.99352677808782597</v>
      </c>
      <c r="C2505">
        <v>1.00653886516921</v>
      </c>
      <c r="D2505">
        <v>1.0102632626010699</v>
      </c>
      <c r="E2505">
        <v>0.90096541041017097</v>
      </c>
      <c r="F2505">
        <v>0.81918548667817304</v>
      </c>
      <c r="G2505">
        <v>0.72376046132298899</v>
      </c>
      <c r="H2505">
        <v>0.44566686888651602</v>
      </c>
      <c r="I2505">
        <v>0.24262653610363999</v>
      </c>
      <c r="J2505">
        <v>0.10253123019468401</v>
      </c>
      <c r="K2505">
        <v>7.71700608179655E-2</v>
      </c>
      <c r="L2505">
        <v>949.93888966214399</v>
      </c>
      <c r="M2505">
        <v>15.9192966547333</v>
      </c>
      <c r="N2505">
        <v>59.672164794431303</v>
      </c>
      <c r="O2505">
        <v>58.754357892138898</v>
      </c>
      <c r="P2505">
        <v>-6.7742081372158799E-2</v>
      </c>
      <c r="Q2505">
        <v>0</v>
      </c>
      <c r="R2505">
        <v>0.99017944167944805</v>
      </c>
      <c r="S2505" t="s">
        <v>8790</v>
      </c>
      <c r="T2505" t="s">
        <v>12568</v>
      </c>
      <c r="U2505" t="s">
        <v>12568</v>
      </c>
      <c r="V2505" t="s">
        <v>12568</v>
      </c>
      <c r="W2505" t="s">
        <v>15038</v>
      </c>
      <c r="X2505">
        <v>14</v>
      </c>
      <c r="Y2505" t="s">
        <v>21207</v>
      </c>
      <c r="Z2505" t="s">
        <v>27375</v>
      </c>
      <c r="AA2505">
        <v>0.66437635998621747</v>
      </c>
      <c r="AB2505" t="str">
        <f>HYPERLINK("Melting_Curves/meltCurve_P61019_RAB2A.pdf", "Melting_Curves/meltCurve_P61019_RAB2A.pdf")</f>
        <v>Melting_Curves/meltCurve_P61019_RAB2A.pdf</v>
      </c>
    </row>
    <row r="2506" spans="1:28" x14ac:dyDescent="0.25">
      <c r="A2506" t="s">
        <v>2510</v>
      </c>
      <c r="B2506">
        <v>0.99352677808782597</v>
      </c>
      <c r="C2506">
        <v>1.0352812020115101</v>
      </c>
      <c r="D2506">
        <v>1.00690552625274</v>
      </c>
      <c r="E2506">
        <v>0.862349961092016</v>
      </c>
      <c r="F2506">
        <v>0.75745790986283401</v>
      </c>
      <c r="G2506">
        <v>0.58981080407925002</v>
      </c>
      <c r="H2506">
        <v>0.28021890839609798</v>
      </c>
      <c r="I2506">
        <v>0.20496570842547901</v>
      </c>
      <c r="J2506">
        <v>0.122079947564409</v>
      </c>
      <c r="K2506">
        <v>7.8625587328090996E-2</v>
      </c>
      <c r="L2506">
        <v>814.613694089521</v>
      </c>
      <c r="M2506">
        <v>14.1250647402269</v>
      </c>
      <c r="N2506">
        <v>57.671501678293502</v>
      </c>
      <c r="O2506">
        <v>56.552487348759698</v>
      </c>
      <c r="P2506">
        <v>-6.2450259713648003E-2</v>
      </c>
      <c r="Q2506">
        <v>0</v>
      </c>
      <c r="R2506">
        <v>0.99391991585265105</v>
      </c>
      <c r="S2506" t="s">
        <v>8791</v>
      </c>
      <c r="T2506" t="s">
        <v>12568</v>
      </c>
      <c r="U2506" t="s">
        <v>12568</v>
      </c>
      <c r="V2506" t="s">
        <v>12568</v>
      </c>
      <c r="W2506" t="s">
        <v>15039</v>
      </c>
      <c r="X2506">
        <v>6</v>
      </c>
      <c r="Y2506" t="s">
        <v>21208</v>
      </c>
      <c r="Z2506" t="s">
        <v>27376</v>
      </c>
      <c r="AA2506">
        <v>0.6035238792798342</v>
      </c>
      <c r="AB2506" t="str">
        <f>HYPERLINK("Melting_Curves/meltCurve_P61020_RAB5B.pdf", "Melting_Curves/meltCurve_P61020_RAB5B.pdf")</f>
        <v>Melting_Curves/meltCurve_P61020_RAB5B.pdf</v>
      </c>
    </row>
    <row r="2507" spans="1:28" x14ac:dyDescent="0.25">
      <c r="A2507" t="s">
        <v>2511</v>
      </c>
      <c r="B2507">
        <v>0.99352677808782597</v>
      </c>
      <c r="C2507">
        <v>0.99277228837794496</v>
      </c>
      <c r="D2507">
        <v>1.0350740482581999</v>
      </c>
      <c r="E2507">
        <v>0.865849552718025</v>
      </c>
      <c r="F2507">
        <v>0.78768398773177295</v>
      </c>
      <c r="G2507">
        <v>0.69800048457788999</v>
      </c>
      <c r="H2507">
        <v>0.57286800451494102</v>
      </c>
      <c r="I2507">
        <v>0.62441179413955095</v>
      </c>
      <c r="J2507">
        <v>0.59308373991056795</v>
      </c>
      <c r="K2507">
        <v>0.51898143917453998</v>
      </c>
      <c r="L2507">
        <v>880.03268253894203</v>
      </c>
      <c r="M2507">
        <v>16.4294834221696</v>
      </c>
      <c r="O2507">
        <v>52.789539485471998</v>
      </c>
      <c r="P2507">
        <v>-3.47389487689291E-2</v>
      </c>
      <c r="Q2507">
        <v>0.553552970245211</v>
      </c>
      <c r="R2507">
        <v>0.96799973626687497</v>
      </c>
      <c r="S2507" t="s">
        <v>8792</v>
      </c>
      <c r="T2507" t="s">
        <v>12568</v>
      </c>
      <c r="U2507" t="s">
        <v>12568</v>
      </c>
      <c r="V2507" t="s">
        <v>12568</v>
      </c>
      <c r="W2507" t="s">
        <v>15040</v>
      </c>
      <c r="X2507">
        <v>3</v>
      </c>
      <c r="Y2507" t="s">
        <v>21209</v>
      </c>
      <c r="Z2507" t="s">
        <v>27377</v>
      </c>
      <c r="AA2507">
        <v>0.76367962401347289</v>
      </c>
      <c r="AB2507" t="str">
        <f>HYPERLINK("Melting_Curves/meltCurve_P61024_CKS1B.pdf", "Melting_Curves/meltCurve_P61024_CKS1B.pdf")</f>
        <v>Melting_Curves/meltCurve_P61024_CKS1B.pdf</v>
      </c>
    </row>
    <row r="2508" spans="1:28" x14ac:dyDescent="0.25">
      <c r="A2508" t="s">
        <v>2512</v>
      </c>
      <c r="B2508">
        <v>0.99352677808782597</v>
      </c>
      <c r="C2508">
        <v>1.02330563414831</v>
      </c>
      <c r="D2508">
        <v>0.99956262003979601</v>
      </c>
      <c r="E2508">
        <v>0.81278112835869099</v>
      </c>
      <c r="F2508">
        <v>0.69312875604739299</v>
      </c>
      <c r="G2508">
        <v>0.44617573378780101</v>
      </c>
      <c r="H2508">
        <v>0.23253450511189899</v>
      </c>
      <c r="I2508">
        <v>0.17702035804212399</v>
      </c>
      <c r="J2508">
        <v>0.111011887780259</v>
      </c>
      <c r="K2508">
        <v>7.3612833360451296E-2</v>
      </c>
      <c r="L2508">
        <v>816.48423097421698</v>
      </c>
      <c r="M2508">
        <v>14.663657300208399</v>
      </c>
      <c r="N2508">
        <v>55.9655331787676</v>
      </c>
      <c r="O2508">
        <v>54.676002265751698</v>
      </c>
      <c r="P2508">
        <v>-6.4645121186279797E-2</v>
      </c>
      <c r="Q2508">
        <v>3.5944033240495402E-2</v>
      </c>
      <c r="R2508">
        <v>0.99655202889427297</v>
      </c>
      <c r="S2508" t="s">
        <v>8793</v>
      </c>
      <c r="T2508" t="s">
        <v>12568</v>
      </c>
      <c r="U2508" t="s">
        <v>12568</v>
      </c>
      <c r="V2508" t="s">
        <v>12568</v>
      </c>
      <c r="W2508" t="s">
        <v>15041</v>
      </c>
      <c r="X2508">
        <v>10</v>
      </c>
      <c r="Y2508" t="s">
        <v>21210</v>
      </c>
      <c r="Z2508" t="s">
        <v>27378</v>
      </c>
      <c r="AA2508">
        <v>0.55782826509751637</v>
      </c>
      <c r="AB2508" t="str">
        <f>HYPERLINK("Melting_Curves/meltCurve_P61026_RAB10.pdf", "Melting_Curves/meltCurve_P61026_RAB10.pdf")</f>
        <v>Melting_Curves/meltCurve_P61026_RAB10.pdf</v>
      </c>
    </row>
    <row r="2509" spans="1:28" x14ac:dyDescent="0.25">
      <c r="A2509" t="s">
        <v>2513</v>
      </c>
      <c r="B2509">
        <v>0.99352677808782597</v>
      </c>
      <c r="C2509">
        <v>1.0042643169473799</v>
      </c>
      <c r="D2509">
        <v>1.0802063676570699</v>
      </c>
      <c r="E2509">
        <v>0.68173624952049705</v>
      </c>
      <c r="F2509">
        <v>0.60375748899895199</v>
      </c>
      <c r="G2509">
        <v>0.16119328744934699</v>
      </c>
      <c r="H2509">
        <v>7.6725104921699205E-2</v>
      </c>
      <c r="I2509">
        <v>5.7630478716076898E-2</v>
      </c>
      <c r="J2509">
        <v>3.54528792863835E-2</v>
      </c>
      <c r="K2509">
        <v>2.9770226793342101E-2</v>
      </c>
      <c r="L2509">
        <v>1121.1920512001</v>
      </c>
      <c r="M2509">
        <v>21.1160994842582</v>
      </c>
      <c r="N2509">
        <v>53.200535117202698</v>
      </c>
      <c r="O2509">
        <v>52.627232128629601</v>
      </c>
      <c r="P2509">
        <v>-9.8284343807762298E-2</v>
      </c>
      <c r="Q2509">
        <v>2.0217318475541899E-2</v>
      </c>
      <c r="R2509">
        <v>0.98046772948968897</v>
      </c>
      <c r="S2509" t="s">
        <v>8794</v>
      </c>
      <c r="T2509" t="s">
        <v>12568</v>
      </c>
      <c r="U2509" t="s">
        <v>12568</v>
      </c>
      <c r="V2509" t="s">
        <v>12568</v>
      </c>
      <c r="W2509" t="s">
        <v>15042</v>
      </c>
      <c r="X2509">
        <v>4</v>
      </c>
      <c r="Y2509" t="s">
        <v>21211</v>
      </c>
      <c r="Z2509" t="s">
        <v>27379</v>
      </c>
      <c r="AA2509">
        <v>0.4602046778836274</v>
      </c>
      <c r="AB2509" t="str">
        <f>HYPERLINK("Melting_Curves/meltCurve_P61077_UBE2D3.pdf", "Melting_Curves/meltCurve_P61077_UBE2D3.pdf")</f>
        <v>Melting_Curves/meltCurve_P61077_UBE2D3.pdf</v>
      </c>
    </row>
    <row r="2510" spans="1:28" x14ac:dyDescent="0.25">
      <c r="A2510" t="s">
        <v>2514</v>
      </c>
      <c r="B2510">
        <v>0.99352677808782597</v>
      </c>
      <c r="C2510">
        <v>0.95365563252155106</v>
      </c>
      <c r="D2510">
        <v>1.00969974691715</v>
      </c>
      <c r="E2510">
        <v>0.77819132618517906</v>
      </c>
      <c r="F2510">
        <v>0.68611731880190496</v>
      </c>
      <c r="G2510">
        <v>0.29075857236983699</v>
      </c>
      <c r="H2510">
        <v>0.127602366993326</v>
      </c>
      <c r="I2510">
        <v>0.11040972717019799</v>
      </c>
      <c r="J2510">
        <v>8.8099181883347796E-2</v>
      </c>
      <c r="K2510">
        <v>7.2650194790557898E-2</v>
      </c>
      <c r="L2510">
        <v>1065.3802136163399</v>
      </c>
      <c r="M2510">
        <v>19.677657387712301</v>
      </c>
      <c r="N2510">
        <v>54.477998160643303</v>
      </c>
      <c r="O2510">
        <v>53.591761367722498</v>
      </c>
      <c r="P2510">
        <v>-8.6546209626623502E-2</v>
      </c>
      <c r="Q2510">
        <v>5.7204274688333202E-2</v>
      </c>
      <c r="R2510">
        <v>0.99177515319548804</v>
      </c>
      <c r="S2510" t="s">
        <v>8795</v>
      </c>
      <c r="T2510" t="s">
        <v>12568</v>
      </c>
      <c r="U2510" t="s">
        <v>12568</v>
      </c>
      <c r="V2510" t="s">
        <v>12568</v>
      </c>
      <c r="W2510" t="s">
        <v>15043</v>
      </c>
      <c r="X2510">
        <v>12</v>
      </c>
      <c r="Y2510" t="s">
        <v>21212</v>
      </c>
      <c r="Z2510" t="s">
        <v>27380</v>
      </c>
      <c r="AA2510">
        <v>0.51474425271654078</v>
      </c>
      <c r="AB2510" t="str">
        <f>HYPERLINK("Melting_Curves/meltCurve_P61081_UBE2M.pdf", "Melting_Curves/meltCurve_P61081_UBE2M.pdf")</f>
        <v>Melting_Curves/meltCurve_P61081_UBE2M.pdf</v>
      </c>
    </row>
    <row r="2511" spans="1:28" x14ac:dyDescent="0.25">
      <c r="A2511" t="s">
        <v>2515</v>
      </c>
      <c r="B2511">
        <v>0.99352677808782597</v>
      </c>
      <c r="C2511">
        <v>0.98580352296221396</v>
      </c>
      <c r="D2511">
        <v>1.0215626829519699</v>
      </c>
      <c r="E2511">
        <v>0.99677259148499298</v>
      </c>
      <c r="F2511">
        <v>0.89679105734397502</v>
      </c>
      <c r="G2511">
        <v>0.81806902623759903</v>
      </c>
      <c r="H2511">
        <v>0.41857598746325098</v>
      </c>
      <c r="I2511">
        <v>0.165530565852716</v>
      </c>
      <c r="J2511">
        <v>0.101441752971693</v>
      </c>
      <c r="K2511">
        <v>7.8936145459906404E-2</v>
      </c>
      <c r="L2511">
        <v>1574.41556405902</v>
      </c>
      <c r="M2511">
        <v>26.2945861880536</v>
      </c>
      <c r="N2511">
        <v>60.088632537523097</v>
      </c>
      <c r="O2511">
        <v>59.532936518</v>
      </c>
      <c r="P2511">
        <v>-0.105516880194712</v>
      </c>
      <c r="Q2511">
        <v>4.4417651482889099E-2</v>
      </c>
      <c r="R2511">
        <v>0.99505911293040505</v>
      </c>
      <c r="S2511" t="s">
        <v>8796</v>
      </c>
      <c r="T2511" t="s">
        <v>12568</v>
      </c>
      <c r="U2511" t="s">
        <v>12568</v>
      </c>
      <c r="V2511" t="s">
        <v>12568</v>
      </c>
      <c r="W2511" t="s">
        <v>15044</v>
      </c>
      <c r="X2511">
        <v>16</v>
      </c>
      <c r="Y2511" t="s">
        <v>21213</v>
      </c>
      <c r="Z2511" t="s">
        <v>27381</v>
      </c>
      <c r="AA2511">
        <v>0.68437459025467673</v>
      </c>
      <c r="AB2511" t="str">
        <f>HYPERLINK("Melting_Curves/meltCurve_P61086_UBE2K.pdf", "Melting_Curves/meltCurve_P61086_UBE2K.pdf")</f>
        <v>Melting_Curves/meltCurve_P61086_UBE2K.pdf</v>
      </c>
    </row>
    <row r="2512" spans="1:28" x14ac:dyDescent="0.25">
      <c r="A2512" t="s">
        <v>2516</v>
      </c>
      <c r="B2512">
        <v>0.99352677808782597</v>
      </c>
      <c r="C2512">
        <v>0.94156040383981499</v>
      </c>
      <c r="D2512">
        <v>1.0285136770132</v>
      </c>
      <c r="E2512">
        <v>0.96972135112067503</v>
      </c>
      <c r="F2512">
        <v>0.84849215329634498</v>
      </c>
      <c r="G2512">
        <v>0.62740338511512705</v>
      </c>
      <c r="H2512">
        <v>0.26196931994864697</v>
      </c>
      <c r="I2512">
        <v>0.12009107644516601</v>
      </c>
      <c r="J2512">
        <v>7.9043428299935603E-2</v>
      </c>
      <c r="K2512">
        <v>6.1520878064175097E-2</v>
      </c>
      <c r="L2512">
        <v>1242.1444469282001</v>
      </c>
      <c r="M2512">
        <v>21.4356920488082</v>
      </c>
      <c r="N2512">
        <v>58.083630734486597</v>
      </c>
      <c r="O2512">
        <v>57.450232137168499</v>
      </c>
      <c r="P2512">
        <v>-9.0996331602796104E-2</v>
      </c>
      <c r="Q2512">
        <v>2.44996931429774E-2</v>
      </c>
      <c r="R2512">
        <v>0.99540468455153097</v>
      </c>
      <c r="S2512" t="s">
        <v>8797</v>
      </c>
      <c r="T2512" t="s">
        <v>12568</v>
      </c>
      <c r="U2512" t="s">
        <v>12568</v>
      </c>
      <c r="V2512" t="s">
        <v>12568</v>
      </c>
      <c r="W2512" t="s">
        <v>15045</v>
      </c>
      <c r="X2512">
        <v>12</v>
      </c>
      <c r="Y2512" t="s">
        <v>21214</v>
      </c>
      <c r="Z2512" t="s">
        <v>27382</v>
      </c>
      <c r="AA2512">
        <v>0.61842282089318346</v>
      </c>
      <c r="AB2512" t="str">
        <f>HYPERLINK("Melting_Curves/meltCurve_P61088_UBE2N.pdf", "Melting_Curves/meltCurve_P61088_UBE2N.pdf")</f>
        <v>Melting_Curves/meltCurve_P61088_UBE2N.pdf</v>
      </c>
    </row>
    <row r="2513" spans="1:28" x14ac:dyDescent="0.25">
      <c r="A2513" t="s">
        <v>2517</v>
      </c>
      <c r="B2513">
        <v>0.99352677808782597</v>
      </c>
      <c r="C2513">
        <v>1.0063370112740999</v>
      </c>
      <c r="D2513">
        <v>0.99711295392841803</v>
      </c>
      <c r="E2513">
        <v>0.86264188234724304</v>
      </c>
      <c r="F2513">
        <v>0.799326039589764</v>
      </c>
      <c r="G2513">
        <v>0.60082573792441196</v>
      </c>
      <c r="H2513">
        <v>0.32655481708756501</v>
      </c>
      <c r="I2513">
        <v>0.21050004374290501</v>
      </c>
      <c r="J2513">
        <v>0.13109714436710701</v>
      </c>
      <c r="K2513">
        <v>8.7265260004221204E-2</v>
      </c>
      <c r="L2513">
        <v>817.86777716958397</v>
      </c>
      <c r="M2513">
        <v>14.064861367104699</v>
      </c>
      <c r="N2513">
        <v>58.149722015698899</v>
      </c>
      <c r="O2513">
        <v>57.012061433960604</v>
      </c>
      <c r="P2513">
        <v>-6.1682953317961101E-2</v>
      </c>
      <c r="Q2513">
        <v>0</v>
      </c>
      <c r="R2513">
        <v>0.99697691908173702</v>
      </c>
      <c r="S2513" t="s">
        <v>8798</v>
      </c>
      <c r="T2513" t="s">
        <v>12568</v>
      </c>
      <c r="U2513" t="s">
        <v>12568</v>
      </c>
      <c r="V2513" t="s">
        <v>12568</v>
      </c>
      <c r="W2513" t="s">
        <v>15046</v>
      </c>
      <c r="X2513">
        <v>14</v>
      </c>
      <c r="Y2513" t="s">
        <v>21215</v>
      </c>
      <c r="Z2513" t="s">
        <v>27383</v>
      </c>
      <c r="AA2513">
        <v>0.61800532326915381</v>
      </c>
      <c r="AB2513" t="str">
        <f>HYPERLINK("Melting_Curves/meltCurve_P61106_RAB14.pdf", "Melting_Curves/meltCurve_P61106_RAB14.pdf")</f>
        <v>Melting_Curves/meltCurve_P61106_RAB14.pdf</v>
      </c>
    </row>
    <row r="2514" spans="1:28" x14ac:dyDescent="0.25">
      <c r="A2514" t="s">
        <v>2518</v>
      </c>
      <c r="B2514">
        <v>0.99352677808782597</v>
      </c>
      <c r="C2514">
        <v>1.0107991176320901</v>
      </c>
      <c r="D2514">
        <v>0.89715224334573496</v>
      </c>
      <c r="E2514">
        <v>0.96052563722004802</v>
      </c>
      <c r="F2514">
        <v>0.79998251094704698</v>
      </c>
      <c r="G2514">
        <v>0.68750986936954195</v>
      </c>
      <c r="H2514">
        <v>0.43801496584289201</v>
      </c>
      <c r="I2514">
        <v>0.191284292823234</v>
      </c>
      <c r="J2514">
        <v>0.13305673897842499</v>
      </c>
      <c r="K2514">
        <v>0.100574809178282</v>
      </c>
      <c r="L2514">
        <v>896.34194008920394</v>
      </c>
      <c r="M2514">
        <v>15.1153184782852</v>
      </c>
      <c r="N2514">
        <v>59.300235458425597</v>
      </c>
      <c r="O2514">
        <v>58.291344290862199</v>
      </c>
      <c r="P2514">
        <v>-6.4832955134330295E-2</v>
      </c>
      <c r="Q2514">
        <v>0</v>
      </c>
      <c r="R2514">
        <v>0.98481017836768403</v>
      </c>
      <c r="S2514" t="s">
        <v>8799</v>
      </c>
      <c r="T2514" t="s">
        <v>12568</v>
      </c>
      <c r="U2514" t="s">
        <v>12568</v>
      </c>
      <c r="V2514" t="s">
        <v>12568</v>
      </c>
      <c r="W2514" t="s">
        <v>15047</v>
      </c>
      <c r="X2514">
        <v>25</v>
      </c>
      <c r="Y2514" t="s">
        <v>21216</v>
      </c>
      <c r="Z2514" t="s">
        <v>27384</v>
      </c>
      <c r="AA2514">
        <v>0.65286877693037704</v>
      </c>
      <c r="AB2514" t="str">
        <f>HYPERLINK("Melting_Curves/meltCurve_P61158_ACTR3.pdf", "Melting_Curves/meltCurve_P61158_ACTR3.pdf")</f>
        <v>Melting_Curves/meltCurve_P61158_ACTR3.pdf</v>
      </c>
    </row>
    <row r="2515" spans="1:28" x14ac:dyDescent="0.25">
      <c r="A2515" t="s">
        <v>2519</v>
      </c>
      <c r="B2515">
        <v>0.99352677808782597</v>
      </c>
      <c r="C2515">
        <v>1.0068231068289699</v>
      </c>
      <c r="D2515">
        <v>0.85903515161830701</v>
      </c>
      <c r="E2515">
        <v>0.88318056125131505</v>
      </c>
      <c r="F2515">
        <v>0.66888949244322904</v>
      </c>
      <c r="G2515">
        <v>0.61426157696424499</v>
      </c>
      <c r="H2515">
        <v>0.40547829176088401</v>
      </c>
      <c r="I2515">
        <v>0.164370034478074</v>
      </c>
      <c r="J2515">
        <v>0.102589898612739</v>
      </c>
      <c r="K2515">
        <v>8.2940946632725804E-2</v>
      </c>
      <c r="L2515">
        <v>700.10614977060402</v>
      </c>
      <c r="M2515">
        <v>12.1528538720644</v>
      </c>
      <c r="N2515">
        <v>57.608356709490302</v>
      </c>
      <c r="O2515">
        <v>56.115099940109502</v>
      </c>
      <c r="P2515">
        <v>-5.4154957019253699E-2</v>
      </c>
      <c r="Q2515">
        <v>0</v>
      </c>
      <c r="R2515">
        <v>0.97177321745132195</v>
      </c>
      <c r="S2515" t="s">
        <v>8800</v>
      </c>
      <c r="T2515" t="s">
        <v>12568</v>
      </c>
      <c r="U2515" t="s">
        <v>12568</v>
      </c>
      <c r="V2515" t="s">
        <v>12568</v>
      </c>
      <c r="W2515" t="s">
        <v>15048</v>
      </c>
      <c r="X2515">
        <v>19</v>
      </c>
      <c r="Y2515" t="s">
        <v>21217</v>
      </c>
      <c r="Z2515" t="s">
        <v>27385</v>
      </c>
      <c r="AA2515">
        <v>0.60141105337071232</v>
      </c>
      <c r="AB2515" t="str">
        <f>HYPERLINK("Melting_Curves/meltCurve_P61160_ACTR2.pdf", "Melting_Curves/meltCurve_P61160_ACTR2.pdf")</f>
        <v>Melting_Curves/meltCurve_P61160_ACTR2.pdf</v>
      </c>
    </row>
    <row r="2516" spans="1:28" x14ac:dyDescent="0.25">
      <c r="A2516" t="s">
        <v>2520</v>
      </c>
      <c r="B2516">
        <v>0.99352677808782597</v>
      </c>
      <c r="C2516">
        <v>0.97323624824762101</v>
      </c>
      <c r="D2516">
        <v>0.91716045903490595</v>
      </c>
      <c r="E2516">
        <v>1.88800707367794</v>
      </c>
      <c r="F2516">
        <v>0.97916916096687401</v>
      </c>
      <c r="G2516">
        <v>0.91913018966137106</v>
      </c>
      <c r="H2516">
        <v>0.34571211901359999</v>
      </c>
      <c r="I2516">
        <v>0.2127219484741</v>
      </c>
      <c r="J2516">
        <v>0.153927194933421</v>
      </c>
      <c r="K2516">
        <v>0.118823360352768</v>
      </c>
      <c r="L2516">
        <v>2872.4761140504702</v>
      </c>
      <c r="M2516">
        <v>48.223278896957197</v>
      </c>
      <c r="N2516">
        <v>60.0026498742371</v>
      </c>
      <c r="O2516">
        <v>59.464006462348799</v>
      </c>
      <c r="P2516">
        <v>-0.17274908011288101</v>
      </c>
      <c r="Q2516">
        <v>0.14793497581976101</v>
      </c>
      <c r="R2516">
        <v>0.70616061837616095</v>
      </c>
      <c r="S2516" t="s">
        <v>8801</v>
      </c>
      <c r="T2516" t="s">
        <v>12568</v>
      </c>
      <c r="U2516" t="s">
        <v>12568</v>
      </c>
      <c r="V2516" t="s">
        <v>12568</v>
      </c>
      <c r="W2516" t="s">
        <v>15049</v>
      </c>
      <c r="X2516">
        <v>14</v>
      </c>
      <c r="Y2516" t="s">
        <v>21218</v>
      </c>
      <c r="Z2516" t="s">
        <v>27386</v>
      </c>
      <c r="AA2516">
        <v>0.70602595774798771</v>
      </c>
      <c r="AB2516" t="str">
        <f>HYPERLINK("Melting_Curves/meltCurve_P61163_ACTR1A.pdf", "Melting_Curves/meltCurve_P61163_ACTR1A.pdf")</f>
        <v>Melting_Curves/meltCurve_P61163_ACTR1A.pdf</v>
      </c>
    </row>
    <row r="2517" spans="1:28" x14ac:dyDescent="0.25">
      <c r="A2517" t="s">
        <v>2521</v>
      </c>
      <c r="B2517">
        <v>0.99352677808782597</v>
      </c>
      <c r="C2517">
        <v>1.03404873371636</v>
      </c>
      <c r="D2517">
        <v>0.88307193125953898</v>
      </c>
      <c r="E2517">
        <v>0.94740286803111295</v>
      </c>
      <c r="F2517">
        <v>0.79228624342724596</v>
      </c>
      <c r="G2517">
        <v>0.51016836643107899</v>
      </c>
      <c r="H2517">
        <v>0.20246924519392701</v>
      </c>
      <c r="I2517">
        <v>0.14711260843322299</v>
      </c>
      <c r="J2517">
        <v>0.117297982050437</v>
      </c>
      <c r="K2517">
        <v>9.0336300023302105E-2</v>
      </c>
      <c r="L2517">
        <v>1139.2470345270999</v>
      </c>
      <c r="M2517">
        <v>20.194199234398301</v>
      </c>
      <c r="N2517">
        <v>56.828490922435002</v>
      </c>
      <c r="O2517">
        <v>55.870099904439002</v>
      </c>
      <c r="P2517">
        <v>-8.4184924299429004E-2</v>
      </c>
      <c r="Q2517">
        <v>6.83913313634672E-2</v>
      </c>
      <c r="R2517">
        <v>0.98961506874768501</v>
      </c>
      <c r="S2517" t="s">
        <v>8802</v>
      </c>
      <c r="T2517" t="s">
        <v>12568</v>
      </c>
      <c r="U2517" t="s">
        <v>12568</v>
      </c>
      <c r="V2517" t="s">
        <v>12568</v>
      </c>
      <c r="W2517" t="s">
        <v>15050</v>
      </c>
      <c r="X2517">
        <v>21</v>
      </c>
      <c r="Y2517" t="s">
        <v>21219</v>
      </c>
      <c r="Z2517" t="s">
        <v>27387</v>
      </c>
      <c r="AA2517">
        <v>0.58975574802090247</v>
      </c>
      <c r="AB2517" t="str">
        <f>HYPERLINK("Melting_Curves/meltCurve_P61201_COPS2.pdf", "Melting_Curves/meltCurve_P61201_COPS2.pdf")</f>
        <v>Melting_Curves/meltCurve_P61201_COPS2.pdf</v>
      </c>
    </row>
    <row r="2518" spans="1:28" x14ac:dyDescent="0.25">
      <c r="A2518" t="s">
        <v>2522</v>
      </c>
      <c r="B2518">
        <v>0.99352677808782597</v>
      </c>
      <c r="C2518">
        <v>0.92809757620893496</v>
      </c>
      <c r="D2518">
        <v>1.10044770949816</v>
      </c>
      <c r="E2518">
        <v>1.35604856872232</v>
      </c>
      <c r="F2518">
        <v>1.1122059345317701</v>
      </c>
      <c r="G2518">
        <v>1.27724276790145</v>
      </c>
      <c r="H2518">
        <v>1.05222224917274</v>
      </c>
      <c r="I2518">
        <v>1.0410617922618299</v>
      </c>
      <c r="J2518">
        <v>1.2394733998301599</v>
      </c>
      <c r="K2518">
        <v>1.1162614446354999</v>
      </c>
      <c r="L2518">
        <v>11483.5169801675</v>
      </c>
      <c r="M2518">
        <v>250</v>
      </c>
      <c r="O2518">
        <v>45.931129139473803</v>
      </c>
      <c r="P2518">
        <v>0.23220249321838099</v>
      </c>
      <c r="Q2518">
        <v>1.1706451604607699</v>
      </c>
      <c r="R2518">
        <v>0.41512382943103898</v>
      </c>
      <c r="S2518" t="s">
        <v>8803</v>
      </c>
      <c r="T2518" t="s">
        <v>12568</v>
      </c>
      <c r="U2518" t="s">
        <v>12568</v>
      </c>
      <c r="V2518" t="s">
        <v>12568</v>
      </c>
      <c r="W2518" t="s">
        <v>15051</v>
      </c>
      <c r="X2518">
        <v>3</v>
      </c>
      <c r="Y2518" t="s">
        <v>21220</v>
      </c>
      <c r="Z2518" t="s">
        <v>27388</v>
      </c>
      <c r="AA2518">
        <v>1.136877405060843</v>
      </c>
      <c r="AB2518" t="str">
        <f>HYPERLINK("Melting_Curves/meltCurve_P61218_POLR2F.pdf", "Melting_Curves/meltCurve_P61218_POLR2F.pdf")</f>
        <v>Melting_Curves/meltCurve_P61218_POLR2F.pdf</v>
      </c>
    </row>
    <row r="2519" spans="1:28" x14ac:dyDescent="0.25">
      <c r="A2519" t="s">
        <v>2523</v>
      </c>
      <c r="B2519">
        <v>0.99352677808782597</v>
      </c>
      <c r="C2519">
        <v>0.94686761671465902</v>
      </c>
      <c r="D2519">
        <v>0.97064914554933401</v>
      </c>
      <c r="E2519">
        <v>0.804296879511887</v>
      </c>
      <c r="F2519">
        <v>0.72154516531630597</v>
      </c>
      <c r="G2519">
        <v>0.28814327235787701</v>
      </c>
      <c r="H2519">
        <v>9.3760553698337301E-2</v>
      </c>
      <c r="I2519">
        <v>8.52034215004112E-2</v>
      </c>
      <c r="J2519">
        <v>6.4513530610272596E-2</v>
      </c>
      <c r="K2519">
        <v>5.2816947571940297E-2</v>
      </c>
      <c r="L2519">
        <v>1144.1381263517401</v>
      </c>
      <c r="M2519">
        <v>20.989545116013399</v>
      </c>
      <c r="N2519">
        <v>54.690654978274402</v>
      </c>
      <c r="O2519">
        <v>54.022366301880801</v>
      </c>
      <c r="P2519">
        <v>-9.3881302208227102E-2</v>
      </c>
      <c r="Q2519">
        <v>3.3508834180484101E-2</v>
      </c>
      <c r="R2519">
        <v>0.99145192595972298</v>
      </c>
      <c r="S2519" t="s">
        <v>8804</v>
      </c>
      <c r="T2519" t="s">
        <v>12568</v>
      </c>
      <c r="U2519" t="s">
        <v>12568</v>
      </c>
      <c r="V2519" t="s">
        <v>12568</v>
      </c>
      <c r="W2519" t="s">
        <v>15052</v>
      </c>
      <c r="X2519">
        <v>25</v>
      </c>
      <c r="Y2519" t="s">
        <v>21221</v>
      </c>
      <c r="Z2519" t="s">
        <v>27389</v>
      </c>
      <c r="AA2519">
        <v>0.5130225527565857</v>
      </c>
      <c r="AB2519" t="str">
        <f>HYPERLINK("Melting_Curves/meltCurve_P61221_ABCE1.pdf", "Melting_Curves/meltCurve_P61221_ABCE1.pdf")</f>
        <v>Melting_Curves/meltCurve_P61221_ABCE1.pdf</v>
      </c>
    </row>
    <row r="2520" spans="1:28" x14ac:dyDescent="0.25">
      <c r="A2520" t="s">
        <v>2524</v>
      </c>
      <c r="B2520">
        <v>0.99352677808782597</v>
      </c>
      <c r="C2520">
        <v>0.998976845273567</v>
      </c>
      <c r="D2520">
        <v>1.02621767330709</v>
      </c>
      <c r="E2520">
        <v>0.84170221360459996</v>
      </c>
      <c r="F2520">
        <v>0.72683463560364003</v>
      </c>
      <c r="G2520">
        <v>0.56614425087151699</v>
      </c>
      <c r="H2520">
        <v>0.38123097453188798</v>
      </c>
      <c r="I2520">
        <v>0.29059559177265198</v>
      </c>
      <c r="J2520">
        <v>0.22801618532743401</v>
      </c>
      <c r="K2520">
        <v>0.14019993619268201</v>
      </c>
      <c r="L2520">
        <v>676.779365413287</v>
      </c>
      <c r="M2520">
        <v>11.747639571589101</v>
      </c>
      <c r="N2520">
        <v>58.2240312825014</v>
      </c>
      <c r="O2520">
        <v>56.016475982190997</v>
      </c>
      <c r="P2520">
        <v>-4.9386827049769398E-2</v>
      </c>
      <c r="Q2520">
        <v>5.8278193378876103E-2</v>
      </c>
      <c r="R2520">
        <v>0.99286229328057996</v>
      </c>
      <c r="S2520" t="s">
        <v>8805</v>
      </c>
      <c r="T2520" t="s">
        <v>12568</v>
      </c>
      <c r="U2520" t="s">
        <v>12568</v>
      </c>
      <c r="V2520" t="s">
        <v>12568</v>
      </c>
      <c r="W2520" t="s">
        <v>15053</v>
      </c>
      <c r="X2520">
        <v>10</v>
      </c>
      <c r="Y2520" t="s">
        <v>21222</v>
      </c>
      <c r="Z2520" t="s">
        <v>27390</v>
      </c>
      <c r="AA2520">
        <v>0.62447936105626567</v>
      </c>
      <c r="AB2520" t="str">
        <f>HYPERLINK("Melting_Curves/meltCurve_P61224_RAP1B.pdf", "Melting_Curves/meltCurve_P61224_RAP1B.pdf")</f>
        <v>Melting_Curves/meltCurve_P61224_RAP1B.pdf</v>
      </c>
    </row>
    <row r="2521" spans="1:28" x14ac:dyDescent="0.25">
      <c r="A2521" t="s">
        <v>2525</v>
      </c>
      <c r="B2521">
        <v>0.99352677808782597</v>
      </c>
      <c r="C2521">
        <v>0.99171222451897101</v>
      </c>
      <c r="D2521">
        <v>1.0859071882665601</v>
      </c>
      <c r="E2521">
        <v>0.99162012457704196</v>
      </c>
      <c r="F2521">
        <v>0.95334901039340902</v>
      </c>
      <c r="G2521">
        <v>0.79305520440861399</v>
      </c>
      <c r="H2521">
        <v>0.74320194337242496</v>
      </c>
      <c r="I2521">
        <v>0.81021738510484298</v>
      </c>
      <c r="J2521">
        <v>0.74851424340915496</v>
      </c>
      <c r="K2521">
        <v>0.71105655203398999</v>
      </c>
      <c r="L2521">
        <v>2320.0570153756498</v>
      </c>
      <c r="M2521">
        <v>42.327385716765598</v>
      </c>
      <c r="O2521">
        <v>54.690278722485402</v>
      </c>
      <c r="P2521">
        <v>-4.7933468705055403E-2</v>
      </c>
      <c r="Q2521">
        <v>0.75226532711549998</v>
      </c>
      <c r="R2521">
        <v>0.92196112861380497</v>
      </c>
      <c r="S2521" t="s">
        <v>8806</v>
      </c>
      <c r="T2521" t="s">
        <v>12568</v>
      </c>
      <c r="U2521" t="s">
        <v>12568</v>
      </c>
      <c r="V2521" t="s">
        <v>12568</v>
      </c>
      <c r="W2521" t="s">
        <v>15054</v>
      </c>
      <c r="X2521">
        <v>3</v>
      </c>
      <c r="Y2521" t="s">
        <v>21223</v>
      </c>
      <c r="Z2521" t="s">
        <v>27391</v>
      </c>
      <c r="AA2521">
        <v>0.87541758590650498</v>
      </c>
      <c r="AB2521" t="str">
        <f>HYPERLINK("Melting_Curves/meltCurve_P61244_2_MAX.pdf", "Melting_Curves/meltCurve_P61244_2_MAX.pdf")</f>
        <v>Melting_Curves/meltCurve_P61244_2_MAX.pdf</v>
      </c>
    </row>
    <row r="2522" spans="1:28" x14ac:dyDescent="0.25">
      <c r="A2522" t="s">
        <v>2526</v>
      </c>
      <c r="B2522">
        <v>0.99352677808782597</v>
      </c>
      <c r="C2522">
        <v>0.96161637307586001</v>
      </c>
      <c r="D2522">
        <v>1.29470362810718</v>
      </c>
      <c r="E2522">
        <v>0.74731126161935202</v>
      </c>
      <c r="F2522">
        <v>0.64220121644897599</v>
      </c>
      <c r="G2522">
        <v>0.37798919033144401</v>
      </c>
      <c r="H2522">
        <v>0.17967604493675399</v>
      </c>
      <c r="I2522">
        <v>0.15257453547246599</v>
      </c>
      <c r="J2522">
        <v>0.11648902945446001</v>
      </c>
      <c r="K2522">
        <v>9.3620415810934901E-2</v>
      </c>
      <c r="L2522">
        <v>1080.7624598375401</v>
      </c>
      <c r="M2522">
        <v>19.9651989989318</v>
      </c>
      <c r="N2522">
        <v>54.753490238951002</v>
      </c>
      <c r="O2522">
        <v>53.598019548970797</v>
      </c>
      <c r="P2522">
        <v>-8.3690025177652297E-2</v>
      </c>
      <c r="Q2522">
        <v>0.101341804455391</v>
      </c>
      <c r="R2522">
        <v>0.93060222763037403</v>
      </c>
      <c r="S2522" t="s">
        <v>8807</v>
      </c>
      <c r="T2522" t="s">
        <v>12568</v>
      </c>
      <c r="U2522" t="s">
        <v>12568</v>
      </c>
      <c r="V2522" t="s">
        <v>12568</v>
      </c>
      <c r="W2522" t="s">
        <v>15055</v>
      </c>
      <c r="X2522">
        <v>20</v>
      </c>
      <c r="Y2522" t="s">
        <v>21224</v>
      </c>
      <c r="Z2522" t="s">
        <v>27392</v>
      </c>
      <c r="AA2522">
        <v>0.536900849534511</v>
      </c>
      <c r="AB2522" t="str">
        <f>HYPERLINK("Melting_Curves/meltCurve_P61247_RPS3A.pdf", "Melting_Curves/meltCurve_P61247_RPS3A.pdf")</f>
        <v>Melting_Curves/meltCurve_P61247_RPS3A.pdf</v>
      </c>
    </row>
    <row r="2523" spans="1:28" x14ac:dyDescent="0.25">
      <c r="A2523" t="s">
        <v>2527</v>
      </c>
      <c r="B2523">
        <v>0.99352677808782597</v>
      </c>
      <c r="C2523">
        <v>0.92893169269411402</v>
      </c>
      <c r="D2523">
        <v>1.0431259827072299</v>
      </c>
      <c r="E2523">
        <v>0.45694028354166</v>
      </c>
      <c r="F2523">
        <v>0.39326157840929399</v>
      </c>
      <c r="G2523">
        <v>0.217061748439664</v>
      </c>
      <c r="H2523">
        <v>0.118747742068296</v>
      </c>
      <c r="I2523">
        <v>9.7637013035849401E-2</v>
      </c>
      <c r="J2523">
        <v>8.6801696207573206E-2</v>
      </c>
      <c r="K2523">
        <v>6.2305830884334799E-2</v>
      </c>
      <c r="L2523">
        <v>1089.8285808148501</v>
      </c>
      <c r="M2523">
        <v>21.6612029931858</v>
      </c>
      <c r="N2523">
        <v>50.823851921387003</v>
      </c>
      <c r="O2523">
        <v>49.889549470255098</v>
      </c>
      <c r="P2523">
        <v>-9.7919567918502495E-2</v>
      </c>
      <c r="Q2523">
        <v>9.7917655531823702E-2</v>
      </c>
      <c r="R2523">
        <v>0.96631669769089801</v>
      </c>
      <c r="S2523" t="s">
        <v>8808</v>
      </c>
      <c r="T2523" t="s">
        <v>12568</v>
      </c>
      <c r="U2523" t="s">
        <v>12568</v>
      </c>
      <c r="V2523" t="s">
        <v>12568</v>
      </c>
      <c r="W2523" t="s">
        <v>15056</v>
      </c>
      <c r="X2523">
        <v>9</v>
      </c>
      <c r="Y2523" t="s">
        <v>21225</v>
      </c>
      <c r="Z2523" t="s">
        <v>27393</v>
      </c>
      <c r="AA2523">
        <v>0.4187507941201522</v>
      </c>
      <c r="AB2523" t="str">
        <f>HYPERLINK("Melting_Curves/meltCurve_P61254_RPL26.pdf", "Melting_Curves/meltCurve_P61254_RPL26.pdf")</f>
        <v>Melting_Curves/meltCurve_P61254_RPL26.pdf</v>
      </c>
    </row>
    <row r="2524" spans="1:28" x14ac:dyDescent="0.25">
      <c r="A2524" t="s">
        <v>2528</v>
      </c>
      <c r="B2524">
        <v>0.99352677808782597</v>
      </c>
      <c r="C2524">
        <v>1.02951160000773</v>
      </c>
      <c r="D2524">
        <v>0.93690150581680498</v>
      </c>
      <c r="E2524">
        <v>0.84162222654565599</v>
      </c>
      <c r="F2524">
        <v>0.71168766211734902</v>
      </c>
      <c r="G2524">
        <v>0.543758265235325</v>
      </c>
      <c r="H2524">
        <v>0.74896507967969805</v>
      </c>
      <c r="I2524">
        <v>0.68879681198224696</v>
      </c>
      <c r="J2524">
        <v>0.93052719051556598</v>
      </c>
      <c r="K2524">
        <v>0.59823227573054405</v>
      </c>
      <c r="L2524">
        <v>1804.9756833357301</v>
      </c>
      <c r="M2524">
        <v>36.4814732542294</v>
      </c>
      <c r="O2524">
        <v>49.328540905280398</v>
      </c>
      <c r="P2524">
        <v>-5.5279677464403598E-2</v>
      </c>
      <c r="Q2524">
        <v>0.70101451878585097</v>
      </c>
      <c r="R2524">
        <v>0.63100413448091197</v>
      </c>
      <c r="S2524" t="s">
        <v>8809</v>
      </c>
      <c r="T2524" t="s">
        <v>12568</v>
      </c>
      <c r="U2524" t="s">
        <v>12568</v>
      </c>
      <c r="V2524" t="s">
        <v>12568</v>
      </c>
      <c r="W2524" t="s">
        <v>15057</v>
      </c>
      <c r="X2524">
        <v>22</v>
      </c>
      <c r="Y2524" t="s">
        <v>21226</v>
      </c>
      <c r="Z2524" t="s">
        <v>27394</v>
      </c>
      <c r="AA2524">
        <v>0.79669174227916884</v>
      </c>
      <c r="AB2524" t="str">
        <f>HYPERLINK("Melting_Curves/meltCurve_P61289_PSME3.pdf", "Melting_Curves/meltCurve_P61289_PSME3.pdf")</f>
        <v>Melting_Curves/meltCurve_P61289_PSME3.pdf</v>
      </c>
    </row>
    <row r="2525" spans="1:28" x14ac:dyDescent="0.25">
      <c r="A2525" t="s">
        <v>2529</v>
      </c>
      <c r="B2525">
        <v>0.99352677808782597</v>
      </c>
      <c r="C2525">
        <v>0.93448759254535896</v>
      </c>
      <c r="D2525">
        <v>1.69784105364718</v>
      </c>
      <c r="E2525">
        <v>0.72796436716130097</v>
      </c>
      <c r="F2525">
        <v>0.69606850443924395</v>
      </c>
      <c r="G2525">
        <v>0.38357402369210303</v>
      </c>
      <c r="H2525">
        <v>0.21576131915626001</v>
      </c>
      <c r="I2525">
        <v>0.18476192410973699</v>
      </c>
      <c r="J2525">
        <v>0.15760353039684799</v>
      </c>
      <c r="K2525">
        <v>0.121477815721541</v>
      </c>
      <c r="L2525">
        <v>1277.2287212916599</v>
      </c>
      <c r="M2525">
        <v>23.5550694675979</v>
      </c>
      <c r="N2525">
        <v>55.056135222068399</v>
      </c>
      <c r="O2525">
        <v>53.836811076150298</v>
      </c>
      <c r="P2525">
        <v>-9.2986728755430501E-2</v>
      </c>
      <c r="Q2525">
        <v>0.149902868331202</v>
      </c>
      <c r="R2525">
        <v>0.76415615899924305</v>
      </c>
      <c r="S2525" t="s">
        <v>8810</v>
      </c>
      <c r="T2525" t="s">
        <v>12568</v>
      </c>
      <c r="U2525" t="s">
        <v>12568</v>
      </c>
      <c r="V2525" t="s">
        <v>12568</v>
      </c>
      <c r="W2525" t="s">
        <v>15058</v>
      </c>
      <c r="X2525">
        <v>2</v>
      </c>
      <c r="Y2525" t="s">
        <v>21227</v>
      </c>
      <c r="Z2525" t="s">
        <v>27395</v>
      </c>
      <c r="AA2525">
        <v>0.5616878932740913</v>
      </c>
      <c r="AB2525" t="str">
        <f>HYPERLINK("Melting_Curves/meltCurve_P61313_RPL15.pdf", "Melting_Curves/meltCurve_P61313_RPL15.pdf")</f>
        <v>Melting_Curves/meltCurve_P61313_RPL15.pdf</v>
      </c>
    </row>
    <row r="2526" spans="1:28" x14ac:dyDescent="0.25">
      <c r="A2526" t="s">
        <v>2530</v>
      </c>
      <c r="B2526">
        <v>0.99352677808782597</v>
      </c>
      <c r="C2526">
        <v>0.73261092884363099</v>
      </c>
      <c r="D2526">
        <v>1.3701736604775601</v>
      </c>
      <c r="E2526">
        <v>0.64329089799458306</v>
      </c>
      <c r="F2526">
        <v>0.51873289494534702</v>
      </c>
      <c r="G2526">
        <v>0.26084047186927001</v>
      </c>
      <c r="H2526">
        <v>0.141830305043362</v>
      </c>
      <c r="I2526">
        <v>0.12791447705516401</v>
      </c>
      <c r="J2526">
        <v>0.112267823079211</v>
      </c>
      <c r="K2526">
        <v>9.5817939571945607E-2</v>
      </c>
      <c r="L2526">
        <v>1273.68976925181</v>
      </c>
      <c r="M2526">
        <v>24.385923557954701</v>
      </c>
      <c r="N2526">
        <v>52.815760374028102</v>
      </c>
      <c r="O2526">
        <v>51.883098181679003</v>
      </c>
      <c r="P2526">
        <v>-0.10359436795846</v>
      </c>
      <c r="Q2526">
        <v>0.118390249841845</v>
      </c>
      <c r="R2526">
        <v>0.85279909105880602</v>
      </c>
      <c r="S2526" t="s">
        <v>8811</v>
      </c>
      <c r="T2526" t="s">
        <v>12568</v>
      </c>
      <c r="U2526" t="s">
        <v>12568</v>
      </c>
      <c r="V2526" t="s">
        <v>12568</v>
      </c>
      <c r="W2526" t="s">
        <v>15059</v>
      </c>
      <c r="X2526">
        <v>6</v>
      </c>
      <c r="Y2526" t="s">
        <v>21228</v>
      </c>
      <c r="Z2526" t="s">
        <v>27396</v>
      </c>
      <c r="AA2526">
        <v>0.48626675725010748</v>
      </c>
      <c r="AB2526" t="str">
        <f>HYPERLINK("Melting_Curves/meltCurve_P61353_RPL27.pdf", "Melting_Curves/meltCurve_P61353_RPL27.pdf")</f>
        <v>Melting_Curves/meltCurve_P61353_RPL27.pdf</v>
      </c>
    </row>
    <row r="2527" spans="1:28" x14ac:dyDescent="0.25">
      <c r="A2527" t="s">
        <v>2531</v>
      </c>
      <c r="B2527">
        <v>0.99352677808782597</v>
      </c>
      <c r="C2527">
        <v>0.96168926114976105</v>
      </c>
      <c r="D2527">
        <v>0.96190943148372698</v>
      </c>
      <c r="E2527">
        <v>0.88011815203286503</v>
      </c>
      <c r="F2527">
        <v>0.73982370613760196</v>
      </c>
      <c r="G2527">
        <v>0.60292450328371605</v>
      </c>
      <c r="H2527">
        <v>0.68512316255157002</v>
      </c>
      <c r="I2527">
        <v>0.59157705591130305</v>
      </c>
      <c r="J2527">
        <v>0.68959106015814198</v>
      </c>
      <c r="K2527">
        <v>0.46618216452790601</v>
      </c>
      <c r="L2527">
        <v>952.99394317050599</v>
      </c>
      <c r="M2527">
        <v>18.4050306776771</v>
      </c>
      <c r="O2527">
        <v>51.1793378379732</v>
      </c>
      <c r="P2527">
        <v>-3.7250183840878102E-2</v>
      </c>
      <c r="Q2527">
        <v>0.58568858281562597</v>
      </c>
      <c r="R2527">
        <v>0.88671089718904395</v>
      </c>
      <c r="S2527" t="s">
        <v>8812</v>
      </c>
      <c r="T2527" t="s">
        <v>12568</v>
      </c>
      <c r="U2527" t="s">
        <v>12568</v>
      </c>
      <c r="V2527" t="s">
        <v>12568</v>
      </c>
      <c r="W2527" t="s">
        <v>15060</v>
      </c>
      <c r="X2527">
        <v>10</v>
      </c>
      <c r="Y2527" t="s">
        <v>21229</v>
      </c>
      <c r="Z2527" t="s">
        <v>27397</v>
      </c>
      <c r="AA2527">
        <v>0.75501370419225777</v>
      </c>
      <c r="AB2527" t="str">
        <f>HYPERLINK("Melting_Curves/meltCurve_P61457_PCBD1.pdf", "Melting_Curves/meltCurve_P61457_PCBD1.pdf")</f>
        <v>Melting_Curves/meltCurve_P61457_PCBD1.pdf</v>
      </c>
    </row>
    <row r="2528" spans="1:28" x14ac:dyDescent="0.25">
      <c r="A2528" t="s">
        <v>2532</v>
      </c>
      <c r="B2528">
        <v>0.99352677808782597</v>
      </c>
      <c r="C2528">
        <v>0.60762477391096903</v>
      </c>
      <c r="D2528">
        <v>1.0411834704790299</v>
      </c>
      <c r="E2528">
        <v>0.61173897894415996</v>
      </c>
      <c r="F2528">
        <v>0.55960936770978797</v>
      </c>
      <c r="G2528">
        <v>0.25602779465895897</v>
      </c>
      <c r="H2528">
        <v>0.152508943592288</v>
      </c>
      <c r="I2528">
        <v>0.12116716880216</v>
      </c>
      <c r="J2528">
        <v>0.101021809307592</v>
      </c>
      <c r="K2528">
        <v>7.7117683885408003E-2</v>
      </c>
      <c r="L2528">
        <v>582.20673720879904</v>
      </c>
      <c r="M2528">
        <v>11.0205228295713</v>
      </c>
      <c r="N2528">
        <v>52.829318007374901</v>
      </c>
      <c r="O2528">
        <v>51.1792690163633</v>
      </c>
      <c r="P2528">
        <v>-5.3851001788001999E-2</v>
      </c>
      <c r="Q2528">
        <v>0</v>
      </c>
      <c r="R2528">
        <v>0.87107773023017598</v>
      </c>
      <c r="S2528" t="s">
        <v>8813</v>
      </c>
      <c r="T2528" t="s">
        <v>12568</v>
      </c>
      <c r="U2528" t="s">
        <v>12568</v>
      </c>
      <c r="V2528" t="s">
        <v>12568</v>
      </c>
      <c r="W2528" t="s">
        <v>15061</v>
      </c>
      <c r="X2528">
        <v>12</v>
      </c>
      <c r="Y2528" t="s">
        <v>21230</v>
      </c>
      <c r="Z2528" t="s">
        <v>27398</v>
      </c>
      <c r="AA2528">
        <v>0.45931350370579271</v>
      </c>
      <c r="AB2528" t="str">
        <f>HYPERLINK("Melting_Curves/meltCurve_P61586_RHOA.pdf", "Melting_Curves/meltCurve_P61586_RHOA.pdf")</f>
        <v>Melting_Curves/meltCurve_P61586_RHOA.pdf</v>
      </c>
    </row>
    <row r="2529" spans="1:28" x14ac:dyDescent="0.25">
      <c r="A2529" t="s">
        <v>2533</v>
      </c>
      <c r="B2529">
        <v>0.99352677808782597</v>
      </c>
      <c r="C2529">
        <v>0.90141043949203403</v>
      </c>
      <c r="D2529">
        <v>0.99885034228081704</v>
      </c>
      <c r="E2529">
        <v>0.76697699645345196</v>
      </c>
      <c r="F2529">
        <v>0.73475464446243499</v>
      </c>
      <c r="G2529">
        <v>0.529756692024967</v>
      </c>
      <c r="H2529">
        <v>0.29057991497442198</v>
      </c>
      <c r="I2529">
        <v>0.142351432138273</v>
      </c>
      <c r="J2529">
        <v>5.9255334639522997E-2</v>
      </c>
      <c r="K2529">
        <v>5.3383653026641997E-2</v>
      </c>
      <c r="L2529">
        <v>764.90761490316504</v>
      </c>
      <c r="M2529">
        <v>13.514549580051201</v>
      </c>
      <c r="N2529">
        <v>56.5988197438204</v>
      </c>
      <c r="O2529">
        <v>55.402697738388603</v>
      </c>
      <c r="P2529">
        <v>-6.09925266927328E-2</v>
      </c>
      <c r="Q2529">
        <v>0</v>
      </c>
      <c r="R2529">
        <v>0.98168754098736799</v>
      </c>
      <c r="S2529" t="s">
        <v>8814</v>
      </c>
      <c r="T2529" t="s">
        <v>12568</v>
      </c>
      <c r="U2529" t="s">
        <v>12568</v>
      </c>
      <c r="V2529" t="s">
        <v>12568</v>
      </c>
      <c r="W2529" t="s">
        <v>15062</v>
      </c>
      <c r="X2529">
        <v>3</v>
      </c>
      <c r="Y2529" t="s">
        <v>21231</v>
      </c>
      <c r="Z2529" t="s">
        <v>27399</v>
      </c>
      <c r="AA2529">
        <v>0.57096117316282979</v>
      </c>
      <c r="AB2529" t="str">
        <f>HYPERLINK("Melting_Curves/meltCurve_P61587_RND3.pdf", "Melting_Curves/meltCurve_P61587_RND3.pdf")</f>
        <v>Melting_Curves/meltCurve_P61587_RND3.pdf</v>
      </c>
    </row>
    <row r="2530" spans="1:28" x14ac:dyDescent="0.25">
      <c r="A2530" t="s">
        <v>2534</v>
      </c>
      <c r="B2530">
        <v>0.99352677808782597</v>
      </c>
      <c r="C2530">
        <v>0.99739748839770204</v>
      </c>
      <c r="D2530">
        <v>0.94381374302356502</v>
      </c>
      <c r="E2530">
        <v>0.37704580770060098</v>
      </c>
      <c r="F2530">
        <v>0.27116345281147902</v>
      </c>
      <c r="G2530">
        <v>0.13277443025803001</v>
      </c>
      <c r="H2530">
        <v>8.3189433175441502E-2</v>
      </c>
      <c r="I2530">
        <v>7.1928113768234297E-2</v>
      </c>
      <c r="J2530">
        <v>5.8735486049246097E-2</v>
      </c>
      <c r="K2530">
        <v>4.2085467839833003E-2</v>
      </c>
      <c r="L2530">
        <v>1382.18705595505</v>
      </c>
      <c r="M2530">
        <v>28.078857580180198</v>
      </c>
      <c r="N2530">
        <v>49.5341799657173</v>
      </c>
      <c r="O2530">
        <v>48.977558919232699</v>
      </c>
      <c r="P2530">
        <v>-0.13181233319961499</v>
      </c>
      <c r="Q2530">
        <v>8.0334514765455001E-2</v>
      </c>
      <c r="R2530">
        <v>0.98882482384649295</v>
      </c>
      <c r="S2530" t="s">
        <v>8815</v>
      </c>
      <c r="T2530" t="s">
        <v>12568</v>
      </c>
      <c r="U2530" t="s">
        <v>12568</v>
      </c>
      <c r="V2530" t="s">
        <v>12568</v>
      </c>
      <c r="W2530" t="s">
        <v>15063</v>
      </c>
      <c r="X2530">
        <v>4</v>
      </c>
      <c r="Y2530" t="s">
        <v>21232</v>
      </c>
      <c r="Z2530" t="s">
        <v>27400</v>
      </c>
      <c r="AA2530">
        <v>0.36957166765201388</v>
      </c>
      <c r="AB2530" t="str">
        <f>HYPERLINK("Melting_Curves/meltCurve_P61599_NAA20.pdf", "Melting_Curves/meltCurve_P61599_NAA20.pdf")</f>
        <v>Melting_Curves/meltCurve_P61599_NAA20.pdf</v>
      </c>
    </row>
    <row r="2531" spans="1:28" x14ac:dyDescent="0.25">
      <c r="A2531" t="s">
        <v>2535</v>
      </c>
      <c r="B2531">
        <v>0.99352677808782597</v>
      </c>
      <c r="C2531">
        <v>1.0244248183269</v>
      </c>
      <c r="D2531">
        <v>0.97432844155162501</v>
      </c>
      <c r="E2531">
        <v>0.95381653401467703</v>
      </c>
      <c r="F2531">
        <v>0.789246372301322</v>
      </c>
      <c r="G2531">
        <v>0.78821621224817395</v>
      </c>
      <c r="H2531">
        <v>0.82267062660272905</v>
      </c>
      <c r="I2531">
        <v>0.90864976547453602</v>
      </c>
      <c r="J2531">
        <v>1.01636400106241</v>
      </c>
      <c r="K2531">
        <v>0.884280270628792</v>
      </c>
      <c r="L2531">
        <v>12530.839965773701</v>
      </c>
      <c r="M2531">
        <v>250</v>
      </c>
      <c r="O2531">
        <v>50.1201388988909</v>
      </c>
      <c r="P2531">
        <v>-0.16430779736719101</v>
      </c>
      <c r="Q2531">
        <v>0.86823789075569702</v>
      </c>
      <c r="R2531">
        <v>0.46751247451108902</v>
      </c>
      <c r="S2531" t="s">
        <v>8816</v>
      </c>
      <c r="T2531" t="s">
        <v>12568</v>
      </c>
      <c r="U2531" t="s">
        <v>12568</v>
      </c>
      <c r="V2531" t="s">
        <v>12568</v>
      </c>
      <c r="W2531" t="s">
        <v>15064</v>
      </c>
      <c r="X2531">
        <v>13</v>
      </c>
      <c r="Y2531" t="s">
        <v>21233</v>
      </c>
      <c r="Z2531" t="s">
        <v>27401</v>
      </c>
      <c r="AA2531">
        <v>0.91271198957738986</v>
      </c>
      <c r="AB2531" t="str">
        <f>HYPERLINK("Melting_Curves/meltCurve_P61604_HSPE1.pdf", "Melting_Curves/meltCurve_P61604_HSPE1.pdf")</f>
        <v>Melting_Curves/meltCurve_P61604_HSPE1.pdf</v>
      </c>
    </row>
    <row r="2532" spans="1:28" x14ac:dyDescent="0.25">
      <c r="A2532" t="s">
        <v>2536</v>
      </c>
      <c r="B2532">
        <v>0.99352677808782597</v>
      </c>
      <c r="C2532">
        <v>1.05684240410712</v>
      </c>
      <c r="D2532">
        <v>0.97135454141593702</v>
      </c>
      <c r="E2532">
        <v>0.97463569625337798</v>
      </c>
      <c r="F2532">
        <v>0.78003771291691604</v>
      </c>
      <c r="G2532">
        <v>0.71051052353770605</v>
      </c>
      <c r="H2532">
        <v>0.68786967782783404</v>
      </c>
      <c r="I2532">
        <v>0.53984708752497002</v>
      </c>
      <c r="J2532">
        <v>0.51973175891754697</v>
      </c>
      <c r="K2532">
        <v>0.421035232156101</v>
      </c>
      <c r="L2532">
        <v>581.690420449827</v>
      </c>
      <c r="M2532">
        <v>9.6716078155886898</v>
      </c>
      <c r="N2532">
        <v>66.686680349016001</v>
      </c>
      <c r="O2532">
        <v>57.741663033038002</v>
      </c>
      <c r="P2532">
        <v>-2.9059723743864001E-2</v>
      </c>
      <c r="Q2532">
        <v>0.30641078416460898</v>
      </c>
      <c r="R2532">
        <v>0.95699474877917401</v>
      </c>
      <c r="S2532" t="s">
        <v>8817</v>
      </c>
      <c r="T2532" t="s">
        <v>12568</v>
      </c>
      <c r="U2532" t="s">
        <v>12568</v>
      </c>
      <c r="V2532" t="s">
        <v>12568</v>
      </c>
      <c r="W2532" t="s">
        <v>15065</v>
      </c>
      <c r="X2532">
        <v>19</v>
      </c>
      <c r="Y2532" t="s">
        <v>21234</v>
      </c>
      <c r="Z2532" t="s">
        <v>27402</v>
      </c>
      <c r="AA2532">
        <v>0.76755783944920397</v>
      </c>
      <c r="AB2532" t="str">
        <f>HYPERLINK("Melting_Curves/meltCurve_P61758_VBP1.pdf", "Melting_Curves/meltCurve_P61758_VBP1.pdf")</f>
        <v>Melting_Curves/meltCurve_P61758_VBP1.pdf</v>
      </c>
    </row>
    <row r="2533" spans="1:28" x14ac:dyDescent="0.25">
      <c r="A2533" t="s">
        <v>2537</v>
      </c>
      <c r="B2533">
        <v>0.99352677808782597</v>
      </c>
      <c r="C2533">
        <v>1.0510392346964399</v>
      </c>
      <c r="D2533">
        <v>1.0260606351277901</v>
      </c>
      <c r="E2533">
        <v>1.05257478796617</v>
      </c>
      <c r="F2533">
        <v>0.92035471775030098</v>
      </c>
      <c r="G2533">
        <v>0.90660715343279197</v>
      </c>
      <c r="H2533">
        <v>0.53718698740502802</v>
      </c>
      <c r="I2533">
        <v>0.23796899318933501</v>
      </c>
      <c r="J2533">
        <v>0.13508554815618901</v>
      </c>
      <c r="K2533">
        <v>8.8418025199902398E-2</v>
      </c>
      <c r="L2533">
        <v>1849.0193629012199</v>
      </c>
      <c r="M2533">
        <v>30.326931267174601</v>
      </c>
      <c r="N2533">
        <v>61.2778852112246</v>
      </c>
      <c r="O2533">
        <v>60.7062974633495</v>
      </c>
      <c r="P2533">
        <v>-0.116054950104703</v>
      </c>
      <c r="Q2533">
        <v>7.0763656292017196E-2</v>
      </c>
      <c r="R2533">
        <v>0.99222462550522506</v>
      </c>
      <c r="S2533" t="s">
        <v>8818</v>
      </c>
      <c r="T2533" t="s">
        <v>12568</v>
      </c>
      <c r="U2533" t="s">
        <v>12568</v>
      </c>
      <c r="V2533" t="s">
        <v>12568</v>
      </c>
      <c r="W2533" t="s">
        <v>15066</v>
      </c>
      <c r="X2533">
        <v>7</v>
      </c>
      <c r="Y2533" t="s">
        <v>21235</v>
      </c>
      <c r="Z2533" t="s">
        <v>27403</v>
      </c>
      <c r="AA2533">
        <v>0.72538101163899926</v>
      </c>
      <c r="AB2533" t="str">
        <f>HYPERLINK("Melting_Curves/meltCurve_P61923_COPZ1.pdf", "Melting_Curves/meltCurve_P61923_COPZ1.pdf")</f>
        <v>Melting_Curves/meltCurve_P61923_COPZ1.pdf</v>
      </c>
    </row>
    <row r="2534" spans="1:28" x14ac:dyDescent="0.25">
      <c r="A2534" t="s">
        <v>2538</v>
      </c>
      <c r="B2534">
        <v>0.99352677808782597</v>
      </c>
      <c r="C2534">
        <v>1.3208127662347899</v>
      </c>
      <c r="D2534">
        <v>0.99693257662507895</v>
      </c>
      <c r="E2534">
        <v>1.01384239303167</v>
      </c>
      <c r="F2534">
        <v>0.82140608563247097</v>
      </c>
      <c r="G2534">
        <v>0.53462873529372801</v>
      </c>
      <c r="H2534">
        <v>4.9409520261994704</v>
      </c>
      <c r="I2534">
        <v>0.66393773042979798</v>
      </c>
      <c r="J2534">
        <v>0.50394671488277798</v>
      </c>
      <c r="K2534">
        <v>0.32742953988444201</v>
      </c>
      <c r="L2534">
        <v>15000</v>
      </c>
      <c r="M2534">
        <v>234.67612564172401</v>
      </c>
      <c r="N2534">
        <v>64.406261241015599</v>
      </c>
      <c r="O2534">
        <v>63.913231176855</v>
      </c>
      <c r="P2534">
        <v>-0.53640885785089298</v>
      </c>
      <c r="Q2534">
        <v>0.415643565422257</v>
      </c>
      <c r="R2534">
        <v>2.13824883612443E-2</v>
      </c>
      <c r="S2534" t="s">
        <v>8819</v>
      </c>
      <c r="T2534" t="s">
        <v>12568</v>
      </c>
      <c r="U2534" t="s">
        <v>12568</v>
      </c>
      <c r="V2534" t="s">
        <v>12568</v>
      </c>
      <c r="W2534" t="s">
        <v>15067</v>
      </c>
      <c r="X2534">
        <v>1</v>
      </c>
      <c r="Y2534" t="s">
        <v>21236</v>
      </c>
      <c r="Z2534" t="s">
        <v>27404</v>
      </c>
      <c r="AA2534">
        <v>0.88160349081054612</v>
      </c>
      <c r="AB2534" t="str">
        <f>HYPERLINK("Melting_Curves/meltCurve_P61927_RPL37.pdf", "Melting_Curves/meltCurve_P61927_RPL37.pdf")</f>
        <v>Melting_Curves/meltCurve_P61927_RPL37.pdf</v>
      </c>
    </row>
    <row r="2535" spans="1:28" x14ac:dyDescent="0.25">
      <c r="A2535" t="s">
        <v>2539</v>
      </c>
      <c r="B2535">
        <v>0.99352677808782597</v>
      </c>
      <c r="C2535">
        <v>0.96223240456445802</v>
      </c>
      <c r="D2535">
        <v>0.995048663854886</v>
      </c>
      <c r="E2535">
        <v>0.88840347901189798</v>
      </c>
      <c r="F2535">
        <v>0.85507057314815405</v>
      </c>
      <c r="G2535">
        <v>0.79293897936034696</v>
      </c>
      <c r="H2535">
        <v>0.68900872815826597</v>
      </c>
      <c r="I2535">
        <v>0.745605074726716</v>
      </c>
      <c r="J2535">
        <v>0.70733166881992504</v>
      </c>
      <c r="K2535">
        <v>0.61766209014654405</v>
      </c>
      <c r="L2535">
        <v>532.29053935575598</v>
      </c>
      <c r="M2535">
        <v>9.4836307739568309</v>
      </c>
      <c r="O2535">
        <v>53.801614069211404</v>
      </c>
      <c r="P2535">
        <v>-1.7405845268802601E-2</v>
      </c>
      <c r="Q2535">
        <v>0.60525442977917099</v>
      </c>
      <c r="R2535">
        <v>0.94670198163041497</v>
      </c>
      <c r="S2535" t="s">
        <v>8820</v>
      </c>
      <c r="T2535" t="s">
        <v>12568</v>
      </c>
      <c r="U2535" t="s">
        <v>12568</v>
      </c>
      <c r="V2535" t="s">
        <v>12568</v>
      </c>
      <c r="W2535" t="s">
        <v>15068</v>
      </c>
      <c r="X2535">
        <v>4</v>
      </c>
      <c r="Y2535" t="s">
        <v>21237</v>
      </c>
      <c r="Z2535" t="s">
        <v>27405</v>
      </c>
      <c r="AA2535">
        <v>0.82547273920147057</v>
      </c>
      <c r="AB2535" t="str">
        <f>HYPERLINK("Melting_Curves/meltCurve_P61952_GNG11.pdf", "Melting_Curves/meltCurve_P61952_GNG11.pdf")</f>
        <v>Melting_Curves/meltCurve_P61952_GNG11.pdf</v>
      </c>
    </row>
    <row r="2536" spans="1:28" x14ac:dyDescent="0.25">
      <c r="A2536" t="s">
        <v>2540</v>
      </c>
      <c r="B2536">
        <v>0.99352677808782597</v>
      </c>
      <c r="C2536">
        <v>0.79702166022480503</v>
      </c>
      <c r="D2536">
        <v>0.86826935207282596</v>
      </c>
      <c r="E2536">
        <v>0.87785028775663598</v>
      </c>
      <c r="F2536">
        <v>0.81374226496039603</v>
      </c>
      <c r="G2536">
        <v>0.79966780808152305</v>
      </c>
      <c r="H2536">
        <v>0.76129911223316205</v>
      </c>
      <c r="I2536">
        <v>0.89201342734984701</v>
      </c>
      <c r="J2536">
        <v>0.88908016113813204</v>
      </c>
      <c r="K2536">
        <v>0.87590001630317804</v>
      </c>
      <c r="L2536">
        <v>10126.2100681138</v>
      </c>
      <c r="M2536">
        <v>250</v>
      </c>
      <c r="O2536">
        <v>40.502251989451601</v>
      </c>
      <c r="P2536">
        <v>-0.24435474342591301</v>
      </c>
      <c r="Q2536">
        <v>0.84164933656852303</v>
      </c>
      <c r="R2536">
        <v>0.52256046553084401</v>
      </c>
      <c r="S2536" t="s">
        <v>8821</v>
      </c>
      <c r="T2536" t="s">
        <v>12568</v>
      </c>
      <c r="U2536" t="s">
        <v>12568</v>
      </c>
      <c r="V2536" t="s">
        <v>12568</v>
      </c>
      <c r="W2536" t="s">
        <v>15069</v>
      </c>
      <c r="X2536">
        <v>4</v>
      </c>
      <c r="Y2536" t="s">
        <v>21238</v>
      </c>
      <c r="Z2536" t="s">
        <v>27406</v>
      </c>
      <c r="AA2536">
        <v>0.8443598597701697</v>
      </c>
      <c r="AB2536" t="str">
        <f>HYPERLINK("Melting_Curves/meltCurve_P61956_SUMO2.pdf", "Melting_Curves/meltCurve_P61956_SUMO2.pdf")</f>
        <v>Melting_Curves/meltCurve_P61956_SUMO2.pdf</v>
      </c>
    </row>
    <row r="2537" spans="1:28" x14ac:dyDescent="0.25">
      <c r="A2537" t="s">
        <v>2541</v>
      </c>
      <c r="B2537">
        <v>0.99352677808782597</v>
      </c>
      <c r="C2537">
        <v>0.98672584004130903</v>
      </c>
      <c r="D2537">
        <v>0.97121387589136099</v>
      </c>
      <c r="E2537">
        <v>0.71854376045947199</v>
      </c>
      <c r="F2537">
        <v>0.58459317438541503</v>
      </c>
      <c r="G2537">
        <v>0.34984271510996701</v>
      </c>
      <c r="H2537">
        <v>0.19895150337523801</v>
      </c>
      <c r="I2537">
        <v>0.182296648357891</v>
      </c>
      <c r="J2537">
        <v>0.12803286933428601</v>
      </c>
      <c r="K2537">
        <v>9.0215756749607301E-2</v>
      </c>
      <c r="L2537">
        <v>793.43281462751702</v>
      </c>
      <c r="M2537">
        <v>14.834173966290701</v>
      </c>
      <c r="N2537">
        <v>54.145268083082897</v>
      </c>
      <c r="O2537">
        <v>52.5430550104088</v>
      </c>
      <c r="P2537">
        <v>-6.4762875781438994E-2</v>
      </c>
      <c r="Q2537">
        <v>8.2529638524860102E-2</v>
      </c>
      <c r="R2537">
        <v>0.99586753967597696</v>
      </c>
      <c r="S2537" t="s">
        <v>8822</v>
      </c>
      <c r="T2537" t="s">
        <v>12568</v>
      </c>
      <c r="U2537" t="s">
        <v>12568</v>
      </c>
      <c r="V2537" t="s">
        <v>12568</v>
      </c>
      <c r="W2537" t="s">
        <v>15070</v>
      </c>
      <c r="X2537">
        <v>5</v>
      </c>
      <c r="Y2537" t="s">
        <v>21239</v>
      </c>
      <c r="Z2537" t="s">
        <v>27407</v>
      </c>
      <c r="AA2537">
        <v>0.51459065177218155</v>
      </c>
      <c r="AB2537" t="str">
        <f>HYPERLINK("Melting_Curves/meltCurve_P61962_DCAF7.pdf", "Melting_Curves/meltCurve_P61962_DCAF7.pdf")</f>
        <v>Melting_Curves/meltCurve_P61962_DCAF7.pdf</v>
      </c>
    </row>
    <row r="2538" spans="1:28" x14ac:dyDescent="0.25">
      <c r="A2538" t="s">
        <v>2542</v>
      </c>
      <c r="B2538">
        <v>0.99352677808782597</v>
      </c>
      <c r="C2538">
        <v>1.0158891269399499</v>
      </c>
      <c r="D2538">
        <v>0.95177705254612099</v>
      </c>
      <c r="E2538">
        <v>0.86549521058804202</v>
      </c>
      <c r="F2538">
        <v>0.71992817856183899</v>
      </c>
      <c r="G2538">
        <v>0.62560832974672798</v>
      </c>
      <c r="H2538">
        <v>0.54761904093290203</v>
      </c>
      <c r="I2538">
        <v>0.450431483066981</v>
      </c>
      <c r="J2538">
        <v>0.33063356414815698</v>
      </c>
      <c r="K2538">
        <v>0.175813116809827</v>
      </c>
      <c r="L2538">
        <v>514.50531642322801</v>
      </c>
      <c r="M2538">
        <v>8.43897330165907</v>
      </c>
      <c r="N2538">
        <v>60.967759858847501</v>
      </c>
      <c r="O2538">
        <v>57.832964610251302</v>
      </c>
      <c r="P2538">
        <v>-3.6513732569905498E-2</v>
      </c>
      <c r="Q2538">
        <v>0</v>
      </c>
      <c r="R2538">
        <v>0.97820808062851305</v>
      </c>
      <c r="S2538" t="s">
        <v>8823</v>
      </c>
      <c r="T2538" t="s">
        <v>12568</v>
      </c>
      <c r="U2538" t="s">
        <v>12568</v>
      </c>
      <c r="V2538" t="s">
        <v>12568</v>
      </c>
      <c r="W2538" t="s">
        <v>15071</v>
      </c>
      <c r="X2538">
        <v>8</v>
      </c>
      <c r="Y2538" t="s">
        <v>21240</v>
      </c>
      <c r="Z2538" t="s">
        <v>27408</v>
      </c>
      <c r="AA2538">
        <v>0.67723912080469073</v>
      </c>
      <c r="AB2538" t="str">
        <f>HYPERLINK("Melting_Curves/meltCurve_P61964_WDR5.pdf", "Melting_Curves/meltCurve_P61964_WDR5.pdf")</f>
        <v>Melting_Curves/meltCurve_P61964_WDR5.pdf</v>
      </c>
    </row>
    <row r="2539" spans="1:28" x14ac:dyDescent="0.25">
      <c r="A2539" t="s">
        <v>2543</v>
      </c>
      <c r="B2539">
        <v>0.99352677808782597</v>
      </c>
      <c r="C2539">
        <v>1.01129941235094</v>
      </c>
      <c r="D2539">
        <v>0.86226104727000397</v>
      </c>
      <c r="E2539">
        <v>0.66990661253591099</v>
      </c>
      <c r="F2539">
        <v>0.44708752698117599</v>
      </c>
      <c r="G2539">
        <v>0.37175716253610902</v>
      </c>
      <c r="H2539">
        <v>0.213910620279431</v>
      </c>
      <c r="I2539">
        <v>0.12912905052689699</v>
      </c>
      <c r="J2539">
        <v>6.9659874762690602E-2</v>
      </c>
      <c r="K2539">
        <v>8.47550031637401E-2</v>
      </c>
      <c r="L2539">
        <v>648.89302390178204</v>
      </c>
      <c r="M2539">
        <v>12.295950428207</v>
      </c>
      <c r="N2539">
        <v>53.099147210651601</v>
      </c>
      <c r="O2539">
        <v>51.435305835710899</v>
      </c>
      <c r="P2539">
        <v>-5.76023617394111E-2</v>
      </c>
      <c r="Q2539">
        <v>3.6383436630451502E-2</v>
      </c>
      <c r="R2539">
        <v>0.98966428078564705</v>
      </c>
      <c r="S2539" t="s">
        <v>8824</v>
      </c>
      <c r="T2539" t="s">
        <v>12568</v>
      </c>
      <c r="U2539" t="s">
        <v>12568</v>
      </c>
      <c r="V2539" t="s">
        <v>12568</v>
      </c>
      <c r="W2539" t="s">
        <v>15072</v>
      </c>
      <c r="X2539">
        <v>2</v>
      </c>
      <c r="Y2539" t="s">
        <v>21241</v>
      </c>
      <c r="Z2539" t="s">
        <v>27409</v>
      </c>
      <c r="AA2539">
        <v>0.47378793059083563</v>
      </c>
      <c r="AB2539" t="str">
        <f>HYPERLINK("Melting_Curves/meltCurve_P61966_AP1S1.pdf", "Melting_Curves/meltCurve_P61966_AP1S1.pdf")</f>
        <v>Melting_Curves/meltCurve_P61966_AP1S1.pdf</v>
      </c>
    </row>
    <row r="2540" spans="1:28" x14ac:dyDescent="0.25">
      <c r="A2540" t="s">
        <v>2544</v>
      </c>
      <c r="B2540">
        <v>0.99352677808782597</v>
      </c>
      <c r="C2540">
        <v>0.999149092874136</v>
      </c>
      <c r="D2540">
        <v>1.0082883603569499</v>
      </c>
      <c r="E2540">
        <v>0.92952310839034502</v>
      </c>
      <c r="F2540">
        <v>0.80999493465910999</v>
      </c>
      <c r="G2540">
        <v>0.75599061136842904</v>
      </c>
      <c r="H2540">
        <v>0.59681254811623097</v>
      </c>
      <c r="I2540">
        <v>0.54284237724251705</v>
      </c>
      <c r="J2540">
        <v>0.41355427432351999</v>
      </c>
      <c r="K2540">
        <v>0.22578647003377</v>
      </c>
      <c r="L2540">
        <v>602.23304235439696</v>
      </c>
      <c r="M2540">
        <v>9.4619755351958208</v>
      </c>
      <c r="N2540">
        <v>63.647692932631301</v>
      </c>
      <c r="O2540">
        <v>60.999144361805101</v>
      </c>
      <c r="P2540">
        <v>-3.8802422468080397E-2</v>
      </c>
      <c r="Q2540">
        <v>0</v>
      </c>
      <c r="R2540">
        <v>0.97910248798398103</v>
      </c>
      <c r="S2540" t="s">
        <v>8825</v>
      </c>
      <c r="T2540" t="s">
        <v>12568</v>
      </c>
      <c r="U2540" t="s">
        <v>12568</v>
      </c>
      <c r="V2540" t="s">
        <v>12568</v>
      </c>
      <c r="W2540" t="s">
        <v>15073</v>
      </c>
      <c r="X2540">
        <v>6</v>
      </c>
      <c r="Y2540" t="s">
        <v>21242</v>
      </c>
      <c r="Z2540" t="s">
        <v>27410</v>
      </c>
      <c r="AA2540">
        <v>0.74567511939269149</v>
      </c>
      <c r="AB2540" t="str">
        <f>HYPERLINK("Melting_Curves/meltCurve_P61970_NUTF2.pdf", "Melting_Curves/meltCurve_P61970_NUTF2.pdf")</f>
        <v>Melting_Curves/meltCurve_P61970_NUTF2.pdf</v>
      </c>
    </row>
    <row r="2541" spans="1:28" x14ac:dyDescent="0.25">
      <c r="A2541" t="s">
        <v>2545</v>
      </c>
      <c r="B2541">
        <v>0.99352677808782597</v>
      </c>
      <c r="C2541">
        <v>0.93297981722091705</v>
      </c>
      <c r="D2541">
        <v>0.99414932511738596</v>
      </c>
      <c r="E2541">
        <v>0.63827442482318897</v>
      </c>
      <c r="F2541">
        <v>0.57782724738930802</v>
      </c>
      <c r="G2541">
        <v>0.33162589398859599</v>
      </c>
      <c r="H2541">
        <v>0.23978234761790401</v>
      </c>
      <c r="I2541">
        <v>0.217228547994155</v>
      </c>
      <c r="J2541">
        <v>0.19067559281122201</v>
      </c>
      <c r="K2541">
        <v>0.156283405488054</v>
      </c>
      <c r="L2541">
        <v>802.32941317473603</v>
      </c>
      <c r="M2541">
        <v>15.360545493141901</v>
      </c>
      <c r="N2541">
        <v>53.549981279037503</v>
      </c>
      <c r="O2541">
        <v>51.371857331177701</v>
      </c>
      <c r="P2541">
        <v>-6.2999481996639697E-2</v>
      </c>
      <c r="Q2541">
        <v>0.15729489655586301</v>
      </c>
      <c r="R2541">
        <v>0.983248914966529</v>
      </c>
      <c r="S2541" t="s">
        <v>8826</v>
      </c>
      <c r="T2541" t="s">
        <v>12568</v>
      </c>
      <c r="U2541" t="s">
        <v>12568</v>
      </c>
      <c r="V2541" t="s">
        <v>12568</v>
      </c>
      <c r="W2541" t="s">
        <v>15074</v>
      </c>
      <c r="X2541">
        <v>25</v>
      </c>
      <c r="Y2541" t="s">
        <v>21243</v>
      </c>
      <c r="Z2541" t="s">
        <v>27411</v>
      </c>
      <c r="AA2541">
        <v>0.51895182538204798</v>
      </c>
      <c r="AB2541" t="str">
        <f>HYPERLINK("Melting_Curves/meltCurve_P61978_3_HNRNPK.pdf", "Melting_Curves/meltCurve_P61978_3_HNRNPK.pdf")</f>
        <v>Melting_Curves/meltCurve_P61978_3_HNRNPK.pdf</v>
      </c>
    </row>
    <row r="2542" spans="1:28" x14ac:dyDescent="0.25">
      <c r="A2542" t="s">
        <v>2546</v>
      </c>
      <c r="B2542">
        <v>0.99352677808782597</v>
      </c>
      <c r="C2542">
        <v>0.98791629341680598</v>
      </c>
      <c r="D2542">
        <v>0.97471685351819404</v>
      </c>
      <c r="E2542">
        <v>0.96185063369606205</v>
      </c>
      <c r="F2542">
        <v>0.910234560084489</v>
      </c>
      <c r="G2542">
        <v>0.76052934407200801</v>
      </c>
      <c r="H2542">
        <v>0.38274085419995801</v>
      </c>
      <c r="I2542">
        <v>0.21019931062235001</v>
      </c>
      <c r="J2542">
        <v>0.15022591884325701</v>
      </c>
      <c r="K2542">
        <v>0.10689454322591201</v>
      </c>
      <c r="L2542">
        <v>1362.15217902924</v>
      </c>
      <c r="M2542">
        <v>22.992782220748602</v>
      </c>
      <c r="N2542">
        <v>59.693955815450302</v>
      </c>
      <c r="O2542">
        <v>58.799919479624101</v>
      </c>
      <c r="P2542">
        <v>-8.9960115138430802E-2</v>
      </c>
      <c r="Q2542">
        <v>7.9789595203698299E-2</v>
      </c>
      <c r="R2542">
        <v>0.99741615702365705</v>
      </c>
      <c r="S2542" t="s">
        <v>8827</v>
      </c>
      <c r="T2542" t="s">
        <v>12568</v>
      </c>
      <c r="U2542" t="s">
        <v>12568</v>
      </c>
      <c r="V2542" t="s">
        <v>12568</v>
      </c>
      <c r="W2542" t="s">
        <v>15075</v>
      </c>
      <c r="X2542">
        <v>25</v>
      </c>
      <c r="Y2542" t="s">
        <v>21244</v>
      </c>
      <c r="Z2542" t="s">
        <v>27412</v>
      </c>
      <c r="AA2542">
        <v>0.67808462102878553</v>
      </c>
      <c r="AB2542" t="str">
        <f>HYPERLINK("Melting_Curves/meltCurve_P61981_YWHAG.pdf", "Melting_Curves/meltCurve_P61981_YWHAG.pdf")</f>
        <v>Melting_Curves/meltCurve_P61981_YWHAG.pdf</v>
      </c>
    </row>
    <row r="2543" spans="1:28" x14ac:dyDescent="0.25">
      <c r="A2543" t="s">
        <v>2547</v>
      </c>
      <c r="B2543">
        <v>0.99352677808782597</v>
      </c>
      <c r="C2543">
        <v>0.569496985217256</v>
      </c>
      <c r="D2543">
        <v>0.872783176009855</v>
      </c>
      <c r="E2543">
        <v>0.83359531483498295</v>
      </c>
      <c r="F2543">
        <v>0.777357362979476</v>
      </c>
      <c r="G2543">
        <v>0.48225205943149502</v>
      </c>
      <c r="H2543">
        <v>0.19574942016584901</v>
      </c>
      <c r="I2543">
        <v>0.14328539422068601</v>
      </c>
      <c r="J2543">
        <v>9.4624923508879105E-2</v>
      </c>
      <c r="K2543">
        <v>7.16528456487419E-2</v>
      </c>
      <c r="L2543">
        <v>708.57854740139396</v>
      </c>
      <c r="M2543">
        <v>12.634228236832801</v>
      </c>
      <c r="N2543">
        <v>56.084063110716997</v>
      </c>
      <c r="O2543">
        <v>54.734622152690797</v>
      </c>
      <c r="P2543">
        <v>-5.7718117535026203E-2</v>
      </c>
      <c r="Q2543">
        <v>0</v>
      </c>
      <c r="R2543">
        <v>0.83330454332192305</v>
      </c>
      <c r="S2543" t="s">
        <v>8828</v>
      </c>
      <c r="T2543" t="s">
        <v>12568</v>
      </c>
      <c r="U2543" t="s">
        <v>12568</v>
      </c>
      <c r="V2543" t="s">
        <v>12568</v>
      </c>
      <c r="W2543" t="s">
        <v>15076</v>
      </c>
      <c r="X2543">
        <v>8</v>
      </c>
      <c r="Y2543" t="s">
        <v>21245</v>
      </c>
      <c r="Z2543" t="s">
        <v>27413</v>
      </c>
      <c r="AA2543">
        <v>0.55581461000442656</v>
      </c>
      <c r="AB2543" t="str">
        <f>HYPERLINK("Melting_Curves/meltCurve_P62070_RRAS2.pdf", "Melting_Curves/meltCurve_P62070_RRAS2.pdf")</f>
        <v>Melting_Curves/meltCurve_P62070_RRAS2.pdf</v>
      </c>
    </row>
    <row r="2544" spans="1:28" x14ac:dyDescent="0.25">
      <c r="A2544" t="s">
        <v>2548</v>
      </c>
      <c r="B2544">
        <v>0.99352677808782597</v>
      </c>
      <c r="C2544">
        <v>1.0084882623231599</v>
      </c>
      <c r="D2544">
        <v>1.0065998533016001</v>
      </c>
      <c r="E2544">
        <v>0.95167557355185395</v>
      </c>
      <c r="F2544">
        <v>0.85755606750369795</v>
      </c>
      <c r="G2544">
        <v>0.77202326413073596</v>
      </c>
      <c r="H2544">
        <v>0.71143029211403896</v>
      </c>
      <c r="I2544">
        <v>0.77823236571119603</v>
      </c>
      <c r="J2544">
        <v>0.79196779040253695</v>
      </c>
      <c r="K2544">
        <v>0.70178533355761896</v>
      </c>
      <c r="L2544">
        <v>1608.8549108064799</v>
      </c>
      <c r="M2544">
        <v>30.625928215750399</v>
      </c>
      <c r="O2544">
        <v>52.3099935994682</v>
      </c>
      <c r="P2544">
        <v>-3.71898162071575E-2</v>
      </c>
      <c r="Q2544">
        <v>0.74591628887829198</v>
      </c>
      <c r="R2544">
        <v>0.950456146037433</v>
      </c>
      <c r="S2544" t="s">
        <v>8829</v>
      </c>
      <c r="T2544" t="s">
        <v>12568</v>
      </c>
      <c r="U2544" t="s">
        <v>12568</v>
      </c>
      <c r="V2544" t="s">
        <v>12568</v>
      </c>
      <c r="W2544" t="s">
        <v>15077</v>
      </c>
      <c r="X2544">
        <v>6</v>
      </c>
      <c r="Y2544" t="s">
        <v>21246</v>
      </c>
      <c r="Z2544" t="s">
        <v>27414</v>
      </c>
      <c r="AA2544">
        <v>0.85363060096922716</v>
      </c>
      <c r="AB2544" t="str">
        <f>HYPERLINK("Melting_Curves/meltCurve_P62072_TIMM10.pdf", "Melting_Curves/meltCurve_P62072_TIMM10.pdf")</f>
        <v>Melting_Curves/meltCurve_P62072_TIMM10.pdf</v>
      </c>
    </row>
    <row r="2545" spans="1:28" x14ac:dyDescent="0.25">
      <c r="A2545" t="s">
        <v>2549</v>
      </c>
      <c r="B2545">
        <v>0.99352677808782597</v>
      </c>
      <c r="C2545">
        <v>0.82525688821578203</v>
      </c>
      <c r="D2545">
        <v>0.904696242836739</v>
      </c>
      <c r="E2545">
        <v>0.39451358212332899</v>
      </c>
      <c r="F2545">
        <v>0.33363062356673401</v>
      </c>
      <c r="G2545">
        <v>0.18292750075924699</v>
      </c>
      <c r="H2545">
        <v>0.12518040141551701</v>
      </c>
      <c r="I2545">
        <v>0.127106342731997</v>
      </c>
      <c r="J2545">
        <v>8.4130224974272999E-2</v>
      </c>
      <c r="K2545">
        <v>5.6799643253692501E-2</v>
      </c>
      <c r="L2545">
        <v>844.24358736593297</v>
      </c>
      <c r="M2545">
        <v>17.1453033258673</v>
      </c>
      <c r="N2545">
        <v>49.784834514065103</v>
      </c>
      <c r="O2545">
        <v>48.585299831202398</v>
      </c>
      <c r="P2545">
        <v>-8.0687347182352195E-2</v>
      </c>
      <c r="Q2545">
        <v>8.5467430683730805E-2</v>
      </c>
      <c r="R2545">
        <v>0.96967261814886596</v>
      </c>
      <c r="S2545" t="s">
        <v>8830</v>
      </c>
      <c r="T2545" t="s">
        <v>12568</v>
      </c>
      <c r="U2545" t="s">
        <v>12568</v>
      </c>
      <c r="V2545" t="s">
        <v>12568</v>
      </c>
      <c r="W2545" t="s">
        <v>15078</v>
      </c>
      <c r="X2545">
        <v>10</v>
      </c>
      <c r="Y2545" t="s">
        <v>21247</v>
      </c>
      <c r="Z2545" t="s">
        <v>27415</v>
      </c>
      <c r="AA2545">
        <v>0.38450833330700818</v>
      </c>
      <c r="AB2545" t="str">
        <f>HYPERLINK("Melting_Curves/meltCurve_P62081_RPS7.pdf", "Melting_Curves/meltCurve_P62081_RPS7.pdf")</f>
        <v>Melting_Curves/meltCurve_P62081_RPS7.pdf</v>
      </c>
    </row>
    <row r="2546" spans="1:28" x14ac:dyDescent="0.25">
      <c r="A2546" t="s">
        <v>2550</v>
      </c>
      <c r="B2546">
        <v>0.99352677808782597</v>
      </c>
      <c r="C2546">
        <v>0.959270478388768</v>
      </c>
      <c r="D2546">
        <v>0.90456120262519601</v>
      </c>
      <c r="E2546">
        <v>0.60134469124767098</v>
      </c>
      <c r="F2546">
        <v>0.46340800012175698</v>
      </c>
      <c r="G2546">
        <v>0.27024115453188302</v>
      </c>
      <c r="H2546">
        <v>0.12685288709539599</v>
      </c>
      <c r="I2546">
        <v>0.106953027169646</v>
      </c>
      <c r="J2546">
        <v>8.3402968168561006E-2</v>
      </c>
      <c r="K2546">
        <v>6.4778046089341706E-2</v>
      </c>
      <c r="L2546">
        <v>752.18861406320195</v>
      </c>
      <c r="M2546">
        <v>14.515397465390601</v>
      </c>
      <c r="N2546">
        <v>52.178345623158897</v>
      </c>
      <c r="O2546">
        <v>50.866299779803803</v>
      </c>
      <c r="P2546">
        <v>-6.7964780626242005E-2</v>
      </c>
      <c r="Q2546">
        <v>4.7433639650055599E-2</v>
      </c>
      <c r="R2546">
        <v>0.99665413968315597</v>
      </c>
      <c r="S2546" t="s">
        <v>8831</v>
      </c>
      <c r="T2546" t="s">
        <v>12568</v>
      </c>
      <c r="U2546" t="s">
        <v>12568</v>
      </c>
      <c r="V2546" t="s">
        <v>12568</v>
      </c>
      <c r="W2546" t="s">
        <v>15079</v>
      </c>
      <c r="X2546">
        <v>20</v>
      </c>
      <c r="Y2546" t="s">
        <v>21248</v>
      </c>
      <c r="Z2546" t="s">
        <v>27416</v>
      </c>
      <c r="AA2546">
        <v>0.44528239700761257</v>
      </c>
      <c r="AB2546" t="str">
        <f>HYPERLINK("Melting_Curves/meltCurve_P62136_PPP1CA.pdf", "Melting_Curves/meltCurve_P62136_PPP1CA.pdf")</f>
        <v>Melting_Curves/meltCurve_P62136_PPP1CA.pdf</v>
      </c>
    </row>
    <row r="2547" spans="1:28" x14ac:dyDescent="0.25">
      <c r="A2547" t="s">
        <v>2551</v>
      </c>
      <c r="B2547">
        <v>0.99352677808782597</v>
      </c>
      <c r="C2547">
        <v>0.94567616353051198</v>
      </c>
      <c r="D2547">
        <v>0.883123783737785</v>
      </c>
      <c r="E2547">
        <v>0.51028738218315295</v>
      </c>
      <c r="F2547">
        <v>0.44516646933597598</v>
      </c>
      <c r="G2547">
        <v>0.212734668010751</v>
      </c>
      <c r="H2547">
        <v>0.125951282709962</v>
      </c>
      <c r="I2547">
        <v>9.6795219411031405E-2</v>
      </c>
      <c r="J2547">
        <v>7.4699883857465593E-2</v>
      </c>
      <c r="K2547">
        <v>5.7803280591559099E-2</v>
      </c>
      <c r="L2547">
        <v>748.33775142362799</v>
      </c>
      <c r="M2547">
        <v>14.697052142903299</v>
      </c>
      <c r="N2547">
        <v>51.281226599444899</v>
      </c>
      <c r="O2547">
        <v>50.002742557441202</v>
      </c>
      <c r="P2547">
        <v>-6.9852171927393403E-2</v>
      </c>
      <c r="Q2547">
        <v>4.9491571089994302E-2</v>
      </c>
      <c r="R2547">
        <v>0.99130218293732397</v>
      </c>
      <c r="S2547" t="s">
        <v>8832</v>
      </c>
      <c r="T2547" t="s">
        <v>12568</v>
      </c>
      <c r="U2547" t="s">
        <v>12568</v>
      </c>
      <c r="V2547" t="s">
        <v>12568</v>
      </c>
      <c r="W2547" t="s">
        <v>15080</v>
      </c>
      <c r="X2547">
        <v>17</v>
      </c>
      <c r="Y2547" t="s">
        <v>21249</v>
      </c>
      <c r="Z2547" t="s">
        <v>27417</v>
      </c>
      <c r="AA2547">
        <v>0.4181731196209339</v>
      </c>
      <c r="AB2547" t="str">
        <f>HYPERLINK("Melting_Curves/meltCurve_P62140_PPP1CB.pdf", "Melting_Curves/meltCurve_P62140_PPP1CB.pdf")</f>
        <v>Melting_Curves/meltCurve_P62140_PPP1CB.pdf</v>
      </c>
    </row>
    <row r="2548" spans="1:28" x14ac:dyDescent="0.25">
      <c r="A2548" t="s">
        <v>2552</v>
      </c>
      <c r="B2548">
        <v>0.99352677808782597</v>
      </c>
      <c r="C2548">
        <v>0.95161576837524497</v>
      </c>
      <c r="D2548">
        <v>0.99303520412761304</v>
      </c>
      <c r="E2548">
        <v>1.04645060686289</v>
      </c>
      <c r="F2548">
        <v>0.96107880446856397</v>
      </c>
      <c r="G2548">
        <v>0.92914314494848704</v>
      </c>
      <c r="H2548">
        <v>0.83069779101187302</v>
      </c>
      <c r="I2548">
        <v>0.89809263928765404</v>
      </c>
      <c r="J2548">
        <v>0.98076612465288304</v>
      </c>
      <c r="K2548">
        <v>0.85068563798439301</v>
      </c>
      <c r="L2548">
        <v>2201.8388540250799</v>
      </c>
      <c r="M2548">
        <v>40.250937360032502</v>
      </c>
      <c r="O2548">
        <v>54.568293064716102</v>
      </c>
      <c r="P2548">
        <v>-1.9722387734969399E-2</v>
      </c>
      <c r="Q2548">
        <v>0.89304946136311103</v>
      </c>
      <c r="R2548">
        <v>0.53562081016452401</v>
      </c>
      <c r="S2548" t="s">
        <v>8833</v>
      </c>
      <c r="T2548" t="s">
        <v>12568</v>
      </c>
      <c r="U2548" t="s">
        <v>12568</v>
      </c>
      <c r="V2548" t="s">
        <v>12568</v>
      </c>
      <c r="W2548" t="s">
        <v>15081</v>
      </c>
      <c r="X2548">
        <v>15</v>
      </c>
      <c r="Y2548" t="s">
        <v>21250</v>
      </c>
      <c r="Z2548" t="s">
        <v>27418</v>
      </c>
      <c r="AA2548">
        <v>0.94586335945292888</v>
      </c>
      <c r="AB2548" t="str">
        <f>HYPERLINK("Melting_Curves/meltCurve_P62158_CALM1.pdf", "Melting_Curves/meltCurve_P62158_CALM1.pdf")</f>
        <v>Melting_Curves/meltCurve_P62158_CALM1.pdf</v>
      </c>
    </row>
    <row r="2549" spans="1:28" x14ac:dyDescent="0.25">
      <c r="A2549" t="s">
        <v>2553</v>
      </c>
      <c r="B2549">
        <v>0.99352677808782597</v>
      </c>
      <c r="C2549">
        <v>0.94268808114235503</v>
      </c>
      <c r="D2549">
        <v>0.94005904250411698</v>
      </c>
      <c r="E2549">
        <v>0.69763113832580204</v>
      </c>
      <c r="F2549">
        <v>0.62009243334993303</v>
      </c>
      <c r="G2549">
        <v>0.42923368205733697</v>
      </c>
      <c r="H2549">
        <v>0.42830513161536199</v>
      </c>
      <c r="I2549">
        <v>0.42191926897926901</v>
      </c>
      <c r="J2549">
        <v>0.497684218222464</v>
      </c>
      <c r="K2549">
        <v>0.39241578297614399</v>
      </c>
      <c r="L2549">
        <v>973.54592413007003</v>
      </c>
      <c r="M2549">
        <v>19.3834561706967</v>
      </c>
      <c r="N2549">
        <v>55.5464116132285</v>
      </c>
      <c r="O2549">
        <v>49.700198081821199</v>
      </c>
      <c r="P2549">
        <v>-5.6366968244463897E-2</v>
      </c>
      <c r="Q2549">
        <v>0.421909901860262</v>
      </c>
      <c r="R2549">
        <v>0.97555267492384701</v>
      </c>
      <c r="S2549" t="s">
        <v>8834</v>
      </c>
      <c r="T2549" t="s">
        <v>12568</v>
      </c>
      <c r="U2549" t="s">
        <v>12568</v>
      </c>
      <c r="V2549" t="s">
        <v>12568</v>
      </c>
      <c r="W2549" t="s">
        <v>15082</v>
      </c>
      <c r="X2549">
        <v>2</v>
      </c>
      <c r="Y2549" t="s">
        <v>21251</v>
      </c>
      <c r="Z2549" t="s">
        <v>27419</v>
      </c>
      <c r="AA2549">
        <v>0.62749518155343798</v>
      </c>
      <c r="AB2549" t="str">
        <f>HYPERLINK("Melting_Curves/meltCurve_P62166_NCS1.pdf", "Melting_Curves/meltCurve_P62166_NCS1.pdf")</f>
        <v>Melting_Curves/meltCurve_P62166_NCS1.pdf</v>
      </c>
    </row>
    <row r="2550" spans="1:28" x14ac:dyDescent="0.25">
      <c r="A2550" t="s">
        <v>2554</v>
      </c>
      <c r="B2550">
        <v>0.99352677808782597</v>
      </c>
      <c r="C2550">
        <v>0.97815685186808299</v>
      </c>
      <c r="D2550">
        <v>0.77863394222592597</v>
      </c>
      <c r="E2550">
        <v>0.94759469462081602</v>
      </c>
      <c r="F2550">
        <v>0.72818524681667596</v>
      </c>
      <c r="G2550">
        <v>0.38737601889798801</v>
      </c>
      <c r="H2550">
        <v>0.15835863837771799</v>
      </c>
      <c r="I2550">
        <v>0.13139278100447399</v>
      </c>
      <c r="J2550">
        <v>0.10823342053764901</v>
      </c>
      <c r="K2550">
        <v>8.2260190664990004E-2</v>
      </c>
      <c r="L2550">
        <v>1136.1045360247499</v>
      </c>
      <c r="M2550">
        <v>20.5868045863904</v>
      </c>
      <c r="N2550">
        <v>55.599119315806199</v>
      </c>
      <c r="O2550">
        <v>54.673259635496997</v>
      </c>
      <c r="P2550">
        <v>-8.7462824784324503E-2</v>
      </c>
      <c r="Q2550">
        <v>7.0911973748843296E-2</v>
      </c>
      <c r="R2550">
        <v>0.96673359082963894</v>
      </c>
      <c r="S2550" t="s">
        <v>8835</v>
      </c>
      <c r="T2550" t="s">
        <v>12568</v>
      </c>
      <c r="U2550" t="s">
        <v>12568</v>
      </c>
      <c r="V2550" t="s">
        <v>12568</v>
      </c>
      <c r="W2550" t="s">
        <v>15083</v>
      </c>
      <c r="X2550">
        <v>26</v>
      </c>
      <c r="Y2550" t="s">
        <v>21252</v>
      </c>
      <c r="Z2550" t="s">
        <v>27420</v>
      </c>
      <c r="AA2550">
        <v>0.55300582916868679</v>
      </c>
      <c r="AB2550" t="str">
        <f>HYPERLINK("Melting_Curves/meltCurve_P62191_PSMC1.pdf", "Melting_Curves/meltCurve_P62191_PSMC1.pdf")</f>
        <v>Melting_Curves/meltCurve_P62191_PSMC1.pdf</v>
      </c>
    </row>
    <row r="2551" spans="1:28" x14ac:dyDescent="0.25">
      <c r="A2551" t="s">
        <v>2555</v>
      </c>
      <c r="B2551">
        <v>0.99352677808782597</v>
      </c>
      <c r="C2551">
        <v>0.90890506413057204</v>
      </c>
      <c r="D2551">
        <v>0.66387299399549604</v>
      </c>
      <c r="E2551">
        <v>1.0722807946341499</v>
      </c>
      <c r="F2551">
        <v>0.80122006196017004</v>
      </c>
      <c r="G2551">
        <v>0.416299179877966</v>
      </c>
      <c r="H2551">
        <v>0.163065274430195</v>
      </c>
      <c r="I2551">
        <v>0.13444209827756501</v>
      </c>
      <c r="J2551">
        <v>0.113983339054335</v>
      </c>
      <c r="K2551">
        <v>8.0882285834716405E-2</v>
      </c>
      <c r="L2551">
        <v>1577.2598267129999</v>
      </c>
      <c r="M2551">
        <v>28.304920428443999</v>
      </c>
      <c r="N2551">
        <v>56.153434934526899</v>
      </c>
      <c r="O2551">
        <v>55.447954427469497</v>
      </c>
      <c r="P2551">
        <v>-0.115197267248683</v>
      </c>
      <c r="Q2551">
        <v>9.7344168529411398E-2</v>
      </c>
      <c r="R2551">
        <v>0.90680244610356497</v>
      </c>
      <c r="S2551" t="s">
        <v>8836</v>
      </c>
      <c r="T2551" t="s">
        <v>12568</v>
      </c>
      <c r="U2551" t="s">
        <v>12568</v>
      </c>
      <c r="V2551" t="s">
        <v>12568</v>
      </c>
      <c r="W2551" t="s">
        <v>15084</v>
      </c>
      <c r="X2551">
        <v>20</v>
      </c>
      <c r="Y2551" t="s">
        <v>21253</v>
      </c>
      <c r="Z2551" t="s">
        <v>27421</v>
      </c>
      <c r="AA2551">
        <v>0.57714101988691424</v>
      </c>
      <c r="AB2551" t="str">
        <f>HYPERLINK("Melting_Curves/meltCurve_P62195_2_PSMC5.pdf", "Melting_Curves/meltCurve_P62195_2_PSMC5.pdf")</f>
        <v>Melting_Curves/meltCurve_P62195_2_PSMC5.pdf</v>
      </c>
    </row>
    <row r="2552" spans="1:28" x14ac:dyDescent="0.25">
      <c r="A2552" t="s">
        <v>2556</v>
      </c>
      <c r="B2552">
        <v>0.99352677808782597</v>
      </c>
      <c r="C2552">
        <v>1.00127358905246</v>
      </c>
      <c r="D2552">
        <v>1.3095108197402401</v>
      </c>
      <c r="E2552">
        <v>0.80871881181513805</v>
      </c>
      <c r="F2552">
        <v>0.68648926188128701</v>
      </c>
      <c r="G2552">
        <v>0.43725248230601199</v>
      </c>
      <c r="H2552">
        <v>0.22342353707238299</v>
      </c>
      <c r="I2552">
        <v>0.14872129388229899</v>
      </c>
      <c r="J2552">
        <v>0.106620121593361</v>
      </c>
      <c r="K2552">
        <v>8.7184438418889995E-2</v>
      </c>
      <c r="L2552">
        <v>1049.28104258536</v>
      </c>
      <c r="M2552">
        <v>19.0033234026365</v>
      </c>
      <c r="N2552">
        <v>55.746932273481697</v>
      </c>
      <c r="O2552">
        <v>54.615121714181697</v>
      </c>
      <c r="P2552">
        <v>-7.9785883159466803E-2</v>
      </c>
      <c r="Q2552">
        <v>8.2825239787422497E-2</v>
      </c>
      <c r="R2552">
        <v>0.93297577834365597</v>
      </c>
      <c r="S2552" t="s">
        <v>8837</v>
      </c>
      <c r="T2552" t="s">
        <v>12568</v>
      </c>
      <c r="U2552" t="s">
        <v>12568</v>
      </c>
      <c r="V2552" t="s">
        <v>12568</v>
      </c>
      <c r="W2552" t="s">
        <v>15085</v>
      </c>
      <c r="X2552">
        <v>12</v>
      </c>
      <c r="Y2552" t="s">
        <v>21254</v>
      </c>
      <c r="Z2552" t="s">
        <v>27422</v>
      </c>
      <c r="AA2552">
        <v>0.56106874018998565</v>
      </c>
      <c r="AB2552" t="str">
        <f>HYPERLINK("Melting_Curves/meltCurve_P62241_RPS8.pdf", "Melting_Curves/meltCurve_P62241_RPS8.pdf")</f>
        <v>Melting_Curves/meltCurve_P62241_RPS8.pdf</v>
      </c>
    </row>
    <row r="2553" spans="1:28" x14ac:dyDescent="0.25">
      <c r="A2553" t="s">
        <v>2557</v>
      </c>
      <c r="B2553">
        <v>0.99352677808782597</v>
      </c>
      <c r="C2553">
        <v>0.84448911925423198</v>
      </c>
      <c r="D2553">
        <v>1.42903109733911</v>
      </c>
      <c r="E2553">
        <v>0.53109880530355402</v>
      </c>
      <c r="F2553">
        <v>0.483061671783449</v>
      </c>
      <c r="G2553">
        <v>0.24363999590136801</v>
      </c>
      <c r="H2553">
        <v>0.14605648270141799</v>
      </c>
      <c r="I2553">
        <v>0.12540721543965799</v>
      </c>
      <c r="J2553">
        <v>0.10341821108859101</v>
      </c>
      <c r="K2553">
        <v>8.6058667932254307E-2</v>
      </c>
      <c r="L2553">
        <v>1385.1306386655899</v>
      </c>
      <c r="M2553">
        <v>26.979737683614299</v>
      </c>
      <c r="N2553">
        <v>51.918353898691599</v>
      </c>
      <c r="O2553">
        <v>51.060076807456298</v>
      </c>
      <c r="P2553">
        <v>-0.11494512310614199</v>
      </c>
      <c r="Q2553">
        <v>0.12985797721416201</v>
      </c>
      <c r="R2553">
        <v>0.84722410945854598</v>
      </c>
      <c r="S2553" t="s">
        <v>8838</v>
      </c>
      <c r="T2553" t="s">
        <v>12568</v>
      </c>
      <c r="U2553" t="s">
        <v>12568</v>
      </c>
      <c r="V2553" t="s">
        <v>12568</v>
      </c>
      <c r="W2553" t="s">
        <v>15086</v>
      </c>
      <c r="X2553">
        <v>9</v>
      </c>
      <c r="Y2553" t="s">
        <v>21255</v>
      </c>
      <c r="Z2553" t="s">
        <v>27423</v>
      </c>
      <c r="AA2553">
        <v>0.46555439009518151</v>
      </c>
      <c r="AB2553" t="str">
        <f>HYPERLINK("Melting_Curves/meltCurve_P62249_RPS16.pdf", "Melting_Curves/meltCurve_P62249_RPS16.pdf")</f>
        <v>Melting_Curves/meltCurve_P62249_RPS16.pdf</v>
      </c>
    </row>
    <row r="2554" spans="1:28" x14ac:dyDescent="0.25">
      <c r="A2554" t="s">
        <v>2558</v>
      </c>
      <c r="B2554">
        <v>0.99352677808782597</v>
      </c>
      <c r="C2554">
        <v>0.94128783573366204</v>
      </c>
      <c r="D2554">
        <v>1.0277357652508901</v>
      </c>
      <c r="E2554">
        <v>0.968910948630479</v>
      </c>
      <c r="F2554">
        <v>0.95780066833531197</v>
      </c>
      <c r="G2554">
        <v>0.824433192166939</v>
      </c>
      <c r="H2554">
        <v>0.80516581638853302</v>
      </c>
      <c r="I2554">
        <v>0.362606088772013</v>
      </c>
      <c r="J2554">
        <v>0.202505902867475</v>
      </c>
      <c r="K2554">
        <v>0.12610706785665801</v>
      </c>
      <c r="L2554">
        <v>1755.0980178564701</v>
      </c>
      <c r="M2554">
        <v>27.922958818614202</v>
      </c>
      <c r="N2554">
        <v>63.1463611720093</v>
      </c>
      <c r="O2554">
        <v>62.535286303326401</v>
      </c>
      <c r="P2554">
        <v>-0.104883005358934</v>
      </c>
      <c r="Q2554">
        <v>6.0438851896001601E-2</v>
      </c>
      <c r="R2554">
        <v>0.97037944227391304</v>
      </c>
      <c r="S2554" t="s">
        <v>8839</v>
      </c>
      <c r="T2554" t="s">
        <v>12568</v>
      </c>
      <c r="U2554" t="s">
        <v>12568</v>
      </c>
      <c r="V2554" t="s">
        <v>12568</v>
      </c>
      <c r="W2554" t="s">
        <v>15087</v>
      </c>
      <c r="X2554">
        <v>4</v>
      </c>
      <c r="Y2554" t="s">
        <v>21256</v>
      </c>
      <c r="Z2554" t="s">
        <v>27424</v>
      </c>
      <c r="AA2554">
        <v>0.77931644077826256</v>
      </c>
      <c r="AB2554" t="str">
        <f>HYPERLINK("Melting_Curves/meltCurve_P62253_UBE2G1.pdf", "Melting_Curves/meltCurve_P62253_UBE2G1.pdf")</f>
        <v>Melting_Curves/meltCurve_P62253_UBE2G1.pdf</v>
      </c>
    </row>
    <row r="2555" spans="1:28" x14ac:dyDescent="0.25">
      <c r="A2555" t="s">
        <v>2559</v>
      </c>
      <c r="B2555">
        <v>0.99352677808782597</v>
      </c>
      <c r="C2555">
        <v>0.98762382485323696</v>
      </c>
      <c r="D2555">
        <v>1.0048155690617799</v>
      </c>
      <c r="E2555">
        <v>0.98359131476254402</v>
      </c>
      <c r="F2555">
        <v>0.89722676819648195</v>
      </c>
      <c r="G2555">
        <v>0.865016987528476</v>
      </c>
      <c r="H2555">
        <v>0.60096924575352295</v>
      </c>
      <c r="I2555">
        <v>0.19113854805213901</v>
      </c>
      <c r="J2555">
        <v>0.13442097665874</v>
      </c>
      <c r="K2555">
        <v>9.3926406792080405E-2</v>
      </c>
      <c r="L2555">
        <v>1786.5995594804699</v>
      </c>
      <c r="M2555">
        <v>29.211956957462899</v>
      </c>
      <c r="N2555">
        <v>61.395791270382901</v>
      </c>
      <c r="O2555">
        <v>60.875390052350802</v>
      </c>
      <c r="P2555">
        <v>-0.113598406538094</v>
      </c>
      <c r="Q2555">
        <v>5.3086494532418101E-2</v>
      </c>
      <c r="R2555">
        <v>0.98668980589355604</v>
      </c>
      <c r="S2555" t="s">
        <v>8840</v>
      </c>
      <c r="T2555" t="s">
        <v>12568</v>
      </c>
      <c r="U2555" t="s">
        <v>12568</v>
      </c>
      <c r="V2555" t="s">
        <v>12568</v>
      </c>
      <c r="W2555" t="s">
        <v>15088</v>
      </c>
      <c r="X2555">
        <v>25</v>
      </c>
      <c r="Y2555" t="s">
        <v>21257</v>
      </c>
      <c r="Z2555" t="s">
        <v>27425</v>
      </c>
      <c r="AA2555">
        <v>0.72621035712154181</v>
      </c>
      <c r="AB2555" t="str">
        <f>HYPERLINK("Melting_Curves/meltCurve_P62258_YWHAE.pdf", "Melting_Curves/meltCurve_P62258_YWHAE.pdf")</f>
        <v>Melting_Curves/meltCurve_P62258_YWHAE.pdf</v>
      </c>
    </row>
    <row r="2556" spans="1:28" x14ac:dyDescent="0.25">
      <c r="A2556" t="s">
        <v>2560</v>
      </c>
      <c r="B2556">
        <v>0.99352677808782597</v>
      </c>
      <c r="C2556">
        <v>0.85573223934842002</v>
      </c>
      <c r="D2556">
        <v>1.11946881556512</v>
      </c>
      <c r="E2556">
        <v>0.46518911071653901</v>
      </c>
      <c r="F2556">
        <v>0.39602982606137699</v>
      </c>
      <c r="G2556">
        <v>0.22864415203288199</v>
      </c>
      <c r="H2556">
        <v>0.143953433888936</v>
      </c>
      <c r="I2556">
        <v>0.13838468378749499</v>
      </c>
      <c r="J2556">
        <v>0.122343984615573</v>
      </c>
      <c r="K2556">
        <v>9.7265748591690196E-2</v>
      </c>
      <c r="L2556">
        <v>1373.1638595792101</v>
      </c>
      <c r="M2556">
        <v>27.428204571544502</v>
      </c>
      <c r="N2556">
        <v>50.699314556705097</v>
      </c>
      <c r="O2556">
        <v>49.800080102787099</v>
      </c>
      <c r="P2556">
        <v>-0.117666406975153</v>
      </c>
      <c r="Q2556">
        <v>0.14544284576966601</v>
      </c>
      <c r="R2556">
        <v>0.94010876510098096</v>
      </c>
      <c r="S2556" t="s">
        <v>8841</v>
      </c>
      <c r="T2556" t="s">
        <v>12568</v>
      </c>
      <c r="U2556" t="s">
        <v>12568</v>
      </c>
      <c r="V2556" t="s">
        <v>12568</v>
      </c>
      <c r="W2556" t="s">
        <v>15089</v>
      </c>
      <c r="X2556">
        <v>8</v>
      </c>
      <c r="Y2556" t="s">
        <v>21258</v>
      </c>
      <c r="Z2556" t="s">
        <v>27426</v>
      </c>
      <c r="AA2556">
        <v>0.43845789986717759</v>
      </c>
      <c r="AB2556" t="str">
        <f>HYPERLINK("Melting_Curves/meltCurve_P62263_RPS14.pdf", "Melting_Curves/meltCurve_P62263_RPS14.pdf")</f>
        <v>Melting_Curves/meltCurve_P62263_RPS14.pdf</v>
      </c>
    </row>
    <row r="2557" spans="1:28" x14ac:dyDescent="0.25">
      <c r="A2557" t="s">
        <v>2561</v>
      </c>
      <c r="B2557">
        <v>0.99352677808782597</v>
      </c>
      <c r="C2557">
        <v>0.76860618920024504</v>
      </c>
      <c r="D2557">
        <v>1.0969706745280201</v>
      </c>
      <c r="E2557">
        <v>0.47925728901271503</v>
      </c>
      <c r="F2557">
        <v>0.566858734196235</v>
      </c>
      <c r="G2557">
        <v>0.27776770032245801</v>
      </c>
      <c r="H2557">
        <v>0.14454568166387299</v>
      </c>
      <c r="I2557">
        <v>0.112390228378396</v>
      </c>
      <c r="J2557">
        <v>9.0757129917079196E-2</v>
      </c>
      <c r="K2557">
        <v>7.3856988416418995E-2</v>
      </c>
      <c r="L2557">
        <v>696.82481516858002</v>
      </c>
      <c r="M2557">
        <v>13.343612806769899</v>
      </c>
      <c r="N2557">
        <v>52.546623732185203</v>
      </c>
      <c r="O2557">
        <v>51.090539010693099</v>
      </c>
      <c r="P2557">
        <v>-6.2717612282252796E-2</v>
      </c>
      <c r="Q2557">
        <v>3.9610832026387099E-2</v>
      </c>
      <c r="R2557">
        <v>0.90403520076670296</v>
      </c>
      <c r="S2557" t="s">
        <v>8842</v>
      </c>
      <c r="T2557" t="s">
        <v>12568</v>
      </c>
      <c r="U2557" t="s">
        <v>12568</v>
      </c>
      <c r="V2557" t="s">
        <v>12568</v>
      </c>
      <c r="W2557" t="s">
        <v>15090</v>
      </c>
      <c r="X2557">
        <v>5</v>
      </c>
      <c r="Y2557" t="s">
        <v>21259</v>
      </c>
      <c r="Z2557" t="s">
        <v>27427</v>
      </c>
      <c r="AA2557">
        <v>0.45605670296710837</v>
      </c>
      <c r="AB2557" t="str">
        <f>HYPERLINK("Melting_Curves/meltCurve_P62266_RPS23.pdf", "Melting_Curves/meltCurve_P62266_RPS23.pdf")</f>
        <v>Melting_Curves/meltCurve_P62266_RPS23.pdf</v>
      </c>
    </row>
    <row r="2558" spans="1:28" x14ac:dyDescent="0.25">
      <c r="A2558" t="s">
        <v>2562</v>
      </c>
      <c r="B2558">
        <v>0.99352677808782597</v>
      </c>
      <c r="C2558">
        <v>0.66712881484334297</v>
      </c>
      <c r="D2558">
        <v>1.3303347205512499</v>
      </c>
      <c r="E2558">
        <v>0.53044224113739802</v>
      </c>
      <c r="F2558">
        <v>0.49112979320644601</v>
      </c>
      <c r="G2558">
        <v>0.22837867554260699</v>
      </c>
      <c r="H2558">
        <v>0.117091710662924</v>
      </c>
      <c r="I2558">
        <v>0.110255341205857</v>
      </c>
      <c r="J2558">
        <v>8.50944411733561E-2</v>
      </c>
      <c r="K2558">
        <v>6.9224699665092898E-2</v>
      </c>
      <c r="L2558">
        <v>1167.2213844103301</v>
      </c>
      <c r="M2558">
        <v>22.613892930482201</v>
      </c>
      <c r="N2558">
        <v>52.100685240596803</v>
      </c>
      <c r="O2558">
        <v>51.216694566058102</v>
      </c>
      <c r="P2558">
        <v>-9.9899523115109495E-2</v>
      </c>
      <c r="Q2558">
        <v>9.4995128620534497E-2</v>
      </c>
      <c r="R2558">
        <v>0.82647917954499195</v>
      </c>
      <c r="S2558" t="s">
        <v>8843</v>
      </c>
      <c r="T2558" t="s">
        <v>12568</v>
      </c>
      <c r="U2558" t="s">
        <v>12568</v>
      </c>
      <c r="V2558" t="s">
        <v>12568</v>
      </c>
      <c r="W2558" t="s">
        <v>15091</v>
      </c>
      <c r="X2558">
        <v>11</v>
      </c>
      <c r="Y2558" t="s">
        <v>21260</v>
      </c>
      <c r="Z2558" t="s">
        <v>27428</v>
      </c>
      <c r="AA2558">
        <v>0.45536793852410712</v>
      </c>
      <c r="AB2558" t="str">
        <f>HYPERLINK("Melting_Curves/meltCurve_P62269_RPS18.pdf", "Melting_Curves/meltCurve_P62269_RPS18.pdf")</f>
        <v>Melting_Curves/meltCurve_P62269_RPS18.pdf</v>
      </c>
    </row>
    <row r="2559" spans="1:28" x14ac:dyDescent="0.25">
      <c r="A2559" t="s">
        <v>2563</v>
      </c>
      <c r="B2559">
        <v>0.99352677808782597</v>
      </c>
      <c r="C2559">
        <v>0.95900411480019299</v>
      </c>
      <c r="D2559">
        <v>0.77656116568296996</v>
      </c>
      <c r="E2559">
        <v>0.85028091358298297</v>
      </c>
      <c r="F2559">
        <v>0.65453395685899896</v>
      </c>
      <c r="G2559">
        <v>0.63537005924457901</v>
      </c>
      <c r="H2559">
        <v>0.64959645404958499</v>
      </c>
      <c r="I2559">
        <v>1.3155670629006899</v>
      </c>
      <c r="J2559">
        <v>1.8019106892805099</v>
      </c>
      <c r="K2559">
        <v>1.92734829954995</v>
      </c>
      <c r="L2559">
        <v>15000</v>
      </c>
      <c r="M2559">
        <v>234.91204740617599</v>
      </c>
      <c r="O2559">
        <v>63.849057636677102</v>
      </c>
      <c r="P2559">
        <v>0.45989724933269199</v>
      </c>
      <c r="Q2559">
        <v>1.5</v>
      </c>
      <c r="R2559">
        <v>0.64210957767857701</v>
      </c>
      <c r="S2559" t="s">
        <v>8844</v>
      </c>
      <c r="T2559" t="s">
        <v>12568</v>
      </c>
      <c r="U2559" t="s">
        <v>12568</v>
      </c>
      <c r="V2559" t="s">
        <v>12568</v>
      </c>
      <c r="W2559" t="s">
        <v>15092</v>
      </c>
      <c r="X2559">
        <v>2</v>
      </c>
      <c r="Y2559" t="s">
        <v>21261</v>
      </c>
      <c r="Z2559" t="s">
        <v>27429</v>
      </c>
      <c r="AA2559">
        <v>1.1023751130091199</v>
      </c>
      <c r="AB2559" t="str">
        <f>HYPERLINK("Melting_Curves/meltCurve_P62273_RPS29.pdf", "Melting_Curves/meltCurve_P62273_RPS29.pdf")</f>
        <v>Melting_Curves/meltCurve_P62273_RPS29.pdf</v>
      </c>
    </row>
    <row r="2560" spans="1:28" x14ac:dyDescent="0.25">
      <c r="A2560" t="s">
        <v>2564</v>
      </c>
      <c r="B2560">
        <v>0.99352677808782597</v>
      </c>
      <c r="C2560">
        <v>0.949460990267598</v>
      </c>
      <c r="D2560">
        <v>1.904654189613</v>
      </c>
      <c r="E2560">
        <v>0.758729781768539</v>
      </c>
      <c r="F2560">
        <v>0.54745527916576797</v>
      </c>
      <c r="G2560">
        <v>0.25974745771617302</v>
      </c>
      <c r="H2560">
        <v>0.121446838635017</v>
      </c>
      <c r="I2560">
        <v>9.69968411512038E-2</v>
      </c>
      <c r="J2560">
        <v>9.0321931889972201E-2</v>
      </c>
      <c r="K2560">
        <v>6.8708689441066104E-2</v>
      </c>
      <c r="L2560">
        <v>1632.4352056802099</v>
      </c>
      <c r="M2560">
        <v>30.808690818043299</v>
      </c>
      <c r="N2560">
        <v>53.3797110818712</v>
      </c>
      <c r="O2560">
        <v>52.764462906398997</v>
      </c>
      <c r="P2560">
        <v>-0.13114430198001401</v>
      </c>
      <c r="Q2560">
        <v>0.101588964470606</v>
      </c>
      <c r="R2560">
        <v>0.72771784630843195</v>
      </c>
      <c r="S2560" t="s">
        <v>8845</v>
      </c>
      <c r="T2560" t="s">
        <v>12568</v>
      </c>
      <c r="U2560" t="s">
        <v>12568</v>
      </c>
      <c r="V2560" t="s">
        <v>12568</v>
      </c>
      <c r="W2560" t="s">
        <v>15093</v>
      </c>
      <c r="X2560">
        <v>6</v>
      </c>
      <c r="Y2560" t="s">
        <v>21262</v>
      </c>
      <c r="Z2560" t="s">
        <v>27430</v>
      </c>
      <c r="AA2560">
        <v>0.49601557761307541</v>
      </c>
      <c r="AB2560" t="str">
        <f>HYPERLINK("Melting_Curves/meltCurve_P62277_RPS13.pdf", "Melting_Curves/meltCurve_P62277_RPS13.pdf")</f>
        <v>Melting_Curves/meltCurve_P62277_RPS13.pdf</v>
      </c>
    </row>
    <row r="2561" spans="1:28" x14ac:dyDescent="0.25">
      <c r="A2561" t="s">
        <v>2565</v>
      </c>
      <c r="B2561">
        <v>0.99352677808782597</v>
      </c>
      <c r="C2561">
        <v>0.77276969054901201</v>
      </c>
      <c r="D2561">
        <v>1.6111069805600999</v>
      </c>
      <c r="E2561">
        <v>0.68695145059441098</v>
      </c>
      <c r="F2561">
        <v>0.59703777537668101</v>
      </c>
      <c r="G2561">
        <v>0.33817726207672</v>
      </c>
      <c r="H2561">
        <v>0.207859066024559</v>
      </c>
      <c r="I2561">
        <v>0.21002955486781399</v>
      </c>
      <c r="J2561">
        <v>0.178397162244746</v>
      </c>
      <c r="K2561">
        <v>0.16034464789946001</v>
      </c>
      <c r="L2561">
        <v>1389.7692619002701</v>
      </c>
      <c r="M2561">
        <v>26.356655905611198</v>
      </c>
      <c r="N2561">
        <v>53.708716557368199</v>
      </c>
      <c r="O2561">
        <v>52.428596721160098</v>
      </c>
      <c r="P2561">
        <v>-0.10170075000482801</v>
      </c>
      <c r="Q2561">
        <v>0.19079709123765601</v>
      </c>
      <c r="R2561">
        <v>0.75714938116199704</v>
      </c>
      <c r="S2561" t="s">
        <v>8846</v>
      </c>
      <c r="T2561" t="s">
        <v>12568</v>
      </c>
      <c r="U2561" t="s">
        <v>12568</v>
      </c>
      <c r="V2561" t="s">
        <v>12568</v>
      </c>
      <c r="W2561" t="s">
        <v>15094</v>
      </c>
      <c r="X2561">
        <v>11</v>
      </c>
      <c r="Y2561" t="s">
        <v>21263</v>
      </c>
      <c r="Z2561" t="s">
        <v>27431</v>
      </c>
      <c r="AA2561">
        <v>0.54087467360901487</v>
      </c>
      <c r="AB2561" t="str">
        <f>HYPERLINK("Melting_Curves/meltCurve_P62280_RPS11.pdf", "Melting_Curves/meltCurve_P62280_RPS11.pdf")</f>
        <v>Melting_Curves/meltCurve_P62280_RPS11.pdf</v>
      </c>
    </row>
    <row r="2562" spans="1:28" x14ac:dyDescent="0.25">
      <c r="A2562" t="s">
        <v>2566</v>
      </c>
      <c r="B2562">
        <v>0.99352677808782597</v>
      </c>
      <c r="C2562">
        <v>1.0321740283749199</v>
      </c>
      <c r="D2562">
        <v>0.90746204021445998</v>
      </c>
      <c r="E2562">
        <v>0.84943486241284105</v>
      </c>
      <c r="F2562">
        <v>0.72494157957159799</v>
      </c>
      <c r="G2562">
        <v>0.53172074833905802</v>
      </c>
      <c r="H2562">
        <v>0.44893875194900501</v>
      </c>
      <c r="I2562">
        <v>0.393248301285896</v>
      </c>
      <c r="J2562">
        <v>0.410136922866154</v>
      </c>
      <c r="K2562">
        <v>0.19108331842057499</v>
      </c>
      <c r="L2562">
        <v>575.67606749810102</v>
      </c>
      <c r="M2562">
        <v>10.147053233323</v>
      </c>
      <c r="N2562">
        <v>59.2055782190765</v>
      </c>
      <c r="O2562">
        <v>54.662140603280797</v>
      </c>
      <c r="P2562">
        <v>-3.8411335209480403E-2</v>
      </c>
      <c r="Q2562">
        <v>0.17269365964890299</v>
      </c>
      <c r="R2562">
        <v>0.96927661384001995</v>
      </c>
      <c r="S2562" t="s">
        <v>8847</v>
      </c>
      <c r="T2562" t="s">
        <v>12568</v>
      </c>
      <c r="U2562" t="s">
        <v>12568</v>
      </c>
      <c r="V2562" t="s">
        <v>12568</v>
      </c>
      <c r="W2562" t="s">
        <v>15095</v>
      </c>
      <c r="X2562">
        <v>4</v>
      </c>
      <c r="Y2562" t="s">
        <v>21264</v>
      </c>
      <c r="Z2562" t="s">
        <v>27432</v>
      </c>
      <c r="AA2562">
        <v>0.64852872372690418</v>
      </c>
      <c r="AB2562" t="str">
        <f>HYPERLINK("Melting_Curves/meltCurve_P62304_SNRPE.pdf", "Melting_Curves/meltCurve_P62304_SNRPE.pdf")</f>
        <v>Melting_Curves/meltCurve_P62304_SNRPE.pdf</v>
      </c>
    </row>
    <row r="2563" spans="1:28" x14ac:dyDescent="0.25">
      <c r="A2563" t="s">
        <v>2567</v>
      </c>
      <c r="B2563">
        <v>0.99352677808782597</v>
      </c>
      <c r="C2563">
        <v>1.0118911307393801</v>
      </c>
      <c r="D2563">
        <v>1.11370787547612</v>
      </c>
      <c r="E2563">
        <v>1.23889169660482</v>
      </c>
      <c r="F2563">
        <v>0.82201617409266803</v>
      </c>
      <c r="G2563">
        <v>0.91493472421347799</v>
      </c>
      <c r="H2563">
        <v>0.51993504868125295</v>
      </c>
      <c r="I2563">
        <v>0.43463304593839103</v>
      </c>
      <c r="J2563">
        <v>0.37316818290479797</v>
      </c>
      <c r="K2563">
        <v>0.39843315613771502</v>
      </c>
      <c r="L2563">
        <v>2342.97343306928</v>
      </c>
      <c r="M2563">
        <v>39.561541431175399</v>
      </c>
      <c r="N2563">
        <v>61.530024869877103</v>
      </c>
      <c r="O2563">
        <v>59.072810057151003</v>
      </c>
      <c r="P2563">
        <v>-0.102712985256904</v>
      </c>
      <c r="Q2563">
        <v>0.386522388036947</v>
      </c>
      <c r="R2563">
        <v>0.89189327237501503</v>
      </c>
      <c r="S2563" t="s">
        <v>8848</v>
      </c>
      <c r="T2563" t="s">
        <v>12568</v>
      </c>
      <c r="U2563" t="s">
        <v>12568</v>
      </c>
      <c r="V2563" t="s">
        <v>12568</v>
      </c>
      <c r="W2563" t="s">
        <v>15096</v>
      </c>
      <c r="X2563">
        <v>2</v>
      </c>
      <c r="Y2563" t="s">
        <v>21265</v>
      </c>
      <c r="Z2563" t="s">
        <v>27433</v>
      </c>
      <c r="AA2563">
        <v>0.782094384801158</v>
      </c>
      <c r="AB2563" t="str">
        <f>HYPERLINK("Melting_Curves/meltCurve_P62306_SNRPF.pdf", "Melting_Curves/meltCurve_P62306_SNRPF.pdf")</f>
        <v>Melting_Curves/meltCurve_P62306_SNRPF.pdf</v>
      </c>
    </row>
    <row r="2564" spans="1:28" x14ac:dyDescent="0.25">
      <c r="A2564" t="s">
        <v>2568</v>
      </c>
      <c r="B2564">
        <v>0.99352677808782597</v>
      </c>
      <c r="C2564">
        <v>1.0259866375125899</v>
      </c>
      <c r="D2564">
        <v>0.96054282710356997</v>
      </c>
      <c r="E2564">
        <v>1.1438891244215601</v>
      </c>
      <c r="F2564">
        <v>1.0154513814852499</v>
      </c>
      <c r="G2564">
        <v>0.77850142248667098</v>
      </c>
      <c r="H2564">
        <v>0.640878511153263</v>
      </c>
      <c r="I2564">
        <v>0.61255920930352503</v>
      </c>
      <c r="J2564">
        <v>0.69728600729696799</v>
      </c>
      <c r="K2564">
        <v>0.29119854870738099</v>
      </c>
      <c r="L2564">
        <v>692.61244099815701</v>
      </c>
      <c r="M2564">
        <v>10.315117632548001</v>
      </c>
      <c r="N2564">
        <v>67.145373701313801</v>
      </c>
      <c r="O2564">
        <v>64.768708460250807</v>
      </c>
      <c r="P2564">
        <v>-3.9832401711319097E-2</v>
      </c>
      <c r="Q2564">
        <v>0</v>
      </c>
      <c r="R2564">
        <v>0.83240231059651004</v>
      </c>
      <c r="S2564" t="s">
        <v>8849</v>
      </c>
      <c r="T2564" t="s">
        <v>12568</v>
      </c>
      <c r="U2564" t="s">
        <v>12568</v>
      </c>
      <c r="V2564" t="s">
        <v>12568</v>
      </c>
      <c r="W2564" t="s">
        <v>15097</v>
      </c>
      <c r="X2564">
        <v>4</v>
      </c>
      <c r="Y2564" t="s">
        <v>21266</v>
      </c>
      <c r="Z2564" t="s">
        <v>27434</v>
      </c>
      <c r="AA2564">
        <v>0.82367982868879941</v>
      </c>
      <c r="AB2564" t="str">
        <f>HYPERLINK("Melting_Curves/meltCurve_P62308_SNRPG.pdf", "Melting_Curves/meltCurve_P62308_SNRPG.pdf")</f>
        <v>Melting_Curves/meltCurve_P62308_SNRPG.pdf</v>
      </c>
    </row>
    <row r="2565" spans="1:28" x14ac:dyDescent="0.25">
      <c r="A2565" t="s">
        <v>2569</v>
      </c>
      <c r="B2565">
        <v>0.99352677808782597</v>
      </c>
      <c r="C2565">
        <v>1.1088216468188401</v>
      </c>
      <c r="D2565">
        <v>1.0392193427952601</v>
      </c>
      <c r="E2565">
        <v>1.0748125775794299</v>
      </c>
      <c r="F2565">
        <v>1.03915087237036</v>
      </c>
      <c r="G2565">
        <v>0.81750503872247005</v>
      </c>
      <c r="H2565">
        <v>0.82916859793934194</v>
      </c>
      <c r="I2565">
        <v>0.95480900268153301</v>
      </c>
      <c r="J2565">
        <v>1.0584955216752101</v>
      </c>
      <c r="K2565">
        <v>0.77783393670265599</v>
      </c>
      <c r="L2565">
        <v>4228.2451022324503</v>
      </c>
      <c r="M2565">
        <v>77.199898193702396</v>
      </c>
      <c r="O2565">
        <v>54.733368255782203</v>
      </c>
      <c r="P2565">
        <v>-3.9530134860274797E-2</v>
      </c>
      <c r="Q2565">
        <v>0.88789533943671595</v>
      </c>
      <c r="R2565">
        <v>0.40751255433300498</v>
      </c>
      <c r="S2565" t="s">
        <v>8850</v>
      </c>
      <c r="T2565" t="s">
        <v>12568</v>
      </c>
      <c r="U2565" t="s">
        <v>12568</v>
      </c>
      <c r="V2565" t="s">
        <v>12568</v>
      </c>
      <c r="W2565" t="s">
        <v>15098</v>
      </c>
      <c r="X2565">
        <v>3</v>
      </c>
      <c r="Y2565" t="s">
        <v>21267</v>
      </c>
      <c r="Z2565" t="s">
        <v>27435</v>
      </c>
      <c r="AA2565">
        <v>0.94320176421287305</v>
      </c>
      <c r="AB2565" t="str">
        <f>HYPERLINK("Melting_Curves/meltCurve_P62310_LSM3.pdf", "Melting_Curves/meltCurve_P62310_LSM3.pdf")</f>
        <v>Melting_Curves/meltCurve_P62310_LSM3.pdf</v>
      </c>
    </row>
    <row r="2566" spans="1:28" x14ac:dyDescent="0.25">
      <c r="A2566" t="s">
        <v>2570</v>
      </c>
      <c r="B2566">
        <v>0.99352677808782597</v>
      </c>
      <c r="C2566">
        <v>1.0942370700694399</v>
      </c>
      <c r="D2566">
        <v>1.1556991637630001</v>
      </c>
      <c r="E2566">
        <v>1.18348644311892</v>
      </c>
      <c r="F2566">
        <v>1.1115939746999499</v>
      </c>
      <c r="G2566">
        <v>1.00692103731969</v>
      </c>
      <c r="H2566">
        <v>1.08618851390648</v>
      </c>
      <c r="I2566">
        <v>1.0004867379042299</v>
      </c>
      <c r="J2566">
        <v>0.924536878767237</v>
      </c>
      <c r="K2566">
        <v>0.44425959679201099</v>
      </c>
      <c r="S2566" t="s">
        <v>8851</v>
      </c>
      <c r="T2566" t="s">
        <v>12568</v>
      </c>
      <c r="U2566" t="s">
        <v>12569</v>
      </c>
      <c r="V2566" t="s">
        <v>12568</v>
      </c>
      <c r="W2566" t="s">
        <v>15099</v>
      </c>
      <c r="X2566">
        <v>8</v>
      </c>
      <c r="Y2566" t="s">
        <v>21268</v>
      </c>
      <c r="Z2566" t="s">
        <v>27436</v>
      </c>
      <c r="AB2566" t="str">
        <f>HYPERLINK("Melting_Curves/meltCurve_P62312_LSM6.pdf", "Melting_Curves/meltCurve_P62312_LSM6.pdf")</f>
        <v>Melting_Curves/meltCurve_P62312_LSM6.pdf</v>
      </c>
    </row>
    <row r="2567" spans="1:28" x14ac:dyDescent="0.25">
      <c r="A2567" t="s">
        <v>2571</v>
      </c>
      <c r="B2567">
        <v>0.99352677808782597</v>
      </c>
      <c r="C2567">
        <v>1.00384662311596</v>
      </c>
      <c r="D2567">
        <v>0.90366684658926</v>
      </c>
      <c r="E2567">
        <v>1.2430535069802</v>
      </c>
      <c r="F2567">
        <v>0.97624896015672402</v>
      </c>
      <c r="G2567">
        <v>0.79395184066921598</v>
      </c>
      <c r="H2567">
        <v>0.55855903811795404</v>
      </c>
      <c r="I2567">
        <v>0.51734540757652203</v>
      </c>
      <c r="J2567">
        <v>0.50649978646722005</v>
      </c>
      <c r="K2567">
        <v>0.192693248663109</v>
      </c>
      <c r="L2567">
        <v>983.19740135692098</v>
      </c>
      <c r="M2567">
        <v>15.8823482010762</v>
      </c>
      <c r="N2567">
        <v>63.720347045922601</v>
      </c>
      <c r="O2567">
        <v>60.948569188854599</v>
      </c>
      <c r="P2567">
        <v>-5.3296032363262899E-2</v>
      </c>
      <c r="Q2567">
        <v>0.181971172162294</v>
      </c>
      <c r="R2567">
        <v>0.87150688541510002</v>
      </c>
      <c r="S2567" t="s">
        <v>8852</v>
      </c>
      <c r="T2567" t="s">
        <v>12568</v>
      </c>
      <c r="U2567" t="s">
        <v>12568</v>
      </c>
      <c r="V2567" t="s">
        <v>12568</v>
      </c>
      <c r="W2567" t="s">
        <v>15100</v>
      </c>
      <c r="X2567">
        <v>3</v>
      </c>
      <c r="Y2567" t="s">
        <v>21269</v>
      </c>
      <c r="Z2567" t="s">
        <v>27437</v>
      </c>
      <c r="AA2567">
        <v>0.77867684995774433</v>
      </c>
      <c r="AB2567" t="str">
        <f>HYPERLINK("Melting_Curves/meltCurve_P62314_SNRPD1.pdf", "Melting_Curves/meltCurve_P62314_SNRPD1.pdf")</f>
        <v>Melting_Curves/meltCurve_P62314_SNRPD1.pdf</v>
      </c>
    </row>
    <row r="2568" spans="1:28" x14ac:dyDescent="0.25">
      <c r="A2568" t="s">
        <v>2572</v>
      </c>
      <c r="B2568">
        <v>0.99352677808782597</v>
      </c>
      <c r="C2568">
        <v>0.99686175388521503</v>
      </c>
      <c r="D2568">
        <v>0.89191393335722202</v>
      </c>
      <c r="E2568">
        <v>1.2928516332545701</v>
      </c>
      <c r="F2568">
        <v>1.0788113929747301</v>
      </c>
      <c r="G2568">
        <v>0.89838797022144301</v>
      </c>
      <c r="H2568">
        <v>0.78936822591317701</v>
      </c>
      <c r="I2568">
        <v>0.66855483151794004</v>
      </c>
      <c r="J2568">
        <v>0.72655845895307303</v>
      </c>
      <c r="K2568">
        <v>0.35135825597994202</v>
      </c>
      <c r="L2568">
        <v>956.57145233810195</v>
      </c>
      <c r="M2568">
        <v>13.9663934445175</v>
      </c>
      <c r="N2568">
        <v>68.490942957971498</v>
      </c>
      <c r="O2568">
        <v>67.132624729590106</v>
      </c>
      <c r="P2568">
        <v>-5.2017404472078498E-2</v>
      </c>
      <c r="Q2568">
        <v>0</v>
      </c>
      <c r="R2568">
        <v>0.75260550579718</v>
      </c>
      <c r="S2568" t="s">
        <v>8853</v>
      </c>
      <c r="T2568" t="s">
        <v>12568</v>
      </c>
      <c r="U2568" t="s">
        <v>12568</v>
      </c>
      <c r="V2568" t="s">
        <v>12568</v>
      </c>
      <c r="W2568" t="s">
        <v>15101</v>
      </c>
      <c r="X2568">
        <v>12</v>
      </c>
      <c r="Y2568" t="s">
        <v>21270</v>
      </c>
      <c r="Z2568" t="s">
        <v>27438</v>
      </c>
      <c r="AA2568">
        <v>0.87537519759060145</v>
      </c>
      <c r="AB2568" t="str">
        <f>HYPERLINK("Melting_Curves/meltCurve_P62316_SNRPD2.pdf", "Melting_Curves/meltCurve_P62316_SNRPD2.pdf")</f>
        <v>Melting_Curves/meltCurve_P62316_SNRPD2.pdf</v>
      </c>
    </row>
    <row r="2569" spans="1:28" x14ac:dyDescent="0.25">
      <c r="A2569" t="s">
        <v>2573</v>
      </c>
      <c r="B2569">
        <v>0.99352677808782597</v>
      </c>
      <c r="C2569">
        <v>0.91029618335949702</v>
      </c>
      <c r="D2569">
        <v>0.92887480337883099</v>
      </c>
      <c r="E2569">
        <v>0.98502153608693999</v>
      </c>
      <c r="F2569">
        <v>0.96028975119762305</v>
      </c>
      <c r="G2569">
        <v>0.80692018196208004</v>
      </c>
      <c r="H2569">
        <v>0.81154959726962195</v>
      </c>
      <c r="I2569">
        <v>0.88361201801768097</v>
      </c>
      <c r="J2569">
        <v>0.91886243337576701</v>
      </c>
      <c r="K2569">
        <v>0.88507566859212194</v>
      </c>
      <c r="L2569">
        <v>365.35312852394202</v>
      </c>
      <c r="M2569">
        <v>7.5819684467608504</v>
      </c>
      <c r="O2569">
        <v>45.177518570985001</v>
      </c>
      <c r="P2569">
        <v>-6.0116930033999403E-3</v>
      </c>
      <c r="Q2569">
        <v>0.85691378716628797</v>
      </c>
      <c r="R2569">
        <v>0.33366507193358103</v>
      </c>
      <c r="S2569" t="s">
        <v>8854</v>
      </c>
      <c r="T2569" t="s">
        <v>12568</v>
      </c>
      <c r="U2569" t="s">
        <v>12568</v>
      </c>
      <c r="V2569" t="s">
        <v>12568</v>
      </c>
      <c r="W2569" t="s">
        <v>15102</v>
      </c>
      <c r="X2569">
        <v>11</v>
      </c>
      <c r="Y2569" t="s">
        <v>21271</v>
      </c>
      <c r="Z2569" t="s">
        <v>27439</v>
      </c>
      <c r="AA2569">
        <v>0.906874662167789</v>
      </c>
      <c r="AB2569" t="str">
        <f>HYPERLINK("Melting_Curves/meltCurve_P62328_TMSB4X.pdf", "Melting_Curves/meltCurve_P62328_TMSB4X.pdf")</f>
        <v>Melting_Curves/meltCurve_P62328_TMSB4X.pdf</v>
      </c>
    </row>
    <row r="2570" spans="1:28" x14ac:dyDescent="0.25">
      <c r="A2570" t="s">
        <v>2574</v>
      </c>
      <c r="B2570">
        <v>0.99352677808782597</v>
      </c>
      <c r="C2570">
        <v>0.93089827351753895</v>
      </c>
      <c r="D2570">
        <v>0.89890356000307203</v>
      </c>
      <c r="E2570">
        <v>0.45875369301996699</v>
      </c>
      <c r="F2570">
        <v>0.35522032443035101</v>
      </c>
      <c r="G2570">
        <v>0.208457256311807</v>
      </c>
      <c r="H2570">
        <v>0.184865952999512</v>
      </c>
      <c r="I2570">
        <v>0.16269466439215399</v>
      </c>
      <c r="J2570">
        <v>0.17271105269316001</v>
      </c>
      <c r="K2570">
        <v>0.103984572883148</v>
      </c>
      <c r="L2570">
        <v>1035.39287120831</v>
      </c>
      <c r="M2570">
        <v>21.004566945468401</v>
      </c>
      <c r="N2570">
        <v>50.1729626359515</v>
      </c>
      <c r="O2570">
        <v>48.853447736471701</v>
      </c>
      <c r="P2570">
        <v>-9.0939879438206903E-2</v>
      </c>
      <c r="Q2570">
        <v>0.15397340793930001</v>
      </c>
      <c r="R2570">
        <v>0.98941205237010699</v>
      </c>
      <c r="S2570" t="s">
        <v>8855</v>
      </c>
      <c r="T2570" t="s">
        <v>12568</v>
      </c>
      <c r="U2570" t="s">
        <v>12568</v>
      </c>
      <c r="V2570" t="s">
        <v>12568</v>
      </c>
      <c r="W2570" t="s">
        <v>15103</v>
      </c>
      <c r="X2570">
        <v>4</v>
      </c>
      <c r="Y2570" t="s">
        <v>21272</v>
      </c>
      <c r="Z2570" t="s">
        <v>27440</v>
      </c>
      <c r="AA2570">
        <v>0.42677447489421239</v>
      </c>
      <c r="AB2570" t="str">
        <f>HYPERLINK("Melting_Curves/meltCurve_P62330_ARF6.pdf", "Melting_Curves/meltCurve_P62330_ARF6.pdf")</f>
        <v>Melting_Curves/meltCurve_P62330_ARF6.pdf</v>
      </c>
    </row>
    <row r="2571" spans="1:28" x14ac:dyDescent="0.25">
      <c r="A2571" t="s">
        <v>2575</v>
      </c>
      <c r="B2571">
        <v>0.99352677808782597</v>
      </c>
      <c r="C2571">
        <v>0.91934699264210296</v>
      </c>
      <c r="D2571">
        <v>0.69000575613580795</v>
      </c>
      <c r="E2571">
        <v>0.67977802655062902</v>
      </c>
      <c r="F2571">
        <v>0.53663848381557699</v>
      </c>
      <c r="G2571">
        <v>0.28795069026479397</v>
      </c>
      <c r="H2571">
        <v>0.134875088843359</v>
      </c>
      <c r="I2571">
        <v>0.11745503354176599</v>
      </c>
      <c r="J2571">
        <v>9.5516612367926607E-2</v>
      </c>
      <c r="K2571">
        <v>7.25068695182738E-2</v>
      </c>
      <c r="L2571">
        <v>545.94453238162396</v>
      </c>
      <c r="M2571">
        <v>10.4124392139463</v>
      </c>
      <c r="N2571">
        <v>52.431949240945201</v>
      </c>
      <c r="O2571">
        <v>50.608668166788497</v>
      </c>
      <c r="P2571">
        <v>-5.1457499616357101E-2</v>
      </c>
      <c r="Q2571">
        <v>0</v>
      </c>
      <c r="R2571">
        <v>0.97693231654211998</v>
      </c>
      <c r="S2571" t="s">
        <v>8856</v>
      </c>
      <c r="T2571" t="s">
        <v>12568</v>
      </c>
      <c r="U2571" t="s">
        <v>12568</v>
      </c>
      <c r="V2571" t="s">
        <v>12568</v>
      </c>
      <c r="W2571" t="s">
        <v>15104</v>
      </c>
      <c r="X2571">
        <v>29</v>
      </c>
      <c r="Y2571" t="s">
        <v>21273</v>
      </c>
      <c r="Z2571" t="s">
        <v>27441</v>
      </c>
      <c r="AA2571">
        <v>0.44928189929526752</v>
      </c>
      <c r="AB2571" t="str">
        <f>HYPERLINK("Melting_Curves/meltCurve_P62333_PSMC6.pdf", "Melting_Curves/meltCurve_P62333_PSMC6.pdf")</f>
        <v>Melting_Curves/meltCurve_P62333_PSMC6.pdf</v>
      </c>
    </row>
    <row r="2572" spans="1:28" x14ac:dyDescent="0.25">
      <c r="A2572" t="s">
        <v>2576</v>
      </c>
      <c r="B2572">
        <v>0.99352677808782597</v>
      </c>
      <c r="C2572">
        <v>0.991699810155241</v>
      </c>
      <c r="D2572">
        <v>1.0159178180108299</v>
      </c>
      <c r="E2572">
        <v>0.66887573546124801</v>
      </c>
      <c r="F2572">
        <v>0.57579653206613302</v>
      </c>
      <c r="G2572">
        <v>0.239665322872397</v>
      </c>
      <c r="H2572">
        <v>0.119236659439861</v>
      </c>
      <c r="I2572">
        <v>9.3344092842241905E-2</v>
      </c>
      <c r="J2572">
        <v>7.7089120151374702E-2</v>
      </c>
      <c r="K2572">
        <v>4.6468490112430198E-2</v>
      </c>
      <c r="L2572">
        <v>934.67233143871499</v>
      </c>
      <c r="M2572">
        <v>17.6455630321143</v>
      </c>
      <c r="N2572">
        <v>53.238393137000799</v>
      </c>
      <c r="O2572">
        <v>52.302974092597204</v>
      </c>
      <c r="P2572">
        <v>-8.0748322059164102E-2</v>
      </c>
      <c r="Q2572">
        <v>4.2670609758119697E-2</v>
      </c>
      <c r="R2572">
        <v>0.98915091299457503</v>
      </c>
      <c r="S2572" t="s">
        <v>8857</v>
      </c>
      <c r="T2572" t="s">
        <v>12568</v>
      </c>
      <c r="U2572" t="s">
        <v>12568</v>
      </c>
      <c r="V2572" t="s">
        <v>12568</v>
      </c>
      <c r="W2572" t="s">
        <v>15105</v>
      </c>
      <c r="X2572">
        <v>2</v>
      </c>
      <c r="Y2572" t="s">
        <v>21274</v>
      </c>
      <c r="Z2572" t="s">
        <v>27442</v>
      </c>
      <c r="AA2572">
        <v>0.47272174199456118</v>
      </c>
      <c r="AB2572" t="str">
        <f>HYPERLINK("Melting_Curves/meltCurve_P62380_TBPL1.pdf", "Melting_Curves/meltCurve_P62380_TBPL1.pdf")</f>
        <v>Melting_Curves/meltCurve_P62380_TBPL1.pdf</v>
      </c>
    </row>
    <row r="2573" spans="1:28" x14ac:dyDescent="0.25">
      <c r="A2573" t="s">
        <v>2577</v>
      </c>
      <c r="B2573">
        <v>0.99352677808782597</v>
      </c>
      <c r="C2573">
        <v>0.45940767519537001</v>
      </c>
      <c r="D2573">
        <v>1.66453377803391</v>
      </c>
      <c r="E2573">
        <v>0.68914447841043502</v>
      </c>
      <c r="F2573">
        <v>0.60620615896367902</v>
      </c>
      <c r="G2573">
        <v>0.35102887116227699</v>
      </c>
      <c r="H2573">
        <v>0.17473433536984301</v>
      </c>
      <c r="I2573">
        <v>0.15828162211226701</v>
      </c>
      <c r="J2573">
        <v>0.13759965998179</v>
      </c>
      <c r="K2573">
        <v>0.107604090245074</v>
      </c>
      <c r="L2573">
        <v>1247.74709716402</v>
      </c>
      <c r="M2573">
        <v>23.384126847923401</v>
      </c>
      <c r="N2573">
        <v>54.089032873879802</v>
      </c>
      <c r="O2573">
        <v>52.973102618805697</v>
      </c>
      <c r="P2573">
        <v>-9.5420683773601994E-2</v>
      </c>
      <c r="Q2573">
        <v>0.135372458103379</v>
      </c>
      <c r="R2573">
        <v>0.63613830777692504</v>
      </c>
      <c r="S2573" t="s">
        <v>8858</v>
      </c>
      <c r="T2573" t="s">
        <v>12568</v>
      </c>
      <c r="U2573" t="s">
        <v>12568</v>
      </c>
      <c r="V2573" t="s">
        <v>12568</v>
      </c>
      <c r="W2573" t="s">
        <v>15106</v>
      </c>
      <c r="X2573">
        <v>11</v>
      </c>
      <c r="Y2573" t="s">
        <v>21275</v>
      </c>
      <c r="Z2573" t="s">
        <v>27443</v>
      </c>
      <c r="AA2573">
        <v>0.5294033943894314</v>
      </c>
      <c r="AB2573" t="str">
        <f>HYPERLINK("Melting_Curves/meltCurve_P62424_RPL7A.pdf", "Melting_Curves/meltCurve_P62424_RPL7A.pdf")</f>
        <v>Melting_Curves/meltCurve_P62424_RPL7A.pdf</v>
      </c>
    </row>
    <row r="2574" spans="1:28" x14ac:dyDescent="0.25">
      <c r="A2574" t="s">
        <v>2578</v>
      </c>
      <c r="B2574">
        <v>0.99352677808782597</v>
      </c>
      <c r="C2574">
        <v>0.97457782880013999</v>
      </c>
      <c r="D2574">
        <v>1.0066548257305501</v>
      </c>
      <c r="E2574">
        <v>0.88510562329971199</v>
      </c>
      <c r="F2574">
        <v>0.80859096070522196</v>
      </c>
      <c r="G2574">
        <v>0.66956391175254504</v>
      </c>
      <c r="H2574">
        <v>0.43756833225244901</v>
      </c>
      <c r="I2574">
        <v>0.25151822592511303</v>
      </c>
      <c r="J2574">
        <v>7.0729495240391196E-2</v>
      </c>
      <c r="K2574">
        <v>5.8858538259575599E-2</v>
      </c>
      <c r="L2574">
        <v>898.37558008057897</v>
      </c>
      <c r="M2574">
        <v>15.181686606138999</v>
      </c>
      <c r="N2574">
        <v>59.174952588882</v>
      </c>
      <c r="O2574">
        <v>58.176731149170699</v>
      </c>
      <c r="P2574">
        <v>-6.5245801228905401E-2</v>
      </c>
      <c r="Q2574">
        <v>0</v>
      </c>
      <c r="R2574">
        <v>0.98783937522660703</v>
      </c>
      <c r="S2574" t="s">
        <v>8859</v>
      </c>
      <c r="T2574" t="s">
        <v>12568</v>
      </c>
      <c r="U2574" t="s">
        <v>12568</v>
      </c>
      <c r="V2574" t="s">
        <v>12568</v>
      </c>
      <c r="W2574" t="s">
        <v>15107</v>
      </c>
      <c r="X2574">
        <v>6</v>
      </c>
      <c r="Y2574" t="s">
        <v>21276</v>
      </c>
      <c r="Z2574" t="s">
        <v>27444</v>
      </c>
      <c r="AA2574">
        <v>0.64913903026987818</v>
      </c>
      <c r="AB2574" t="str">
        <f>HYPERLINK("Melting_Curves/meltCurve_P62487_POLR2G.pdf", "Melting_Curves/meltCurve_P62487_POLR2G.pdf")</f>
        <v>Melting_Curves/meltCurve_P62487_POLR2G.pdf</v>
      </c>
    </row>
    <row r="2575" spans="1:28" x14ac:dyDescent="0.25">
      <c r="A2575" t="s">
        <v>2579</v>
      </c>
      <c r="B2575">
        <v>0.99352677808782597</v>
      </c>
      <c r="C2575">
        <v>0.70810103067425201</v>
      </c>
      <c r="D2575">
        <v>1.00157692929211</v>
      </c>
      <c r="E2575">
        <v>0.461458471341125</v>
      </c>
      <c r="F2575">
        <v>0.346491043721948</v>
      </c>
      <c r="G2575">
        <v>0.14401310192004699</v>
      </c>
      <c r="H2575">
        <v>9.9816946493790401E-2</v>
      </c>
      <c r="I2575">
        <v>0.107075342819011</v>
      </c>
      <c r="J2575">
        <v>8.9814391636650004E-2</v>
      </c>
      <c r="K2575">
        <v>6.5073962768980503E-2</v>
      </c>
      <c r="L2575">
        <v>891.48461544709301</v>
      </c>
      <c r="M2575">
        <v>17.8493902806606</v>
      </c>
      <c r="N2575">
        <v>50.373519332537398</v>
      </c>
      <c r="O2575">
        <v>49.3305757538294</v>
      </c>
      <c r="P2575">
        <v>-8.4088198594032396E-2</v>
      </c>
      <c r="Q2575">
        <v>7.0465002965114501E-2</v>
      </c>
      <c r="R2575">
        <v>0.92531082085138805</v>
      </c>
      <c r="S2575" t="s">
        <v>8860</v>
      </c>
      <c r="T2575" t="s">
        <v>12568</v>
      </c>
      <c r="U2575" t="s">
        <v>12568</v>
      </c>
      <c r="V2575" t="s">
        <v>12568</v>
      </c>
      <c r="W2575" t="s">
        <v>15108</v>
      </c>
      <c r="X2575">
        <v>13</v>
      </c>
      <c r="Y2575" t="s">
        <v>21277</v>
      </c>
      <c r="Z2575" t="s">
        <v>27445</v>
      </c>
      <c r="AA2575">
        <v>0.39471923558784983</v>
      </c>
      <c r="AB2575" t="str">
        <f>HYPERLINK("Melting_Curves/meltCurve_P62495_ETF1.pdf", "Melting_Curves/meltCurve_P62495_ETF1.pdf")</f>
        <v>Melting_Curves/meltCurve_P62495_ETF1.pdf</v>
      </c>
    </row>
    <row r="2576" spans="1:28" x14ac:dyDescent="0.25">
      <c r="A2576" t="s">
        <v>2580</v>
      </c>
      <c r="B2576">
        <v>0.99352677808782597</v>
      </c>
      <c r="C2576">
        <v>0.97138705892365196</v>
      </c>
      <c r="D2576">
        <v>1.0731085961714</v>
      </c>
      <c r="E2576">
        <v>1.12737658212491</v>
      </c>
      <c r="F2576">
        <v>1.06406983868448</v>
      </c>
      <c r="G2576">
        <v>1.0492902186624999</v>
      </c>
      <c r="H2576">
        <v>1.1200958769720599</v>
      </c>
      <c r="I2576">
        <v>1.1207265880111501</v>
      </c>
      <c r="J2576">
        <v>1.1223611967746701</v>
      </c>
      <c r="K2576">
        <v>0.87528466184154097</v>
      </c>
      <c r="L2576">
        <v>11145.2776517485</v>
      </c>
      <c r="M2576">
        <v>250</v>
      </c>
      <c r="O2576">
        <v>44.5782577619932</v>
      </c>
      <c r="P2576">
        <v>9.67997497282546E-2</v>
      </c>
      <c r="Q2576">
        <v>1.0690426269559701</v>
      </c>
      <c r="R2576">
        <v>0.18430600586344001</v>
      </c>
      <c r="S2576" t="s">
        <v>8861</v>
      </c>
      <c r="T2576" t="s">
        <v>12568</v>
      </c>
      <c r="U2576" t="s">
        <v>12568</v>
      </c>
      <c r="V2576" t="s">
        <v>12568</v>
      </c>
      <c r="W2576" t="s">
        <v>15109</v>
      </c>
      <c r="X2576">
        <v>12</v>
      </c>
      <c r="Y2576" t="s">
        <v>21278</v>
      </c>
      <c r="Z2576" t="s">
        <v>27446</v>
      </c>
      <c r="AA2576">
        <v>1.058494161429735</v>
      </c>
      <c r="AB2576" t="str">
        <f>HYPERLINK("Melting_Curves/meltCurve_P62633_2_CNBP.pdf", "Melting_Curves/meltCurve_P62633_2_CNBP.pdf")</f>
        <v>Melting_Curves/meltCurve_P62633_2_CNBP.pdf</v>
      </c>
    </row>
    <row r="2577" spans="1:28" x14ac:dyDescent="0.25">
      <c r="A2577" t="s">
        <v>2581</v>
      </c>
      <c r="B2577">
        <v>0.99352677808782597</v>
      </c>
      <c r="C2577">
        <v>0.74887104928166404</v>
      </c>
      <c r="D2577">
        <v>1.26263844538326</v>
      </c>
      <c r="E2577">
        <v>0.57510409976346899</v>
      </c>
      <c r="F2577">
        <v>0.46903260966626198</v>
      </c>
      <c r="G2577">
        <v>0.22164504455126499</v>
      </c>
      <c r="H2577">
        <v>0.12316145744877501</v>
      </c>
      <c r="I2577">
        <v>0.111591635789194</v>
      </c>
      <c r="J2577">
        <v>8.8015483282437801E-2</v>
      </c>
      <c r="K2577">
        <v>7.7799405014091993E-2</v>
      </c>
      <c r="L2577">
        <v>1212.7715815583399</v>
      </c>
      <c r="M2577">
        <v>23.5104536740415</v>
      </c>
      <c r="N2577">
        <v>52.079976455622202</v>
      </c>
      <c r="O2577">
        <v>51.215497431991899</v>
      </c>
      <c r="P2577">
        <v>-0.103260632627036</v>
      </c>
      <c r="Q2577">
        <v>0.100237881836515</v>
      </c>
      <c r="R2577">
        <v>0.88767023007481105</v>
      </c>
      <c r="S2577" t="s">
        <v>8862</v>
      </c>
      <c r="T2577" t="s">
        <v>12568</v>
      </c>
      <c r="U2577" t="s">
        <v>12568</v>
      </c>
      <c r="V2577" t="s">
        <v>12568</v>
      </c>
      <c r="W2577" t="s">
        <v>15110</v>
      </c>
      <c r="X2577">
        <v>14</v>
      </c>
      <c r="Y2577" t="s">
        <v>21279</v>
      </c>
      <c r="Z2577" t="s">
        <v>27447</v>
      </c>
      <c r="AA2577">
        <v>0.45688602246407611</v>
      </c>
      <c r="AB2577" t="str">
        <f>HYPERLINK("Melting_Curves/meltCurve_P62701_RPS4X.pdf", "Melting_Curves/meltCurve_P62701_RPS4X.pdf")</f>
        <v>Melting_Curves/meltCurve_P62701_RPS4X.pdf</v>
      </c>
    </row>
    <row r="2578" spans="1:28" x14ac:dyDescent="0.25">
      <c r="A2578" t="s">
        <v>2582</v>
      </c>
      <c r="B2578">
        <v>0.99352677808782597</v>
      </c>
      <c r="C2578">
        <v>0.993387949414406</v>
      </c>
      <c r="D2578">
        <v>0.90473463395239595</v>
      </c>
      <c r="E2578">
        <v>0.849463424394725</v>
      </c>
      <c r="F2578">
        <v>0.70683736064261604</v>
      </c>
      <c r="G2578">
        <v>0.57013702721991499</v>
      </c>
      <c r="H2578">
        <v>0.31360555733420098</v>
      </c>
      <c r="I2578">
        <v>0.21008994021222599</v>
      </c>
      <c r="J2578">
        <v>0.149097304520242</v>
      </c>
      <c r="K2578">
        <v>0.102756517592376</v>
      </c>
      <c r="L2578">
        <v>676.72753264573305</v>
      </c>
      <c r="M2578">
        <v>11.801182063885699</v>
      </c>
      <c r="N2578">
        <v>57.344042029204402</v>
      </c>
      <c r="O2578">
        <v>55.771751900720503</v>
      </c>
      <c r="P2578">
        <v>-5.2913048852203402E-2</v>
      </c>
      <c r="Q2578">
        <v>0</v>
      </c>
      <c r="R2578">
        <v>0.99508876713783201</v>
      </c>
      <c r="S2578" t="s">
        <v>8863</v>
      </c>
      <c r="T2578" t="s">
        <v>12568</v>
      </c>
      <c r="U2578" t="s">
        <v>12568</v>
      </c>
      <c r="V2578" t="s">
        <v>12568</v>
      </c>
      <c r="W2578" t="s">
        <v>15111</v>
      </c>
      <c r="X2578">
        <v>16</v>
      </c>
      <c r="Y2578" t="s">
        <v>21280</v>
      </c>
      <c r="Z2578" t="s">
        <v>27448</v>
      </c>
      <c r="AA2578">
        <v>0.59354583944397454</v>
      </c>
      <c r="AB2578" t="str">
        <f>HYPERLINK("Melting_Curves/meltCurve_P62714_PPP2CB.pdf", "Melting_Curves/meltCurve_P62714_PPP2CB.pdf")</f>
        <v>Melting_Curves/meltCurve_P62714_PPP2CB.pdf</v>
      </c>
    </row>
    <row r="2579" spans="1:28" x14ac:dyDescent="0.25">
      <c r="A2579" t="s">
        <v>2583</v>
      </c>
      <c r="B2579">
        <v>0.99352677808782597</v>
      </c>
      <c r="C2579">
        <v>1.0271628782678599</v>
      </c>
      <c r="D2579">
        <v>0.97862177143861095</v>
      </c>
      <c r="E2579">
        <v>0.86582300690818903</v>
      </c>
      <c r="F2579">
        <v>0.68461423185972503</v>
      </c>
      <c r="G2579">
        <v>0.47092338792640898</v>
      </c>
      <c r="H2579">
        <v>0.227122179845614</v>
      </c>
      <c r="I2579">
        <v>0.236727818806759</v>
      </c>
      <c r="J2579">
        <v>0.198916275857311</v>
      </c>
      <c r="K2579">
        <v>0.18755857124737099</v>
      </c>
      <c r="L2579">
        <v>993.91993565893097</v>
      </c>
      <c r="M2579">
        <v>18.184921657001802</v>
      </c>
      <c r="N2579">
        <v>55.904336421268297</v>
      </c>
      <c r="O2579">
        <v>54.008178122982201</v>
      </c>
      <c r="P2579">
        <v>-7.0136135617503995E-2</v>
      </c>
      <c r="Q2579">
        <v>0.16683822946693</v>
      </c>
      <c r="R2579">
        <v>0.99545029786633799</v>
      </c>
      <c r="S2579" t="s">
        <v>8864</v>
      </c>
      <c r="T2579" t="s">
        <v>12568</v>
      </c>
      <c r="U2579" t="s">
        <v>12568</v>
      </c>
      <c r="V2579" t="s">
        <v>12568</v>
      </c>
      <c r="W2579" t="s">
        <v>15112</v>
      </c>
      <c r="X2579">
        <v>24</v>
      </c>
      <c r="Y2579" t="s">
        <v>21281</v>
      </c>
      <c r="Z2579" t="s">
        <v>27449</v>
      </c>
      <c r="AA2579">
        <v>0.58674485453052194</v>
      </c>
      <c r="AB2579" t="str">
        <f>HYPERLINK("Melting_Curves/meltCurve_P62736_ACTA2.pdf", "Melting_Curves/meltCurve_P62736_ACTA2.pdf")</f>
        <v>Melting_Curves/meltCurve_P62736_ACTA2.pdf</v>
      </c>
    </row>
    <row r="2580" spans="1:28" x14ac:dyDescent="0.25">
      <c r="A2580" t="s">
        <v>2584</v>
      </c>
      <c r="B2580">
        <v>0.99352677808782597</v>
      </c>
      <c r="C2580">
        <v>1.02622858126506</v>
      </c>
      <c r="D2580">
        <v>1.0687062509584699</v>
      </c>
      <c r="E2580">
        <v>0.92529290810843401</v>
      </c>
      <c r="F2580">
        <v>0.79965829621175999</v>
      </c>
      <c r="G2580">
        <v>0.52588270097601197</v>
      </c>
      <c r="H2580">
        <v>0.43417551933133203</v>
      </c>
      <c r="I2580">
        <v>0.37178881929937901</v>
      </c>
      <c r="J2580">
        <v>0.43814944023708602</v>
      </c>
      <c r="K2580">
        <v>0.30755545299845199</v>
      </c>
      <c r="L2580">
        <v>1323.0127545160699</v>
      </c>
      <c r="M2580">
        <v>24.223149716002698</v>
      </c>
      <c r="N2580">
        <v>57.782317623996299</v>
      </c>
      <c r="O2580">
        <v>54.249545676888602</v>
      </c>
      <c r="P2580">
        <v>-7.0626256139533702E-2</v>
      </c>
      <c r="Q2580">
        <v>0.36731865145409298</v>
      </c>
      <c r="R2580">
        <v>0.98125182641467701</v>
      </c>
      <c r="S2580" t="s">
        <v>8865</v>
      </c>
      <c r="T2580" t="s">
        <v>12568</v>
      </c>
      <c r="U2580" t="s">
        <v>12568</v>
      </c>
      <c r="V2580" t="s">
        <v>12568</v>
      </c>
      <c r="W2580" t="s">
        <v>15113</v>
      </c>
      <c r="X2580">
        <v>9</v>
      </c>
      <c r="Y2580" t="s">
        <v>21282</v>
      </c>
      <c r="Z2580" t="s">
        <v>27450</v>
      </c>
      <c r="AA2580">
        <v>0.68179101217889626</v>
      </c>
      <c r="AB2580" t="str">
        <f>HYPERLINK("Melting_Curves/meltCurve_P62750_RPL23A.pdf", "Melting_Curves/meltCurve_P62750_RPL23A.pdf")</f>
        <v>Melting_Curves/meltCurve_P62750_RPL23A.pdf</v>
      </c>
    </row>
    <row r="2581" spans="1:28" x14ac:dyDescent="0.25">
      <c r="A2581" t="s">
        <v>2585</v>
      </c>
      <c r="B2581">
        <v>0.99352677808782597</v>
      </c>
      <c r="C2581">
        <v>0.87905136980752896</v>
      </c>
      <c r="D2581">
        <v>1.07186824560302</v>
      </c>
      <c r="E2581">
        <v>0.52055019638010702</v>
      </c>
      <c r="F2581">
        <v>0.45996706791318798</v>
      </c>
      <c r="G2581">
        <v>0.212239435028138</v>
      </c>
      <c r="H2581">
        <v>0.21079499601932</v>
      </c>
      <c r="I2581">
        <v>0.13137783687809901</v>
      </c>
      <c r="J2581">
        <v>0.11727823808958</v>
      </c>
      <c r="K2581">
        <v>9.3000754515055795E-2</v>
      </c>
      <c r="L2581">
        <v>1029.11333220494</v>
      </c>
      <c r="M2581">
        <v>20.2392724455452</v>
      </c>
      <c r="N2581">
        <v>51.594893002945</v>
      </c>
      <c r="O2581">
        <v>50.358764916901499</v>
      </c>
      <c r="P2581">
        <v>-8.7709958431102603E-2</v>
      </c>
      <c r="Q2581">
        <v>0.12707782276905999</v>
      </c>
      <c r="R2581">
        <v>0.95452927026282397</v>
      </c>
      <c r="S2581" t="s">
        <v>8866</v>
      </c>
      <c r="T2581" t="s">
        <v>12568</v>
      </c>
      <c r="U2581" t="s">
        <v>12568</v>
      </c>
      <c r="V2581" t="s">
        <v>12568</v>
      </c>
      <c r="W2581" t="s">
        <v>15114</v>
      </c>
      <c r="X2581">
        <v>10</v>
      </c>
      <c r="Y2581" t="s">
        <v>21283</v>
      </c>
      <c r="Z2581" t="s">
        <v>27451</v>
      </c>
      <c r="AA2581">
        <v>0.4545605525070287</v>
      </c>
      <c r="AB2581" t="str">
        <f>HYPERLINK("Melting_Curves/meltCurve_P62753_RPS6.pdf", "Melting_Curves/meltCurve_P62753_RPS6.pdf")</f>
        <v>Melting_Curves/meltCurve_P62753_RPS6.pdf</v>
      </c>
    </row>
    <row r="2582" spans="1:28" x14ac:dyDescent="0.25">
      <c r="A2582" t="s">
        <v>2586</v>
      </c>
      <c r="B2582">
        <v>0.99352677808782597</v>
      </c>
      <c r="C2582">
        <v>0.92040532941124098</v>
      </c>
      <c r="D2582">
        <v>0.93538522105433797</v>
      </c>
      <c r="E2582">
        <v>0.34995643654731601</v>
      </c>
      <c r="F2582">
        <v>0.244970102271132</v>
      </c>
      <c r="G2582">
        <v>0.125083145738171</v>
      </c>
      <c r="H2582">
        <v>7.3923812470506806E-2</v>
      </c>
      <c r="I2582">
        <v>6.1148814627778297E-2</v>
      </c>
      <c r="J2582">
        <v>4.8674478488039803E-2</v>
      </c>
      <c r="K2582">
        <v>3.5093905453942302E-2</v>
      </c>
      <c r="L2582">
        <v>1363.53227687906</v>
      </c>
      <c r="M2582">
        <v>27.815982324089301</v>
      </c>
      <c r="N2582">
        <v>49.2883941009216</v>
      </c>
      <c r="O2582">
        <v>48.768483417260803</v>
      </c>
      <c r="P2582">
        <v>-0.13256334263841801</v>
      </c>
      <c r="Q2582">
        <v>7.0339317692393905E-2</v>
      </c>
      <c r="R2582">
        <v>0.98638516815191601</v>
      </c>
      <c r="S2582" t="s">
        <v>8867</v>
      </c>
      <c r="T2582" t="s">
        <v>12568</v>
      </c>
      <c r="U2582" t="s">
        <v>12568</v>
      </c>
      <c r="V2582" t="s">
        <v>12568</v>
      </c>
      <c r="W2582" t="s">
        <v>15115</v>
      </c>
      <c r="X2582">
        <v>9</v>
      </c>
      <c r="Y2582" t="s">
        <v>21284</v>
      </c>
      <c r="Z2582" t="s">
        <v>27452</v>
      </c>
      <c r="AA2582">
        <v>0.3564635967882353</v>
      </c>
      <c r="AB2582" t="str">
        <f>HYPERLINK("Melting_Curves/meltCurve_P62805_HIST1H4A.pdf", "Melting_Curves/meltCurve_P62805_HIST1H4A.pdf")</f>
        <v>Melting_Curves/meltCurve_P62805_HIST1H4A.pdf</v>
      </c>
    </row>
    <row r="2583" spans="1:28" x14ac:dyDescent="0.25">
      <c r="A2583" t="s">
        <v>2587</v>
      </c>
      <c r="B2583">
        <v>0.99352677808782597</v>
      </c>
      <c r="C2583">
        <v>0.94624990774264095</v>
      </c>
      <c r="D2583">
        <v>0.96340083232401497</v>
      </c>
      <c r="E2583">
        <v>0.85678573750158904</v>
      </c>
      <c r="F2583">
        <v>0.84653768304517496</v>
      </c>
      <c r="G2583">
        <v>0.613488487733865</v>
      </c>
      <c r="H2583">
        <v>0.344741137975071</v>
      </c>
      <c r="I2583">
        <v>0.27267482004054799</v>
      </c>
      <c r="J2583">
        <v>0.22788421086753799</v>
      </c>
      <c r="K2583">
        <v>0.15132686392695799</v>
      </c>
      <c r="L2583">
        <v>805.50590859701799</v>
      </c>
      <c r="M2583">
        <v>13.900486976656801</v>
      </c>
      <c r="N2583">
        <v>58.686141912614801</v>
      </c>
      <c r="O2583">
        <v>56.788240155503502</v>
      </c>
      <c r="P2583">
        <v>-5.6294297809704602E-2</v>
      </c>
      <c r="Q2583">
        <v>8.0199370446705304E-2</v>
      </c>
      <c r="R2583">
        <v>0.99052148402418605</v>
      </c>
      <c r="S2583" t="s">
        <v>8868</v>
      </c>
      <c r="T2583" t="s">
        <v>12568</v>
      </c>
      <c r="U2583" t="s">
        <v>12568</v>
      </c>
      <c r="V2583" t="s">
        <v>12568</v>
      </c>
      <c r="W2583" t="s">
        <v>15116</v>
      </c>
      <c r="X2583">
        <v>13</v>
      </c>
      <c r="Y2583" t="s">
        <v>21285</v>
      </c>
      <c r="Z2583" t="s">
        <v>27453</v>
      </c>
      <c r="AA2583">
        <v>0.64303569070081357</v>
      </c>
      <c r="AB2583" t="str">
        <f>HYPERLINK("Melting_Curves/meltCurve_P62820_RAB1A.pdf", "Melting_Curves/meltCurve_P62820_RAB1A.pdf")</f>
        <v>Melting_Curves/meltCurve_P62820_RAB1A.pdf</v>
      </c>
    </row>
    <row r="2584" spans="1:28" x14ac:dyDescent="0.25">
      <c r="A2584" t="s">
        <v>2588</v>
      </c>
      <c r="B2584">
        <v>0.99352677808782597</v>
      </c>
      <c r="C2584">
        <v>0.70135772340339297</v>
      </c>
      <c r="D2584">
        <v>0.98766218485496604</v>
      </c>
      <c r="E2584">
        <v>0.777667172526609</v>
      </c>
      <c r="F2584">
        <v>0.73862925674163404</v>
      </c>
      <c r="G2584">
        <v>0.42268204819600802</v>
      </c>
      <c r="H2584">
        <v>0.115476482025982</v>
      </c>
      <c r="I2584">
        <v>6.9677495102547393E-2</v>
      </c>
      <c r="J2584">
        <v>5.3156378552200102E-2</v>
      </c>
      <c r="K2584">
        <v>4.4828969924606402E-2</v>
      </c>
      <c r="L2584">
        <v>902.81460601277604</v>
      </c>
      <c r="M2584">
        <v>16.308674429958</v>
      </c>
      <c r="N2584">
        <v>55.357939076429702</v>
      </c>
      <c r="O2584">
        <v>54.545682394949203</v>
      </c>
      <c r="P2584">
        <v>-7.4753211116292101E-2</v>
      </c>
      <c r="Q2584">
        <v>0</v>
      </c>
      <c r="R2584">
        <v>0.92783403604237502</v>
      </c>
      <c r="S2584" t="s">
        <v>8869</v>
      </c>
      <c r="T2584" t="s">
        <v>12568</v>
      </c>
      <c r="U2584" t="s">
        <v>12568</v>
      </c>
      <c r="V2584" t="s">
        <v>12568</v>
      </c>
      <c r="W2584" t="s">
        <v>15117</v>
      </c>
      <c r="X2584">
        <v>15</v>
      </c>
      <c r="Y2584" t="s">
        <v>21286</v>
      </c>
      <c r="Z2584" t="s">
        <v>27454</v>
      </c>
      <c r="AA2584">
        <v>0.52910415264807453</v>
      </c>
      <c r="AB2584" t="str">
        <f>HYPERLINK("Melting_Curves/meltCurve_P62826_RAN.pdf", "Melting_Curves/meltCurve_P62826_RAN.pdf")</f>
        <v>Melting_Curves/meltCurve_P62826_RAN.pdf</v>
      </c>
    </row>
    <row r="2585" spans="1:28" x14ac:dyDescent="0.25">
      <c r="A2585" t="s">
        <v>2589</v>
      </c>
      <c r="B2585">
        <v>0.99352677808782597</v>
      </c>
      <c r="C2585">
        <v>0.78325362261097897</v>
      </c>
      <c r="D2585">
        <v>0.85448155686582905</v>
      </c>
      <c r="E2585">
        <v>0.39717146733617698</v>
      </c>
      <c r="F2585">
        <v>0.350748404727527</v>
      </c>
      <c r="G2585">
        <v>0.228271120307071</v>
      </c>
      <c r="H2585">
        <v>0.18791625034968801</v>
      </c>
      <c r="I2585">
        <v>0.19372607151034299</v>
      </c>
      <c r="J2585">
        <v>0.14767856504278201</v>
      </c>
      <c r="K2585">
        <v>0.12846375142784999</v>
      </c>
      <c r="L2585">
        <v>739.83133814161295</v>
      </c>
      <c r="M2585">
        <v>15.2610986285252</v>
      </c>
      <c r="N2585">
        <v>49.586531517461303</v>
      </c>
      <c r="O2585">
        <v>47.668735772536799</v>
      </c>
      <c r="P2585">
        <v>-6.8478068919434407E-2</v>
      </c>
      <c r="Q2585">
        <v>0.14450352686905599</v>
      </c>
      <c r="R2585">
        <v>0.96337234056049104</v>
      </c>
      <c r="S2585" t="s">
        <v>8870</v>
      </c>
      <c r="T2585" t="s">
        <v>12568</v>
      </c>
      <c r="U2585" t="s">
        <v>12568</v>
      </c>
      <c r="V2585" t="s">
        <v>12568</v>
      </c>
      <c r="W2585" t="s">
        <v>15118</v>
      </c>
      <c r="X2585">
        <v>6</v>
      </c>
      <c r="Y2585" t="s">
        <v>21287</v>
      </c>
      <c r="Z2585" t="s">
        <v>27455</v>
      </c>
      <c r="AA2585">
        <v>0.40711683422275902</v>
      </c>
      <c r="AB2585" t="str">
        <f>HYPERLINK("Melting_Curves/meltCurve_P62829_RPL23.pdf", "Melting_Curves/meltCurve_P62829_RPL23.pdf")</f>
        <v>Melting_Curves/meltCurve_P62829_RPL23.pdf</v>
      </c>
    </row>
    <row r="2586" spans="1:28" x14ac:dyDescent="0.25">
      <c r="A2586" t="s">
        <v>2590</v>
      </c>
      <c r="B2586">
        <v>0.99352677808782597</v>
      </c>
      <c r="C2586">
        <v>0.96690003137665803</v>
      </c>
      <c r="D2586">
        <v>1.0779856617172701</v>
      </c>
      <c r="E2586">
        <v>0.97199939822726</v>
      </c>
      <c r="F2586">
        <v>0.90808828960366095</v>
      </c>
      <c r="G2586">
        <v>0.88984719521386402</v>
      </c>
      <c r="H2586">
        <v>0.78992049792654595</v>
      </c>
      <c r="I2586">
        <v>0.31940129569959402</v>
      </c>
      <c r="J2586">
        <v>0.115512917337092</v>
      </c>
      <c r="K2586">
        <v>8.2942280644644303E-2</v>
      </c>
      <c r="L2586">
        <v>2667.6965941703202</v>
      </c>
      <c r="M2586">
        <v>42.612330683739799</v>
      </c>
      <c r="N2586">
        <v>62.8099624581466</v>
      </c>
      <c r="O2586">
        <v>62.466460745234798</v>
      </c>
      <c r="P2586">
        <v>-0.159414357207635</v>
      </c>
      <c r="Q2586">
        <v>6.5243838355065406E-2</v>
      </c>
      <c r="R2586">
        <v>0.98026749920683298</v>
      </c>
      <c r="S2586" t="s">
        <v>8871</v>
      </c>
      <c r="T2586" t="s">
        <v>12568</v>
      </c>
      <c r="U2586" t="s">
        <v>12568</v>
      </c>
      <c r="V2586" t="s">
        <v>12568</v>
      </c>
      <c r="W2586" t="s">
        <v>15119</v>
      </c>
      <c r="X2586">
        <v>4</v>
      </c>
      <c r="Y2586" t="s">
        <v>21288</v>
      </c>
      <c r="Z2586" t="s">
        <v>27456</v>
      </c>
      <c r="AA2586">
        <v>0.77244185266956644</v>
      </c>
      <c r="AB2586" t="str">
        <f>HYPERLINK("Melting_Curves/meltCurve_P62837_UBE2D2.pdf", "Melting_Curves/meltCurve_P62837_UBE2D2.pdf")</f>
        <v>Melting_Curves/meltCurve_P62837_UBE2D2.pdf</v>
      </c>
    </row>
    <row r="2587" spans="1:28" x14ac:dyDescent="0.25">
      <c r="A2587" t="s">
        <v>2591</v>
      </c>
      <c r="B2587">
        <v>0.99352677808782597</v>
      </c>
      <c r="C2587">
        <v>0.87784939151682395</v>
      </c>
      <c r="D2587">
        <v>1.31284752533231</v>
      </c>
      <c r="E2587">
        <v>0.54867474985975795</v>
      </c>
      <c r="F2587">
        <v>0.409046934585022</v>
      </c>
      <c r="G2587">
        <v>0.22955138588573201</v>
      </c>
      <c r="H2587">
        <v>0.137556031373441</v>
      </c>
      <c r="I2587">
        <v>0.13359638053626399</v>
      </c>
      <c r="J2587">
        <v>0.11590983816584199</v>
      </c>
      <c r="K2587">
        <v>8.5896866569402E-2</v>
      </c>
      <c r="L2587">
        <v>1582.3789175621</v>
      </c>
      <c r="M2587">
        <v>31.174770981612401</v>
      </c>
      <c r="N2587">
        <v>51.300542148916897</v>
      </c>
      <c r="O2587">
        <v>50.550828350698502</v>
      </c>
      <c r="P2587">
        <v>-0.13253609655939499</v>
      </c>
      <c r="Q2587">
        <v>0.14035974495230299</v>
      </c>
      <c r="R2587">
        <v>0.904461990224674</v>
      </c>
      <c r="S2587" t="s">
        <v>8872</v>
      </c>
      <c r="T2587" t="s">
        <v>12568</v>
      </c>
      <c r="U2587" t="s">
        <v>12568</v>
      </c>
      <c r="V2587" t="s">
        <v>12568</v>
      </c>
      <c r="W2587" t="s">
        <v>15120</v>
      </c>
      <c r="X2587">
        <v>2</v>
      </c>
      <c r="Y2587" t="s">
        <v>21289</v>
      </c>
      <c r="Z2587" t="s">
        <v>27457</v>
      </c>
      <c r="AA2587">
        <v>0.45361946134114128</v>
      </c>
      <c r="AB2587" t="str">
        <f>HYPERLINK("Melting_Curves/meltCurve_P62847_2_RPS24.pdf", "Melting_Curves/meltCurve_P62847_2_RPS24.pdf")</f>
        <v>Melting_Curves/meltCurve_P62847_2_RPS24.pdf</v>
      </c>
    </row>
    <row r="2588" spans="1:28" x14ac:dyDescent="0.25">
      <c r="A2588" t="s">
        <v>2592</v>
      </c>
      <c r="B2588">
        <v>0.99352677808782597</v>
      </c>
      <c r="C2588">
        <v>1.11366880149697</v>
      </c>
      <c r="D2588">
        <v>1.1670896485031399</v>
      </c>
      <c r="E2588">
        <v>0.75987166416926799</v>
      </c>
      <c r="F2588">
        <v>0.51066277848724095</v>
      </c>
      <c r="G2588">
        <v>0.31366671966509502</v>
      </c>
      <c r="H2588">
        <v>0.19643298366685699</v>
      </c>
      <c r="I2588">
        <v>0.169487268699438</v>
      </c>
      <c r="J2588">
        <v>0.21818825807841399</v>
      </c>
      <c r="K2588">
        <v>0.153460417598239</v>
      </c>
      <c r="L2588">
        <v>1411.9774466318199</v>
      </c>
      <c r="M2588">
        <v>27.056938601200699</v>
      </c>
      <c r="N2588">
        <v>53.112363137168899</v>
      </c>
      <c r="O2588">
        <v>51.902845198665901</v>
      </c>
      <c r="P2588">
        <v>-0.10580004909681</v>
      </c>
      <c r="Q2588">
        <v>0.18819056114382199</v>
      </c>
      <c r="R2588">
        <v>0.963138153035904</v>
      </c>
      <c r="S2588" t="s">
        <v>8873</v>
      </c>
      <c r="T2588" t="s">
        <v>12568</v>
      </c>
      <c r="U2588" t="s">
        <v>12568</v>
      </c>
      <c r="V2588" t="s">
        <v>12568</v>
      </c>
      <c r="W2588" t="s">
        <v>15121</v>
      </c>
      <c r="X2588">
        <v>4</v>
      </c>
      <c r="Y2588" t="s">
        <v>21290</v>
      </c>
      <c r="Z2588" t="s">
        <v>27458</v>
      </c>
      <c r="AA2588">
        <v>0.52430338143871225</v>
      </c>
      <c r="AB2588" t="str">
        <f>HYPERLINK("Melting_Curves/meltCurve_P62851_RPS25.pdf", "Melting_Curves/meltCurve_P62851_RPS25.pdf")</f>
        <v>Melting_Curves/meltCurve_P62851_RPS25.pdf</v>
      </c>
    </row>
    <row r="2589" spans="1:28" x14ac:dyDescent="0.25">
      <c r="A2589" t="s">
        <v>2593</v>
      </c>
      <c r="B2589">
        <v>0.99352677808782597</v>
      </c>
      <c r="C2589">
        <v>0.98205168799394205</v>
      </c>
      <c r="D2589">
        <v>1.57719705019849</v>
      </c>
      <c r="E2589">
        <v>0.67034392899602502</v>
      </c>
      <c r="F2589">
        <v>0.55712742839872997</v>
      </c>
      <c r="G2589">
        <v>0.28723659205475399</v>
      </c>
      <c r="H2589">
        <v>0.206056045146113</v>
      </c>
      <c r="I2589">
        <v>0.20919487676705301</v>
      </c>
      <c r="J2589">
        <v>0.16831728531371901</v>
      </c>
      <c r="K2589">
        <v>0.116474766213575</v>
      </c>
      <c r="L2589">
        <v>1484.54575794736</v>
      </c>
      <c r="M2589">
        <v>28.395679770109901</v>
      </c>
      <c r="N2589">
        <v>53.113030638093001</v>
      </c>
      <c r="O2589">
        <v>52.023457491687502</v>
      </c>
      <c r="P2589">
        <v>-0.111951542939735</v>
      </c>
      <c r="Q2589">
        <v>0.17958515999667199</v>
      </c>
      <c r="R2589">
        <v>0.81524339425387005</v>
      </c>
      <c r="S2589" t="s">
        <v>8874</v>
      </c>
      <c r="T2589" t="s">
        <v>12568</v>
      </c>
      <c r="U2589" t="s">
        <v>12568</v>
      </c>
      <c r="V2589" t="s">
        <v>12568</v>
      </c>
      <c r="W2589" t="s">
        <v>15122</v>
      </c>
      <c r="X2589">
        <v>2</v>
      </c>
      <c r="Y2589" t="s">
        <v>21291</v>
      </c>
      <c r="Z2589" t="s">
        <v>27459</v>
      </c>
      <c r="AA2589">
        <v>0.52129364317936699</v>
      </c>
      <c r="AB2589" t="str">
        <f>HYPERLINK("Melting_Curves/meltCurve_P62854_RPS26.pdf", "Melting_Curves/meltCurve_P62854_RPS26.pdf")</f>
        <v>Melting_Curves/meltCurve_P62854_RPS26.pdf</v>
      </c>
    </row>
    <row r="2590" spans="1:28" x14ac:dyDescent="0.25">
      <c r="A2590" t="s">
        <v>2594</v>
      </c>
      <c r="B2590">
        <v>0.99352677808782597</v>
      </c>
      <c r="C2590">
        <v>1.01112972004227</v>
      </c>
      <c r="D2590">
        <v>1.0447503702055601</v>
      </c>
      <c r="E2590">
        <v>0.95487819283650799</v>
      </c>
      <c r="F2590">
        <v>0.91654866326335105</v>
      </c>
      <c r="G2590">
        <v>0.86397346438906797</v>
      </c>
      <c r="H2590">
        <v>0.78299810649908697</v>
      </c>
      <c r="I2590">
        <v>0.89011634371883297</v>
      </c>
      <c r="J2590">
        <v>0.839848515866779</v>
      </c>
      <c r="K2590">
        <v>0.71485083311840703</v>
      </c>
      <c r="L2590">
        <v>863.00231506040996</v>
      </c>
      <c r="M2590">
        <v>15.673980013338101</v>
      </c>
      <c r="O2590">
        <v>54.186675722475599</v>
      </c>
      <c r="P2590">
        <v>-1.5454034889632901E-2</v>
      </c>
      <c r="Q2590">
        <v>0.78631296443252197</v>
      </c>
      <c r="R2590">
        <v>0.79981509524985905</v>
      </c>
      <c r="S2590" t="s">
        <v>8875</v>
      </c>
      <c r="T2590" t="s">
        <v>12568</v>
      </c>
      <c r="U2590" t="s">
        <v>12568</v>
      </c>
      <c r="V2590" t="s">
        <v>12568</v>
      </c>
      <c r="W2590" t="s">
        <v>15123</v>
      </c>
      <c r="X2590">
        <v>9</v>
      </c>
      <c r="Y2590" t="s">
        <v>21292</v>
      </c>
      <c r="Z2590" t="s">
        <v>27460</v>
      </c>
      <c r="AA2590">
        <v>0.89749198644115158</v>
      </c>
      <c r="AB2590" t="str">
        <f>HYPERLINK("Melting_Curves/meltCurve_P62857_RPS28.pdf", "Melting_Curves/meltCurve_P62857_RPS28.pdf")</f>
        <v>Melting_Curves/meltCurve_P62857_RPS28.pdf</v>
      </c>
    </row>
    <row r="2591" spans="1:28" x14ac:dyDescent="0.25">
      <c r="A2591" t="s">
        <v>2595</v>
      </c>
      <c r="B2591">
        <v>0.99352677808782597</v>
      </c>
      <c r="C2591">
        <v>0.95902944042858096</v>
      </c>
      <c r="D2591">
        <v>0.81887775056308798</v>
      </c>
      <c r="E2591">
        <v>0.32630356944038602</v>
      </c>
      <c r="F2591">
        <v>0.28922134511849301</v>
      </c>
      <c r="G2591">
        <v>0.175022822258184</v>
      </c>
      <c r="H2591">
        <v>0.109377927242242</v>
      </c>
      <c r="I2591">
        <v>0.12196417790807799</v>
      </c>
      <c r="J2591">
        <v>9.5020239410235893E-2</v>
      </c>
      <c r="K2591">
        <v>4.9223644128924403E-2</v>
      </c>
      <c r="L2591">
        <v>1086.88437443055</v>
      </c>
      <c r="M2591">
        <v>22.470114665028198</v>
      </c>
      <c r="N2591">
        <v>48.889436425113601</v>
      </c>
      <c r="O2591">
        <v>47.992003772119403</v>
      </c>
      <c r="P2591">
        <v>-0.104628507884428</v>
      </c>
      <c r="Q2591">
        <v>0.106149923588234</v>
      </c>
      <c r="R2591">
        <v>0.98706643483519496</v>
      </c>
      <c r="S2591" t="s">
        <v>8876</v>
      </c>
      <c r="T2591" t="s">
        <v>12568</v>
      </c>
      <c r="U2591" t="s">
        <v>12568</v>
      </c>
      <c r="V2591" t="s">
        <v>12568</v>
      </c>
      <c r="W2591" t="s">
        <v>15124</v>
      </c>
      <c r="X2591">
        <v>2</v>
      </c>
      <c r="Y2591" t="s">
        <v>21293</v>
      </c>
      <c r="Z2591" t="s">
        <v>27461</v>
      </c>
      <c r="AA2591">
        <v>0.36542536850087121</v>
      </c>
      <c r="AB2591" t="str">
        <f>HYPERLINK("Melting_Curves/meltCurve_P62873_GNB1.pdf", "Melting_Curves/meltCurve_P62873_GNB1.pdf")</f>
        <v>Melting_Curves/meltCurve_P62873_GNB1.pdf</v>
      </c>
    </row>
    <row r="2592" spans="1:28" x14ac:dyDescent="0.25">
      <c r="A2592" t="s">
        <v>2596</v>
      </c>
      <c r="B2592">
        <v>0.99352677808782597</v>
      </c>
      <c r="C2592">
        <v>0.88337969219496604</v>
      </c>
      <c r="D2592">
        <v>0.86816804765967004</v>
      </c>
      <c r="E2592">
        <v>0.56397543965295704</v>
      </c>
      <c r="F2592">
        <v>0.416143646894857</v>
      </c>
      <c r="G2592">
        <v>0.252987908531772</v>
      </c>
      <c r="H2592">
        <v>0.15931870346093099</v>
      </c>
      <c r="I2592">
        <v>0.16798103586742499</v>
      </c>
      <c r="J2592">
        <v>0.15605662710373699</v>
      </c>
      <c r="K2592">
        <v>0.12234775606765901</v>
      </c>
      <c r="L2592">
        <v>744.56769557717098</v>
      </c>
      <c r="M2592">
        <v>14.779335831430499</v>
      </c>
      <c r="N2592">
        <v>51.319615509667102</v>
      </c>
      <c r="O2592">
        <v>49.483622619297499</v>
      </c>
      <c r="P2592">
        <v>-6.5815488751243906E-2</v>
      </c>
      <c r="Q2592">
        <v>0.118650843713655</v>
      </c>
      <c r="R2592">
        <v>0.99407144253176105</v>
      </c>
      <c r="S2592" t="s">
        <v>8877</v>
      </c>
      <c r="T2592" t="s">
        <v>12568</v>
      </c>
      <c r="U2592" t="s">
        <v>12568</v>
      </c>
      <c r="V2592" t="s">
        <v>12568</v>
      </c>
      <c r="W2592" t="s">
        <v>15125</v>
      </c>
      <c r="X2592">
        <v>2</v>
      </c>
      <c r="Y2592" t="s">
        <v>21294</v>
      </c>
      <c r="Z2592" t="s">
        <v>27462</v>
      </c>
      <c r="AA2592">
        <v>0.44486862330820642</v>
      </c>
      <c r="AB2592" t="str">
        <f>HYPERLINK("Melting_Curves/meltCurve_P62875_POLR2L.pdf", "Melting_Curves/meltCurve_P62875_POLR2L.pdf")</f>
        <v>Melting_Curves/meltCurve_P62875_POLR2L.pdf</v>
      </c>
    </row>
    <row r="2593" spans="1:28" x14ac:dyDescent="0.25">
      <c r="A2593" t="s">
        <v>2597</v>
      </c>
      <c r="B2593">
        <v>0.99352677808782597</v>
      </c>
      <c r="C2593">
        <v>1.01397916176643</v>
      </c>
      <c r="D2593">
        <v>0.88977926889311099</v>
      </c>
      <c r="E2593">
        <v>1.4623022528315901</v>
      </c>
      <c r="F2593">
        <v>1.03872982744814</v>
      </c>
      <c r="G2593">
        <v>1.48200900104192</v>
      </c>
      <c r="H2593">
        <v>1.6543672108235401</v>
      </c>
      <c r="I2593">
        <v>2.10552826557507</v>
      </c>
      <c r="J2593">
        <v>1.97976921317252</v>
      </c>
      <c r="K2593">
        <v>1.9995887569380999</v>
      </c>
      <c r="L2593">
        <v>1170.2897823150499</v>
      </c>
      <c r="M2593">
        <v>23.005471056894098</v>
      </c>
      <c r="O2593">
        <v>50.490369272744402</v>
      </c>
      <c r="P2593">
        <v>5.6956161611845801E-2</v>
      </c>
      <c r="Q2593">
        <v>1.5</v>
      </c>
      <c r="R2593">
        <v>0.44432618617915098</v>
      </c>
      <c r="S2593" t="s">
        <v>8878</v>
      </c>
      <c r="T2593" t="s">
        <v>12568</v>
      </c>
      <c r="U2593" t="s">
        <v>12568</v>
      </c>
      <c r="V2593" t="s">
        <v>12568</v>
      </c>
      <c r="W2593" t="s">
        <v>15126</v>
      </c>
      <c r="X2593">
        <v>3</v>
      </c>
      <c r="Y2593" t="s">
        <v>21295</v>
      </c>
      <c r="Z2593" t="s">
        <v>27463</v>
      </c>
      <c r="AA2593">
        <v>1.313523146662829</v>
      </c>
      <c r="AB2593" t="str">
        <f>HYPERLINK("Melting_Curves/meltCurve_P62877_RBX1.pdf", "Melting_Curves/meltCurve_P62877_RBX1.pdf")</f>
        <v>Melting_Curves/meltCurve_P62877_RBX1.pdf</v>
      </c>
    </row>
    <row r="2594" spans="1:28" x14ac:dyDescent="0.25">
      <c r="A2594" t="s">
        <v>2598</v>
      </c>
      <c r="B2594">
        <v>0.99352677808782597</v>
      </c>
      <c r="C2594">
        <v>0.93514961101324601</v>
      </c>
      <c r="D2594">
        <v>1.29643381079469</v>
      </c>
      <c r="E2594">
        <v>0.53977091977114</v>
      </c>
      <c r="F2594">
        <v>0.42638777426977797</v>
      </c>
      <c r="G2594">
        <v>0.232006932736355</v>
      </c>
      <c r="H2594">
        <v>0.141026275409396</v>
      </c>
      <c r="I2594">
        <v>0.110308851962565</v>
      </c>
      <c r="J2594">
        <v>0.10674901023302399</v>
      </c>
      <c r="K2594">
        <v>7.1358636920562102E-2</v>
      </c>
      <c r="L2594">
        <v>1444.2382406352999</v>
      </c>
      <c r="M2594">
        <v>28.342784188343401</v>
      </c>
      <c r="N2594">
        <v>51.4830220420288</v>
      </c>
      <c r="O2594">
        <v>50.704475099352102</v>
      </c>
      <c r="P2594">
        <v>-0.122153300735482</v>
      </c>
      <c r="Q2594">
        <v>0.125891347876881</v>
      </c>
      <c r="R2594">
        <v>0.91472927360933898</v>
      </c>
      <c r="S2594" t="s">
        <v>8879</v>
      </c>
      <c r="T2594" t="s">
        <v>12568</v>
      </c>
      <c r="U2594" t="s">
        <v>12568</v>
      </c>
      <c r="V2594" t="s">
        <v>12568</v>
      </c>
      <c r="W2594" t="s">
        <v>15127</v>
      </c>
      <c r="X2594">
        <v>4</v>
      </c>
      <c r="Y2594" t="s">
        <v>21296</v>
      </c>
      <c r="Z2594" t="s">
        <v>27464</v>
      </c>
      <c r="AA2594">
        <v>0.45127231563679049</v>
      </c>
      <c r="AB2594" t="str">
        <f>HYPERLINK("Melting_Curves/meltCurve_P62888_RPL30.pdf", "Melting_Curves/meltCurve_P62888_RPL30.pdf")</f>
        <v>Melting_Curves/meltCurve_P62888_RPL30.pdf</v>
      </c>
    </row>
    <row r="2595" spans="1:28" x14ac:dyDescent="0.25">
      <c r="A2595" t="s">
        <v>2599</v>
      </c>
      <c r="B2595">
        <v>0.99352677808782597</v>
      </c>
      <c r="C2595">
        <v>0.94281239004806905</v>
      </c>
      <c r="D2595">
        <v>1.8199511891137801</v>
      </c>
      <c r="E2595">
        <v>0.73224923093679795</v>
      </c>
      <c r="F2595">
        <v>0.62494396432366195</v>
      </c>
      <c r="G2595">
        <v>0.32647860701160297</v>
      </c>
      <c r="H2595">
        <v>0.17831346512992799</v>
      </c>
      <c r="I2595">
        <v>0.167176834234807</v>
      </c>
      <c r="J2595">
        <v>0.132123842565322</v>
      </c>
      <c r="K2595">
        <v>8.0822995633679603E-2</v>
      </c>
      <c r="L2595">
        <v>1417.89082284969</v>
      </c>
      <c r="M2595">
        <v>26.4837683266664</v>
      </c>
      <c r="N2595">
        <v>54.179130101542199</v>
      </c>
      <c r="O2595">
        <v>53.235646795355798</v>
      </c>
      <c r="P2595">
        <v>-0.107643696653872</v>
      </c>
      <c r="Q2595">
        <v>0.134500647552042</v>
      </c>
      <c r="R2595">
        <v>0.73288836480192099</v>
      </c>
      <c r="S2595" t="s">
        <v>8880</v>
      </c>
      <c r="T2595" t="s">
        <v>12568</v>
      </c>
      <c r="U2595" t="s">
        <v>12568</v>
      </c>
      <c r="V2595" t="s">
        <v>12568</v>
      </c>
      <c r="W2595" t="s">
        <v>15128</v>
      </c>
      <c r="X2595">
        <v>6</v>
      </c>
      <c r="Y2595" t="s">
        <v>21297</v>
      </c>
      <c r="Z2595" t="s">
        <v>27465</v>
      </c>
      <c r="AA2595">
        <v>0.53225359864455346</v>
      </c>
      <c r="AB2595" t="str">
        <f>HYPERLINK("Melting_Curves/meltCurve_P62906_RPL10A.pdf", "Melting_Curves/meltCurve_P62906_RPL10A.pdf")</f>
        <v>Melting_Curves/meltCurve_P62906_RPL10A.pdf</v>
      </c>
    </row>
    <row r="2596" spans="1:28" x14ac:dyDescent="0.25">
      <c r="A2596" t="s">
        <v>2600</v>
      </c>
      <c r="B2596">
        <v>0.99352677808782597</v>
      </c>
      <c r="C2596">
        <v>0.95231025445113304</v>
      </c>
      <c r="D2596">
        <v>1.62228389320905</v>
      </c>
      <c r="E2596">
        <v>1.0243727942782399</v>
      </c>
      <c r="F2596">
        <v>0.94563157649649798</v>
      </c>
      <c r="G2596">
        <v>0.53048700972265705</v>
      </c>
      <c r="H2596">
        <v>0.36291640482889698</v>
      </c>
      <c r="I2596">
        <v>0.33512829126443699</v>
      </c>
      <c r="J2596">
        <v>0.35180346405754298</v>
      </c>
      <c r="K2596">
        <v>0.266904215734109</v>
      </c>
      <c r="L2596">
        <v>2413.3320460608302</v>
      </c>
      <c r="M2596">
        <v>43.123917324534901</v>
      </c>
      <c r="N2596">
        <v>57.3416996286944</v>
      </c>
      <c r="O2596">
        <v>55.842806715317202</v>
      </c>
      <c r="P2596">
        <v>-0.13074935640285201</v>
      </c>
      <c r="Q2596">
        <v>0.32275195507413001</v>
      </c>
      <c r="R2596">
        <v>0.77242386003916597</v>
      </c>
      <c r="S2596" t="s">
        <v>8881</v>
      </c>
      <c r="T2596" t="s">
        <v>12568</v>
      </c>
      <c r="U2596" t="s">
        <v>12568</v>
      </c>
      <c r="V2596" t="s">
        <v>12568</v>
      </c>
      <c r="W2596" t="s">
        <v>15129</v>
      </c>
      <c r="X2596">
        <v>9</v>
      </c>
      <c r="Y2596" t="s">
        <v>21298</v>
      </c>
      <c r="Z2596" t="s">
        <v>27466</v>
      </c>
      <c r="AA2596">
        <v>0.68535277924365856</v>
      </c>
      <c r="AB2596" t="str">
        <f>HYPERLINK("Melting_Curves/meltCurve_P62917_RPL8.pdf", "Melting_Curves/meltCurve_P62917_RPL8.pdf")</f>
        <v>Melting_Curves/meltCurve_P62917_RPL8.pdf</v>
      </c>
    </row>
    <row r="2597" spans="1:28" x14ac:dyDescent="0.25">
      <c r="A2597" t="s">
        <v>2601</v>
      </c>
      <c r="B2597">
        <v>0.99352677808782597</v>
      </c>
      <c r="C2597">
        <v>0.95713396036931198</v>
      </c>
      <c r="D2597">
        <v>0.96839368291272798</v>
      </c>
      <c r="E2597">
        <v>0.85312286594051501</v>
      </c>
      <c r="F2597">
        <v>0.80868088867436805</v>
      </c>
      <c r="G2597">
        <v>0.79202267215755695</v>
      </c>
      <c r="H2597">
        <v>0.64756305456820495</v>
      </c>
      <c r="I2597">
        <v>0.72293797641207602</v>
      </c>
      <c r="J2597">
        <v>0.61303565019453898</v>
      </c>
      <c r="K2597">
        <v>0.48151676575406699</v>
      </c>
      <c r="L2597">
        <v>334.01873621984299</v>
      </c>
      <c r="M2597">
        <v>4.6369138824309504</v>
      </c>
      <c r="O2597">
        <v>61.711126348889302</v>
      </c>
      <c r="P2597">
        <v>-1.8933392991131601E-2</v>
      </c>
      <c r="Q2597">
        <v>0</v>
      </c>
      <c r="R2597">
        <v>0.93496509496182101</v>
      </c>
      <c r="S2597" t="s">
        <v>8882</v>
      </c>
      <c r="T2597" t="s">
        <v>12568</v>
      </c>
      <c r="U2597" t="s">
        <v>12568</v>
      </c>
      <c r="V2597" t="s">
        <v>12568</v>
      </c>
      <c r="W2597" t="s">
        <v>15130</v>
      </c>
      <c r="X2597">
        <v>12</v>
      </c>
      <c r="Y2597" t="s">
        <v>21299</v>
      </c>
      <c r="Z2597" t="s">
        <v>27467</v>
      </c>
      <c r="AA2597">
        <v>0.78916675014337379</v>
      </c>
      <c r="AB2597" t="str">
        <f>HYPERLINK("Melting_Curves/meltCurve_P62942_FKBP1A.pdf", "Melting_Curves/meltCurve_P62942_FKBP1A.pdf")</f>
        <v>Melting_Curves/meltCurve_P62942_FKBP1A.pdf</v>
      </c>
    </row>
    <row r="2598" spans="1:28" x14ac:dyDescent="0.25">
      <c r="A2598" t="s">
        <v>2602</v>
      </c>
      <c r="B2598">
        <v>0.99352677808782597</v>
      </c>
      <c r="C2598">
        <v>0.96454988297643496</v>
      </c>
      <c r="D2598">
        <v>0.98359645732728695</v>
      </c>
      <c r="E2598">
        <v>0.94013984117643301</v>
      </c>
      <c r="F2598">
        <v>0.88807034313509603</v>
      </c>
      <c r="G2598">
        <v>0.73924344517566598</v>
      </c>
      <c r="H2598">
        <v>0.28321211253346301</v>
      </c>
      <c r="I2598">
        <v>0.172956325765731</v>
      </c>
      <c r="J2598">
        <v>0.11802002830368601</v>
      </c>
      <c r="K2598">
        <v>9.6278416119337795E-2</v>
      </c>
      <c r="L2598">
        <v>1544.79189475002</v>
      </c>
      <c r="M2598">
        <v>26.3900823211291</v>
      </c>
      <c r="N2598">
        <v>58.927640333355598</v>
      </c>
      <c r="O2598">
        <v>58.203810539712499</v>
      </c>
      <c r="P2598">
        <v>-0.10425339036490699</v>
      </c>
      <c r="Q2598">
        <v>8.0278918170687497E-2</v>
      </c>
      <c r="R2598">
        <v>0.99281277425349201</v>
      </c>
      <c r="S2598" t="s">
        <v>8883</v>
      </c>
      <c r="T2598" t="s">
        <v>12568</v>
      </c>
      <c r="U2598" t="s">
        <v>12568</v>
      </c>
      <c r="V2598" t="s">
        <v>12568</v>
      </c>
      <c r="W2598" t="s">
        <v>15131</v>
      </c>
      <c r="X2598">
        <v>16</v>
      </c>
      <c r="Y2598" t="s">
        <v>21300</v>
      </c>
      <c r="Z2598" t="s">
        <v>27468</v>
      </c>
      <c r="AA2598">
        <v>0.65580443094748231</v>
      </c>
      <c r="AB2598" t="str">
        <f>HYPERLINK("Melting_Curves/meltCurve_P62993_GRB2.pdf", "Melting_Curves/meltCurve_P62993_GRB2.pdf")</f>
        <v>Melting_Curves/meltCurve_P62993_GRB2.pdf</v>
      </c>
    </row>
    <row r="2599" spans="1:28" x14ac:dyDescent="0.25">
      <c r="A2599" t="s">
        <v>2603</v>
      </c>
      <c r="B2599">
        <v>0.99352677808782597</v>
      </c>
      <c r="C2599">
        <v>0.90427973281844398</v>
      </c>
      <c r="D2599">
        <v>0.94018572217084895</v>
      </c>
      <c r="E2599">
        <v>0.76804033368937996</v>
      </c>
      <c r="F2599">
        <v>0.69906321501797997</v>
      </c>
      <c r="G2599">
        <v>0.62639770438440601</v>
      </c>
      <c r="H2599">
        <v>0.54757376351181597</v>
      </c>
      <c r="I2599">
        <v>0.53112778893763002</v>
      </c>
      <c r="J2599">
        <v>0.47656223600526498</v>
      </c>
      <c r="K2599">
        <v>0.32975001864419301</v>
      </c>
      <c r="L2599">
        <v>351.647114464308</v>
      </c>
      <c r="M2599">
        <v>5.7612884823703299</v>
      </c>
      <c r="N2599">
        <v>63.305657167730601</v>
      </c>
      <c r="O2599">
        <v>54.883607449410398</v>
      </c>
      <c r="P2599">
        <v>-2.38836725010916E-2</v>
      </c>
      <c r="Q2599">
        <v>9.3302318537363496E-2</v>
      </c>
      <c r="R2599">
        <v>0.96548141250302</v>
      </c>
      <c r="S2599" t="s">
        <v>8884</v>
      </c>
      <c r="T2599" t="s">
        <v>12568</v>
      </c>
      <c r="U2599" t="s">
        <v>12568</v>
      </c>
      <c r="V2599" t="s">
        <v>12568</v>
      </c>
      <c r="W2599" t="s">
        <v>15132</v>
      </c>
      <c r="X2599">
        <v>1</v>
      </c>
      <c r="Y2599" t="s">
        <v>21301</v>
      </c>
      <c r="Z2599" t="s">
        <v>27469</v>
      </c>
      <c r="AA2599">
        <v>0.68257077123429277</v>
      </c>
      <c r="AB2599" t="str">
        <f>HYPERLINK("Melting_Curves/meltCurve_P62995_TRA2B.pdf", "Melting_Curves/meltCurve_P62995_TRA2B.pdf")</f>
        <v>Melting_Curves/meltCurve_P62995_TRA2B.pdf</v>
      </c>
    </row>
    <row r="2600" spans="1:28" x14ac:dyDescent="0.25">
      <c r="A2600" t="s">
        <v>2604</v>
      </c>
      <c r="B2600">
        <v>0.99352677808782597</v>
      </c>
      <c r="C2600">
        <v>0.85563671837709598</v>
      </c>
      <c r="D2600">
        <v>0.991846634077308</v>
      </c>
      <c r="E2600">
        <v>0.89372610294496002</v>
      </c>
      <c r="F2600">
        <v>0.80214687881073199</v>
      </c>
      <c r="G2600">
        <v>0.28642916123873302</v>
      </c>
      <c r="H2600">
        <v>9.9868393186389501E-2</v>
      </c>
      <c r="I2600">
        <v>8.2067190796172099E-2</v>
      </c>
      <c r="J2600">
        <v>6.3633548885605795E-2</v>
      </c>
      <c r="K2600">
        <v>5.3378930970175799E-2</v>
      </c>
      <c r="L2600">
        <v>1664.36075499344</v>
      </c>
      <c r="M2600">
        <v>30.256659299805101</v>
      </c>
      <c r="N2600">
        <v>55.229165000717003</v>
      </c>
      <c r="O2600">
        <v>54.769466039984202</v>
      </c>
      <c r="P2600">
        <v>-0.13023285204273</v>
      </c>
      <c r="Q2600">
        <v>5.7035505017136098E-2</v>
      </c>
      <c r="R2600">
        <v>0.98398881260432702</v>
      </c>
      <c r="S2600" t="s">
        <v>8885</v>
      </c>
      <c r="T2600" t="s">
        <v>12568</v>
      </c>
      <c r="U2600" t="s">
        <v>12568</v>
      </c>
      <c r="V2600" t="s">
        <v>12568</v>
      </c>
      <c r="W2600" t="s">
        <v>15133</v>
      </c>
      <c r="X2600">
        <v>12</v>
      </c>
      <c r="Y2600" t="s">
        <v>21302</v>
      </c>
      <c r="Z2600" t="s">
        <v>27470</v>
      </c>
      <c r="AA2600">
        <v>0.5349272141511785</v>
      </c>
      <c r="AB2600" t="str">
        <f>HYPERLINK("Melting_Curves/meltCurve_P63000_RAC1.pdf", "Melting_Curves/meltCurve_P63000_RAC1.pdf")</f>
        <v>Melting_Curves/meltCurve_P63000_RAC1.pdf</v>
      </c>
    </row>
    <row r="2601" spans="1:28" x14ac:dyDescent="0.25">
      <c r="A2601" t="s">
        <v>2605</v>
      </c>
      <c r="B2601">
        <v>0.99352677808782597</v>
      </c>
      <c r="C2601">
        <v>0.97678030084329803</v>
      </c>
      <c r="D2601">
        <v>0.902232046893644</v>
      </c>
      <c r="E2601">
        <v>0.70329141528566896</v>
      </c>
      <c r="F2601">
        <v>0.54913101843762102</v>
      </c>
      <c r="G2601">
        <v>0.27076286197077498</v>
      </c>
      <c r="H2601">
        <v>0.155730631031992</v>
      </c>
      <c r="I2601">
        <v>0.108097903470337</v>
      </c>
      <c r="J2601">
        <v>8.3402634985630802E-2</v>
      </c>
      <c r="K2601">
        <v>6.2983697051395199E-2</v>
      </c>
      <c r="L2601">
        <v>781.12088959714299</v>
      </c>
      <c r="M2601">
        <v>14.730760028747</v>
      </c>
      <c r="N2601">
        <v>53.293940936943301</v>
      </c>
      <c r="O2601">
        <v>52.078054253655999</v>
      </c>
      <c r="P2601">
        <v>-6.8202756766150605E-2</v>
      </c>
      <c r="Q2601">
        <v>3.5628390898279599E-2</v>
      </c>
      <c r="R2601">
        <v>0.99881898213126596</v>
      </c>
      <c r="S2601" t="s">
        <v>8886</v>
      </c>
      <c r="T2601" t="s">
        <v>12568</v>
      </c>
      <c r="U2601" t="s">
        <v>12568</v>
      </c>
      <c r="V2601" t="s">
        <v>12568</v>
      </c>
      <c r="W2601" t="s">
        <v>15134</v>
      </c>
      <c r="X2601">
        <v>32</v>
      </c>
      <c r="Y2601" t="s">
        <v>21303</v>
      </c>
      <c r="Z2601" t="s">
        <v>27471</v>
      </c>
      <c r="AA2601">
        <v>0.47562742596487989</v>
      </c>
      <c r="AB2601" t="str">
        <f>HYPERLINK("Melting_Curves/meltCurve_P63010_AP2B1.pdf", "Melting_Curves/meltCurve_P63010_AP2B1.pdf")</f>
        <v>Melting_Curves/meltCurve_P63010_AP2B1.pdf</v>
      </c>
    </row>
    <row r="2602" spans="1:28" x14ac:dyDescent="0.25">
      <c r="A2602" t="s">
        <v>2606</v>
      </c>
      <c r="B2602">
        <v>0.99352677808782597</v>
      </c>
      <c r="C2602">
        <v>0.98534637137887504</v>
      </c>
      <c r="D2602">
        <v>0.96508699131692399</v>
      </c>
      <c r="E2602">
        <v>0.53117808502258301</v>
      </c>
      <c r="F2602">
        <v>0.45426085933509203</v>
      </c>
      <c r="G2602">
        <v>0.15543919305026499</v>
      </c>
      <c r="H2602">
        <v>0.106108395927039</v>
      </c>
      <c r="I2602">
        <v>0.10341365436946399</v>
      </c>
      <c r="J2602">
        <v>8.2477937132198406E-2</v>
      </c>
      <c r="K2602">
        <v>7.7161590886007006E-2</v>
      </c>
      <c r="L2602">
        <v>976.91667234057604</v>
      </c>
      <c r="M2602">
        <v>19.171454980617199</v>
      </c>
      <c r="N2602">
        <v>51.393476080818097</v>
      </c>
      <c r="O2602">
        <v>50.412125436131497</v>
      </c>
      <c r="P2602">
        <v>-8.7931851031811198E-2</v>
      </c>
      <c r="Q2602">
        <v>7.5154010212954897E-2</v>
      </c>
      <c r="R2602">
        <v>0.98600270442218196</v>
      </c>
      <c r="S2602" t="s">
        <v>8887</v>
      </c>
      <c r="T2602" t="s">
        <v>12568</v>
      </c>
      <c r="U2602" t="s">
        <v>12568</v>
      </c>
      <c r="V2602" t="s">
        <v>12568</v>
      </c>
      <c r="W2602" t="s">
        <v>15135</v>
      </c>
      <c r="X2602">
        <v>9</v>
      </c>
      <c r="Y2602" t="s">
        <v>21304</v>
      </c>
      <c r="Z2602" t="s">
        <v>27472</v>
      </c>
      <c r="AA2602">
        <v>0.42682604906101301</v>
      </c>
      <c r="AB2602" t="str">
        <f>HYPERLINK("Melting_Curves/meltCurve_P63096_GNAI1.pdf", "Melting_Curves/meltCurve_P63096_GNAI1.pdf")</f>
        <v>Melting_Curves/meltCurve_P63096_GNAI1.pdf</v>
      </c>
    </row>
    <row r="2603" spans="1:28" x14ac:dyDescent="0.25">
      <c r="A2603" t="s">
        <v>2607</v>
      </c>
      <c r="B2603">
        <v>0.99352677808782597</v>
      </c>
      <c r="C2603">
        <v>0.96325394672236098</v>
      </c>
      <c r="D2603">
        <v>0.97000150552457898</v>
      </c>
      <c r="E2603">
        <v>0.94347318002043901</v>
      </c>
      <c r="F2603">
        <v>0.89205005913814295</v>
      </c>
      <c r="G2603">
        <v>0.76270026420624604</v>
      </c>
      <c r="H2603">
        <v>0.45483534258938202</v>
      </c>
      <c r="I2603">
        <v>0.174275533180344</v>
      </c>
      <c r="J2603">
        <v>0.14309747056938199</v>
      </c>
      <c r="K2603">
        <v>0.102979493521013</v>
      </c>
      <c r="L2603">
        <v>1215.4459218547599</v>
      </c>
      <c r="M2603">
        <v>20.321916856304501</v>
      </c>
      <c r="N2603">
        <v>60.024695265611101</v>
      </c>
      <c r="O2603">
        <v>59.2394979337355</v>
      </c>
      <c r="P2603">
        <v>-8.2752674199367202E-2</v>
      </c>
      <c r="Q2603">
        <v>3.5115292056184001E-2</v>
      </c>
      <c r="R2603">
        <v>0.99125670456696302</v>
      </c>
      <c r="S2603" t="s">
        <v>8888</v>
      </c>
      <c r="T2603" t="s">
        <v>12568</v>
      </c>
      <c r="U2603" t="s">
        <v>12568</v>
      </c>
      <c r="V2603" t="s">
        <v>12568</v>
      </c>
      <c r="W2603" t="s">
        <v>15136</v>
      </c>
      <c r="X2603">
        <v>27</v>
      </c>
      <c r="Y2603" t="s">
        <v>21305</v>
      </c>
      <c r="Z2603" t="s">
        <v>27473</v>
      </c>
      <c r="AA2603">
        <v>0.68062811391856592</v>
      </c>
      <c r="AB2603" t="str">
        <f>HYPERLINK("Melting_Curves/meltCurve_P63104_YWHAZ.pdf", "Melting_Curves/meltCurve_P63104_YWHAZ.pdf")</f>
        <v>Melting_Curves/meltCurve_P63104_YWHAZ.pdf</v>
      </c>
    </row>
    <row r="2604" spans="1:28" x14ac:dyDescent="0.25">
      <c r="A2604" t="s">
        <v>2608</v>
      </c>
      <c r="B2604">
        <v>0.99352677808782597</v>
      </c>
      <c r="C2604">
        <v>1.02417604072306</v>
      </c>
      <c r="D2604">
        <v>0.92201857975949497</v>
      </c>
      <c r="E2604">
        <v>0.86841186160707495</v>
      </c>
      <c r="F2604">
        <v>0.73358143760400196</v>
      </c>
      <c r="G2604">
        <v>0.38053008896443202</v>
      </c>
      <c r="H2604">
        <v>0.14283870634316101</v>
      </c>
      <c r="I2604">
        <v>0.118224338798447</v>
      </c>
      <c r="J2604">
        <v>9.2611514558150906E-2</v>
      </c>
      <c r="K2604">
        <v>7.4134001484681994E-2</v>
      </c>
      <c r="L2604">
        <v>1100.147671986</v>
      </c>
      <c r="M2604">
        <v>19.957881606771199</v>
      </c>
      <c r="N2604">
        <v>55.448961413952603</v>
      </c>
      <c r="O2604">
        <v>54.5789775130728</v>
      </c>
      <c r="P2604">
        <v>-8.6367016944976394E-2</v>
      </c>
      <c r="Q2604">
        <v>5.5276426869744398E-2</v>
      </c>
      <c r="R2604">
        <v>0.995391196895552</v>
      </c>
      <c r="S2604" t="s">
        <v>8889</v>
      </c>
      <c r="T2604" t="s">
        <v>12568</v>
      </c>
      <c r="U2604" t="s">
        <v>12568</v>
      </c>
      <c r="V2604" t="s">
        <v>12568</v>
      </c>
      <c r="W2604" t="s">
        <v>15137</v>
      </c>
      <c r="X2604">
        <v>16</v>
      </c>
      <c r="Y2604" t="s">
        <v>21306</v>
      </c>
      <c r="Z2604" t="s">
        <v>27474</v>
      </c>
      <c r="AA2604">
        <v>0.54410252742546728</v>
      </c>
      <c r="AB2604" t="str">
        <f>HYPERLINK("Melting_Curves/meltCurve_P63151_PPP2R2A.pdf", "Melting_Curves/meltCurve_P63151_PPP2R2A.pdf")</f>
        <v>Melting_Curves/meltCurve_P63151_PPP2R2A.pdf</v>
      </c>
    </row>
    <row r="2605" spans="1:28" x14ac:dyDescent="0.25">
      <c r="A2605" t="s">
        <v>2609</v>
      </c>
      <c r="B2605">
        <v>0.99352677808782597</v>
      </c>
      <c r="C2605">
        <v>0.98712448395685604</v>
      </c>
      <c r="D2605">
        <v>1.0106885166930699</v>
      </c>
      <c r="E2605">
        <v>0.66533154411303297</v>
      </c>
      <c r="F2605">
        <v>0.64330599276417699</v>
      </c>
      <c r="G2605">
        <v>0.38794490053254999</v>
      </c>
      <c r="H2605">
        <v>0.26874071937300098</v>
      </c>
      <c r="I2605">
        <v>0.22091210388214699</v>
      </c>
      <c r="J2605">
        <v>0.181531409337224</v>
      </c>
      <c r="K2605">
        <v>0.101108172438299</v>
      </c>
      <c r="L2605">
        <v>708.39861603467398</v>
      </c>
      <c r="M2605">
        <v>13.125253169747699</v>
      </c>
      <c r="N2605">
        <v>54.8808630898221</v>
      </c>
      <c r="O2605">
        <v>52.7654377183663</v>
      </c>
      <c r="P2605">
        <v>-5.6122888379242897E-2</v>
      </c>
      <c r="Q2605">
        <v>9.76647196658193E-2</v>
      </c>
      <c r="R2605">
        <v>0.98014662258756702</v>
      </c>
      <c r="S2605" t="s">
        <v>8890</v>
      </c>
      <c r="T2605" t="s">
        <v>12568</v>
      </c>
      <c r="U2605" t="s">
        <v>12568</v>
      </c>
      <c r="V2605" t="s">
        <v>12568</v>
      </c>
      <c r="W2605" t="s">
        <v>15138</v>
      </c>
      <c r="X2605">
        <v>7</v>
      </c>
      <c r="Y2605" t="s">
        <v>21307</v>
      </c>
      <c r="Z2605" t="s">
        <v>27475</v>
      </c>
      <c r="AA2605">
        <v>0.53953652366789706</v>
      </c>
      <c r="AB2605" t="str">
        <f>HYPERLINK("Melting_Curves/meltCurve_P63167_DYNLL1.pdf", "Melting_Curves/meltCurve_P63167_DYNLL1.pdf")</f>
        <v>Melting_Curves/meltCurve_P63167_DYNLL1.pdf</v>
      </c>
    </row>
    <row r="2606" spans="1:28" x14ac:dyDescent="0.25">
      <c r="A2606" t="s">
        <v>2610</v>
      </c>
      <c r="B2606">
        <v>0.99352677808782597</v>
      </c>
      <c r="C2606">
        <v>0.736170534575459</v>
      </c>
      <c r="D2606">
        <v>0.71822688542318502</v>
      </c>
      <c r="E2606">
        <v>0.489197993158485</v>
      </c>
      <c r="F2606">
        <v>0.38336096084874299</v>
      </c>
      <c r="G2606">
        <v>0.35030356348268199</v>
      </c>
      <c r="H2606">
        <v>0.326441619640151</v>
      </c>
      <c r="I2606">
        <v>0.354412670182149</v>
      </c>
      <c r="J2606">
        <v>0.38735460985515302</v>
      </c>
      <c r="K2606">
        <v>0.36897610613864501</v>
      </c>
      <c r="L2606">
        <v>710.08738644273103</v>
      </c>
      <c r="M2606">
        <v>15.5324445000817</v>
      </c>
      <c r="N2606">
        <v>49.439425774800597</v>
      </c>
      <c r="O2606">
        <v>44.978707932561797</v>
      </c>
      <c r="P2606">
        <v>-5.65728486850849E-2</v>
      </c>
      <c r="Q2606">
        <v>0.34476496575899501</v>
      </c>
      <c r="R2606">
        <v>0.957528999205009</v>
      </c>
      <c r="S2606" t="s">
        <v>8891</v>
      </c>
      <c r="T2606" t="s">
        <v>12568</v>
      </c>
      <c r="U2606" t="s">
        <v>12568</v>
      </c>
      <c r="V2606" t="s">
        <v>12568</v>
      </c>
      <c r="W2606" t="s">
        <v>15139</v>
      </c>
      <c r="X2606">
        <v>3</v>
      </c>
      <c r="Y2606" t="s">
        <v>21308</v>
      </c>
      <c r="Z2606" t="s">
        <v>27476</v>
      </c>
      <c r="AA2606">
        <v>0.48782749823296162</v>
      </c>
      <c r="AB2606" t="str">
        <f>HYPERLINK("Melting_Curves/meltCurve_P63173_RPL38.pdf", "Melting_Curves/meltCurve_P63173_RPL38.pdf")</f>
        <v>Melting_Curves/meltCurve_P63173_RPL38.pdf</v>
      </c>
    </row>
    <row r="2607" spans="1:28" x14ac:dyDescent="0.25">
      <c r="A2607" t="s">
        <v>2611</v>
      </c>
      <c r="B2607">
        <v>0.99352677808782597</v>
      </c>
      <c r="C2607">
        <v>0.94529811560308397</v>
      </c>
      <c r="D2607">
        <v>0.97693963788659699</v>
      </c>
      <c r="E2607">
        <v>0.80975987215818601</v>
      </c>
      <c r="F2607">
        <v>0.74679040478819403</v>
      </c>
      <c r="G2607">
        <v>0.62307156591146395</v>
      </c>
      <c r="H2607">
        <v>0.47258616894601102</v>
      </c>
      <c r="I2607">
        <v>0.48813930672710598</v>
      </c>
      <c r="J2607">
        <v>0.49767061039219601</v>
      </c>
      <c r="K2607">
        <v>0.41134722969603099</v>
      </c>
      <c r="L2607">
        <v>684.21807382101895</v>
      </c>
      <c r="M2607">
        <v>12.7074049266743</v>
      </c>
      <c r="N2607">
        <v>62.161495773351803</v>
      </c>
      <c r="O2607">
        <v>52.562837722832697</v>
      </c>
      <c r="P2607">
        <v>-3.5745413931485497E-2</v>
      </c>
      <c r="Q2607">
        <v>0.40868562204749198</v>
      </c>
      <c r="R2607">
        <v>0.98151964037045702</v>
      </c>
      <c r="S2607" t="s">
        <v>8892</v>
      </c>
      <c r="T2607" t="s">
        <v>12568</v>
      </c>
      <c r="U2607" t="s">
        <v>12568</v>
      </c>
      <c r="V2607" t="s">
        <v>12568</v>
      </c>
      <c r="W2607" t="s">
        <v>15140</v>
      </c>
      <c r="X2607">
        <v>16</v>
      </c>
      <c r="Y2607" t="s">
        <v>21309</v>
      </c>
      <c r="Z2607" t="s">
        <v>27477</v>
      </c>
      <c r="AA2607">
        <v>0.6963616057808879</v>
      </c>
      <c r="AB2607" t="str">
        <f>HYPERLINK("Melting_Curves/meltCurve_P63241_EIF5A.pdf", "Melting_Curves/meltCurve_P63241_EIF5A.pdf")</f>
        <v>Melting_Curves/meltCurve_P63241_EIF5A.pdf</v>
      </c>
    </row>
    <row r="2608" spans="1:28" x14ac:dyDescent="0.25">
      <c r="A2608" t="s">
        <v>2612</v>
      </c>
      <c r="B2608">
        <v>0.99352677808782597</v>
      </c>
      <c r="C2608">
        <v>0.83364036352454496</v>
      </c>
      <c r="D2608">
        <v>0.352402879514155</v>
      </c>
      <c r="E2608">
        <v>0.17842109379698701</v>
      </c>
      <c r="F2608">
        <v>0.125735098173055</v>
      </c>
      <c r="G2608">
        <v>7.5729861607304397E-2</v>
      </c>
      <c r="H2608">
        <v>5.4471939475719502E-2</v>
      </c>
      <c r="I2608">
        <v>5.2675547237870497E-2</v>
      </c>
      <c r="J2608">
        <v>4.3776786202506697E-2</v>
      </c>
      <c r="K2608">
        <v>3.5768512744364302E-2</v>
      </c>
      <c r="L2608">
        <v>1306.5040917505301</v>
      </c>
      <c r="M2608">
        <v>29.071195754937602</v>
      </c>
      <c r="N2608">
        <v>45.173698738212998</v>
      </c>
      <c r="O2608">
        <v>44.730479766484699</v>
      </c>
      <c r="P2608">
        <v>-0.15120628591948601</v>
      </c>
      <c r="Q2608">
        <v>6.9390730633404799E-2</v>
      </c>
      <c r="R2608">
        <v>0.99097563768728802</v>
      </c>
      <c r="S2608" t="s">
        <v>8893</v>
      </c>
      <c r="T2608" t="s">
        <v>12568</v>
      </c>
      <c r="U2608" t="s">
        <v>12568</v>
      </c>
      <c r="V2608" t="s">
        <v>12568</v>
      </c>
      <c r="W2608" t="s">
        <v>15141</v>
      </c>
      <c r="X2608">
        <v>15</v>
      </c>
      <c r="Y2608" t="s">
        <v>21310</v>
      </c>
      <c r="Z2608" t="s">
        <v>27478</v>
      </c>
      <c r="AA2608">
        <v>0.2291680707140468</v>
      </c>
      <c r="AB2608" t="str">
        <f>HYPERLINK("Melting_Curves/meltCurve_P63244_GNB2L1.pdf", "Melting_Curves/meltCurve_P63244_GNB2L1.pdf")</f>
        <v>Melting_Curves/meltCurve_P63244_GNB2L1.pdf</v>
      </c>
    </row>
    <row r="2609" spans="1:28" x14ac:dyDescent="0.25">
      <c r="A2609" t="s">
        <v>2613</v>
      </c>
      <c r="B2609">
        <v>0.99352677808782597</v>
      </c>
      <c r="C2609">
        <v>0.90510364468412796</v>
      </c>
      <c r="D2609">
        <v>1.02675969058594</v>
      </c>
      <c r="E2609">
        <v>0.72734331999882995</v>
      </c>
      <c r="F2609">
        <v>0.70041420535777998</v>
      </c>
      <c r="G2609">
        <v>0.26175434541493497</v>
      </c>
      <c r="H2609">
        <v>0.13535787437576899</v>
      </c>
      <c r="I2609">
        <v>0.11412913241295</v>
      </c>
      <c r="J2609">
        <v>8.0338158868017207E-2</v>
      </c>
      <c r="K2609">
        <v>5.84427690840853E-2</v>
      </c>
      <c r="L2609">
        <v>987.52596010903096</v>
      </c>
      <c r="M2609">
        <v>18.2753203287002</v>
      </c>
      <c r="N2609">
        <v>54.310579316327697</v>
      </c>
      <c r="O2609">
        <v>53.401528898261098</v>
      </c>
      <c r="P2609">
        <v>-8.1785217233166105E-2</v>
      </c>
      <c r="Q2609">
        <v>4.4120540427354603E-2</v>
      </c>
      <c r="R2609">
        <v>0.97816828155286295</v>
      </c>
      <c r="S2609" t="s">
        <v>8894</v>
      </c>
      <c r="T2609" t="s">
        <v>12568</v>
      </c>
      <c r="U2609" t="s">
        <v>12568</v>
      </c>
      <c r="V2609" t="s">
        <v>12568</v>
      </c>
      <c r="W2609" t="s">
        <v>15142</v>
      </c>
      <c r="X2609">
        <v>37</v>
      </c>
      <c r="Y2609" t="s">
        <v>21311</v>
      </c>
      <c r="Z2609" t="s">
        <v>27479</v>
      </c>
      <c r="AA2609">
        <v>0.50628304487015996</v>
      </c>
      <c r="AB2609" t="str">
        <f>HYPERLINK("Melting_Curves/meltCurve_P63261_ACTG1.pdf", "Melting_Curves/meltCurve_P63261_ACTG1.pdf")</f>
        <v>Melting_Curves/meltCurve_P63261_ACTG1.pdf</v>
      </c>
    </row>
    <row r="2610" spans="1:28" x14ac:dyDescent="0.25">
      <c r="A2610" t="s">
        <v>2614</v>
      </c>
      <c r="B2610">
        <v>0.99352677808782597</v>
      </c>
      <c r="C2610">
        <v>1.02878126755431</v>
      </c>
      <c r="D2610">
        <v>0.97561684954604899</v>
      </c>
      <c r="E2610">
        <v>0.68137516059490499</v>
      </c>
      <c r="F2610">
        <v>0.60432677848788896</v>
      </c>
      <c r="G2610">
        <v>0.33310682334689301</v>
      </c>
      <c r="H2610">
        <v>0.165555876183966</v>
      </c>
      <c r="I2610">
        <v>0.167242569789435</v>
      </c>
      <c r="J2610">
        <v>0.15865226340936001</v>
      </c>
      <c r="K2610">
        <v>0.121650999506152</v>
      </c>
      <c r="L2610">
        <v>865.91081417451699</v>
      </c>
      <c r="M2610">
        <v>16.337498998653</v>
      </c>
      <c r="N2610">
        <v>53.823308758492502</v>
      </c>
      <c r="O2610">
        <v>52.226429139791101</v>
      </c>
      <c r="P2610">
        <v>-6.9576774168962505E-2</v>
      </c>
      <c r="Q2610">
        <v>0.110394072654676</v>
      </c>
      <c r="R2610">
        <v>0.98894251863935601</v>
      </c>
      <c r="S2610" t="s">
        <v>8895</v>
      </c>
      <c r="T2610" t="s">
        <v>12568</v>
      </c>
      <c r="U2610" t="s">
        <v>12568</v>
      </c>
      <c r="V2610" t="s">
        <v>12568</v>
      </c>
      <c r="W2610" t="s">
        <v>15143</v>
      </c>
      <c r="X2610">
        <v>3</v>
      </c>
      <c r="Y2610" t="s">
        <v>21312</v>
      </c>
      <c r="Z2610" t="s">
        <v>27480</v>
      </c>
      <c r="AA2610">
        <v>0.51285524675388339</v>
      </c>
      <c r="AB2610" t="str">
        <f>HYPERLINK("Melting_Curves/meltCurve_P63272_SUPT4H1.pdf", "Melting_Curves/meltCurve_P63272_SUPT4H1.pdf")</f>
        <v>Melting_Curves/meltCurve_P63272_SUPT4H1.pdf</v>
      </c>
    </row>
    <row r="2611" spans="1:28" x14ac:dyDescent="0.25">
      <c r="A2611" t="s">
        <v>2615</v>
      </c>
      <c r="B2611">
        <v>0.99352677808782597</v>
      </c>
      <c r="C2611">
        <v>0.85979614366776702</v>
      </c>
      <c r="D2611">
        <v>0.92461688386811103</v>
      </c>
      <c r="E2611">
        <v>0.90807884788037496</v>
      </c>
      <c r="F2611">
        <v>0.96663656755379201</v>
      </c>
      <c r="G2611">
        <v>0.89332109149281502</v>
      </c>
      <c r="H2611">
        <v>0.99592886077013298</v>
      </c>
      <c r="I2611">
        <v>0.88482019897958197</v>
      </c>
      <c r="J2611">
        <v>0.84310029923411201</v>
      </c>
      <c r="K2611">
        <v>0.80712571124603105</v>
      </c>
      <c r="L2611">
        <v>126.65159126426801</v>
      </c>
      <c r="M2611">
        <v>1.0000000000000001E-5</v>
      </c>
      <c r="O2611">
        <v>52.7855660805902</v>
      </c>
      <c r="P2611">
        <v>-3.4680377620198398E-3</v>
      </c>
      <c r="Q2611">
        <v>0</v>
      </c>
      <c r="R2611">
        <v>0.24032696435367801</v>
      </c>
      <c r="S2611" t="s">
        <v>8896</v>
      </c>
      <c r="T2611" t="s">
        <v>12568</v>
      </c>
      <c r="U2611" t="s">
        <v>12568</v>
      </c>
      <c r="V2611" t="s">
        <v>12568</v>
      </c>
      <c r="W2611" t="s">
        <v>15144</v>
      </c>
      <c r="X2611">
        <v>10</v>
      </c>
      <c r="Y2611" t="s">
        <v>21313</v>
      </c>
      <c r="Z2611" t="s">
        <v>27481</v>
      </c>
      <c r="AA2611">
        <v>0.9092745424428833</v>
      </c>
      <c r="AB2611" t="str">
        <f>HYPERLINK("Melting_Curves/meltCurve_P63313_TMSB10.pdf", "Melting_Curves/meltCurve_P63313_TMSB10.pdf")</f>
        <v>Melting_Curves/meltCurve_P63313_TMSB10.pdf</v>
      </c>
    </row>
    <row r="2612" spans="1:28" x14ac:dyDescent="0.25">
      <c r="A2612" t="s">
        <v>2616</v>
      </c>
      <c r="B2612">
        <v>0.99352677808782597</v>
      </c>
      <c r="C2612">
        <v>1.0042177060776201</v>
      </c>
      <c r="D2612">
        <v>0.81094911775247103</v>
      </c>
      <c r="E2612">
        <v>0.86518003220835604</v>
      </c>
      <c r="F2612">
        <v>1.0704404869033901</v>
      </c>
      <c r="G2612">
        <v>0.90955457572449505</v>
      </c>
      <c r="H2612">
        <v>0.39629754057614502</v>
      </c>
      <c r="I2612">
        <v>0.179321689462766</v>
      </c>
      <c r="J2612">
        <v>7.1979515418469101E-2</v>
      </c>
      <c r="K2612">
        <v>5.26118799829896E-2</v>
      </c>
      <c r="L2612">
        <v>2313.08324526652</v>
      </c>
      <c r="M2612">
        <v>38.438552209123102</v>
      </c>
      <c r="N2612">
        <v>60.382224877446298</v>
      </c>
      <c r="O2612">
        <v>60.013948793430103</v>
      </c>
      <c r="P2612">
        <v>-0.150279050003121</v>
      </c>
      <c r="Q2612">
        <v>6.1482104399848497E-2</v>
      </c>
      <c r="R2612">
        <v>0.96015506263474504</v>
      </c>
      <c r="S2612" t="s">
        <v>8897</v>
      </c>
      <c r="T2612" t="s">
        <v>12568</v>
      </c>
      <c r="U2612" t="s">
        <v>12568</v>
      </c>
      <c r="V2612" t="s">
        <v>12568</v>
      </c>
      <c r="W2612" t="s">
        <v>15145</v>
      </c>
      <c r="X2612">
        <v>16</v>
      </c>
      <c r="Y2612" t="s">
        <v>21314</v>
      </c>
      <c r="Z2612" t="s">
        <v>27482</v>
      </c>
      <c r="AA2612">
        <v>0.69658206981613402</v>
      </c>
      <c r="AB2612" t="str">
        <f>HYPERLINK("Melting_Curves/meltCurve_P67775_PPP2CA.pdf", "Melting_Curves/meltCurve_P67775_PPP2CA.pdf")</f>
        <v>Melting_Curves/meltCurve_P67775_PPP2CA.pdf</v>
      </c>
    </row>
    <row r="2613" spans="1:28" x14ac:dyDescent="0.25">
      <c r="A2613" t="s">
        <v>2617</v>
      </c>
      <c r="B2613">
        <v>0.99352677808782597</v>
      </c>
      <c r="C2613">
        <v>1.0163398529915599</v>
      </c>
      <c r="D2613">
        <v>1.05397260243198</v>
      </c>
      <c r="E2613">
        <v>1.21418464023117</v>
      </c>
      <c r="F2613">
        <v>0.96583888992045797</v>
      </c>
      <c r="G2613">
        <v>1.1990552455590699</v>
      </c>
      <c r="H2613">
        <v>1.52483903721148</v>
      </c>
      <c r="I2613">
        <v>1.63993423948725</v>
      </c>
      <c r="J2613">
        <v>2.0668703490253799</v>
      </c>
      <c r="K2613">
        <v>1.7017423758552599</v>
      </c>
      <c r="L2613">
        <v>14273.560620587699</v>
      </c>
      <c r="M2613">
        <v>250</v>
      </c>
      <c r="O2613">
        <v>57.090602505807901</v>
      </c>
      <c r="P2613">
        <v>0.54737568221553301</v>
      </c>
      <c r="Q2613">
        <v>1.5</v>
      </c>
      <c r="R2613">
        <v>0.65825334907361599</v>
      </c>
      <c r="S2613" t="s">
        <v>8898</v>
      </c>
      <c r="T2613" t="s">
        <v>12568</v>
      </c>
      <c r="U2613" t="s">
        <v>12568</v>
      </c>
      <c r="V2613" t="s">
        <v>12568</v>
      </c>
      <c r="W2613" t="s">
        <v>15146</v>
      </c>
      <c r="X2613">
        <v>12</v>
      </c>
      <c r="Y2613" t="s">
        <v>21315</v>
      </c>
      <c r="Z2613" t="s">
        <v>27483</v>
      </c>
      <c r="AA2613">
        <v>1.2150458588740001</v>
      </c>
      <c r="AB2613" t="str">
        <f>HYPERLINK("Melting_Curves/meltCurve_P67809_YBX1.pdf", "Melting_Curves/meltCurve_P67809_YBX1.pdf")</f>
        <v>Melting_Curves/meltCurve_P67809_YBX1.pdf</v>
      </c>
    </row>
    <row r="2614" spans="1:28" x14ac:dyDescent="0.25">
      <c r="A2614" t="s">
        <v>2618</v>
      </c>
      <c r="B2614">
        <v>0.99352677808782597</v>
      </c>
      <c r="C2614">
        <v>0.99552992906267601</v>
      </c>
      <c r="D2614">
        <v>0.88785435046515004</v>
      </c>
      <c r="E2614">
        <v>0.81264472073389105</v>
      </c>
      <c r="F2614">
        <v>0.673461443036383</v>
      </c>
      <c r="G2614">
        <v>0.29158768626883802</v>
      </c>
      <c r="H2614">
        <v>0.132036664417192</v>
      </c>
      <c r="I2614">
        <v>0.119041850869315</v>
      </c>
      <c r="J2614">
        <v>9.2536320339701703E-2</v>
      </c>
      <c r="K2614">
        <v>7.3169518670423303E-2</v>
      </c>
      <c r="L2614">
        <v>998.06250377580102</v>
      </c>
      <c r="M2614">
        <v>18.4368403744012</v>
      </c>
      <c r="N2614">
        <v>54.468728673708497</v>
      </c>
      <c r="O2614">
        <v>53.5093307362432</v>
      </c>
      <c r="P2614">
        <v>-8.1530519694392498E-2</v>
      </c>
      <c r="Q2614">
        <v>5.3536801073804097E-2</v>
      </c>
      <c r="R2614">
        <v>0.99214675853227197</v>
      </c>
      <c r="S2614" t="s">
        <v>8899</v>
      </c>
      <c r="T2614" t="s">
        <v>12568</v>
      </c>
      <c r="U2614" t="s">
        <v>12568</v>
      </c>
      <c r="V2614" t="s">
        <v>12568</v>
      </c>
      <c r="W2614" t="s">
        <v>15147</v>
      </c>
      <c r="X2614">
        <v>7</v>
      </c>
      <c r="Y2614" t="s">
        <v>21316</v>
      </c>
      <c r="Z2614" t="s">
        <v>27484</v>
      </c>
      <c r="AA2614">
        <v>0.51401032853006012</v>
      </c>
      <c r="AB2614" t="str">
        <f>HYPERLINK("Melting_Curves/meltCurve_P67870_CSNK2B.pdf", "Melting_Curves/meltCurve_P67870_CSNK2B.pdf")</f>
        <v>Melting_Curves/meltCurve_P67870_CSNK2B.pdf</v>
      </c>
    </row>
    <row r="2615" spans="1:28" x14ac:dyDescent="0.25">
      <c r="A2615" t="s">
        <v>2619</v>
      </c>
      <c r="B2615">
        <v>0.99352677808782597</v>
      </c>
      <c r="C2615">
        <v>0.97497167427883402</v>
      </c>
      <c r="D2615">
        <v>1.0031908228061399</v>
      </c>
      <c r="E2615">
        <v>1.0013188586042701</v>
      </c>
      <c r="F2615">
        <v>0.90904721826942003</v>
      </c>
      <c r="G2615">
        <v>0.816144056143287</v>
      </c>
      <c r="H2615">
        <v>0.826970646891099</v>
      </c>
      <c r="I2615">
        <v>0.88692602938513598</v>
      </c>
      <c r="J2615">
        <v>1.0353599063077501</v>
      </c>
      <c r="K2615">
        <v>0.86102027955817495</v>
      </c>
      <c r="L2615">
        <v>13178.862917863</v>
      </c>
      <c r="M2615">
        <v>250</v>
      </c>
      <c r="O2615">
        <v>52.712078307058903</v>
      </c>
      <c r="P2615">
        <v>-0.13601699618349</v>
      </c>
      <c r="Q2615">
        <v>0.88528418343473503</v>
      </c>
      <c r="R2615">
        <v>0.45084020739235098</v>
      </c>
      <c r="S2615" t="s">
        <v>8900</v>
      </c>
      <c r="T2615" t="s">
        <v>12568</v>
      </c>
      <c r="U2615" t="s">
        <v>12568</v>
      </c>
      <c r="V2615" t="s">
        <v>12568</v>
      </c>
      <c r="W2615" t="s">
        <v>15148</v>
      </c>
      <c r="X2615">
        <v>51</v>
      </c>
      <c r="Y2615" t="s">
        <v>19609</v>
      </c>
      <c r="Z2615" t="s">
        <v>27485</v>
      </c>
      <c r="AA2615">
        <v>0.93391691039480695</v>
      </c>
      <c r="AB2615" t="str">
        <f>HYPERLINK("Melting_Curves/meltCurve_P67936_TPM4.pdf", "Melting_Curves/meltCurve_P67936_TPM4.pdf")</f>
        <v>Melting_Curves/meltCurve_P67936_TPM4.pdf</v>
      </c>
    </row>
    <row r="2616" spans="1:28" x14ac:dyDescent="0.25">
      <c r="A2616" t="s">
        <v>2620</v>
      </c>
      <c r="B2616">
        <v>0.99352677808782597</v>
      </c>
      <c r="C2616">
        <v>1.0167604543014901</v>
      </c>
      <c r="D2616">
        <v>1.00376073030946</v>
      </c>
      <c r="E2616">
        <v>0.92831981354380699</v>
      </c>
      <c r="F2616">
        <v>0.89821740815118201</v>
      </c>
      <c r="G2616">
        <v>0.724637463446548</v>
      </c>
      <c r="H2616">
        <v>0.80636309088321101</v>
      </c>
      <c r="I2616">
        <v>0.85307079144695996</v>
      </c>
      <c r="J2616">
        <v>1.1055102013037901</v>
      </c>
      <c r="K2616">
        <v>0.86350690928852603</v>
      </c>
      <c r="L2616">
        <v>2444.07275962429</v>
      </c>
      <c r="M2616">
        <v>49.071631975433803</v>
      </c>
      <c r="O2616">
        <v>49.7237199643046</v>
      </c>
      <c r="P2616">
        <v>-3.11325504801893E-2</v>
      </c>
      <c r="Q2616">
        <v>0.87381509519284595</v>
      </c>
      <c r="R2616">
        <v>0.291727547451127</v>
      </c>
      <c r="S2616" t="s">
        <v>8901</v>
      </c>
      <c r="T2616" t="s">
        <v>12568</v>
      </c>
      <c r="U2616" t="s">
        <v>12568</v>
      </c>
      <c r="V2616" t="s">
        <v>12568</v>
      </c>
      <c r="W2616" t="s">
        <v>15149</v>
      </c>
      <c r="X2616">
        <v>42</v>
      </c>
      <c r="Y2616" t="s">
        <v>19609</v>
      </c>
      <c r="Z2616" t="s">
        <v>27486</v>
      </c>
      <c r="AA2616">
        <v>0.91534956746817897</v>
      </c>
      <c r="AB2616" t="str">
        <f>HYPERLINK("Melting_Curves/meltCurve_P67936_2_TPM4.pdf", "Melting_Curves/meltCurve_P67936_2_TPM4.pdf")</f>
        <v>Melting_Curves/meltCurve_P67936_2_TPM4.pdf</v>
      </c>
    </row>
    <row r="2617" spans="1:28" x14ac:dyDescent="0.25">
      <c r="A2617" t="s">
        <v>2621</v>
      </c>
      <c r="B2617">
        <v>0.99352677808782597</v>
      </c>
      <c r="C2617">
        <v>0.92344941716513496</v>
      </c>
      <c r="D2617">
        <v>0.98158229837979205</v>
      </c>
      <c r="E2617">
        <v>0.98119415407599997</v>
      </c>
      <c r="F2617">
        <v>0.90539234036488903</v>
      </c>
      <c r="G2617">
        <v>0.81789383783898995</v>
      </c>
      <c r="H2617">
        <v>0.70102070820276396</v>
      </c>
      <c r="I2617">
        <v>0.52682003643979103</v>
      </c>
      <c r="J2617">
        <v>0.38705244045464099</v>
      </c>
      <c r="K2617">
        <v>0.23165044811528601</v>
      </c>
      <c r="L2617">
        <v>819.89044721411506</v>
      </c>
      <c r="M2617">
        <v>12.7356379239702</v>
      </c>
      <c r="N2617">
        <v>64.3776712062961</v>
      </c>
      <c r="O2617">
        <v>62.852319400495801</v>
      </c>
      <c r="P2617">
        <v>-5.0666686727138699E-2</v>
      </c>
      <c r="Q2617">
        <v>0</v>
      </c>
      <c r="R2617">
        <v>0.98580384453612202</v>
      </c>
      <c r="S2617" t="s">
        <v>8902</v>
      </c>
      <c r="T2617" t="s">
        <v>12568</v>
      </c>
      <c r="U2617" t="s">
        <v>12568</v>
      </c>
      <c r="V2617" t="s">
        <v>12568</v>
      </c>
      <c r="W2617" t="s">
        <v>15150</v>
      </c>
      <c r="X2617">
        <v>11</v>
      </c>
      <c r="Y2617" t="s">
        <v>21317</v>
      </c>
      <c r="Z2617" t="s">
        <v>27487</v>
      </c>
      <c r="AA2617">
        <v>0.78340448166501464</v>
      </c>
      <c r="AB2617" t="str">
        <f>HYPERLINK("Melting_Curves/meltCurve_P68036_UBE2L3.pdf", "Melting_Curves/meltCurve_P68036_UBE2L3.pdf")</f>
        <v>Melting_Curves/meltCurve_P68036_UBE2L3.pdf</v>
      </c>
    </row>
    <row r="2618" spans="1:28" x14ac:dyDescent="0.25">
      <c r="A2618" t="s">
        <v>2622</v>
      </c>
      <c r="B2618">
        <v>0.99352677808782597</v>
      </c>
      <c r="C2618">
        <v>0.83222617990717596</v>
      </c>
      <c r="D2618">
        <v>0.82122272742416402</v>
      </c>
      <c r="E2618">
        <v>0.30264177947019599</v>
      </c>
      <c r="F2618">
        <v>0.240206914176812</v>
      </c>
      <c r="G2618">
        <v>0.136121621869672</v>
      </c>
      <c r="H2618">
        <v>9.8522247424980502E-2</v>
      </c>
      <c r="I2618">
        <v>7.6330238604708903E-2</v>
      </c>
      <c r="J2618">
        <v>6.4676685161033601E-2</v>
      </c>
      <c r="K2618">
        <v>4.8758343101925603E-2</v>
      </c>
      <c r="L2618">
        <v>947.231453755036</v>
      </c>
      <c r="M2618">
        <v>19.662480515145901</v>
      </c>
      <c r="N2618">
        <v>48.5500440590016</v>
      </c>
      <c r="O2618">
        <v>47.684566646089898</v>
      </c>
      <c r="P2618">
        <v>-9.5818681232746103E-2</v>
      </c>
      <c r="Q2618">
        <v>7.0531677063920106E-2</v>
      </c>
      <c r="R2618">
        <v>0.98091991262334399</v>
      </c>
      <c r="S2618" t="s">
        <v>8903</v>
      </c>
      <c r="T2618" t="s">
        <v>12568</v>
      </c>
      <c r="U2618" t="s">
        <v>12568</v>
      </c>
      <c r="V2618" t="s">
        <v>12568</v>
      </c>
      <c r="W2618" t="s">
        <v>15151</v>
      </c>
      <c r="X2618">
        <v>31</v>
      </c>
      <c r="Y2618" t="s">
        <v>21318</v>
      </c>
      <c r="Z2618" t="s">
        <v>27488</v>
      </c>
      <c r="AA2618">
        <v>0.33744236712043568</v>
      </c>
      <c r="AB2618" t="str">
        <f>HYPERLINK("Melting_Curves/meltCurve_P68104_EEF1A1.pdf", "Melting_Curves/meltCurve_P68104_EEF1A1.pdf")</f>
        <v>Melting_Curves/meltCurve_P68104_EEF1A1.pdf</v>
      </c>
    </row>
    <row r="2619" spans="1:28" x14ac:dyDescent="0.25">
      <c r="A2619" t="s">
        <v>2623</v>
      </c>
      <c r="B2619">
        <v>0.99352677808782597</v>
      </c>
      <c r="C2619">
        <v>0.97998439087795097</v>
      </c>
      <c r="D2619">
        <v>0.95910034794108101</v>
      </c>
      <c r="E2619">
        <v>0.72309280258105801</v>
      </c>
      <c r="F2619">
        <v>0.65760525429169903</v>
      </c>
      <c r="G2619">
        <v>0.490225454643546</v>
      </c>
      <c r="H2619">
        <v>0.36870860742855599</v>
      </c>
      <c r="I2619">
        <v>0.35246143435259197</v>
      </c>
      <c r="J2619">
        <v>0.31598837122662499</v>
      </c>
      <c r="K2619">
        <v>0.30704697550844401</v>
      </c>
      <c r="L2619">
        <v>726.49058463146503</v>
      </c>
      <c r="M2619">
        <v>13.742821386766201</v>
      </c>
      <c r="N2619">
        <v>56.297345449113202</v>
      </c>
      <c r="O2619">
        <v>51.7816594952467</v>
      </c>
      <c r="P2619">
        <v>-4.7528091148468003E-2</v>
      </c>
      <c r="Q2619">
        <v>0.28377637198903299</v>
      </c>
      <c r="R2619">
        <v>0.99256157512273602</v>
      </c>
      <c r="S2619" t="s">
        <v>8904</v>
      </c>
      <c r="T2619" t="s">
        <v>12568</v>
      </c>
      <c r="U2619" t="s">
        <v>12568</v>
      </c>
      <c r="V2619" t="s">
        <v>12568</v>
      </c>
      <c r="W2619" t="s">
        <v>15152</v>
      </c>
      <c r="X2619">
        <v>4</v>
      </c>
      <c r="Y2619" t="s">
        <v>21319</v>
      </c>
      <c r="Z2619" t="s">
        <v>27489</v>
      </c>
      <c r="AA2619">
        <v>0.60833360721318153</v>
      </c>
      <c r="AB2619" t="str">
        <f>HYPERLINK("Melting_Curves/meltCurve_P68106_FKBP1B.pdf", "Melting_Curves/meltCurve_P68106_FKBP1B.pdf")</f>
        <v>Melting_Curves/meltCurve_P68106_FKBP1B.pdf</v>
      </c>
    </row>
    <row r="2620" spans="1:28" x14ac:dyDescent="0.25">
      <c r="A2620" t="s">
        <v>2624</v>
      </c>
      <c r="B2620">
        <v>0.99352677808782597</v>
      </c>
      <c r="C2620">
        <v>0.66929075668457005</v>
      </c>
      <c r="D2620">
        <v>0.96299657348456802</v>
      </c>
      <c r="E2620">
        <v>0.76236614314157802</v>
      </c>
      <c r="F2620">
        <v>0.66656527508640595</v>
      </c>
      <c r="G2620">
        <v>0.23455629107171</v>
      </c>
      <c r="H2620">
        <v>0.10998275756065801</v>
      </c>
      <c r="I2620">
        <v>9.4834259763610998E-2</v>
      </c>
      <c r="J2620">
        <v>7.4255879801584906E-2</v>
      </c>
      <c r="K2620">
        <v>5.2007102258425399E-2</v>
      </c>
      <c r="L2620">
        <v>851.46635266595604</v>
      </c>
      <c r="M2620">
        <v>15.7936886026993</v>
      </c>
      <c r="N2620">
        <v>53.976372257040602</v>
      </c>
      <c r="O2620">
        <v>53.069710074603798</v>
      </c>
      <c r="P2620">
        <v>-7.3710622656943697E-2</v>
      </c>
      <c r="Q2620">
        <v>9.3566557620048899E-3</v>
      </c>
      <c r="R2620">
        <v>0.91373350551258103</v>
      </c>
      <c r="S2620" t="s">
        <v>8905</v>
      </c>
      <c r="T2620" t="s">
        <v>12568</v>
      </c>
      <c r="U2620" t="s">
        <v>12568</v>
      </c>
      <c r="V2620" t="s">
        <v>12568</v>
      </c>
      <c r="W2620" t="s">
        <v>15153</v>
      </c>
      <c r="X2620">
        <v>27</v>
      </c>
      <c r="Y2620" t="s">
        <v>21320</v>
      </c>
      <c r="Z2620" t="s">
        <v>27490</v>
      </c>
      <c r="AA2620">
        <v>0.4878526798335886</v>
      </c>
      <c r="AB2620" t="str">
        <f>HYPERLINK("Melting_Curves/meltCurve_P68133_ACTA1.pdf", "Melting_Curves/meltCurve_P68133_ACTA1.pdf")</f>
        <v>Melting_Curves/meltCurve_P68133_ACTA1.pdf</v>
      </c>
    </row>
    <row r="2621" spans="1:28" x14ac:dyDescent="0.25">
      <c r="A2621" t="s">
        <v>2625</v>
      </c>
      <c r="B2621">
        <v>0.99352677808782597</v>
      </c>
      <c r="C2621">
        <v>0.187034646599813</v>
      </c>
      <c r="D2621">
        <v>1.3146183423922799</v>
      </c>
      <c r="E2621">
        <v>0.46257966865869599</v>
      </c>
      <c r="F2621">
        <v>0.35328195857482098</v>
      </c>
      <c r="G2621">
        <v>0.18220867437354299</v>
      </c>
      <c r="H2621">
        <v>6.1974398409234299E-2</v>
      </c>
      <c r="I2621">
        <v>5.3917396843385999E-2</v>
      </c>
      <c r="J2621">
        <v>4.5293086560550699E-2</v>
      </c>
      <c r="K2621">
        <v>3.1541964154739699E-2</v>
      </c>
      <c r="L2621">
        <v>597.85504961839695</v>
      </c>
      <c r="M2621">
        <v>11.823768451582801</v>
      </c>
      <c r="N2621">
        <v>50.563832578636699</v>
      </c>
      <c r="O2621">
        <v>49.182503758798298</v>
      </c>
      <c r="P2621">
        <v>-6.0116832284945299E-2</v>
      </c>
      <c r="Q2621">
        <v>0</v>
      </c>
      <c r="R2621">
        <v>0.54248286035739801</v>
      </c>
      <c r="S2621" t="s">
        <v>8906</v>
      </c>
      <c r="T2621" t="s">
        <v>12568</v>
      </c>
      <c r="U2621" t="s">
        <v>12568</v>
      </c>
      <c r="V2621" t="s">
        <v>12568</v>
      </c>
      <c r="W2621" t="s">
        <v>15154</v>
      </c>
      <c r="X2621">
        <v>23</v>
      </c>
      <c r="Y2621" t="s">
        <v>21321</v>
      </c>
      <c r="Z2621" t="s">
        <v>27491</v>
      </c>
      <c r="AA2621">
        <v>0.3863516824077417</v>
      </c>
      <c r="AB2621" t="str">
        <f>HYPERLINK("Melting_Curves/meltCurve_P68363_TUBA1B.pdf", "Melting_Curves/meltCurve_P68363_TUBA1B.pdf")</f>
        <v>Melting_Curves/meltCurve_P68363_TUBA1B.pdf</v>
      </c>
    </row>
    <row r="2622" spans="1:28" x14ac:dyDescent="0.25">
      <c r="A2622" t="s">
        <v>2626</v>
      </c>
      <c r="B2622">
        <v>0.99352677808782597</v>
      </c>
      <c r="C2622">
        <v>0.74620227717324505</v>
      </c>
      <c r="D2622">
        <v>0.85367523536078405</v>
      </c>
      <c r="E2622">
        <v>0.47765935080424099</v>
      </c>
      <c r="F2622">
        <v>0.407525112304437</v>
      </c>
      <c r="G2622">
        <v>0.20803386225558801</v>
      </c>
      <c r="H2622">
        <v>9.3171956449483798E-2</v>
      </c>
      <c r="I2622">
        <v>8.4288400505668507E-2</v>
      </c>
      <c r="J2622">
        <v>6.9981108529884498E-2</v>
      </c>
      <c r="K2622">
        <v>5.6168133871344603E-2</v>
      </c>
      <c r="L2622">
        <v>565.18275052847605</v>
      </c>
      <c r="M2622">
        <v>11.196085403946901</v>
      </c>
      <c r="N2622">
        <v>50.480389334860199</v>
      </c>
      <c r="O2622">
        <v>48.950300280500201</v>
      </c>
      <c r="P2622">
        <v>-5.7198904391527E-2</v>
      </c>
      <c r="Q2622">
        <v>0</v>
      </c>
      <c r="R2622">
        <v>0.96859514541982195</v>
      </c>
      <c r="S2622" t="s">
        <v>8907</v>
      </c>
      <c r="T2622" t="s">
        <v>12568</v>
      </c>
      <c r="U2622" t="s">
        <v>12568</v>
      </c>
      <c r="V2622" t="s">
        <v>12568</v>
      </c>
      <c r="W2622" t="s">
        <v>15155</v>
      </c>
      <c r="X2622">
        <v>27</v>
      </c>
      <c r="Y2622" t="s">
        <v>21322</v>
      </c>
      <c r="Z2622" t="s">
        <v>27492</v>
      </c>
      <c r="AA2622">
        <v>0.38659037348831371</v>
      </c>
      <c r="AB2622" t="str">
        <f>HYPERLINK("Melting_Curves/meltCurve_P68371_TUBB4B.pdf", "Melting_Curves/meltCurve_P68371_TUBB4B.pdf")</f>
        <v>Melting_Curves/meltCurve_P68371_TUBB4B.pdf</v>
      </c>
    </row>
    <row r="2623" spans="1:28" x14ac:dyDescent="0.25">
      <c r="A2623" t="s">
        <v>2627</v>
      </c>
      <c r="B2623">
        <v>0.99352677808782597</v>
      </c>
      <c r="C2623">
        <v>0.945374296965242</v>
      </c>
      <c r="D2623">
        <v>0.92345948704680503</v>
      </c>
      <c r="E2623">
        <v>0.64260015903794898</v>
      </c>
      <c r="F2623">
        <v>0.56808302826798796</v>
      </c>
      <c r="G2623">
        <v>0.34981351212858602</v>
      </c>
      <c r="H2623">
        <v>0.306678934120234</v>
      </c>
      <c r="I2623">
        <v>0.25967484050302703</v>
      </c>
      <c r="J2623">
        <v>0.25389949724525801</v>
      </c>
      <c r="K2623">
        <v>0.14241325857573001</v>
      </c>
      <c r="L2623">
        <v>680.74713464365198</v>
      </c>
      <c r="M2623">
        <v>13.0771737032458</v>
      </c>
      <c r="N2623">
        <v>53.828351795303497</v>
      </c>
      <c r="O2623">
        <v>50.8839696143827</v>
      </c>
      <c r="P2623">
        <v>-5.3020440674538302E-2</v>
      </c>
      <c r="Q2623">
        <v>0.17492116757484699</v>
      </c>
      <c r="R2623">
        <v>0.98632547344919497</v>
      </c>
      <c r="S2623" t="s">
        <v>8908</v>
      </c>
      <c r="T2623" t="s">
        <v>12568</v>
      </c>
      <c r="U2623" t="s">
        <v>12568</v>
      </c>
      <c r="V2623" t="s">
        <v>12568</v>
      </c>
      <c r="W2623" t="s">
        <v>15156</v>
      </c>
      <c r="X2623">
        <v>6</v>
      </c>
      <c r="Y2623" t="s">
        <v>21323</v>
      </c>
      <c r="Z2623" t="s">
        <v>27493</v>
      </c>
      <c r="AA2623">
        <v>0.5289473598293345</v>
      </c>
      <c r="AB2623" t="str">
        <f>HYPERLINK("Melting_Curves/meltCurve_P68402_PAFAH1B2.pdf", "Melting_Curves/meltCurve_P68402_PAFAH1B2.pdf")</f>
        <v>Melting_Curves/meltCurve_P68402_PAFAH1B2.pdf</v>
      </c>
    </row>
    <row r="2624" spans="1:28" x14ac:dyDescent="0.25">
      <c r="A2624" t="s">
        <v>2628</v>
      </c>
      <c r="B2624">
        <v>0.99352677808782597</v>
      </c>
      <c r="C2624">
        <v>0.92247938049787204</v>
      </c>
      <c r="D2624">
        <v>0.86993484423126599</v>
      </c>
      <c r="E2624">
        <v>0.61806825857242298</v>
      </c>
      <c r="F2624">
        <v>0.54190505598952898</v>
      </c>
      <c r="G2624">
        <v>0.44583748773087201</v>
      </c>
      <c r="H2624">
        <v>0.32348677240304902</v>
      </c>
      <c r="I2624">
        <v>0.31114655255399098</v>
      </c>
      <c r="J2624">
        <v>0.340406902966916</v>
      </c>
      <c r="K2624">
        <v>0.30482654545986798</v>
      </c>
      <c r="L2624">
        <v>680.511911460291</v>
      </c>
      <c r="M2624">
        <v>13.5495580009558</v>
      </c>
      <c r="N2624">
        <v>53.734074195929701</v>
      </c>
      <c r="O2624">
        <v>49.167822252302699</v>
      </c>
      <c r="P2624">
        <v>-4.8669719941759497E-2</v>
      </c>
      <c r="Q2624">
        <v>0.29366742647022198</v>
      </c>
      <c r="R2624">
        <v>0.99097816584924303</v>
      </c>
      <c r="S2624" t="s">
        <v>8909</v>
      </c>
      <c r="T2624" t="s">
        <v>12568</v>
      </c>
      <c r="U2624" t="s">
        <v>12568</v>
      </c>
      <c r="V2624" t="s">
        <v>12568</v>
      </c>
      <c r="W2624" t="s">
        <v>15157</v>
      </c>
      <c r="X2624">
        <v>6</v>
      </c>
      <c r="Y2624" t="s">
        <v>21324</v>
      </c>
      <c r="Z2624" t="s">
        <v>27494</v>
      </c>
      <c r="AA2624">
        <v>0.55426476751230791</v>
      </c>
      <c r="AB2624" t="str">
        <f>HYPERLINK("Melting_Curves/meltCurve_P78316_NOP14.pdf", "Melting_Curves/meltCurve_P78316_NOP14.pdf")</f>
        <v>Melting_Curves/meltCurve_P78316_NOP14.pdf</v>
      </c>
    </row>
    <row r="2625" spans="1:28" x14ac:dyDescent="0.25">
      <c r="A2625" t="s">
        <v>2629</v>
      </c>
      <c r="B2625">
        <v>0.99352677808782597</v>
      </c>
      <c r="C2625">
        <v>0.96070014460473296</v>
      </c>
      <c r="D2625">
        <v>0.95924622777547897</v>
      </c>
      <c r="E2625">
        <v>0.87601407243007801</v>
      </c>
      <c r="F2625">
        <v>0.75872309959482298</v>
      </c>
      <c r="G2625">
        <v>0.57768868878505797</v>
      </c>
      <c r="H2625">
        <v>0.27200686817455599</v>
      </c>
      <c r="I2625">
        <v>0.235815613616423</v>
      </c>
      <c r="J2625">
        <v>0.20772693111951801</v>
      </c>
      <c r="K2625">
        <v>0.166644081185327</v>
      </c>
      <c r="L2625">
        <v>863.34939178857098</v>
      </c>
      <c r="M2625">
        <v>15.287175144620299</v>
      </c>
      <c r="N2625">
        <v>57.458440514824503</v>
      </c>
      <c r="O2625">
        <v>55.535463529220799</v>
      </c>
      <c r="P2625">
        <v>-6.0904163747170503E-2</v>
      </c>
      <c r="Q2625">
        <v>0.115069010677158</v>
      </c>
      <c r="R2625">
        <v>0.99265609229852503</v>
      </c>
      <c r="S2625" t="s">
        <v>8910</v>
      </c>
      <c r="T2625" t="s">
        <v>12568</v>
      </c>
      <c r="U2625" t="s">
        <v>12568</v>
      </c>
      <c r="V2625" t="s">
        <v>12568</v>
      </c>
      <c r="W2625" t="s">
        <v>15158</v>
      </c>
      <c r="X2625">
        <v>19</v>
      </c>
      <c r="Y2625" t="s">
        <v>21325</v>
      </c>
      <c r="Z2625" t="s">
        <v>27495</v>
      </c>
      <c r="AA2625">
        <v>0.61578395489573545</v>
      </c>
      <c r="AB2625" t="str">
        <f>HYPERLINK("Melting_Curves/meltCurve_P78318_IGBP1.pdf", "Melting_Curves/meltCurve_P78318_IGBP1.pdf")</f>
        <v>Melting_Curves/meltCurve_P78318_IGBP1.pdf</v>
      </c>
    </row>
    <row r="2626" spans="1:28" x14ac:dyDescent="0.25">
      <c r="A2626" t="s">
        <v>2630</v>
      </c>
      <c r="B2626">
        <v>0.99352677808782597</v>
      </c>
      <c r="C2626">
        <v>0.96169932927776003</v>
      </c>
      <c r="D2626">
        <v>0.95083094685715697</v>
      </c>
      <c r="E2626">
        <v>0.95673075919797501</v>
      </c>
      <c r="F2626">
        <v>0.91940125976579801</v>
      </c>
      <c r="G2626">
        <v>0.83522365470771098</v>
      </c>
      <c r="H2626">
        <v>0.83730764929896895</v>
      </c>
      <c r="I2626">
        <v>0.83952441567397895</v>
      </c>
      <c r="J2626">
        <v>0.77343018690080301</v>
      </c>
      <c r="K2626">
        <v>0.66449042471433795</v>
      </c>
      <c r="L2626">
        <v>331.57528632746698</v>
      </c>
      <c r="M2626">
        <v>3.8496243081200299</v>
      </c>
      <c r="O2626">
        <v>69.834762500413802</v>
      </c>
      <c r="P2626">
        <v>-1.3981350616557701E-2</v>
      </c>
      <c r="Q2626">
        <v>0</v>
      </c>
      <c r="R2626">
        <v>0.92127806122143996</v>
      </c>
      <c r="S2626" t="s">
        <v>8911</v>
      </c>
      <c r="T2626" t="s">
        <v>12568</v>
      </c>
      <c r="U2626" t="s">
        <v>12568</v>
      </c>
      <c r="V2626" t="s">
        <v>12568</v>
      </c>
      <c r="W2626" t="s">
        <v>15159</v>
      </c>
      <c r="X2626">
        <v>5</v>
      </c>
      <c r="Y2626" t="s">
        <v>21326</v>
      </c>
      <c r="Z2626" t="s">
        <v>27496</v>
      </c>
      <c r="AA2626">
        <v>0.88074002446758504</v>
      </c>
      <c r="AB2626" t="str">
        <f>HYPERLINK("Melting_Curves/meltCurve_P78324_SIRPA.pdf", "Melting_Curves/meltCurve_P78324_SIRPA.pdf")</f>
        <v>Melting_Curves/meltCurve_P78324_SIRPA.pdf</v>
      </c>
    </row>
    <row r="2627" spans="1:28" x14ac:dyDescent="0.25">
      <c r="A2627" t="s">
        <v>2631</v>
      </c>
      <c r="B2627">
        <v>0.99352677808782597</v>
      </c>
      <c r="C2627">
        <v>0.94451663908167804</v>
      </c>
      <c r="D2627">
        <v>0.97888025875426199</v>
      </c>
      <c r="E2627">
        <v>0.90947175035025096</v>
      </c>
      <c r="F2627">
        <v>0.866648840541001</v>
      </c>
      <c r="G2627">
        <v>0.80151611642008702</v>
      </c>
      <c r="H2627">
        <v>0.67070974447993403</v>
      </c>
      <c r="I2627">
        <v>0.53787194519179105</v>
      </c>
      <c r="J2627">
        <v>0.15509744230740599</v>
      </c>
      <c r="K2627">
        <v>0.14795799727275799</v>
      </c>
      <c r="L2627">
        <v>1007.33686998122</v>
      </c>
      <c r="M2627">
        <v>16.007248713768298</v>
      </c>
      <c r="N2627">
        <v>62.930044428336103</v>
      </c>
      <c r="O2627">
        <v>61.9724857359098</v>
      </c>
      <c r="P2627">
        <v>-6.4579086114022605E-2</v>
      </c>
      <c r="Q2627">
        <v>0</v>
      </c>
      <c r="R2627">
        <v>0.95125230401774796</v>
      </c>
      <c r="S2627" t="s">
        <v>8912</v>
      </c>
      <c r="T2627" t="s">
        <v>12568</v>
      </c>
      <c r="U2627" t="s">
        <v>12568</v>
      </c>
      <c r="V2627" t="s">
        <v>12568</v>
      </c>
      <c r="W2627" t="s">
        <v>15160</v>
      </c>
      <c r="X2627">
        <v>12</v>
      </c>
      <c r="Y2627" t="s">
        <v>21327</v>
      </c>
      <c r="Z2627" t="s">
        <v>27497</v>
      </c>
      <c r="AA2627">
        <v>0.7579895666584906</v>
      </c>
      <c r="AB2627" t="str">
        <f>HYPERLINK("Melting_Curves/meltCurve_P78330_PSPH.pdf", "Melting_Curves/meltCurve_P78330_PSPH.pdf")</f>
        <v>Melting_Curves/meltCurve_P78330_PSPH.pdf</v>
      </c>
    </row>
    <row r="2628" spans="1:28" x14ac:dyDescent="0.25">
      <c r="A2628" t="s">
        <v>2632</v>
      </c>
      <c r="B2628">
        <v>0.99352677808782597</v>
      </c>
      <c r="C2628">
        <v>0.92567065384040303</v>
      </c>
      <c r="D2628">
        <v>0.92042201105829502</v>
      </c>
      <c r="E2628">
        <v>0.85061626234934495</v>
      </c>
      <c r="F2628">
        <v>0.79643342294818498</v>
      </c>
      <c r="G2628">
        <v>0.66632495854418705</v>
      </c>
      <c r="H2628">
        <v>0.63099484129420003</v>
      </c>
      <c r="I2628">
        <v>0.66145392285915905</v>
      </c>
      <c r="J2628">
        <v>0.65494744210348899</v>
      </c>
      <c r="K2628">
        <v>0.584884394202001</v>
      </c>
      <c r="L2628">
        <v>551.72084580555099</v>
      </c>
      <c r="M2628">
        <v>10.5998153106661</v>
      </c>
      <c r="O2628">
        <v>50.299950249762297</v>
      </c>
      <c r="P2628">
        <v>-2.1898795058627098E-2</v>
      </c>
      <c r="Q2628">
        <v>0.58449091351813398</v>
      </c>
      <c r="R2628">
        <v>0.96553844566852798</v>
      </c>
      <c r="S2628" t="s">
        <v>8913</v>
      </c>
      <c r="T2628" t="s">
        <v>12568</v>
      </c>
      <c r="U2628" t="s">
        <v>12568</v>
      </c>
      <c r="V2628" t="s">
        <v>12568</v>
      </c>
      <c r="W2628" t="s">
        <v>15161</v>
      </c>
      <c r="X2628">
        <v>11</v>
      </c>
      <c r="Y2628" t="s">
        <v>21328</v>
      </c>
      <c r="Z2628" t="s">
        <v>27498</v>
      </c>
      <c r="AA2628">
        <v>0.76610724314228296</v>
      </c>
      <c r="AB2628" t="str">
        <f>HYPERLINK("Melting_Curves/meltCurve_P78332_RBM6.pdf", "Melting_Curves/meltCurve_P78332_RBM6.pdf")</f>
        <v>Melting_Curves/meltCurve_P78332_RBM6.pdf</v>
      </c>
    </row>
    <row r="2629" spans="1:28" x14ac:dyDescent="0.25">
      <c r="A2629" t="s">
        <v>2633</v>
      </c>
      <c r="B2629">
        <v>0.99352677808782597</v>
      </c>
      <c r="C2629">
        <v>0.98100738884778405</v>
      </c>
      <c r="D2629">
        <v>0.90591809421546099</v>
      </c>
      <c r="E2629">
        <v>0.85625254005928397</v>
      </c>
      <c r="F2629">
        <v>0.68775932666044204</v>
      </c>
      <c r="G2629">
        <v>0.38802435185700201</v>
      </c>
      <c r="H2629">
        <v>0.164722312923784</v>
      </c>
      <c r="I2629">
        <v>0.110448573394536</v>
      </c>
      <c r="J2629">
        <v>9.2673897582476003E-2</v>
      </c>
      <c r="K2629">
        <v>6.4290508305403393E-2</v>
      </c>
      <c r="L2629">
        <v>925.07130610313402</v>
      </c>
      <c r="M2629">
        <v>16.788999854527301</v>
      </c>
      <c r="N2629">
        <v>55.312282338616903</v>
      </c>
      <c r="O2629">
        <v>54.335956884401703</v>
      </c>
      <c r="P2629">
        <v>-7.4839459201183303E-2</v>
      </c>
      <c r="Q2629">
        <v>3.1220939803668302E-2</v>
      </c>
      <c r="R2629">
        <v>0.99644586889741604</v>
      </c>
      <c r="S2629" t="s">
        <v>8914</v>
      </c>
      <c r="T2629" t="s">
        <v>12568</v>
      </c>
      <c r="U2629" t="s">
        <v>12568</v>
      </c>
      <c r="V2629" t="s">
        <v>12568</v>
      </c>
      <c r="W2629" t="s">
        <v>15162</v>
      </c>
      <c r="X2629">
        <v>3</v>
      </c>
      <c r="Y2629" t="s">
        <v>21329</v>
      </c>
      <c r="Z2629" t="s">
        <v>27499</v>
      </c>
      <c r="AA2629">
        <v>0.5351528508482748</v>
      </c>
      <c r="AB2629" t="str">
        <f>HYPERLINK("Melting_Curves/meltCurve_P78345_RPP38.pdf", "Melting_Curves/meltCurve_P78345_RPP38.pdf")</f>
        <v>Melting_Curves/meltCurve_P78345_RPP38.pdf</v>
      </c>
    </row>
    <row r="2630" spans="1:28" x14ac:dyDescent="0.25">
      <c r="A2630" t="s">
        <v>2634</v>
      </c>
      <c r="B2630">
        <v>0.99352677808782597</v>
      </c>
      <c r="C2630">
        <v>0.94466641474094903</v>
      </c>
      <c r="D2630">
        <v>0.80776066227204801</v>
      </c>
      <c r="E2630">
        <v>0.85633359694377797</v>
      </c>
      <c r="F2630">
        <v>0.64125654866727999</v>
      </c>
      <c r="G2630">
        <v>0.53735365261339296</v>
      </c>
      <c r="H2630">
        <v>0.37403938243013202</v>
      </c>
      <c r="I2630">
        <v>0.27643771549912399</v>
      </c>
      <c r="J2630">
        <v>0.21911752970648399</v>
      </c>
      <c r="K2630">
        <v>0.11052731092415199</v>
      </c>
      <c r="L2630">
        <v>518.01825050207799</v>
      </c>
      <c r="M2630">
        <v>9.0517974663951595</v>
      </c>
      <c r="N2630">
        <v>57.228222156776098</v>
      </c>
      <c r="O2630">
        <v>54.642333239080401</v>
      </c>
      <c r="P2630">
        <v>-4.1443278776936397E-2</v>
      </c>
      <c r="Q2630">
        <v>0</v>
      </c>
      <c r="R2630">
        <v>0.98020298676065198</v>
      </c>
      <c r="S2630" t="s">
        <v>8915</v>
      </c>
      <c r="T2630" t="s">
        <v>12568</v>
      </c>
      <c r="U2630" t="s">
        <v>12568</v>
      </c>
      <c r="V2630" t="s">
        <v>12568</v>
      </c>
      <c r="W2630" t="s">
        <v>15163</v>
      </c>
      <c r="X2630">
        <v>7</v>
      </c>
      <c r="Y2630" t="s">
        <v>21330</v>
      </c>
      <c r="Z2630" t="s">
        <v>27500</v>
      </c>
      <c r="AA2630">
        <v>0.58718471241511405</v>
      </c>
      <c r="AB2630" t="str">
        <f>HYPERLINK("Melting_Curves/meltCurve_P78346_RPP30.pdf", "Melting_Curves/meltCurve_P78346_RPP30.pdf")</f>
        <v>Melting_Curves/meltCurve_P78346_RPP30.pdf</v>
      </c>
    </row>
    <row r="2631" spans="1:28" x14ac:dyDescent="0.25">
      <c r="A2631" t="s">
        <v>2635</v>
      </c>
      <c r="B2631">
        <v>0.99352677808782597</v>
      </c>
      <c r="C2631">
        <v>0.89158837862039797</v>
      </c>
      <c r="D2631">
        <v>0.74766883343024004</v>
      </c>
      <c r="E2631">
        <v>0.40870507342017198</v>
      </c>
      <c r="F2631">
        <v>0.32387857082064497</v>
      </c>
      <c r="G2631">
        <v>0.25179191115793198</v>
      </c>
      <c r="H2631">
        <v>0.172596852835395</v>
      </c>
      <c r="I2631">
        <v>0.15786000611324999</v>
      </c>
      <c r="J2631">
        <v>0.13887169654151599</v>
      </c>
      <c r="K2631">
        <v>9.9518812127199194E-2</v>
      </c>
      <c r="L2631">
        <v>753.27112906715399</v>
      </c>
      <c r="M2631">
        <v>15.5885912043167</v>
      </c>
      <c r="N2631">
        <v>49.297819169944098</v>
      </c>
      <c r="O2631">
        <v>47.547693955857703</v>
      </c>
      <c r="P2631">
        <v>-7.1088011563774894E-2</v>
      </c>
      <c r="Q2631">
        <v>0.13275614374518499</v>
      </c>
      <c r="R2631">
        <v>0.99279655623719099</v>
      </c>
      <c r="S2631" t="s">
        <v>8916</v>
      </c>
      <c r="T2631" t="s">
        <v>12568</v>
      </c>
      <c r="U2631" t="s">
        <v>12568</v>
      </c>
      <c r="V2631" t="s">
        <v>12568</v>
      </c>
      <c r="W2631" t="s">
        <v>15164</v>
      </c>
      <c r="X2631">
        <v>42</v>
      </c>
      <c r="Y2631" t="s">
        <v>21331</v>
      </c>
      <c r="Z2631" t="s">
        <v>27501</v>
      </c>
      <c r="AA2631">
        <v>0.39372170624200642</v>
      </c>
      <c r="AB2631" t="str">
        <f>HYPERLINK("Melting_Curves/meltCurve_P78347_2_GTF2I.pdf", "Melting_Curves/meltCurve_P78347_2_GTF2I.pdf")</f>
        <v>Melting_Curves/meltCurve_P78347_2_GTF2I.pdf</v>
      </c>
    </row>
    <row r="2632" spans="1:28" x14ac:dyDescent="0.25">
      <c r="A2632" t="s">
        <v>2636</v>
      </c>
      <c r="B2632">
        <v>0.99352677808782597</v>
      </c>
      <c r="C2632">
        <v>0.99878721187444897</v>
      </c>
      <c r="D2632">
        <v>0.90275120976922096</v>
      </c>
      <c r="E2632">
        <v>0.58291063713704006</v>
      </c>
      <c r="F2632">
        <v>0.47348438961739397</v>
      </c>
      <c r="G2632">
        <v>0.247820122687994</v>
      </c>
      <c r="H2632">
        <v>0.15345522622305299</v>
      </c>
      <c r="I2632">
        <v>0.13698466970092699</v>
      </c>
      <c r="J2632">
        <v>0.115860259553064</v>
      </c>
      <c r="K2632">
        <v>9.1083432150585203E-2</v>
      </c>
      <c r="L2632">
        <v>819.49365547471405</v>
      </c>
      <c r="M2632">
        <v>15.965409832781001</v>
      </c>
      <c r="N2632">
        <v>51.991650411927303</v>
      </c>
      <c r="O2632">
        <v>50.544274623808299</v>
      </c>
      <c r="P2632">
        <v>-7.1706738917477794E-2</v>
      </c>
      <c r="Q2632">
        <v>9.2017440601268305E-2</v>
      </c>
      <c r="R2632">
        <v>0.99435880660430598</v>
      </c>
      <c r="S2632" t="s">
        <v>8917</v>
      </c>
      <c r="T2632" t="s">
        <v>12568</v>
      </c>
      <c r="U2632" t="s">
        <v>12568</v>
      </c>
      <c r="V2632" t="s">
        <v>12568</v>
      </c>
      <c r="W2632" t="s">
        <v>15165</v>
      </c>
      <c r="X2632">
        <v>13</v>
      </c>
      <c r="Y2632" t="s">
        <v>21332</v>
      </c>
      <c r="Z2632" t="s">
        <v>27502</v>
      </c>
      <c r="AA2632">
        <v>0.4536496977924378</v>
      </c>
      <c r="AB2632" t="str">
        <f>HYPERLINK("Melting_Curves/meltCurve_P78356_PIP4K2B.pdf", "Melting_Curves/meltCurve_P78356_PIP4K2B.pdf")</f>
        <v>Melting_Curves/meltCurve_P78356_PIP4K2B.pdf</v>
      </c>
    </row>
    <row r="2633" spans="1:28" x14ac:dyDescent="0.25">
      <c r="A2633" t="s">
        <v>2637</v>
      </c>
      <c r="B2633">
        <v>0.99352677808782597</v>
      </c>
      <c r="C2633">
        <v>0.93052385894104295</v>
      </c>
      <c r="D2633">
        <v>0.96321553371811997</v>
      </c>
      <c r="E2633">
        <v>0.81896871920458902</v>
      </c>
      <c r="F2633">
        <v>0.68455351762119798</v>
      </c>
      <c r="G2633">
        <v>0.62812219025257698</v>
      </c>
      <c r="H2633">
        <v>0.586696439932887</v>
      </c>
      <c r="I2633">
        <v>0.59856084116401498</v>
      </c>
      <c r="J2633">
        <v>0.63459442466480398</v>
      </c>
      <c r="K2633">
        <v>0.54683336578909802</v>
      </c>
      <c r="L2633">
        <v>1003.58279754973</v>
      </c>
      <c r="M2633">
        <v>19.909724310489</v>
      </c>
      <c r="O2633">
        <v>49.906408500951699</v>
      </c>
      <c r="P2633">
        <v>-4.1335190916318203E-2</v>
      </c>
      <c r="Q2633">
        <v>0.58556481428675999</v>
      </c>
      <c r="R2633">
        <v>0.97040263592493003</v>
      </c>
      <c r="S2633" t="s">
        <v>8918</v>
      </c>
      <c r="T2633" t="s">
        <v>12568</v>
      </c>
      <c r="U2633" t="s">
        <v>12568</v>
      </c>
      <c r="V2633" t="s">
        <v>12568</v>
      </c>
      <c r="W2633" t="s">
        <v>15166</v>
      </c>
      <c r="X2633">
        <v>5</v>
      </c>
      <c r="Y2633" t="s">
        <v>21333</v>
      </c>
      <c r="Z2633" t="s">
        <v>27503</v>
      </c>
      <c r="AA2633">
        <v>0.73513969895959852</v>
      </c>
      <c r="AB2633" t="str">
        <f>HYPERLINK("Melting_Curves/meltCurve_P78364_PHC1.pdf", "Melting_Curves/meltCurve_P78364_PHC1.pdf")</f>
        <v>Melting_Curves/meltCurve_P78364_PHC1.pdf</v>
      </c>
    </row>
    <row r="2634" spans="1:28" x14ac:dyDescent="0.25">
      <c r="A2634" t="s">
        <v>2638</v>
      </c>
      <c r="B2634">
        <v>0.99352677808782597</v>
      </c>
      <c r="C2634">
        <v>0.96947772291888301</v>
      </c>
      <c r="D2634">
        <v>0.81173033228340197</v>
      </c>
      <c r="E2634">
        <v>1.24566584017809</v>
      </c>
      <c r="F2634">
        <v>0.94489331665124798</v>
      </c>
      <c r="G2634">
        <v>0.60745319540081399</v>
      </c>
      <c r="H2634">
        <v>0.17199886047940699</v>
      </c>
      <c r="I2634">
        <v>0.14981768813422999</v>
      </c>
      <c r="J2634">
        <v>0.124289154475222</v>
      </c>
      <c r="K2634">
        <v>9.1334693825227603E-2</v>
      </c>
      <c r="L2634">
        <v>2440.7005234209701</v>
      </c>
      <c r="M2634">
        <v>42.602812481319802</v>
      </c>
      <c r="N2634">
        <v>57.646959081654103</v>
      </c>
      <c r="O2634">
        <v>57.163859053412999</v>
      </c>
      <c r="P2634">
        <v>-0.164700627000676</v>
      </c>
      <c r="Q2634">
        <v>0.11602938829167</v>
      </c>
      <c r="R2634">
        <v>0.94277118088675904</v>
      </c>
      <c r="S2634" t="s">
        <v>8919</v>
      </c>
      <c r="T2634" t="s">
        <v>12568</v>
      </c>
      <c r="U2634" t="s">
        <v>12568</v>
      </c>
      <c r="V2634" t="s">
        <v>12568</v>
      </c>
      <c r="W2634" t="s">
        <v>15167</v>
      </c>
      <c r="X2634">
        <v>34</v>
      </c>
      <c r="Y2634" t="s">
        <v>21334</v>
      </c>
      <c r="Z2634" t="s">
        <v>27504</v>
      </c>
      <c r="AA2634">
        <v>0.62853706664807274</v>
      </c>
      <c r="AB2634" t="str">
        <f>HYPERLINK("Melting_Curves/meltCurve_P78371_CCT2.pdf", "Melting_Curves/meltCurve_P78371_CCT2.pdf")</f>
        <v>Melting_Curves/meltCurve_P78371_CCT2.pdf</v>
      </c>
    </row>
    <row r="2635" spans="1:28" x14ac:dyDescent="0.25">
      <c r="A2635" t="s">
        <v>2639</v>
      </c>
      <c r="B2635">
        <v>0.99352677808782597</v>
      </c>
      <c r="C2635">
        <v>0.89835862419254497</v>
      </c>
      <c r="D2635">
        <v>0.81534569897241405</v>
      </c>
      <c r="E2635">
        <v>0.28425645906793301</v>
      </c>
      <c r="F2635">
        <v>0.24219593888959901</v>
      </c>
      <c r="G2635">
        <v>0.12892179707684301</v>
      </c>
      <c r="H2635">
        <v>9.9734898492930102E-2</v>
      </c>
      <c r="I2635">
        <v>0.10442739636064099</v>
      </c>
      <c r="J2635">
        <v>7.5224141370668601E-2</v>
      </c>
      <c r="K2635">
        <v>5.6269110911836201E-2</v>
      </c>
      <c r="L2635">
        <v>1155.6763490506401</v>
      </c>
      <c r="M2635">
        <v>24.0585582416143</v>
      </c>
      <c r="N2635">
        <v>48.443548440003703</v>
      </c>
      <c r="O2635">
        <v>47.707787932819997</v>
      </c>
      <c r="P2635">
        <v>-0.11452290314958199</v>
      </c>
      <c r="Q2635">
        <v>9.1624875879771195E-2</v>
      </c>
      <c r="R2635">
        <v>0.98817989451793997</v>
      </c>
      <c r="S2635" t="s">
        <v>8920</v>
      </c>
      <c r="T2635" t="s">
        <v>12568</v>
      </c>
      <c r="U2635" t="s">
        <v>12568</v>
      </c>
      <c r="V2635" t="s">
        <v>12568</v>
      </c>
      <c r="W2635" t="s">
        <v>15168</v>
      </c>
      <c r="X2635">
        <v>14</v>
      </c>
      <c r="Y2635" t="s">
        <v>21335</v>
      </c>
      <c r="Z2635" t="s">
        <v>27505</v>
      </c>
      <c r="AA2635">
        <v>0.3436574821089487</v>
      </c>
      <c r="AB2635" t="str">
        <f>HYPERLINK("Melting_Curves/meltCurve_P78406_RAE1.pdf", "Melting_Curves/meltCurve_P78406_RAE1.pdf")</f>
        <v>Melting_Curves/meltCurve_P78406_RAE1.pdf</v>
      </c>
    </row>
    <row r="2636" spans="1:28" x14ac:dyDescent="0.25">
      <c r="A2636" t="s">
        <v>2640</v>
      </c>
      <c r="B2636">
        <v>0.99352677808782597</v>
      </c>
      <c r="C2636">
        <v>0.82537466108715896</v>
      </c>
      <c r="D2636">
        <v>0.93948026604826296</v>
      </c>
      <c r="E2636">
        <v>0.90206986500407305</v>
      </c>
      <c r="F2636">
        <v>0.82927398283037601</v>
      </c>
      <c r="G2636">
        <v>0.73326108636442799</v>
      </c>
      <c r="H2636">
        <v>0.585011733941182</v>
      </c>
      <c r="I2636">
        <v>0.46508841212695101</v>
      </c>
      <c r="J2636">
        <v>0.26484222232059101</v>
      </c>
      <c r="K2636">
        <v>8.6391082152655396E-2</v>
      </c>
      <c r="L2636">
        <v>732.674608254796</v>
      </c>
      <c r="M2636">
        <v>11.8698655367341</v>
      </c>
      <c r="N2636">
        <v>61.725603076771897</v>
      </c>
      <c r="O2636">
        <v>60.051848089804302</v>
      </c>
      <c r="P2636">
        <v>-4.9427498085687603E-2</v>
      </c>
      <c r="Q2636">
        <v>0</v>
      </c>
      <c r="R2636">
        <v>0.93536860721381199</v>
      </c>
      <c r="S2636" t="s">
        <v>8921</v>
      </c>
      <c r="T2636" t="s">
        <v>12568</v>
      </c>
      <c r="U2636" t="s">
        <v>12568</v>
      </c>
      <c r="V2636" t="s">
        <v>12568</v>
      </c>
      <c r="W2636" t="s">
        <v>15169</v>
      </c>
      <c r="X2636">
        <v>19</v>
      </c>
      <c r="Y2636" t="s">
        <v>21336</v>
      </c>
      <c r="Z2636" t="s">
        <v>27506</v>
      </c>
      <c r="AA2636">
        <v>0.71446255377712842</v>
      </c>
      <c r="AB2636" t="str">
        <f>HYPERLINK("Melting_Curves/meltCurve_P78417_GSTO1.pdf", "Melting_Curves/meltCurve_P78417_GSTO1.pdf")</f>
        <v>Melting_Curves/meltCurve_P78417_GSTO1.pdf</v>
      </c>
    </row>
    <row r="2637" spans="1:28" x14ac:dyDescent="0.25">
      <c r="A2637" t="s">
        <v>2641</v>
      </c>
      <c r="B2637">
        <v>0.99352677808782597</v>
      </c>
      <c r="C2637">
        <v>0.94313609287909095</v>
      </c>
      <c r="D2637">
        <v>0.97753773055010296</v>
      </c>
      <c r="E2637">
        <v>0.93246498110806497</v>
      </c>
      <c r="F2637">
        <v>0.89242846677016896</v>
      </c>
      <c r="G2637">
        <v>0.83113894309386704</v>
      </c>
      <c r="H2637">
        <v>0.78189555263205301</v>
      </c>
      <c r="I2637">
        <v>0.87018080358050898</v>
      </c>
      <c r="J2637">
        <v>0.89127776527690095</v>
      </c>
      <c r="K2637">
        <v>0.77749275756036995</v>
      </c>
      <c r="L2637">
        <v>717.64523791935198</v>
      </c>
      <c r="M2637">
        <v>14.1540619102653</v>
      </c>
      <c r="O2637">
        <v>49.7225301469472</v>
      </c>
      <c r="P2637">
        <v>-1.2762406001126599E-2</v>
      </c>
      <c r="Q2637">
        <v>0.82068789252485996</v>
      </c>
      <c r="R2637">
        <v>0.73199666748627701</v>
      </c>
      <c r="S2637" t="s">
        <v>8922</v>
      </c>
      <c r="T2637" t="s">
        <v>12568</v>
      </c>
      <c r="U2637" t="s">
        <v>12568</v>
      </c>
      <c r="V2637" t="s">
        <v>12568</v>
      </c>
      <c r="W2637" t="s">
        <v>15170</v>
      </c>
      <c r="X2637">
        <v>7</v>
      </c>
      <c r="Y2637" t="s">
        <v>21337</v>
      </c>
      <c r="Z2637" t="s">
        <v>27507</v>
      </c>
      <c r="AA2637">
        <v>0.8892628293306577</v>
      </c>
      <c r="AB2637" t="str">
        <f>HYPERLINK("Melting_Curves/meltCurve_P78504_JAG1.pdf", "Melting_Curves/meltCurve_P78504_JAG1.pdf")</f>
        <v>Melting_Curves/meltCurve_P78504_JAG1.pdf</v>
      </c>
    </row>
    <row r="2638" spans="1:28" x14ac:dyDescent="0.25">
      <c r="A2638" t="s">
        <v>2642</v>
      </c>
      <c r="B2638">
        <v>0.99352677808782597</v>
      </c>
      <c r="C2638">
        <v>0.89553279765127003</v>
      </c>
      <c r="D2638">
        <v>0.936481197359603</v>
      </c>
      <c r="E2638">
        <v>0.35635170744118699</v>
      </c>
      <c r="F2638">
        <v>0.297597853281938</v>
      </c>
      <c r="G2638">
        <v>0.14117112400827</v>
      </c>
      <c r="H2638">
        <v>9.1106861914318799E-2</v>
      </c>
      <c r="I2638">
        <v>7.8715861830789297E-2</v>
      </c>
      <c r="J2638">
        <v>5.8465989940264099E-2</v>
      </c>
      <c r="K2638">
        <v>4.7317240928882703E-2</v>
      </c>
      <c r="L2638">
        <v>1169.8857401733001</v>
      </c>
      <c r="M2638">
        <v>23.814281805384901</v>
      </c>
      <c r="N2638">
        <v>49.483492595979698</v>
      </c>
      <c r="O2638">
        <v>48.782904408854897</v>
      </c>
      <c r="P2638">
        <v>-0.112383826625941</v>
      </c>
      <c r="Q2638">
        <v>7.9154090859786405E-2</v>
      </c>
      <c r="R2638">
        <v>0.97821127031170696</v>
      </c>
      <c r="S2638" t="s">
        <v>8923</v>
      </c>
      <c r="T2638" t="s">
        <v>12568</v>
      </c>
      <c r="U2638" t="s">
        <v>12568</v>
      </c>
      <c r="V2638" t="s">
        <v>12568</v>
      </c>
      <c r="W2638" t="s">
        <v>15171</v>
      </c>
      <c r="X2638">
        <v>135</v>
      </c>
      <c r="Y2638" t="s">
        <v>21338</v>
      </c>
      <c r="Z2638" t="s">
        <v>27508</v>
      </c>
      <c r="AA2638">
        <v>0.36828016653318252</v>
      </c>
      <c r="AB2638" t="str">
        <f>HYPERLINK("Melting_Curves/meltCurve_P78527_PRKDC.pdf", "Melting_Curves/meltCurve_P78527_PRKDC.pdf")</f>
        <v>Melting_Curves/meltCurve_P78527_PRKDC.pdf</v>
      </c>
    </row>
    <row r="2639" spans="1:28" x14ac:dyDescent="0.25">
      <c r="A2639" t="s">
        <v>2643</v>
      </c>
      <c r="B2639">
        <v>0.99352677808782597</v>
      </c>
      <c r="C2639">
        <v>1.0287765217278899</v>
      </c>
      <c r="D2639">
        <v>0.95538122041997897</v>
      </c>
      <c r="E2639">
        <v>0.71182479864723702</v>
      </c>
      <c r="F2639">
        <v>0.59139958356431599</v>
      </c>
      <c r="G2639">
        <v>0.37076097049977602</v>
      </c>
      <c r="H2639">
        <v>0.186109332980853</v>
      </c>
      <c r="I2639">
        <v>0.101588570786716</v>
      </c>
      <c r="J2639">
        <v>7.5127407092936596E-2</v>
      </c>
      <c r="K2639">
        <v>4.1449372869176097E-2</v>
      </c>
      <c r="L2639">
        <v>736.08420713283294</v>
      </c>
      <c r="M2639">
        <v>13.544583671895399</v>
      </c>
      <c r="N2639">
        <v>54.3452812418546</v>
      </c>
      <c r="O2639">
        <v>53.201670129810402</v>
      </c>
      <c r="P2639">
        <v>-6.36569192922216E-2</v>
      </c>
      <c r="Q2639">
        <v>0</v>
      </c>
      <c r="R2639">
        <v>0.99463728855199196</v>
      </c>
      <c r="S2639" t="s">
        <v>8924</v>
      </c>
      <c r="T2639" t="s">
        <v>12568</v>
      </c>
      <c r="U2639" t="s">
        <v>12568</v>
      </c>
      <c r="V2639" t="s">
        <v>12568</v>
      </c>
      <c r="W2639" t="s">
        <v>15172</v>
      </c>
      <c r="X2639">
        <v>3</v>
      </c>
      <c r="Y2639" t="s">
        <v>21339</v>
      </c>
      <c r="Z2639" t="s">
        <v>27509</v>
      </c>
      <c r="AA2639">
        <v>0.50070147073075644</v>
      </c>
      <c r="AB2639" t="str">
        <f>HYPERLINK("Melting_Curves/meltCurve_P78537_BLOC1S1.pdf", "Melting_Curves/meltCurve_P78537_BLOC1S1.pdf")</f>
        <v>Melting_Curves/meltCurve_P78537_BLOC1S1.pdf</v>
      </c>
    </row>
    <row r="2640" spans="1:28" x14ac:dyDescent="0.25">
      <c r="A2640" t="s">
        <v>2644</v>
      </c>
      <c r="B2640">
        <v>0.99352677808782597</v>
      </c>
      <c r="C2640">
        <v>0.75248804246521295</v>
      </c>
      <c r="D2640">
        <v>0.76517420913762102</v>
      </c>
      <c r="E2640">
        <v>0.25036342491173003</v>
      </c>
      <c r="F2640">
        <v>0.19224069811143199</v>
      </c>
      <c r="G2640">
        <v>0.133469414694636</v>
      </c>
      <c r="H2640">
        <v>9.5316868778237099E-2</v>
      </c>
      <c r="I2640">
        <v>9.0379987603508599E-2</v>
      </c>
      <c r="J2640">
        <v>0.120214068934502</v>
      </c>
      <c r="K2640">
        <v>9.7779574629036095E-2</v>
      </c>
      <c r="L2640">
        <v>904.78873632388002</v>
      </c>
      <c r="M2640">
        <v>19.190026842163</v>
      </c>
      <c r="N2640">
        <v>47.654088240991797</v>
      </c>
      <c r="O2640">
        <v>46.645855997915298</v>
      </c>
      <c r="P2640">
        <v>-9.3387062129668005E-2</v>
      </c>
      <c r="Q2640">
        <v>9.2038267781338307E-2</v>
      </c>
      <c r="R2640">
        <v>0.96703951099808105</v>
      </c>
      <c r="S2640" t="s">
        <v>8925</v>
      </c>
      <c r="T2640" t="s">
        <v>12568</v>
      </c>
      <c r="U2640" t="s">
        <v>12568</v>
      </c>
      <c r="V2640" t="s">
        <v>12568</v>
      </c>
      <c r="W2640" t="s">
        <v>15173</v>
      </c>
      <c r="X2640">
        <v>2</v>
      </c>
      <c r="Y2640" t="s">
        <v>21340</v>
      </c>
      <c r="Z2640" t="s">
        <v>27510</v>
      </c>
      <c r="AA2640">
        <v>0.32287270353666081</v>
      </c>
      <c r="AB2640" t="str">
        <f>HYPERLINK("Melting_Curves/meltCurve_P78549_NTHL1.pdf", "Melting_Curves/meltCurve_P78549_NTHL1.pdf")</f>
        <v>Melting_Curves/meltCurve_P78549_NTHL1.pdf</v>
      </c>
    </row>
    <row r="2641" spans="1:28" x14ac:dyDescent="0.25">
      <c r="A2641" t="s">
        <v>2645</v>
      </c>
      <c r="B2641">
        <v>0.99352677808782597</v>
      </c>
      <c r="C2641">
        <v>1.04724813756663</v>
      </c>
      <c r="D2641">
        <v>0.94490239291079703</v>
      </c>
      <c r="E2641">
        <v>0.78798686512829397</v>
      </c>
      <c r="F2641">
        <v>0.70481290765662097</v>
      </c>
      <c r="G2641">
        <v>0.54956793281542105</v>
      </c>
      <c r="H2641">
        <v>0.69819435241509198</v>
      </c>
      <c r="I2641">
        <v>0.65138921569915997</v>
      </c>
      <c r="J2641">
        <v>0.71527981984106404</v>
      </c>
      <c r="K2641">
        <v>0.52735894727563803</v>
      </c>
      <c r="L2641">
        <v>1392.4795824242899</v>
      </c>
      <c r="M2641">
        <v>28.132081912032898</v>
      </c>
      <c r="O2641">
        <v>49.2498339952934</v>
      </c>
      <c r="P2641">
        <v>-5.27951766996353E-2</v>
      </c>
      <c r="Q2641">
        <v>0.63029656661841305</v>
      </c>
      <c r="R2641">
        <v>0.88237809285678204</v>
      </c>
      <c r="S2641" t="s">
        <v>8926</v>
      </c>
      <c r="T2641" t="s">
        <v>12568</v>
      </c>
      <c r="U2641" t="s">
        <v>12568</v>
      </c>
      <c r="V2641" t="s">
        <v>12568</v>
      </c>
      <c r="W2641" t="s">
        <v>15174</v>
      </c>
      <c r="X2641">
        <v>14</v>
      </c>
      <c r="Y2641" t="s">
        <v>21341</v>
      </c>
      <c r="Z2641" t="s">
        <v>27511</v>
      </c>
      <c r="AA2641">
        <v>0.74992955319534049</v>
      </c>
      <c r="AB2641" t="str">
        <f>HYPERLINK("Melting_Curves/meltCurve_P78559_MAP1A.pdf", "Melting_Curves/meltCurve_P78559_MAP1A.pdf")</f>
        <v>Melting_Curves/meltCurve_P78559_MAP1A.pdf</v>
      </c>
    </row>
    <row r="2642" spans="1:28" x14ac:dyDescent="0.25">
      <c r="A2642" t="s">
        <v>2646</v>
      </c>
      <c r="B2642">
        <v>0.99352677808782597</v>
      </c>
      <c r="C2642">
        <v>0.87378202322768395</v>
      </c>
      <c r="D2642">
        <v>1.08522516842396</v>
      </c>
      <c r="E2642">
        <v>0.27169415728774299</v>
      </c>
      <c r="F2642">
        <v>0.25470085743540399</v>
      </c>
      <c r="G2642">
        <v>0.15315518407022599</v>
      </c>
      <c r="H2642">
        <v>0.13501517813059499</v>
      </c>
      <c r="I2642">
        <v>0.15032082805352801</v>
      </c>
      <c r="J2642">
        <v>0.10754125592387</v>
      </c>
      <c r="K2642">
        <v>9.4253207288863397E-2</v>
      </c>
      <c r="L2642">
        <v>6222.3652257248496</v>
      </c>
      <c r="M2642">
        <v>126.22727707478001</v>
      </c>
      <c r="N2642">
        <v>49.433631152436099</v>
      </c>
      <c r="O2642">
        <v>49.282558627321599</v>
      </c>
      <c r="P2642">
        <v>-0.54484353104165495</v>
      </c>
      <c r="Q2642">
        <v>0.14911306365377999</v>
      </c>
      <c r="R2642">
        <v>0.97296770292082102</v>
      </c>
      <c r="S2642" t="s">
        <v>8927</v>
      </c>
      <c r="T2642" t="s">
        <v>12568</v>
      </c>
      <c r="U2642" t="s">
        <v>12568</v>
      </c>
      <c r="V2642" t="s">
        <v>12568</v>
      </c>
      <c r="W2642" t="s">
        <v>15175</v>
      </c>
      <c r="X2642">
        <v>3</v>
      </c>
      <c r="Y2642" t="s">
        <v>21342</v>
      </c>
      <c r="Z2642" t="s">
        <v>27512</v>
      </c>
      <c r="AA2642">
        <v>0.41303324882556119</v>
      </c>
      <c r="AB2642" t="str">
        <f>HYPERLINK("Melting_Curves/meltCurve_P78560_CRADD.pdf", "Melting_Curves/meltCurve_P78560_CRADD.pdf")</f>
        <v>Melting_Curves/meltCurve_P78560_CRADD.pdf</v>
      </c>
    </row>
    <row r="2643" spans="1:28" x14ac:dyDescent="0.25">
      <c r="A2643" t="s">
        <v>2647</v>
      </c>
      <c r="B2643">
        <v>0.99352677808782597</v>
      </c>
      <c r="C2643">
        <v>1.0857590354795601</v>
      </c>
      <c r="D2643">
        <v>1.19371549817523</v>
      </c>
      <c r="E2643">
        <v>0.92689658452455204</v>
      </c>
      <c r="F2643">
        <v>0.82970724378319705</v>
      </c>
      <c r="G2643">
        <v>0.71314288513371205</v>
      </c>
      <c r="H2643">
        <v>0.61059310920040999</v>
      </c>
      <c r="I2643">
        <v>0.68180011183085998</v>
      </c>
      <c r="J2643">
        <v>0.70130622407983101</v>
      </c>
      <c r="K2643">
        <v>0.431005794699723</v>
      </c>
      <c r="L2643">
        <v>1165.0597146381899</v>
      </c>
      <c r="M2643">
        <v>21.385996350408199</v>
      </c>
      <c r="O2643">
        <v>54.008067406886603</v>
      </c>
      <c r="P2643">
        <v>-4.0666814289554598E-2</v>
      </c>
      <c r="Q2643">
        <v>0.58921132344684601</v>
      </c>
      <c r="R2643">
        <v>0.81177367021439994</v>
      </c>
      <c r="S2643" t="s">
        <v>8928</v>
      </c>
      <c r="T2643" t="s">
        <v>12568</v>
      </c>
      <c r="U2643" t="s">
        <v>12568</v>
      </c>
      <c r="V2643" t="s">
        <v>12568</v>
      </c>
      <c r="W2643" t="s">
        <v>15176</v>
      </c>
      <c r="X2643">
        <v>1</v>
      </c>
      <c r="Y2643" t="s">
        <v>21343</v>
      </c>
      <c r="Z2643" t="s">
        <v>27513</v>
      </c>
      <c r="AA2643">
        <v>0.79242720384184484</v>
      </c>
      <c r="AB2643" t="str">
        <f>HYPERLINK("Melting_Curves/meltCurve_P80188_2_LCN2.pdf", "Melting_Curves/meltCurve_P80188_2_LCN2.pdf")</f>
        <v>Melting_Curves/meltCurve_P80188_2_LCN2.pdf</v>
      </c>
    </row>
    <row r="2644" spans="1:28" x14ac:dyDescent="0.25">
      <c r="A2644" t="s">
        <v>2648</v>
      </c>
      <c r="B2644">
        <v>0.99352677808782597</v>
      </c>
      <c r="C2644">
        <v>1.0074141391995799</v>
      </c>
      <c r="D2644">
        <v>0.97036421806150097</v>
      </c>
      <c r="E2644">
        <v>0.81071660003074497</v>
      </c>
      <c r="F2644">
        <v>0.71669871316850797</v>
      </c>
      <c r="G2644">
        <v>0.35389712523030098</v>
      </c>
      <c r="H2644">
        <v>0.11860953468582</v>
      </c>
      <c r="I2644">
        <v>0.102518328867003</v>
      </c>
      <c r="J2644">
        <v>7.9382471138280203E-2</v>
      </c>
      <c r="K2644">
        <v>6.4475908215220298E-2</v>
      </c>
      <c r="L2644">
        <v>1042.1699143686701</v>
      </c>
      <c r="M2644">
        <v>19.007935283782299</v>
      </c>
      <c r="N2644">
        <v>55.056430277546298</v>
      </c>
      <c r="O2644">
        <v>54.232134016118799</v>
      </c>
      <c r="P2644">
        <v>-8.4306077087207304E-2</v>
      </c>
      <c r="Q2644">
        <v>3.7893506502273001E-2</v>
      </c>
      <c r="R2644">
        <v>0.99511904555499597</v>
      </c>
      <c r="S2644" t="s">
        <v>8929</v>
      </c>
      <c r="T2644" t="s">
        <v>12568</v>
      </c>
      <c r="U2644" t="s">
        <v>12568</v>
      </c>
      <c r="V2644" t="s">
        <v>12568</v>
      </c>
      <c r="W2644" t="s">
        <v>15177</v>
      </c>
      <c r="X2644">
        <v>11</v>
      </c>
      <c r="Y2644" t="s">
        <v>21344</v>
      </c>
      <c r="Z2644" t="s">
        <v>27514</v>
      </c>
      <c r="AA2644">
        <v>0.52730999460881511</v>
      </c>
      <c r="AB2644" t="str">
        <f>HYPERLINK("Melting_Curves/meltCurve_P80217_IFI35.pdf", "Melting_Curves/meltCurve_P80217_IFI35.pdf")</f>
        <v>Melting_Curves/meltCurve_P80217_IFI35.pdf</v>
      </c>
    </row>
    <row r="2645" spans="1:28" x14ac:dyDescent="0.25">
      <c r="A2645" t="s">
        <v>2649</v>
      </c>
      <c r="B2645">
        <v>0.99352677808782597</v>
      </c>
      <c r="C2645">
        <v>0.88693505705321496</v>
      </c>
      <c r="D2645">
        <v>0.98249732315555405</v>
      </c>
      <c r="E2645">
        <v>0.714532499213273</v>
      </c>
      <c r="F2645">
        <v>0.74448399302057799</v>
      </c>
      <c r="G2645">
        <v>1.07180539229077</v>
      </c>
      <c r="H2645">
        <v>0.76463984389588302</v>
      </c>
      <c r="I2645">
        <v>0.92705972206618104</v>
      </c>
      <c r="J2645">
        <v>0.86600042450884096</v>
      </c>
      <c r="K2645">
        <v>0.76629180017403098</v>
      </c>
      <c r="L2645">
        <v>950.83368056553797</v>
      </c>
      <c r="M2645">
        <v>21.833725359768898</v>
      </c>
      <c r="O2645">
        <v>43.188471546949799</v>
      </c>
      <c r="P2645">
        <v>-1.97007345377305E-2</v>
      </c>
      <c r="Q2645">
        <v>0.84412645750433302</v>
      </c>
      <c r="R2645">
        <v>0.15175690261545899</v>
      </c>
      <c r="S2645" t="s">
        <v>8930</v>
      </c>
      <c r="T2645" t="s">
        <v>12568</v>
      </c>
      <c r="U2645" t="s">
        <v>12568</v>
      </c>
      <c r="V2645" t="s">
        <v>12568</v>
      </c>
      <c r="W2645" t="s">
        <v>15178</v>
      </c>
      <c r="X2645">
        <v>6</v>
      </c>
      <c r="Y2645" t="s">
        <v>21345</v>
      </c>
      <c r="Z2645" t="s">
        <v>27515</v>
      </c>
      <c r="AA2645">
        <v>0.86525337251172441</v>
      </c>
      <c r="AB2645" t="str">
        <f>HYPERLINK("Melting_Curves/meltCurve_P80297_MT1X.pdf", "Melting_Curves/meltCurve_P80297_MT1X.pdf")</f>
        <v>Melting_Curves/meltCurve_P80297_MT1X.pdf</v>
      </c>
    </row>
    <row r="2646" spans="1:28" x14ac:dyDescent="0.25">
      <c r="A2646" t="s">
        <v>2650</v>
      </c>
      <c r="B2646">
        <v>0.99352677808782597</v>
      </c>
      <c r="C2646">
        <v>0.991429552330228</v>
      </c>
      <c r="D2646">
        <v>0.95030833307306495</v>
      </c>
      <c r="E2646">
        <v>0.83277924213307597</v>
      </c>
      <c r="F2646">
        <v>0.76449144047520401</v>
      </c>
      <c r="G2646">
        <v>0.63303191860425201</v>
      </c>
      <c r="H2646">
        <v>0.59903509445893499</v>
      </c>
      <c r="I2646">
        <v>0.64518101665380501</v>
      </c>
      <c r="J2646">
        <v>0.704735009248044</v>
      </c>
      <c r="K2646">
        <v>0.54865684210836996</v>
      </c>
      <c r="L2646">
        <v>962.47482509353301</v>
      </c>
      <c r="M2646">
        <v>18.894626739338499</v>
      </c>
      <c r="O2646">
        <v>50.378778457054899</v>
      </c>
      <c r="P2646">
        <v>-3.6176015004375103E-2</v>
      </c>
      <c r="Q2646">
        <v>0.61419104541604896</v>
      </c>
      <c r="R2646">
        <v>0.94030200610256998</v>
      </c>
      <c r="S2646" t="s">
        <v>8931</v>
      </c>
      <c r="T2646" t="s">
        <v>12568</v>
      </c>
      <c r="U2646" t="s">
        <v>12568</v>
      </c>
      <c r="V2646" t="s">
        <v>12568</v>
      </c>
      <c r="W2646" t="s">
        <v>15179</v>
      </c>
      <c r="X2646">
        <v>20</v>
      </c>
      <c r="Y2646" t="s">
        <v>21346</v>
      </c>
      <c r="Z2646" t="s">
        <v>27516</v>
      </c>
      <c r="AA2646">
        <v>0.76082465130531318</v>
      </c>
      <c r="AB2646" t="str">
        <f>HYPERLINK("Melting_Curves/meltCurve_P80303_NUCB2.pdf", "Melting_Curves/meltCurve_P80303_NUCB2.pdf")</f>
        <v>Melting_Curves/meltCurve_P80303_NUCB2.pdf</v>
      </c>
    </row>
    <row r="2647" spans="1:28" x14ac:dyDescent="0.25">
      <c r="A2647" t="s">
        <v>2651</v>
      </c>
      <c r="B2647">
        <v>0.99352677808782597</v>
      </c>
      <c r="C2647">
        <v>0.95899326354344006</v>
      </c>
      <c r="D2647">
        <v>1.0079877550524099</v>
      </c>
      <c r="E2647">
        <v>0.99988846218680405</v>
      </c>
      <c r="F2647">
        <v>0.93402341290345003</v>
      </c>
      <c r="G2647">
        <v>0.93244870766540899</v>
      </c>
      <c r="H2647">
        <v>1.0056990491955899</v>
      </c>
      <c r="I2647">
        <v>0.98811506350358402</v>
      </c>
      <c r="J2647">
        <v>1.16641739210254</v>
      </c>
      <c r="K2647">
        <v>0.97477613445746802</v>
      </c>
      <c r="L2647">
        <v>15000</v>
      </c>
      <c r="M2647">
        <v>230.145557602689</v>
      </c>
      <c r="O2647">
        <v>65.171222652010698</v>
      </c>
      <c r="P2647">
        <v>6.2223192428834097E-2</v>
      </c>
      <c r="Q2647">
        <v>1.07047994422682</v>
      </c>
      <c r="R2647">
        <v>0.25015355985424798</v>
      </c>
      <c r="S2647" t="s">
        <v>8932</v>
      </c>
      <c r="T2647" t="s">
        <v>12568</v>
      </c>
      <c r="U2647" t="s">
        <v>12568</v>
      </c>
      <c r="V2647" t="s">
        <v>12568</v>
      </c>
      <c r="W2647" t="s">
        <v>15180</v>
      </c>
      <c r="X2647">
        <v>27</v>
      </c>
      <c r="Y2647" t="s">
        <v>21347</v>
      </c>
      <c r="Z2647" t="s">
        <v>27517</v>
      </c>
      <c r="AA2647">
        <v>1.0113233238154971</v>
      </c>
      <c r="AB2647" t="str">
        <f>HYPERLINK("Melting_Curves/meltCurve_P80723_BASP1.pdf", "Melting_Curves/meltCurve_P80723_BASP1.pdf")</f>
        <v>Melting_Curves/meltCurve_P80723_BASP1.pdf</v>
      </c>
    </row>
    <row r="2648" spans="1:28" x14ac:dyDescent="0.25">
      <c r="A2648" t="s">
        <v>2652</v>
      </c>
      <c r="B2648">
        <v>0.99352677808782597</v>
      </c>
      <c r="C2648">
        <v>0.66154898388115302</v>
      </c>
      <c r="D2648">
        <v>0.71420194480145105</v>
      </c>
      <c r="E2648">
        <v>0.45958354226063403</v>
      </c>
      <c r="F2648">
        <v>0.48316009173854102</v>
      </c>
      <c r="G2648">
        <v>0.40724105254714499</v>
      </c>
      <c r="H2648">
        <v>0.27573333114087001</v>
      </c>
      <c r="I2648">
        <v>0.238895390384504</v>
      </c>
      <c r="J2648">
        <v>0.21053581748717501</v>
      </c>
      <c r="K2648">
        <v>0.17729384347942401</v>
      </c>
      <c r="L2648">
        <v>365.25925608998301</v>
      </c>
      <c r="M2648">
        <v>7.3683281462314998</v>
      </c>
      <c r="N2648">
        <v>51.129409471401402</v>
      </c>
      <c r="O2648">
        <v>46.312656017073301</v>
      </c>
      <c r="P2648">
        <v>-3.5830646469969203E-2</v>
      </c>
      <c r="Q2648">
        <v>0.100545788433744</v>
      </c>
      <c r="R2648">
        <v>0.93054390526633801</v>
      </c>
      <c r="S2648" t="s">
        <v>8933</v>
      </c>
      <c r="T2648" t="s">
        <v>12568</v>
      </c>
      <c r="U2648" t="s">
        <v>12568</v>
      </c>
      <c r="V2648" t="s">
        <v>12568</v>
      </c>
      <c r="W2648" t="s">
        <v>15181</v>
      </c>
      <c r="X2648">
        <v>7</v>
      </c>
      <c r="Y2648" t="s">
        <v>21348</v>
      </c>
      <c r="Z2648" t="s">
        <v>27518</v>
      </c>
      <c r="AA2648">
        <v>0.44899631262702588</v>
      </c>
      <c r="AB2648" t="str">
        <f>HYPERLINK("Melting_Curves/meltCurve_P81605_DCD.pdf", "Melting_Curves/meltCurve_P81605_DCD.pdf")</f>
        <v>Melting_Curves/meltCurve_P81605_DCD.pdf</v>
      </c>
    </row>
    <row r="2649" spans="1:28" x14ac:dyDescent="0.25">
      <c r="A2649" t="s">
        <v>2653</v>
      </c>
      <c r="B2649">
        <v>0.99352677808782597</v>
      </c>
      <c r="C2649">
        <v>1.0173989656442699</v>
      </c>
      <c r="D2649">
        <v>1.00340528298999</v>
      </c>
      <c r="E2649">
        <v>1.0008148668538901</v>
      </c>
      <c r="F2649">
        <v>0.93330915167407302</v>
      </c>
      <c r="G2649">
        <v>0.78571520204211698</v>
      </c>
      <c r="H2649">
        <v>0.88554700668600805</v>
      </c>
      <c r="I2649">
        <v>0.92186643407140001</v>
      </c>
      <c r="J2649">
        <v>1.02044253968544</v>
      </c>
      <c r="K2649">
        <v>0.87055364077161101</v>
      </c>
      <c r="L2649">
        <v>13218.0309834578</v>
      </c>
      <c r="M2649">
        <v>250</v>
      </c>
      <c r="O2649">
        <v>52.868717690589897</v>
      </c>
      <c r="P2649">
        <v>-0.121970744856192</v>
      </c>
      <c r="Q2649">
        <v>0.89682496534837597</v>
      </c>
      <c r="R2649">
        <v>0.464015077743964</v>
      </c>
      <c r="S2649" t="s">
        <v>8934</v>
      </c>
      <c r="T2649" t="s">
        <v>12568</v>
      </c>
      <c r="U2649" t="s">
        <v>12568</v>
      </c>
      <c r="V2649" t="s">
        <v>12568</v>
      </c>
      <c r="W2649" t="s">
        <v>15182</v>
      </c>
      <c r="X2649">
        <v>18</v>
      </c>
      <c r="Y2649" t="s">
        <v>21349</v>
      </c>
      <c r="Z2649" t="s">
        <v>27519</v>
      </c>
      <c r="AA2649">
        <v>0.94110393336495968</v>
      </c>
      <c r="AB2649" t="str">
        <f>HYPERLINK("Melting_Curves/meltCurve_P82094_TMF1.pdf", "Melting_Curves/meltCurve_P82094_TMF1.pdf")</f>
        <v>Melting_Curves/meltCurve_P82094_TMF1.pdf</v>
      </c>
    </row>
    <row r="2650" spans="1:28" x14ac:dyDescent="0.25">
      <c r="A2650" t="s">
        <v>2654</v>
      </c>
      <c r="B2650">
        <v>0.99352677808782597</v>
      </c>
      <c r="C2650">
        <v>1.0159974786299399</v>
      </c>
      <c r="D2650">
        <v>0.97993457482511603</v>
      </c>
      <c r="E2650">
        <v>0.90092674972734499</v>
      </c>
      <c r="F2650">
        <v>0.80370797882816103</v>
      </c>
      <c r="G2650">
        <v>0.65490422729891695</v>
      </c>
      <c r="H2650">
        <v>0.73875908393064704</v>
      </c>
      <c r="I2650">
        <v>0.77455699809260004</v>
      </c>
      <c r="J2650">
        <v>0.95719824342485804</v>
      </c>
      <c r="K2650">
        <v>0.66043164162943702</v>
      </c>
      <c r="L2650">
        <v>2087.2881826008502</v>
      </c>
      <c r="M2650">
        <v>41.358440124624401</v>
      </c>
      <c r="O2650">
        <v>50.3506958630418</v>
      </c>
      <c r="P2650">
        <v>-4.9420069403118598E-2</v>
      </c>
      <c r="Q2650">
        <v>0.75934003767890301</v>
      </c>
      <c r="R2650">
        <v>0.64383912488533801</v>
      </c>
      <c r="S2650" t="s">
        <v>8935</v>
      </c>
      <c r="T2650" t="s">
        <v>12568</v>
      </c>
      <c r="U2650" t="s">
        <v>12568</v>
      </c>
      <c r="V2650" t="s">
        <v>12568</v>
      </c>
      <c r="W2650" t="s">
        <v>15183</v>
      </c>
      <c r="X2650">
        <v>5</v>
      </c>
      <c r="Y2650" t="s">
        <v>21350</v>
      </c>
      <c r="Z2650" t="s">
        <v>27520</v>
      </c>
      <c r="AA2650">
        <v>0.84410133841721924</v>
      </c>
      <c r="AB2650" t="str">
        <f>HYPERLINK("Melting_Curves/meltCurve_P82909_MRPS36.pdf", "Melting_Curves/meltCurve_P82909_MRPS36.pdf")</f>
        <v>Melting_Curves/meltCurve_P82909_MRPS36.pdf</v>
      </c>
    </row>
    <row r="2651" spans="1:28" x14ac:dyDescent="0.25">
      <c r="A2651" t="s">
        <v>2655</v>
      </c>
      <c r="B2651">
        <v>0.99352677808782597</v>
      </c>
      <c r="C2651">
        <v>1.03264884477971</v>
      </c>
      <c r="D2651">
        <v>1.3470503403481799</v>
      </c>
      <c r="E2651">
        <v>0.54881553421835705</v>
      </c>
      <c r="F2651">
        <v>0.44993320269207299</v>
      </c>
      <c r="G2651">
        <v>0.205827918112616</v>
      </c>
      <c r="H2651">
        <v>0.12528048956213</v>
      </c>
      <c r="I2651">
        <v>0.107029760024634</v>
      </c>
      <c r="J2651">
        <v>0.10036375111348</v>
      </c>
      <c r="K2651">
        <v>5.36284793616481E-2</v>
      </c>
      <c r="L2651">
        <v>1431.08692438154</v>
      </c>
      <c r="M2651">
        <v>27.918956424645501</v>
      </c>
      <c r="N2651">
        <v>51.717593107873803</v>
      </c>
      <c r="O2651">
        <v>50.997795112544203</v>
      </c>
      <c r="P2651">
        <v>-0.12184627595681501</v>
      </c>
      <c r="Q2651">
        <v>0.109732127356476</v>
      </c>
      <c r="R2651">
        <v>0.90715325830428095</v>
      </c>
      <c r="S2651" t="s">
        <v>8936</v>
      </c>
      <c r="T2651" t="s">
        <v>12568</v>
      </c>
      <c r="U2651" t="s">
        <v>12568</v>
      </c>
      <c r="V2651" t="s">
        <v>12568</v>
      </c>
      <c r="W2651" t="s">
        <v>15184</v>
      </c>
      <c r="X2651">
        <v>1</v>
      </c>
      <c r="Y2651" t="s">
        <v>21351</v>
      </c>
      <c r="Z2651" t="s">
        <v>27521</v>
      </c>
      <c r="AA2651">
        <v>0.45032489064945808</v>
      </c>
      <c r="AB2651" t="str">
        <f>HYPERLINK("Melting_Curves/meltCurve_P82930_MRPS34.pdf", "Melting_Curves/meltCurve_P82930_MRPS34.pdf")</f>
        <v>Melting_Curves/meltCurve_P82930_MRPS34.pdf</v>
      </c>
    </row>
    <row r="2652" spans="1:28" x14ac:dyDescent="0.25">
      <c r="A2652" t="s">
        <v>2656</v>
      </c>
      <c r="B2652">
        <v>0.99352677808782597</v>
      </c>
      <c r="C2652">
        <v>0.92920237532175698</v>
      </c>
      <c r="D2652">
        <v>0.96582999246545498</v>
      </c>
      <c r="E2652">
        <v>0.60921866910259803</v>
      </c>
      <c r="F2652">
        <v>0.51723485958599202</v>
      </c>
      <c r="G2652">
        <v>0.34844746708889002</v>
      </c>
      <c r="H2652">
        <v>0.27722583184305399</v>
      </c>
      <c r="I2652">
        <v>0.27114076063487802</v>
      </c>
      <c r="J2652">
        <v>0.28839718707288098</v>
      </c>
      <c r="K2652">
        <v>0.210710151262885</v>
      </c>
      <c r="L2652">
        <v>898.94550305450502</v>
      </c>
      <c r="M2652">
        <v>17.732472282797399</v>
      </c>
      <c r="N2652">
        <v>52.722892308501201</v>
      </c>
      <c r="O2652">
        <v>50.0633366057654</v>
      </c>
      <c r="P2652">
        <v>-6.6662291046728897E-2</v>
      </c>
      <c r="Q2652">
        <v>0.24722015950753201</v>
      </c>
      <c r="R2652">
        <v>0.98380056927324899</v>
      </c>
      <c r="S2652" t="s">
        <v>8937</v>
      </c>
      <c r="T2652" t="s">
        <v>12568</v>
      </c>
      <c r="U2652" t="s">
        <v>12568</v>
      </c>
      <c r="V2652" t="s">
        <v>12568</v>
      </c>
      <c r="W2652" t="s">
        <v>15185</v>
      </c>
      <c r="X2652">
        <v>1</v>
      </c>
      <c r="Y2652" t="s">
        <v>21352</v>
      </c>
      <c r="Z2652" t="s">
        <v>27522</v>
      </c>
      <c r="AA2652">
        <v>0.52866530267719936</v>
      </c>
      <c r="AB2652" t="str">
        <f>HYPERLINK("Melting_Curves/meltCurve_P82932_MRPS6.pdf", "Melting_Curves/meltCurve_P82932_MRPS6.pdf")</f>
        <v>Melting_Curves/meltCurve_P82932_MRPS6.pdf</v>
      </c>
    </row>
    <row r="2653" spans="1:28" x14ac:dyDescent="0.25">
      <c r="A2653" t="s">
        <v>2657</v>
      </c>
      <c r="B2653">
        <v>0.99352677808782597</v>
      </c>
      <c r="C2653">
        <v>0.967258959755672</v>
      </c>
      <c r="D2653">
        <v>1.05761071564152</v>
      </c>
      <c r="E2653">
        <v>1.08174728384663</v>
      </c>
      <c r="F2653">
        <v>0.95613903224511598</v>
      </c>
      <c r="G2653">
        <v>0.91893876009672504</v>
      </c>
      <c r="H2653">
        <v>0.81442616738285001</v>
      </c>
      <c r="I2653">
        <v>0.85960714257829096</v>
      </c>
      <c r="J2653">
        <v>0.88227111283188198</v>
      </c>
      <c r="K2653">
        <v>0.71884597973834596</v>
      </c>
      <c r="L2653">
        <v>1382.02879321825</v>
      </c>
      <c r="M2653">
        <v>23.941853564934998</v>
      </c>
      <c r="O2653">
        <v>57.326195264786598</v>
      </c>
      <c r="P2653">
        <v>-2.06750279019184E-2</v>
      </c>
      <c r="Q2653">
        <v>0.80198663086523703</v>
      </c>
      <c r="R2653">
        <v>0.74795905824102105</v>
      </c>
      <c r="S2653" t="s">
        <v>8938</v>
      </c>
      <c r="T2653" t="s">
        <v>12568</v>
      </c>
      <c r="U2653" t="s">
        <v>12568</v>
      </c>
      <c r="V2653" t="s">
        <v>12568</v>
      </c>
      <c r="W2653" t="s">
        <v>15186</v>
      </c>
      <c r="X2653">
        <v>11</v>
      </c>
      <c r="Y2653" t="s">
        <v>21353</v>
      </c>
      <c r="Z2653" t="s">
        <v>27523</v>
      </c>
      <c r="AA2653">
        <v>0.92082712641140141</v>
      </c>
      <c r="AB2653" t="str">
        <f>HYPERLINK("Melting_Curves/meltCurve_P82979_SARNP.pdf", "Melting_Curves/meltCurve_P82979_SARNP.pdf")</f>
        <v>Melting_Curves/meltCurve_P82979_SARNP.pdf</v>
      </c>
    </row>
    <row r="2654" spans="1:28" x14ac:dyDescent="0.25">
      <c r="A2654" t="s">
        <v>2658</v>
      </c>
      <c r="B2654">
        <v>0.99352677808782597</v>
      </c>
      <c r="C2654">
        <v>0.62438166234394898</v>
      </c>
      <c r="D2654">
        <v>0.36020392935620499</v>
      </c>
      <c r="E2654">
        <v>0.25389529402807698</v>
      </c>
      <c r="F2654">
        <v>0.17111757885544501</v>
      </c>
      <c r="G2654">
        <v>8.69212831765456E-2</v>
      </c>
      <c r="H2654">
        <v>6.17269884517683E-2</v>
      </c>
      <c r="I2654">
        <v>6.2297302087057298E-2</v>
      </c>
      <c r="J2654">
        <v>5.1724131704041297E-2</v>
      </c>
      <c r="K2654">
        <v>4.15551827645355E-2</v>
      </c>
      <c r="L2654">
        <v>784.03486528589497</v>
      </c>
      <c r="M2654">
        <v>17.637080421307601</v>
      </c>
      <c r="N2654">
        <v>44.833461822979203</v>
      </c>
      <c r="O2654">
        <v>43.894110827790698</v>
      </c>
      <c r="P2654">
        <v>-9.3488839933344794E-2</v>
      </c>
      <c r="Q2654">
        <v>6.93721610955218E-2</v>
      </c>
      <c r="R2654">
        <v>0.97157500671689401</v>
      </c>
      <c r="S2654" t="s">
        <v>8939</v>
      </c>
      <c r="T2654" t="s">
        <v>12568</v>
      </c>
      <c r="U2654" t="s">
        <v>12568</v>
      </c>
      <c r="V2654" t="s">
        <v>12568</v>
      </c>
      <c r="W2654" t="s">
        <v>15187</v>
      </c>
      <c r="X2654">
        <v>7</v>
      </c>
      <c r="Y2654" t="s">
        <v>21354</v>
      </c>
      <c r="Z2654" t="s">
        <v>27524</v>
      </c>
      <c r="AA2654">
        <v>0.23000647589755241</v>
      </c>
      <c r="AB2654" t="str">
        <f>HYPERLINK("Melting_Curves/meltCurve_P83436_COG7.pdf", "Melting_Curves/meltCurve_P83436_COG7.pdf")</f>
        <v>Melting_Curves/meltCurve_P83436_COG7.pdf</v>
      </c>
    </row>
    <row r="2655" spans="1:28" x14ac:dyDescent="0.25">
      <c r="A2655" t="s">
        <v>2659</v>
      </c>
      <c r="B2655">
        <v>0.99352677808782597</v>
      </c>
      <c r="C2655">
        <v>0.96829547552226802</v>
      </c>
      <c r="D2655">
        <v>1.0396993974512201</v>
      </c>
      <c r="E2655">
        <v>0.73875058693275197</v>
      </c>
      <c r="F2655">
        <v>0.86828648954862397</v>
      </c>
      <c r="G2655">
        <v>0.48928492843233101</v>
      </c>
      <c r="H2655">
        <v>0.42080024820089701</v>
      </c>
      <c r="I2655">
        <v>0.33435478529343998</v>
      </c>
      <c r="J2655">
        <v>0.45573981152958198</v>
      </c>
      <c r="K2655">
        <v>0.29611329200683101</v>
      </c>
      <c r="L2655">
        <v>898.47155366980996</v>
      </c>
      <c r="M2655">
        <v>16.4851506440923</v>
      </c>
      <c r="N2655">
        <v>58.192395421502297</v>
      </c>
      <c r="O2655">
        <v>53.718804994787398</v>
      </c>
      <c r="P2655">
        <v>-5.1847833498766101E-2</v>
      </c>
      <c r="Q2655">
        <v>0.32423804305148501</v>
      </c>
      <c r="R2655">
        <v>0.924184092870735</v>
      </c>
      <c r="S2655" t="s">
        <v>8940</v>
      </c>
      <c r="T2655" t="s">
        <v>12568</v>
      </c>
      <c r="U2655" t="s">
        <v>12568</v>
      </c>
      <c r="V2655" t="s">
        <v>12568</v>
      </c>
      <c r="W2655" t="s">
        <v>15188</v>
      </c>
      <c r="X2655">
        <v>7</v>
      </c>
      <c r="Y2655" t="s">
        <v>21355</v>
      </c>
      <c r="Z2655" t="s">
        <v>27525</v>
      </c>
      <c r="AA2655">
        <v>0.66289600791207426</v>
      </c>
      <c r="AB2655" t="str">
        <f>HYPERLINK("Melting_Curves/meltCurve_P83881_RPL36A.pdf", "Melting_Curves/meltCurve_P83881_RPL36A.pdf")</f>
        <v>Melting_Curves/meltCurve_P83881_RPL36A.pdf</v>
      </c>
    </row>
    <row r="2656" spans="1:28" x14ac:dyDescent="0.25">
      <c r="A2656" t="s">
        <v>2660</v>
      </c>
      <c r="B2656">
        <v>0.99352677808782597</v>
      </c>
      <c r="C2656">
        <v>0.94168912684818296</v>
      </c>
      <c r="D2656">
        <v>0.88430534791320103</v>
      </c>
      <c r="E2656">
        <v>0.33074301575449699</v>
      </c>
      <c r="F2656">
        <v>0.262853189723533</v>
      </c>
      <c r="G2656">
        <v>0.16929938081505599</v>
      </c>
      <c r="H2656">
        <v>0.141975407748237</v>
      </c>
      <c r="I2656">
        <v>0.132675383834086</v>
      </c>
      <c r="J2656">
        <v>0.102579806480828</v>
      </c>
      <c r="K2656">
        <v>6.90611728849016E-2</v>
      </c>
      <c r="L2656">
        <v>1412.1964712783899</v>
      </c>
      <c r="M2656">
        <v>29.1507735299333</v>
      </c>
      <c r="N2656">
        <v>48.938376651047598</v>
      </c>
      <c r="O2656">
        <v>48.218298919082599</v>
      </c>
      <c r="P2656">
        <v>-0.131882875500302</v>
      </c>
      <c r="Q2656">
        <v>0.12741643779490999</v>
      </c>
      <c r="R2656">
        <v>0.98824830121493801</v>
      </c>
      <c r="S2656" t="s">
        <v>8941</v>
      </c>
      <c r="T2656" t="s">
        <v>12568</v>
      </c>
      <c r="U2656" t="s">
        <v>12568</v>
      </c>
      <c r="V2656" t="s">
        <v>12568</v>
      </c>
      <c r="W2656" t="s">
        <v>15189</v>
      </c>
      <c r="X2656">
        <v>14</v>
      </c>
      <c r="Y2656" t="s">
        <v>21356</v>
      </c>
      <c r="Z2656" t="s">
        <v>27526</v>
      </c>
      <c r="AA2656">
        <v>0.37863540261730028</v>
      </c>
      <c r="AB2656" t="str">
        <f>HYPERLINK("Melting_Curves/meltCurve_P84022_SMAD3.pdf", "Melting_Curves/meltCurve_P84022_SMAD3.pdf")</f>
        <v>Melting_Curves/meltCurve_P84022_SMAD3.pdf</v>
      </c>
    </row>
    <row r="2657" spans="1:28" x14ac:dyDescent="0.25">
      <c r="A2657" t="s">
        <v>2661</v>
      </c>
      <c r="B2657">
        <v>0.99352677808782597</v>
      </c>
      <c r="C2657">
        <v>0.99595542676578097</v>
      </c>
      <c r="D2657">
        <v>1.01360824520568</v>
      </c>
      <c r="E2657">
        <v>0.85903355951698601</v>
      </c>
      <c r="F2657">
        <v>0.62372818776280503</v>
      </c>
      <c r="G2657">
        <v>0.41271149320045802</v>
      </c>
      <c r="H2657">
        <v>0.19683626394957501</v>
      </c>
      <c r="I2657">
        <v>0.11175997778849101</v>
      </c>
      <c r="J2657">
        <v>8.0835816147354703E-2</v>
      </c>
      <c r="K2657">
        <v>5.8808984228129198E-2</v>
      </c>
      <c r="L2657">
        <v>908.30490054322104</v>
      </c>
      <c r="M2657">
        <v>16.495340450385399</v>
      </c>
      <c r="N2657">
        <v>55.289001657400803</v>
      </c>
      <c r="O2657">
        <v>54.274139039593898</v>
      </c>
      <c r="P2657">
        <v>-7.3523668164785894E-2</v>
      </c>
      <c r="Q2657">
        <v>3.2416180123894002E-2</v>
      </c>
      <c r="R2657">
        <v>0.99641995566184205</v>
      </c>
      <c r="S2657" t="s">
        <v>8942</v>
      </c>
      <c r="T2657" t="s">
        <v>12568</v>
      </c>
      <c r="U2657" t="s">
        <v>12568</v>
      </c>
      <c r="V2657" t="s">
        <v>12568</v>
      </c>
      <c r="W2657" t="s">
        <v>15190</v>
      </c>
      <c r="X2657">
        <v>12</v>
      </c>
      <c r="Y2657" t="s">
        <v>21357</v>
      </c>
      <c r="Z2657" t="s">
        <v>27527</v>
      </c>
      <c r="AA2657">
        <v>0.5349663707032094</v>
      </c>
      <c r="AB2657" t="str">
        <f>HYPERLINK("Melting_Curves/meltCurve_P84077_ARF1.pdf", "Melting_Curves/meltCurve_P84077_ARF1.pdf")</f>
        <v>Melting_Curves/meltCurve_P84077_ARF1.pdf</v>
      </c>
    </row>
    <row r="2658" spans="1:28" x14ac:dyDescent="0.25">
      <c r="A2658" t="s">
        <v>2662</v>
      </c>
      <c r="B2658">
        <v>0.99352677808782597</v>
      </c>
      <c r="C2658">
        <v>0.95298625858552699</v>
      </c>
      <c r="D2658">
        <v>1.1465342816373101</v>
      </c>
      <c r="E2658">
        <v>0.673238474061568</v>
      </c>
      <c r="F2658">
        <v>0.53964881018987398</v>
      </c>
      <c r="G2658">
        <v>0.211832705885724</v>
      </c>
      <c r="H2658">
        <v>0.12136156213110499</v>
      </c>
      <c r="I2658">
        <v>0.10039963051650801</v>
      </c>
      <c r="J2658">
        <v>8.6767710831909595E-2</v>
      </c>
      <c r="K2658">
        <v>7.1476738156008093E-2</v>
      </c>
      <c r="L2658">
        <v>1159.07768552013</v>
      </c>
      <c r="M2658">
        <v>22.073172897943099</v>
      </c>
      <c r="N2658">
        <v>52.922293324755898</v>
      </c>
      <c r="O2658">
        <v>52.085398116272003</v>
      </c>
      <c r="P2658">
        <v>-9.7592919153090193E-2</v>
      </c>
      <c r="Q2658">
        <v>7.8871963989348495E-2</v>
      </c>
      <c r="R2658">
        <v>0.97067398622525902</v>
      </c>
      <c r="S2658" t="s">
        <v>8943</v>
      </c>
      <c r="T2658" t="s">
        <v>12568</v>
      </c>
      <c r="U2658" t="s">
        <v>12568</v>
      </c>
      <c r="V2658" t="s">
        <v>12568</v>
      </c>
      <c r="W2658" t="s">
        <v>15191</v>
      </c>
      <c r="X2658">
        <v>6</v>
      </c>
      <c r="Y2658" t="s">
        <v>21358</v>
      </c>
      <c r="Z2658" t="s">
        <v>27528</v>
      </c>
      <c r="AA2658">
        <v>0.47366149646072092</v>
      </c>
      <c r="AB2658" t="str">
        <f>HYPERLINK("Melting_Curves/meltCurve_P84085_ARF5.pdf", "Melting_Curves/meltCurve_P84085_ARF5.pdf")</f>
        <v>Melting_Curves/meltCurve_P84085_ARF5.pdf</v>
      </c>
    </row>
    <row r="2659" spans="1:28" x14ac:dyDescent="0.25">
      <c r="A2659" t="s">
        <v>2663</v>
      </c>
      <c r="B2659">
        <v>0.99352677808782597</v>
      </c>
      <c r="C2659">
        <v>0.93658324395843295</v>
      </c>
      <c r="D2659">
        <v>1.06259714281594</v>
      </c>
      <c r="E2659">
        <v>1.10471841326233</v>
      </c>
      <c r="F2659">
        <v>0.994241465492538</v>
      </c>
      <c r="G2659">
        <v>1.0438944754361901</v>
      </c>
      <c r="H2659">
        <v>0.67534074142988698</v>
      </c>
      <c r="I2659">
        <v>0.58145547497570205</v>
      </c>
      <c r="J2659">
        <v>0.52095529003600305</v>
      </c>
      <c r="K2659">
        <v>0.38479826119848298</v>
      </c>
      <c r="L2659">
        <v>2307.1464514441</v>
      </c>
      <c r="M2659">
        <v>37.841370663141397</v>
      </c>
      <c r="N2659">
        <v>65.046653259789295</v>
      </c>
      <c r="O2659">
        <v>60.799373117017502</v>
      </c>
      <c r="P2659">
        <v>-8.5056107855313506E-2</v>
      </c>
      <c r="Q2659">
        <v>0.45336602922220698</v>
      </c>
      <c r="R2659">
        <v>0.93847947145347599</v>
      </c>
      <c r="S2659" t="s">
        <v>8944</v>
      </c>
      <c r="T2659" t="s">
        <v>12568</v>
      </c>
      <c r="U2659" t="s">
        <v>12568</v>
      </c>
      <c r="V2659" t="s">
        <v>12568</v>
      </c>
      <c r="W2659" t="s">
        <v>15192</v>
      </c>
      <c r="X2659">
        <v>9</v>
      </c>
      <c r="Y2659" t="s">
        <v>21359</v>
      </c>
      <c r="Z2659" t="s">
        <v>27529</v>
      </c>
      <c r="AA2659">
        <v>0.8377085774987113</v>
      </c>
      <c r="AB2659" t="str">
        <f>HYPERLINK("Melting_Curves/meltCurve_P84090_ERH.pdf", "Melting_Curves/meltCurve_P84090_ERH.pdf")</f>
        <v>Melting_Curves/meltCurve_P84090_ERH.pdf</v>
      </c>
    </row>
    <row r="2660" spans="1:28" x14ac:dyDescent="0.25">
      <c r="A2660" t="s">
        <v>2664</v>
      </c>
      <c r="B2660">
        <v>0.99352677808782597</v>
      </c>
      <c r="C2660">
        <v>0.93612883250644496</v>
      </c>
      <c r="D2660">
        <v>0.85911924264315498</v>
      </c>
      <c r="E2660">
        <v>0.29446725399687901</v>
      </c>
      <c r="F2660">
        <v>0.247099579764616</v>
      </c>
      <c r="G2660">
        <v>0.12539792973018499</v>
      </c>
      <c r="H2660">
        <v>0.108047325152291</v>
      </c>
      <c r="I2660">
        <v>0.10607145432460099</v>
      </c>
      <c r="J2660">
        <v>7.8714560665369304E-2</v>
      </c>
      <c r="K2660">
        <v>6.5847700442903695E-2</v>
      </c>
      <c r="L2660">
        <v>1375.60681380965</v>
      </c>
      <c r="M2660">
        <v>28.500073122542201</v>
      </c>
      <c r="N2660">
        <v>48.657509477971303</v>
      </c>
      <c r="O2660">
        <v>48.031023290304397</v>
      </c>
      <c r="P2660">
        <v>-0.13317063636000501</v>
      </c>
      <c r="Q2660">
        <v>0.10228011350795101</v>
      </c>
      <c r="R2660">
        <v>0.98966677345735699</v>
      </c>
      <c r="S2660" t="s">
        <v>8945</v>
      </c>
      <c r="T2660" t="s">
        <v>12568</v>
      </c>
      <c r="U2660" t="s">
        <v>12568</v>
      </c>
      <c r="V2660" t="s">
        <v>12568</v>
      </c>
      <c r="W2660" t="s">
        <v>15193</v>
      </c>
      <c r="X2660">
        <v>6</v>
      </c>
      <c r="Y2660" t="s">
        <v>21360</v>
      </c>
      <c r="Z2660" t="s">
        <v>27530</v>
      </c>
      <c r="AA2660">
        <v>0.35568272710055748</v>
      </c>
      <c r="AB2660" t="str">
        <f>HYPERLINK("Melting_Curves/meltCurve_P84095_RHOG.pdf", "Melting_Curves/meltCurve_P84095_RHOG.pdf")</f>
        <v>Melting_Curves/meltCurve_P84095_RHOG.pdf</v>
      </c>
    </row>
    <row r="2661" spans="1:28" x14ac:dyDescent="0.25">
      <c r="A2661" t="s">
        <v>2665</v>
      </c>
      <c r="B2661">
        <v>0.99352677808782597</v>
      </c>
      <c r="C2661">
        <v>0.88607664355723803</v>
      </c>
      <c r="D2661">
        <v>0.85902883532711705</v>
      </c>
      <c r="E2661">
        <v>1.1043096200128999</v>
      </c>
      <c r="F2661">
        <v>1.4175161048067499</v>
      </c>
      <c r="G2661">
        <v>1.3928086748980999</v>
      </c>
      <c r="H2661">
        <v>1.2064869570741299</v>
      </c>
      <c r="I2661">
        <v>1.3048309949188499</v>
      </c>
      <c r="J2661">
        <v>1.4143581290524001</v>
      </c>
      <c r="K2661">
        <v>1.0443738940038501</v>
      </c>
      <c r="L2661">
        <v>12530.615245483999</v>
      </c>
      <c r="M2661">
        <v>250</v>
      </c>
      <c r="O2661">
        <v>50.119249187675997</v>
      </c>
      <c r="P2661">
        <v>0.370028863095473</v>
      </c>
      <c r="Q2661">
        <v>1.2967291258182501</v>
      </c>
      <c r="R2661">
        <v>0.65930581843458103</v>
      </c>
      <c r="S2661" t="s">
        <v>8946</v>
      </c>
      <c r="T2661" t="s">
        <v>12568</v>
      </c>
      <c r="U2661" t="s">
        <v>12568</v>
      </c>
      <c r="V2661" t="s">
        <v>12568</v>
      </c>
      <c r="W2661" t="s">
        <v>15194</v>
      </c>
      <c r="X2661">
        <v>5</v>
      </c>
      <c r="Y2661" t="s">
        <v>21361</v>
      </c>
      <c r="Z2661" t="s">
        <v>27531</v>
      </c>
      <c r="AA2661">
        <v>1.1965820576862241</v>
      </c>
      <c r="AB2661" t="str">
        <f>HYPERLINK("Melting_Curves/meltCurve_P84101_4_SERF2.pdf", "Melting_Curves/meltCurve_P84101_4_SERF2.pdf")</f>
        <v>Melting_Curves/meltCurve_P84101_4_SERF2.pdf</v>
      </c>
    </row>
    <row r="2662" spans="1:28" x14ac:dyDescent="0.25">
      <c r="A2662" t="s">
        <v>2666</v>
      </c>
      <c r="B2662">
        <v>0.99352677808782597</v>
      </c>
      <c r="C2662">
        <v>0.79382298366353699</v>
      </c>
      <c r="D2662">
        <v>0.727635056163913</v>
      </c>
      <c r="E2662">
        <v>0.42715827272683199</v>
      </c>
      <c r="F2662">
        <v>0.37803464305457102</v>
      </c>
      <c r="G2662">
        <v>0.23309733733714</v>
      </c>
      <c r="H2662">
        <v>0.14544250364776801</v>
      </c>
      <c r="I2662">
        <v>0.136979018604867</v>
      </c>
      <c r="J2662">
        <v>9.7229956260040995E-2</v>
      </c>
      <c r="K2662">
        <v>7.9493742935326406E-2</v>
      </c>
      <c r="L2662">
        <v>552.45944861067301</v>
      </c>
      <c r="M2662">
        <v>11.2698045358049</v>
      </c>
      <c r="N2662">
        <v>49.5889743882327</v>
      </c>
      <c r="O2662">
        <v>47.553771861641998</v>
      </c>
      <c r="P2662">
        <v>-5.5678686333858599E-2</v>
      </c>
      <c r="Q2662">
        <v>6.0527390515518198E-2</v>
      </c>
      <c r="R2662">
        <v>0.98791632687209197</v>
      </c>
      <c r="S2662" t="s">
        <v>8947</v>
      </c>
      <c r="T2662" t="s">
        <v>12568</v>
      </c>
      <c r="U2662" t="s">
        <v>12568</v>
      </c>
      <c r="V2662" t="s">
        <v>12568</v>
      </c>
      <c r="W2662" t="s">
        <v>15195</v>
      </c>
      <c r="X2662">
        <v>17</v>
      </c>
      <c r="Y2662" t="s">
        <v>21362</v>
      </c>
      <c r="Z2662" t="s">
        <v>27532</v>
      </c>
      <c r="AA2662">
        <v>0.38123686063463391</v>
      </c>
      <c r="AB2662" t="str">
        <f>HYPERLINK("Melting_Curves/meltCurve_P85037_FOXK1.pdf", "Melting_Curves/meltCurve_P85037_FOXK1.pdf")</f>
        <v>Melting_Curves/meltCurve_P85037_FOXK1.pdf</v>
      </c>
    </row>
    <row r="2663" spans="1:28" x14ac:dyDescent="0.25">
      <c r="A2663" t="s">
        <v>2667</v>
      </c>
      <c r="B2663">
        <v>0.99352677808782597</v>
      </c>
      <c r="C2663">
        <v>0.718301954210118</v>
      </c>
      <c r="D2663">
        <v>0.77593288141153305</v>
      </c>
      <c r="E2663">
        <v>0.78694470793295701</v>
      </c>
      <c r="F2663">
        <v>0.45306645190220202</v>
      </c>
      <c r="G2663">
        <v>0.37237085098787998</v>
      </c>
      <c r="H2663">
        <v>0.13251331276695799</v>
      </c>
      <c r="I2663">
        <v>0.228069762299933</v>
      </c>
      <c r="J2663">
        <v>0.112168174128377</v>
      </c>
      <c r="K2663">
        <v>0.23606517770052701</v>
      </c>
      <c r="L2663">
        <v>465.67210946716102</v>
      </c>
      <c r="M2663">
        <v>8.88940764664091</v>
      </c>
      <c r="N2663">
        <v>52.943586464031803</v>
      </c>
      <c r="O2663">
        <v>49.9373781908496</v>
      </c>
      <c r="P2663">
        <v>-4.2543238330049998E-2</v>
      </c>
      <c r="Q2663">
        <v>4.4758726121570599E-2</v>
      </c>
      <c r="R2663">
        <v>0.90192723324524304</v>
      </c>
      <c r="S2663" t="s">
        <v>8948</v>
      </c>
      <c r="T2663" t="s">
        <v>12568</v>
      </c>
      <c r="U2663" t="s">
        <v>12568</v>
      </c>
      <c r="V2663" t="s">
        <v>12568</v>
      </c>
      <c r="W2663" t="s">
        <v>15196</v>
      </c>
      <c r="X2663">
        <v>2</v>
      </c>
      <c r="Y2663" t="s">
        <v>21363</v>
      </c>
      <c r="Z2663" t="s">
        <v>27533</v>
      </c>
      <c r="AA2663">
        <v>0.4781698402096799</v>
      </c>
      <c r="AB2663" t="str">
        <f>HYPERLINK("Melting_Curves/meltCurve_P85299_2_PRR5.pdf", "Melting_Curves/meltCurve_P85299_2_PRR5.pdf")</f>
        <v>Melting_Curves/meltCurve_P85299_2_PRR5.pdf</v>
      </c>
    </row>
    <row r="2664" spans="1:28" x14ac:dyDescent="0.25">
      <c r="A2664" t="s">
        <v>2668</v>
      </c>
      <c r="B2664">
        <v>0.99352677808782597</v>
      </c>
      <c r="C2664">
        <v>0.69474553640716796</v>
      </c>
      <c r="D2664">
        <v>0.62270148265190794</v>
      </c>
      <c r="E2664">
        <v>0.41852638403767001</v>
      </c>
      <c r="F2664">
        <v>0.363293674909756</v>
      </c>
      <c r="G2664">
        <v>0.19708986095777301</v>
      </c>
      <c r="H2664">
        <v>9.8961145292525102E-2</v>
      </c>
      <c r="I2664">
        <v>9.4478259542476697E-2</v>
      </c>
      <c r="J2664">
        <v>7.6250549557424802E-2</v>
      </c>
      <c r="K2664">
        <v>6.1886376645558398E-2</v>
      </c>
      <c r="L2664">
        <v>469.68002716760202</v>
      </c>
      <c r="M2664">
        <v>9.6974881665664601</v>
      </c>
      <c r="N2664">
        <v>48.538689340104099</v>
      </c>
      <c r="O2664">
        <v>46.508138978490798</v>
      </c>
      <c r="P2664">
        <v>-5.1612356740064501E-2</v>
      </c>
      <c r="Q2664">
        <v>1.04310783115617E-2</v>
      </c>
      <c r="R2664">
        <v>0.97541613159557905</v>
      </c>
      <c r="S2664" t="s">
        <v>8949</v>
      </c>
      <c r="T2664" t="s">
        <v>12568</v>
      </c>
      <c r="U2664" t="s">
        <v>12568</v>
      </c>
      <c r="V2664" t="s">
        <v>12568</v>
      </c>
      <c r="W2664" t="s">
        <v>15197</v>
      </c>
      <c r="X2664">
        <v>7</v>
      </c>
      <c r="Y2664" t="s">
        <v>21364</v>
      </c>
      <c r="Z2664" t="s">
        <v>27534</v>
      </c>
      <c r="AA2664">
        <v>0.34164200127930122</v>
      </c>
      <c r="AB2664" t="str">
        <f>HYPERLINK("Melting_Curves/meltCurve_P86791_CCZ1.pdf", "Melting_Curves/meltCurve_P86791_CCZ1.pdf")</f>
        <v>Melting_Curves/meltCurve_P86791_CCZ1.pdf</v>
      </c>
    </row>
    <row r="2665" spans="1:28" x14ac:dyDescent="0.25">
      <c r="A2665" t="s">
        <v>2669</v>
      </c>
      <c r="B2665">
        <v>0.99352677808782597</v>
      </c>
      <c r="C2665">
        <v>0.94928969442357602</v>
      </c>
      <c r="D2665">
        <v>0.98374426303228901</v>
      </c>
      <c r="E2665">
        <v>0.76896549246729495</v>
      </c>
      <c r="F2665">
        <v>0.702580031771457</v>
      </c>
      <c r="G2665">
        <v>0.49669416953058998</v>
      </c>
      <c r="H2665">
        <v>0.497448371259678</v>
      </c>
      <c r="I2665">
        <v>0.51860559455812505</v>
      </c>
      <c r="J2665">
        <v>0.52336216956257597</v>
      </c>
      <c r="K2665">
        <v>0.479367910830655</v>
      </c>
      <c r="L2665">
        <v>1066.22184531636</v>
      </c>
      <c r="M2665">
        <v>20.875379829453198</v>
      </c>
      <c r="N2665">
        <v>63.789313700192501</v>
      </c>
      <c r="O2665">
        <v>50.613794429781102</v>
      </c>
      <c r="P2665">
        <v>-5.23611384597635E-2</v>
      </c>
      <c r="Q2665">
        <v>0.49220120785739502</v>
      </c>
      <c r="R2665">
        <v>0.97711226945590901</v>
      </c>
      <c r="S2665" t="s">
        <v>8950</v>
      </c>
      <c r="T2665" t="s">
        <v>12568</v>
      </c>
      <c r="U2665" t="s">
        <v>12568</v>
      </c>
      <c r="V2665" t="s">
        <v>12568</v>
      </c>
      <c r="W2665" t="s">
        <v>15198</v>
      </c>
      <c r="X2665">
        <v>12</v>
      </c>
      <c r="Y2665" t="s">
        <v>21365</v>
      </c>
      <c r="Z2665" t="s">
        <v>27535</v>
      </c>
      <c r="AA2665">
        <v>0.68617608536539787</v>
      </c>
      <c r="AB2665" t="str">
        <f>HYPERLINK("Melting_Curves/meltCurve_P98082_3_DAB2.pdf", "Melting_Curves/meltCurve_P98082_3_DAB2.pdf")</f>
        <v>Melting_Curves/meltCurve_P98082_3_DAB2.pdf</v>
      </c>
    </row>
    <row r="2666" spans="1:28" x14ac:dyDescent="0.25">
      <c r="A2666" t="s">
        <v>2670</v>
      </c>
      <c r="B2666">
        <v>0.99352677808782597</v>
      </c>
      <c r="C2666">
        <v>1.0543911594789099</v>
      </c>
      <c r="D2666">
        <v>0.97871681046535497</v>
      </c>
      <c r="E2666">
        <v>0.72411682467080096</v>
      </c>
      <c r="F2666">
        <v>0.67276363385456195</v>
      </c>
      <c r="G2666">
        <v>0.51751129347360703</v>
      </c>
      <c r="H2666">
        <v>0.76899275434207903</v>
      </c>
      <c r="I2666">
        <v>0.78544864078875998</v>
      </c>
      <c r="J2666">
        <v>0.83738101941632603</v>
      </c>
      <c r="K2666">
        <v>0.53941289114824198</v>
      </c>
      <c r="L2666">
        <v>2792.7961104423498</v>
      </c>
      <c r="M2666">
        <v>57.933320700672702</v>
      </c>
      <c r="O2666">
        <v>48.149738732580602</v>
      </c>
      <c r="P2666">
        <v>-9.4158115137725706E-2</v>
      </c>
      <c r="Q2666">
        <v>0.68697209510659396</v>
      </c>
      <c r="R2666">
        <v>0.69529075592335199</v>
      </c>
      <c r="S2666" t="s">
        <v>8951</v>
      </c>
      <c r="T2666" t="s">
        <v>12568</v>
      </c>
      <c r="U2666" t="s">
        <v>12568</v>
      </c>
      <c r="V2666" t="s">
        <v>12568</v>
      </c>
      <c r="W2666" t="s">
        <v>15199</v>
      </c>
      <c r="X2666">
        <v>6</v>
      </c>
      <c r="Y2666" t="s">
        <v>21366</v>
      </c>
      <c r="Z2666" t="s">
        <v>27536</v>
      </c>
      <c r="AA2666">
        <v>0.77310205213349481</v>
      </c>
      <c r="AB2666" t="str">
        <f>HYPERLINK("Melting_Curves/meltCurve_P98088_MUC5AC.pdf", "Melting_Curves/meltCurve_P98088_MUC5AC.pdf")</f>
        <v>Melting_Curves/meltCurve_P98088_MUC5AC.pdf</v>
      </c>
    </row>
    <row r="2667" spans="1:28" x14ac:dyDescent="0.25">
      <c r="A2667" t="s">
        <v>2671</v>
      </c>
      <c r="B2667">
        <v>0.99352677808782597</v>
      </c>
      <c r="C2667">
        <v>0.95291911478364999</v>
      </c>
      <c r="D2667">
        <v>0.92581621585024398</v>
      </c>
      <c r="E2667">
        <v>0.91983933240560001</v>
      </c>
      <c r="F2667">
        <v>0.92830692659960801</v>
      </c>
      <c r="G2667">
        <v>0.79650752061296004</v>
      </c>
      <c r="H2667">
        <v>0.68448657623418596</v>
      </c>
      <c r="I2667">
        <v>0.81118316173904903</v>
      </c>
      <c r="J2667">
        <v>0.68435348199772605</v>
      </c>
      <c r="K2667">
        <v>0.64648722587402496</v>
      </c>
      <c r="L2667">
        <v>365.71641120871402</v>
      </c>
      <c r="M2667">
        <v>5.6454546427529699</v>
      </c>
      <c r="O2667">
        <v>58.024588697357402</v>
      </c>
      <c r="P2667">
        <v>-1.38307134272607E-2</v>
      </c>
      <c r="Q2667">
        <v>0.43366182153017302</v>
      </c>
      <c r="R2667">
        <v>0.87365589818156697</v>
      </c>
      <c r="S2667" t="s">
        <v>8952</v>
      </c>
      <c r="T2667" t="s">
        <v>12568</v>
      </c>
      <c r="U2667" t="s">
        <v>12568</v>
      </c>
      <c r="V2667" t="s">
        <v>12568</v>
      </c>
      <c r="W2667" t="s">
        <v>15200</v>
      </c>
      <c r="X2667">
        <v>4</v>
      </c>
      <c r="Y2667" t="s">
        <v>21367</v>
      </c>
      <c r="Z2667" t="s">
        <v>27537</v>
      </c>
      <c r="AA2667">
        <v>0.83860551663341443</v>
      </c>
      <c r="AB2667" t="str">
        <f>HYPERLINK("Melting_Curves/meltCurve_P98155_2_VLDLR.pdf", "Melting_Curves/meltCurve_P98155_2_VLDLR.pdf")</f>
        <v>Melting_Curves/meltCurve_P98155_2_VLDLR.pdf</v>
      </c>
    </row>
    <row r="2668" spans="1:28" x14ac:dyDescent="0.25">
      <c r="A2668" t="s">
        <v>2672</v>
      </c>
      <c r="B2668">
        <v>0.99352677808782597</v>
      </c>
      <c r="C2668">
        <v>1.03304922558676</v>
      </c>
      <c r="D2668">
        <v>0.923812405411083</v>
      </c>
      <c r="E2668">
        <v>0.74297657147999796</v>
      </c>
      <c r="F2668">
        <v>0.63957409001559196</v>
      </c>
      <c r="G2668">
        <v>0.51792963535071401</v>
      </c>
      <c r="H2668">
        <v>0.41825632839219301</v>
      </c>
      <c r="I2668">
        <v>0.4232649375225</v>
      </c>
      <c r="J2668">
        <v>0.482640019353276</v>
      </c>
      <c r="K2668">
        <v>0.40162605567215998</v>
      </c>
      <c r="L2668">
        <v>905.25479690289797</v>
      </c>
      <c r="M2668">
        <v>17.715516886038099</v>
      </c>
      <c r="N2668">
        <v>57.054725683634601</v>
      </c>
      <c r="O2668">
        <v>50.461764911969397</v>
      </c>
      <c r="P2668">
        <v>-5.0792614762373602E-2</v>
      </c>
      <c r="Q2668">
        <v>0.42130950707470799</v>
      </c>
      <c r="R2668">
        <v>0.984617824355703</v>
      </c>
      <c r="S2668" t="s">
        <v>8953</v>
      </c>
      <c r="T2668" t="s">
        <v>12568</v>
      </c>
      <c r="U2668" t="s">
        <v>12568</v>
      </c>
      <c r="V2668" t="s">
        <v>12568</v>
      </c>
      <c r="W2668" t="s">
        <v>15201</v>
      </c>
      <c r="X2668">
        <v>1</v>
      </c>
      <c r="Y2668" t="s">
        <v>21368</v>
      </c>
      <c r="Z2668" t="s">
        <v>27538</v>
      </c>
      <c r="AA2668">
        <v>0.64543681075058823</v>
      </c>
      <c r="AB2668" t="str">
        <f>HYPERLINK("Melting_Curves/meltCurve_P98160_HSPG2.pdf", "Melting_Curves/meltCurve_P98160_HSPG2.pdf")</f>
        <v>Melting_Curves/meltCurve_P98160_HSPG2.pdf</v>
      </c>
    </row>
    <row r="2669" spans="1:28" x14ac:dyDescent="0.25">
      <c r="A2669" t="s">
        <v>2673</v>
      </c>
      <c r="B2669">
        <v>0.99352677808782597</v>
      </c>
      <c r="C2669">
        <v>0.98913616849674901</v>
      </c>
      <c r="D2669">
        <v>0.92366629384868804</v>
      </c>
      <c r="E2669">
        <v>0.83205668473473404</v>
      </c>
      <c r="F2669">
        <v>0.74228744534977098</v>
      </c>
      <c r="G2669">
        <v>0.44017337318819599</v>
      </c>
      <c r="H2669">
        <v>0.29499232453692198</v>
      </c>
      <c r="I2669">
        <v>0.29439128358072703</v>
      </c>
      <c r="J2669">
        <v>0.22209234960323301</v>
      </c>
      <c r="K2669">
        <v>0.19494366574041699</v>
      </c>
      <c r="L2669">
        <v>847.52051760373797</v>
      </c>
      <c r="M2669">
        <v>15.4608787025052</v>
      </c>
      <c r="N2669">
        <v>56.398057366742499</v>
      </c>
      <c r="O2669">
        <v>53.924595690251898</v>
      </c>
      <c r="P2669">
        <v>-5.9078920985778501E-2</v>
      </c>
      <c r="Q2669">
        <v>0.175849933420411</v>
      </c>
      <c r="R2669">
        <v>0.99330311163710505</v>
      </c>
      <c r="S2669" t="s">
        <v>8954</v>
      </c>
      <c r="T2669" t="s">
        <v>12568</v>
      </c>
      <c r="U2669" t="s">
        <v>12568</v>
      </c>
      <c r="V2669" t="s">
        <v>12568</v>
      </c>
      <c r="W2669" t="s">
        <v>15202</v>
      </c>
      <c r="X2669">
        <v>20</v>
      </c>
      <c r="Y2669" t="s">
        <v>21369</v>
      </c>
      <c r="Z2669" t="s">
        <v>27539</v>
      </c>
      <c r="AA2669">
        <v>0.59845818544175988</v>
      </c>
      <c r="AB2669" t="str">
        <f>HYPERLINK("Melting_Curves/meltCurve_P98170_XIAP.pdf", "Melting_Curves/meltCurve_P98170_XIAP.pdf")</f>
        <v>Melting_Curves/meltCurve_P98170_XIAP.pdf</v>
      </c>
    </row>
    <row r="2670" spans="1:28" x14ac:dyDescent="0.25">
      <c r="A2670" t="s">
        <v>2674</v>
      </c>
      <c r="B2670">
        <v>0.99352677808782597</v>
      </c>
      <c r="C2670">
        <v>0.94960501595714497</v>
      </c>
      <c r="D2670">
        <v>0.90675850658482504</v>
      </c>
      <c r="E2670">
        <v>0.77512153463358802</v>
      </c>
      <c r="F2670">
        <v>0.72728859731423001</v>
      </c>
      <c r="G2670">
        <v>0.62705506084690898</v>
      </c>
      <c r="H2670">
        <v>0.54863432248174504</v>
      </c>
      <c r="I2670">
        <v>0.48345567660109301</v>
      </c>
      <c r="J2670">
        <v>0.49666174437629002</v>
      </c>
      <c r="K2670">
        <v>0.40158896930625299</v>
      </c>
      <c r="L2670">
        <v>462.40877580511398</v>
      </c>
      <c r="M2670">
        <v>8.3792858182330203</v>
      </c>
      <c r="N2670">
        <v>63.602089358962203</v>
      </c>
      <c r="O2670">
        <v>52.310158752459301</v>
      </c>
      <c r="P2670">
        <v>-2.6654169314123299E-2</v>
      </c>
      <c r="Q2670">
        <v>0.33504651268965502</v>
      </c>
      <c r="R2670">
        <v>0.99026773650315703</v>
      </c>
      <c r="S2670" t="s">
        <v>8955</v>
      </c>
      <c r="T2670" t="s">
        <v>12568</v>
      </c>
      <c r="U2670" t="s">
        <v>12568</v>
      </c>
      <c r="V2670" t="s">
        <v>12568</v>
      </c>
      <c r="W2670" t="s">
        <v>15203</v>
      </c>
      <c r="X2670">
        <v>1</v>
      </c>
      <c r="Y2670" t="s">
        <v>21370</v>
      </c>
      <c r="Z2670" t="s">
        <v>27540</v>
      </c>
      <c r="AA2670">
        <v>0.68879768393439622</v>
      </c>
      <c r="AB2670" t="str">
        <f>HYPERLINK("Melting_Curves/meltCurve_P98174_FGD1.pdf", "Melting_Curves/meltCurve_P98174_FGD1.pdf")</f>
        <v>Melting_Curves/meltCurve_P98174_FGD1.pdf</v>
      </c>
    </row>
    <row r="2671" spans="1:28" x14ac:dyDescent="0.25">
      <c r="A2671" t="s">
        <v>2675</v>
      </c>
      <c r="B2671">
        <v>0.99352677808782597</v>
      </c>
      <c r="C2671">
        <v>0.93593268595533397</v>
      </c>
      <c r="D2671">
        <v>0.99801883155573201</v>
      </c>
      <c r="E2671">
        <v>1.0886138273883801</v>
      </c>
      <c r="F2671">
        <v>0.970435132589478</v>
      </c>
      <c r="G2671">
        <v>0.81162242482047398</v>
      </c>
      <c r="H2671">
        <v>0.71101128582359496</v>
      </c>
      <c r="I2671">
        <v>0.73100808596227496</v>
      </c>
      <c r="J2671">
        <v>0.64186161010508003</v>
      </c>
      <c r="K2671">
        <v>0.57041854849766904</v>
      </c>
      <c r="L2671">
        <v>1174.8044312705299</v>
      </c>
      <c r="M2671">
        <v>20.0997792284819</v>
      </c>
      <c r="O2671">
        <v>57.879297514085899</v>
      </c>
      <c r="P2671">
        <v>-3.4315107863841898E-2</v>
      </c>
      <c r="Q2671">
        <v>0.60475765912997304</v>
      </c>
      <c r="R2671">
        <v>0.91590141834620398</v>
      </c>
      <c r="S2671" t="s">
        <v>8956</v>
      </c>
      <c r="T2671" t="s">
        <v>12568</v>
      </c>
      <c r="U2671" t="s">
        <v>12568</v>
      </c>
      <c r="V2671" t="s">
        <v>12568</v>
      </c>
      <c r="W2671" t="s">
        <v>15204</v>
      </c>
      <c r="X2671">
        <v>9</v>
      </c>
      <c r="Y2671" t="s">
        <v>21371</v>
      </c>
      <c r="Z2671" t="s">
        <v>27541</v>
      </c>
      <c r="AA2671">
        <v>0.85206961472862608</v>
      </c>
      <c r="AB2671" t="str">
        <f>HYPERLINK("Melting_Curves/meltCurve_P98175_4_RBM10.pdf", "Melting_Curves/meltCurve_P98175_4_RBM10.pdf")</f>
        <v>Melting_Curves/meltCurve_P98175_4_RBM10.pdf</v>
      </c>
    </row>
    <row r="2672" spans="1:28" x14ac:dyDescent="0.25">
      <c r="A2672" t="s">
        <v>2676</v>
      </c>
      <c r="B2672">
        <v>0.99352677808782597</v>
      </c>
      <c r="C2672">
        <v>0.93966366711942195</v>
      </c>
      <c r="D2672">
        <v>0.94675458661019396</v>
      </c>
      <c r="E2672">
        <v>0.85473784504534001</v>
      </c>
      <c r="F2672">
        <v>0.85462685789278303</v>
      </c>
      <c r="G2672">
        <v>0.74010108097330796</v>
      </c>
      <c r="H2672">
        <v>0.75786300716351895</v>
      </c>
      <c r="I2672">
        <v>0.94705049574220901</v>
      </c>
      <c r="J2672">
        <v>0.75054465620995403</v>
      </c>
      <c r="K2672">
        <v>0.67735670836544304</v>
      </c>
      <c r="L2672">
        <v>512.30028328072001</v>
      </c>
      <c r="M2672">
        <v>10.3302293120679</v>
      </c>
      <c r="O2672">
        <v>47.841817656717801</v>
      </c>
      <c r="P2672">
        <v>-1.3443830913974201E-2</v>
      </c>
      <c r="Q2672">
        <v>0.75106025086694195</v>
      </c>
      <c r="R2672">
        <v>0.59126913230789502</v>
      </c>
      <c r="S2672" t="s">
        <v>8957</v>
      </c>
      <c r="T2672" t="s">
        <v>12568</v>
      </c>
      <c r="U2672" t="s">
        <v>12568</v>
      </c>
      <c r="V2672" t="s">
        <v>12568</v>
      </c>
      <c r="W2672" t="s">
        <v>15205</v>
      </c>
      <c r="X2672">
        <v>4</v>
      </c>
      <c r="Y2672" t="s">
        <v>21372</v>
      </c>
      <c r="Z2672" t="s">
        <v>27542</v>
      </c>
      <c r="AA2672">
        <v>0.8417573326743415</v>
      </c>
      <c r="AB2672" t="str">
        <f>HYPERLINK("Melting_Curves/meltCurve_P98179_RBM3.pdf", "Melting_Curves/meltCurve_P98179_RBM3.pdf")</f>
        <v>Melting_Curves/meltCurve_P98179_RBM3.pdf</v>
      </c>
    </row>
    <row r="2673" spans="1:28" x14ac:dyDescent="0.25">
      <c r="A2673" t="s">
        <v>2677</v>
      </c>
      <c r="B2673">
        <v>0.99352677808782597</v>
      </c>
      <c r="C2673">
        <v>1.0134177480429301</v>
      </c>
      <c r="D2673">
        <v>0.97872495041420704</v>
      </c>
      <c r="E2673">
        <v>0.313118809273423</v>
      </c>
      <c r="F2673">
        <v>0.233533798370651</v>
      </c>
      <c r="G2673">
        <v>0.15116165984579599</v>
      </c>
      <c r="H2673">
        <v>7.5910532863716407E-2</v>
      </c>
      <c r="I2673">
        <v>4.5493388221108003E-2</v>
      </c>
      <c r="J2673">
        <v>2.6633682754562502E-2</v>
      </c>
      <c r="K2673">
        <v>2.9285342212655E-2</v>
      </c>
      <c r="L2673">
        <v>1947.60810011178</v>
      </c>
      <c r="M2673">
        <v>39.821073030740003</v>
      </c>
      <c r="N2673">
        <v>49.128111115737802</v>
      </c>
      <c r="O2673">
        <v>48.786145024216196</v>
      </c>
      <c r="P2673">
        <v>-0.18745540499121399</v>
      </c>
      <c r="Q2673">
        <v>8.1370486948904294E-2</v>
      </c>
      <c r="R2673">
        <v>0.98316691372496701</v>
      </c>
      <c r="S2673" t="s">
        <v>8958</v>
      </c>
      <c r="T2673" t="s">
        <v>12568</v>
      </c>
      <c r="U2673" t="s">
        <v>12568</v>
      </c>
      <c r="V2673" t="s">
        <v>12568</v>
      </c>
      <c r="W2673" t="s">
        <v>15206</v>
      </c>
      <c r="X2673">
        <v>2</v>
      </c>
      <c r="Y2673" t="s">
        <v>21373</v>
      </c>
      <c r="Z2673" t="s">
        <v>27543</v>
      </c>
      <c r="AA2673">
        <v>0.35730989925360601</v>
      </c>
      <c r="AB2673" t="str">
        <f>HYPERLINK("Melting_Curves/meltCurve_Q00013_2_MPP1.pdf", "Melting_Curves/meltCurve_Q00013_2_MPP1.pdf")</f>
        <v>Melting_Curves/meltCurve_Q00013_2_MPP1.pdf</v>
      </c>
    </row>
    <row r="2674" spans="1:28" x14ac:dyDescent="0.25">
      <c r="A2674" t="s">
        <v>2678</v>
      </c>
      <c r="B2674">
        <v>0.99352677808782597</v>
      </c>
      <c r="C2674">
        <v>0.98255263222964495</v>
      </c>
      <c r="D2674">
        <v>0.97870909931582595</v>
      </c>
      <c r="E2674">
        <v>0.74544310350325804</v>
      </c>
      <c r="F2674">
        <v>0.654911635958353</v>
      </c>
      <c r="G2674">
        <v>0.45995322083796703</v>
      </c>
      <c r="H2674">
        <v>0.34222801410594</v>
      </c>
      <c r="I2674">
        <v>0.30215868965451997</v>
      </c>
      <c r="J2674">
        <v>0.333358552547803</v>
      </c>
      <c r="K2674">
        <v>0.30011093453402699</v>
      </c>
      <c r="L2674">
        <v>854.65551144702704</v>
      </c>
      <c r="M2674">
        <v>16.207872848563401</v>
      </c>
      <c r="N2674">
        <v>55.653778757152999</v>
      </c>
      <c r="O2674">
        <v>51.947765391460997</v>
      </c>
      <c r="P2674">
        <v>-5.56535180396125E-2</v>
      </c>
      <c r="Q2674">
        <v>0.28655404829006198</v>
      </c>
      <c r="R2674">
        <v>0.99265245118715695</v>
      </c>
      <c r="S2674" t="s">
        <v>8959</v>
      </c>
      <c r="T2674" t="s">
        <v>12568</v>
      </c>
      <c r="U2674" t="s">
        <v>12568</v>
      </c>
      <c r="V2674" t="s">
        <v>12568</v>
      </c>
      <c r="W2674" t="s">
        <v>15207</v>
      </c>
      <c r="X2674">
        <v>15</v>
      </c>
      <c r="Y2674" t="s">
        <v>21374</v>
      </c>
      <c r="Z2674" t="s">
        <v>27544</v>
      </c>
      <c r="AA2674">
        <v>0.60316174908055986</v>
      </c>
      <c r="AB2674" t="str">
        <f>HYPERLINK("Melting_Curves/meltCurve_Q00059_TFAM.pdf", "Melting_Curves/meltCurve_Q00059_TFAM.pdf")</f>
        <v>Melting_Curves/meltCurve_Q00059_TFAM.pdf</v>
      </c>
    </row>
    <row r="2675" spans="1:28" x14ac:dyDescent="0.25">
      <c r="A2675" t="s">
        <v>2679</v>
      </c>
      <c r="B2675">
        <v>0.99352677808782597</v>
      </c>
      <c r="C2675">
        <v>0.88755339022106705</v>
      </c>
      <c r="D2675">
        <v>0.96065218976087496</v>
      </c>
      <c r="E2675">
        <v>0.89055174886739896</v>
      </c>
      <c r="F2675">
        <v>0.74080183412286105</v>
      </c>
      <c r="G2675">
        <v>0.69662682151740596</v>
      </c>
      <c r="H2675">
        <v>0.52100135502168499</v>
      </c>
      <c r="I2675">
        <v>0.35168459409680503</v>
      </c>
      <c r="J2675">
        <v>0.156645125640095</v>
      </c>
      <c r="K2675">
        <v>9.2376025274634996E-2</v>
      </c>
      <c r="L2675">
        <v>701.61073139768496</v>
      </c>
      <c r="M2675">
        <v>11.7046064723105</v>
      </c>
      <c r="N2675">
        <v>59.943128673863598</v>
      </c>
      <c r="O2675">
        <v>58.273615855339699</v>
      </c>
      <c r="P2675">
        <v>-5.0227349391896603E-2</v>
      </c>
      <c r="Q2675">
        <v>0</v>
      </c>
      <c r="R2675">
        <v>0.96458565856573397</v>
      </c>
      <c r="S2675" t="s">
        <v>8960</v>
      </c>
      <c r="T2675" t="s">
        <v>12568</v>
      </c>
      <c r="U2675" t="s">
        <v>12568</v>
      </c>
      <c r="V2675" t="s">
        <v>12568</v>
      </c>
      <c r="W2675" t="s">
        <v>15208</v>
      </c>
      <c r="X2675">
        <v>23</v>
      </c>
      <c r="Y2675" t="s">
        <v>21375</v>
      </c>
      <c r="Z2675" t="s">
        <v>27545</v>
      </c>
      <c r="AA2675">
        <v>0.66676987963743506</v>
      </c>
      <c r="AB2675" t="str">
        <f>HYPERLINK("Melting_Curves/meltCurve_Q00169_PITPNA.pdf", "Melting_Curves/meltCurve_Q00169_PITPNA.pdf")</f>
        <v>Melting_Curves/meltCurve_Q00169_PITPNA.pdf</v>
      </c>
    </row>
    <row r="2676" spans="1:28" x14ac:dyDescent="0.25">
      <c r="A2676" t="s">
        <v>2680</v>
      </c>
      <c r="B2676">
        <v>0.99352677808782597</v>
      </c>
      <c r="C2676">
        <v>0.92241262719439698</v>
      </c>
      <c r="D2676">
        <v>0.67845995141279303</v>
      </c>
      <c r="E2676">
        <v>0.24887379748296301</v>
      </c>
      <c r="F2676">
        <v>0.19319288905610599</v>
      </c>
      <c r="G2676">
        <v>0.123928749772098</v>
      </c>
      <c r="H2676">
        <v>8.7180872796053605E-2</v>
      </c>
      <c r="I2676">
        <v>8.6376285679357998E-2</v>
      </c>
      <c r="J2676">
        <v>7.5417604846952799E-2</v>
      </c>
      <c r="K2676">
        <v>6.2969963472920901E-2</v>
      </c>
      <c r="L2676">
        <v>1099.7731872382301</v>
      </c>
      <c r="M2676">
        <v>23.321763827417598</v>
      </c>
      <c r="N2676">
        <v>47.541641906741901</v>
      </c>
      <c r="O2676">
        <v>46.813910748146803</v>
      </c>
      <c r="P2676">
        <v>-0.113826820354496</v>
      </c>
      <c r="Q2676">
        <v>8.6075274259246201E-2</v>
      </c>
      <c r="R2676">
        <v>0.99683152751869597</v>
      </c>
      <c r="S2676" t="s">
        <v>8961</v>
      </c>
      <c r="T2676" t="s">
        <v>12568</v>
      </c>
      <c r="U2676" t="s">
        <v>12568</v>
      </c>
      <c r="V2676" t="s">
        <v>12568</v>
      </c>
      <c r="W2676" t="s">
        <v>15209</v>
      </c>
      <c r="X2676">
        <v>46</v>
      </c>
      <c r="Y2676" t="s">
        <v>21376</v>
      </c>
      <c r="Z2676" t="s">
        <v>27546</v>
      </c>
      <c r="AA2676">
        <v>0.3135720629218739</v>
      </c>
      <c r="AB2676" t="str">
        <f>HYPERLINK("Melting_Curves/meltCurve_Q00341_HDLBP.pdf", "Melting_Curves/meltCurve_Q00341_HDLBP.pdf")</f>
        <v>Melting_Curves/meltCurve_Q00341_HDLBP.pdf</v>
      </c>
    </row>
    <row r="2677" spans="1:28" x14ac:dyDescent="0.25">
      <c r="A2677" t="s">
        <v>2681</v>
      </c>
      <c r="B2677">
        <v>0.99352677808782597</v>
      </c>
      <c r="C2677">
        <v>0.98077793197910701</v>
      </c>
      <c r="D2677">
        <v>0.88171641920538102</v>
      </c>
      <c r="E2677">
        <v>0.37805892201375502</v>
      </c>
      <c r="F2677">
        <v>0.30876330819712</v>
      </c>
      <c r="G2677">
        <v>0.23271655056537399</v>
      </c>
      <c r="H2677">
        <v>0.18351570548968901</v>
      </c>
      <c r="I2677">
        <v>0.19312289484570899</v>
      </c>
      <c r="J2677">
        <v>0.16994447474156199</v>
      </c>
      <c r="K2677">
        <v>0.14245846547758101</v>
      </c>
      <c r="L2677">
        <v>1438.17834046552</v>
      </c>
      <c r="M2677">
        <v>29.7062301788926</v>
      </c>
      <c r="N2677">
        <v>49.198627687592897</v>
      </c>
      <c r="O2677">
        <v>48.195556973791099</v>
      </c>
      <c r="P2677">
        <v>-0.12500159392912</v>
      </c>
      <c r="Q2677">
        <v>0.18879235897142599</v>
      </c>
      <c r="R2677">
        <v>0.99155148280482397</v>
      </c>
      <c r="S2677" t="s">
        <v>8962</v>
      </c>
      <c r="T2677" t="s">
        <v>12568</v>
      </c>
      <c r="U2677" t="s">
        <v>12568</v>
      </c>
      <c r="V2677" t="s">
        <v>12568</v>
      </c>
      <c r="W2677" t="s">
        <v>15210</v>
      </c>
      <c r="X2677">
        <v>7</v>
      </c>
      <c r="Y2677" t="s">
        <v>21377</v>
      </c>
      <c r="Z2677" t="s">
        <v>27547</v>
      </c>
      <c r="AA2677">
        <v>0.42129578061688788</v>
      </c>
      <c r="AB2677" t="str">
        <f>HYPERLINK("Melting_Curves/meltCurve_Q00403_GTF2B.pdf", "Melting_Curves/meltCurve_Q00403_GTF2B.pdf")</f>
        <v>Melting_Curves/meltCurve_Q00403_GTF2B.pdf</v>
      </c>
    </row>
    <row r="2678" spans="1:28" x14ac:dyDescent="0.25">
      <c r="A2678" t="s">
        <v>2682</v>
      </c>
      <c r="B2678">
        <v>0.99352677808782597</v>
      </c>
      <c r="C2678">
        <v>0.95918104676523896</v>
      </c>
      <c r="D2678">
        <v>0.93299801492490897</v>
      </c>
      <c r="E2678">
        <v>0.31444338157781199</v>
      </c>
      <c r="F2678">
        <v>0.28324824580761698</v>
      </c>
      <c r="G2678">
        <v>0.16033481167593</v>
      </c>
      <c r="H2678">
        <v>0.19655220023968301</v>
      </c>
      <c r="I2678">
        <v>0.31032966135210999</v>
      </c>
      <c r="J2678">
        <v>6.3709827175122205E-2</v>
      </c>
      <c r="K2678">
        <v>5.1360825548519999E-2</v>
      </c>
      <c r="L2678">
        <v>2030.4194021329299</v>
      </c>
      <c r="M2678">
        <v>41.983271109988003</v>
      </c>
      <c r="N2678">
        <v>48.848441508061804</v>
      </c>
      <c r="O2678">
        <v>48.253263592366899</v>
      </c>
      <c r="P2678">
        <v>-0.18039020953127299</v>
      </c>
      <c r="Q2678">
        <v>0.17067942328444499</v>
      </c>
      <c r="R2678">
        <v>0.95648141286125898</v>
      </c>
      <c r="S2678" t="s">
        <v>8963</v>
      </c>
      <c r="T2678" t="s">
        <v>12568</v>
      </c>
      <c r="U2678" t="s">
        <v>12568</v>
      </c>
      <c r="V2678" t="s">
        <v>12568</v>
      </c>
      <c r="W2678" t="s">
        <v>15211</v>
      </c>
      <c r="X2678">
        <v>4</v>
      </c>
      <c r="Y2678" t="s">
        <v>21378</v>
      </c>
      <c r="Z2678" t="s">
        <v>27548</v>
      </c>
      <c r="AA2678">
        <v>0.40437317515724219</v>
      </c>
      <c r="AB2678" t="str">
        <f>HYPERLINK("Melting_Curves/meltCurve_Q00526_CDK3.pdf", "Melting_Curves/meltCurve_Q00526_CDK3.pdf")</f>
        <v>Melting_Curves/meltCurve_Q00526_CDK3.pdf</v>
      </c>
    </row>
    <row r="2679" spans="1:28" x14ac:dyDescent="0.25">
      <c r="A2679" t="s">
        <v>2683</v>
      </c>
      <c r="B2679">
        <v>0.99352677808782597</v>
      </c>
      <c r="C2679">
        <v>0.94920005497006199</v>
      </c>
      <c r="D2679">
        <v>0.87884145674320702</v>
      </c>
      <c r="E2679">
        <v>0.52518656331382796</v>
      </c>
      <c r="F2679">
        <v>0.447549442960813</v>
      </c>
      <c r="G2679">
        <v>0.34931594140278999</v>
      </c>
      <c r="H2679">
        <v>0.181049922179468</v>
      </c>
      <c r="I2679">
        <v>9.8883376000499706E-2</v>
      </c>
      <c r="J2679">
        <v>6.8848544763046707E-2</v>
      </c>
      <c r="K2679">
        <v>5.6531100003395597E-2</v>
      </c>
      <c r="L2679">
        <v>601.42511709254597</v>
      </c>
      <c r="M2679">
        <v>11.5673834750566</v>
      </c>
      <c r="N2679">
        <v>52.139984606203697</v>
      </c>
      <c r="O2679">
        <v>50.512134157146399</v>
      </c>
      <c r="P2679">
        <v>-5.6348930519236902E-2</v>
      </c>
      <c r="Q2679">
        <v>1.6021538937371901E-2</v>
      </c>
      <c r="R2679">
        <v>0.98429342075182302</v>
      </c>
      <c r="S2679" t="s">
        <v>8964</v>
      </c>
      <c r="T2679" t="s">
        <v>12568</v>
      </c>
      <c r="U2679" t="s">
        <v>12568</v>
      </c>
      <c r="V2679" t="s">
        <v>12568</v>
      </c>
      <c r="W2679" t="s">
        <v>15212</v>
      </c>
      <c r="X2679">
        <v>10</v>
      </c>
      <c r="Y2679" t="s">
        <v>21379</v>
      </c>
      <c r="Z2679" t="s">
        <v>27549</v>
      </c>
      <c r="AA2679">
        <v>0.44094767077812741</v>
      </c>
      <c r="AB2679" t="str">
        <f>HYPERLINK("Melting_Curves/meltCurve_Q00534_CDK6.pdf", "Melting_Curves/meltCurve_Q00534_CDK6.pdf")</f>
        <v>Melting_Curves/meltCurve_Q00534_CDK6.pdf</v>
      </c>
    </row>
    <row r="2680" spans="1:28" x14ac:dyDescent="0.25">
      <c r="A2680" t="s">
        <v>2684</v>
      </c>
      <c r="B2680">
        <v>0.99352677808782597</v>
      </c>
      <c r="C2680">
        <v>0.88436723858828303</v>
      </c>
      <c r="D2680">
        <v>0.74041561063704497</v>
      </c>
      <c r="E2680">
        <v>0.243437306642386</v>
      </c>
      <c r="F2680">
        <v>0.18875521450928201</v>
      </c>
      <c r="G2680">
        <v>0.13007347635796801</v>
      </c>
      <c r="H2680">
        <v>9.9659351951040795E-2</v>
      </c>
      <c r="I2680">
        <v>8.7215961836902403E-2</v>
      </c>
      <c r="J2680">
        <v>7.4126428277623099E-2</v>
      </c>
      <c r="K2680">
        <v>5.4691280690333299E-2</v>
      </c>
      <c r="L2680">
        <v>1134.30733613088</v>
      </c>
      <c r="M2680">
        <v>23.930253403775701</v>
      </c>
      <c r="N2680">
        <v>47.774977046179799</v>
      </c>
      <c r="O2680">
        <v>47.073268222861302</v>
      </c>
      <c r="P2680">
        <v>-0.116225049167872</v>
      </c>
      <c r="Q2680">
        <v>8.5508154106226295E-2</v>
      </c>
      <c r="R2680">
        <v>0.99257188852770895</v>
      </c>
      <c r="S2680" t="s">
        <v>8965</v>
      </c>
      <c r="T2680" t="s">
        <v>12568</v>
      </c>
      <c r="U2680" t="s">
        <v>12568</v>
      </c>
      <c r="V2680" t="s">
        <v>12568</v>
      </c>
      <c r="W2680" t="s">
        <v>15213</v>
      </c>
      <c r="X2680">
        <v>12</v>
      </c>
      <c r="Y2680" t="s">
        <v>21380</v>
      </c>
      <c r="Z2680" t="s">
        <v>27550</v>
      </c>
      <c r="AA2680">
        <v>0.32002394559995589</v>
      </c>
      <c r="AB2680" t="str">
        <f>HYPERLINK("Melting_Curves/meltCurve_Q00535_CDK5.pdf", "Melting_Curves/meltCurve_Q00535_CDK5.pdf")</f>
        <v>Melting_Curves/meltCurve_Q00535_CDK5.pdf</v>
      </c>
    </row>
    <row r="2681" spans="1:28" x14ac:dyDescent="0.25">
      <c r="A2681" t="s">
        <v>2685</v>
      </c>
      <c r="B2681">
        <v>0.99352677808782597</v>
      </c>
      <c r="C2681">
        <v>1.0180053651861101</v>
      </c>
      <c r="D2681">
        <v>0.98932207792551896</v>
      </c>
      <c r="E2681">
        <v>0.44520451685207502</v>
      </c>
      <c r="F2681">
        <v>0.376765941800147</v>
      </c>
      <c r="G2681">
        <v>0.180743510588178</v>
      </c>
      <c r="H2681">
        <v>0.15330385946973801</v>
      </c>
      <c r="I2681">
        <v>0.120135010059765</v>
      </c>
      <c r="J2681">
        <v>9.6971369986292993E-2</v>
      </c>
      <c r="K2681">
        <v>7.7592679180480698E-2</v>
      </c>
      <c r="L2681">
        <v>1217.7411022108099</v>
      </c>
      <c r="M2681">
        <v>24.4314625082935</v>
      </c>
      <c r="N2681">
        <v>50.414624515239701</v>
      </c>
      <c r="O2681">
        <v>49.512822168523002</v>
      </c>
      <c r="P2681">
        <v>-0.108441020331226</v>
      </c>
      <c r="Q2681">
        <v>0.120946343989003</v>
      </c>
      <c r="R2681">
        <v>0.97882342260856703</v>
      </c>
      <c r="S2681" t="s">
        <v>8966</v>
      </c>
      <c r="T2681" t="s">
        <v>12568</v>
      </c>
      <c r="U2681" t="s">
        <v>12568</v>
      </c>
      <c r="V2681" t="s">
        <v>12568</v>
      </c>
      <c r="W2681" t="s">
        <v>15214</v>
      </c>
      <c r="X2681">
        <v>10</v>
      </c>
      <c r="Y2681" t="s">
        <v>21381</v>
      </c>
      <c r="Z2681" t="s">
        <v>27551</v>
      </c>
      <c r="AA2681">
        <v>0.41758527793929529</v>
      </c>
      <c r="AB2681" t="str">
        <f>HYPERLINK("Melting_Curves/meltCurve_Q00536_CDK16.pdf", "Melting_Curves/meltCurve_Q00536_CDK16.pdf")</f>
        <v>Melting_Curves/meltCurve_Q00536_CDK16.pdf</v>
      </c>
    </row>
    <row r="2682" spans="1:28" x14ac:dyDescent="0.25">
      <c r="A2682" t="s">
        <v>2686</v>
      </c>
      <c r="B2682">
        <v>0.99352677808782597</v>
      </c>
      <c r="C2682">
        <v>0.87904852947935497</v>
      </c>
      <c r="D2682">
        <v>1.00772877094227</v>
      </c>
      <c r="E2682">
        <v>1.1381579683048</v>
      </c>
      <c r="F2682">
        <v>1.0450116998599299</v>
      </c>
      <c r="G2682">
        <v>1.2128140457708301</v>
      </c>
      <c r="H2682">
        <v>1.6859012504180699</v>
      </c>
      <c r="I2682">
        <v>1.4705403608371099</v>
      </c>
      <c r="J2682">
        <v>1.4942157144082699</v>
      </c>
      <c r="K2682">
        <v>0.71865280638183304</v>
      </c>
      <c r="L2682">
        <v>14221.6918248601</v>
      </c>
      <c r="M2682">
        <v>250</v>
      </c>
      <c r="O2682">
        <v>56.8831274483559</v>
      </c>
      <c r="P2682">
        <v>0.37613034593362299</v>
      </c>
      <c r="Q2682">
        <v>1.3423275229204701</v>
      </c>
      <c r="R2682">
        <v>0.29462254231100898</v>
      </c>
      <c r="S2682" t="s">
        <v>8967</v>
      </c>
      <c r="T2682" t="s">
        <v>12568</v>
      </c>
      <c r="U2682" t="s">
        <v>12568</v>
      </c>
      <c r="V2682" t="s">
        <v>12568</v>
      </c>
      <c r="W2682" t="s">
        <v>15215</v>
      </c>
      <c r="X2682">
        <v>4</v>
      </c>
      <c r="Y2682" t="s">
        <v>21382</v>
      </c>
      <c r="Z2682" t="s">
        <v>27552</v>
      </c>
      <c r="AA2682">
        <v>1.149599839193221</v>
      </c>
      <c r="AB2682" t="str">
        <f>HYPERLINK("Melting_Curves/meltCurve_Q00577_PURA.pdf", "Melting_Curves/meltCurve_Q00577_PURA.pdf")</f>
        <v>Melting_Curves/meltCurve_Q00577_PURA.pdf</v>
      </c>
    </row>
    <row r="2683" spans="1:28" x14ac:dyDescent="0.25">
      <c r="A2683" t="s">
        <v>2687</v>
      </c>
      <c r="B2683">
        <v>0.99352677808782597</v>
      </c>
      <c r="C2683">
        <v>1.00237620065268</v>
      </c>
      <c r="D2683">
        <v>0.97361204431359005</v>
      </c>
      <c r="E2683">
        <v>0.76074466490792003</v>
      </c>
      <c r="F2683">
        <v>0.64683702930762998</v>
      </c>
      <c r="G2683">
        <v>0.60254862489373595</v>
      </c>
      <c r="H2683">
        <v>0.47886710621821199</v>
      </c>
      <c r="I2683">
        <v>0.46259415497579398</v>
      </c>
      <c r="J2683">
        <v>0.36651991794899802</v>
      </c>
      <c r="K2683">
        <v>0.31380795941362499</v>
      </c>
      <c r="L2683">
        <v>567.74777074176404</v>
      </c>
      <c r="M2683">
        <v>10.3776432472969</v>
      </c>
      <c r="N2683">
        <v>59.538867438801098</v>
      </c>
      <c r="O2683">
        <v>52.794227500938199</v>
      </c>
      <c r="P2683">
        <v>-3.5173345689191497E-2</v>
      </c>
      <c r="Q2683">
        <v>0.28455216263574701</v>
      </c>
      <c r="R2683">
        <v>0.974710722840056</v>
      </c>
      <c r="S2683" t="s">
        <v>8968</v>
      </c>
      <c r="T2683" t="s">
        <v>12568</v>
      </c>
      <c r="U2683" t="s">
        <v>12568</v>
      </c>
      <c r="V2683" t="s">
        <v>12568</v>
      </c>
      <c r="W2683" t="s">
        <v>15216</v>
      </c>
      <c r="X2683">
        <v>2</v>
      </c>
      <c r="Y2683" t="s">
        <v>21383</v>
      </c>
      <c r="Z2683" t="s">
        <v>27553</v>
      </c>
      <c r="AA2683">
        <v>0.65440879797286544</v>
      </c>
      <c r="AB2683" t="str">
        <f>HYPERLINK("Melting_Curves/meltCurve_Q00587_2_CDC42EP1.pdf", "Melting_Curves/meltCurve_Q00587_2_CDC42EP1.pdf")</f>
        <v>Melting_Curves/meltCurve_Q00587_2_CDC42EP1.pdf</v>
      </c>
    </row>
    <row r="2684" spans="1:28" x14ac:dyDescent="0.25">
      <c r="A2684" t="s">
        <v>2688</v>
      </c>
      <c r="B2684">
        <v>0.99352677808782597</v>
      </c>
      <c r="C2684">
        <v>1.20115837400139</v>
      </c>
      <c r="D2684">
        <v>0.67519420001484698</v>
      </c>
      <c r="E2684">
        <v>0.26866954840358898</v>
      </c>
      <c r="F2684">
        <v>0.17933136237917499</v>
      </c>
      <c r="G2684">
        <v>0.10279896654606401</v>
      </c>
      <c r="H2684">
        <v>7.8320307229642699E-2</v>
      </c>
      <c r="I2684">
        <v>7.0998220786543498E-2</v>
      </c>
      <c r="J2684">
        <v>5.90617665608726E-2</v>
      </c>
      <c r="K2684">
        <v>4.8337270774197201E-2</v>
      </c>
      <c r="L2684">
        <v>1457.4424122037201</v>
      </c>
      <c r="M2684">
        <v>30.717170477514198</v>
      </c>
      <c r="N2684">
        <v>47.733708428973401</v>
      </c>
      <c r="O2684">
        <v>47.247425676930597</v>
      </c>
      <c r="P2684">
        <v>-0.14884945807045799</v>
      </c>
      <c r="Q2684">
        <v>8.41980019475458E-2</v>
      </c>
      <c r="R2684">
        <v>0.95966281180771795</v>
      </c>
      <c r="S2684" t="s">
        <v>8969</v>
      </c>
      <c r="T2684" t="s">
        <v>12568</v>
      </c>
      <c r="U2684" t="s">
        <v>12568</v>
      </c>
      <c r="V2684" t="s">
        <v>12568</v>
      </c>
      <c r="W2684" t="s">
        <v>15217</v>
      </c>
      <c r="X2684">
        <v>78</v>
      </c>
      <c r="Y2684" t="s">
        <v>21384</v>
      </c>
      <c r="Z2684" t="s">
        <v>27554</v>
      </c>
      <c r="AA2684">
        <v>0.31676063662822013</v>
      </c>
      <c r="AB2684" t="str">
        <f>HYPERLINK("Melting_Curves/meltCurve_Q00610_2_CLTC.pdf", "Melting_Curves/meltCurve_Q00610_2_CLTC.pdf")</f>
        <v>Melting_Curves/meltCurve_Q00610_2_CLTC.pdf</v>
      </c>
    </row>
    <row r="2685" spans="1:28" x14ac:dyDescent="0.25">
      <c r="A2685" t="s">
        <v>2689</v>
      </c>
      <c r="B2685">
        <v>0.99352677808782597</v>
      </c>
      <c r="C2685">
        <v>1.0080527888841</v>
      </c>
      <c r="D2685">
        <v>0.81255274966619595</v>
      </c>
      <c r="E2685">
        <v>0.36142363406259997</v>
      </c>
      <c r="F2685">
        <v>0.29721882920873099</v>
      </c>
      <c r="G2685">
        <v>0.16639379049378</v>
      </c>
      <c r="H2685">
        <v>0.117532457095302</v>
      </c>
      <c r="I2685">
        <v>9.8267472597838204E-2</v>
      </c>
      <c r="J2685">
        <v>8.1395214259752505E-2</v>
      </c>
      <c r="K2685">
        <v>6.6315970884168005E-2</v>
      </c>
      <c r="L2685">
        <v>1059.7946892505599</v>
      </c>
      <c r="M2685">
        <v>21.7770733652888</v>
      </c>
      <c r="N2685">
        <v>49.166907000057101</v>
      </c>
      <c r="O2685">
        <v>48.260827359106301</v>
      </c>
      <c r="P2685">
        <v>-0.10158087764932</v>
      </c>
      <c r="Q2685">
        <v>9.9555261904058195E-2</v>
      </c>
      <c r="R2685">
        <v>0.98956104544087398</v>
      </c>
      <c r="S2685" t="s">
        <v>8970</v>
      </c>
      <c r="T2685" t="s">
        <v>12568</v>
      </c>
      <c r="U2685" t="s">
        <v>12568</v>
      </c>
      <c r="V2685" t="s">
        <v>12568</v>
      </c>
      <c r="W2685" t="s">
        <v>15218</v>
      </c>
      <c r="X2685">
        <v>13</v>
      </c>
      <c r="Y2685" t="s">
        <v>21385</v>
      </c>
      <c r="Z2685" t="s">
        <v>27555</v>
      </c>
      <c r="AA2685">
        <v>0.37026585282558611</v>
      </c>
      <c r="AB2685" t="str">
        <f>HYPERLINK("Melting_Curves/meltCurve_Q00653_4_NFKB2.pdf", "Melting_Curves/meltCurve_Q00653_4_NFKB2.pdf")</f>
        <v>Melting_Curves/meltCurve_Q00653_4_NFKB2.pdf</v>
      </c>
    </row>
    <row r="2686" spans="1:28" x14ac:dyDescent="0.25">
      <c r="A2686" t="s">
        <v>2690</v>
      </c>
      <c r="B2686">
        <v>0.99352677808782597</v>
      </c>
      <c r="C2686">
        <v>0.71138103800763697</v>
      </c>
      <c r="D2686">
        <v>1.09176814402864</v>
      </c>
      <c r="E2686">
        <v>0.81958176041379105</v>
      </c>
      <c r="F2686">
        <v>0.77662077345077396</v>
      </c>
      <c r="G2686">
        <v>0.694578701498064</v>
      </c>
      <c r="H2686">
        <v>0.51071610691671898</v>
      </c>
      <c r="I2686">
        <v>0.53866830787122</v>
      </c>
      <c r="J2686">
        <v>0.58809973031848395</v>
      </c>
      <c r="K2686">
        <v>0.504950362350985</v>
      </c>
      <c r="L2686">
        <v>507.16466173702997</v>
      </c>
      <c r="M2686">
        <v>9.2701332728783399</v>
      </c>
      <c r="O2686">
        <v>52.344424067776998</v>
      </c>
      <c r="P2686">
        <v>-2.4775965723319499E-2</v>
      </c>
      <c r="Q2686">
        <v>0.44076650381799198</v>
      </c>
      <c r="R2686">
        <v>0.71531886366337305</v>
      </c>
      <c r="S2686" t="s">
        <v>8971</v>
      </c>
      <c r="T2686" t="s">
        <v>12568</v>
      </c>
      <c r="U2686" t="s">
        <v>12568</v>
      </c>
      <c r="V2686" t="s">
        <v>12568</v>
      </c>
      <c r="W2686" t="s">
        <v>15219</v>
      </c>
      <c r="X2686">
        <v>18</v>
      </c>
      <c r="Y2686" t="s">
        <v>21386</v>
      </c>
      <c r="Z2686" t="s">
        <v>27556</v>
      </c>
      <c r="AA2686">
        <v>0.73066438333951467</v>
      </c>
      <c r="AB2686" t="str">
        <f>HYPERLINK("Melting_Curves/meltCurve_Q00688_FKBP3.pdf", "Melting_Curves/meltCurve_Q00688_FKBP3.pdf")</f>
        <v>Melting_Curves/meltCurve_Q00688_FKBP3.pdf</v>
      </c>
    </row>
    <row r="2687" spans="1:28" x14ac:dyDescent="0.25">
      <c r="A2687" t="s">
        <v>2691</v>
      </c>
      <c r="B2687">
        <v>0.99352677808782597</v>
      </c>
      <c r="C2687">
        <v>1.02409330668364</v>
      </c>
      <c r="D2687">
        <v>0.92720975268316896</v>
      </c>
      <c r="E2687">
        <v>0.91417488635920496</v>
      </c>
      <c r="F2687">
        <v>0.78386747688428604</v>
      </c>
      <c r="G2687">
        <v>0.66046459250901601</v>
      </c>
      <c r="H2687">
        <v>0.43498763378828598</v>
      </c>
      <c r="I2687">
        <v>0.12616121699820901</v>
      </c>
      <c r="J2687">
        <v>6.34735843326312E-2</v>
      </c>
      <c r="K2687">
        <v>6.0947273373225398E-2</v>
      </c>
      <c r="L2687">
        <v>957.62302032330103</v>
      </c>
      <c r="M2687">
        <v>16.319108641283101</v>
      </c>
      <c r="N2687">
        <v>58.681086741321799</v>
      </c>
      <c r="O2687">
        <v>57.821148533433501</v>
      </c>
      <c r="P2687">
        <v>-7.0563684131367196E-2</v>
      </c>
      <c r="Q2687">
        <v>0</v>
      </c>
      <c r="R2687">
        <v>0.97996922250857099</v>
      </c>
      <c r="S2687" t="s">
        <v>8972</v>
      </c>
      <c r="T2687" t="s">
        <v>12568</v>
      </c>
      <c r="U2687" t="s">
        <v>12568</v>
      </c>
      <c r="V2687" t="s">
        <v>12568</v>
      </c>
      <c r="W2687" t="s">
        <v>15220</v>
      </c>
      <c r="X2687">
        <v>13</v>
      </c>
      <c r="Y2687" t="s">
        <v>21387</v>
      </c>
      <c r="Z2687" t="s">
        <v>27557</v>
      </c>
      <c r="AA2687">
        <v>0.63423587477811894</v>
      </c>
      <c r="AB2687" t="str">
        <f>HYPERLINK("Melting_Curves/meltCurve_Q00796_SORD.pdf", "Melting_Curves/meltCurve_Q00796_SORD.pdf")</f>
        <v>Melting_Curves/meltCurve_Q00796_SORD.pdf</v>
      </c>
    </row>
    <row r="2688" spans="1:28" x14ac:dyDescent="0.25">
      <c r="A2688" t="s">
        <v>2692</v>
      </c>
      <c r="B2688">
        <v>0.99352677808782597</v>
      </c>
      <c r="C2688">
        <v>0.87426017435695902</v>
      </c>
      <c r="D2688">
        <v>0.84927221034872302</v>
      </c>
      <c r="E2688">
        <v>0.535275525212773</v>
      </c>
      <c r="F2688">
        <v>0.464229929715894</v>
      </c>
      <c r="G2688">
        <v>0.34325452382045601</v>
      </c>
      <c r="H2688">
        <v>0.25057631239917899</v>
      </c>
      <c r="I2688">
        <v>0.24739154744856301</v>
      </c>
      <c r="J2688">
        <v>0.239660074466027</v>
      </c>
      <c r="K2688">
        <v>0.20031494937435099</v>
      </c>
      <c r="L2688">
        <v>666.65610426996398</v>
      </c>
      <c r="M2688">
        <v>13.412766803148401</v>
      </c>
      <c r="N2688">
        <v>51.712548684142298</v>
      </c>
      <c r="O2688">
        <v>48.637267518174198</v>
      </c>
      <c r="P2688">
        <v>-5.4949597102320398E-2</v>
      </c>
      <c r="Q2688">
        <v>0.203093481556814</v>
      </c>
      <c r="R2688">
        <v>0.98913341435319901</v>
      </c>
      <c r="S2688" t="s">
        <v>8973</v>
      </c>
      <c r="T2688" t="s">
        <v>12568</v>
      </c>
      <c r="U2688" t="s">
        <v>12568</v>
      </c>
      <c r="V2688" t="s">
        <v>12568</v>
      </c>
      <c r="W2688" t="s">
        <v>15221</v>
      </c>
      <c r="X2688">
        <v>36</v>
      </c>
      <c r="Y2688" t="s">
        <v>21388</v>
      </c>
      <c r="Z2688" t="s">
        <v>27558</v>
      </c>
      <c r="AA2688">
        <v>0.48419827228566498</v>
      </c>
      <c r="AB2688" t="str">
        <f>HYPERLINK("Melting_Curves/meltCurve_Q00839_HNRNPU.pdf", "Melting_Curves/meltCurve_Q00839_HNRNPU.pdf")</f>
        <v>Melting_Curves/meltCurve_Q00839_HNRNPU.pdf</v>
      </c>
    </row>
    <row r="2689" spans="1:28" x14ac:dyDescent="0.25">
      <c r="A2689" t="s">
        <v>2693</v>
      </c>
      <c r="B2689">
        <v>0.99352677808782597</v>
      </c>
      <c r="C2689">
        <v>1.51804093450981</v>
      </c>
      <c r="D2689">
        <v>1.36369491086756</v>
      </c>
      <c r="E2689">
        <v>1.2942850911308801</v>
      </c>
      <c r="F2689">
        <v>0.63498516819385797</v>
      </c>
      <c r="G2689">
        <v>0.75064735979132102</v>
      </c>
      <c r="H2689">
        <v>11.3398635831963</v>
      </c>
      <c r="I2689">
        <v>1.1763484404345099</v>
      </c>
      <c r="J2689">
        <v>0.619210449134456</v>
      </c>
      <c r="K2689">
        <v>0.71282521581233504</v>
      </c>
      <c r="L2689">
        <v>10333.3924820675</v>
      </c>
      <c r="M2689">
        <v>250</v>
      </c>
      <c r="O2689">
        <v>41.330924866499799</v>
      </c>
      <c r="P2689">
        <v>0.75609244523449604</v>
      </c>
      <c r="Q2689">
        <v>1.5</v>
      </c>
      <c r="R2689">
        <v>-2.7447269216241101E-2</v>
      </c>
      <c r="S2689" t="s">
        <v>8974</v>
      </c>
      <c r="T2689" t="s">
        <v>12568</v>
      </c>
      <c r="U2689" t="s">
        <v>12568</v>
      </c>
      <c r="V2689" t="s">
        <v>12568</v>
      </c>
      <c r="W2689" t="s">
        <v>15222</v>
      </c>
      <c r="X2689">
        <v>34</v>
      </c>
      <c r="Y2689" t="s">
        <v>21388</v>
      </c>
      <c r="Z2689" t="s">
        <v>27559</v>
      </c>
      <c r="AA2689">
        <v>1.4777369500690991</v>
      </c>
      <c r="AB2689" t="str">
        <f>HYPERLINK("Melting_Curves/meltCurve_Q00839_2_HNRNPU.pdf", "Melting_Curves/meltCurve_Q00839_2_HNRNPU.pdf")</f>
        <v>Melting_Curves/meltCurve_Q00839_2_HNRNPU.pdf</v>
      </c>
    </row>
    <row r="2690" spans="1:28" x14ac:dyDescent="0.25">
      <c r="A2690" t="s">
        <v>2694</v>
      </c>
      <c r="B2690">
        <v>0.99352677808782597</v>
      </c>
      <c r="C2690">
        <v>0.98401295959887403</v>
      </c>
      <c r="D2690">
        <v>0.81868266537259204</v>
      </c>
      <c r="E2690">
        <v>0.37797459886789903</v>
      </c>
      <c r="F2690">
        <v>0.25664260872974798</v>
      </c>
      <c r="G2690">
        <v>0.139966426839256</v>
      </c>
      <c r="H2690">
        <v>6.2401481860885497E-2</v>
      </c>
      <c r="I2690">
        <v>8.2777221153736702E-2</v>
      </c>
      <c r="J2690">
        <v>5.1795860468083203E-2</v>
      </c>
      <c r="K2690">
        <v>3.7029447261310598E-2</v>
      </c>
      <c r="L2690">
        <v>1033.6880426133</v>
      </c>
      <c r="M2690">
        <v>21.142662129609601</v>
      </c>
      <c r="N2690">
        <v>49.204337759641199</v>
      </c>
      <c r="O2690">
        <v>48.460031904202197</v>
      </c>
      <c r="P2690">
        <v>-0.102207615333473</v>
      </c>
      <c r="Q2690">
        <v>6.2964912274377699E-2</v>
      </c>
      <c r="R2690">
        <v>0.99480771974383897</v>
      </c>
      <c r="S2690" t="s">
        <v>8975</v>
      </c>
      <c r="T2690" t="s">
        <v>12568</v>
      </c>
      <c r="U2690" t="s">
        <v>12568</v>
      </c>
      <c r="V2690" t="s">
        <v>12568</v>
      </c>
      <c r="W2690" t="s">
        <v>15223</v>
      </c>
      <c r="X2690">
        <v>2</v>
      </c>
      <c r="Y2690" t="s">
        <v>21389</v>
      </c>
      <c r="Z2690" t="s">
        <v>27560</v>
      </c>
      <c r="AA2690">
        <v>0.35240004793694851</v>
      </c>
      <c r="AB2690" t="str">
        <f>HYPERLINK("Melting_Curves/meltCurve_Q00978_IRF9.pdf", "Melting_Curves/meltCurve_Q00978_IRF9.pdf")</f>
        <v>Melting_Curves/meltCurve_Q00978_IRF9.pdf</v>
      </c>
    </row>
    <row r="2691" spans="1:28" x14ac:dyDescent="0.25">
      <c r="A2691" t="s">
        <v>2695</v>
      </c>
      <c r="B2691">
        <v>0.99352677808782597</v>
      </c>
      <c r="C2691">
        <v>0.65267163799772099</v>
      </c>
      <c r="D2691">
        <v>0.67653698146000696</v>
      </c>
      <c r="E2691">
        <v>0.35233927539104598</v>
      </c>
      <c r="F2691">
        <v>0.29040767523635302</v>
      </c>
      <c r="G2691">
        <v>0.16056882337119799</v>
      </c>
      <c r="H2691">
        <v>0.100194509592148</v>
      </c>
      <c r="I2691">
        <v>9.5546564645054899E-2</v>
      </c>
      <c r="J2691">
        <v>7.7879435698045105E-2</v>
      </c>
      <c r="K2691">
        <v>6.6270619864895505E-2</v>
      </c>
      <c r="L2691">
        <v>540.28978446538599</v>
      </c>
      <c r="M2691">
        <v>11.3907088680696</v>
      </c>
      <c r="N2691">
        <v>47.805623625242198</v>
      </c>
      <c r="O2691">
        <v>46.041160057273601</v>
      </c>
      <c r="P2691">
        <v>-5.9237497450240102E-2</v>
      </c>
      <c r="Q2691">
        <v>4.2532327572336097E-2</v>
      </c>
      <c r="R2691">
        <v>0.96541286578244501</v>
      </c>
      <c r="S2691" t="s">
        <v>8976</v>
      </c>
      <c r="T2691" t="s">
        <v>12568</v>
      </c>
      <c r="U2691" t="s">
        <v>12568</v>
      </c>
      <c r="V2691" t="s">
        <v>12568</v>
      </c>
      <c r="W2691" t="s">
        <v>15224</v>
      </c>
      <c r="X2691">
        <v>5</v>
      </c>
      <c r="Y2691" t="s">
        <v>21390</v>
      </c>
      <c r="Z2691" t="s">
        <v>27561</v>
      </c>
      <c r="AA2691">
        <v>0.32247221804133758</v>
      </c>
      <c r="AB2691" t="str">
        <f>HYPERLINK("Melting_Curves/meltCurve_Q01081_U2AF1.pdf", "Melting_Curves/meltCurve_Q01081_U2AF1.pdf")</f>
        <v>Melting_Curves/meltCurve_Q01081_U2AF1.pdf</v>
      </c>
    </row>
    <row r="2692" spans="1:28" x14ac:dyDescent="0.25">
      <c r="A2692" t="s">
        <v>2696</v>
      </c>
      <c r="B2692">
        <v>0.99352677808782597</v>
      </c>
      <c r="C2692">
        <v>1.00793097404223</v>
      </c>
      <c r="D2692">
        <v>0.92955350367794398</v>
      </c>
      <c r="E2692">
        <v>1.24178052606455</v>
      </c>
      <c r="F2692">
        <v>1.1325920876906701</v>
      </c>
      <c r="G2692">
        <v>0.90871373702057101</v>
      </c>
      <c r="H2692">
        <v>0.24693565143943699</v>
      </c>
      <c r="I2692">
        <v>0.21548749376858001</v>
      </c>
      <c r="J2692">
        <v>0.18869976513296799</v>
      </c>
      <c r="K2692">
        <v>0.14926712191873001</v>
      </c>
      <c r="L2692">
        <v>3936.6379286828901</v>
      </c>
      <c r="M2692">
        <v>66.9756576620712</v>
      </c>
      <c r="N2692">
        <v>59.179228170255698</v>
      </c>
      <c r="O2692">
        <v>58.724813348343503</v>
      </c>
      <c r="P2692">
        <v>-0.23300613731557199</v>
      </c>
      <c r="Q2692">
        <v>0.18279338930369199</v>
      </c>
      <c r="R2692">
        <v>0.95275695843186303</v>
      </c>
      <c r="S2692" t="s">
        <v>8977</v>
      </c>
      <c r="T2692" t="s">
        <v>12568</v>
      </c>
      <c r="U2692" t="s">
        <v>12568</v>
      </c>
      <c r="V2692" t="s">
        <v>12568</v>
      </c>
      <c r="W2692" t="s">
        <v>15225</v>
      </c>
      <c r="X2692">
        <v>97</v>
      </c>
      <c r="Y2692" t="s">
        <v>21391</v>
      </c>
      <c r="Z2692" t="s">
        <v>27562</v>
      </c>
      <c r="AA2692">
        <v>0.69546408862233278</v>
      </c>
      <c r="AB2692" t="str">
        <f>HYPERLINK("Melting_Curves/meltCurve_Q01082_SPTBN1.pdf", "Melting_Curves/meltCurve_Q01082_SPTBN1.pdf")</f>
        <v>Melting_Curves/meltCurve_Q01082_SPTBN1.pdf</v>
      </c>
    </row>
    <row r="2693" spans="1:28" x14ac:dyDescent="0.25">
      <c r="A2693" t="s">
        <v>2697</v>
      </c>
      <c r="B2693">
        <v>0.99352677808782597</v>
      </c>
      <c r="C2693">
        <v>0.99531601956856297</v>
      </c>
      <c r="D2693">
        <v>0.96344758018568699</v>
      </c>
      <c r="E2693">
        <v>1.4122243311726701</v>
      </c>
      <c r="F2693">
        <v>1.4907180758526599</v>
      </c>
      <c r="G2693">
        <v>1.3591180463611301</v>
      </c>
      <c r="H2693">
        <v>0.35703305532521901</v>
      </c>
      <c r="I2693">
        <v>0.35033898417450199</v>
      </c>
      <c r="J2693">
        <v>0.25410115785264897</v>
      </c>
      <c r="K2693">
        <v>0.224144528999106</v>
      </c>
      <c r="L2693">
        <v>15000</v>
      </c>
      <c r="M2693">
        <v>247.975247263103</v>
      </c>
      <c r="N2693">
        <v>60.686630158027299</v>
      </c>
      <c r="O2693">
        <v>60.485974032922897</v>
      </c>
      <c r="P2693">
        <v>-0.74184951037318603</v>
      </c>
      <c r="Q2693">
        <v>0.27619404522732899</v>
      </c>
      <c r="R2693">
        <v>0.75874306845894401</v>
      </c>
      <c r="S2693" t="s">
        <v>8978</v>
      </c>
      <c r="T2693" t="s">
        <v>12568</v>
      </c>
      <c r="U2693" t="s">
        <v>12568</v>
      </c>
      <c r="V2693" t="s">
        <v>12568</v>
      </c>
      <c r="W2693" t="s">
        <v>15226</v>
      </c>
      <c r="X2693">
        <v>92</v>
      </c>
      <c r="Y2693" t="s">
        <v>21391</v>
      </c>
      <c r="Z2693" t="s">
        <v>27563</v>
      </c>
      <c r="AA2693">
        <v>0.77062940165956284</v>
      </c>
      <c r="AB2693" t="str">
        <f>HYPERLINK("Melting_Curves/meltCurve_Q01082_3_SPTBN1.pdf", "Melting_Curves/meltCurve_Q01082_3_SPTBN1.pdf")</f>
        <v>Melting_Curves/meltCurve_Q01082_3_SPTBN1.pdf</v>
      </c>
    </row>
    <row r="2694" spans="1:28" x14ac:dyDescent="0.25">
      <c r="A2694" t="s">
        <v>2698</v>
      </c>
      <c r="B2694">
        <v>0.99352677808782597</v>
      </c>
      <c r="C2694">
        <v>0.98077882253342397</v>
      </c>
      <c r="D2694">
        <v>1.1547052832559299</v>
      </c>
      <c r="E2694">
        <v>0.95839835960833697</v>
      </c>
      <c r="F2694">
        <v>0.86731281122138604</v>
      </c>
      <c r="G2694">
        <v>0.52462927503955603</v>
      </c>
      <c r="H2694">
        <v>0.25500677594825699</v>
      </c>
      <c r="I2694">
        <v>0.202214246726969</v>
      </c>
      <c r="J2694">
        <v>0.116842340441974</v>
      </c>
      <c r="K2694">
        <v>8.7462356097442906E-2</v>
      </c>
      <c r="L2694">
        <v>1317.1990968305399</v>
      </c>
      <c r="M2694">
        <v>23.158396850899599</v>
      </c>
      <c r="N2694">
        <v>57.425428871033802</v>
      </c>
      <c r="O2694">
        <v>56.458809826032898</v>
      </c>
      <c r="P2694">
        <v>-9.2387318083305803E-2</v>
      </c>
      <c r="Q2694">
        <v>9.90771294507405E-2</v>
      </c>
      <c r="R2694">
        <v>0.98236101457032099</v>
      </c>
      <c r="S2694" t="s">
        <v>8979</v>
      </c>
      <c r="T2694" t="s">
        <v>12568</v>
      </c>
      <c r="U2694" t="s">
        <v>12568</v>
      </c>
      <c r="V2694" t="s">
        <v>12568</v>
      </c>
      <c r="W2694" t="s">
        <v>15227</v>
      </c>
      <c r="X2694">
        <v>9</v>
      </c>
      <c r="Y2694" t="s">
        <v>21392</v>
      </c>
      <c r="Z2694" t="s">
        <v>27564</v>
      </c>
      <c r="AA2694">
        <v>0.61506715260935196</v>
      </c>
      <c r="AB2694" t="str">
        <f>HYPERLINK("Melting_Curves/meltCurve_Q01085_2_TIAL1.pdf", "Melting_Curves/meltCurve_Q01085_2_TIAL1.pdf")</f>
        <v>Melting_Curves/meltCurve_Q01085_2_TIAL1.pdf</v>
      </c>
    </row>
    <row r="2695" spans="1:28" x14ac:dyDescent="0.25">
      <c r="A2695" t="s">
        <v>2699</v>
      </c>
      <c r="B2695">
        <v>0.99352677808782597</v>
      </c>
      <c r="C2695">
        <v>0.99136916269461095</v>
      </c>
      <c r="D2695">
        <v>0.96886770984440895</v>
      </c>
      <c r="E2695">
        <v>0.94117053881619805</v>
      </c>
      <c r="F2695">
        <v>0.85435445341401095</v>
      </c>
      <c r="G2695">
        <v>0.81884440408464998</v>
      </c>
      <c r="H2695">
        <v>0.85226863202442205</v>
      </c>
      <c r="I2695">
        <v>0.962710160002753</v>
      </c>
      <c r="J2695">
        <v>1.04469469765476</v>
      </c>
      <c r="K2695">
        <v>0.857921611230131</v>
      </c>
      <c r="L2695">
        <v>1564.03480054531</v>
      </c>
      <c r="M2695">
        <v>32.914795656882198</v>
      </c>
      <c r="O2695">
        <v>47.343312488764603</v>
      </c>
      <c r="P2695">
        <v>-1.7170376975499901E-2</v>
      </c>
      <c r="Q2695">
        <v>0.90121173835448898</v>
      </c>
      <c r="R2695">
        <v>0.26965517477471401</v>
      </c>
      <c r="S2695" t="s">
        <v>8980</v>
      </c>
      <c r="T2695" t="s">
        <v>12568</v>
      </c>
      <c r="U2695" t="s">
        <v>12568</v>
      </c>
      <c r="V2695" t="s">
        <v>12568</v>
      </c>
      <c r="W2695" t="s">
        <v>15228</v>
      </c>
      <c r="X2695">
        <v>22</v>
      </c>
      <c r="Y2695" t="s">
        <v>21393</v>
      </c>
      <c r="Z2695" t="s">
        <v>27565</v>
      </c>
      <c r="AA2695">
        <v>0.92645473371947773</v>
      </c>
      <c r="AB2695" t="str">
        <f>HYPERLINK("Melting_Curves/meltCurve_Q01105_SET.pdf", "Melting_Curves/meltCurve_Q01105_SET.pdf")</f>
        <v>Melting_Curves/meltCurve_Q01105_SET.pdf</v>
      </c>
    </row>
    <row r="2696" spans="1:28" x14ac:dyDescent="0.25">
      <c r="A2696" t="s">
        <v>2700</v>
      </c>
      <c r="B2696">
        <v>0.99352677808782597</v>
      </c>
      <c r="C2696">
        <v>0.83627145437287898</v>
      </c>
      <c r="D2696">
        <v>0.72508431401719198</v>
      </c>
      <c r="E2696">
        <v>0.772635889524669</v>
      </c>
      <c r="F2696">
        <v>0.79962557989358696</v>
      </c>
      <c r="G2696">
        <v>0.69785872522735504</v>
      </c>
      <c r="H2696">
        <v>0.72472980958932898</v>
      </c>
      <c r="I2696">
        <v>0.66634305379062997</v>
      </c>
      <c r="J2696">
        <v>0.71803889320626402</v>
      </c>
      <c r="K2696">
        <v>0.59266158949288394</v>
      </c>
      <c r="L2696">
        <v>409.224692418904</v>
      </c>
      <c r="M2696">
        <v>9.1096821095696896</v>
      </c>
      <c r="O2696">
        <v>42.915954495441603</v>
      </c>
      <c r="P2696">
        <v>-1.7999868562933001E-2</v>
      </c>
      <c r="Q2696">
        <v>0.66104353702069396</v>
      </c>
      <c r="R2696">
        <v>0.72293725593809299</v>
      </c>
      <c r="S2696" t="s">
        <v>8981</v>
      </c>
      <c r="T2696" t="s">
        <v>12568</v>
      </c>
      <c r="U2696" t="s">
        <v>12568</v>
      </c>
      <c r="V2696" t="s">
        <v>12568</v>
      </c>
      <c r="W2696" t="s">
        <v>15229</v>
      </c>
      <c r="X2696">
        <v>21</v>
      </c>
      <c r="Y2696" t="s">
        <v>21393</v>
      </c>
      <c r="Z2696" t="s">
        <v>27566</v>
      </c>
      <c r="AA2696">
        <v>0.74373976210559956</v>
      </c>
      <c r="AB2696" t="str">
        <f>HYPERLINK("Melting_Curves/meltCurve_Q01105_2_SET.pdf", "Melting_Curves/meltCurve_Q01105_2_SET.pdf")</f>
        <v>Melting_Curves/meltCurve_Q01105_2_SET.pdf</v>
      </c>
    </row>
    <row r="2697" spans="1:28" x14ac:dyDescent="0.25">
      <c r="A2697" t="s">
        <v>2701</v>
      </c>
      <c r="B2697">
        <v>0.99352677808782597</v>
      </c>
      <c r="C2697">
        <v>0.87592847762934201</v>
      </c>
      <c r="D2697">
        <v>0.87847531732582196</v>
      </c>
      <c r="E2697">
        <v>0.654651574302762</v>
      </c>
      <c r="F2697">
        <v>0.60426900560372099</v>
      </c>
      <c r="G2697">
        <v>0.47406227533622503</v>
      </c>
      <c r="H2697">
        <v>0.38282242968864</v>
      </c>
      <c r="I2697">
        <v>0.398197116153093</v>
      </c>
      <c r="J2697">
        <v>0.391281530345507</v>
      </c>
      <c r="K2697">
        <v>0.34197969592323002</v>
      </c>
      <c r="L2697">
        <v>579.84700318821399</v>
      </c>
      <c r="M2697">
        <v>11.464749842387301</v>
      </c>
      <c r="N2697">
        <v>55.8238335811863</v>
      </c>
      <c r="O2697">
        <v>49.1111335924613</v>
      </c>
      <c r="P2697">
        <v>-3.9124672652826202E-2</v>
      </c>
      <c r="Q2697">
        <v>0.32980498239456202</v>
      </c>
      <c r="R2697">
        <v>0.98470406469795702</v>
      </c>
      <c r="S2697" t="s">
        <v>8982</v>
      </c>
      <c r="T2697" t="s">
        <v>12568</v>
      </c>
      <c r="U2697" t="s">
        <v>12568</v>
      </c>
      <c r="V2697" t="s">
        <v>12568</v>
      </c>
      <c r="W2697" t="s">
        <v>15230</v>
      </c>
      <c r="X2697">
        <v>8</v>
      </c>
      <c r="Y2697" t="s">
        <v>21394</v>
      </c>
      <c r="Z2697" t="s">
        <v>27567</v>
      </c>
      <c r="AA2697">
        <v>0.5900539124519959</v>
      </c>
      <c r="AB2697" t="str">
        <f>HYPERLINK("Melting_Curves/meltCurve_Q01167_FOXK2.pdf", "Melting_Curves/meltCurve_Q01167_FOXK2.pdf")</f>
        <v>Melting_Curves/meltCurve_Q01167_FOXK2.pdf</v>
      </c>
    </row>
    <row r="2698" spans="1:28" x14ac:dyDescent="0.25">
      <c r="A2698" t="s">
        <v>2702</v>
      </c>
      <c r="B2698">
        <v>0.99352677808782597</v>
      </c>
      <c r="C2698">
        <v>0.92770222736371699</v>
      </c>
      <c r="D2698">
        <v>0.80667463635594405</v>
      </c>
      <c r="E2698">
        <v>0.52127509927336102</v>
      </c>
      <c r="F2698">
        <v>0.43774662073868997</v>
      </c>
      <c r="G2698">
        <v>0.28278694716318598</v>
      </c>
      <c r="H2698">
        <v>0.25929757056567798</v>
      </c>
      <c r="I2698">
        <v>0.31128857602680599</v>
      </c>
      <c r="J2698">
        <v>0.20607883576064001</v>
      </c>
      <c r="K2698">
        <v>0.19064164098389599</v>
      </c>
      <c r="L2698">
        <v>766.361167416542</v>
      </c>
      <c r="M2698">
        <v>15.6239217831489</v>
      </c>
      <c r="N2698">
        <v>50.957807381220398</v>
      </c>
      <c r="O2698">
        <v>48.268027368164603</v>
      </c>
      <c r="P2698">
        <v>-6.3012830967408798E-2</v>
      </c>
      <c r="Q2698">
        <v>0.221388010942696</v>
      </c>
      <c r="R2698">
        <v>0.98846305161267201</v>
      </c>
      <c r="S2698" t="s">
        <v>8983</v>
      </c>
      <c r="T2698" t="s">
        <v>12568</v>
      </c>
      <c r="U2698" t="s">
        <v>12568</v>
      </c>
      <c r="V2698" t="s">
        <v>12568</v>
      </c>
      <c r="W2698" t="s">
        <v>15231</v>
      </c>
      <c r="X2698">
        <v>1</v>
      </c>
      <c r="Y2698" t="s">
        <v>21395</v>
      </c>
      <c r="Z2698" t="s">
        <v>27568</v>
      </c>
      <c r="AA2698">
        <v>0.4740402479358129</v>
      </c>
      <c r="AB2698" t="str">
        <f>HYPERLINK("Melting_Curves/meltCurve_Q01432_AMPD3.pdf", "Melting_Curves/meltCurve_Q01432_AMPD3.pdf")</f>
        <v>Melting_Curves/meltCurve_Q01432_AMPD3.pdf</v>
      </c>
    </row>
    <row r="2699" spans="1:28" x14ac:dyDescent="0.25">
      <c r="A2699" t="s">
        <v>2703</v>
      </c>
      <c r="B2699">
        <v>0.99352677808782597</v>
      </c>
      <c r="C2699">
        <v>1.05933906595025</v>
      </c>
      <c r="D2699">
        <v>0.88985977815929296</v>
      </c>
      <c r="E2699">
        <v>0.80399816570871296</v>
      </c>
      <c r="F2699">
        <v>0.69961364841819595</v>
      </c>
      <c r="G2699">
        <v>0.41886212799275802</v>
      </c>
      <c r="H2699">
        <v>0.22998573638571199</v>
      </c>
      <c r="I2699">
        <v>0.188723916109062</v>
      </c>
      <c r="J2699">
        <v>0.171705389373178</v>
      </c>
      <c r="K2699">
        <v>0.135330647615233</v>
      </c>
      <c r="L2699">
        <v>818.58502279176798</v>
      </c>
      <c r="M2699">
        <v>14.9450145842262</v>
      </c>
      <c r="N2699">
        <v>55.588494840816601</v>
      </c>
      <c r="O2699">
        <v>53.820493991408597</v>
      </c>
      <c r="P2699">
        <v>-6.2594333383111295E-2</v>
      </c>
      <c r="Q2699">
        <v>9.8424927740249302E-2</v>
      </c>
      <c r="R2699">
        <v>0.98986302797647996</v>
      </c>
      <c r="S2699" t="s">
        <v>8984</v>
      </c>
      <c r="T2699" t="s">
        <v>12568</v>
      </c>
      <c r="U2699" t="s">
        <v>12568</v>
      </c>
      <c r="V2699" t="s">
        <v>12568</v>
      </c>
      <c r="W2699" t="s">
        <v>15232</v>
      </c>
      <c r="X2699">
        <v>21</v>
      </c>
      <c r="Y2699" t="s">
        <v>21396</v>
      </c>
      <c r="Z2699" t="s">
        <v>27569</v>
      </c>
      <c r="AA2699">
        <v>0.56012481765065791</v>
      </c>
      <c r="AB2699" t="str">
        <f>HYPERLINK("Melting_Curves/meltCurve_Q01433_AMPD2.pdf", "Melting_Curves/meltCurve_Q01433_AMPD2.pdf")</f>
        <v>Melting_Curves/meltCurve_Q01433_AMPD2.pdf</v>
      </c>
    </row>
    <row r="2700" spans="1:28" x14ac:dyDescent="0.25">
      <c r="A2700" t="s">
        <v>2704</v>
      </c>
      <c r="B2700">
        <v>0.99352677808782597</v>
      </c>
      <c r="C2700">
        <v>0.98427220069801902</v>
      </c>
      <c r="D2700">
        <v>0.96266365362401796</v>
      </c>
      <c r="E2700">
        <v>0.68039443657285104</v>
      </c>
      <c r="F2700">
        <v>0.57486579055251197</v>
      </c>
      <c r="G2700">
        <v>0.26354193593934</v>
      </c>
      <c r="H2700">
        <v>0.174734693096112</v>
      </c>
      <c r="I2700">
        <v>0.1458134568975</v>
      </c>
      <c r="J2700">
        <v>0.12798259136225301</v>
      </c>
      <c r="K2700">
        <v>7.1598605054867495E-2</v>
      </c>
      <c r="L2700">
        <v>859.14208886926997</v>
      </c>
      <c r="M2700">
        <v>16.275433606410601</v>
      </c>
      <c r="N2700">
        <v>53.363415578952001</v>
      </c>
      <c r="O2700">
        <v>52.0100480678555</v>
      </c>
      <c r="P2700">
        <v>-7.1937936687780701E-2</v>
      </c>
      <c r="Q2700">
        <v>8.0523405232177395E-2</v>
      </c>
      <c r="R2700">
        <v>0.99315131912576105</v>
      </c>
      <c r="S2700" t="s">
        <v>8985</v>
      </c>
      <c r="T2700" t="s">
        <v>12568</v>
      </c>
      <c r="U2700" t="s">
        <v>12568</v>
      </c>
      <c r="V2700" t="s">
        <v>12568</v>
      </c>
      <c r="W2700" t="s">
        <v>15233</v>
      </c>
      <c r="X2700">
        <v>2</v>
      </c>
      <c r="Y2700" t="s">
        <v>21397</v>
      </c>
      <c r="Z2700" t="s">
        <v>27570</v>
      </c>
      <c r="AA2700">
        <v>0.4901600240086495</v>
      </c>
      <c r="AB2700" t="str">
        <f>HYPERLINK("Melting_Curves/meltCurve_Q01459_CTBS.pdf", "Melting_Curves/meltCurve_Q01459_CTBS.pdf")</f>
        <v>Melting_Curves/meltCurve_Q01459_CTBS.pdf</v>
      </c>
    </row>
    <row r="2701" spans="1:28" x14ac:dyDescent="0.25">
      <c r="A2701" t="s">
        <v>2705</v>
      </c>
      <c r="B2701">
        <v>0.99352677808782597</v>
      </c>
      <c r="C2701">
        <v>0.96937562649784403</v>
      </c>
      <c r="D2701">
        <v>1.0189611770848199</v>
      </c>
      <c r="E2701">
        <v>0.98550465875287896</v>
      </c>
      <c r="F2701">
        <v>0.93067377466600398</v>
      </c>
      <c r="G2701">
        <v>0.93384249994511204</v>
      </c>
      <c r="H2701">
        <v>0.74975204454336097</v>
      </c>
      <c r="I2701">
        <v>0.68363055261491901</v>
      </c>
      <c r="J2701">
        <v>0.64564030278901496</v>
      </c>
      <c r="K2701">
        <v>0.50186703523343901</v>
      </c>
      <c r="L2701">
        <v>726.34783698974002</v>
      </c>
      <c r="M2701">
        <v>11.0040354928095</v>
      </c>
      <c r="O2701">
        <v>63.939860050867502</v>
      </c>
      <c r="P2701">
        <v>-3.1615725454217002E-2</v>
      </c>
      <c r="Q2701">
        <v>0.26542432630951401</v>
      </c>
      <c r="R2701">
        <v>0.97364339505926301</v>
      </c>
      <c r="S2701" t="s">
        <v>8986</v>
      </c>
      <c r="T2701" t="s">
        <v>12568</v>
      </c>
      <c r="U2701" t="s">
        <v>12568</v>
      </c>
      <c r="V2701" t="s">
        <v>12568</v>
      </c>
      <c r="W2701" t="s">
        <v>13306</v>
      </c>
      <c r="X2701">
        <v>22</v>
      </c>
      <c r="Y2701" t="s">
        <v>19531</v>
      </c>
      <c r="Z2701" t="s">
        <v>27571</v>
      </c>
      <c r="AA2701">
        <v>0.85878935541238277</v>
      </c>
      <c r="AB2701" t="str">
        <f>HYPERLINK("Melting_Curves/meltCurve_Q01469_FABP5.pdf", "Melting_Curves/meltCurve_Q01469_FABP5.pdf")</f>
        <v>Melting_Curves/meltCurve_Q01469_FABP5.pdf</v>
      </c>
    </row>
    <row r="2702" spans="1:28" x14ac:dyDescent="0.25">
      <c r="A2702" t="s">
        <v>2706</v>
      </c>
      <c r="B2702">
        <v>0.99352677808782597</v>
      </c>
      <c r="C2702">
        <v>1.01915919767452</v>
      </c>
      <c r="D2702">
        <v>0.89124469119437</v>
      </c>
      <c r="E2702">
        <v>0.87750724277977898</v>
      </c>
      <c r="F2702">
        <v>0.75368619165145101</v>
      </c>
      <c r="G2702">
        <v>0.233517224971967</v>
      </c>
      <c r="H2702">
        <v>0.125388972719921</v>
      </c>
      <c r="I2702">
        <v>0.104158196012564</v>
      </c>
      <c r="J2702">
        <v>8.44464608432514E-2</v>
      </c>
      <c r="K2702">
        <v>6.4785406266919102E-2</v>
      </c>
      <c r="L2702">
        <v>1614.13171672984</v>
      </c>
      <c r="M2702">
        <v>29.6681704508071</v>
      </c>
      <c r="N2702">
        <v>54.715485253416603</v>
      </c>
      <c r="O2702">
        <v>54.160789248640597</v>
      </c>
      <c r="P2702">
        <v>-0.126373195055384</v>
      </c>
      <c r="Q2702">
        <v>7.7202919617331403E-2</v>
      </c>
      <c r="R2702">
        <v>0.98846475630146402</v>
      </c>
      <c r="S2702" t="s">
        <v>8987</v>
      </c>
      <c r="T2702" t="s">
        <v>12568</v>
      </c>
      <c r="U2702" t="s">
        <v>12568</v>
      </c>
      <c r="V2702" t="s">
        <v>12568</v>
      </c>
      <c r="W2702" t="s">
        <v>15234</v>
      </c>
      <c r="X2702">
        <v>29</v>
      </c>
      <c r="Y2702" t="s">
        <v>21398</v>
      </c>
      <c r="Z2702" t="s">
        <v>27572</v>
      </c>
      <c r="AA2702">
        <v>0.52655469699164914</v>
      </c>
      <c r="AB2702" t="str">
        <f>HYPERLINK("Melting_Curves/meltCurve_Q01518_2_CAP1.pdf", "Melting_Curves/meltCurve_Q01518_2_CAP1.pdf")</f>
        <v>Melting_Curves/meltCurve_Q01518_2_CAP1.pdf</v>
      </c>
    </row>
    <row r="2703" spans="1:28" x14ac:dyDescent="0.25">
      <c r="A2703" t="s">
        <v>2707</v>
      </c>
      <c r="B2703">
        <v>0.99352677808782597</v>
      </c>
      <c r="C2703">
        <v>0.99781584408174195</v>
      </c>
      <c r="D2703">
        <v>0.85317455697697697</v>
      </c>
      <c r="E2703">
        <v>0.66353112186521701</v>
      </c>
      <c r="F2703">
        <v>0.526543238038782</v>
      </c>
      <c r="G2703">
        <v>0.25069064547556302</v>
      </c>
      <c r="H2703">
        <v>0.120425468152313</v>
      </c>
      <c r="I2703">
        <v>0.11163008935997</v>
      </c>
      <c r="J2703">
        <v>8.71127305035935E-2</v>
      </c>
      <c r="K2703">
        <v>6.3317983699710895E-2</v>
      </c>
      <c r="L2703">
        <v>748.75235533456896</v>
      </c>
      <c r="M2703">
        <v>14.2684547203958</v>
      </c>
      <c r="N2703">
        <v>52.731066278628802</v>
      </c>
      <c r="O2703">
        <v>51.4775814299269</v>
      </c>
      <c r="P2703">
        <v>-6.6992670778903501E-2</v>
      </c>
      <c r="Q2703">
        <v>3.33369459517244E-2</v>
      </c>
      <c r="R2703">
        <v>0.99554789193889903</v>
      </c>
      <c r="S2703" t="s">
        <v>8988</v>
      </c>
      <c r="T2703" t="s">
        <v>12568</v>
      </c>
      <c r="U2703" t="s">
        <v>12568</v>
      </c>
      <c r="V2703" t="s">
        <v>12568</v>
      </c>
      <c r="W2703" t="s">
        <v>15235</v>
      </c>
      <c r="X2703">
        <v>17</v>
      </c>
      <c r="Y2703" t="s">
        <v>21399</v>
      </c>
      <c r="Z2703" t="s">
        <v>27573</v>
      </c>
      <c r="AA2703">
        <v>0.45816480683432592</v>
      </c>
      <c r="AB2703" t="str">
        <f>HYPERLINK("Melting_Curves/meltCurve_Q01581_HMGCS1.pdf", "Melting_Curves/meltCurve_Q01581_HMGCS1.pdf")</f>
        <v>Melting_Curves/meltCurve_Q01581_HMGCS1.pdf</v>
      </c>
    </row>
    <row r="2704" spans="1:28" x14ac:dyDescent="0.25">
      <c r="A2704" t="s">
        <v>2708</v>
      </c>
      <c r="B2704">
        <v>0.99352677808782597</v>
      </c>
      <c r="C2704">
        <v>0.921442643512697</v>
      </c>
      <c r="D2704">
        <v>0.89151655123566498</v>
      </c>
      <c r="E2704">
        <v>1.7434707350927099</v>
      </c>
      <c r="F2704">
        <v>1.6682993481947099</v>
      </c>
      <c r="G2704">
        <v>1.8160866402240501</v>
      </c>
      <c r="H2704">
        <v>1.58980582282502</v>
      </c>
      <c r="I2704">
        <v>1.83130666122212</v>
      </c>
      <c r="J2704">
        <v>1.7317032565645101</v>
      </c>
      <c r="K2704">
        <v>1.6853520171519101</v>
      </c>
      <c r="L2704">
        <v>11961.769908123901</v>
      </c>
      <c r="M2704">
        <v>250</v>
      </c>
      <c r="O2704">
        <v>47.844017781726897</v>
      </c>
      <c r="P2704">
        <v>0.65316420975694001</v>
      </c>
      <c r="Q2704">
        <v>1.5</v>
      </c>
      <c r="R2704">
        <v>0.69600989211616404</v>
      </c>
      <c r="S2704" t="s">
        <v>8989</v>
      </c>
      <c r="T2704" t="s">
        <v>12568</v>
      </c>
      <c r="U2704" t="s">
        <v>12568</v>
      </c>
      <c r="V2704" t="s">
        <v>12568</v>
      </c>
      <c r="W2704" t="s">
        <v>15236</v>
      </c>
      <c r="X2704">
        <v>4</v>
      </c>
      <c r="Y2704" t="s">
        <v>21400</v>
      </c>
      <c r="Z2704" t="s">
        <v>27574</v>
      </c>
      <c r="AA2704">
        <v>1.369173354018361</v>
      </c>
      <c r="AB2704" t="str">
        <f>HYPERLINK("Melting_Curves/meltCurve_Q01650_SLC7A5.pdf", "Melting_Curves/meltCurve_Q01650_SLC7A5.pdf")</f>
        <v>Melting_Curves/meltCurve_Q01650_SLC7A5.pdf</v>
      </c>
    </row>
    <row r="2705" spans="1:28" x14ac:dyDescent="0.25">
      <c r="A2705" t="s">
        <v>2709</v>
      </c>
      <c r="B2705">
        <v>0.99352677808782597</v>
      </c>
      <c r="C2705">
        <v>0.94995410948822001</v>
      </c>
      <c r="D2705">
        <v>1.01942156633659</v>
      </c>
      <c r="E2705">
        <v>0.96056756853060998</v>
      </c>
      <c r="F2705">
        <v>0.925644403041332</v>
      </c>
      <c r="G2705">
        <v>0.85814467669819805</v>
      </c>
      <c r="H2705">
        <v>0.66139564706241805</v>
      </c>
      <c r="I2705">
        <v>0.67192539457710598</v>
      </c>
      <c r="J2705">
        <v>0.62495958445870403</v>
      </c>
      <c r="K2705">
        <v>0.58472911902923697</v>
      </c>
      <c r="L2705">
        <v>1027.53606544186</v>
      </c>
      <c r="M2705">
        <v>17.658894430539299</v>
      </c>
      <c r="O2705">
        <v>57.4572126543789</v>
      </c>
      <c r="P2705">
        <v>-3.2600012638439903E-2</v>
      </c>
      <c r="Q2705">
        <v>0.57573656245341298</v>
      </c>
      <c r="R2705">
        <v>0.97186037261515501</v>
      </c>
      <c r="S2705" t="s">
        <v>8990</v>
      </c>
      <c r="T2705" t="s">
        <v>12568</v>
      </c>
      <c r="U2705" t="s">
        <v>12568</v>
      </c>
      <c r="V2705" t="s">
        <v>12568</v>
      </c>
      <c r="W2705" t="s">
        <v>15237</v>
      </c>
      <c r="X2705">
        <v>6</v>
      </c>
      <c r="Y2705" t="s">
        <v>21401</v>
      </c>
      <c r="Z2705" t="s">
        <v>27575</v>
      </c>
      <c r="AA2705">
        <v>0.83813523847566362</v>
      </c>
      <c r="AB2705" t="str">
        <f>HYPERLINK("Melting_Curves/meltCurve_Q01658_DR1.pdf", "Melting_Curves/meltCurve_Q01658_DR1.pdf")</f>
        <v>Melting_Curves/meltCurve_Q01658_DR1.pdf</v>
      </c>
    </row>
    <row r="2706" spans="1:28" x14ac:dyDescent="0.25">
      <c r="A2706" t="s">
        <v>2710</v>
      </c>
      <c r="B2706">
        <v>0.99352677808782597</v>
      </c>
      <c r="C2706">
        <v>0.80803158727465696</v>
      </c>
      <c r="D2706">
        <v>0.81220389882529398</v>
      </c>
      <c r="E2706">
        <v>0.78464104757945397</v>
      </c>
      <c r="F2706">
        <v>0.78639779864623405</v>
      </c>
      <c r="G2706">
        <v>0.62500392912913205</v>
      </c>
      <c r="H2706">
        <v>0.49481813519253998</v>
      </c>
      <c r="I2706">
        <v>0.50350812996654504</v>
      </c>
      <c r="J2706">
        <v>0.55747772319409195</v>
      </c>
      <c r="K2706">
        <v>0.54949112383860599</v>
      </c>
      <c r="L2706">
        <v>349.89618105823502</v>
      </c>
      <c r="M2706">
        <v>6.6574531018626502</v>
      </c>
      <c r="O2706">
        <v>48.422872241091099</v>
      </c>
      <c r="P2706">
        <v>-2.0203120690940601E-2</v>
      </c>
      <c r="Q2706">
        <v>0.41351767496407899</v>
      </c>
      <c r="R2706">
        <v>0.87381682453597198</v>
      </c>
      <c r="S2706" t="s">
        <v>8991</v>
      </c>
      <c r="T2706" t="s">
        <v>12568</v>
      </c>
      <c r="U2706" t="s">
        <v>12568</v>
      </c>
      <c r="V2706" t="s">
        <v>12568</v>
      </c>
      <c r="W2706" t="s">
        <v>13299</v>
      </c>
      <c r="X2706">
        <v>1</v>
      </c>
      <c r="Y2706" t="s">
        <v>19524</v>
      </c>
      <c r="Z2706" t="s">
        <v>27576</v>
      </c>
      <c r="AA2706">
        <v>0.68794472565180143</v>
      </c>
      <c r="AB2706" t="str">
        <f>HYPERLINK("Melting_Curves/meltCurve_Q01664_TFAP4.pdf", "Melting_Curves/meltCurve_Q01664_TFAP4.pdf")</f>
        <v>Melting_Curves/meltCurve_Q01664_TFAP4.pdf</v>
      </c>
    </row>
    <row r="2707" spans="1:28" x14ac:dyDescent="0.25">
      <c r="A2707" t="s">
        <v>2711</v>
      </c>
      <c r="B2707">
        <v>0.99352677808782597</v>
      </c>
      <c r="C2707">
        <v>0.91845161467805203</v>
      </c>
      <c r="D2707">
        <v>0.966419964208868</v>
      </c>
      <c r="E2707">
        <v>0.52375115606670197</v>
      </c>
      <c r="F2707">
        <v>0.60754761969656601</v>
      </c>
      <c r="G2707">
        <v>0.27075574227010502</v>
      </c>
      <c r="H2707">
        <v>0.19094433578579301</v>
      </c>
      <c r="I2707">
        <v>0.21560269595270501</v>
      </c>
      <c r="J2707">
        <v>0.143744622469197</v>
      </c>
      <c r="K2707">
        <v>9.4532879455589497E-2</v>
      </c>
      <c r="L2707">
        <v>689.63289200427198</v>
      </c>
      <c r="M2707">
        <v>13.255177988656399</v>
      </c>
      <c r="N2707">
        <v>52.872033453759201</v>
      </c>
      <c r="O2707">
        <v>50.886036884703799</v>
      </c>
      <c r="P2707">
        <v>-5.89179997587451E-2</v>
      </c>
      <c r="Q2707">
        <v>9.5413870507525797E-2</v>
      </c>
      <c r="R2707">
        <v>0.95691573972796995</v>
      </c>
      <c r="S2707" t="s">
        <v>8992</v>
      </c>
      <c r="T2707" t="s">
        <v>12568</v>
      </c>
      <c r="U2707" t="s">
        <v>12568</v>
      </c>
      <c r="V2707" t="s">
        <v>12568</v>
      </c>
      <c r="W2707" t="s">
        <v>15238</v>
      </c>
      <c r="X2707">
        <v>5</v>
      </c>
      <c r="Y2707" t="s">
        <v>21402</v>
      </c>
      <c r="Z2707" t="s">
        <v>27577</v>
      </c>
      <c r="AA2707">
        <v>0.48227149582953949</v>
      </c>
      <c r="AB2707" t="str">
        <f>HYPERLINK("Melting_Curves/meltCurve_Q01780_2_EXOSC10.pdf", "Melting_Curves/meltCurve_Q01780_2_EXOSC10.pdf")</f>
        <v>Melting_Curves/meltCurve_Q01780_2_EXOSC10.pdf</v>
      </c>
    </row>
    <row r="2708" spans="1:28" x14ac:dyDescent="0.25">
      <c r="A2708" t="s">
        <v>2712</v>
      </c>
      <c r="B2708">
        <v>0.99352677808782597</v>
      </c>
      <c r="C2708">
        <v>0.97312100517552702</v>
      </c>
      <c r="D2708">
        <v>0.91319536470658702</v>
      </c>
      <c r="E2708">
        <v>0.538825599819444</v>
      </c>
      <c r="F2708">
        <v>0.62558499237748599</v>
      </c>
      <c r="G2708">
        <v>0.44252727761900301</v>
      </c>
      <c r="H2708">
        <v>0.31169331264247202</v>
      </c>
      <c r="I2708">
        <v>0.32756943178384301</v>
      </c>
      <c r="J2708">
        <v>0.29938457842772398</v>
      </c>
      <c r="K2708">
        <v>0.238467253660508</v>
      </c>
      <c r="L2708">
        <v>641.22324498277897</v>
      </c>
      <c r="M2708">
        <v>12.5240647642254</v>
      </c>
      <c r="N2708">
        <v>54.1860706547956</v>
      </c>
      <c r="O2708">
        <v>49.946534424743497</v>
      </c>
      <c r="P2708">
        <v>-4.7069241496349799E-2</v>
      </c>
      <c r="Q2708">
        <v>0.249296299803347</v>
      </c>
      <c r="R2708">
        <v>0.95574760428601901</v>
      </c>
      <c r="S2708" t="s">
        <v>8993</v>
      </c>
      <c r="T2708" t="s">
        <v>12568</v>
      </c>
      <c r="U2708" t="s">
        <v>12568</v>
      </c>
      <c r="V2708" t="s">
        <v>12568</v>
      </c>
      <c r="W2708" t="s">
        <v>15239</v>
      </c>
      <c r="X2708">
        <v>10</v>
      </c>
      <c r="Y2708" t="s">
        <v>21403</v>
      </c>
      <c r="Z2708" t="s">
        <v>27578</v>
      </c>
      <c r="AA2708">
        <v>0.55229785043588542</v>
      </c>
      <c r="AB2708" t="str">
        <f>HYPERLINK("Melting_Curves/meltCurve_Q01804_OTUD4.pdf", "Melting_Curves/meltCurve_Q01804_OTUD4.pdf")</f>
        <v>Melting_Curves/meltCurve_Q01804_OTUD4.pdf</v>
      </c>
    </row>
    <row r="2709" spans="1:28" x14ac:dyDescent="0.25">
      <c r="A2709" t="s">
        <v>2713</v>
      </c>
      <c r="B2709">
        <v>0.99352677808782597</v>
      </c>
      <c r="C2709">
        <v>0.730321510424359</v>
      </c>
      <c r="D2709">
        <v>0.61108907696519499</v>
      </c>
      <c r="E2709">
        <v>0.51492235134883602</v>
      </c>
      <c r="F2709">
        <v>0.41508993352648199</v>
      </c>
      <c r="G2709">
        <v>0.36638377836937303</v>
      </c>
      <c r="H2709">
        <v>0.37972390896705999</v>
      </c>
      <c r="I2709">
        <v>0.25080259095423502</v>
      </c>
      <c r="J2709">
        <v>0.100553690006385</v>
      </c>
      <c r="K2709">
        <v>5.3356702595354702E-2</v>
      </c>
      <c r="L2709">
        <v>341.77110435239098</v>
      </c>
      <c r="M2709">
        <v>6.6930161574896099</v>
      </c>
      <c r="N2709">
        <v>51.063838080734101</v>
      </c>
      <c r="O2709">
        <v>47.084365034334503</v>
      </c>
      <c r="P2709">
        <v>-3.5614970712137699E-2</v>
      </c>
      <c r="Q2709">
        <v>0</v>
      </c>
      <c r="R2709">
        <v>0.92319533114471797</v>
      </c>
      <c r="S2709" t="s">
        <v>8994</v>
      </c>
      <c r="T2709" t="s">
        <v>12568</v>
      </c>
      <c r="U2709" t="s">
        <v>12568</v>
      </c>
      <c r="V2709" t="s">
        <v>12568</v>
      </c>
      <c r="W2709" t="s">
        <v>15240</v>
      </c>
      <c r="X2709">
        <v>45</v>
      </c>
      <c r="Y2709" t="s">
        <v>21404</v>
      </c>
      <c r="Z2709" t="s">
        <v>27579</v>
      </c>
      <c r="AA2709">
        <v>0.43111862083838182</v>
      </c>
      <c r="AB2709" t="str">
        <f>HYPERLINK("Melting_Curves/meltCurve_Q01813_PFKP.pdf", "Melting_Curves/meltCurve_Q01813_PFKP.pdf")</f>
        <v>Melting_Curves/meltCurve_Q01813_PFKP.pdf</v>
      </c>
    </row>
    <row r="2710" spans="1:28" x14ac:dyDescent="0.25">
      <c r="A2710" t="s">
        <v>2714</v>
      </c>
      <c r="B2710">
        <v>0.99352677808782597</v>
      </c>
      <c r="C2710">
        <v>0.989505868562505</v>
      </c>
      <c r="D2710">
        <v>1.0096592837445</v>
      </c>
      <c r="E2710">
        <v>1.0470045676422399</v>
      </c>
      <c r="F2710">
        <v>0.93381423297458199</v>
      </c>
      <c r="G2710">
        <v>0.82501902887349299</v>
      </c>
      <c r="H2710">
        <v>0.81978082394304796</v>
      </c>
      <c r="I2710">
        <v>0.84058703639318699</v>
      </c>
      <c r="J2710">
        <v>1.0119286804923899</v>
      </c>
      <c r="K2710">
        <v>0.72676226753323303</v>
      </c>
      <c r="L2710">
        <v>13265.696326277601</v>
      </c>
      <c r="M2710">
        <v>250</v>
      </c>
      <c r="O2710">
        <v>53.059408434038197</v>
      </c>
      <c r="P2710">
        <v>-0.18279567948691799</v>
      </c>
      <c r="Q2710">
        <v>0.84481556496293997</v>
      </c>
      <c r="R2710">
        <v>0.57115423953699895</v>
      </c>
      <c r="S2710" t="s">
        <v>8995</v>
      </c>
      <c r="T2710" t="s">
        <v>12568</v>
      </c>
      <c r="U2710" t="s">
        <v>12568</v>
      </c>
      <c r="V2710" t="s">
        <v>12568</v>
      </c>
      <c r="W2710" t="s">
        <v>15241</v>
      </c>
      <c r="X2710">
        <v>7</v>
      </c>
      <c r="Y2710" t="s">
        <v>21405</v>
      </c>
      <c r="Z2710" t="s">
        <v>27580</v>
      </c>
      <c r="AA2710">
        <v>0.91240138166730156</v>
      </c>
      <c r="AB2710" t="str">
        <f>HYPERLINK("Melting_Curves/meltCurve_Q01844_6_EWSR1.pdf", "Melting_Curves/meltCurve_Q01844_6_EWSR1.pdf")</f>
        <v>Melting_Curves/meltCurve_Q01844_6_EWSR1.pdf</v>
      </c>
    </row>
    <row r="2711" spans="1:28" x14ac:dyDescent="0.25">
      <c r="A2711" t="s">
        <v>2715</v>
      </c>
      <c r="B2711">
        <v>0.99352677808782597</v>
      </c>
      <c r="C2711">
        <v>1.0322415059322101</v>
      </c>
      <c r="D2711">
        <v>0.934918445238205</v>
      </c>
      <c r="E2711">
        <v>0.81077459338499602</v>
      </c>
      <c r="F2711">
        <v>0.70340503362329199</v>
      </c>
      <c r="G2711">
        <v>0.54187646823059199</v>
      </c>
      <c r="H2711">
        <v>0.48172244422548099</v>
      </c>
      <c r="I2711">
        <v>0.46883819276913602</v>
      </c>
      <c r="J2711">
        <v>0.52952919367092399</v>
      </c>
      <c r="K2711">
        <v>0.43370831782627101</v>
      </c>
      <c r="L2711">
        <v>936.75251603987897</v>
      </c>
      <c r="M2711">
        <v>18.0327060451446</v>
      </c>
      <c r="N2711">
        <v>60.583327244802398</v>
      </c>
      <c r="O2711">
        <v>51.3212391214972</v>
      </c>
      <c r="P2711">
        <v>-4.7283383638799602E-2</v>
      </c>
      <c r="Q2711">
        <v>0.46175093084823299</v>
      </c>
      <c r="R2711">
        <v>0.98418619085060699</v>
      </c>
      <c r="S2711" t="s">
        <v>8996</v>
      </c>
      <c r="T2711" t="s">
        <v>12568</v>
      </c>
      <c r="U2711" t="s">
        <v>12568</v>
      </c>
      <c r="V2711" t="s">
        <v>12568</v>
      </c>
      <c r="W2711" t="s">
        <v>15242</v>
      </c>
      <c r="X2711">
        <v>5</v>
      </c>
      <c r="Y2711" t="s">
        <v>21406</v>
      </c>
      <c r="Z2711" t="s">
        <v>27581</v>
      </c>
      <c r="AA2711">
        <v>0.68504272185991621</v>
      </c>
      <c r="AB2711" t="str">
        <f>HYPERLINK("Melting_Curves/meltCurve_Q01850_CDR2.pdf", "Melting_Curves/meltCurve_Q01850_CDR2.pdf")</f>
        <v>Melting_Curves/meltCurve_Q01850_CDR2.pdf</v>
      </c>
    </row>
    <row r="2712" spans="1:28" x14ac:dyDescent="0.25">
      <c r="A2712" t="s">
        <v>2716</v>
      </c>
      <c r="B2712">
        <v>0.99352677808782597</v>
      </c>
      <c r="C2712">
        <v>0.96589070880525696</v>
      </c>
      <c r="D2712">
        <v>0.95708605670643598</v>
      </c>
      <c r="E2712">
        <v>0.46918460396157602</v>
      </c>
      <c r="F2712">
        <v>0.38907529749453501</v>
      </c>
      <c r="G2712">
        <v>0.28612357925026699</v>
      </c>
      <c r="H2712">
        <v>0.23300517575412899</v>
      </c>
      <c r="I2712">
        <v>0.25370461207918898</v>
      </c>
      <c r="J2712">
        <v>0.23708404702347399</v>
      </c>
      <c r="K2712">
        <v>0.20020540223403999</v>
      </c>
      <c r="L2712">
        <v>1474.8001614940099</v>
      </c>
      <c r="M2712">
        <v>30.0721275506925</v>
      </c>
      <c r="N2712">
        <v>50.176668704424998</v>
      </c>
      <c r="O2712">
        <v>48.826760961342103</v>
      </c>
      <c r="P2712">
        <v>-0.115991230425773</v>
      </c>
      <c r="Q2712">
        <v>0.246685885422991</v>
      </c>
      <c r="R2712">
        <v>0.98671204897859699</v>
      </c>
      <c r="S2712" t="s">
        <v>8997</v>
      </c>
      <c r="T2712" t="s">
        <v>12568</v>
      </c>
      <c r="U2712" t="s">
        <v>12568</v>
      </c>
      <c r="V2712" t="s">
        <v>12568</v>
      </c>
      <c r="W2712" t="s">
        <v>15243</v>
      </c>
      <c r="X2712">
        <v>22</v>
      </c>
      <c r="Y2712" t="s">
        <v>21407</v>
      </c>
      <c r="Z2712" t="s">
        <v>27582</v>
      </c>
      <c r="AA2712">
        <v>0.4783055587415499</v>
      </c>
      <c r="AB2712" t="str">
        <f>HYPERLINK("Melting_Curves/meltCurve_Q01968_2_OCRL.pdf", "Melting_Curves/meltCurve_Q01968_2_OCRL.pdf")</f>
        <v>Melting_Curves/meltCurve_Q01968_2_OCRL.pdf</v>
      </c>
    </row>
    <row r="2713" spans="1:28" x14ac:dyDescent="0.25">
      <c r="A2713" t="s">
        <v>2717</v>
      </c>
      <c r="B2713">
        <v>0.99352677808782597</v>
      </c>
      <c r="C2713">
        <v>1.0262578542033001</v>
      </c>
      <c r="D2713">
        <v>0.95793597970455402</v>
      </c>
      <c r="E2713">
        <v>0.59182538680807195</v>
      </c>
      <c r="F2713">
        <v>0.49008341184284498</v>
      </c>
      <c r="G2713">
        <v>0.20303386874121801</v>
      </c>
      <c r="H2713">
        <v>0.14423609199062501</v>
      </c>
      <c r="I2713">
        <v>0.13423430639787401</v>
      </c>
      <c r="J2713">
        <v>0.11635038640043099</v>
      </c>
      <c r="K2713">
        <v>8.9440469404181197E-2</v>
      </c>
      <c r="L2713">
        <v>960.81423743134496</v>
      </c>
      <c r="M2713">
        <v>18.683979209722899</v>
      </c>
      <c r="N2713">
        <v>52.042207724887099</v>
      </c>
      <c r="O2713">
        <v>50.846268957627402</v>
      </c>
      <c r="P2713">
        <v>-8.2732928200132103E-2</v>
      </c>
      <c r="Q2713">
        <v>9.9446311250062799E-2</v>
      </c>
      <c r="R2713">
        <v>0.98930416850105496</v>
      </c>
      <c r="S2713" t="s">
        <v>8998</v>
      </c>
      <c r="T2713" t="s">
        <v>12568</v>
      </c>
      <c r="U2713" t="s">
        <v>12568</v>
      </c>
      <c r="V2713" t="s">
        <v>12568</v>
      </c>
      <c r="W2713" t="s">
        <v>15244</v>
      </c>
      <c r="X2713">
        <v>20</v>
      </c>
      <c r="Y2713" t="s">
        <v>21408</v>
      </c>
      <c r="Z2713" t="s">
        <v>27583</v>
      </c>
      <c r="AA2713">
        <v>0.45652151953547432</v>
      </c>
      <c r="AB2713" t="str">
        <f>HYPERLINK("Melting_Curves/meltCurve_Q01970_PLCB3.pdf", "Melting_Curves/meltCurve_Q01970_PLCB3.pdf")</f>
        <v>Melting_Curves/meltCurve_Q01970_PLCB3.pdf</v>
      </c>
    </row>
    <row r="2714" spans="1:28" x14ac:dyDescent="0.25">
      <c r="A2714" t="s">
        <v>2718</v>
      </c>
      <c r="B2714">
        <v>0.99352677808782597</v>
      </c>
      <c r="C2714">
        <v>0.84596994704456197</v>
      </c>
      <c r="D2714">
        <v>0.78612100390661499</v>
      </c>
      <c r="E2714">
        <v>0.31373124477373798</v>
      </c>
      <c r="F2714">
        <v>0.25999643117278298</v>
      </c>
      <c r="G2714">
        <v>0.152042882298902</v>
      </c>
      <c r="H2714">
        <v>0.109431015300808</v>
      </c>
      <c r="I2714">
        <v>0.11410383476371</v>
      </c>
      <c r="J2714">
        <v>9.5945184629139396E-2</v>
      </c>
      <c r="K2714">
        <v>8.6484321038584902E-2</v>
      </c>
      <c r="L2714">
        <v>924.10338205851701</v>
      </c>
      <c r="M2714">
        <v>19.289459149473402</v>
      </c>
      <c r="N2714">
        <v>48.4615224150008</v>
      </c>
      <c r="O2714">
        <v>47.401204536661702</v>
      </c>
      <c r="P2714">
        <v>-9.1666462341299104E-2</v>
      </c>
      <c r="Q2714">
        <v>9.9002903398810099E-2</v>
      </c>
      <c r="R2714">
        <v>0.98671868980365296</v>
      </c>
      <c r="S2714" t="s">
        <v>8999</v>
      </c>
      <c r="T2714" t="s">
        <v>12568</v>
      </c>
      <c r="U2714" t="s">
        <v>12568</v>
      </c>
      <c r="V2714" t="s">
        <v>12568</v>
      </c>
      <c r="W2714" t="s">
        <v>15245</v>
      </c>
      <c r="X2714">
        <v>3</v>
      </c>
      <c r="Y2714" t="s">
        <v>21409</v>
      </c>
      <c r="Z2714" t="s">
        <v>27584</v>
      </c>
      <c r="AA2714">
        <v>0.35033567456946352</v>
      </c>
      <c r="AB2714" t="str">
        <f>HYPERLINK("Melting_Curves/meltCurve_Q01973_ROR1.pdf", "Melting_Curves/meltCurve_Q01973_ROR1.pdf")</f>
        <v>Melting_Curves/meltCurve_Q01973_ROR1.pdf</v>
      </c>
    </row>
    <row r="2715" spans="1:28" x14ac:dyDescent="0.25">
      <c r="A2715" t="s">
        <v>2719</v>
      </c>
      <c r="B2715">
        <v>0.99352677808782597</v>
      </c>
      <c r="C2715">
        <v>0.90374116373356606</v>
      </c>
      <c r="D2715">
        <v>1.02347499274554</v>
      </c>
      <c r="E2715">
        <v>0.72922328398285496</v>
      </c>
      <c r="F2715">
        <v>0.63627376143165404</v>
      </c>
      <c r="G2715">
        <v>0.39082475398880101</v>
      </c>
      <c r="H2715">
        <v>0.20675127598481199</v>
      </c>
      <c r="I2715">
        <v>0.155537990269808</v>
      </c>
      <c r="J2715">
        <v>0.12699958548073301</v>
      </c>
      <c r="K2715">
        <v>0.10287712822504599</v>
      </c>
      <c r="L2715">
        <v>774.44228660181398</v>
      </c>
      <c r="M2715">
        <v>14.260516207427299</v>
      </c>
      <c r="N2715">
        <v>54.818367454517599</v>
      </c>
      <c r="O2715">
        <v>53.272320313246603</v>
      </c>
      <c r="P2715">
        <v>-6.27606610885037E-2</v>
      </c>
      <c r="Q2715">
        <v>6.2307630891847099E-2</v>
      </c>
      <c r="R2715">
        <v>0.985480708985218</v>
      </c>
      <c r="S2715" t="s">
        <v>9000</v>
      </c>
      <c r="T2715" t="s">
        <v>12568</v>
      </c>
      <c r="U2715" t="s">
        <v>12568</v>
      </c>
      <c r="V2715" t="s">
        <v>12568</v>
      </c>
      <c r="W2715" t="s">
        <v>15246</v>
      </c>
      <c r="X2715">
        <v>14</v>
      </c>
      <c r="Y2715" t="s">
        <v>21410</v>
      </c>
      <c r="Z2715" t="s">
        <v>27585</v>
      </c>
      <c r="AA2715">
        <v>0.52952883733820122</v>
      </c>
      <c r="AB2715" t="str">
        <f>HYPERLINK("Melting_Curves/meltCurve_Q01995_TAGLN.pdf", "Melting_Curves/meltCurve_Q01995_TAGLN.pdf")</f>
        <v>Melting_Curves/meltCurve_Q01995_TAGLN.pdf</v>
      </c>
    </row>
    <row r="2716" spans="1:28" x14ac:dyDescent="0.25">
      <c r="A2716" t="s">
        <v>2720</v>
      </c>
      <c r="B2716">
        <v>0.99352677808782597</v>
      </c>
      <c r="C2716">
        <v>0.98447533296260203</v>
      </c>
      <c r="D2716">
        <v>0.82391744979389603</v>
      </c>
      <c r="E2716">
        <v>0.355074047984481</v>
      </c>
      <c r="F2716">
        <v>0.30229193718896702</v>
      </c>
      <c r="G2716">
        <v>0.20773896415375001</v>
      </c>
      <c r="H2716">
        <v>0.178493066136895</v>
      </c>
      <c r="I2716">
        <v>0.15746281548945801</v>
      </c>
      <c r="J2716">
        <v>0.17532691084270699</v>
      </c>
      <c r="K2716">
        <v>0.12623472200298899</v>
      </c>
      <c r="L2716">
        <v>1268.88485871546</v>
      </c>
      <c r="M2716">
        <v>26.369463126300101</v>
      </c>
      <c r="N2716">
        <v>48.8998453370831</v>
      </c>
      <c r="O2716">
        <v>47.845297482460403</v>
      </c>
      <c r="P2716">
        <v>-0.114122432788863</v>
      </c>
      <c r="Q2716">
        <v>0.17174463603919701</v>
      </c>
      <c r="R2716">
        <v>0.99213665551456798</v>
      </c>
      <c r="S2716" t="s">
        <v>9001</v>
      </c>
      <c r="T2716" t="s">
        <v>12568</v>
      </c>
      <c r="U2716" t="s">
        <v>12568</v>
      </c>
      <c r="V2716" t="s">
        <v>12568</v>
      </c>
      <c r="W2716" t="s">
        <v>15247</v>
      </c>
      <c r="X2716">
        <v>2</v>
      </c>
      <c r="Y2716" t="s">
        <v>21411</v>
      </c>
      <c r="Z2716" t="s">
        <v>27586</v>
      </c>
      <c r="AA2716">
        <v>0.40245107687274828</v>
      </c>
      <c r="AB2716" t="str">
        <f>HYPERLINK("Melting_Curves/meltCurve_Q02040_AKAP17A.pdf", "Melting_Curves/meltCurve_Q02040_AKAP17A.pdf")</f>
        <v>Melting_Curves/meltCurve_Q02040_AKAP17A.pdf</v>
      </c>
    </row>
    <row r="2717" spans="1:28" x14ac:dyDescent="0.25">
      <c r="A2717" t="s">
        <v>2721</v>
      </c>
      <c r="B2717">
        <v>0.99352677808782597</v>
      </c>
      <c r="C2717">
        <v>0.93854642673295197</v>
      </c>
      <c r="D2717">
        <v>1.02852642077696</v>
      </c>
      <c r="E2717">
        <v>0.95184779983422696</v>
      </c>
      <c r="F2717">
        <v>0.80378810980790505</v>
      </c>
      <c r="G2717">
        <v>0.66339655600047898</v>
      </c>
      <c r="H2717">
        <v>0.42867476557092099</v>
      </c>
      <c r="I2717">
        <v>0.37909688379332901</v>
      </c>
      <c r="J2717">
        <v>0.36965667793710799</v>
      </c>
      <c r="K2717">
        <v>0.321061407248942</v>
      </c>
      <c r="L2717">
        <v>1002.99552300807</v>
      </c>
      <c r="M2717">
        <v>17.737235368633399</v>
      </c>
      <c r="N2717">
        <v>59.743344966050302</v>
      </c>
      <c r="O2717">
        <v>55.843373462376199</v>
      </c>
      <c r="P2717">
        <v>-5.5078765043872401E-2</v>
      </c>
      <c r="Q2717">
        <v>0.30640301638364498</v>
      </c>
      <c r="R2717">
        <v>0.98809070539499499</v>
      </c>
      <c r="S2717" t="s">
        <v>9002</v>
      </c>
      <c r="T2717" t="s">
        <v>12568</v>
      </c>
      <c r="U2717" t="s">
        <v>12568</v>
      </c>
      <c r="V2717" t="s">
        <v>12568</v>
      </c>
      <c r="W2717" t="s">
        <v>15248</v>
      </c>
      <c r="X2717">
        <v>3</v>
      </c>
      <c r="Y2717" t="s">
        <v>21412</v>
      </c>
      <c r="Z2717" t="s">
        <v>27587</v>
      </c>
      <c r="AA2717">
        <v>0.69899476744094535</v>
      </c>
      <c r="AB2717" t="str">
        <f>HYPERLINK("Melting_Curves/meltCurve_Q02078_4_MEF2A.pdf", "Melting_Curves/meltCurve_Q02078_4_MEF2A.pdf")</f>
        <v>Melting_Curves/meltCurve_Q02078_4_MEF2A.pdf</v>
      </c>
    </row>
    <row r="2718" spans="1:28" x14ac:dyDescent="0.25">
      <c r="A2718" t="s">
        <v>2722</v>
      </c>
      <c r="B2718">
        <v>0.99352677808782597</v>
      </c>
      <c r="C2718">
        <v>0.98795830840048204</v>
      </c>
      <c r="D2718">
        <v>0.94199757653939198</v>
      </c>
      <c r="E2718">
        <v>0.76924461301939095</v>
      </c>
      <c r="F2718">
        <v>0.690652950353701</v>
      </c>
      <c r="G2718">
        <v>0.466766419348071</v>
      </c>
      <c r="H2718">
        <v>0.33653674011032098</v>
      </c>
      <c r="I2718">
        <v>0.28195620558526402</v>
      </c>
      <c r="J2718">
        <v>0.204994760751918</v>
      </c>
      <c r="K2718">
        <v>0.15390839266407</v>
      </c>
      <c r="L2718">
        <v>627.56482611210197</v>
      </c>
      <c r="M2718">
        <v>11.2705818608414</v>
      </c>
      <c r="N2718">
        <v>56.634107957126702</v>
      </c>
      <c r="O2718">
        <v>54.015072349700603</v>
      </c>
      <c r="P2718">
        <v>-4.7675332152206401E-2</v>
      </c>
      <c r="Q2718">
        <v>8.6330886968778997E-2</v>
      </c>
      <c r="R2718">
        <v>0.99666308601535003</v>
      </c>
      <c r="S2718" t="s">
        <v>9003</v>
      </c>
      <c r="T2718" t="s">
        <v>12568</v>
      </c>
      <c r="U2718" t="s">
        <v>12568</v>
      </c>
      <c r="V2718" t="s">
        <v>12568</v>
      </c>
      <c r="W2718" t="s">
        <v>15249</v>
      </c>
      <c r="X2718">
        <v>2</v>
      </c>
      <c r="Y2718" t="s">
        <v>21413</v>
      </c>
      <c r="Z2718" t="s">
        <v>27588</v>
      </c>
      <c r="AA2718">
        <v>0.58402557145120837</v>
      </c>
      <c r="AB2718" t="str">
        <f>HYPERLINK("Melting_Curves/meltCurve_Q02083_2_NAAA.pdf", "Melting_Curves/meltCurve_Q02083_2_NAAA.pdf")</f>
        <v>Melting_Curves/meltCurve_Q02083_2_NAAA.pdf</v>
      </c>
    </row>
    <row r="2719" spans="1:28" x14ac:dyDescent="0.25">
      <c r="A2719" t="s">
        <v>2723</v>
      </c>
      <c r="B2719">
        <v>0.99352677808782597</v>
      </c>
      <c r="C2719">
        <v>1.0329100708235299</v>
      </c>
      <c r="D2719">
        <v>0.97557087321590796</v>
      </c>
      <c r="E2719">
        <v>0.88346216812919298</v>
      </c>
      <c r="F2719">
        <v>0.76349512688406096</v>
      </c>
      <c r="G2719">
        <v>0.58011076156356001</v>
      </c>
      <c r="H2719">
        <v>0.48780087173073999</v>
      </c>
      <c r="I2719">
        <v>0.44398882512236898</v>
      </c>
      <c r="J2719">
        <v>0.48023080255525902</v>
      </c>
      <c r="K2719">
        <v>0.43697590306921102</v>
      </c>
      <c r="L2719">
        <v>1041.0212949407401</v>
      </c>
      <c r="M2719">
        <v>19.3754782384995</v>
      </c>
      <c r="N2719">
        <v>60.322388887261901</v>
      </c>
      <c r="O2719">
        <v>53.166294827962197</v>
      </c>
      <c r="P2719">
        <v>-5.1035495982187297E-2</v>
      </c>
      <c r="Q2719">
        <v>0.439855348155828</v>
      </c>
      <c r="R2719">
        <v>0.99483033846459301</v>
      </c>
      <c r="S2719" t="s">
        <v>9004</v>
      </c>
      <c r="T2719" t="s">
        <v>12568</v>
      </c>
      <c r="U2719" t="s">
        <v>12568</v>
      </c>
      <c r="V2719" t="s">
        <v>12568</v>
      </c>
      <c r="W2719" t="s">
        <v>15250</v>
      </c>
      <c r="X2719">
        <v>2</v>
      </c>
      <c r="Y2719" t="s">
        <v>21414</v>
      </c>
      <c r="Z2719" t="s">
        <v>27589</v>
      </c>
      <c r="AA2719">
        <v>0.70423904363327705</v>
      </c>
      <c r="AB2719" t="str">
        <f>HYPERLINK("Melting_Curves/meltCurve_Q02086_2_SP2.pdf", "Melting_Curves/meltCurve_Q02086_2_SP2.pdf")</f>
        <v>Melting_Curves/meltCurve_Q02086_2_SP2.pdf</v>
      </c>
    </row>
    <row r="2720" spans="1:28" x14ac:dyDescent="0.25">
      <c r="A2720" t="s">
        <v>2724</v>
      </c>
      <c r="B2720">
        <v>0.99352677808782597</v>
      </c>
      <c r="C2720">
        <v>0.94469265969340199</v>
      </c>
      <c r="D2720">
        <v>0.90315476407883699</v>
      </c>
      <c r="E2720">
        <v>0.24304443743731199</v>
      </c>
      <c r="F2720">
        <v>0.18972779043567001</v>
      </c>
      <c r="G2720">
        <v>6.5493748280320896E-2</v>
      </c>
      <c r="H2720">
        <v>3.7674425331153803E-2</v>
      </c>
      <c r="I2720">
        <v>3.5910249618267297E-2</v>
      </c>
      <c r="J2720">
        <v>2.62538221068544E-2</v>
      </c>
      <c r="K2720">
        <v>1.7704973005217901E-2</v>
      </c>
      <c r="L2720">
        <v>1709.25182295632</v>
      </c>
      <c r="M2720">
        <v>35.301838061675603</v>
      </c>
      <c r="N2720">
        <v>48.559679283289597</v>
      </c>
      <c r="O2720">
        <v>48.263629443541603</v>
      </c>
      <c r="P2720">
        <v>-0.17392430478247101</v>
      </c>
      <c r="Q2720">
        <v>4.8866588957116798E-2</v>
      </c>
      <c r="R2720">
        <v>0.98986083391760005</v>
      </c>
      <c r="S2720" t="s">
        <v>9005</v>
      </c>
      <c r="T2720" t="s">
        <v>12568</v>
      </c>
      <c r="U2720" t="s">
        <v>12568</v>
      </c>
      <c r="V2720" t="s">
        <v>12568</v>
      </c>
      <c r="W2720" t="s">
        <v>15251</v>
      </c>
      <c r="X2720">
        <v>3</v>
      </c>
      <c r="Y2720" t="s">
        <v>21415</v>
      </c>
      <c r="Z2720" t="s">
        <v>27590</v>
      </c>
      <c r="AA2720">
        <v>0.31987478358659571</v>
      </c>
      <c r="AB2720" t="str">
        <f>HYPERLINK("Melting_Curves/meltCurve_Q02156_PRKCE.pdf", "Melting_Curves/meltCurve_Q02156_PRKCE.pdf")</f>
        <v>Melting_Curves/meltCurve_Q02156_PRKCE.pdf</v>
      </c>
    </row>
    <row r="2721" spans="1:28" x14ac:dyDescent="0.25">
      <c r="A2721" t="s">
        <v>2725</v>
      </c>
      <c r="B2721">
        <v>0.99352677808782597</v>
      </c>
      <c r="C2721">
        <v>0.88856053089008202</v>
      </c>
      <c r="D2721">
        <v>0.68941762438603904</v>
      </c>
      <c r="E2721">
        <v>0.52930413706915802</v>
      </c>
      <c r="F2721">
        <v>0.46214435376612401</v>
      </c>
      <c r="G2721">
        <v>0.31284233697652403</v>
      </c>
      <c r="H2721">
        <v>0.29408755977409201</v>
      </c>
      <c r="I2721">
        <v>0.30453608409739402</v>
      </c>
      <c r="J2721">
        <v>0.337716437256532</v>
      </c>
      <c r="K2721">
        <v>0.26035544285142098</v>
      </c>
      <c r="L2721">
        <v>679.70046080739496</v>
      </c>
      <c r="M2721">
        <v>14.277634677892699</v>
      </c>
      <c r="N2721">
        <v>50.553908572010002</v>
      </c>
      <c r="O2721">
        <v>46.701269799148498</v>
      </c>
      <c r="P2721">
        <v>-5.4843011207963803E-2</v>
      </c>
      <c r="Q2721">
        <v>0.28253543268401798</v>
      </c>
      <c r="R2721">
        <v>0.98531282464700798</v>
      </c>
      <c r="S2721" t="s">
        <v>9006</v>
      </c>
      <c r="T2721" t="s">
        <v>12568</v>
      </c>
      <c r="U2721" t="s">
        <v>12568</v>
      </c>
      <c r="V2721" t="s">
        <v>12568</v>
      </c>
      <c r="W2721" t="s">
        <v>15252</v>
      </c>
      <c r="X2721">
        <v>4</v>
      </c>
      <c r="Y2721" t="s">
        <v>21416</v>
      </c>
      <c r="Z2721" t="s">
        <v>27591</v>
      </c>
      <c r="AA2721">
        <v>0.48520977887003341</v>
      </c>
      <c r="AB2721" t="str">
        <f>HYPERLINK("Melting_Curves/meltCurve_Q02224_3_CENPE.pdf", "Melting_Curves/meltCurve_Q02224_3_CENPE.pdf")</f>
        <v>Melting_Curves/meltCurve_Q02224_3_CENPE.pdf</v>
      </c>
    </row>
    <row r="2722" spans="1:28" x14ac:dyDescent="0.25">
      <c r="A2722" t="s">
        <v>2726</v>
      </c>
      <c r="B2722">
        <v>0.99352677808782597</v>
      </c>
      <c r="C2722">
        <v>0.94860412724068699</v>
      </c>
      <c r="D2722">
        <v>0.93339622596193506</v>
      </c>
      <c r="E2722">
        <v>0.50144892590894596</v>
      </c>
      <c r="F2722">
        <v>0.426219871294583</v>
      </c>
      <c r="G2722">
        <v>0.23684937441173101</v>
      </c>
      <c r="H2722">
        <v>0.18484397386543799</v>
      </c>
      <c r="I2722">
        <v>0.171064620743382</v>
      </c>
      <c r="J2722">
        <v>0.15996941397731501</v>
      </c>
      <c r="K2722">
        <v>0.124745933118598</v>
      </c>
      <c r="L2722">
        <v>945.91196238235602</v>
      </c>
      <c r="M2722">
        <v>18.897042081433302</v>
      </c>
      <c r="N2722">
        <v>51.032907475896501</v>
      </c>
      <c r="O2722">
        <v>49.505647350679503</v>
      </c>
      <c r="P2722">
        <v>-8.0950237237164893E-2</v>
      </c>
      <c r="Q2722">
        <v>0.151755138158781</v>
      </c>
      <c r="R2722">
        <v>0.98690028871998603</v>
      </c>
      <c r="S2722" t="s">
        <v>9007</v>
      </c>
      <c r="T2722" t="s">
        <v>12568</v>
      </c>
      <c r="U2722" t="s">
        <v>12568</v>
      </c>
      <c r="V2722" t="s">
        <v>12568</v>
      </c>
      <c r="W2722" t="s">
        <v>15253</v>
      </c>
      <c r="X2722">
        <v>12</v>
      </c>
      <c r="Y2722" t="s">
        <v>21417</v>
      </c>
      <c r="Z2722" t="s">
        <v>27592</v>
      </c>
      <c r="AA2722">
        <v>0.44926399095261649</v>
      </c>
      <c r="AB2722" t="str">
        <f>HYPERLINK("Melting_Curves/meltCurve_Q02241_KIF23.pdf", "Melting_Curves/meltCurve_Q02241_KIF23.pdf")</f>
        <v>Melting_Curves/meltCurve_Q02241_KIF23.pdf</v>
      </c>
    </row>
    <row r="2723" spans="1:28" x14ac:dyDescent="0.25">
      <c r="A2723" t="s">
        <v>2727</v>
      </c>
      <c r="B2723">
        <v>0.99352677808782597</v>
      </c>
      <c r="C2723">
        <v>1.3941345101526399</v>
      </c>
      <c r="D2723">
        <v>1.4277688695469699</v>
      </c>
      <c r="E2723">
        <v>0.48547734724455599</v>
      </c>
      <c r="F2723">
        <v>0.46625050286734498</v>
      </c>
      <c r="G2723">
        <v>0.25449009700841801</v>
      </c>
      <c r="H2723">
        <v>0.144683506017659</v>
      </c>
      <c r="I2723">
        <v>0.171231935567903</v>
      </c>
      <c r="J2723">
        <v>0.174930556811283</v>
      </c>
      <c r="K2723">
        <v>0.13379703814876301</v>
      </c>
      <c r="L2723">
        <v>3612.1358139967701</v>
      </c>
      <c r="M2723">
        <v>72.819997998186693</v>
      </c>
      <c r="N2723">
        <v>50.004732888243502</v>
      </c>
      <c r="O2723">
        <v>49.566253979463099</v>
      </c>
      <c r="P2723">
        <v>-0.286042827512001</v>
      </c>
      <c r="Q2723">
        <v>0.22119916956917501</v>
      </c>
      <c r="R2723">
        <v>0.82624458398142098</v>
      </c>
      <c r="S2723" t="s">
        <v>9008</v>
      </c>
      <c r="T2723" t="s">
        <v>12568</v>
      </c>
      <c r="U2723" t="s">
        <v>12568</v>
      </c>
      <c r="V2723" t="s">
        <v>12568</v>
      </c>
      <c r="W2723" t="s">
        <v>15254</v>
      </c>
      <c r="X2723">
        <v>13</v>
      </c>
      <c r="Y2723" t="s">
        <v>21417</v>
      </c>
      <c r="Z2723" t="s">
        <v>27593</v>
      </c>
      <c r="AA2723">
        <v>0.47131051975193411</v>
      </c>
      <c r="AB2723" t="str">
        <f>HYPERLINK("Melting_Curves/meltCurve_Q02241_2_KIF23.pdf", "Melting_Curves/meltCurve_Q02241_2_KIF23.pdf")</f>
        <v>Melting_Curves/meltCurve_Q02241_2_KIF23.pdf</v>
      </c>
    </row>
    <row r="2724" spans="1:28" x14ac:dyDescent="0.25">
      <c r="A2724" t="s">
        <v>2728</v>
      </c>
      <c r="B2724">
        <v>0.99352677808782597</v>
      </c>
      <c r="C2724">
        <v>0.96687903107519901</v>
      </c>
      <c r="D2724">
        <v>1.03472613461094</v>
      </c>
      <c r="E2724">
        <v>1.0279094437353899</v>
      </c>
      <c r="F2724">
        <v>0.93014235235421605</v>
      </c>
      <c r="G2724">
        <v>0.89175942000263497</v>
      </c>
      <c r="H2724">
        <v>0.79845753466454905</v>
      </c>
      <c r="I2724">
        <v>0.93268083157591297</v>
      </c>
      <c r="J2724">
        <v>0.90584938992693498</v>
      </c>
      <c r="K2724">
        <v>0.87859143422460395</v>
      </c>
      <c r="L2724">
        <v>13230.8511258217</v>
      </c>
      <c r="M2724">
        <v>250</v>
      </c>
      <c r="O2724">
        <v>52.920036984544197</v>
      </c>
      <c r="P2724">
        <v>-0.139989893158742</v>
      </c>
      <c r="Q2724">
        <v>0.88146771778775301</v>
      </c>
      <c r="R2724">
        <v>0.71952015210804499</v>
      </c>
      <c r="S2724" t="s">
        <v>9009</v>
      </c>
      <c r="T2724" t="s">
        <v>12568</v>
      </c>
      <c r="U2724" t="s">
        <v>12568</v>
      </c>
      <c r="V2724" t="s">
        <v>12568</v>
      </c>
      <c r="W2724" t="s">
        <v>15255</v>
      </c>
      <c r="X2724">
        <v>6</v>
      </c>
      <c r="Y2724" t="s">
        <v>21418</v>
      </c>
      <c r="Z2724" t="s">
        <v>27594</v>
      </c>
      <c r="AA2724">
        <v>0.93254008136085875</v>
      </c>
      <c r="AB2724" t="str">
        <f>HYPERLINK("Melting_Curves/meltCurve_Q02297_NRG1.pdf", "Melting_Curves/meltCurve_Q02297_NRG1.pdf")</f>
        <v>Melting_Curves/meltCurve_Q02297_NRG1.pdf</v>
      </c>
    </row>
    <row r="2725" spans="1:28" x14ac:dyDescent="0.25">
      <c r="A2725" t="s">
        <v>2729</v>
      </c>
      <c r="B2725">
        <v>0.99352677808782597</v>
      </c>
      <c r="C2725">
        <v>1.0003164559322599</v>
      </c>
      <c r="D2725">
        <v>1.0899311443575901</v>
      </c>
      <c r="E2725">
        <v>0.20252644103287901</v>
      </c>
      <c r="F2725">
        <v>0.129220480400427</v>
      </c>
      <c r="G2725">
        <v>7.2640559043856703E-2</v>
      </c>
      <c r="H2725">
        <v>5.7660030296270898E-2</v>
      </c>
      <c r="I2725">
        <v>3.8771093117880302E-2</v>
      </c>
      <c r="J2725">
        <v>1.7997659393902101E-2</v>
      </c>
      <c r="K2725">
        <v>1.1529957169854201E-2</v>
      </c>
      <c r="L2725">
        <v>6566.1471072688</v>
      </c>
      <c r="M2725">
        <v>133.00688689725999</v>
      </c>
      <c r="N2725">
        <v>49.409943125537602</v>
      </c>
      <c r="O2725">
        <v>49.355812709641498</v>
      </c>
      <c r="P2725">
        <v>-0.63692657743373704</v>
      </c>
      <c r="Q2725">
        <v>5.4604489231492803E-2</v>
      </c>
      <c r="R2725">
        <v>0.99098314782389596</v>
      </c>
      <c r="S2725" t="s">
        <v>9010</v>
      </c>
      <c r="T2725" t="s">
        <v>12568</v>
      </c>
      <c r="U2725" t="s">
        <v>12568</v>
      </c>
      <c r="V2725" t="s">
        <v>12568</v>
      </c>
      <c r="W2725" t="s">
        <v>15256</v>
      </c>
      <c r="X2725">
        <v>1</v>
      </c>
      <c r="Y2725" t="s">
        <v>21419</v>
      </c>
      <c r="Z2725" t="s">
        <v>27595</v>
      </c>
      <c r="AA2725">
        <v>0.35007709542044368</v>
      </c>
      <c r="AB2725" t="str">
        <f>HYPERLINK("Melting_Curves/meltCurve_Q02410_APBA1.pdf", "Melting_Curves/meltCurve_Q02410_APBA1.pdf")</f>
        <v>Melting_Curves/meltCurve_Q02410_APBA1.pdf</v>
      </c>
    </row>
    <row r="2726" spans="1:28" x14ac:dyDescent="0.25">
      <c r="A2726" t="s">
        <v>2730</v>
      </c>
      <c r="B2726">
        <v>0.99352677808782597</v>
      </c>
      <c r="C2726">
        <v>0.95916298500720598</v>
      </c>
      <c r="D2726">
        <v>0.55180218230121103</v>
      </c>
      <c r="E2726">
        <v>0.59931516432253595</v>
      </c>
      <c r="F2726">
        <v>0.72388522926955101</v>
      </c>
      <c r="G2726">
        <v>0.275877921038159</v>
      </c>
      <c r="H2726">
        <v>0.34218346600643101</v>
      </c>
      <c r="I2726">
        <v>0.28720941592757498</v>
      </c>
      <c r="J2726">
        <v>0.261810671498033</v>
      </c>
      <c r="K2726">
        <v>0.17812624369472399</v>
      </c>
      <c r="L2726">
        <v>397.34638243437502</v>
      </c>
      <c r="M2726">
        <v>7.6041079701418797</v>
      </c>
      <c r="N2726">
        <v>53.710567721335302</v>
      </c>
      <c r="O2726">
        <v>49.007640179728497</v>
      </c>
      <c r="P2726">
        <v>-3.5224718810676799E-2</v>
      </c>
      <c r="Q2726">
        <v>9.3161141671494294E-2</v>
      </c>
      <c r="R2726">
        <v>0.84734652904188501</v>
      </c>
      <c r="S2726" t="s">
        <v>9011</v>
      </c>
      <c r="T2726" t="s">
        <v>12568</v>
      </c>
      <c r="U2726" t="s">
        <v>12568</v>
      </c>
      <c r="V2726" t="s">
        <v>12568</v>
      </c>
      <c r="W2726" t="s">
        <v>15257</v>
      </c>
      <c r="X2726">
        <v>1</v>
      </c>
      <c r="Y2726" t="s">
        <v>21420</v>
      </c>
      <c r="Z2726" t="s">
        <v>27596</v>
      </c>
      <c r="AA2726">
        <v>0.50653335050658543</v>
      </c>
      <c r="AB2726" t="str">
        <f>HYPERLINK("Melting_Curves/meltCurve_Q02413_DSG1.pdf", "Melting_Curves/meltCurve_Q02413_DSG1.pdf")</f>
        <v>Melting_Curves/meltCurve_Q02413_DSG1.pdf</v>
      </c>
    </row>
    <row r="2727" spans="1:28" x14ac:dyDescent="0.25">
      <c r="A2727" t="s">
        <v>2731</v>
      </c>
      <c r="B2727">
        <v>0.99352677808782597</v>
      </c>
      <c r="C2727">
        <v>0.95826754080615695</v>
      </c>
      <c r="D2727">
        <v>0.878083482253734</v>
      </c>
      <c r="E2727">
        <v>0.65782111528811704</v>
      </c>
      <c r="F2727">
        <v>0.62799189343897599</v>
      </c>
      <c r="G2727">
        <v>0.54251172974157302</v>
      </c>
      <c r="H2727">
        <v>0.54953321029233004</v>
      </c>
      <c r="I2727">
        <v>0.58260850932973196</v>
      </c>
      <c r="J2727">
        <v>0.69150710366579804</v>
      </c>
      <c r="K2727">
        <v>0.62818892197268295</v>
      </c>
      <c r="L2727">
        <v>1386.89265999082</v>
      </c>
      <c r="M2727">
        <v>29.416459713761402</v>
      </c>
      <c r="O2727">
        <v>46.930548221289797</v>
      </c>
      <c r="P2727">
        <v>-6.2652145934148099E-2</v>
      </c>
      <c r="Q2727">
        <v>0.60018587331379003</v>
      </c>
      <c r="R2727">
        <v>0.936220557010498</v>
      </c>
      <c r="S2727" t="s">
        <v>9012</v>
      </c>
      <c r="T2727" t="s">
        <v>12568</v>
      </c>
      <c r="U2727" t="s">
        <v>12568</v>
      </c>
      <c r="V2727" t="s">
        <v>12568</v>
      </c>
      <c r="W2727" t="s">
        <v>15258</v>
      </c>
      <c r="X2727">
        <v>3</v>
      </c>
      <c r="Y2727" t="s">
        <v>21421</v>
      </c>
      <c r="Z2727" t="s">
        <v>27597</v>
      </c>
      <c r="AA2727">
        <v>0.69793322651100032</v>
      </c>
      <c r="AB2727" t="str">
        <f>HYPERLINK("Melting_Curves/meltCurve_Q02447_3_SP3.pdf", "Melting_Curves/meltCurve_Q02447_3_SP3.pdf")</f>
        <v>Melting_Curves/meltCurve_Q02447_3_SP3.pdf</v>
      </c>
    </row>
    <row r="2728" spans="1:28" x14ac:dyDescent="0.25">
      <c r="A2728" t="s">
        <v>2732</v>
      </c>
      <c r="B2728">
        <v>0.99352677808782597</v>
      </c>
      <c r="C2728">
        <v>0.86264302544772498</v>
      </c>
      <c r="D2728">
        <v>1.6802782203436899</v>
      </c>
      <c r="E2728">
        <v>0.64166738668073497</v>
      </c>
      <c r="F2728">
        <v>0.57144218457567797</v>
      </c>
      <c r="G2728">
        <v>0.277501983645352</v>
      </c>
      <c r="H2728">
        <v>0.19785923192333499</v>
      </c>
      <c r="I2728">
        <v>0.12953529986613699</v>
      </c>
      <c r="J2728">
        <v>0.108617423323984</v>
      </c>
      <c r="K2728">
        <v>9.2026100789017795E-2</v>
      </c>
      <c r="L2728">
        <v>1380.7982661952301</v>
      </c>
      <c r="M2728">
        <v>26.2098827540656</v>
      </c>
      <c r="N2728">
        <v>53.303094161499303</v>
      </c>
      <c r="O2728">
        <v>52.3785386907768</v>
      </c>
      <c r="P2728">
        <v>-0.108646378449705</v>
      </c>
      <c r="Q2728">
        <v>0.13152223459643</v>
      </c>
      <c r="R2728">
        <v>0.76706783946210799</v>
      </c>
      <c r="S2728" t="s">
        <v>9013</v>
      </c>
      <c r="T2728" t="s">
        <v>12568</v>
      </c>
      <c r="U2728" t="s">
        <v>12568</v>
      </c>
      <c r="V2728" t="s">
        <v>12568</v>
      </c>
      <c r="W2728" t="s">
        <v>15259</v>
      </c>
      <c r="X2728">
        <v>7</v>
      </c>
      <c r="Y2728" t="s">
        <v>21422</v>
      </c>
      <c r="Z2728" t="s">
        <v>27598</v>
      </c>
      <c r="AA2728">
        <v>0.50595700491436135</v>
      </c>
      <c r="AB2728" t="str">
        <f>HYPERLINK("Melting_Curves/meltCurve_Q02543_RPL18A.pdf", "Melting_Curves/meltCurve_Q02543_RPL18A.pdf")</f>
        <v>Melting_Curves/meltCurve_Q02543_RPL18A.pdf</v>
      </c>
    </row>
    <row r="2729" spans="1:28" x14ac:dyDescent="0.25">
      <c r="A2729" t="s">
        <v>2733</v>
      </c>
      <c r="B2729">
        <v>0.99352677808782597</v>
      </c>
      <c r="C2729">
        <v>0.62962445098346598</v>
      </c>
      <c r="D2729">
        <v>1.1165322397761901</v>
      </c>
      <c r="E2729">
        <v>0.46111810156309402</v>
      </c>
      <c r="F2729">
        <v>0.42166484656822201</v>
      </c>
      <c r="G2729">
        <v>0.116238518132483</v>
      </c>
      <c r="H2729">
        <v>6.0307591888521202E-2</v>
      </c>
      <c r="I2729">
        <v>4.8907166387124203E-2</v>
      </c>
      <c r="J2729">
        <v>3.6547561234986398E-2</v>
      </c>
      <c r="K2729">
        <v>2.8291511820647E-2</v>
      </c>
      <c r="L2729">
        <v>898.99847474681701</v>
      </c>
      <c r="M2729">
        <v>17.662495549997299</v>
      </c>
      <c r="N2729">
        <v>51.002389291148504</v>
      </c>
      <c r="O2729">
        <v>50.2597260426205</v>
      </c>
      <c r="P2729">
        <v>-8.6311663910147704E-2</v>
      </c>
      <c r="Q2729">
        <v>1.76317415614076E-2</v>
      </c>
      <c r="R2729">
        <v>0.870389443324598</v>
      </c>
      <c r="S2729" t="s">
        <v>9014</v>
      </c>
      <c r="T2729" t="s">
        <v>12568</v>
      </c>
      <c r="U2729" t="s">
        <v>12568</v>
      </c>
      <c r="V2729" t="s">
        <v>12568</v>
      </c>
      <c r="W2729" t="s">
        <v>15260</v>
      </c>
      <c r="X2729">
        <v>16</v>
      </c>
      <c r="Y2729" t="s">
        <v>21423</v>
      </c>
      <c r="Z2729" t="s">
        <v>27599</v>
      </c>
      <c r="AA2729">
        <v>0.39166538084958441</v>
      </c>
      <c r="AB2729" t="str">
        <f>HYPERLINK("Melting_Curves/meltCurve_Q02750_MAP2K1.pdf", "Melting_Curves/meltCurve_Q02750_MAP2K1.pdf")</f>
        <v>Melting_Curves/meltCurve_Q02750_MAP2K1.pdf</v>
      </c>
    </row>
    <row r="2730" spans="1:28" x14ac:dyDescent="0.25">
      <c r="A2730" t="s">
        <v>2734</v>
      </c>
      <c r="B2730">
        <v>0.99352677808782597</v>
      </c>
      <c r="C2730">
        <v>0.99113292641962902</v>
      </c>
      <c r="D2730">
        <v>0.99625534282198203</v>
      </c>
      <c r="E2730">
        <v>0.48469006834067502</v>
      </c>
      <c r="F2730">
        <v>0.37810004929834501</v>
      </c>
      <c r="G2730">
        <v>0.219786206974667</v>
      </c>
      <c r="H2730">
        <v>0.13583770970971901</v>
      </c>
      <c r="I2730">
        <v>0.12368270814728199</v>
      </c>
      <c r="J2730">
        <v>0.105478856098264</v>
      </c>
      <c r="K2730">
        <v>7.9631666827956193E-2</v>
      </c>
      <c r="L2730">
        <v>1136.24440681905</v>
      </c>
      <c r="M2730">
        <v>22.649976904944101</v>
      </c>
      <c r="N2730">
        <v>50.771258179252001</v>
      </c>
      <c r="O2730">
        <v>49.779237772951603</v>
      </c>
      <c r="P2730">
        <v>-0.100283371344545</v>
      </c>
      <c r="Q2730">
        <v>0.118421961274373</v>
      </c>
      <c r="R2730">
        <v>0.982163798178874</v>
      </c>
      <c r="S2730" t="s">
        <v>9015</v>
      </c>
      <c r="T2730" t="s">
        <v>12568</v>
      </c>
      <c r="U2730" t="s">
        <v>12568</v>
      </c>
      <c r="V2730" t="s">
        <v>12568</v>
      </c>
      <c r="W2730" t="s">
        <v>15261</v>
      </c>
      <c r="X2730">
        <v>39</v>
      </c>
      <c r="Y2730" t="s">
        <v>21424</v>
      </c>
      <c r="Z2730" t="s">
        <v>27600</v>
      </c>
      <c r="AA2730">
        <v>0.42675011089188819</v>
      </c>
      <c r="AB2730" t="str">
        <f>HYPERLINK("Melting_Curves/meltCurve_Q02790_FKBP4.pdf", "Melting_Curves/meltCurve_Q02790_FKBP4.pdf")</f>
        <v>Melting_Curves/meltCurve_Q02790_FKBP4.pdf</v>
      </c>
    </row>
    <row r="2731" spans="1:28" x14ac:dyDescent="0.25">
      <c r="A2731" t="s">
        <v>2735</v>
      </c>
      <c r="B2731">
        <v>0.99352677808782597</v>
      </c>
      <c r="C2731">
        <v>0.97177455889673103</v>
      </c>
      <c r="D2731">
        <v>0.94944794233353902</v>
      </c>
      <c r="E2731">
        <v>0.32155652189640199</v>
      </c>
      <c r="F2731">
        <v>0.25013901173987702</v>
      </c>
      <c r="G2731">
        <v>0.14925696377619299</v>
      </c>
      <c r="H2731">
        <v>0.15161191599613</v>
      </c>
      <c r="I2731">
        <v>0.10567307436982901</v>
      </c>
      <c r="J2731">
        <v>9.7122464105869305E-2</v>
      </c>
      <c r="K2731">
        <v>6.9109789595420204E-2</v>
      </c>
      <c r="L2731">
        <v>1935.3941251634801</v>
      </c>
      <c r="M2731">
        <v>39.774936655235599</v>
      </c>
      <c r="N2731">
        <v>49.021437480685101</v>
      </c>
      <c r="O2731">
        <v>48.5361287462527</v>
      </c>
      <c r="P2731">
        <v>-0.17875193264834699</v>
      </c>
      <c r="Q2731">
        <v>0.127500050459075</v>
      </c>
      <c r="R2731">
        <v>0.98858782631223496</v>
      </c>
      <c r="S2731" t="s">
        <v>9016</v>
      </c>
      <c r="T2731" t="s">
        <v>12568</v>
      </c>
      <c r="U2731" t="s">
        <v>12568</v>
      </c>
      <c r="V2731" t="s">
        <v>12568</v>
      </c>
      <c r="W2731" t="s">
        <v>15262</v>
      </c>
      <c r="X2731">
        <v>4</v>
      </c>
      <c r="Y2731" t="s">
        <v>21425</v>
      </c>
      <c r="Z2731" t="s">
        <v>27601</v>
      </c>
      <c r="AA2731">
        <v>0.38229483248118962</v>
      </c>
      <c r="AB2731" t="str">
        <f>HYPERLINK("Melting_Curves/meltCurve_Q02809_PLOD1.pdf", "Melting_Curves/meltCurve_Q02809_PLOD1.pdf")</f>
        <v>Melting_Curves/meltCurve_Q02809_PLOD1.pdf</v>
      </c>
    </row>
    <row r="2732" spans="1:28" x14ac:dyDescent="0.25">
      <c r="A2732" t="s">
        <v>2736</v>
      </c>
      <c r="B2732">
        <v>0.99352677808782597</v>
      </c>
      <c r="C2732">
        <v>0.96973816021024795</v>
      </c>
      <c r="D2732">
        <v>0.95243242286875895</v>
      </c>
      <c r="E2732">
        <v>0.88698131573806505</v>
      </c>
      <c r="F2732">
        <v>0.83278953767643005</v>
      </c>
      <c r="G2732">
        <v>0.70422507830952796</v>
      </c>
      <c r="H2732">
        <v>0.68806280401998099</v>
      </c>
      <c r="I2732">
        <v>0.74314483845857005</v>
      </c>
      <c r="J2732">
        <v>0.78186638665989106</v>
      </c>
      <c r="K2732">
        <v>0.65392110844594198</v>
      </c>
      <c r="L2732">
        <v>924.211596770455</v>
      </c>
      <c r="M2732">
        <v>18.073107480994398</v>
      </c>
      <c r="O2732">
        <v>50.523652426384601</v>
      </c>
      <c r="P2732">
        <v>-2.6389787518412498E-2</v>
      </c>
      <c r="Q2732">
        <v>0.70492208675144297</v>
      </c>
      <c r="R2732">
        <v>0.906938959693529</v>
      </c>
      <c r="S2732" t="s">
        <v>9017</v>
      </c>
      <c r="T2732" t="s">
        <v>12568</v>
      </c>
      <c r="U2732" t="s">
        <v>12568</v>
      </c>
      <c r="V2732" t="s">
        <v>12568</v>
      </c>
      <c r="W2732" t="s">
        <v>15263</v>
      </c>
      <c r="X2732">
        <v>39</v>
      </c>
      <c r="Y2732" t="s">
        <v>21426</v>
      </c>
      <c r="Z2732" t="s">
        <v>27602</v>
      </c>
      <c r="AA2732">
        <v>0.81939667133513538</v>
      </c>
      <c r="AB2732" t="str">
        <f>HYPERLINK("Melting_Curves/meltCurve_Q02818_NUCB1.pdf", "Melting_Curves/meltCurve_Q02818_NUCB1.pdf")</f>
        <v>Melting_Curves/meltCurve_Q02818_NUCB1.pdf</v>
      </c>
    </row>
    <row r="2733" spans="1:28" x14ac:dyDescent="0.25">
      <c r="A2733" t="s">
        <v>2737</v>
      </c>
      <c r="B2733">
        <v>0.99352677808782597</v>
      </c>
      <c r="C2733">
        <v>0.92042457062633398</v>
      </c>
      <c r="D2733">
        <v>0.85240877731490095</v>
      </c>
      <c r="E2733">
        <v>0.43723170656614502</v>
      </c>
      <c r="F2733">
        <v>0.35962475883651401</v>
      </c>
      <c r="G2733">
        <v>0.28554408608468201</v>
      </c>
      <c r="H2733">
        <v>0.25091516327980701</v>
      </c>
      <c r="I2733">
        <v>0.20164273283234699</v>
      </c>
      <c r="J2733">
        <v>0.25423211411062702</v>
      </c>
      <c r="K2733">
        <v>0.17105665063987599</v>
      </c>
      <c r="L2733">
        <v>1044.0043199787201</v>
      </c>
      <c r="M2733">
        <v>21.561519972361602</v>
      </c>
      <c r="N2733">
        <v>49.7930308404041</v>
      </c>
      <c r="O2733">
        <v>48.009061018217203</v>
      </c>
      <c r="P2733">
        <v>-8.7116607828321396E-2</v>
      </c>
      <c r="Q2733">
        <v>0.22412042147976199</v>
      </c>
      <c r="R2733">
        <v>0.98717244201647902</v>
      </c>
      <c r="S2733" t="s">
        <v>9018</v>
      </c>
      <c r="T2733" t="s">
        <v>12568</v>
      </c>
      <c r="U2733" t="s">
        <v>12568</v>
      </c>
      <c r="V2733" t="s">
        <v>12568</v>
      </c>
      <c r="W2733" t="s">
        <v>15264</v>
      </c>
      <c r="X2733">
        <v>5</v>
      </c>
      <c r="Y2733" t="s">
        <v>21427</v>
      </c>
      <c r="Z2733" t="s">
        <v>27603</v>
      </c>
      <c r="AA2733">
        <v>0.45123174404920119</v>
      </c>
      <c r="AB2733" t="str">
        <f>HYPERLINK("Melting_Curves/meltCurve_Q02833_3_RASSF7.pdf", "Melting_Curves/meltCurve_Q02833_3_RASSF7.pdf")</f>
        <v>Melting_Curves/meltCurve_Q02833_3_RASSF7.pdf</v>
      </c>
    </row>
    <row r="2734" spans="1:28" x14ac:dyDescent="0.25">
      <c r="A2734" t="s">
        <v>2738</v>
      </c>
      <c r="B2734">
        <v>0.99352677808782597</v>
      </c>
      <c r="C2734">
        <v>0.99474414249086496</v>
      </c>
      <c r="D2734">
        <v>0.93237395885989405</v>
      </c>
      <c r="E2734">
        <v>1.0396316376294401</v>
      </c>
      <c r="F2734">
        <v>1.2094864226511199</v>
      </c>
      <c r="G2734">
        <v>1.2666134669068501</v>
      </c>
      <c r="H2734">
        <v>1.06711888449096</v>
      </c>
      <c r="I2734">
        <v>0.96255927523542495</v>
      </c>
      <c r="J2734">
        <v>1.31204665369719</v>
      </c>
      <c r="K2734">
        <v>1.15680221625996</v>
      </c>
      <c r="L2734">
        <v>12556.5481549736</v>
      </c>
      <c r="M2734">
        <v>250</v>
      </c>
      <c r="O2734">
        <v>50.222979001559203</v>
      </c>
      <c r="P2734">
        <v>0.20214581631207301</v>
      </c>
      <c r="Q2734">
        <v>1.1624378395186401</v>
      </c>
      <c r="R2734">
        <v>0.44841040360481499</v>
      </c>
      <c r="S2734" t="s">
        <v>9019</v>
      </c>
      <c r="T2734" t="s">
        <v>12568</v>
      </c>
      <c r="U2734" t="s">
        <v>12568</v>
      </c>
      <c r="V2734" t="s">
        <v>12568</v>
      </c>
      <c r="W2734" t="s">
        <v>15265</v>
      </c>
      <c r="X2734">
        <v>6</v>
      </c>
      <c r="Y2734" t="s">
        <v>21428</v>
      </c>
      <c r="Z2734" t="s">
        <v>27604</v>
      </c>
      <c r="AA2734">
        <v>1.1070528333866629</v>
      </c>
      <c r="AB2734" t="str">
        <f>HYPERLINK("Melting_Curves/meltCurve_Q02880_2_TOP2B.pdf", "Melting_Curves/meltCurve_Q02880_2_TOP2B.pdf")</f>
        <v>Melting_Curves/meltCurve_Q02880_2_TOP2B.pdf</v>
      </c>
    </row>
    <row r="2735" spans="1:28" x14ac:dyDescent="0.25">
      <c r="A2735" t="s">
        <v>2739</v>
      </c>
      <c r="B2735">
        <v>0.99352677808782597</v>
      </c>
      <c r="C2735">
        <v>0.97473166568122505</v>
      </c>
      <c r="D2735">
        <v>0.97035658686535697</v>
      </c>
      <c r="E2735">
        <v>0.93253915939975496</v>
      </c>
      <c r="F2735">
        <v>0.85855838608531299</v>
      </c>
      <c r="G2735">
        <v>0.73284656246654201</v>
      </c>
      <c r="H2735">
        <v>0.79593855771413502</v>
      </c>
      <c r="I2735">
        <v>0.78575537328604095</v>
      </c>
      <c r="J2735">
        <v>1.0035601055794099</v>
      </c>
      <c r="K2735">
        <v>0.78343163352165301</v>
      </c>
      <c r="L2735">
        <v>2044.94546842513</v>
      </c>
      <c r="M2735">
        <v>40.409223213957802</v>
      </c>
      <c r="O2735">
        <v>50.482450079862602</v>
      </c>
      <c r="P2735">
        <v>-3.5613706696876302E-2</v>
      </c>
      <c r="Q2735">
        <v>0.82203434226567895</v>
      </c>
      <c r="R2735">
        <v>0.51476591304638197</v>
      </c>
      <c r="S2735" t="s">
        <v>9020</v>
      </c>
      <c r="T2735" t="s">
        <v>12568</v>
      </c>
      <c r="U2735" t="s">
        <v>12568</v>
      </c>
      <c r="V2735" t="s">
        <v>12568</v>
      </c>
      <c r="W2735" t="s">
        <v>15266</v>
      </c>
      <c r="X2735">
        <v>70</v>
      </c>
      <c r="Y2735" t="s">
        <v>21429</v>
      </c>
      <c r="Z2735" t="s">
        <v>27605</v>
      </c>
      <c r="AA2735">
        <v>0.88556053308745319</v>
      </c>
      <c r="AB2735" t="str">
        <f>HYPERLINK("Melting_Curves/meltCurve_Q02952_3_AKAP12.pdf", "Melting_Curves/meltCurve_Q02952_3_AKAP12.pdf")</f>
        <v>Melting_Curves/meltCurve_Q02952_3_AKAP12.pdf</v>
      </c>
    </row>
    <row r="2736" spans="1:28" x14ac:dyDescent="0.25">
      <c r="A2736" t="s">
        <v>2740</v>
      </c>
      <c r="B2736">
        <v>0.99352677808782597</v>
      </c>
      <c r="C2736">
        <v>0.97244130337574097</v>
      </c>
      <c r="D2736">
        <v>0.836259752651347</v>
      </c>
      <c r="E2736">
        <v>0.428835727607426</v>
      </c>
      <c r="F2736">
        <v>0.34637117837997899</v>
      </c>
      <c r="G2736">
        <v>0.20276772092100701</v>
      </c>
      <c r="H2736">
        <v>0.13618239747493099</v>
      </c>
      <c r="I2736">
        <v>0.13513188459452399</v>
      </c>
      <c r="J2736">
        <v>0.119461716752919</v>
      </c>
      <c r="K2736">
        <v>9.7503384152448594E-2</v>
      </c>
      <c r="L2736">
        <v>937.19448199803696</v>
      </c>
      <c r="M2736">
        <v>19.069938799343898</v>
      </c>
      <c r="N2736">
        <v>49.865798673531998</v>
      </c>
      <c r="O2736">
        <v>48.614272882519202</v>
      </c>
      <c r="P2736">
        <v>-8.6259406606529795E-2</v>
      </c>
      <c r="Q2736">
        <v>0.120443250440453</v>
      </c>
      <c r="R2736">
        <v>0.99290906159948</v>
      </c>
      <c r="S2736" t="s">
        <v>9021</v>
      </c>
      <c r="T2736" t="s">
        <v>12568</v>
      </c>
      <c r="U2736" t="s">
        <v>12568</v>
      </c>
      <c r="V2736" t="s">
        <v>12568</v>
      </c>
      <c r="W2736" t="s">
        <v>15267</v>
      </c>
      <c r="X2736">
        <v>74</v>
      </c>
      <c r="Y2736" t="s">
        <v>21430</v>
      </c>
      <c r="Z2736" t="s">
        <v>27606</v>
      </c>
      <c r="AA2736">
        <v>0.40210781166122828</v>
      </c>
      <c r="AB2736" t="str">
        <f>HYPERLINK("Melting_Curves/meltCurve_Q03001_DST.pdf", "Melting_Curves/meltCurve_Q03001_DST.pdf")</f>
        <v>Melting_Curves/meltCurve_Q03001_DST.pdf</v>
      </c>
    </row>
    <row r="2737" spans="1:28" x14ac:dyDescent="0.25">
      <c r="A2737" t="s">
        <v>2741</v>
      </c>
      <c r="B2737">
        <v>0.99352677808782597</v>
      </c>
      <c r="C2737">
        <v>0.97567770571060997</v>
      </c>
      <c r="D2737">
        <v>0.99736814998791101</v>
      </c>
      <c r="E2737">
        <v>0.49829926356378301</v>
      </c>
      <c r="F2737">
        <v>0.51536807144044705</v>
      </c>
      <c r="G2737">
        <v>0.397980143962404</v>
      </c>
      <c r="H2737">
        <v>0.25187958590302301</v>
      </c>
      <c r="I2737">
        <v>0.36161496740514798</v>
      </c>
      <c r="J2737">
        <v>0.31143916944927402</v>
      </c>
      <c r="K2737">
        <v>0.28704011620938003</v>
      </c>
      <c r="L2737">
        <v>1442.52229294879</v>
      </c>
      <c r="M2737">
        <v>29.365935043705601</v>
      </c>
      <c r="N2737">
        <v>51.005234654097599</v>
      </c>
      <c r="O2737">
        <v>48.8961922601654</v>
      </c>
      <c r="P2737">
        <v>-0.10046303162384899</v>
      </c>
      <c r="Q2737">
        <v>0.33089476651626398</v>
      </c>
      <c r="R2737">
        <v>0.95415762852295205</v>
      </c>
      <c r="S2737" t="s">
        <v>9022</v>
      </c>
      <c r="T2737" t="s">
        <v>12568</v>
      </c>
      <c r="U2737" t="s">
        <v>12568</v>
      </c>
      <c r="V2737" t="s">
        <v>12568</v>
      </c>
      <c r="W2737" t="s">
        <v>15268</v>
      </c>
      <c r="X2737">
        <v>65</v>
      </c>
      <c r="Y2737" t="s">
        <v>21430</v>
      </c>
      <c r="Z2737" t="s">
        <v>27607</v>
      </c>
      <c r="AA2737">
        <v>0.53861900604518465</v>
      </c>
      <c r="AB2737" t="str">
        <f>HYPERLINK("Melting_Curves/meltCurve_Q03001_8_DST.pdf", "Melting_Curves/meltCurve_Q03001_8_DST.pdf")</f>
        <v>Melting_Curves/meltCurve_Q03001_8_DST.pdf</v>
      </c>
    </row>
    <row r="2738" spans="1:28" x14ac:dyDescent="0.25">
      <c r="A2738" t="s">
        <v>2742</v>
      </c>
      <c r="B2738">
        <v>0.99352677808782597</v>
      </c>
      <c r="C2738">
        <v>0.96694153739398603</v>
      </c>
      <c r="D2738">
        <v>0.94938139876826699</v>
      </c>
      <c r="E2738">
        <v>0.90854055138616496</v>
      </c>
      <c r="F2738">
        <v>0.77919117295174001</v>
      </c>
      <c r="G2738">
        <v>0.57269847218783099</v>
      </c>
      <c r="H2738">
        <v>0.32690544881346201</v>
      </c>
      <c r="I2738">
        <v>0.231474491003203</v>
      </c>
      <c r="J2738">
        <v>0.18927757934955</v>
      </c>
      <c r="K2738">
        <v>0.147965519840838</v>
      </c>
      <c r="L2738">
        <v>851.31153283010497</v>
      </c>
      <c r="M2738">
        <v>14.8962388184476</v>
      </c>
      <c r="N2738">
        <v>57.901829690072802</v>
      </c>
      <c r="O2738">
        <v>56.1491530303311</v>
      </c>
      <c r="P2738">
        <v>-6.0494569629653203E-2</v>
      </c>
      <c r="Q2738">
        <v>8.7993604784329896E-2</v>
      </c>
      <c r="R2738">
        <v>0.99786694123115705</v>
      </c>
      <c r="S2738" t="s">
        <v>9023</v>
      </c>
      <c r="T2738" t="s">
        <v>12568</v>
      </c>
      <c r="U2738" t="s">
        <v>12568</v>
      </c>
      <c r="V2738" t="s">
        <v>12568</v>
      </c>
      <c r="W2738" t="s">
        <v>15269</v>
      </c>
      <c r="X2738">
        <v>6</v>
      </c>
      <c r="Y2738" t="s">
        <v>21431</v>
      </c>
      <c r="Z2738" t="s">
        <v>27608</v>
      </c>
      <c r="AA2738">
        <v>0.62352136246542289</v>
      </c>
      <c r="AB2738" t="str">
        <f>HYPERLINK("Melting_Curves/meltCurve_Q03111_MLLT1.pdf", "Melting_Curves/meltCurve_Q03111_MLLT1.pdf")</f>
        <v>Melting_Curves/meltCurve_Q03111_MLLT1.pdf</v>
      </c>
    </row>
    <row r="2739" spans="1:28" x14ac:dyDescent="0.25">
      <c r="A2739" t="s">
        <v>2743</v>
      </c>
      <c r="B2739">
        <v>0.99352677808782597</v>
      </c>
      <c r="C2739">
        <v>0.946044433311238</v>
      </c>
      <c r="D2739">
        <v>0.95718114292134904</v>
      </c>
      <c r="E2739">
        <v>0.842319100505732</v>
      </c>
      <c r="F2739">
        <v>0.79432687497547705</v>
      </c>
      <c r="G2739">
        <v>0.66316828814474005</v>
      </c>
      <c r="H2739">
        <v>0.59548283110207501</v>
      </c>
      <c r="I2739">
        <v>0.68895824645975301</v>
      </c>
      <c r="J2739">
        <v>0.58805466744338597</v>
      </c>
      <c r="K2739">
        <v>0.522660474059639</v>
      </c>
      <c r="L2739">
        <v>581.098233193429</v>
      </c>
      <c r="M2739">
        <v>10.8639747293032</v>
      </c>
      <c r="O2739">
        <v>51.771938948719097</v>
      </c>
      <c r="P2739">
        <v>-2.4453719822831298E-2</v>
      </c>
      <c r="Q2739">
        <v>0.53403111267552605</v>
      </c>
      <c r="R2739">
        <v>0.949032807644419</v>
      </c>
      <c r="S2739" t="s">
        <v>9024</v>
      </c>
      <c r="T2739" t="s">
        <v>12568</v>
      </c>
      <c r="U2739" t="s">
        <v>12568</v>
      </c>
      <c r="V2739" t="s">
        <v>12568</v>
      </c>
      <c r="W2739" t="s">
        <v>15270</v>
      </c>
      <c r="X2739">
        <v>2</v>
      </c>
      <c r="Y2739" t="s">
        <v>21432</v>
      </c>
      <c r="Z2739" t="s">
        <v>27609</v>
      </c>
      <c r="AA2739">
        <v>0.75756562980727393</v>
      </c>
      <c r="AB2739" t="str">
        <f>HYPERLINK("Melting_Curves/meltCurve_Q03135_CAV1.pdf", "Melting_Curves/meltCurve_Q03135_CAV1.pdf")</f>
        <v>Melting_Curves/meltCurve_Q03135_CAV1.pdf</v>
      </c>
    </row>
    <row r="2740" spans="1:28" x14ac:dyDescent="0.25">
      <c r="A2740" t="s">
        <v>2744</v>
      </c>
      <c r="B2740">
        <v>0.99352677808782597</v>
      </c>
      <c r="C2740">
        <v>0.959431484257805</v>
      </c>
      <c r="D2740">
        <v>0.94115692618459901</v>
      </c>
      <c r="E2740">
        <v>0.86518206337828696</v>
      </c>
      <c r="F2740">
        <v>0.84824138404477101</v>
      </c>
      <c r="G2740">
        <v>0.60557880613062998</v>
      </c>
      <c r="H2740">
        <v>0.64343561405110905</v>
      </c>
      <c r="I2740">
        <v>0.49792679414312102</v>
      </c>
      <c r="J2740">
        <v>0.37011493424742697</v>
      </c>
      <c r="K2740">
        <v>0.22844994190482801</v>
      </c>
      <c r="L2740">
        <v>513.30439655493899</v>
      </c>
      <c r="M2740">
        <v>8.1907044966796203</v>
      </c>
      <c r="N2740">
        <v>62.669135972239502</v>
      </c>
      <c r="O2740">
        <v>59.266006004777999</v>
      </c>
      <c r="P2740">
        <v>-3.4586380815045198E-2</v>
      </c>
      <c r="Q2740">
        <v>0</v>
      </c>
      <c r="R2740">
        <v>0.96315624424577595</v>
      </c>
      <c r="S2740" t="s">
        <v>9025</v>
      </c>
      <c r="T2740" t="s">
        <v>12568</v>
      </c>
      <c r="U2740" t="s">
        <v>12568</v>
      </c>
      <c r="V2740" t="s">
        <v>12568</v>
      </c>
      <c r="W2740" t="s">
        <v>15271</v>
      </c>
      <c r="X2740">
        <v>12</v>
      </c>
      <c r="Y2740" t="s">
        <v>21433</v>
      </c>
      <c r="Z2740" t="s">
        <v>27610</v>
      </c>
      <c r="AA2740">
        <v>0.71286512373920929</v>
      </c>
      <c r="AB2740" t="str">
        <f>HYPERLINK("Melting_Curves/meltCurve_Q03154_ACY1.pdf", "Melting_Curves/meltCurve_Q03154_ACY1.pdf")</f>
        <v>Melting_Curves/meltCurve_Q03154_ACY1.pdf</v>
      </c>
    </row>
    <row r="2741" spans="1:28" x14ac:dyDescent="0.25">
      <c r="A2741" t="s">
        <v>2745</v>
      </c>
      <c r="B2741">
        <v>0.99352677808782597</v>
      </c>
      <c r="C2741">
        <v>0.97886881051107699</v>
      </c>
      <c r="D2741">
        <v>0.98220934539893701</v>
      </c>
      <c r="E2741">
        <v>0.88611294805716601</v>
      </c>
      <c r="F2741">
        <v>0.79009498365085296</v>
      </c>
      <c r="G2741">
        <v>0.75471357870074596</v>
      </c>
      <c r="H2741">
        <v>0.69336382530659901</v>
      </c>
      <c r="I2741">
        <v>0.74111490913933098</v>
      </c>
      <c r="J2741">
        <v>0.76576343753010301</v>
      </c>
      <c r="K2741">
        <v>0.66930328814435003</v>
      </c>
      <c r="L2741">
        <v>1146.73534358962</v>
      </c>
      <c r="M2741">
        <v>22.567799277214402</v>
      </c>
      <c r="O2741">
        <v>50.418971193453103</v>
      </c>
      <c r="P2741">
        <v>-3.1643682728230399E-2</v>
      </c>
      <c r="Q2741">
        <v>0.71722369432536304</v>
      </c>
      <c r="R2741">
        <v>0.95248119111573604</v>
      </c>
      <c r="S2741" t="s">
        <v>9026</v>
      </c>
      <c r="T2741" t="s">
        <v>12568</v>
      </c>
      <c r="U2741" t="s">
        <v>12568</v>
      </c>
      <c r="V2741" t="s">
        <v>12568</v>
      </c>
      <c r="W2741" t="s">
        <v>15272</v>
      </c>
      <c r="X2741">
        <v>6</v>
      </c>
      <c r="Y2741" t="s">
        <v>21434</v>
      </c>
      <c r="Z2741" t="s">
        <v>27611</v>
      </c>
      <c r="AA2741">
        <v>0.82226049378846133</v>
      </c>
      <c r="AB2741" t="str">
        <f>HYPERLINK("Melting_Curves/meltCurve_Q03164_2_MLL.pdf", "Melting_Curves/meltCurve_Q03164_2_MLL.pdf")</f>
        <v>Melting_Curves/meltCurve_Q03164_2_MLL.pdf</v>
      </c>
    </row>
    <row r="2742" spans="1:28" x14ac:dyDescent="0.25">
      <c r="A2742" t="s">
        <v>2746</v>
      </c>
      <c r="B2742">
        <v>0.99352677808782597</v>
      </c>
      <c r="C2742">
        <v>0.93391759299187405</v>
      </c>
      <c r="D2742">
        <v>0.66169894631522397</v>
      </c>
      <c r="E2742">
        <v>0.218300931286983</v>
      </c>
      <c r="F2742">
        <v>0.15776137934509399</v>
      </c>
      <c r="G2742">
        <v>0.10204234813265201</v>
      </c>
      <c r="H2742">
        <v>7.904547906737E-2</v>
      </c>
      <c r="I2742">
        <v>7.4065447307522306E-2</v>
      </c>
      <c r="J2742">
        <v>6.2025976064911399E-2</v>
      </c>
      <c r="K2742">
        <v>4.7615215571226999E-2</v>
      </c>
      <c r="L2742">
        <v>1203.1577198345001</v>
      </c>
      <c r="M2742">
        <v>25.605656576725799</v>
      </c>
      <c r="N2742">
        <v>47.283311953949799</v>
      </c>
      <c r="O2742">
        <v>46.704167648722397</v>
      </c>
      <c r="P2742">
        <v>-0.12693519940463299</v>
      </c>
      <c r="Q2742">
        <v>7.3902729819648197E-2</v>
      </c>
      <c r="R2742">
        <v>0.99775292064273502</v>
      </c>
      <c r="S2742" t="s">
        <v>9027</v>
      </c>
      <c r="T2742" t="s">
        <v>12568</v>
      </c>
      <c r="U2742" t="s">
        <v>12568</v>
      </c>
      <c r="V2742" t="s">
        <v>12568</v>
      </c>
      <c r="W2742" t="s">
        <v>15273</v>
      </c>
      <c r="X2742">
        <v>17</v>
      </c>
      <c r="Y2742" t="s">
        <v>21435</v>
      </c>
      <c r="Z2742" t="s">
        <v>27612</v>
      </c>
      <c r="AA2742">
        <v>0.29746598273886238</v>
      </c>
      <c r="AB2742" t="str">
        <f>HYPERLINK("Melting_Curves/meltCurve_Q03169_TNFAIP2.pdf", "Melting_Curves/meltCurve_Q03169_TNFAIP2.pdf")</f>
        <v>Melting_Curves/meltCurve_Q03169_TNFAIP2.pdf</v>
      </c>
    </row>
    <row r="2743" spans="1:28" x14ac:dyDescent="0.25">
      <c r="A2743" t="s">
        <v>2747</v>
      </c>
      <c r="B2743">
        <v>0.99352677808782597</v>
      </c>
      <c r="C2743">
        <v>0.97252183128980696</v>
      </c>
      <c r="D2743">
        <v>0.98289780106610203</v>
      </c>
      <c r="E2743">
        <v>0.78862913370386001</v>
      </c>
      <c r="F2743">
        <v>0.723022102568603</v>
      </c>
      <c r="G2743">
        <v>0.51475411600547705</v>
      </c>
      <c r="H2743">
        <v>0.380066532814818</v>
      </c>
      <c r="I2743">
        <v>0.38593337421455598</v>
      </c>
      <c r="J2743">
        <v>0.38606452960592402</v>
      </c>
      <c r="K2743">
        <v>0.31454853646127201</v>
      </c>
      <c r="L2743">
        <v>818.12525768361297</v>
      </c>
      <c r="M2743">
        <v>15.2579655111834</v>
      </c>
      <c r="N2743">
        <v>57.467322865315502</v>
      </c>
      <c r="O2743">
        <v>52.723835076299999</v>
      </c>
      <c r="P2743">
        <v>-4.9202202316219398E-2</v>
      </c>
      <c r="Q2743">
        <v>0.31999250393704298</v>
      </c>
      <c r="R2743">
        <v>0.98974318585012999</v>
      </c>
      <c r="S2743" t="s">
        <v>9028</v>
      </c>
      <c r="T2743" t="s">
        <v>12568</v>
      </c>
      <c r="U2743" t="s">
        <v>12568</v>
      </c>
      <c r="V2743" t="s">
        <v>12568</v>
      </c>
      <c r="W2743" t="s">
        <v>15274</v>
      </c>
      <c r="X2743">
        <v>19</v>
      </c>
      <c r="Y2743" t="s">
        <v>21436</v>
      </c>
      <c r="Z2743" t="s">
        <v>27613</v>
      </c>
      <c r="AA2743">
        <v>0.64261842779254053</v>
      </c>
      <c r="AB2743" t="str">
        <f>HYPERLINK("Melting_Curves/meltCurve_Q03252_LMNB2.pdf", "Melting_Curves/meltCurve_Q03252_LMNB2.pdf")</f>
        <v>Melting_Curves/meltCurve_Q03252_LMNB2.pdf</v>
      </c>
    </row>
    <row r="2744" spans="1:28" x14ac:dyDescent="0.25">
      <c r="A2744" t="s">
        <v>2748</v>
      </c>
      <c r="B2744">
        <v>0.99352677808782597</v>
      </c>
      <c r="C2744">
        <v>0.95221637988139296</v>
      </c>
      <c r="D2744">
        <v>0.98434727396822796</v>
      </c>
      <c r="E2744">
        <v>0.786817062667165</v>
      </c>
      <c r="F2744">
        <v>0.66739743845838595</v>
      </c>
      <c r="G2744">
        <v>0.531896201795933</v>
      </c>
      <c r="H2744">
        <v>0.33237360799145799</v>
      </c>
      <c r="I2744">
        <v>0.21491860225873</v>
      </c>
      <c r="J2744">
        <v>0.15323903836597799</v>
      </c>
      <c r="K2744">
        <v>0.13909830325444</v>
      </c>
      <c r="L2744">
        <v>617.84642123515505</v>
      </c>
      <c r="M2744">
        <v>10.8696399786144</v>
      </c>
      <c r="N2744">
        <v>56.922692488759601</v>
      </c>
      <c r="O2744">
        <v>55.019070605844298</v>
      </c>
      <c r="P2744">
        <v>-4.9027628632014701E-2</v>
      </c>
      <c r="Q2744">
        <v>7.6941412719494498E-3</v>
      </c>
      <c r="R2744">
        <v>0.99354544977035397</v>
      </c>
      <c r="S2744" t="s">
        <v>9029</v>
      </c>
      <c r="T2744" t="s">
        <v>12568</v>
      </c>
      <c r="U2744" t="s">
        <v>12568</v>
      </c>
      <c r="V2744" t="s">
        <v>12568</v>
      </c>
      <c r="W2744" t="s">
        <v>15275</v>
      </c>
      <c r="X2744">
        <v>2</v>
      </c>
      <c r="Y2744" t="s">
        <v>21437</v>
      </c>
      <c r="Z2744" t="s">
        <v>27614</v>
      </c>
      <c r="AA2744">
        <v>0.5818741857198374</v>
      </c>
      <c r="AB2744" t="str">
        <f>HYPERLINK("Melting_Curves/meltCurve_Q03393_PTS.pdf", "Melting_Curves/meltCurve_Q03393_PTS.pdf")</f>
        <v>Melting_Curves/meltCurve_Q03393_PTS.pdf</v>
      </c>
    </row>
    <row r="2745" spans="1:28" x14ac:dyDescent="0.25">
      <c r="A2745" t="s">
        <v>2749</v>
      </c>
      <c r="B2745">
        <v>0.99352677808782597</v>
      </c>
      <c r="C2745">
        <v>1.04196935405736</v>
      </c>
      <c r="D2745">
        <v>1.0748344013192199</v>
      </c>
      <c r="E2745">
        <v>1.06594837591932</v>
      </c>
      <c r="F2745">
        <v>0.93073011936400696</v>
      </c>
      <c r="G2745">
        <v>0.92602995614976003</v>
      </c>
      <c r="H2745">
        <v>0.82239421054532102</v>
      </c>
      <c r="I2745">
        <v>0.89879580071596998</v>
      </c>
      <c r="J2745">
        <v>0.91489293391811699</v>
      </c>
      <c r="K2745">
        <v>0.73357755422942805</v>
      </c>
      <c r="L2745">
        <v>507.110914953465</v>
      </c>
      <c r="M2745">
        <v>5.9932256354201598</v>
      </c>
      <c r="Q2745">
        <v>0</v>
      </c>
      <c r="R2745">
        <v>0.66768683210616997</v>
      </c>
      <c r="S2745" t="s">
        <v>9030</v>
      </c>
      <c r="T2745" t="s">
        <v>12568</v>
      </c>
      <c r="U2745" t="s">
        <v>12568</v>
      </c>
      <c r="V2745" t="s">
        <v>12568</v>
      </c>
      <c r="W2745" t="s">
        <v>15276</v>
      </c>
      <c r="X2745">
        <v>4</v>
      </c>
      <c r="Y2745" t="s">
        <v>21438</v>
      </c>
      <c r="Z2745" t="s">
        <v>27615</v>
      </c>
      <c r="AA2745">
        <v>0.93617078410311416</v>
      </c>
      <c r="AB2745" t="str">
        <f>HYPERLINK("Melting_Curves/meltCurve_Q03468_ERCC6.pdf", "Melting_Curves/meltCurve_Q03468_ERCC6.pdf")</f>
        <v>Melting_Curves/meltCurve_Q03468_ERCC6.pdf</v>
      </c>
    </row>
    <row r="2746" spans="1:28" x14ac:dyDescent="0.25">
      <c r="A2746" t="s">
        <v>2750</v>
      </c>
      <c r="B2746">
        <v>0.99352677808782597</v>
      </c>
      <c r="C2746">
        <v>0.89485655286487298</v>
      </c>
      <c r="D2746">
        <v>0.99384009004785201</v>
      </c>
      <c r="E2746">
        <v>1.02435661401221</v>
      </c>
      <c r="F2746">
        <v>0.93615782505436895</v>
      </c>
      <c r="G2746">
        <v>0.95903693511238797</v>
      </c>
      <c r="H2746">
        <v>0.84151369648541496</v>
      </c>
      <c r="I2746">
        <v>0.93484991247264104</v>
      </c>
      <c r="J2746">
        <v>0.91838058285544599</v>
      </c>
      <c r="K2746">
        <v>0.929037435767888</v>
      </c>
      <c r="L2746">
        <v>185.621110999465</v>
      </c>
      <c r="M2746">
        <v>2.5131767695349301</v>
      </c>
      <c r="O2746">
        <v>49.947562865316499</v>
      </c>
      <c r="P2746">
        <v>-2.5735981545899999E-3</v>
      </c>
      <c r="Q2746">
        <v>0.80523388323192902</v>
      </c>
      <c r="R2746">
        <v>0.19570322011167501</v>
      </c>
      <c r="S2746" t="s">
        <v>9031</v>
      </c>
      <c r="T2746" t="s">
        <v>12568</v>
      </c>
      <c r="U2746" t="s">
        <v>12568</v>
      </c>
      <c r="V2746" t="s">
        <v>12568</v>
      </c>
      <c r="W2746" t="s">
        <v>15277</v>
      </c>
      <c r="X2746">
        <v>1</v>
      </c>
      <c r="Y2746" t="s">
        <v>21439</v>
      </c>
      <c r="Z2746" t="s">
        <v>27616</v>
      </c>
      <c r="AA2746">
        <v>0.94301265934718004</v>
      </c>
      <c r="AB2746" t="str">
        <f>HYPERLINK("Melting_Curves/meltCurve_Q03701_CEBPZ.pdf", "Melting_Curves/meltCurve_Q03701_CEBPZ.pdf")</f>
        <v>Melting_Curves/meltCurve_Q03701_CEBPZ.pdf</v>
      </c>
    </row>
    <row r="2747" spans="1:28" x14ac:dyDescent="0.25">
      <c r="A2747" t="s">
        <v>2751</v>
      </c>
      <c r="B2747">
        <v>0.99352677808782597</v>
      </c>
      <c r="C2747">
        <v>1.0096456422315201</v>
      </c>
      <c r="D2747">
        <v>0.99042655182758299</v>
      </c>
      <c r="E2747">
        <v>0.31954401847687303</v>
      </c>
      <c r="F2747">
        <v>0.240765025165109</v>
      </c>
      <c r="G2747">
        <v>0.157678960358069</v>
      </c>
      <c r="H2747">
        <v>0.123796611919512</v>
      </c>
      <c r="I2747">
        <v>0.12126804874915401</v>
      </c>
      <c r="J2747">
        <v>9.6644805443572401E-2</v>
      </c>
      <c r="K2747">
        <v>7.7881294262122105E-2</v>
      </c>
      <c r="L2747">
        <v>2475.4951951460398</v>
      </c>
      <c r="M2747">
        <v>50.6933263027802</v>
      </c>
      <c r="N2747">
        <v>49.1285125943594</v>
      </c>
      <c r="O2747">
        <v>48.756950450518602</v>
      </c>
      <c r="P2747">
        <v>-0.225745827755574</v>
      </c>
      <c r="Q2747">
        <v>0.131509414711245</v>
      </c>
      <c r="R2747">
        <v>0.99023011867067401</v>
      </c>
      <c r="S2747" t="s">
        <v>9032</v>
      </c>
      <c r="T2747" t="s">
        <v>12568</v>
      </c>
      <c r="U2747" t="s">
        <v>12568</v>
      </c>
      <c r="V2747" t="s">
        <v>12568</v>
      </c>
      <c r="W2747" t="s">
        <v>15278</v>
      </c>
      <c r="X2747">
        <v>19</v>
      </c>
      <c r="Y2747" t="s">
        <v>21440</v>
      </c>
      <c r="Z2747" t="s">
        <v>27617</v>
      </c>
      <c r="AA2747">
        <v>0.38903502931678841</v>
      </c>
      <c r="AB2747" t="str">
        <f>HYPERLINK("Melting_Curves/meltCurve_Q04446_GBE1.pdf", "Melting_Curves/meltCurve_Q04446_GBE1.pdf")</f>
        <v>Melting_Curves/meltCurve_Q04446_GBE1.pdf</v>
      </c>
    </row>
    <row r="2748" spans="1:28" x14ac:dyDescent="0.25">
      <c r="A2748" t="s">
        <v>2752</v>
      </c>
      <c r="B2748">
        <v>0.99352677808782597</v>
      </c>
      <c r="C2748">
        <v>0.79071637552530205</v>
      </c>
      <c r="D2748">
        <v>0.64950806081071799</v>
      </c>
      <c r="E2748">
        <v>0.37043055650625201</v>
      </c>
      <c r="F2748">
        <v>0.43749869166550698</v>
      </c>
      <c r="G2748">
        <v>0.305651431600373</v>
      </c>
      <c r="H2748">
        <v>0.221843557201792</v>
      </c>
      <c r="I2748">
        <v>0.26498600221820201</v>
      </c>
      <c r="J2748">
        <v>0.23213728877884901</v>
      </c>
      <c r="K2748">
        <v>0.22027298744108101</v>
      </c>
      <c r="L2748">
        <v>661.65424289000498</v>
      </c>
      <c r="M2748">
        <v>14.244634758553399</v>
      </c>
      <c r="N2748">
        <v>48.597328290283997</v>
      </c>
      <c r="O2748">
        <v>45.562689295071102</v>
      </c>
      <c r="P2748">
        <v>-5.9909036498175403E-2</v>
      </c>
      <c r="Q2748">
        <v>0.23359796076318901</v>
      </c>
      <c r="R2748">
        <v>0.96935053633619295</v>
      </c>
      <c r="S2748" t="s">
        <v>9033</v>
      </c>
      <c r="T2748" t="s">
        <v>12568</v>
      </c>
      <c r="U2748" t="s">
        <v>12568</v>
      </c>
      <c r="V2748" t="s">
        <v>12568</v>
      </c>
      <c r="W2748" t="s">
        <v>15279</v>
      </c>
      <c r="X2748">
        <v>59</v>
      </c>
      <c r="Y2748" t="s">
        <v>19133</v>
      </c>
      <c r="Z2748" t="s">
        <v>27618</v>
      </c>
      <c r="AA2748">
        <v>0.42240322871794778</v>
      </c>
      <c r="AB2748" t="str">
        <f>HYPERLINK("Melting_Curves/meltCurve_Q04637_3_EIF4G1.pdf", "Melting_Curves/meltCurve_Q04637_3_EIF4G1.pdf")</f>
        <v>Melting_Curves/meltCurve_Q04637_3_EIF4G1.pdf</v>
      </c>
    </row>
    <row r="2749" spans="1:28" x14ac:dyDescent="0.25">
      <c r="A2749" t="s">
        <v>2753</v>
      </c>
      <c r="B2749">
        <v>0.99352677808782597</v>
      </c>
      <c r="C2749">
        <v>0.85837263514133499</v>
      </c>
      <c r="D2749">
        <v>1.0034228235792899</v>
      </c>
      <c r="E2749">
        <v>0.65900648471202605</v>
      </c>
      <c r="F2749">
        <v>0.65332721881025901</v>
      </c>
      <c r="G2749">
        <v>0.38843719243289199</v>
      </c>
      <c r="H2749">
        <v>0.24876627996184</v>
      </c>
      <c r="I2749">
        <v>0.23278055725577301</v>
      </c>
      <c r="J2749">
        <v>0.26018991332716601</v>
      </c>
      <c r="K2749">
        <v>0.139964713675647</v>
      </c>
      <c r="L2749">
        <v>670.55212896030105</v>
      </c>
      <c r="M2749">
        <v>12.557394839011399</v>
      </c>
      <c r="N2749">
        <v>54.765510129536302</v>
      </c>
      <c r="O2749">
        <v>52.099053413468901</v>
      </c>
      <c r="P2749">
        <v>-5.2163374363896599E-2</v>
      </c>
      <c r="Q2749">
        <v>0.134497806528177</v>
      </c>
      <c r="R2749">
        <v>0.95995155465446202</v>
      </c>
      <c r="S2749" t="s">
        <v>9034</v>
      </c>
      <c r="T2749" t="s">
        <v>12568</v>
      </c>
      <c r="U2749" t="s">
        <v>12568</v>
      </c>
      <c r="V2749" t="s">
        <v>12568</v>
      </c>
      <c r="W2749" t="s">
        <v>15280</v>
      </c>
      <c r="X2749">
        <v>4</v>
      </c>
      <c r="Y2749" t="s">
        <v>21441</v>
      </c>
      <c r="Z2749" t="s">
        <v>27619</v>
      </c>
      <c r="AA2749">
        <v>0.54378187789324928</v>
      </c>
      <c r="AB2749" t="str">
        <f>HYPERLINK("Melting_Curves/meltCurve_Q04656_5_ATP7A.pdf", "Melting_Curves/meltCurve_Q04656_5_ATP7A.pdf")</f>
        <v>Melting_Curves/meltCurve_Q04656_5_ATP7A.pdf</v>
      </c>
    </row>
    <row r="2750" spans="1:28" x14ac:dyDescent="0.25">
      <c r="A2750" t="s">
        <v>2754</v>
      </c>
      <c r="B2750">
        <v>0.99352677808782597</v>
      </c>
      <c r="C2750">
        <v>0.97584852017761003</v>
      </c>
      <c r="D2750">
        <v>0.86998277537109903</v>
      </c>
      <c r="E2750">
        <v>0.64359692245993505</v>
      </c>
      <c r="F2750">
        <v>0.55810070208135498</v>
      </c>
      <c r="G2750">
        <v>0.44813970156053801</v>
      </c>
      <c r="H2750">
        <v>0.34460381182800898</v>
      </c>
      <c r="I2750">
        <v>0.33105339158415997</v>
      </c>
      <c r="J2750">
        <v>0.28672051520326303</v>
      </c>
      <c r="K2750">
        <v>0.22236955752158599</v>
      </c>
      <c r="L2750">
        <v>614.43286083135195</v>
      </c>
      <c r="M2750">
        <v>11.893189588283199</v>
      </c>
      <c r="N2750">
        <v>54.536941522943501</v>
      </c>
      <c r="O2750">
        <v>50.266940710904301</v>
      </c>
      <c r="P2750">
        <v>-4.5387877704954303E-2</v>
      </c>
      <c r="Q2750">
        <v>0.23285827501136999</v>
      </c>
      <c r="R2750">
        <v>0.99010977934945199</v>
      </c>
      <c r="S2750" t="s">
        <v>9035</v>
      </c>
      <c r="T2750" t="s">
        <v>12568</v>
      </c>
      <c r="U2750" t="s">
        <v>12568</v>
      </c>
      <c r="V2750" t="s">
        <v>12568</v>
      </c>
      <c r="W2750" t="s">
        <v>15281</v>
      </c>
      <c r="X2750">
        <v>14</v>
      </c>
      <c r="Y2750" t="s">
        <v>21442</v>
      </c>
      <c r="Z2750" t="s">
        <v>27620</v>
      </c>
      <c r="AA2750">
        <v>0.55537800304771168</v>
      </c>
      <c r="AB2750" t="str">
        <f>HYPERLINK("Melting_Curves/meltCurve_Q04724_TLE1.pdf", "Melting_Curves/meltCurve_Q04724_TLE1.pdf")</f>
        <v>Melting_Curves/meltCurve_Q04724_TLE1.pdf</v>
      </c>
    </row>
    <row r="2751" spans="1:28" x14ac:dyDescent="0.25">
      <c r="A2751" t="s">
        <v>2755</v>
      </c>
      <c r="B2751">
        <v>0.99352677808782597</v>
      </c>
      <c r="C2751">
        <v>0.97704881569128599</v>
      </c>
      <c r="D2751">
        <v>0.94663792668265301</v>
      </c>
      <c r="E2751">
        <v>0.81668593925017396</v>
      </c>
      <c r="F2751">
        <v>0.71260936899862803</v>
      </c>
      <c r="G2751">
        <v>0.56200536306563598</v>
      </c>
      <c r="H2751">
        <v>0.453988187097699</v>
      </c>
      <c r="I2751">
        <v>0.45540416131803901</v>
      </c>
      <c r="J2751">
        <v>0.31515551783655199</v>
      </c>
      <c r="K2751">
        <v>0.28263389787686199</v>
      </c>
      <c r="L2751">
        <v>552.77588038357896</v>
      </c>
      <c r="M2751">
        <v>9.7819725700549807</v>
      </c>
      <c r="N2751">
        <v>59.518127488291498</v>
      </c>
      <c r="O2751">
        <v>54.299796600760203</v>
      </c>
      <c r="P2751">
        <v>-3.6271737769918398E-2</v>
      </c>
      <c r="Q2751">
        <v>0.19504724718490701</v>
      </c>
      <c r="R2751">
        <v>0.99029745730726704</v>
      </c>
      <c r="S2751" t="s">
        <v>9036</v>
      </c>
      <c r="T2751" t="s">
        <v>12568</v>
      </c>
      <c r="U2751" t="s">
        <v>12568</v>
      </c>
      <c r="V2751" t="s">
        <v>12568</v>
      </c>
      <c r="W2751" t="s">
        <v>15282</v>
      </c>
      <c r="X2751">
        <v>10</v>
      </c>
      <c r="Y2751" t="s">
        <v>21443</v>
      </c>
      <c r="Z2751" t="s">
        <v>27621</v>
      </c>
      <c r="AA2751">
        <v>0.65278853493659172</v>
      </c>
      <c r="AB2751" t="str">
        <f>HYPERLINK("Melting_Curves/meltCurve_Q04726_3_TLE3.pdf", "Melting_Curves/meltCurve_Q04726_3_TLE3.pdf")</f>
        <v>Melting_Curves/meltCurve_Q04726_3_TLE3.pdf</v>
      </c>
    </row>
    <row r="2752" spans="1:28" x14ac:dyDescent="0.25">
      <c r="A2752" t="s">
        <v>2756</v>
      </c>
      <c r="B2752">
        <v>0.99352677808782597</v>
      </c>
      <c r="C2752">
        <v>1.0242090784635101</v>
      </c>
      <c r="D2752">
        <v>1.0120560828552201</v>
      </c>
      <c r="E2752">
        <v>0.95070101978075805</v>
      </c>
      <c r="F2752">
        <v>0.90211883226497602</v>
      </c>
      <c r="G2752">
        <v>0.76288629061490698</v>
      </c>
      <c r="H2752">
        <v>0.67116713735085498</v>
      </c>
      <c r="I2752">
        <v>0.62480554888461004</v>
      </c>
      <c r="J2752">
        <v>0.56165727413537203</v>
      </c>
      <c r="K2752">
        <v>0.318413074227958</v>
      </c>
      <c r="L2752">
        <v>580.34107921485599</v>
      </c>
      <c r="M2752">
        <v>8.7197019239664098</v>
      </c>
      <c r="N2752">
        <v>66.555150355706601</v>
      </c>
      <c r="O2752">
        <v>63.332783285228899</v>
      </c>
      <c r="P2752">
        <v>-3.4448346529982903E-2</v>
      </c>
      <c r="Q2752">
        <v>0</v>
      </c>
      <c r="R2752">
        <v>0.96431726720078903</v>
      </c>
      <c r="S2752" t="s">
        <v>9037</v>
      </c>
      <c r="T2752" t="s">
        <v>12568</v>
      </c>
      <c r="U2752" t="s">
        <v>12568</v>
      </c>
      <c r="V2752" t="s">
        <v>12568</v>
      </c>
      <c r="W2752" t="s">
        <v>15283</v>
      </c>
      <c r="X2752">
        <v>3</v>
      </c>
      <c r="Y2752" t="s">
        <v>21444</v>
      </c>
      <c r="Z2752" t="s">
        <v>27622</v>
      </c>
      <c r="AA2752">
        <v>0.79578266312115187</v>
      </c>
      <c r="AB2752" t="str">
        <f>HYPERLINK("Melting_Curves/meltCurve_Q04756_HGFAC.pdf", "Melting_Curves/meltCurve_Q04756_HGFAC.pdf")</f>
        <v>Melting_Curves/meltCurve_Q04756_HGFAC.pdf</v>
      </c>
    </row>
    <row r="2753" spans="1:28" x14ac:dyDescent="0.25">
      <c r="A2753" t="s">
        <v>2757</v>
      </c>
      <c r="B2753">
        <v>0.99352677808782597</v>
      </c>
      <c r="C2753">
        <v>0.97723823194360304</v>
      </c>
      <c r="D2753">
        <v>1.0276921962329999</v>
      </c>
      <c r="E2753">
        <v>0.88085457041941095</v>
      </c>
      <c r="F2753">
        <v>0.802855798276357</v>
      </c>
      <c r="G2753">
        <v>0.54523534350125302</v>
      </c>
      <c r="H2753">
        <v>0.237497558617246</v>
      </c>
      <c r="I2753">
        <v>0.18693461114652499</v>
      </c>
      <c r="J2753">
        <v>0.14582150035013</v>
      </c>
      <c r="K2753">
        <v>9.73266202540463E-2</v>
      </c>
      <c r="L2753">
        <v>1021.14886298897</v>
      </c>
      <c r="M2753">
        <v>17.997951423723901</v>
      </c>
      <c r="N2753">
        <v>57.237121839835098</v>
      </c>
      <c r="O2753">
        <v>56.050419782888703</v>
      </c>
      <c r="P2753">
        <v>-7.4438029844836107E-2</v>
      </c>
      <c r="Q2753">
        <v>7.2766277212763394E-2</v>
      </c>
      <c r="R2753">
        <v>0.99491371169680098</v>
      </c>
      <c r="S2753" t="s">
        <v>9038</v>
      </c>
      <c r="T2753" t="s">
        <v>12568</v>
      </c>
      <c r="U2753" t="s">
        <v>12568</v>
      </c>
      <c r="V2753" t="s">
        <v>12568</v>
      </c>
      <c r="W2753" t="s">
        <v>15284</v>
      </c>
      <c r="X2753">
        <v>11</v>
      </c>
      <c r="Y2753" t="s">
        <v>21445</v>
      </c>
      <c r="Z2753" t="s">
        <v>27623</v>
      </c>
      <c r="AA2753">
        <v>0.60306756015664931</v>
      </c>
      <c r="AB2753" t="str">
        <f>HYPERLINK("Melting_Curves/meltCurve_Q04760_GLO1.pdf", "Melting_Curves/meltCurve_Q04760_GLO1.pdf")</f>
        <v>Melting_Curves/meltCurve_Q04760_GLO1.pdf</v>
      </c>
    </row>
    <row r="2754" spans="1:28" x14ac:dyDescent="0.25">
      <c r="A2754" t="s">
        <v>2758</v>
      </c>
      <c r="B2754">
        <v>0.99352677808782597</v>
      </c>
      <c r="C2754">
        <v>0.83659590344210699</v>
      </c>
      <c r="D2754">
        <v>0.68337841662868704</v>
      </c>
      <c r="E2754">
        <v>0.19454715004392101</v>
      </c>
      <c r="F2754">
        <v>0.130971579561528</v>
      </c>
      <c r="G2754">
        <v>7.9615642498011605E-2</v>
      </c>
      <c r="H2754">
        <v>6.1769094217300702E-2</v>
      </c>
      <c r="I2754">
        <v>5.8782992338016198E-2</v>
      </c>
      <c r="J2754">
        <v>5.1592874502925497E-2</v>
      </c>
      <c r="K2754">
        <v>3.7030125940770799E-2</v>
      </c>
      <c r="L2754">
        <v>1067.7112086376301</v>
      </c>
      <c r="M2754">
        <v>22.746188397861101</v>
      </c>
      <c r="N2754">
        <v>47.161639902200001</v>
      </c>
      <c r="O2754">
        <v>46.581932293037497</v>
      </c>
      <c r="P2754">
        <v>-0.11589628600546099</v>
      </c>
      <c r="Q2754">
        <v>5.0642287083562901E-2</v>
      </c>
      <c r="R2754">
        <v>0.99253133195127496</v>
      </c>
      <c r="S2754" t="s">
        <v>9039</v>
      </c>
      <c r="T2754" t="s">
        <v>12568</v>
      </c>
      <c r="U2754" t="s">
        <v>12568</v>
      </c>
      <c r="V2754" t="s">
        <v>12568</v>
      </c>
      <c r="W2754" t="s">
        <v>15285</v>
      </c>
      <c r="X2754">
        <v>27</v>
      </c>
      <c r="Y2754" t="s">
        <v>21446</v>
      </c>
      <c r="Z2754" t="s">
        <v>27624</v>
      </c>
      <c r="AA2754">
        <v>0.28073378484944361</v>
      </c>
      <c r="AB2754" t="str">
        <f>HYPERLINK("Melting_Curves/meltCurve_Q04828_AKR1C1.pdf", "Melting_Curves/meltCurve_Q04828_AKR1C1.pdf")</f>
        <v>Melting_Curves/meltCurve_Q04828_AKR1C1.pdf</v>
      </c>
    </row>
    <row r="2755" spans="1:28" x14ac:dyDescent="0.25">
      <c r="A2755" t="s">
        <v>2759</v>
      </c>
      <c r="B2755">
        <v>0.99352677808782597</v>
      </c>
      <c r="C2755">
        <v>1.03904902376237</v>
      </c>
      <c r="D2755">
        <v>1.0110698302569801</v>
      </c>
      <c r="E2755">
        <v>0.94491772509289695</v>
      </c>
      <c r="F2755">
        <v>0.83341962928846702</v>
      </c>
      <c r="G2755">
        <v>0.73348796492953505</v>
      </c>
      <c r="H2755">
        <v>0.71482961544998103</v>
      </c>
      <c r="I2755">
        <v>0.77831492678874103</v>
      </c>
      <c r="J2755">
        <v>0.85835718797760996</v>
      </c>
      <c r="K2755">
        <v>0.60617015985422495</v>
      </c>
      <c r="L2755">
        <v>1890.8442638719901</v>
      </c>
      <c r="M2755">
        <v>36.3249108536222</v>
      </c>
      <c r="O2755">
        <v>51.896656853907203</v>
      </c>
      <c r="P2755">
        <v>-4.6111650724258303E-2</v>
      </c>
      <c r="Q2755">
        <v>0.73648576750238504</v>
      </c>
      <c r="R2755">
        <v>0.80803368708949497</v>
      </c>
      <c r="S2755" t="s">
        <v>9040</v>
      </c>
      <c r="T2755" t="s">
        <v>12568</v>
      </c>
      <c r="U2755" t="s">
        <v>12568</v>
      </c>
      <c r="V2755" t="s">
        <v>12568</v>
      </c>
      <c r="W2755" t="s">
        <v>15286</v>
      </c>
      <c r="X2755">
        <v>11</v>
      </c>
      <c r="Y2755" t="s">
        <v>21447</v>
      </c>
      <c r="Z2755" t="s">
        <v>27625</v>
      </c>
      <c r="AA2755">
        <v>0.84351285693736899</v>
      </c>
      <c r="AB2755" t="str">
        <f>HYPERLINK("Melting_Curves/meltCurve_Q04837_SSBP1.pdf", "Melting_Curves/meltCurve_Q04837_SSBP1.pdf")</f>
        <v>Melting_Curves/meltCurve_Q04837_SSBP1.pdf</v>
      </c>
    </row>
    <row r="2756" spans="1:28" x14ac:dyDescent="0.25">
      <c r="A2756" t="s">
        <v>2760</v>
      </c>
      <c r="B2756">
        <v>0.99352677808782597</v>
      </c>
      <c r="C2756">
        <v>0.96281956208093999</v>
      </c>
      <c r="D2756">
        <v>1.0044776316120001</v>
      </c>
      <c r="E2756">
        <v>0.81504086755812399</v>
      </c>
      <c r="F2756">
        <v>0.74078346306943699</v>
      </c>
      <c r="G2756">
        <v>0.39778539268952201</v>
      </c>
      <c r="H2756">
        <v>0.18700481322738999</v>
      </c>
      <c r="I2756">
        <v>0.146083876638751</v>
      </c>
      <c r="J2756">
        <v>0.12327904244084199</v>
      </c>
      <c r="K2756">
        <v>8.8203483085029705E-2</v>
      </c>
      <c r="L2756">
        <v>987.33412386955501</v>
      </c>
      <c r="M2756">
        <v>17.903989638046799</v>
      </c>
      <c r="N2756">
        <v>55.613728358703298</v>
      </c>
      <c r="O2756">
        <v>54.471880300282997</v>
      </c>
      <c r="P2756">
        <v>-7.6431794538030104E-2</v>
      </c>
      <c r="Q2756">
        <v>6.9889147704966195E-2</v>
      </c>
      <c r="R2756">
        <v>0.994163128176628</v>
      </c>
      <c r="S2756" t="s">
        <v>9041</v>
      </c>
      <c r="T2756" t="s">
        <v>12568</v>
      </c>
      <c r="U2756" t="s">
        <v>12568</v>
      </c>
      <c r="V2756" t="s">
        <v>12568</v>
      </c>
      <c r="W2756" t="s">
        <v>15287</v>
      </c>
      <c r="X2756">
        <v>20</v>
      </c>
      <c r="Y2756" t="s">
        <v>21448</v>
      </c>
      <c r="Z2756" t="s">
        <v>27626</v>
      </c>
      <c r="AA2756">
        <v>0.55387579927885033</v>
      </c>
      <c r="AB2756" t="str">
        <f>HYPERLINK("Melting_Curves/meltCurve_Q04917_YWHAH.pdf", "Melting_Curves/meltCurve_Q04917_YWHAH.pdf")</f>
        <v>Melting_Curves/meltCurve_Q04917_YWHAH.pdf</v>
      </c>
    </row>
    <row r="2757" spans="1:28" x14ac:dyDescent="0.25">
      <c r="A2757" t="s">
        <v>2761</v>
      </c>
      <c r="B2757">
        <v>0.99352677808782597</v>
      </c>
      <c r="C2757">
        <v>1.0193326081310901</v>
      </c>
      <c r="D2757">
        <v>0.90078561790887102</v>
      </c>
      <c r="E2757">
        <v>0.98905628628407605</v>
      </c>
      <c r="F2757">
        <v>0.86201452386843502</v>
      </c>
      <c r="G2757">
        <v>0.63322603519604104</v>
      </c>
      <c r="H2757">
        <v>0.41076376881738902</v>
      </c>
      <c r="I2757">
        <v>0.28576516069526098</v>
      </c>
      <c r="J2757">
        <v>0.171483086961083</v>
      </c>
      <c r="K2757">
        <v>0.11047046072422601</v>
      </c>
      <c r="L2757">
        <v>879.04563012419703</v>
      </c>
      <c r="M2757">
        <v>14.831925425102501</v>
      </c>
      <c r="N2757">
        <v>59.475550039735602</v>
      </c>
      <c r="O2757">
        <v>58.221034945933397</v>
      </c>
      <c r="P2757">
        <v>-6.20817181725795E-2</v>
      </c>
      <c r="Q2757">
        <v>2.5324043049850899E-2</v>
      </c>
      <c r="R2757">
        <v>0.99080014484283896</v>
      </c>
      <c r="S2757" t="s">
        <v>9042</v>
      </c>
      <c r="T2757" t="s">
        <v>12568</v>
      </c>
      <c r="U2757" t="s">
        <v>12568</v>
      </c>
      <c r="V2757" t="s">
        <v>12568</v>
      </c>
      <c r="W2757" t="s">
        <v>15288</v>
      </c>
      <c r="X2757">
        <v>9</v>
      </c>
      <c r="Y2757" t="s">
        <v>21449</v>
      </c>
      <c r="Z2757" t="s">
        <v>27627</v>
      </c>
      <c r="AA2757">
        <v>0.6605633512282767</v>
      </c>
      <c r="AB2757" t="str">
        <f>HYPERLINK("Melting_Curves/meltCurve_Q05048_CSTF1.pdf", "Melting_Curves/meltCurve_Q05048_CSTF1.pdf")</f>
        <v>Melting_Curves/meltCurve_Q05048_CSTF1.pdf</v>
      </c>
    </row>
    <row r="2758" spans="1:28" x14ac:dyDescent="0.25">
      <c r="A2758" t="s">
        <v>2762</v>
      </c>
      <c r="B2758">
        <v>0.99352677808782597</v>
      </c>
      <c r="C2758">
        <v>0.92668385843969703</v>
      </c>
      <c r="D2758">
        <v>0.87555638893875698</v>
      </c>
      <c r="E2758">
        <v>0.80306906284275503</v>
      </c>
      <c r="F2758">
        <v>0.69426568819899803</v>
      </c>
      <c r="G2758">
        <v>0.38726520129396003</v>
      </c>
      <c r="H2758">
        <v>0.216388354408449</v>
      </c>
      <c r="I2758">
        <v>0.204000115251808</v>
      </c>
      <c r="J2758">
        <v>0.17189611113647099</v>
      </c>
      <c r="K2758">
        <v>0.12057698429428999</v>
      </c>
      <c r="L2758">
        <v>729.136757013634</v>
      </c>
      <c r="M2758">
        <v>13.326332575317901</v>
      </c>
      <c r="N2758">
        <v>55.374182837863799</v>
      </c>
      <c r="O2758">
        <v>53.525966556068397</v>
      </c>
      <c r="P2758">
        <v>-5.7679800153241499E-2</v>
      </c>
      <c r="Q2758">
        <v>7.3451777519865605E-2</v>
      </c>
      <c r="R2758">
        <v>0.98852903610201104</v>
      </c>
      <c r="S2758" t="s">
        <v>9043</v>
      </c>
      <c r="T2758" t="s">
        <v>12568</v>
      </c>
      <c r="U2758" t="s">
        <v>12568</v>
      </c>
      <c r="V2758" t="s">
        <v>12568</v>
      </c>
      <c r="W2758" t="s">
        <v>15289</v>
      </c>
      <c r="X2758">
        <v>19</v>
      </c>
      <c r="Y2758" t="s">
        <v>21450</v>
      </c>
      <c r="Z2758" t="s">
        <v>27628</v>
      </c>
      <c r="AA2758">
        <v>0.54845626759181998</v>
      </c>
      <c r="AB2758" t="str">
        <f>HYPERLINK("Melting_Curves/meltCurve_Q05086_3_UBE3A.pdf", "Melting_Curves/meltCurve_Q05086_3_UBE3A.pdf")</f>
        <v>Melting_Curves/meltCurve_Q05086_3_UBE3A.pdf</v>
      </c>
    </row>
    <row r="2759" spans="1:28" x14ac:dyDescent="0.25">
      <c r="A2759" t="s">
        <v>2763</v>
      </c>
      <c r="B2759">
        <v>0.99352677808782597</v>
      </c>
      <c r="C2759">
        <v>0.959680965428508</v>
      </c>
      <c r="D2759">
        <v>0.80484838237170997</v>
      </c>
      <c r="E2759">
        <v>0.24356575822245499</v>
      </c>
      <c r="F2759">
        <v>0.18591436482306201</v>
      </c>
      <c r="G2759">
        <v>0.102558179372</v>
      </c>
      <c r="H2759">
        <v>7.26491287043078E-2</v>
      </c>
      <c r="I2759">
        <v>7.0597511433741003E-2</v>
      </c>
      <c r="J2759">
        <v>5.1380872158671001E-2</v>
      </c>
      <c r="K2759">
        <v>4.0844596005987298E-2</v>
      </c>
      <c r="L2759">
        <v>1418.4331095309101</v>
      </c>
      <c r="M2759">
        <v>29.621247433857299</v>
      </c>
      <c r="N2759">
        <v>48.140755365478299</v>
      </c>
      <c r="O2759">
        <v>47.669002097420403</v>
      </c>
      <c r="P2759">
        <v>-0.144066582564259</v>
      </c>
      <c r="Q2759">
        <v>7.2630044658094001E-2</v>
      </c>
      <c r="R2759">
        <v>0.99468627218254702</v>
      </c>
      <c r="S2759" t="s">
        <v>9044</v>
      </c>
      <c r="T2759" t="s">
        <v>12568</v>
      </c>
      <c r="U2759" t="s">
        <v>12568</v>
      </c>
      <c r="V2759" t="s">
        <v>12568</v>
      </c>
      <c r="W2759" t="s">
        <v>15290</v>
      </c>
      <c r="X2759">
        <v>37</v>
      </c>
      <c r="Y2759" t="s">
        <v>21451</v>
      </c>
      <c r="Z2759" t="s">
        <v>27629</v>
      </c>
      <c r="AA2759">
        <v>0.32212100804366778</v>
      </c>
      <c r="AB2759" t="str">
        <f>HYPERLINK("Melting_Curves/meltCurve_Q05193_DNM1.pdf", "Melting_Curves/meltCurve_Q05193_DNM1.pdf")</f>
        <v>Melting_Curves/meltCurve_Q05193_DNM1.pdf</v>
      </c>
    </row>
    <row r="2760" spans="1:28" x14ac:dyDescent="0.25">
      <c r="A2760" t="s">
        <v>2764</v>
      </c>
      <c r="B2760">
        <v>0.99352677808782597</v>
      </c>
      <c r="C2760">
        <v>0.97135285816902694</v>
      </c>
      <c r="D2760">
        <v>1.0020753241896101</v>
      </c>
      <c r="E2760">
        <v>0.57933820833790095</v>
      </c>
      <c r="F2760">
        <v>0.49386068913610898</v>
      </c>
      <c r="G2760">
        <v>0.36188937921511999</v>
      </c>
      <c r="H2760">
        <v>0.29785511922974001</v>
      </c>
      <c r="I2760">
        <v>0.32656424389864702</v>
      </c>
      <c r="J2760">
        <v>0.31849738796872101</v>
      </c>
      <c r="K2760">
        <v>0.27273734641081299</v>
      </c>
      <c r="L2760">
        <v>1276.64844748468</v>
      </c>
      <c r="M2760">
        <v>25.609235951722599</v>
      </c>
      <c r="N2760">
        <v>51.835829308897601</v>
      </c>
      <c r="O2760">
        <v>49.5501057208227</v>
      </c>
      <c r="P2760">
        <v>-8.8838947629633305E-2</v>
      </c>
      <c r="Q2760">
        <v>0.31244725201721002</v>
      </c>
      <c r="R2760">
        <v>0.98136089405103999</v>
      </c>
      <c r="S2760" t="s">
        <v>9045</v>
      </c>
      <c r="T2760" t="s">
        <v>12568</v>
      </c>
      <c r="U2760" t="s">
        <v>12568</v>
      </c>
      <c r="V2760" t="s">
        <v>12568</v>
      </c>
      <c r="W2760" t="s">
        <v>15291</v>
      </c>
      <c r="X2760">
        <v>30</v>
      </c>
      <c r="Y2760" t="s">
        <v>21452</v>
      </c>
      <c r="Z2760" t="s">
        <v>27630</v>
      </c>
      <c r="AA2760">
        <v>0.54406373149302689</v>
      </c>
      <c r="AB2760" t="str">
        <f>HYPERLINK("Melting_Curves/meltCurve_Q05209_PTPN12.pdf", "Melting_Curves/meltCurve_Q05209_PTPN12.pdf")</f>
        <v>Melting_Curves/meltCurve_Q05209_PTPN12.pdf</v>
      </c>
    </row>
    <row r="2761" spans="1:28" x14ac:dyDescent="0.25">
      <c r="A2761" t="s">
        <v>2765</v>
      </c>
      <c r="B2761">
        <v>0.99352677808782597</v>
      </c>
      <c r="C2761">
        <v>0.95581767736231105</v>
      </c>
      <c r="D2761">
        <v>0.94173033853601096</v>
      </c>
      <c r="E2761">
        <v>0.64834796049119503</v>
      </c>
      <c r="F2761">
        <v>0.58541829689650504</v>
      </c>
      <c r="G2761">
        <v>0.154753344484785</v>
      </c>
      <c r="H2761">
        <v>9.21880276344266E-2</v>
      </c>
      <c r="I2761">
        <v>6.70361012672962E-2</v>
      </c>
      <c r="J2761">
        <v>5.1153408395933998E-2</v>
      </c>
      <c r="K2761">
        <v>4.0268513823089103E-2</v>
      </c>
      <c r="L2761">
        <v>901.61535177260998</v>
      </c>
      <c r="M2761">
        <v>17.1129950108526</v>
      </c>
      <c r="N2761">
        <v>52.776238030568898</v>
      </c>
      <c r="O2761">
        <v>51.9823391698054</v>
      </c>
      <c r="P2761">
        <v>-8.1120322318147503E-2</v>
      </c>
      <c r="Q2761">
        <v>1.44165721904198E-2</v>
      </c>
      <c r="R2761">
        <v>0.985651090549862</v>
      </c>
      <c r="S2761" t="s">
        <v>9046</v>
      </c>
      <c r="T2761" t="s">
        <v>12568</v>
      </c>
      <c r="U2761" t="s">
        <v>12568</v>
      </c>
      <c r="V2761" t="s">
        <v>12568</v>
      </c>
      <c r="W2761" t="s">
        <v>15292</v>
      </c>
      <c r="X2761">
        <v>5</v>
      </c>
      <c r="Y2761" t="s">
        <v>21453</v>
      </c>
      <c r="Z2761" t="s">
        <v>27631</v>
      </c>
      <c r="AA2761">
        <v>0.44879154236577118</v>
      </c>
      <c r="AB2761" t="str">
        <f>HYPERLINK("Melting_Curves/meltCurve_Q05513_PRKCZ.pdf", "Melting_Curves/meltCurve_Q05513_PRKCZ.pdf")</f>
        <v>Melting_Curves/meltCurve_Q05513_PRKCZ.pdf</v>
      </c>
    </row>
    <row r="2762" spans="1:28" x14ac:dyDescent="0.25">
      <c r="A2762" t="s">
        <v>2766</v>
      </c>
      <c r="B2762">
        <v>0.99352677808782597</v>
      </c>
      <c r="C2762">
        <v>1.0187230585254099</v>
      </c>
      <c r="D2762">
        <v>0.99567523364624699</v>
      </c>
      <c r="E2762">
        <v>0.788127380271749</v>
      </c>
      <c r="F2762">
        <v>0.67108586981557194</v>
      </c>
      <c r="G2762">
        <v>0.41018490083550602</v>
      </c>
      <c r="H2762">
        <v>0.29296593029948897</v>
      </c>
      <c r="I2762">
        <v>0.30898149292409799</v>
      </c>
      <c r="J2762">
        <v>0.31091422859336598</v>
      </c>
      <c r="K2762">
        <v>0.26948923140997699</v>
      </c>
      <c r="L2762">
        <v>1057.61803851479</v>
      </c>
      <c r="M2762">
        <v>19.959418793487799</v>
      </c>
      <c r="N2762">
        <v>55.191166499049302</v>
      </c>
      <c r="O2762">
        <v>52.465111762760202</v>
      </c>
      <c r="P2762">
        <v>-6.8996355467977194E-2</v>
      </c>
      <c r="Q2762">
        <v>0.27457150271591901</v>
      </c>
      <c r="R2762">
        <v>0.99309125429591305</v>
      </c>
      <c r="S2762" t="s">
        <v>9047</v>
      </c>
      <c r="T2762" t="s">
        <v>12568</v>
      </c>
      <c r="U2762" t="s">
        <v>12568</v>
      </c>
      <c r="V2762" t="s">
        <v>12568</v>
      </c>
      <c r="W2762" t="s">
        <v>15293</v>
      </c>
      <c r="X2762">
        <v>8</v>
      </c>
      <c r="Y2762" t="s">
        <v>21454</v>
      </c>
      <c r="Z2762" t="s">
        <v>27632</v>
      </c>
      <c r="AA2762">
        <v>0.59865686189249201</v>
      </c>
      <c r="AB2762" t="str">
        <f>HYPERLINK("Melting_Curves/meltCurve_Q05519_2_SRSF11.pdf", "Melting_Curves/meltCurve_Q05519_2_SRSF11.pdf")</f>
        <v>Melting_Curves/meltCurve_Q05519_2_SRSF11.pdf</v>
      </c>
    </row>
    <row r="2763" spans="1:28" x14ac:dyDescent="0.25">
      <c r="A2763" t="s">
        <v>2767</v>
      </c>
      <c r="B2763">
        <v>0.99352677808782597</v>
      </c>
      <c r="C2763">
        <v>0.92912985667146497</v>
      </c>
      <c r="D2763">
        <v>0.97206975309779198</v>
      </c>
      <c r="E2763">
        <v>0.67878601615107304</v>
      </c>
      <c r="F2763">
        <v>0.60968990075629204</v>
      </c>
      <c r="G2763">
        <v>0.29135259609867797</v>
      </c>
      <c r="H2763">
        <v>0.135768169525257</v>
      </c>
      <c r="I2763">
        <v>0.131383343023319</v>
      </c>
      <c r="J2763">
        <v>9.5099729009916895E-2</v>
      </c>
      <c r="K2763">
        <v>7.8229102761618804E-2</v>
      </c>
      <c r="L2763">
        <v>807.78011239924399</v>
      </c>
      <c r="M2763">
        <v>15.1478923400618</v>
      </c>
      <c r="N2763">
        <v>53.673816514349603</v>
      </c>
      <c r="O2763">
        <v>52.4227903926935</v>
      </c>
      <c r="P2763">
        <v>-6.8870696598644005E-2</v>
      </c>
      <c r="Q2763">
        <v>4.6720997651842303E-2</v>
      </c>
      <c r="R2763">
        <v>0.98884538281921297</v>
      </c>
      <c r="S2763" t="s">
        <v>9048</v>
      </c>
      <c r="T2763" t="s">
        <v>12568</v>
      </c>
      <c r="U2763" t="s">
        <v>12568</v>
      </c>
      <c r="V2763" t="s">
        <v>12568</v>
      </c>
      <c r="W2763" t="s">
        <v>15294</v>
      </c>
      <c r="X2763">
        <v>22</v>
      </c>
      <c r="Y2763" t="s">
        <v>21455</v>
      </c>
      <c r="Z2763" t="s">
        <v>27633</v>
      </c>
      <c r="AA2763">
        <v>0.49013129543874417</v>
      </c>
      <c r="AB2763" t="str">
        <f>HYPERLINK("Melting_Curves/meltCurve_Q05639_EEF1A2.pdf", "Melting_Curves/meltCurve_Q05639_EEF1A2.pdf")</f>
        <v>Melting_Curves/meltCurve_Q05639_EEF1A2.pdf</v>
      </c>
    </row>
    <row r="2764" spans="1:28" x14ac:dyDescent="0.25">
      <c r="A2764" t="s">
        <v>2768</v>
      </c>
      <c r="B2764">
        <v>0.99352677808782597</v>
      </c>
      <c r="C2764">
        <v>0.967319941552229</v>
      </c>
      <c r="D2764">
        <v>0.95148364615756498</v>
      </c>
      <c r="E2764">
        <v>0.715330922787074</v>
      </c>
      <c r="F2764">
        <v>0.66477543842513198</v>
      </c>
      <c r="G2764">
        <v>0.27737964254389502</v>
      </c>
      <c r="H2764">
        <v>0.12636788063124399</v>
      </c>
      <c r="I2764">
        <v>0.11130191785209299</v>
      </c>
      <c r="J2764">
        <v>8.6248408660625595E-2</v>
      </c>
      <c r="K2764">
        <v>7.0439037565137599E-2</v>
      </c>
      <c r="L2764">
        <v>881.21971543016502</v>
      </c>
      <c r="M2764">
        <v>16.378987526973098</v>
      </c>
      <c r="N2764">
        <v>54.058339364595902</v>
      </c>
      <c r="O2764">
        <v>53.019028228951598</v>
      </c>
      <c r="P2764">
        <v>-7.4349655739805606E-2</v>
      </c>
      <c r="Q2764">
        <v>3.7385147809023002E-2</v>
      </c>
      <c r="R2764">
        <v>0.989294725681922</v>
      </c>
      <c r="S2764" t="s">
        <v>9049</v>
      </c>
      <c r="T2764" t="s">
        <v>12568</v>
      </c>
      <c r="U2764" t="s">
        <v>12568</v>
      </c>
      <c r="V2764" t="s">
        <v>12568</v>
      </c>
      <c r="W2764" t="s">
        <v>15295</v>
      </c>
      <c r="X2764">
        <v>14</v>
      </c>
      <c r="Y2764" t="s">
        <v>21456</v>
      </c>
      <c r="Z2764" t="s">
        <v>27634</v>
      </c>
      <c r="AA2764">
        <v>0.49800035319572589</v>
      </c>
      <c r="AB2764" t="str">
        <f>HYPERLINK("Melting_Curves/meltCurve_Q05655_PRKCD.pdf", "Melting_Curves/meltCurve_Q05655_PRKCD.pdf")</f>
        <v>Melting_Curves/meltCurve_Q05655_PRKCD.pdf</v>
      </c>
    </row>
    <row r="2765" spans="1:28" x14ac:dyDescent="0.25">
      <c r="A2765" t="s">
        <v>2769</v>
      </c>
      <c r="B2765">
        <v>0.99352677808782597</v>
      </c>
      <c r="C2765">
        <v>0.97702047445715801</v>
      </c>
      <c r="D2765">
        <v>1.07160556050434</v>
      </c>
      <c r="E2765">
        <v>1.05975000313968</v>
      </c>
      <c r="F2765">
        <v>0.98208413034876196</v>
      </c>
      <c r="G2765">
        <v>0.92260079832163999</v>
      </c>
      <c r="H2765">
        <v>0.89241866033086104</v>
      </c>
      <c r="I2765">
        <v>1.0245138707477</v>
      </c>
      <c r="J2765">
        <v>1.3436159832113099</v>
      </c>
      <c r="K2765">
        <v>1.20835839437586</v>
      </c>
      <c r="L2765">
        <v>15000</v>
      </c>
      <c r="M2765">
        <v>232.057158658367</v>
      </c>
      <c r="O2765">
        <v>64.634470303524395</v>
      </c>
      <c r="P2765">
        <v>0.24773622506745099</v>
      </c>
      <c r="Q2765">
        <v>1.27600602903853</v>
      </c>
      <c r="R2765">
        <v>0.78208723373771205</v>
      </c>
      <c r="S2765" t="s">
        <v>9050</v>
      </c>
      <c r="T2765" t="s">
        <v>12568</v>
      </c>
      <c r="U2765" t="s">
        <v>12568</v>
      </c>
      <c r="V2765" t="s">
        <v>12568</v>
      </c>
      <c r="W2765" t="s">
        <v>12919</v>
      </c>
      <c r="X2765">
        <v>47</v>
      </c>
      <c r="Y2765" t="s">
        <v>19148</v>
      </c>
      <c r="Z2765" t="s">
        <v>27635</v>
      </c>
      <c r="AA2765">
        <v>1.0492836641349981</v>
      </c>
      <c r="AB2765" t="str">
        <f>HYPERLINK("Melting_Curves/meltCurve_Q05682_CALD1.pdf", "Melting_Curves/meltCurve_Q05682_CALD1.pdf")</f>
        <v>Melting_Curves/meltCurve_Q05682_CALD1.pdf</v>
      </c>
    </row>
    <row r="2766" spans="1:28" x14ac:dyDescent="0.25">
      <c r="A2766" t="s">
        <v>2770</v>
      </c>
      <c r="B2766">
        <v>0.99352677808782597</v>
      </c>
      <c r="C2766">
        <v>0.96734190756819904</v>
      </c>
      <c r="D2766">
        <v>1.06668112768048</v>
      </c>
      <c r="E2766">
        <v>1.1823129190164301</v>
      </c>
      <c r="F2766">
        <v>1.1800481983048401</v>
      </c>
      <c r="G2766">
        <v>1.1532328802178999</v>
      </c>
      <c r="H2766">
        <v>1.1525366276033899</v>
      </c>
      <c r="I2766">
        <v>1.4617989629207</v>
      </c>
      <c r="J2766">
        <v>1.5927769720463001</v>
      </c>
      <c r="K2766">
        <v>1.58060384615843</v>
      </c>
      <c r="L2766">
        <v>760.81321251137194</v>
      </c>
      <c r="M2766">
        <v>13.254187150083601</v>
      </c>
      <c r="O2766">
        <v>56.142244485413002</v>
      </c>
      <c r="P2766">
        <v>2.9515115667695799E-2</v>
      </c>
      <c r="Q2766">
        <v>1.5</v>
      </c>
      <c r="R2766">
        <v>0.77106949291482596</v>
      </c>
      <c r="S2766" t="s">
        <v>9051</v>
      </c>
      <c r="T2766" t="s">
        <v>12568</v>
      </c>
      <c r="U2766" t="s">
        <v>12568</v>
      </c>
      <c r="V2766" t="s">
        <v>12568</v>
      </c>
      <c r="W2766" t="s">
        <v>15296</v>
      </c>
      <c r="X2766">
        <v>47</v>
      </c>
      <c r="Y2766" t="s">
        <v>19148</v>
      </c>
      <c r="Z2766" t="s">
        <v>27636</v>
      </c>
      <c r="AA2766">
        <v>1.2022727555641279</v>
      </c>
      <c r="AB2766" t="str">
        <f>HYPERLINK("Melting_Curves/meltCurve_Q05682_4_CALD1.pdf", "Melting_Curves/meltCurve_Q05682_4_CALD1.pdf")</f>
        <v>Melting_Curves/meltCurve_Q05682_4_CALD1.pdf</v>
      </c>
    </row>
    <row r="2767" spans="1:28" x14ac:dyDescent="0.25">
      <c r="A2767" t="s">
        <v>2771</v>
      </c>
      <c r="B2767">
        <v>0.99352677808782597</v>
      </c>
      <c r="C2767">
        <v>0.87278974986095303</v>
      </c>
      <c r="D2767">
        <v>0.66937278956413704</v>
      </c>
      <c r="E2767">
        <v>0.40316289963212099</v>
      </c>
      <c r="F2767">
        <v>0.33792610254555899</v>
      </c>
      <c r="G2767">
        <v>0.22040666810148099</v>
      </c>
      <c r="H2767">
        <v>8.6514948659601396E-2</v>
      </c>
      <c r="I2767">
        <v>0.11501190845761999</v>
      </c>
      <c r="J2767">
        <v>0.108497293245594</v>
      </c>
      <c r="K2767">
        <v>0.116358135606921</v>
      </c>
      <c r="L2767">
        <v>669.839917545704</v>
      </c>
      <c r="M2767">
        <v>13.899238879519899</v>
      </c>
      <c r="N2767">
        <v>48.906571478904702</v>
      </c>
      <c r="O2767">
        <v>47.227848437769403</v>
      </c>
      <c r="P2767">
        <v>-6.6828288634014202E-2</v>
      </c>
      <c r="Q2767">
        <v>9.1827469940146303E-2</v>
      </c>
      <c r="R2767">
        <v>0.99074262384257905</v>
      </c>
      <c r="S2767" t="s">
        <v>9052</v>
      </c>
      <c r="T2767" t="s">
        <v>12568</v>
      </c>
      <c r="U2767" t="s">
        <v>12568</v>
      </c>
      <c r="V2767" t="s">
        <v>12568</v>
      </c>
      <c r="W2767" t="s">
        <v>15297</v>
      </c>
      <c r="X2767">
        <v>1</v>
      </c>
      <c r="Y2767" t="s">
        <v>21457</v>
      </c>
      <c r="Z2767" t="s">
        <v>27637</v>
      </c>
      <c r="AA2767">
        <v>0.36667179371901898</v>
      </c>
      <c r="AB2767" t="str">
        <f>HYPERLINK("Melting_Curves/meltCurve_Q05823_RNASEL.pdf", "Melting_Curves/meltCurve_Q05823_RNASEL.pdf")</f>
        <v>Melting_Curves/meltCurve_Q05823_RNASEL.pdf</v>
      </c>
    </row>
    <row r="2768" spans="1:28" x14ac:dyDescent="0.25">
      <c r="A2768" t="s">
        <v>2772</v>
      </c>
      <c r="B2768">
        <v>0.99352677808782597</v>
      </c>
      <c r="C2768">
        <v>0.75508242436906203</v>
      </c>
      <c r="D2768">
        <v>0.98848721295825204</v>
      </c>
      <c r="E2768">
        <v>0.63571105431555097</v>
      </c>
      <c r="F2768">
        <v>0.56051673919990996</v>
      </c>
      <c r="G2768">
        <v>0.160917925030335</v>
      </c>
      <c r="H2768">
        <v>0.107257773358463</v>
      </c>
      <c r="I2768">
        <v>0.102796444907459</v>
      </c>
      <c r="J2768">
        <v>8.5436919296920294E-2</v>
      </c>
      <c r="K2768">
        <v>7.0026028771687093E-2</v>
      </c>
      <c r="L2768">
        <v>825.90781821318296</v>
      </c>
      <c r="M2768">
        <v>15.7989047351909</v>
      </c>
      <c r="N2768">
        <v>52.539331374842199</v>
      </c>
      <c r="O2768">
        <v>51.460237021156601</v>
      </c>
      <c r="P2768">
        <v>-7.3840290328921906E-2</v>
      </c>
      <c r="Q2768">
        <v>3.80280952719367E-2</v>
      </c>
      <c r="R2768">
        <v>0.94470460755949903</v>
      </c>
      <c r="S2768" t="s">
        <v>9053</v>
      </c>
      <c r="T2768" t="s">
        <v>12568</v>
      </c>
      <c r="U2768" t="s">
        <v>12568</v>
      </c>
      <c r="V2768" t="s">
        <v>12568</v>
      </c>
      <c r="W2768" t="s">
        <v>15298</v>
      </c>
      <c r="X2768">
        <v>35</v>
      </c>
      <c r="Y2768" t="s">
        <v>21458</v>
      </c>
      <c r="Z2768" t="s">
        <v>27638</v>
      </c>
      <c r="AA2768">
        <v>0.45135631088157352</v>
      </c>
      <c r="AB2768" t="str">
        <f>HYPERLINK("Melting_Curves/meltCurve_Q06124_PTPN11.pdf", "Melting_Curves/meltCurve_Q06124_PTPN11.pdf")</f>
        <v>Melting_Curves/meltCurve_Q06124_PTPN11.pdf</v>
      </c>
    </row>
    <row r="2769" spans="1:28" x14ac:dyDescent="0.25">
      <c r="A2769" t="s">
        <v>2773</v>
      </c>
      <c r="B2769">
        <v>0.99352677808782597</v>
      </c>
      <c r="C2769">
        <v>0.956944547830201</v>
      </c>
      <c r="D2769">
        <v>0.82784299301215203</v>
      </c>
      <c r="E2769">
        <v>0.63152577615453098</v>
      </c>
      <c r="F2769">
        <v>0.56193357625421003</v>
      </c>
      <c r="G2769">
        <v>0.36589746726566302</v>
      </c>
      <c r="H2769">
        <v>0.28132754662894099</v>
      </c>
      <c r="I2769">
        <v>0.26925339704752799</v>
      </c>
      <c r="J2769">
        <v>0.26393855833147201</v>
      </c>
      <c r="K2769">
        <v>0.20645589221222199</v>
      </c>
      <c r="L2769">
        <v>628.84187454285995</v>
      </c>
      <c r="M2769">
        <v>12.259815836384799</v>
      </c>
      <c r="N2769">
        <v>53.473588531238399</v>
      </c>
      <c r="O2769">
        <v>49.985489635283798</v>
      </c>
      <c r="P2769">
        <v>-4.9265445566770497E-2</v>
      </c>
      <c r="Q2769">
        <v>0.196721639145752</v>
      </c>
      <c r="R2769">
        <v>0.99374299753052897</v>
      </c>
      <c r="S2769" t="s">
        <v>9054</v>
      </c>
      <c r="T2769" t="s">
        <v>12568</v>
      </c>
      <c r="U2769" t="s">
        <v>12568</v>
      </c>
      <c r="V2769" t="s">
        <v>12568</v>
      </c>
      <c r="W2769" t="s">
        <v>15299</v>
      </c>
      <c r="X2769">
        <v>2</v>
      </c>
      <c r="Y2769" t="s">
        <v>21459</v>
      </c>
      <c r="Z2769" t="s">
        <v>27639</v>
      </c>
      <c r="AA2769">
        <v>0.52407020796189863</v>
      </c>
      <c r="AB2769" t="str">
        <f>HYPERLINK("Melting_Curves/meltCurve_Q06190_PPP2R3A.pdf", "Melting_Curves/meltCurve_Q06190_PPP2R3A.pdf")</f>
        <v>Melting_Curves/meltCurve_Q06190_PPP2R3A.pdf</v>
      </c>
    </row>
    <row r="2770" spans="1:28" x14ac:dyDescent="0.25">
      <c r="A2770" t="s">
        <v>2774</v>
      </c>
      <c r="B2770">
        <v>0.99352677808782597</v>
      </c>
      <c r="C2770">
        <v>1.06512218231342</v>
      </c>
      <c r="D2770">
        <v>0.92520369599787</v>
      </c>
      <c r="E2770">
        <v>0.88827936688021902</v>
      </c>
      <c r="F2770">
        <v>0.72144891753303397</v>
      </c>
      <c r="G2770">
        <v>0.70222033207536905</v>
      </c>
      <c r="H2770">
        <v>0.81078256827352702</v>
      </c>
      <c r="I2770">
        <v>0.62554926142081002</v>
      </c>
      <c r="J2770">
        <v>0.278376781613075</v>
      </c>
      <c r="K2770">
        <v>0.10029671562105399</v>
      </c>
      <c r="L2770">
        <v>696.44895947072098</v>
      </c>
      <c r="M2770">
        <v>10.9656983926861</v>
      </c>
      <c r="N2770">
        <v>63.511598220113598</v>
      </c>
      <c r="O2770">
        <v>61.508998621383498</v>
      </c>
      <c r="P2770">
        <v>-4.45847009448639E-2</v>
      </c>
      <c r="Q2770">
        <v>0</v>
      </c>
      <c r="R2770">
        <v>0.83157399949301203</v>
      </c>
      <c r="S2770" t="s">
        <v>9055</v>
      </c>
      <c r="T2770" t="s">
        <v>12568</v>
      </c>
      <c r="U2770" t="s">
        <v>12568</v>
      </c>
      <c r="V2770" t="s">
        <v>12568</v>
      </c>
      <c r="W2770" t="s">
        <v>15300</v>
      </c>
      <c r="X2770">
        <v>19</v>
      </c>
      <c r="Y2770" t="s">
        <v>21460</v>
      </c>
      <c r="Z2770" t="s">
        <v>27640</v>
      </c>
      <c r="AA2770">
        <v>0.75353427101185633</v>
      </c>
      <c r="AB2770" t="str">
        <f>HYPERLINK("Melting_Curves/meltCurve_Q06203_PPAT.pdf", "Melting_Curves/meltCurve_Q06203_PPAT.pdf")</f>
        <v>Melting_Curves/meltCurve_Q06203_PPAT.pdf</v>
      </c>
    </row>
    <row r="2771" spans="1:28" x14ac:dyDescent="0.25">
      <c r="A2771" t="s">
        <v>2775</v>
      </c>
      <c r="B2771">
        <v>0.99352677808782597</v>
      </c>
      <c r="C2771">
        <v>1.04946036694498</v>
      </c>
      <c r="D2771">
        <v>0.47891267300909801</v>
      </c>
      <c r="E2771">
        <v>0.223160361860788</v>
      </c>
      <c r="F2771">
        <v>0.155830164654055</v>
      </c>
      <c r="G2771">
        <v>8.5727161312341593E-2</v>
      </c>
      <c r="H2771">
        <v>5.2181812730936097E-2</v>
      </c>
      <c r="I2771">
        <v>4.9430096073380898E-2</v>
      </c>
      <c r="J2771">
        <v>4.0581417866080202E-2</v>
      </c>
      <c r="K2771">
        <v>3.1654211091988203E-2</v>
      </c>
      <c r="L2771">
        <v>11486.397157519101</v>
      </c>
      <c r="M2771">
        <v>250</v>
      </c>
      <c r="N2771">
        <v>45.982638735063503</v>
      </c>
      <c r="O2771">
        <v>45.942648960613703</v>
      </c>
      <c r="P2771">
        <v>-1.23629191684238</v>
      </c>
      <c r="Q2771">
        <v>9.1223603039940704E-2</v>
      </c>
      <c r="R2771">
        <v>0.97622245917291295</v>
      </c>
      <c r="S2771" t="s">
        <v>9056</v>
      </c>
      <c r="T2771" t="s">
        <v>12568</v>
      </c>
      <c r="U2771" t="s">
        <v>12568</v>
      </c>
      <c r="V2771" t="s">
        <v>12568</v>
      </c>
      <c r="W2771" t="s">
        <v>15301</v>
      </c>
      <c r="X2771">
        <v>27</v>
      </c>
      <c r="Y2771" t="s">
        <v>21461</v>
      </c>
      <c r="Z2771" t="s">
        <v>27641</v>
      </c>
      <c r="AA2771">
        <v>0.27140390156271083</v>
      </c>
      <c r="AB2771" t="str">
        <f>HYPERLINK("Melting_Curves/meltCurve_Q06210_2_GFPT1.pdf", "Melting_Curves/meltCurve_Q06210_2_GFPT1.pdf")</f>
        <v>Melting_Curves/meltCurve_Q06210_2_GFPT1.pdf</v>
      </c>
    </row>
    <row r="2772" spans="1:28" x14ac:dyDescent="0.25">
      <c r="A2772" t="s">
        <v>2776</v>
      </c>
      <c r="B2772">
        <v>0.99352677808782597</v>
      </c>
      <c r="C2772">
        <v>1.0626782652451801</v>
      </c>
      <c r="D2772">
        <v>1.1057887747902799</v>
      </c>
      <c r="E2772">
        <v>1.3544888568462701</v>
      </c>
      <c r="F2772">
        <v>1.1847928659642999</v>
      </c>
      <c r="G2772">
        <v>0.93918670319768505</v>
      </c>
      <c r="H2772">
        <v>0.73964530602868594</v>
      </c>
      <c r="I2772">
        <v>0.50022439238840499</v>
      </c>
      <c r="J2772">
        <v>0.27045866148192899</v>
      </c>
      <c r="K2772">
        <v>0.16116223095334301</v>
      </c>
      <c r="L2772">
        <v>1707.51791307547</v>
      </c>
      <c r="M2772">
        <v>26.982168571283999</v>
      </c>
      <c r="N2772">
        <v>63.837157844007699</v>
      </c>
      <c r="O2772">
        <v>62.938669212207799</v>
      </c>
      <c r="P2772">
        <v>-9.5990782201736305E-2</v>
      </c>
      <c r="Q2772">
        <v>0.104375787526366</v>
      </c>
      <c r="R2772">
        <v>0.87681766544819195</v>
      </c>
      <c r="S2772" t="s">
        <v>9057</v>
      </c>
      <c r="T2772" t="s">
        <v>12568</v>
      </c>
      <c r="U2772" t="s">
        <v>12568</v>
      </c>
      <c r="V2772" t="s">
        <v>12568</v>
      </c>
      <c r="W2772" t="s">
        <v>15302</v>
      </c>
      <c r="X2772">
        <v>7</v>
      </c>
      <c r="Y2772" t="s">
        <v>21462</v>
      </c>
      <c r="Z2772" t="s">
        <v>27642</v>
      </c>
      <c r="AA2772">
        <v>0.80138376428554869</v>
      </c>
      <c r="AB2772" t="str">
        <f>HYPERLINK("Melting_Curves/meltCurve_Q06265_EXOSC9.pdf", "Melting_Curves/meltCurve_Q06265_EXOSC9.pdf")</f>
        <v>Melting_Curves/meltCurve_Q06265_EXOSC9.pdf</v>
      </c>
    </row>
    <row r="2773" spans="1:28" x14ac:dyDescent="0.25">
      <c r="A2773" t="s">
        <v>2777</v>
      </c>
      <c r="B2773">
        <v>0.99352677808782597</v>
      </c>
      <c r="C2773">
        <v>1.0833515138062</v>
      </c>
      <c r="D2773">
        <v>1.04351628167761</v>
      </c>
      <c r="E2773">
        <v>1.09679210156408</v>
      </c>
      <c r="F2773">
        <v>0.98103651792273405</v>
      </c>
      <c r="G2773">
        <v>0.85981131958007595</v>
      </c>
      <c r="H2773">
        <v>0.73334388817505602</v>
      </c>
      <c r="I2773">
        <v>0.57481518718932401</v>
      </c>
      <c r="J2773">
        <v>0.42733827438646699</v>
      </c>
      <c r="K2773">
        <v>0.24726835214617601</v>
      </c>
      <c r="L2773">
        <v>976.15175164976995</v>
      </c>
      <c r="M2773">
        <v>14.9621392349337</v>
      </c>
      <c r="N2773">
        <v>65.241456267468294</v>
      </c>
      <c r="O2773">
        <v>64.109293247981299</v>
      </c>
      <c r="P2773">
        <v>-5.8352168026305502E-2</v>
      </c>
      <c r="Q2773">
        <v>0</v>
      </c>
      <c r="R2773">
        <v>0.97118790115591502</v>
      </c>
      <c r="S2773" t="s">
        <v>9058</v>
      </c>
      <c r="T2773" t="s">
        <v>12568</v>
      </c>
      <c r="U2773" t="s">
        <v>12568</v>
      </c>
      <c r="V2773" t="s">
        <v>12568</v>
      </c>
      <c r="W2773" t="s">
        <v>15303</v>
      </c>
      <c r="X2773">
        <v>22</v>
      </c>
      <c r="Y2773" t="s">
        <v>21463</v>
      </c>
      <c r="Z2773" t="s">
        <v>27643</v>
      </c>
      <c r="AA2773">
        <v>0.81336591755568532</v>
      </c>
      <c r="AB2773" t="str">
        <f>HYPERLINK("Melting_Curves/meltCurve_Q06323_PSME1.pdf", "Melting_Curves/meltCurve_Q06323_PSME1.pdf")</f>
        <v>Melting_Curves/meltCurve_Q06323_PSME1.pdf</v>
      </c>
    </row>
    <row r="2774" spans="1:28" x14ac:dyDescent="0.25">
      <c r="A2774" t="s">
        <v>2778</v>
      </c>
      <c r="B2774">
        <v>0.99352677808782597</v>
      </c>
      <c r="C2774">
        <v>0.97738109617837499</v>
      </c>
      <c r="D2774">
        <v>0.99186066122118899</v>
      </c>
      <c r="E2774">
        <v>0.85640725061716605</v>
      </c>
      <c r="F2774">
        <v>0.78016356485514404</v>
      </c>
      <c r="G2774">
        <v>0.52407275033509704</v>
      </c>
      <c r="H2774">
        <v>0.20657275781965101</v>
      </c>
      <c r="I2774">
        <v>0.17088679658966099</v>
      </c>
      <c r="J2774">
        <v>0.15065478912729799</v>
      </c>
      <c r="K2774">
        <v>0.108126817974287</v>
      </c>
      <c r="L2774">
        <v>988.04205319064204</v>
      </c>
      <c r="M2774">
        <v>17.562934195663601</v>
      </c>
      <c r="N2774">
        <v>56.781912491717698</v>
      </c>
      <c r="O2774">
        <v>55.543084668564703</v>
      </c>
      <c r="P2774">
        <v>-7.3133914999271105E-2</v>
      </c>
      <c r="Q2774">
        <v>7.4901179712239099E-2</v>
      </c>
      <c r="R2774">
        <v>0.99351917334788897</v>
      </c>
      <c r="S2774" t="s">
        <v>9059</v>
      </c>
      <c r="T2774" t="s">
        <v>12568</v>
      </c>
      <c r="U2774" t="s">
        <v>12568</v>
      </c>
      <c r="V2774" t="s">
        <v>12568</v>
      </c>
      <c r="W2774" t="s">
        <v>15304</v>
      </c>
      <c r="X2774">
        <v>5</v>
      </c>
      <c r="Y2774" t="s">
        <v>21464</v>
      </c>
      <c r="Z2774" t="s">
        <v>27644</v>
      </c>
      <c r="AA2774">
        <v>0.59000610276418386</v>
      </c>
      <c r="AB2774" t="str">
        <f>HYPERLINK("Melting_Curves/meltCurve_Q06330_5_RBPJ.pdf", "Melting_Curves/meltCurve_Q06330_5_RBPJ.pdf")</f>
        <v>Melting_Curves/meltCurve_Q06330_5_RBPJ.pdf</v>
      </c>
    </row>
    <row r="2775" spans="1:28" x14ac:dyDescent="0.25">
      <c r="A2775" t="s">
        <v>2779</v>
      </c>
      <c r="B2775">
        <v>0.99352677808782597</v>
      </c>
      <c r="C2775">
        <v>0.97563503145108399</v>
      </c>
      <c r="D2775">
        <v>0.88672414773345998</v>
      </c>
      <c r="E2775">
        <v>0.517026255486148</v>
      </c>
      <c r="F2775">
        <v>0.43231938835350903</v>
      </c>
      <c r="G2775">
        <v>0.29234519031490103</v>
      </c>
      <c r="H2775">
        <v>0.223495710281573</v>
      </c>
      <c r="I2775">
        <v>0.199682902938459</v>
      </c>
      <c r="J2775">
        <v>0.190170647830539</v>
      </c>
      <c r="K2775">
        <v>0.132502421883823</v>
      </c>
      <c r="L2775">
        <v>854.10679975507799</v>
      </c>
      <c r="M2775">
        <v>17.093137353300701</v>
      </c>
      <c r="N2775">
        <v>51.253811141818097</v>
      </c>
      <c r="O2775">
        <v>49.298949228884297</v>
      </c>
      <c r="P2775">
        <v>-7.1570078541351806E-2</v>
      </c>
      <c r="Q2775">
        <v>0.17437830108369801</v>
      </c>
      <c r="R2775">
        <v>0.98947771953399699</v>
      </c>
      <c r="S2775" t="s">
        <v>9060</v>
      </c>
      <c r="T2775" t="s">
        <v>12568</v>
      </c>
      <c r="U2775" t="s">
        <v>12568</v>
      </c>
      <c r="V2775" t="s">
        <v>12568</v>
      </c>
      <c r="W2775" t="s">
        <v>15305</v>
      </c>
      <c r="X2775">
        <v>6</v>
      </c>
      <c r="Y2775" t="s">
        <v>21465</v>
      </c>
      <c r="Z2775" t="s">
        <v>27645</v>
      </c>
      <c r="AA2775">
        <v>0.46422859790255822</v>
      </c>
      <c r="AB2775" t="str">
        <f>HYPERLINK("Melting_Curves/meltCurve_Q06546_GABPA.pdf", "Melting_Curves/meltCurve_Q06546_GABPA.pdf")</f>
        <v>Melting_Curves/meltCurve_Q06546_GABPA.pdf</v>
      </c>
    </row>
    <row r="2776" spans="1:28" x14ac:dyDescent="0.25">
      <c r="A2776" t="s">
        <v>2780</v>
      </c>
      <c r="B2776">
        <v>0.99352677808782597</v>
      </c>
      <c r="C2776">
        <v>0.97134955816371304</v>
      </c>
      <c r="D2776">
        <v>0.65570258500898904</v>
      </c>
      <c r="E2776">
        <v>0.43059199015289101</v>
      </c>
      <c r="F2776">
        <v>0.63058722492177599</v>
      </c>
      <c r="G2776">
        <v>0.331588939187275</v>
      </c>
      <c r="H2776">
        <v>0.27298410800963302</v>
      </c>
      <c r="I2776">
        <v>0.225125287789601</v>
      </c>
      <c r="J2776">
        <v>0.25139470320615698</v>
      </c>
      <c r="K2776">
        <v>0.17435000868828299</v>
      </c>
      <c r="L2776">
        <v>521.85051908992602</v>
      </c>
      <c r="M2776">
        <v>10.5214134394548</v>
      </c>
      <c r="N2776">
        <v>51.702729979300301</v>
      </c>
      <c r="O2776">
        <v>47.907668667049499</v>
      </c>
      <c r="P2776">
        <v>-4.53619632479259E-2</v>
      </c>
      <c r="Q2776">
        <v>0.17413520447101</v>
      </c>
      <c r="R2776">
        <v>0.90881307278974899</v>
      </c>
      <c r="S2776" t="s">
        <v>9061</v>
      </c>
      <c r="T2776" t="s">
        <v>12568</v>
      </c>
      <c r="U2776" t="s">
        <v>12568</v>
      </c>
      <c r="V2776" t="s">
        <v>12568</v>
      </c>
      <c r="W2776" t="s">
        <v>15306</v>
      </c>
      <c r="X2776">
        <v>1</v>
      </c>
      <c r="Y2776" t="s">
        <v>19510</v>
      </c>
      <c r="Z2776" t="s">
        <v>27646</v>
      </c>
      <c r="AA2776">
        <v>0.47421748830723681</v>
      </c>
      <c r="AB2776" t="str">
        <f>HYPERLINK("Melting_Curves/meltCurve_Q06547_2_GABPB1.pdf", "Melting_Curves/meltCurve_Q06547_2_GABPB1.pdf")</f>
        <v>Melting_Curves/meltCurve_Q06547_2_GABPB1.pdf</v>
      </c>
    </row>
    <row r="2777" spans="1:28" x14ac:dyDescent="0.25">
      <c r="A2777" t="s">
        <v>2781</v>
      </c>
      <c r="B2777">
        <v>0.99352677808782597</v>
      </c>
      <c r="C2777">
        <v>0.92388811190478903</v>
      </c>
      <c r="D2777">
        <v>0.83184374988089604</v>
      </c>
      <c r="E2777">
        <v>0.56526184842723004</v>
      </c>
      <c r="F2777">
        <v>0.44393296398627102</v>
      </c>
      <c r="G2777">
        <v>0.333369145143255</v>
      </c>
      <c r="H2777">
        <v>0.25298999867745098</v>
      </c>
      <c r="I2777">
        <v>0.25797892535751799</v>
      </c>
      <c r="J2777">
        <v>0.25339463318422401</v>
      </c>
      <c r="K2777">
        <v>0.196517524944581</v>
      </c>
      <c r="L2777">
        <v>737.96069392279401</v>
      </c>
      <c r="M2777">
        <v>14.8668169408319</v>
      </c>
      <c r="N2777">
        <v>51.625791929899798</v>
      </c>
      <c r="O2777">
        <v>48.765962827669199</v>
      </c>
      <c r="P2777">
        <v>-5.96131194130958E-2</v>
      </c>
      <c r="Q2777">
        <v>0.21791275286425699</v>
      </c>
      <c r="R2777">
        <v>0.99643586253095795</v>
      </c>
      <c r="S2777" t="s">
        <v>9062</v>
      </c>
      <c r="T2777" t="s">
        <v>12568</v>
      </c>
      <c r="U2777" t="s">
        <v>12568</v>
      </c>
      <c r="V2777" t="s">
        <v>12568</v>
      </c>
      <c r="W2777" t="s">
        <v>15307</v>
      </c>
      <c r="X2777">
        <v>4</v>
      </c>
      <c r="Y2777" t="s">
        <v>21466</v>
      </c>
      <c r="Z2777" t="s">
        <v>27647</v>
      </c>
      <c r="AA2777">
        <v>0.48835399680482272</v>
      </c>
      <c r="AB2777" t="str">
        <f>HYPERLINK("Melting_Curves/meltCurve_Q06587_RING1.pdf", "Melting_Curves/meltCurve_Q06587_RING1.pdf")</f>
        <v>Melting_Curves/meltCurve_Q06587_RING1.pdf</v>
      </c>
    </row>
    <row r="2778" spans="1:28" x14ac:dyDescent="0.25">
      <c r="A2778" t="s">
        <v>2782</v>
      </c>
      <c r="B2778">
        <v>0.99352677808782597</v>
      </c>
      <c r="C2778">
        <v>0.85263686552358597</v>
      </c>
      <c r="D2778">
        <v>0.71202083317231202</v>
      </c>
      <c r="E2778">
        <v>0.31126592527202601</v>
      </c>
      <c r="F2778">
        <v>0.23510116929621599</v>
      </c>
      <c r="G2778">
        <v>0.15751060685007501</v>
      </c>
      <c r="H2778">
        <v>0.100188966063051</v>
      </c>
      <c r="I2778">
        <v>9.5824777326653801E-2</v>
      </c>
      <c r="J2778">
        <v>9.2793523598905206E-2</v>
      </c>
      <c r="K2778">
        <v>7.5812727036846494E-2</v>
      </c>
      <c r="L2778">
        <v>858.19764205497495</v>
      </c>
      <c r="M2778">
        <v>18.0561269796593</v>
      </c>
      <c r="N2778">
        <v>48.050450550065698</v>
      </c>
      <c r="O2778">
        <v>46.957974612460397</v>
      </c>
      <c r="P2778">
        <v>-8.7587409389635398E-2</v>
      </c>
      <c r="Q2778">
        <v>8.89020933815554E-2</v>
      </c>
      <c r="R2778">
        <v>0.99446661485362897</v>
      </c>
      <c r="S2778" t="s">
        <v>9063</v>
      </c>
      <c r="T2778" t="s">
        <v>12568</v>
      </c>
      <c r="U2778" t="s">
        <v>12568</v>
      </c>
      <c r="V2778" t="s">
        <v>12568</v>
      </c>
      <c r="W2778" t="s">
        <v>15308</v>
      </c>
      <c r="X2778">
        <v>4</v>
      </c>
      <c r="Y2778" t="s">
        <v>21467</v>
      </c>
      <c r="Z2778" t="s">
        <v>27648</v>
      </c>
      <c r="AA2778">
        <v>0.33388889354983642</v>
      </c>
      <c r="AB2778" t="str">
        <f>HYPERLINK("Melting_Curves/meltCurve_Q06609_3_RAD51.pdf", "Melting_Curves/meltCurve_Q06609_3_RAD51.pdf")</f>
        <v>Melting_Curves/meltCurve_Q06609_3_RAD51.pdf</v>
      </c>
    </row>
    <row r="2779" spans="1:28" x14ac:dyDescent="0.25">
      <c r="A2779" t="s">
        <v>2783</v>
      </c>
      <c r="B2779">
        <v>0.99352677808782597</v>
      </c>
      <c r="C2779">
        <v>1.01936456474222</v>
      </c>
      <c r="D2779">
        <v>1.01820013103221</v>
      </c>
      <c r="E2779">
        <v>0.727182574765321</v>
      </c>
      <c r="F2779">
        <v>0.63455108000393201</v>
      </c>
      <c r="G2779">
        <v>0.246479287153169</v>
      </c>
      <c r="H2779">
        <v>0.149152353446317</v>
      </c>
      <c r="I2779">
        <v>0.14106564762450199</v>
      </c>
      <c r="J2779">
        <v>0.11353564430723399</v>
      </c>
      <c r="K2779">
        <v>9.5119425028017998E-2</v>
      </c>
      <c r="L2779">
        <v>1063.6825018495001</v>
      </c>
      <c r="M2779">
        <v>19.977950903333198</v>
      </c>
      <c r="N2779">
        <v>53.790720620502299</v>
      </c>
      <c r="O2779">
        <v>52.717976736523497</v>
      </c>
      <c r="P2779">
        <v>-8.6020608332849899E-2</v>
      </c>
      <c r="Q2779">
        <v>9.2062428010590794E-2</v>
      </c>
      <c r="R2779">
        <v>0.98893777647326597</v>
      </c>
      <c r="S2779" t="s">
        <v>9064</v>
      </c>
      <c r="T2779" t="s">
        <v>12568</v>
      </c>
      <c r="U2779" t="s">
        <v>12568</v>
      </c>
      <c r="V2779" t="s">
        <v>12568</v>
      </c>
      <c r="W2779" t="s">
        <v>15309</v>
      </c>
      <c r="X2779">
        <v>7</v>
      </c>
      <c r="Y2779" t="s">
        <v>18851</v>
      </c>
      <c r="Z2779" t="s">
        <v>27649</v>
      </c>
      <c r="AA2779">
        <v>0.50533364033526407</v>
      </c>
      <c r="AB2779" t="str">
        <f>HYPERLINK("Melting_Curves/meltCurve_Q06787_8_FMR1.pdf", "Melting_Curves/meltCurve_Q06787_8_FMR1.pdf")</f>
        <v>Melting_Curves/meltCurve_Q06787_8_FMR1.pdf</v>
      </c>
    </row>
    <row r="2780" spans="1:28" x14ac:dyDescent="0.25">
      <c r="A2780" t="s">
        <v>2784</v>
      </c>
      <c r="B2780">
        <v>0.99352677808782597</v>
      </c>
      <c r="C2780">
        <v>0.94104765772722898</v>
      </c>
      <c r="D2780">
        <v>0.91577696525869001</v>
      </c>
      <c r="E2780">
        <v>0.82318816926146499</v>
      </c>
      <c r="F2780">
        <v>0.70243832430522501</v>
      </c>
      <c r="G2780">
        <v>0.55365360709965605</v>
      </c>
      <c r="H2780">
        <v>0.52918834992488695</v>
      </c>
      <c r="I2780">
        <v>0.53730490389322205</v>
      </c>
      <c r="J2780">
        <v>0.73575309693329205</v>
      </c>
      <c r="K2780">
        <v>0.64049310661048997</v>
      </c>
      <c r="L2780">
        <v>1095.3393095358699</v>
      </c>
      <c r="M2780">
        <v>21.944096394598599</v>
      </c>
      <c r="O2780">
        <v>49.506013232662902</v>
      </c>
      <c r="P2780">
        <v>-4.4616358529507301E-2</v>
      </c>
      <c r="Q2780">
        <v>0.59738998810857902</v>
      </c>
      <c r="R2780">
        <v>0.85666162103664201</v>
      </c>
      <c r="S2780" t="s">
        <v>9065</v>
      </c>
      <c r="T2780" t="s">
        <v>12568</v>
      </c>
      <c r="U2780" t="s">
        <v>12568</v>
      </c>
      <c r="V2780" t="s">
        <v>12568</v>
      </c>
      <c r="W2780" t="s">
        <v>15310</v>
      </c>
      <c r="X2780">
        <v>2</v>
      </c>
      <c r="Y2780" t="s">
        <v>21468</v>
      </c>
      <c r="Z2780" t="s">
        <v>27650</v>
      </c>
      <c r="AA2780">
        <v>0.73512093755165042</v>
      </c>
      <c r="AB2780" t="str">
        <f>HYPERLINK("Melting_Curves/meltCurve_Q06945_SOX4.pdf", "Melting_Curves/meltCurve_Q06945_SOX4.pdf")</f>
        <v>Melting_Curves/meltCurve_Q06945_SOX4.pdf</v>
      </c>
    </row>
    <row r="2781" spans="1:28" x14ac:dyDescent="0.25">
      <c r="A2781" t="s">
        <v>2785</v>
      </c>
      <c r="B2781">
        <v>0.99352677808782597</v>
      </c>
      <c r="C2781">
        <v>0.89537277431631002</v>
      </c>
      <c r="D2781">
        <v>1.2985678765264499</v>
      </c>
      <c r="E2781">
        <v>0.53524199048648802</v>
      </c>
      <c r="F2781">
        <v>0.45207371546621899</v>
      </c>
      <c r="G2781">
        <v>0.200676060731527</v>
      </c>
      <c r="H2781">
        <v>9.0822940479158107E-2</v>
      </c>
      <c r="I2781">
        <v>9.8950659799573196E-2</v>
      </c>
      <c r="J2781">
        <v>9.6631130346470098E-2</v>
      </c>
      <c r="K2781">
        <v>6.6883439269459499E-2</v>
      </c>
      <c r="L2781">
        <v>1339.4437146467999</v>
      </c>
      <c r="M2781">
        <v>26.134216313191502</v>
      </c>
      <c r="N2781">
        <v>51.686506788227703</v>
      </c>
      <c r="O2781">
        <v>50.9552273282466</v>
      </c>
      <c r="P2781">
        <v>-0.11559038127624301</v>
      </c>
      <c r="Q2781">
        <v>9.8520091648821195E-2</v>
      </c>
      <c r="R2781">
        <v>0.91012170996008201</v>
      </c>
      <c r="S2781" t="s">
        <v>9066</v>
      </c>
      <c r="T2781" t="s">
        <v>12568</v>
      </c>
      <c r="U2781" t="s">
        <v>12568</v>
      </c>
      <c r="V2781" t="s">
        <v>12568</v>
      </c>
      <c r="W2781" t="s">
        <v>15311</v>
      </c>
      <c r="X2781">
        <v>8</v>
      </c>
      <c r="Y2781" t="s">
        <v>21469</v>
      </c>
      <c r="Z2781" t="s">
        <v>27651</v>
      </c>
      <c r="AA2781">
        <v>0.44413480899074492</v>
      </c>
      <c r="AB2781" t="str">
        <f>HYPERLINK("Melting_Curves/meltCurve_Q07020_RPL18.pdf", "Melting_Curves/meltCurve_Q07020_RPL18.pdf")</f>
        <v>Melting_Curves/meltCurve_Q07020_RPL18.pdf</v>
      </c>
    </row>
    <row r="2782" spans="1:28" x14ac:dyDescent="0.25">
      <c r="A2782" t="s">
        <v>2786</v>
      </c>
      <c r="B2782">
        <v>0.99352677808782597</v>
      </c>
      <c r="C2782">
        <v>1.0351822946101601</v>
      </c>
      <c r="D2782">
        <v>0.93854078021793097</v>
      </c>
      <c r="E2782">
        <v>0.80988473547725204</v>
      </c>
      <c r="F2782">
        <v>0.66079081996687405</v>
      </c>
      <c r="G2782">
        <v>0.50638948721959498</v>
      </c>
      <c r="H2782">
        <v>0.70431960097750301</v>
      </c>
      <c r="I2782">
        <v>0.73869196598006803</v>
      </c>
      <c r="J2782">
        <v>0.98486064566158105</v>
      </c>
      <c r="K2782">
        <v>0.72273671038539</v>
      </c>
      <c r="L2782">
        <v>1846.8611555351899</v>
      </c>
      <c r="M2782">
        <v>38.310861698023501</v>
      </c>
      <c r="O2782">
        <v>48.076460443892302</v>
      </c>
      <c r="P2782">
        <v>-5.5333996963374599E-2</v>
      </c>
      <c r="Q2782">
        <v>0.72224522712964401</v>
      </c>
      <c r="R2782">
        <v>0.53908821609301305</v>
      </c>
      <c r="S2782" t="s">
        <v>9067</v>
      </c>
      <c r="T2782" t="s">
        <v>12568</v>
      </c>
      <c r="U2782" t="s">
        <v>12568</v>
      </c>
      <c r="V2782" t="s">
        <v>12568</v>
      </c>
      <c r="W2782" t="s">
        <v>15312</v>
      </c>
      <c r="X2782">
        <v>6</v>
      </c>
      <c r="Y2782" t="s">
        <v>21470</v>
      </c>
      <c r="Z2782" t="s">
        <v>27652</v>
      </c>
      <c r="AA2782">
        <v>0.79924480548838617</v>
      </c>
      <c r="AB2782" t="str">
        <f>HYPERLINK("Melting_Curves/meltCurve_Q07021_C1QBP.pdf", "Melting_Curves/meltCurve_Q07021_C1QBP.pdf")</f>
        <v>Melting_Curves/meltCurve_Q07021_C1QBP.pdf</v>
      </c>
    </row>
    <row r="2783" spans="1:28" x14ac:dyDescent="0.25">
      <c r="A2783" t="s">
        <v>2787</v>
      </c>
      <c r="B2783">
        <v>0.99352677808782597</v>
      </c>
      <c r="C2783">
        <v>1.0575793714671999</v>
      </c>
      <c r="D2783">
        <v>1.08387277777514</v>
      </c>
      <c r="E2783">
        <v>0.99803182740057295</v>
      </c>
      <c r="F2783">
        <v>0.87465533678407004</v>
      </c>
      <c r="G2783">
        <v>0.90547898918760406</v>
      </c>
      <c r="H2783">
        <v>0.83449266533088096</v>
      </c>
      <c r="I2783">
        <v>0.96240336412065397</v>
      </c>
      <c r="J2783">
        <v>0.90526385939350695</v>
      </c>
      <c r="K2783">
        <v>0.79696632279343005</v>
      </c>
      <c r="L2783">
        <v>12704.479343311899</v>
      </c>
      <c r="M2783">
        <v>250</v>
      </c>
      <c r="O2783">
        <v>50.814656987192301</v>
      </c>
      <c r="P2783">
        <v>-0.14774753426864701</v>
      </c>
      <c r="Q2783">
        <v>0.87987613589513103</v>
      </c>
      <c r="R2783">
        <v>0.65455581407174501</v>
      </c>
      <c r="S2783" t="s">
        <v>9068</v>
      </c>
      <c r="T2783" t="s">
        <v>12568</v>
      </c>
      <c r="U2783" t="s">
        <v>12568</v>
      </c>
      <c r="V2783" t="s">
        <v>12568</v>
      </c>
      <c r="W2783" t="s">
        <v>15313</v>
      </c>
      <c r="X2783">
        <v>2</v>
      </c>
      <c r="Y2783" t="s">
        <v>21471</v>
      </c>
      <c r="Z2783" t="s">
        <v>27653</v>
      </c>
      <c r="AA2783">
        <v>0.92320318364845788</v>
      </c>
      <c r="AB2783" t="str">
        <f>HYPERLINK("Melting_Curves/meltCurve_Q07065_CKAP4.pdf", "Melting_Curves/meltCurve_Q07065_CKAP4.pdf")</f>
        <v>Melting_Curves/meltCurve_Q07065_CKAP4.pdf</v>
      </c>
    </row>
    <row r="2784" spans="1:28" x14ac:dyDescent="0.25">
      <c r="A2784" t="s">
        <v>2788</v>
      </c>
      <c r="B2784">
        <v>0.99352677808782597</v>
      </c>
      <c r="C2784">
        <v>1.04032736841926</v>
      </c>
      <c r="D2784">
        <v>0.79673299161676803</v>
      </c>
      <c r="E2784">
        <v>0.89710114391403095</v>
      </c>
      <c r="F2784">
        <v>0.72989925150681401</v>
      </c>
      <c r="G2784">
        <v>0.63083193228607903</v>
      </c>
      <c r="H2784">
        <v>1.42964426059711</v>
      </c>
      <c r="I2784">
        <v>1.1136196745474101</v>
      </c>
      <c r="J2784">
        <v>1.6638007766434799</v>
      </c>
      <c r="K2784">
        <v>0.80089185739739999</v>
      </c>
      <c r="L2784">
        <v>3051.74372925227</v>
      </c>
      <c r="M2784">
        <v>51.343318683609503</v>
      </c>
      <c r="O2784">
        <v>59.348031080372103</v>
      </c>
      <c r="P2784">
        <v>5.2916646449228402E-2</v>
      </c>
      <c r="Q2784">
        <v>1.2446664030297201</v>
      </c>
      <c r="R2784">
        <v>0.22678697362745301</v>
      </c>
      <c r="S2784" t="s">
        <v>9069</v>
      </c>
      <c r="T2784" t="s">
        <v>12568</v>
      </c>
      <c r="U2784" t="s">
        <v>12568</v>
      </c>
      <c r="V2784" t="s">
        <v>12568</v>
      </c>
      <c r="W2784" t="s">
        <v>15314</v>
      </c>
      <c r="X2784">
        <v>2</v>
      </c>
      <c r="Y2784" t="s">
        <v>21472</v>
      </c>
      <c r="Z2784" t="s">
        <v>27654</v>
      </c>
      <c r="AA2784">
        <v>1.085536720550065</v>
      </c>
      <c r="AB2784" t="str">
        <f>HYPERLINK("Melting_Curves/meltCurve_Q07283_TCHH.pdf", "Melting_Curves/meltCurve_Q07283_TCHH.pdf")</f>
        <v>Melting_Curves/meltCurve_Q07283_TCHH.pdf</v>
      </c>
    </row>
    <row r="2785" spans="1:28" x14ac:dyDescent="0.25">
      <c r="A2785" t="s">
        <v>2789</v>
      </c>
      <c r="B2785">
        <v>0.99352677808782597</v>
      </c>
      <c r="C2785">
        <v>0.93913325635546996</v>
      </c>
      <c r="D2785">
        <v>0.91300464332937803</v>
      </c>
      <c r="E2785">
        <v>0.71034569581062301</v>
      </c>
      <c r="F2785">
        <v>0.60975078845773401</v>
      </c>
      <c r="G2785">
        <v>0.51645454944943303</v>
      </c>
      <c r="H2785">
        <v>0.42033266991632401</v>
      </c>
      <c r="I2785">
        <v>0.41920174360345802</v>
      </c>
      <c r="J2785">
        <v>0.42617092079794999</v>
      </c>
      <c r="K2785">
        <v>0.35146356859477801</v>
      </c>
      <c r="L2785">
        <v>679.41232297356305</v>
      </c>
      <c r="M2785">
        <v>13.281120391532401</v>
      </c>
      <c r="N2785">
        <v>56.888045090150598</v>
      </c>
      <c r="O2785">
        <v>50.038208282822701</v>
      </c>
      <c r="P2785">
        <v>-4.1887759353180502E-2</v>
      </c>
      <c r="Q2785">
        <v>0.36883428387988998</v>
      </c>
      <c r="R2785">
        <v>0.991602784903033</v>
      </c>
      <c r="S2785" t="s">
        <v>9070</v>
      </c>
      <c r="T2785" t="s">
        <v>12568</v>
      </c>
      <c r="U2785" t="s">
        <v>12568</v>
      </c>
      <c r="V2785" t="s">
        <v>12568</v>
      </c>
      <c r="W2785" t="s">
        <v>15315</v>
      </c>
      <c r="X2785">
        <v>5</v>
      </c>
      <c r="Y2785" t="s">
        <v>21473</v>
      </c>
      <c r="Z2785" t="s">
        <v>27655</v>
      </c>
      <c r="AA2785">
        <v>0.62112739652229754</v>
      </c>
      <c r="AB2785" t="str">
        <f>HYPERLINK("Melting_Curves/meltCurve_Q07343_3_PDE4B.pdf", "Melting_Curves/meltCurve_Q07343_3_PDE4B.pdf")</f>
        <v>Melting_Curves/meltCurve_Q07343_3_PDE4B.pdf</v>
      </c>
    </row>
    <row r="2786" spans="1:28" x14ac:dyDescent="0.25">
      <c r="A2786" t="s">
        <v>2790</v>
      </c>
      <c r="B2786">
        <v>0.99352677808782597</v>
      </c>
      <c r="C2786">
        <v>0.90324321587923295</v>
      </c>
      <c r="D2786">
        <v>0.79240990280742796</v>
      </c>
      <c r="E2786">
        <v>0.46376794504692198</v>
      </c>
      <c r="F2786">
        <v>0.38047894340942801</v>
      </c>
      <c r="G2786">
        <v>0.30088731949355901</v>
      </c>
      <c r="H2786">
        <v>0.22285696485140399</v>
      </c>
      <c r="I2786">
        <v>0.226505092428397</v>
      </c>
      <c r="J2786">
        <v>0.21814585219861399</v>
      </c>
      <c r="K2786">
        <v>0.17287247747031301</v>
      </c>
      <c r="L2786">
        <v>788.17637288867797</v>
      </c>
      <c r="M2786">
        <v>16.251064878889999</v>
      </c>
      <c r="N2786">
        <v>50.098970853605501</v>
      </c>
      <c r="O2786">
        <v>47.783435135135903</v>
      </c>
      <c r="P2786">
        <v>-6.7825162083847298E-2</v>
      </c>
      <c r="Q2786">
        <v>0.20234655552977099</v>
      </c>
      <c r="R2786">
        <v>0.99345636465445997</v>
      </c>
      <c r="S2786" t="s">
        <v>9071</v>
      </c>
      <c r="T2786" t="s">
        <v>12568</v>
      </c>
      <c r="U2786" t="s">
        <v>12568</v>
      </c>
      <c r="V2786" t="s">
        <v>12568</v>
      </c>
      <c r="W2786" t="s">
        <v>15316</v>
      </c>
      <c r="X2786">
        <v>10</v>
      </c>
      <c r="Y2786" t="s">
        <v>21474</v>
      </c>
      <c r="Z2786" t="s">
        <v>27656</v>
      </c>
      <c r="AA2786">
        <v>0.44550677829927787</v>
      </c>
      <c r="AB2786" t="str">
        <f>HYPERLINK("Melting_Curves/meltCurve_Q07617_SPAG1.pdf", "Melting_Curves/meltCurve_Q07617_SPAG1.pdf")</f>
        <v>Melting_Curves/meltCurve_Q07617_SPAG1.pdf</v>
      </c>
    </row>
    <row r="2787" spans="1:28" x14ac:dyDescent="0.25">
      <c r="A2787" t="s">
        <v>2791</v>
      </c>
      <c r="B2787">
        <v>0.99352677808782597</v>
      </c>
      <c r="C2787">
        <v>0.83876781732057604</v>
      </c>
      <c r="D2787">
        <v>0.90112354481611401</v>
      </c>
      <c r="E2787">
        <v>0.304567312347027</v>
      </c>
      <c r="F2787">
        <v>0.25065848996426998</v>
      </c>
      <c r="G2787">
        <v>0.143538530944093</v>
      </c>
      <c r="H2787">
        <v>0.113461633007543</v>
      </c>
      <c r="I2787">
        <v>0.11695831516604201</v>
      </c>
      <c r="J2787">
        <v>0.104250452317416</v>
      </c>
      <c r="K2787">
        <v>8.4994198390867595E-2</v>
      </c>
      <c r="L2787">
        <v>1411.80504646034</v>
      </c>
      <c r="M2787">
        <v>29.201332371015098</v>
      </c>
      <c r="N2787">
        <v>48.791164371261303</v>
      </c>
      <c r="O2787">
        <v>48.122249194691399</v>
      </c>
      <c r="P2787">
        <v>-0.13400848183067299</v>
      </c>
      <c r="Q2787">
        <v>0.116650912483598</v>
      </c>
      <c r="R2787">
        <v>0.97315845905558696</v>
      </c>
      <c r="S2787" t="s">
        <v>9072</v>
      </c>
      <c r="T2787" t="s">
        <v>12568</v>
      </c>
      <c r="U2787" t="s">
        <v>12568</v>
      </c>
      <c r="V2787" t="s">
        <v>12568</v>
      </c>
      <c r="W2787" t="s">
        <v>15317</v>
      </c>
      <c r="X2787">
        <v>10</v>
      </c>
      <c r="Y2787" t="s">
        <v>21475</v>
      </c>
      <c r="Z2787" t="s">
        <v>27657</v>
      </c>
      <c r="AA2787">
        <v>0.36807884103437571</v>
      </c>
      <c r="AB2787" t="str">
        <f>HYPERLINK("Melting_Curves/meltCurve_Q07666_KHDRBS1.pdf", "Melting_Curves/meltCurve_Q07666_KHDRBS1.pdf")</f>
        <v>Melting_Curves/meltCurve_Q07666_KHDRBS1.pdf</v>
      </c>
    </row>
    <row r="2788" spans="1:28" x14ac:dyDescent="0.25">
      <c r="A2788" t="s">
        <v>2792</v>
      </c>
      <c r="B2788">
        <v>0.99352677808782597</v>
      </c>
      <c r="C2788">
        <v>0.97074323423406705</v>
      </c>
      <c r="D2788">
        <v>0.97960495177930496</v>
      </c>
      <c r="E2788">
        <v>0.93725381249444095</v>
      </c>
      <c r="F2788">
        <v>0.804984518322998</v>
      </c>
      <c r="G2788">
        <v>0.73855791807174898</v>
      </c>
      <c r="H2788">
        <v>0.69831042144765898</v>
      </c>
      <c r="I2788">
        <v>0.697487103325515</v>
      </c>
      <c r="J2788">
        <v>0.69872376323851204</v>
      </c>
      <c r="K2788">
        <v>0.55087105418071203</v>
      </c>
      <c r="L2788">
        <v>593.15991914140204</v>
      </c>
      <c r="M2788">
        <v>10.680185571014301</v>
      </c>
      <c r="O2788">
        <v>53.697449635564297</v>
      </c>
      <c r="P2788">
        <v>-2.0879874898181099E-2</v>
      </c>
      <c r="Q2788">
        <v>0.58024233390992397</v>
      </c>
      <c r="R2788">
        <v>0.93599419832169894</v>
      </c>
      <c r="S2788" t="s">
        <v>9073</v>
      </c>
      <c r="T2788" t="s">
        <v>12568</v>
      </c>
      <c r="U2788" t="s">
        <v>12568</v>
      </c>
      <c r="V2788" t="s">
        <v>12568</v>
      </c>
      <c r="W2788" t="s">
        <v>15318</v>
      </c>
      <c r="X2788">
        <v>12</v>
      </c>
      <c r="Y2788" t="s">
        <v>21476</v>
      </c>
      <c r="Z2788" t="s">
        <v>27658</v>
      </c>
      <c r="AA2788">
        <v>0.80729707845135268</v>
      </c>
      <c r="AB2788" t="str">
        <f>HYPERLINK("Melting_Curves/meltCurve_Q07812_8_BAX.pdf", "Melting_Curves/meltCurve_Q07812_8_BAX.pdf")</f>
        <v>Melting_Curves/meltCurve_Q07812_8_BAX.pdf</v>
      </c>
    </row>
    <row r="2789" spans="1:28" x14ac:dyDescent="0.25">
      <c r="A2789" t="s">
        <v>2793</v>
      </c>
      <c r="B2789">
        <v>0.99352677808782597</v>
      </c>
      <c r="C2789">
        <v>1.0353962742148199</v>
      </c>
      <c r="D2789">
        <v>0.90260704800119396</v>
      </c>
      <c r="E2789">
        <v>0.85448598316690205</v>
      </c>
      <c r="F2789">
        <v>0.72407916607631695</v>
      </c>
      <c r="G2789">
        <v>0.547656417043062</v>
      </c>
      <c r="H2789">
        <v>0.42538714181377901</v>
      </c>
      <c r="I2789">
        <v>0.37412255511408898</v>
      </c>
      <c r="J2789">
        <v>0.44793077443006302</v>
      </c>
      <c r="K2789">
        <v>0.36267842177840698</v>
      </c>
      <c r="L2789">
        <v>844.45684057593098</v>
      </c>
      <c r="M2789">
        <v>15.7367860149525</v>
      </c>
      <c r="N2789">
        <v>58.442099250314698</v>
      </c>
      <c r="O2789">
        <v>52.817219030566299</v>
      </c>
      <c r="P2789">
        <v>-4.7526996860072397E-2</v>
      </c>
      <c r="Q2789">
        <v>0.36199584494873599</v>
      </c>
      <c r="R2789">
        <v>0.98308443770951803</v>
      </c>
      <c r="S2789" t="s">
        <v>9074</v>
      </c>
      <c r="T2789" t="s">
        <v>12568</v>
      </c>
      <c r="U2789" t="s">
        <v>12568</v>
      </c>
      <c r="V2789" t="s">
        <v>12568</v>
      </c>
      <c r="W2789" t="s">
        <v>15319</v>
      </c>
      <c r="X2789">
        <v>1</v>
      </c>
      <c r="Y2789" t="s">
        <v>21477</v>
      </c>
      <c r="Z2789" t="s">
        <v>27659</v>
      </c>
      <c r="AA2789">
        <v>0.66502960269229616</v>
      </c>
      <c r="AB2789" t="str">
        <f>HYPERLINK("Melting_Curves/meltCurve_Q07820_MCL1.pdf", "Melting_Curves/meltCurve_Q07820_MCL1.pdf")</f>
        <v>Melting_Curves/meltCurve_Q07820_MCL1.pdf</v>
      </c>
    </row>
    <row r="2790" spans="1:28" x14ac:dyDescent="0.25">
      <c r="A2790" t="s">
        <v>2794</v>
      </c>
      <c r="B2790">
        <v>0.99352677808782597</v>
      </c>
      <c r="C2790">
        <v>0.98586635293379699</v>
      </c>
      <c r="D2790">
        <v>0.86884891220849103</v>
      </c>
      <c r="E2790">
        <v>0.53737995253864901</v>
      </c>
      <c r="F2790">
        <v>0.42879572113040199</v>
      </c>
      <c r="G2790">
        <v>0.261834822743511</v>
      </c>
      <c r="H2790">
        <v>0.132213805460102</v>
      </c>
      <c r="I2790">
        <v>0.11823547495111</v>
      </c>
      <c r="J2790">
        <v>0.108291438979202</v>
      </c>
      <c r="K2790">
        <v>9.2113509681265707E-2</v>
      </c>
      <c r="L2790">
        <v>781.56096199311901</v>
      </c>
      <c r="M2790">
        <v>15.3934542504522</v>
      </c>
      <c r="N2790">
        <v>51.400882228386301</v>
      </c>
      <c r="O2790">
        <v>49.938583507673798</v>
      </c>
      <c r="P2790">
        <v>-7.0456772034569404E-2</v>
      </c>
      <c r="Q2790">
        <v>8.5795767318984195E-2</v>
      </c>
      <c r="R2790">
        <v>0.99380590689912596</v>
      </c>
      <c r="S2790" t="s">
        <v>9075</v>
      </c>
      <c r="T2790" t="s">
        <v>12568</v>
      </c>
      <c r="U2790" t="s">
        <v>12568</v>
      </c>
      <c r="V2790" t="s">
        <v>12568</v>
      </c>
      <c r="W2790" t="s">
        <v>15320</v>
      </c>
      <c r="X2790">
        <v>31</v>
      </c>
      <c r="Y2790" t="s">
        <v>21478</v>
      </c>
      <c r="Z2790" t="s">
        <v>27660</v>
      </c>
      <c r="AA2790">
        <v>0.43442722382293308</v>
      </c>
      <c r="AB2790" t="str">
        <f>HYPERLINK("Melting_Curves/meltCurve_Q07866_6_KLC1.pdf", "Melting_Curves/meltCurve_Q07866_6_KLC1.pdf")</f>
        <v>Melting_Curves/meltCurve_Q07866_6_KLC1.pdf</v>
      </c>
    </row>
    <row r="2791" spans="1:28" x14ac:dyDescent="0.25">
      <c r="A2791" t="s">
        <v>2795</v>
      </c>
      <c r="B2791">
        <v>0.99352677808782597</v>
      </c>
      <c r="C2791">
        <v>1.0743623962312301</v>
      </c>
      <c r="D2791">
        <v>0.82910744693972604</v>
      </c>
      <c r="E2791">
        <v>0.74650274419652896</v>
      </c>
      <c r="F2791">
        <v>0.63569067218305797</v>
      </c>
      <c r="G2791">
        <v>0.52378279811082995</v>
      </c>
      <c r="H2791">
        <v>0.41345677478383303</v>
      </c>
      <c r="I2791">
        <v>0.37312536203810098</v>
      </c>
      <c r="J2791">
        <v>0.45988950268187101</v>
      </c>
      <c r="K2791">
        <v>0.35208930221280299</v>
      </c>
      <c r="L2791">
        <v>710.80352429141999</v>
      </c>
      <c r="M2791">
        <v>13.789156913253301</v>
      </c>
      <c r="N2791">
        <v>57.047710419810898</v>
      </c>
      <c r="O2791">
        <v>50.500136700461901</v>
      </c>
      <c r="P2791">
        <v>-4.3170426690454497E-2</v>
      </c>
      <c r="Q2791">
        <v>0.36767522618786702</v>
      </c>
      <c r="R2791">
        <v>0.95891932969075599</v>
      </c>
      <c r="S2791" t="s">
        <v>9076</v>
      </c>
      <c r="T2791" t="s">
        <v>12568</v>
      </c>
      <c r="U2791" t="s">
        <v>12568</v>
      </c>
      <c r="V2791" t="s">
        <v>12568</v>
      </c>
      <c r="W2791" t="s">
        <v>15321</v>
      </c>
      <c r="X2791">
        <v>6</v>
      </c>
      <c r="Y2791" t="s">
        <v>21479</v>
      </c>
      <c r="Z2791" t="s">
        <v>27661</v>
      </c>
      <c r="AA2791">
        <v>0.62742431750172811</v>
      </c>
      <c r="AB2791" t="str">
        <f>HYPERLINK("Melting_Curves/meltCurve_Q07954_LRP1.pdf", "Melting_Curves/meltCurve_Q07954_LRP1.pdf")</f>
        <v>Melting_Curves/meltCurve_Q07954_LRP1.pdf</v>
      </c>
    </row>
    <row r="2792" spans="1:28" x14ac:dyDescent="0.25">
      <c r="A2792" t="s">
        <v>2796</v>
      </c>
      <c r="B2792">
        <v>0.99352677808782597</v>
      </c>
      <c r="C2792">
        <v>0.96544620609026999</v>
      </c>
      <c r="D2792">
        <v>0.999999466961767</v>
      </c>
      <c r="E2792">
        <v>0.84154754473976001</v>
      </c>
      <c r="F2792">
        <v>0.78511926944919097</v>
      </c>
      <c r="G2792">
        <v>0.67481926865219599</v>
      </c>
      <c r="H2792">
        <v>0.75875469095939596</v>
      </c>
      <c r="I2792">
        <v>0.86681510988299004</v>
      </c>
      <c r="J2792">
        <v>1.0116726006015699</v>
      </c>
      <c r="K2792">
        <v>0.85351482236583298</v>
      </c>
      <c r="L2792">
        <v>12386.6874021515</v>
      </c>
      <c r="M2792">
        <v>250</v>
      </c>
      <c r="O2792">
        <v>49.543581574718402</v>
      </c>
      <c r="P2792">
        <v>-0.220618947778042</v>
      </c>
      <c r="Q2792">
        <v>0.82511596410033405</v>
      </c>
      <c r="R2792">
        <v>0.43946469438628</v>
      </c>
      <c r="S2792" t="s">
        <v>9077</v>
      </c>
      <c r="T2792" t="s">
        <v>12568</v>
      </c>
      <c r="U2792" t="s">
        <v>12568</v>
      </c>
      <c r="V2792" t="s">
        <v>12568</v>
      </c>
      <c r="W2792" t="s">
        <v>15322</v>
      </c>
      <c r="X2792">
        <v>14</v>
      </c>
      <c r="Y2792" t="s">
        <v>21480</v>
      </c>
      <c r="Z2792" t="s">
        <v>27662</v>
      </c>
      <c r="AA2792">
        <v>0.88078364096989803</v>
      </c>
      <c r="AB2792" t="str">
        <f>HYPERLINK("Melting_Curves/meltCurve_Q07955_SRSF1.pdf", "Melting_Curves/meltCurve_Q07955_SRSF1.pdf")</f>
        <v>Melting_Curves/meltCurve_Q07955_SRSF1.pdf</v>
      </c>
    </row>
    <row r="2793" spans="1:28" x14ac:dyDescent="0.25">
      <c r="A2793" t="s">
        <v>2797</v>
      </c>
      <c r="B2793">
        <v>0.99352677808782597</v>
      </c>
      <c r="C2793">
        <v>0.98087426966382696</v>
      </c>
      <c r="D2793">
        <v>0.97587778614232401</v>
      </c>
      <c r="E2793">
        <v>0.85516807751120905</v>
      </c>
      <c r="F2793">
        <v>0.75888500722633301</v>
      </c>
      <c r="G2793">
        <v>0.64465951583325498</v>
      </c>
      <c r="H2793">
        <v>0.249050227703845</v>
      </c>
      <c r="I2793">
        <v>0.176129661111667</v>
      </c>
      <c r="J2793">
        <v>0.13566047169738599</v>
      </c>
      <c r="K2793">
        <v>9.0575608761574403E-2</v>
      </c>
      <c r="L2793">
        <v>828.58801389533596</v>
      </c>
      <c r="M2793">
        <v>14.347251047657</v>
      </c>
      <c r="N2793">
        <v>57.752388405446602</v>
      </c>
      <c r="O2793">
        <v>56.665173191928098</v>
      </c>
      <c r="P2793">
        <v>-6.3305975498727504E-2</v>
      </c>
      <c r="Q2793">
        <v>0</v>
      </c>
      <c r="R2793">
        <v>0.98613934345098597</v>
      </c>
      <c r="S2793" t="s">
        <v>9078</v>
      </c>
      <c r="T2793" t="s">
        <v>12568</v>
      </c>
      <c r="U2793" t="s">
        <v>12568</v>
      </c>
      <c r="V2793" t="s">
        <v>12568</v>
      </c>
      <c r="W2793" t="s">
        <v>15323</v>
      </c>
      <c r="X2793">
        <v>23</v>
      </c>
      <c r="Y2793" t="s">
        <v>21481</v>
      </c>
      <c r="Z2793" t="s">
        <v>27663</v>
      </c>
      <c r="AA2793">
        <v>0.60595613780870339</v>
      </c>
      <c r="AB2793" t="str">
        <f>HYPERLINK("Melting_Curves/meltCurve_Q07960_ARHGAP1.pdf", "Melting_Curves/meltCurve_Q07960_ARHGAP1.pdf")</f>
        <v>Melting_Curves/meltCurve_Q07960_ARHGAP1.pdf</v>
      </c>
    </row>
    <row r="2794" spans="1:28" x14ac:dyDescent="0.25">
      <c r="A2794" t="s">
        <v>2798</v>
      </c>
      <c r="B2794">
        <v>0.99352677808782597</v>
      </c>
      <c r="C2794">
        <v>0.85515291157224504</v>
      </c>
      <c r="D2794">
        <v>0.78898612719513805</v>
      </c>
      <c r="E2794">
        <v>0.580726870684934</v>
      </c>
      <c r="F2794">
        <v>0.53407592143243898</v>
      </c>
      <c r="G2794">
        <v>0.348697424221108</v>
      </c>
      <c r="H2794">
        <v>0.210364691132297</v>
      </c>
      <c r="I2794">
        <v>0.17907475854458901</v>
      </c>
      <c r="J2794">
        <v>0.16254175205697899</v>
      </c>
      <c r="K2794">
        <v>0.121594076279938</v>
      </c>
      <c r="L2794">
        <v>478.77656845157099</v>
      </c>
      <c r="M2794">
        <v>9.1525812022019206</v>
      </c>
      <c r="N2794">
        <v>52.703509353666398</v>
      </c>
      <c r="O2794">
        <v>49.994902603526498</v>
      </c>
      <c r="P2794">
        <v>-4.4288160774097397E-2</v>
      </c>
      <c r="Q2794">
        <v>3.2983281482693298E-2</v>
      </c>
      <c r="R2794">
        <v>0.99145540133485999</v>
      </c>
      <c r="S2794" t="s">
        <v>9079</v>
      </c>
      <c r="T2794" t="s">
        <v>12568</v>
      </c>
      <c r="U2794" t="s">
        <v>12568</v>
      </c>
      <c r="V2794" t="s">
        <v>12568</v>
      </c>
      <c r="W2794" t="s">
        <v>15324</v>
      </c>
      <c r="X2794">
        <v>3</v>
      </c>
      <c r="Y2794" t="s">
        <v>21482</v>
      </c>
      <c r="Z2794" t="s">
        <v>27664</v>
      </c>
      <c r="AA2794">
        <v>0.46864079349985499</v>
      </c>
      <c r="AB2794" t="str">
        <f>HYPERLINK("Melting_Curves/meltCurve_Q08117_AES.pdf", "Melting_Curves/meltCurve_Q08117_AES.pdf")</f>
        <v>Melting_Curves/meltCurve_Q08117_AES.pdf</v>
      </c>
    </row>
    <row r="2795" spans="1:28" x14ac:dyDescent="0.25">
      <c r="A2795" t="s">
        <v>2799</v>
      </c>
      <c r="B2795">
        <v>0.99352677808782597</v>
      </c>
      <c r="C2795">
        <v>0.91170810530622204</v>
      </c>
      <c r="D2795">
        <v>0.98168699624922795</v>
      </c>
      <c r="E2795">
        <v>0.773815960512789</v>
      </c>
      <c r="F2795">
        <v>0.69992389176488501</v>
      </c>
      <c r="G2795">
        <v>0.59220971701612202</v>
      </c>
      <c r="H2795">
        <v>0.549530593895456</v>
      </c>
      <c r="I2795">
        <v>0.62690015843888003</v>
      </c>
      <c r="J2795">
        <v>0.74487346252661601</v>
      </c>
      <c r="K2795">
        <v>0.65733033174405697</v>
      </c>
      <c r="L2795">
        <v>1501.93758524856</v>
      </c>
      <c r="M2795">
        <v>30.440494555108302</v>
      </c>
      <c r="O2795">
        <v>49.128666069821897</v>
      </c>
      <c r="P2795">
        <v>-5.6334663451349402E-2</v>
      </c>
      <c r="Q2795">
        <v>0.63632274482751106</v>
      </c>
      <c r="R2795">
        <v>0.86721919868582598</v>
      </c>
      <c r="S2795" t="s">
        <v>9080</v>
      </c>
      <c r="T2795" t="s">
        <v>12568</v>
      </c>
      <c r="U2795" t="s">
        <v>12568</v>
      </c>
      <c r="V2795" t="s">
        <v>12568</v>
      </c>
      <c r="W2795" t="s">
        <v>15325</v>
      </c>
      <c r="X2795">
        <v>6</v>
      </c>
      <c r="Y2795" t="s">
        <v>21483</v>
      </c>
      <c r="Z2795" t="s">
        <v>27665</v>
      </c>
      <c r="AA2795">
        <v>0.75170996108720567</v>
      </c>
      <c r="AB2795" t="str">
        <f>HYPERLINK("Melting_Curves/meltCurve_Q08170_SRSF4.pdf", "Melting_Curves/meltCurve_Q08170_SRSF4.pdf")</f>
        <v>Melting_Curves/meltCurve_Q08170_SRSF4.pdf</v>
      </c>
    </row>
    <row r="2796" spans="1:28" x14ac:dyDescent="0.25">
      <c r="A2796" t="s">
        <v>2800</v>
      </c>
      <c r="B2796">
        <v>0.99352677808782597</v>
      </c>
      <c r="C2796">
        <v>1.0184491709650001</v>
      </c>
      <c r="D2796">
        <v>0.961385952782283</v>
      </c>
      <c r="E2796">
        <v>0.798105524312407</v>
      </c>
      <c r="F2796">
        <v>0.69199674315317905</v>
      </c>
      <c r="G2796">
        <v>0.46822641679726701</v>
      </c>
      <c r="H2796">
        <v>0.28944016395496103</v>
      </c>
      <c r="I2796">
        <v>0.20777863497007101</v>
      </c>
      <c r="J2796">
        <v>0.136378827546528</v>
      </c>
      <c r="K2796">
        <v>8.1911191148674498E-2</v>
      </c>
      <c r="L2796">
        <v>686.83815416697905</v>
      </c>
      <c r="M2796">
        <v>12.1882831027684</v>
      </c>
      <c r="N2796">
        <v>56.433018640563098</v>
      </c>
      <c r="O2796">
        <v>54.8997406519821</v>
      </c>
      <c r="P2796">
        <v>-5.5035527618202802E-2</v>
      </c>
      <c r="Q2796">
        <v>8.6379638856019098E-3</v>
      </c>
      <c r="R2796">
        <v>0.99749654052241199</v>
      </c>
      <c r="S2796" t="s">
        <v>9081</v>
      </c>
      <c r="T2796" t="s">
        <v>12568</v>
      </c>
      <c r="U2796" t="s">
        <v>12568</v>
      </c>
      <c r="V2796" t="s">
        <v>12568</v>
      </c>
      <c r="W2796" t="s">
        <v>15326</v>
      </c>
      <c r="X2796">
        <v>20</v>
      </c>
      <c r="Y2796" t="s">
        <v>21484</v>
      </c>
      <c r="Z2796" t="s">
        <v>27666</v>
      </c>
      <c r="AA2796">
        <v>0.56795220152080816</v>
      </c>
      <c r="AB2796" t="str">
        <f>HYPERLINK("Melting_Curves/meltCurve_Q08209_2_PPP3CA.pdf", "Melting_Curves/meltCurve_Q08209_2_PPP3CA.pdf")</f>
        <v>Melting_Curves/meltCurve_Q08209_2_PPP3CA.pdf</v>
      </c>
    </row>
    <row r="2797" spans="1:28" x14ac:dyDescent="0.25">
      <c r="A2797" t="s">
        <v>2801</v>
      </c>
      <c r="B2797">
        <v>0.99352677808782597</v>
      </c>
      <c r="C2797">
        <v>0.97355345993218101</v>
      </c>
      <c r="D2797">
        <v>1.06670627586294</v>
      </c>
      <c r="E2797">
        <v>0.68347970833095795</v>
      </c>
      <c r="F2797">
        <v>0.56337035766719601</v>
      </c>
      <c r="G2797">
        <v>0.37032750411843901</v>
      </c>
      <c r="H2797">
        <v>0.26187540246131402</v>
      </c>
      <c r="I2797">
        <v>0.25571422720463399</v>
      </c>
      <c r="J2797">
        <v>0.28751430131746097</v>
      </c>
      <c r="K2797">
        <v>0.24789950367062799</v>
      </c>
      <c r="L2797">
        <v>1112.69421858843</v>
      </c>
      <c r="M2797">
        <v>21.537649632523902</v>
      </c>
      <c r="N2797">
        <v>53.468978531008602</v>
      </c>
      <c r="O2797">
        <v>51.223557143262298</v>
      </c>
      <c r="P2797">
        <v>-7.7949801692914905E-2</v>
      </c>
      <c r="Q2797">
        <v>0.25845779232853699</v>
      </c>
      <c r="R2797">
        <v>0.97823831721695198</v>
      </c>
      <c r="S2797" t="s">
        <v>9082</v>
      </c>
      <c r="T2797" t="s">
        <v>12568</v>
      </c>
      <c r="U2797" t="s">
        <v>12568</v>
      </c>
      <c r="V2797" t="s">
        <v>12568</v>
      </c>
      <c r="W2797" t="s">
        <v>15327</v>
      </c>
      <c r="X2797">
        <v>21</v>
      </c>
      <c r="Y2797" t="s">
        <v>21485</v>
      </c>
      <c r="Z2797" t="s">
        <v>27667</v>
      </c>
      <c r="AA2797">
        <v>0.55570177378603636</v>
      </c>
      <c r="AB2797" t="str">
        <f>HYPERLINK("Melting_Curves/meltCurve_Q08211_DHX9.pdf", "Melting_Curves/meltCurve_Q08211_DHX9.pdf")</f>
        <v>Melting_Curves/meltCurve_Q08211_DHX9.pdf</v>
      </c>
    </row>
    <row r="2798" spans="1:28" x14ac:dyDescent="0.25">
      <c r="A2798" t="s">
        <v>2802</v>
      </c>
      <c r="B2798">
        <v>0.99352677808782597</v>
      </c>
      <c r="C2798">
        <v>1.0164015054329201</v>
      </c>
      <c r="D2798">
        <v>0.97768965966007904</v>
      </c>
      <c r="E2798">
        <v>0.88794667027689</v>
      </c>
      <c r="F2798">
        <v>0.79744631444370095</v>
      </c>
      <c r="G2798">
        <v>0.47178580646203</v>
      </c>
      <c r="H2798">
        <v>0.104594467100076</v>
      </c>
      <c r="I2798">
        <v>9.2839656536540902E-2</v>
      </c>
      <c r="J2798">
        <v>6.0968700417972699E-2</v>
      </c>
      <c r="K2798">
        <v>5.3498333522556202E-2</v>
      </c>
      <c r="L2798">
        <v>1241.8858134520499</v>
      </c>
      <c r="M2798">
        <v>22.115888373749101</v>
      </c>
      <c r="N2798">
        <v>56.280740024761499</v>
      </c>
      <c r="O2798">
        <v>55.700484084306602</v>
      </c>
      <c r="P2798">
        <v>-9.6845185783857299E-2</v>
      </c>
      <c r="Q2798">
        <v>2.4374424926409E-2</v>
      </c>
      <c r="R2798">
        <v>0.99446263851629402</v>
      </c>
      <c r="S2798" t="s">
        <v>9083</v>
      </c>
      <c r="T2798" t="s">
        <v>12568</v>
      </c>
      <c r="U2798" t="s">
        <v>12568</v>
      </c>
      <c r="V2798" t="s">
        <v>12568</v>
      </c>
      <c r="W2798" t="s">
        <v>15328</v>
      </c>
      <c r="X2798">
        <v>16</v>
      </c>
      <c r="Y2798" t="s">
        <v>21486</v>
      </c>
      <c r="Z2798" t="s">
        <v>27668</v>
      </c>
      <c r="AA2798">
        <v>0.56053450798265569</v>
      </c>
      <c r="AB2798" t="str">
        <f>HYPERLINK("Melting_Curves/meltCurve_Q08257_CRYZ.pdf", "Melting_Curves/meltCurve_Q08257_CRYZ.pdf")</f>
        <v>Melting_Curves/meltCurve_Q08257_CRYZ.pdf</v>
      </c>
    </row>
    <row r="2799" spans="1:28" x14ac:dyDescent="0.25">
      <c r="A2799" t="s">
        <v>2803</v>
      </c>
      <c r="B2799">
        <v>0.99352677808782597</v>
      </c>
      <c r="C2799">
        <v>0.99101791010001905</v>
      </c>
      <c r="D2799">
        <v>0.87277752884553095</v>
      </c>
      <c r="E2799">
        <v>0.89027377144478903</v>
      </c>
      <c r="F2799">
        <v>0.80777280189230105</v>
      </c>
      <c r="G2799">
        <v>0.63293976969765697</v>
      </c>
      <c r="H2799">
        <v>0.62003001064227403</v>
      </c>
      <c r="I2799">
        <v>0.55965112074909995</v>
      </c>
      <c r="J2799">
        <v>0.66388586221979795</v>
      </c>
      <c r="K2799">
        <v>0.51765744764786503</v>
      </c>
      <c r="L2799">
        <v>634.11577469313204</v>
      </c>
      <c r="M2799">
        <v>11.908084922288401</v>
      </c>
      <c r="O2799">
        <v>51.815751564642802</v>
      </c>
      <c r="P2799">
        <v>-2.6649340493715298E-2</v>
      </c>
      <c r="Q2799">
        <v>0.53627715784640895</v>
      </c>
      <c r="R2799">
        <v>0.92755076504154299</v>
      </c>
      <c r="S2799" t="s">
        <v>9084</v>
      </c>
      <c r="T2799" t="s">
        <v>12568</v>
      </c>
      <c r="U2799" t="s">
        <v>12568</v>
      </c>
      <c r="V2799" t="s">
        <v>12568</v>
      </c>
      <c r="W2799" t="s">
        <v>15329</v>
      </c>
      <c r="X2799">
        <v>65</v>
      </c>
      <c r="Y2799" t="s">
        <v>21487</v>
      </c>
      <c r="Z2799" t="s">
        <v>27669</v>
      </c>
      <c r="AA2799">
        <v>0.7541481136990924</v>
      </c>
      <c r="AB2799" t="str">
        <f>HYPERLINK("Melting_Curves/meltCurve_Q08378_GOLGA3.pdf", "Melting_Curves/meltCurve_Q08378_GOLGA3.pdf")</f>
        <v>Melting_Curves/meltCurve_Q08378_GOLGA3.pdf</v>
      </c>
    </row>
    <row r="2800" spans="1:28" x14ac:dyDescent="0.25">
      <c r="A2800" t="s">
        <v>2804</v>
      </c>
      <c r="B2800">
        <v>0.99352677808782597</v>
      </c>
      <c r="C2800">
        <v>0.92175592965490605</v>
      </c>
      <c r="D2800">
        <v>0.77910104181563899</v>
      </c>
      <c r="E2800">
        <v>0.776298036736351</v>
      </c>
      <c r="F2800">
        <v>0.82594469765979295</v>
      </c>
      <c r="G2800">
        <v>0.46914539063877803</v>
      </c>
      <c r="H2800">
        <v>0.51573309456003502</v>
      </c>
      <c r="I2800">
        <v>0.47913243812416301</v>
      </c>
      <c r="J2800">
        <v>0.58208555439901899</v>
      </c>
      <c r="K2800">
        <v>0.52781610802091605</v>
      </c>
      <c r="L2800">
        <v>515.928748625151</v>
      </c>
      <c r="M2800">
        <v>10.193967534665701</v>
      </c>
      <c r="O2800">
        <v>48.779461800145597</v>
      </c>
      <c r="P2800">
        <v>-2.76115686783646E-2</v>
      </c>
      <c r="Q2800">
        <v>0.47173893011967899</v>
      </c>
      <c r="R2800">
        <v>0.83441186320242</v>
      </c>
      <c r="S2800" t="s">
        <v>9085</v>
      </c>
      <c r="T2800" t="s">
        <v>12568</v>
      </c>
      <c r="U2800" t="s">
        <v>12568</v>
      </c>
      <c r="V2800" t="s">
        <v>12568</v>
      </c>
      <c r="W2800" t="s">
        <v>15330</v>
      </c>
      <c r="X2800">
        <v>3</v>
      </c>
      <c r="Y2800" t="s">
        <v>21488</v>
      </c>
      <c r="Z2800" t="s">
        <v>27670</v>
      </c>
      <c r="AA2800">
        <v>0.68073875521643123</v>
      </c>
      <c r="AB2800" t="str">
        <f>HYPERLINK("Melting_Curves/meltCurve_Q08379_GOLGA2.pdf", "Melting_Curves/meltCurve_Q08379_GOLGA2.pdf")</f>
        <v>Melting_Curves/meltCurve_Q08379_GOLGA2.pdf</v>
      </c>
    </row>
    <row r="2801" spans="1:28" x14ac:dyDescent="0.25">
      <c r="A2801" t="s">
        <v>2805</v>
      </c>
      <c r="B2801">
        <v>0.99352677808782597</v>
      </c>
      <c r="C2801">
        <v>1.0511546791474999</v>
      </c>
      <c r="D2801">
        <v>0.80958946550186495</v>
      </c>
      <c r="E2801">
        <v>0.79196154245515504</v>
      </c>
      <c r="F2801">
        <v>0.51649830487825699</v>
      </c>
      <c r="G2801">
        <v>0.535454897206606</v>
      </c>
      <c r="H2801">
        <v>0.59873560813105997</v>
      </c>
      <c r="I2801">
        <v>0.62755110733675701</v>
      </c>
      <c r="J2801">
        <v>0.58004227171602596</v>
      </c>
      <c r="K2801">
        <v>0.46714973783802399</v>
      </c>
      <c r="L2801">
        <v>1053.50115144085</v>
      </c>
      <c r="M2801">
        <v>21.798207760936201</v>
      </c>
      <c r="O2801">
        <v>47.928478241118803</v>
      </c>
      <c r="P2801">
        <v>-5.1074554096975699E-2</v>
      </c>
      <c r="Q2801">
        <v>0.55081275253706996</v>
      </c>
      <c r="R2801">
        <v>0.87741260880253202</v>
      </c>
      <c r="S2801" t="s">
        <v>9086</v>
      </c>
      <c r="T2801" t="s">
        <v>12568</v>
      </c>
      <c r="U2801" t="s">
        <v>12568</v>
      </c>
      <c r="V2801" t="s">
        <v>12568</v>
      </c>
      <c r="W2801" t="s">
        <v>15331</v>
      </c>
      <c r="X2801">
        <v>3</v>
      </c>
      <c r="Y2801" t="s">
        <v>21489</v>
      </c>
      <c r="Z2801" t="s">
        <v>27671</v>
      </c>
      <c r="AA2801">
        <v>0.68082919370789086</v>
      </c>
      <c r="AB2801" t="str">
        <f>HYPERLINK("Melting_Curves/meltCurve_Q08380_LGALS3BP.pdf", "Melting_Curves/meltCurve_Q08380_LGALS3BP.pdf")</f>
        <v>Melting_Curves/meltCurve_Q08380_LGALS3BP.pdf</v>
      </c>
    </row>
    <row r="2802" spans="1:28" x14ac:dyDescent="0.25">
      <c r="A2802" t="s">
        <v>2806</v>
      </c>
      <c r="B2802">
        <v>0.99352677808782597</v>
      </c>
      <c r="C2802">
        <v>0.96916841425867595</v>
      </c>
      <c r="D2802">
        <v>1.00542548392598</v>
      </c>
      <c r="E2802">
        <v>0.906317950623861</v>
      </c>
      <c r="F2802">
        <v>0.88476129137958703</v>
      </c>
      <c r="G2802">
        <v>0.796572845902213</v>
      </c>
      <c r="H2802">
        <v>0.73151729650332198</v>
      </c>
      <c r="I2802">
        <v>0.806887016770506</v>
      </c>
      <c r="J2802">
        <v>0.81893958761188801</v>
      </c>
      <c r="K2802">
        <v>0.71172899946545398</v>
      </c>
      <c r="L2802">
        <v>976.58282690347301</v>
      </c>
      <c r="M2802">
        <v>18.708588535684601</v>
      </c>
      <c r="O2802">
        <v>51.6142762973261</v>
      </c>
      <c r="P2802">
        <v>-2.16495288009819E-2</v>
      </c>
      <c r="Q2802">
        <v>0.76109851029494302</v>
      </c>
      <c r="R2802">
        <v>0.88844311941308396</v>
      </c>
      <c r="S2802" t="s">
        <v>9087</v>
      </c>
      <c r="T2802" t="s">
        <v>12568</v>
      </c>
      <c r="U2802" t="s">
        <v>12568</v>
      </c>
      <c r="V2802" t="s">
        <v>12568</v>
      </c>
      <c r="W2802" t="s">
        <v>15332</v>
      </c>
      <c r="X2802">
        <v>9</v>
      </c>
      <c r="Y2802" t="s">
        <v>21490</v>
      </c>
      <c r="Z2802" t="s">
        <v>27672</v>
      </c>
      <c r="AA2802">
        <v>0.86196145116067102</v>
      </c>
      <c r="AB2802" t="str">
        <f>HYPERLINK("Melting_Curves/meltCurve_Q08495_EPB49.pdf", "Melting_Curves/meltCurve_Q08495_EPB49.pdf")</f>
        <v>Melting_Curves/meltCurve_Q08495_EPB49.pdf</v>
      </c>
    </row>
    <row r="2803" spans="1:28" x14ac:dyDescent="0.25">
      <c r="A2803" t="s">
        <v>2807</v>
      </c>
      <c r="B2803">
        <v>0.99352677808782597</v>
      </c>
      <c r="C2803">
        <v>0.94484382302540104</v>
      </c>
      <c r="D2803">
        <v>0.77863641421533103</v>
      </c>
      <c r="E2803">
        <v>0.51839846120319</v>
      </c>
      <c r="F2803">
        <v>0.42718334163472499</v>
      </c>
      <c r="G2803">
        <v>0.22160189143315301</v>
      </c>
      <c r="H2803">
        <v>0.13620037059863199</v>
      </c>
      <c r="I2803">
        <v>0.123289049712863</v>
      </c>
      <c r="J2803">
        <v>0.112930702469289</v>
      </c>
      <c r="K2803">
        <v>9.5737321518901297E-2</v>
      </c>
      <c r="L2803">
        <v>683.53225395308903</v>
      </c>
      <c r="M2803">
        <v>13.6101997839212</v>
      </c>
      <c r="N2803">
        <v>50.841435030316298</v>
      </c>
      <c r="O2803">
        <v>49.175064414846098</v>
      </c>
      <c r="P2803">
        <v>-6.3916091749330606E-2</v>
      </c>
      <c r="Q2803">
        <v>7.6394844217907501E-2</v>
      </c>
      <c r="R2803">
        <v>0.99549479326411106</v>
      </c>
      <c r="S2803" t="s">
        <v>9088</v>
      </c>
      <c r="T2803" t="s">
        <v>12568</v>
      </c>
      <c r="U2803" t="s">
        <v>12568</v>
      </c>
      <c r="V2803" t="s">
        <v>12568</v>
      </c>
      <c r="W2803" t="s">
        <v>15333</v>
      </c>
      <c r="X2803">
        <v>14</v>
      </c>
      <c r="Y2803" t="s">
        <v>21491</v>
      </c>
      <c r="Z2803" t="s">
        <v>27673</v>
      </c>
      <c r="AA2803">
        <v>0.41690685140364442</v>
      </c>
      <c r="AB2803" t="str">
        <f>HYPERLINK("Melting_Curves/meltCurve_Q08499_6_PDE4D.pdf", "Melting_Curves/meltCurve_Q08499_6_PDE4D.pdf")</f>
        <v>Melting_Curves/meltCurve_Q08499_6_PDE4D.pdf</v>
      </c>
    </row>
    <row r="2804" spans="1:28" x14ac:dyDescent="0.25">
      <c r="A2804" t="s">
        <v>2808</v>
      </c>
      <c r="B2804">
        <v>0.99352677808782597</v>
      </c>
      <c r="C2804">
        <v>0.84909352293854201</v>
      </c>
      <c r="D2804">
        <v>0.96847655947321398</v>
      </c>
      <c r="E2804">
        <v>0.25260239970642301</v>
      </c>
      <c r="F2804">
        <v>0.17960044142081399</v>
      </c>
      <c r="G2804">
        <v>0.103078970964428</v>
      </c>
      <c r="H2804">
        <v>6.9168528382432801E-2</v>
      </c>
      <c r="I2804">
        <v>6.3471022545185898E-2</v>
      </c>
      <c r="J2804">
        <v>5.5161061949930902E-2</v>
      </c>
      <c r="K2804">
        <v>4.3343795391865898E-2</v>
      </c>
      <c r="L2804">
        <v>2351.56863641583</v>
      </c>
      <c r="M2804">
        <v>48.389183838742603</v>
      </c>
      <c r="N2804">
        <v>48.774235342593897</v>
      </c>
      <c r="O2804">
        <v>48.514194037364</v>
      </c>
      <c r="P2804">
        <v>-0.229250441797406</v>
      </c>
      <c r="Q2804">
        <v>8.06298743015436E-2</v>
      </c>
      <c r="R2804">
        <v>0.977785705864887</v>
      </c>
      <c r="S2804" t="s">
        <v>9089</v>
      </c>
      <c r="T2804" t="s">
        <v>12568</v>
      </c>
      <c r="U2804" t="s">
        <v>12568</v>
      </c>
      <c r="V2804" t="s">
        <v>12568</v>
      </c>
      <c r="W2804" t="s">
        <v>15334</v>
      </c>
      <c r="X2804">
        <v>21</v>
      </c>
      <c r="Y2804" t="s">
        <v>21492</v>
      </c>
      <c r="Z2804" t="s">
        <v>27674</v>
      </c>
      <c r="AA2804">
        <v>0.34619595123319108</v>
      </c>
      <c r="AB2804" t="str">
        <f>HYPERLINK("Melting_Curves/meltCurve_Q08752_PPID.pdf", "Melting_Curves/meltCurve_Q08752_PPID.pdf")</f>
        <v>Melting_Curves/meltCurve_Q08752_PPID.pdf</v>
      </c>
    </row>
    <row r="2805" spans="1:28" x14ac:dyDescent="0.25">
      <c r="A2805" t="s">
        <v>2809</v>
      </c>
      <c r="B2805">
        <v>0.99352677808782597</v>
      </c>
      <c r="C2805">
        <v>0.95600829428317002</v>
      </c>
      <c r="D2805">
        <v>0.88764017011551899</v>
      </c>
      <c r="E2805">
        <v>0.85990441772778203</v>
      </c>
      <c r="F2805">
        <v>0.86321221343787002</v>
      </c>
      <c r="G2805">
        <v>0.535956890235321</v>
      </c>
      <c r="H2805">
        <v>0.298428659556702</v>
      </c>
      <c r="I2805">
        <v>0.267323435794872</v>
      </c>
      <c r="J2805">
        <v>0.293473946321333</v>
      </c>
      <c r="K2805">
        <v>0.20882782862187399</v>
      </c>
      <c r="L2805">
        <v>1057.2646989857401</v>
      </c>
      <c r="M2805">
        <v>18.8876298102291</v>
      </c>
      <c r="N2805">
        <v>57.601087965839099</v>
      </c>
      <c r="O2805">
        <v>55.360409920836901</v>
      </c>
      <c r="P2805">
        <v>-6.7684602462184898E-2</v>
      </c>
      <c r="Q2805">
        <v>0.20648711471221001</v>
      </c>
      <c r="R2805">
        <v>0.97305720454845301</v>
      </c>
      <c r="S2805" t="s">
        <v>9090</v>
      </c>
      <c r="T2805" t="s">
        <v>12568</v>
      </c>
      <c r="U2805" t="s">
        <v>12568</v>
      </c>
      <c r="V2805" t="s">
        <v>12568</v>
      </c>
      <c r="W2805" t="s">
        <v>15335</v>
      </c>
      <c r="X2805">
        <v>12</v>
      </c>
      <c r="Y2805" t="s">
        <v>21493</v>
      </c>
      <c r="Z2805" t="s">
        <v>27675</v>
      </c>
      <c r="AA2805">
        <v>0.64010654043643245</v>
      </c>
      <c r="AB2805" t="str">
        <f>HYPERLINK("Melting_Curves/meltCurve_Q08945_SSRP1.pdf", "Melting_Curves/meltCurve_Q08945_SSRP1.pdf")</f>
        <v>Melting_Curves/meltCurve_Q08945_SSRP1.pdf</v>
      </c>
    </row>
    <row r="2806" spans="1:28" x14ac:dyDescent="0.25">
      <c r="A2806" t="s">
        <v>2810</v>
      </c>
      <c r="B2806">
        <v>0.99352677808782597</v>
      </c>
      <c r="C2806">
        <v>0.98898481515340098</v>
      </c>
      <c r="D2806">
        <v>0.87861298313038205</v>
      </c>
      <c r="E2806">
        <v>0.44938910157613199</v>
      </c>
      <c r="F2806">
        <v>0.36407173356311101</v>
      </c>
      <c r="G2806">
        <v>0.234213200854436</v>
      </c>
      <c r="H2806">
        <v>0.14739839328012999</v>
      </c>
      <c r="I2806">
        <v>0.14097321858815701</v>
      </c>
      <c r="J2806">
        <v>0.110729681612283</v>
      </c>
      <c r="K2806">
        <v>8.7439335724106795E-2</v>
      </c>
      <c r="L2806">
        <v>946.649139383386</v>
      </c>
      <c r="M2806">
        <v>19.098711077746501</v>
      </c>
      <c r="N2806">
        <v>50.300945130460804</v>
      </c>
      <c r="O2806">
        <v>49.032310036825599</v>
      </c>
      <c r="P2806">
        <v>-8.5527654764200697E-2</v>
      </c>
      <c r="Q2806">
        <v>0.1217303213087</v>
      </c>
      <c r="R2806">
        <v>0.98868161021822798</v>
      </c>
      <c r="S2806" t="s">
        <v>9091</v>
      </c>
      <c r="T2806" t="s">
        <v>12568</v>
      </c>
      <c r="U2806" t="s">
        <v>12568</v>
      </c>
      <c r="V2806" t="s">
        <v>12568</v>
      </c>
      <c r="W2806" t="s">
        <v>15336</v>
      </c>
      <c r="X2806">
        <v>6</v>
      </c>
      <c r="Y2806" t="s">
        <v>21494</v>
      </c>
      <c r="Z2806" t="s">
        <v>27676</v>
      </c>
      <c r="AA2806">
        <v>0.41520585230463802</v>
      </c>
      <c r="AB2806" t="str">
        <f>HYPERLINK("Melting_Curves/meltCurve_Q08999_RBL2.pdf", "Melting_Curves/meltCurve_Q08999_RBL2.pdf")</f>
        <v>Melting_Curves/meltCurve_Q08999_RBL2.pdf</v>
      </c>
    </row>
    <row r="2807" spans="1:28" x14ac:dyDescent="0.25">
      <c r="A2807" t="s">
        <v>2811</v>
      </c>
      <c r="B2807">
        <v>0.99352677808782597</v>
      </c>
      <c r="C2807">
        <v>0.95480907871270104</v>
      </c>
      <c r="D2807">
        <v>0.993366221311759</v>
      </c>
      <c r="E2807">
        <v>0.80915445809790099</v>
      </c>
      <c r="F2807">
        <v>0.69313055661101897</v>
      </c>
      <c r="G2807">
        <v>0.48134766768772902</v>
      </c>
      <c r="H2807">
        <v>0.35553607133479698</v>
      </c>
      <c r="I2807">
        <v>0.34190653652855002</v>
      </c>
      <c r="J2807">
        <v>0.354266212506822</v>
      </c>
      <c r="K2807">
        <v>0.28633085215870402</v>
      </c>
      <c r="L2807">
        <v>901.75671464090794</v>
      </c>
      <c r="M2807">
        <v>16.854650070459801</v>
      </c>
      <c r="N2807">
        <v>56.5191633499769</v>
      </c>
      <c r="O2807">
        <v>52.765829767101799</v>
      </c>
      <c r="P2807">
        <v>-5.6168833187696603E-2</v>
      </c>
      <c r="Q2807">
        <v>0.29666752934374901</v>
      </c>
      <c r="R2807">
        <v>0.99285795377994401</v>
      </c>
      <c r="S2807" t="s">
        <v>9092</v>
      </c>
      <c r="T2807" t="s">
        <v>12568</v>
      </c>
      <c r="U2807" t="s">
        <v>12568</v>
      </c>
      <c r="V2807" t="s">
        <v>12568</v>
      </c>
      <c r="W2807" t="s">
        <v>15337</v>
      </c>
      <c r="X2807">
        <v>19</v>
      </c>
      <c r="Y2807" t="s">
        <v>21495</v>
      </c>
      <c r="Z2807" t="s">
        <v>27677</v>
      </c>
      <c r="AA2807">
        <v>0.62579428177800722</v>
      </c>
      <c r="AB2807" t="str">
        <f>HYPERLINK("Melting_Curves/meltCurve_Q08AD1_2_CAMSAP2.pdf", "Melting_Curves/meltCurve_Q08AD1_2_CAMSAP2.pdf")</f>
        <v>Melting_Curves/meltCurve_Q08AD1_2_CAMSAP2.pdf</v>
      </c>
    </row>
    <row r="2808" spans="1:28" x14ac:dyDescent="0.25">
      <c r="A2808" t="s">
        <v>2812</v>
      </c>
      <c r="B2808">
        <v>0.99352677808782597</v>
      </c>
      <c r="C2808">
        <v>0.97873846811486398</v>
      </c>
      <c r="D2808">
        <v>0.83546279726635997</v>
      </c>
      <c r="E2808">
        <v>0.39511311350369399</v>
      </c>
      <c r="F2808">
        <v>0.29215550127308199</v>
      </c>
      <c r="G2808">
        <v>0.20533734816430799</v>
      </c>
      <c r="H2808">
        <v>0.18542910777530799</v>
      </c>
      <c r="I2808">
        <v>0.141213149371997</v>
      </c>
      <c r="J2808">
        <v>0.164830708250398</v>
      </c>
      <c r="K2808">
        <v>0.110535656191228</v>
      </c>
      <c r="L2808">
        <v>1172.57828380194</v>
      </c>
      <c r="M2808">
        <v>24.187878987580302</v>
      </c>
      <c r="N2808">
        <v>49.2507623677608</v>
      </c>
      <c r="O2808">
        <v>48.150217588776101</v>
      </c>
      <c r="P2808">
        <v>-0.105755193870718</v>
      </c>
      <c r="Q2808">
        <v>0.157915881157557</v>
      </c>
      <c r="R2808">
        <v>0.99398434676397396</v>
      </c>
      <c r="S2808" t="s">
        <v>9093</v>
      </c>
      <c r="T2808" t="s">
        <v>12568</v>
      </c>
      <c r="U2808" t="s">
        <v>12568</v>
      </c>
      <c r="V2808" t="s">
        <v>12568</v>
      </c>
      <c r="W2808" t="s">
        <v>15338</v>
      </c>
      <c r="X2808">
        <v>3</v>
      </c>
      <c r="Y2808" t="s">
        <v>21496</v>
      </c>
      <c r="Z2808" t="s">
        <v>27678</v>
      </c>
      <c r="AA2808">
        <v>0.40386338536475341</v>
      </c>
      <c r="AB2808" t="str">
        <f>HYPERLINK("Melting_Curves/meltCurve_Q08AE8_2_SPIRE1.pdf", "Melting_Curves/meltCurve_Q08AE8_2_SPIRE1.pdf")</f>
        <v>Melting_Curves/meltCurve_Q08AE8_2_SPIRE1.pdf</v>
      </c>
    </row>
    <row r="2809" spans="1:28" x14ac:dyDescent="0.25">
      <c r="A2809" t="s">
        <v>2813</v>
      </c>
      <c r="B2809">
        <v>0.99352677808782597</v>
      </c>
      <c r="C2809">
        <v>0.83824957854104698</v>
      </c>
      <c r="D2809">
        <v>0.81770756756755603</v>
      </c>
      <c r="E2809">
        <v>0.35207659754984799</v>
      </c>
      <c r="F2809">
        <v>0.31432371228244199</v>
      </c>
      <c r="G2809">
        <v>0.20699008152588</v>
      </c>
      <c r="H2809">
        <v>0.19167283251459699</v>
      </c>
      <c r="I2809">
        <v>0.18768675512400401</v>
      </c>
      <c r="J2809">
        <v>0.15601697852498</v>
      </c>
      <c r="K2809">
        <v>0.104021560267297</v>
      </c>
      <c r="L2809">
        <v>896.77492703891801</v>
      </c>
      <c r="M2809">
        <v>18.691777497235201</v>
      </c>
      <c r="N2809">
        <v>48.945896143755199</v>
      </c>
      <c r="O2809">
        <v>47.4379530737205</v>
      </c>
      <c r="P2809">
        <v>-8.3277341720701906E-2</v>
      </c>
      <c r="Q2809">
        <v>0.15463606854963499</v>
      </c>
      <c r="R2809">
        <v>0.97671823054298501</v>
      </c>
      <c r="S2809" t="s">
        <v>9094</v>
      </c>
      <c r="T2809" t="s">
        <v>12568</v>
      </c>
      <c r="U2809" t="s">
        <v>12568</v>
      </c>
      <c r="V2809" t="s">
        <v>12568</v>
      </c>
      <c r="W2809" t="s">
        <v>15339</v>
      </c>
      <c r="X2809">
        <v>6</v>
      </c>
      <c r="Y2809" t="s">
        <v>21497</v>
      </c>
      <c r="Z2809" t="s">
        <v>27679</v>
      </c>
      <c r="AA2809">
        <v>0.39328536623157212</v>
      </c>
      <c r="AB2809" t="str">
        <f>HYPERLINK("Melting_Curves/meltCurve_Q08AF3_SLFN5.pdf", "Melting_Curves/meltCurve_Q08AF3_SLFN5.pdf")</f>
        <v>Melting_Curves/meltCurve_Q08AF3_SLFN5.pdf</v>
      </c>
    </row>
    <row r="2810" spans="1:28" x14ac:dyDescent="0.25">
      <c r="A2810" t="s">
        <v>2814</v>
      </c>
      <c r="B2810">
        <v>0.99352677808782597</v>
      </c>
      <c r="C2810">
        <v>0.935522214208513</v>
      </c>
      <c r="D2810">
        <v>0.98330067439203905</v>
      </c>
      <c r="E2810">
        <v>0.90558929441555502</v>
      </c>
      <c r="F2810">
        <v>0.72755446867790996</v>
      </c>
      <c r="G2810">
        <v>0.64046892004986899</v>
      </c>
      <c r="H2810">
        <v>0.48716801499637302</v>
      </c>
      <c r="I2810">
        <v>0.51872770184847605</v>
      </c>
      <c r="J2810">
        <v>0.55908760843642402</v>
      </c>
      <c r="K2810">
        <v>0.366001025358141</v>
      </c>
      <c r="L2810">
        <v>777.62834410623998</v>
      </c>
      <c r="M2810">
        <v>14.316124077282</v>
      </c>
      <c r="N2810">
        <v>63.008125645899</v>
      </c>
      <c r="O2810">
        <v>53.291477554730598</v>
      </c>
      <c r="P2810">
        <v>-3.8246717047383902E-2</v>
      </c>
      <c r="Q2810">
        <v>0.43057859068531601</v>
      </c>
      <c r="R2810">
        <v>0.94772156113286599</v>
      </c>
      <c r="S2810" t="s">
        <v>9095</v>
      </c>
      <c r="T2810" t="s">
        <v>12568</v>
      </c>
      <c r="U2810" t="s">
        <v>12568</v>
      </c>
      <c r="V2810" t="s">
        <v>12568</v>
      </c>
      <c r="W2810" t="s">
        <v>15340</v>
      </c>
      <c r="X2810">
        <v>1</v>
      </c>
      <c r="Y2810" t="s">
        <v>21498</v>
      </c>
      <c r="Z2810" t="s">
        <v>27680</v>
      </c>
      <c r="AA2810">
        <v>0.71446064619903671</v>
      </c>
      <c r="AB2810" t="str">
        <f>HYPERLINK("Melting_Curves/meltCurve_Q08AG7_MZT1.pdf", "Melting_Curves/meltCurve_Q08AG7_MZT1.pdf")</f>
        <v>Melting_Curves/meltCurve_Q08AG7_MZT1.pdf</v>
      </c>
    </row>
    <row r="2811" spans="1:28" x14ac:dyDescent="0.25">
      <c r="A2811" t="s">
        <v>2815</v>
      </c>
      <c r="B2811">
        <v>0.99352677808782597</v>
      </c>
      <c r="C2811">
        <v>0.95803144807366802</v>
      </c>
      <c r="D2811">
        <v>0.83690378836889601</v>
      </c>
      <c r="E2811">
        <v>1.05217606496843</v>
      </c>
      <c r="F2811">
        <v>0.89835468527455797</v>
      </c>
      <c r="G2811">
        <v>0.35044165012929002</v>
      </c>
      <c r="H2811">
        <v>0.14635879007175501</v>
      </c>
      <c r="I2811">
        <v>0.13274043309310499</v>
      </c>
      <c r="J2811">
        <v>0.10412588131556599</v>
      </c>
      <c r="K2811">
        <v>7.4291760605702598E-2</v>
      </c>
      <c r="L2811">
        <v>2313.9154105561101</v>
      </c>
      <c r="M2811">
        <v>41.558374334355896</v>
      </c>
      <c r="N2811">
        <v>56.002077479410701</v>
      </c>
      <c r="O2811">
        <v>55.550228663902303</v>
      </c>
      <c r="P2811">
        <v>-0.16707817329539101</v>
      </c>
      <c r="Q2811">
        <v>0.106681791329621</v>
      </c>
      <c r="R2811">
        <v>0.97913190715149301</v>
      </c>
      <c r="S2811" t="s">
        <v>9096</v>
      </c>
      <c r="T2811" t="s">
        <v>12568</v>
      </c>
      <c r="U2811" t="s">
        <v>12568</v>
      </c>
      <c r="V2811" t="s">
        <v>12568</v>
      </c>
      <c r="W2811" t="s">
        <v>15341</v>
      </c>
      <c r="X2811">
        <v>14</v>
      </c>
      <c r="Y2811" t="s">
        <v>21499</v>
      </c>
      <c r="Z2811" t="s">
        <v>27681</v>
      </c>
      <c r="AA2811">
        <v>0.57672038142251503</v>
      </c>
      <c r="AB2811" t="str">
        <f>HYPERLINK("Melting_Curves/meltCurve_Q08AM6_VAC14.pdf", "Melting_Curves/meltCurve_Q08AM6_VAC14.pdf")</f>
        <v>Melting_Curves/meltCurve_Q08AM6_VAC14.pdf</v>
      </c>
    </row>
    <row r="2812" spans="1:28" x14ac:dyDescent="0.25">
      <c r="A2812" t="s">
        <v>2816</v>
      </c>
      <c r="B2812">
        <v>0.99352677808782597</v>
      </c>
      <c r="C2812">
        <v>1.0430461075194399</v>
      </c>
      <c r="D2812">
        <v>0.97124657465841502</v>
      </c>
      <c r="E2812">
        <v>0.91469562532334503</v>
      </c>
      <c r="F2812">
        <v>0.80444646671856501</v>
      </c>
      <c r="G2812">
        <v>0.58217795507879999</v>
      </c>
      <c r="H2812">
        <v>0.17685219319279599</v>
      </c>
      <c r="I2812">
        <v>0.123883981590026</v>
      </c>
      <c r="J2812">
        <v>9.3683772224076797E-2</v>
      </c>
      <c r="K2812">
        <v>7.3325327738889598E-2</v>
      </c>
      <c r="L2812">
        <v>1165.18117504111</v>
      </c>
      <c r="M2812">
        <v>20.429414670245301</v>
      </c>
      <c r="N2812">
        <v>57.241004242457997</v>
      </c>
      <c r="O2812">
        <v>56.496440048226297</v>
      </c>
      <c r="P2812">
        <v>-8.7192169606107303E-2</v>
      </c>
      <c r="Q2812">
        <v>3.5527969663541298E-2</v>
      </c>
      <c r="R2812">
        <v>0.99213169611352403</v>
      </c>
      <c r="S2812" t="s">
        <v>9097</v>
      </c>
      <c r="T2812" t="s">
        <v>12568</v>
      </c>
      <c r="U2812" t="s">
        <v>12568</v>
      </c>
      <c r="V2812" t="s">
        <v>12568</v>
      </c>
      <c r="W2812" t="s">
        <v>15342</v>
      </c>
      <c r="X2812">
        <v>35</v>
      </c>
      <c r="Y2812" t="s">
        <v>21500</v>
      </c>
      <c r="Z2812" t="s">
        <v>27682</v>
      </c>
      <c r="AA2812">
        <v>0.59465540409828621</v>
      </c>
      <c r="AB2812" t="str">
        <f>HYPERLINK("Melting_Curves/meltCurve_Q08J23_NSUN2.pdf", "Melting_Curves/meltCurve_Q08J23_NSUN2.pdf")</f>
        <v>Melting_Curves/meltCurve_Q08J23_NSUN2.pdf</v>
      </c>
    </row>
    <row r="2813" spans="1:28" x14ac:dyDescent="0.25">
      <c r="A2813" t="s">
        <v>2817</v>
      </c>
      <c r="B2813">
        <v>0.99352677808782597</v>
      </c>
      <c r="C2813">
        <v>1.04057138204583</v>
      </c>
      <c r="D2813">
        <v>0.965306187574972</v>
      </c>
      <c r="E2813">
        <v>0.99903150344811897</v>
      </c>
      <c r="F2813">
        <v>0.89272770829280002</v>
      </c>
      <c r="G2813">
        <v>0.65505929914685401</v>
      </c>
      <c r="H2813">
        <v>0.32017731137653599</v>
      </c>
      <c r="I2813">
        <v>0.14322772998856201</v>
      </c>
      <c r="J2813">
        <v>0.11385378873783</v>
      </c>
      <c r="K2813">
        <v>0.10334472469697099</v>
      </c>
      <c r="L2813">
        <v>1356.1857275556999</v>
      </c>
      <c r="M2813">
        <v>23.2988246645887</v>
      </c>
      <c r="N2813">
        <v>58.592218381805502</v>
      </c>
      <c r="O2813">
        <v>57.784606144827102</v>
      </c>
      <c r="P2813">
        <v>-9.3666801558180399E-2</v>
      </c>
      <c r="Q2813">
        <v>7.0785240679139799E-2</v>
      </c>
      <c r="R2813">
        <v>0.99678844854495396</v>
      </c>
      <c r="S2813" t="s">
        <v>9098</v>
      </c>
      <c r="T2813" t="s">
        <v>12568</v>
      </c>
      <c r="U2813" t="s">
        <v>12568</v>
      </c>
      <c r="V2813" t="s">
        <v>12568</v>
      </c>
      <c r="W2813" t="s">
        <v>15343</v>
      </c>
      <c r="X2813">
        <v>11</v>
      </c>
      <c r="Y2813" t="s">
        <v>21501</v>
      </c>
      <c r="Z2813" t="s">
        <v>27683</v>
      </c>
      <c r="AA2813">
        <v>0.64352993505194067</v>
      </c>
      <c r="AB2813" t="str">
        <f>HYPERLINK("Melting_Curves/meltCurve_Q09028_3_RBBP4.pdf", "Melting_Curves/meltCurve_Q09028_3_RBBP4.pdf")</f>
        <v>Melting_Curves/meltCurve_Q09028_3_RBBP4.pdf</v>
      </c>
    </row>
    <row r="2814" spans="1:28" x14ac:dyDescent="0.25">
      <c r="A2814" t="s">
        <v>2818</v>
      </c>
      <c r="B2814">
        <v>0.99352677808782597</v>
      </c>
      <c r="C2814">
        <v>0.98595789223168495</v>
      </c>
      <c r="D2814">
        <v>0.86694163705309302</v>
      </c>
      <c r="E2814">
        <v>0.34301473034033603</v>
      </c>
      <c r="F2814">
        <v>0.26299537205249601</v>
      </c>
      <c r="G2814">
        <v>0.15798565842342599</v>
      </c>
      <c r="H2814">
        <v>0.101299171092359</v>
      </c>
      <c r="I2814">
        <v>9.3756523334214997E-2</v>
      </c>
      <c r="J2814">
        <v>8.2066288579087904E-2</v>
      </c>
      <c r="K2814">
        <v>6.3010883593220005E-2</v>
      </c>
      <c r="L2814">
        <v>1272.4134849782799</v>
      </c>
      <c r="M2814">
        <v>26.156204872482402</v>
      </c>
      <c r="N2814">
        <v>49.067236449329798</v>
      </c>
      <c r="O2814">
        <v>48.365017143775702</v>
      </c>
      <c r="P2814">
        <v>-0.121627921402695</v>
      </c>
      <c r="Q2814">
        <v>0.100408858159739</v>
      </c>
      <c r="R2814">
        <v>0.99131281475185296</v>
      </c>
      <c r="S2814" t="s">
        <v>9099</v>
      </c>
      <c r="T2814" t="s">
        <v>12568</v>
      </c>
      <c r="U2814" t="s">
        <v>12568</v>
      </c>
      <c r="V2814" t="s">
        <v>12568</v>
      </c>
      <c r="W2814" t="s">
        <v>15344</v>
      </c>
      <c r="X2814">
        <v>17</v>
      </c>
      <c r="Y2814" t="s">
        <v>21502</v>
      </c>
      <c r="Z2814" t="s">
        <v>27684</v>
      </c>
      <c r="AA2814">
        <v>0.36693533147712309</v>
      </c>
      <c r="AB2814" t="str">
        <f>HYPERLINK("Melting_Curves/meltCurve_Q09161_NCBP1.pdf", "Melting_Curves/meltCurve_Q09161_NCBP1.pdf")</f>
        <v>Melting_Curves/meltCurve_Q09161_NCBP1.pdf</v>
      </c>
    </row>
    <row r="2815" spans="1:28" x14ac:dyDescent="0.25">
      <c r="A2815" t="s">
        <v>2819</v>
      </c>
      <c r="B2815">
        <v>0.99352677808782597</v>
      </c>
      <c r="C2815">
        <v>0.97875861007926201</v>
      </c>
      <c r="D2815">
        <v>0.92641239772055195</v>
      </c>
      <c r="E2815">
        <v>0.50237525607287203</v>
      </c>
      <c r="F2815">
        <v>0.44318399869728198</v>
      </c>
      <c r="G2815">
        <v>0.28022582156425002</v>
      </c>
      <c r="H2815">
        <v>0.24150848185162599</v>
      </c>
      <c r="I2815">
        <v>0.26568342183599702</v>
      </c>
      <c r="J2815">
        <v>0.18454271270327</v>
      </c>
      <c r="K2815">
        <v>0.12539034876036501</v>
      </c>
      <c r="L2815">
        <v>960.19586569059095</v>
      </c>
      <c r="M2815">
        <v>19.2749825721795</v>
      </c>
      <c r="N2815">
        <v>51.164099984466503</v>
      </c>
      <c r="O2815">
        <v>49.288741150323297</v>
      </c>
      <c r="P2815">
        <v>-7.8298503192068006E-2</v>
      </c>
      <c r="Q2815">
        <v>0.19915056530370001</v>
      </c>
      <c r="R2815">
        <v>0.97788929374432099</v>
      </c>
      <c r="S2815" t="s">
        <v>9100</v>
      </c>
      <c r="T2815" t="s">
        <v>12568</v>
      </c>
      <c r="U2815" t="s">
        <v>12568</v>
      </c>
      <c r="V2815" t="s">
        <v>12568</v>
      </c>
      <c r="W2815" t="s">
        <v>15345</v>
      </c>
      <c r="X2815">
        <v>20</v>
      </c>
      <c r="Y2815" t="s">
        <v>21503</v>
      </c>
      <c r="Z2815" t="s">
        <v>27685</v>
      </c>
      <c r="AA2815">
        <v>0.47317323176654191</v>
      </c>
      <c r="AB2815" t="str">
        <f>HYPERLINK("Melting_Curves/meltCurve_Q09472_EP300.pdf", "Melting_Curves/meltCurve_Q09472_EP300.pdf")</f>
        <v>Melting_Curves/meltCurve_Q09472_EP300.pdf</v>
      </c>
    </row>
    <row r="2816" spans="1:28" x14ac:dyDescent="0.25">
      <c r="A2816" t="s">
        <v>2820</v>
      </c>
      <c r="B2816">
        <v>0.99352677808782597</v>
      </c>
      <c r="C2816">
        <v>1.01248835155232</v>
      </c>
      <c r="D2816">
        <v>0.965301387140029</v>
      </c>
      <c r="E2816">
        <v>0.92263582170649105</v>
      </c>
      <c r="F2816">
        <v>0.79947025257734505</v>
      </c>
      <c r="G2816">
        <v>0.64113691312586796</v>
      </c>
      <c r="H2816">
        <v>0.73882227415496105</v>
      </c>
      <c r="I2816">
        <v>0.69427439024740401</v>
      </c>
      <c r="J2816">
        <v>0.98040429457937095</v>
      </c>
      <c r="K2816">
        <v>0.62087060635107105</v>
      </c>
      <c r="L2816">
        <v>2160.91245933554</v>
      </c>
      <c r="M2816">
        <v>42.277348666290301</v>
      </c>
      <c r="O2816">
        <v>50.9988099970682</v>
      </c>
      <c r="P2816">
        <v>-5.4547253958369797E-2</v>
      </c>
      <c r="Q2816">
        <v>0.73680086306774295</v>
      </c>
      <c r="R2816">
        <v>0.60274962578548197</v>
      </c>
      <c r="S2816" t="s">
        <v>9101</v>
      </c>
      <c r="T2816" t="s">
        <v>12568</v>
      </c>
      <c r="U2816" t="s">
        <v>12568</v>
      </c>
      <c r="V2816" t="s">
        <v>12568</v>
      </c>
      <c r="W2816" t="s">
        <v>15346</v>
      </c>
      <c r="X2816">
        <v>350</v>
      </c>
      <c r="Y2816" t="s">
        <v>21504</v>
      </c>
      <c r="Z2816" t="s">
        <v>27686</v>
      </c>
      <c r="AA2816">
        <v>0.83512828314261867</v>
      </c>
      <c r="AB2816" t="str">
        <f>HYPERLINK("Melting_Curves/meltCurve_Q09666_AHNAK.pdf", "Melting_Curves/meltCurve_Q09666_AHNAK.pdf")</f>
        <v>Melting_Curves/meltCurve_Q09666_AHNAK.pdf</v>
      </c>
    </row>
    <row r="2817" spans="1:28" x14ac:dyDescent="0.25">
      <c r="A2817" t="s">
        <v>2821</v>
      </c>
      <c r="B2817">
        <v>0.99352677808782597</v>
      </c>
      <c r="C2817">
        <v>1.07515996863555</v>
      </c>
      <c r="D2817">
        <v>1.0379633104591599</v>
      </c>
      <c r="E2817">
        <v>1.07488769268468</v>
      </c>
      <c r="F2817">
        <v>1.02268169187961</v>
      </c>
      <c r="G2817">
        <v>0.94038533340084096</v>
      </c>
      <c r="H2817">
        <v>0.87845048035194395</v>
      </c>
      <c r="I2817">
        <v>0.88833588557838905</v>
      </c>
      <c r="J2817">
        <v>0.999092267522112</v>
      </c>
      <c r="K2817">
        <v>0.79306975342283104</v>
      </c>
      <c r="L2817">
        <v>609.93087135248197</v>
      </c>
      <c r="M2817">
        <v>7.0696718140019703</v>
      </c>
      <c r="Q2817">
        <v>0</v>
      </c>
      <c r="R2817">
        <v>0.51901303079469896</v>
      </c>
      <c r="S2817" t="s">
        <v>9102</v>
      </c>
      <c r="T2817" t="s">
        <v>12568</v>
      </c>
      <c r="U2817" t="s">
        <v>12568</v>
      </c>
      <c r="V2817" t="s">
        <v>12568</v>
      </c>
      <c r="W2817" t="s">
        <v>15347</v>
      </c>
      <c r="X2817">
        <v>6</v>
      </c>
      <c r="Y2817" t="s">
        <v>21504</v>
      </c>
      <c r="Z2817" t="s">
        <v>27687</v>
      </c>
      <c r="AA2817">
        <v>0.96126192147413414</v>
      </c>
      <c r="AB2817" t="str">
        <f>HYPERLINK("Melting_Curves/meltCurve_Q09666_2_AHNAK.pdf", "Melting_Curves/meltCurve_Q09666_2_AHNAK.pdf")</f>
        <v>Melting_Curves/meltCurve_Q09666_2_AHNAK.pdf</v>
      </c>
    </row>
    <row r="2818" spans="1:28" x14ac:dyDescent="0.25">
      <c r="A2818" t="s">
        <v>2822</v>
      </c>
      <c r="B2818">
        <v>0.99352677808782597</v>
      </c>
      <c r="C2818">
        <v>0.96712151434404403</v>
      </c>
      <c r="D2818">
        <v>0.95447764119539003</v>
      </c>
      <c r="E2818">
        <v>0.64013146123155995</v>
      </c>
      <c r="F2818">
        <v>0.55760635908646805</v>
      </c>
      <c r="G2818">
        <v>0.37908190636297201</v>
      </c>
      <c r="H2818">
        <v>0.211961235099871</v>
      </c>
      <c r="I2818">
        <v>0.20366291541923001</v>
      </c>
      <c r="J2818">
        <v>0.163445699793866</v>
      </c>
      <c r="K2818">
        <v>0.138863497148561</v>
      </c>
      <c r="L2818">
        <v>719.04654668546505</v>
      </c>
      <c r="M2818">
        <v>13.662700065115899</v>
      </c>
      <c r="N2818">
        <v>53.697519991787502</v>
      </c>
      <c r="O2818">
        <v>51.539385223561801</v>
      </c>
      <c r="P2818">
        <v>-5.8389884182344497E-2</v>
      </c>
      <c r="Q2818">
        <v>0.11907865728103</v>
      </c>
      <c r="R2818">
        <v>0.98997132864639803</v>
      </c>
      <c r="S2818" t="s">
        <v>9103</v>
      </c>
      <c r="T2818" t="s">
        <v>12568</v>
      </c>
      <c r="U2818" t="s">
        <v>12568</v>
      </c>
      <c r="V2818" t="s">
        <v>12568</v>
      </c>
      <c r="W2818" t="s">
        <v>15348</v>
      </c>
      <c r="X2818">
        <v>9</v>
      </c>
      <c r="Y2818" t="s">
        <v>21505</v>
      </c>
      <c r="Z2818" t="s">
        <v>27688</v>
      </c>
      <c r="AA2818">
        <v>0.51181147250697556</v>
      </c>
      <c r="AB2818" t="str">
        <f>HYPERLINK("Melting_Curves/meltCurve_Q0JRZ9_FCHO2.pdf", "Melting_Curves/meltCurve_Q0JRZ9_FCHO2.pdf")</f>
        <v>Melting_Curves/meltCurve_Q0JRZ9_FCHO2.pdf</v>
      </c>
    </row>
    <row r="2819" spans="1:28" x14ac:dyDescent="0.25">
      <c r="A2819" t="s">
        <v>2823</v>
      </c>
      <c r="B2819">
        <v>0.99352677808782597</v>
      </c>
      <c r="C2819">
        <v>0.97665420415537096</v>
      </c>
      <c r="D2819">
        <v>0.89274447905704302</v>
      </c>
      <c r="E2819">
        <v>1.3808732414101399</v>
      </c>
      <c r="F2819">
        <v>1.1265756538257601</v>
      </c>
      <c r="G2819">
        <v>0.83330188340594502</v>
      </c>
      <c r="H2819">
        <v>0.69663425790774103</v>
      </c>
      <c r="I2819">
        <v>0.53165341456861404</v>
      </c>
      <c r="J2819">
        <v>0.633556121783314</v>
      </c>
      <c r="K2819">
        <v>0.29976723172782599</v>
      </c>
      <c r="L2819">
        <v>1307.74379729374</v>
      </c>
      <c r="M2819">
        <v>21.2380662449151</v>
      </c>
      <c r="N2819">
        <v>65.743808102904197</v>
      </c>
      <c r="O2819">
        <v>61.037344106709199</v>
      </c>
      <c r="P2819">
        <v>-5.4809731375578798E-2</v>
      </c>
      <c r="Q2819">
        <v>0.36993236367090898</v>
      </c>
      <c r="R2819">
        <v>0.73574520967837798</v>
      </c>
      <c r="S2819" t="s">
        <v>9104</v>
      </c>
      <c r="T2819" t="s">
        <v>12568</v>
      </c>
      <c r="U2819" t="s">
        <v>12568</v>
      </c>
      <c r="V2819" t="s">
        <v>12568</v>
      </c>
      <c r="W2819" t="s">
        <v>15349</v>
      </c>
      <c r="X2819">
        <v>5</v>
      </c>
      <c r="Y2819" t="s">
        <v>21506</v>
      </c>
      <c r="Z2819" t="s">
        <v>27689</v>
      </c>
      <c r="AA2819">
        <v>0.8261510742804028</v>
      </c>
      <c r="AB2819" t="str">
        <f>HYPERLINK("Melting_Curves/meltCurve_Q0PNE2_ELP6.pdf", "Melting_Curves/meltCurve_Q0PNE2_ELP6.pdf")</f>
        <v>Melting_Curves/meltCurve_Q0PNE2_ELP6.pdf</v>
      </c>
    </row>
    <row r="2820" spans="1:28" x14ac:dyDescent="0.25">
      <c r="A2820" t="s">
        <v>2824</v>
      </c>
      <c r="B2820">
        <v>0.99352677808782597</v>
      </c>
      <c r="C2820">
        <v>0.89689470457964804</v>
      </c>
      <c r="D2820">
        <v>0.64563231873372096</v>
      </c>
      <c r="E2820">
        <v>0.30586730140580598</v>
      </c>
      <c r="F2820">
        <v>0.234361342933954</v>
      </c>
      <c r="G2820">
        <v>0.12918820227824099</v>
      </c>
      <c r="H2820">
        <v>8.7361110053899793E-2</v>
      </c>
      <c r="I2820">
        <v>8.2744063766854406E-2</v>
      </c>
      <c r="J2820">
        <v>6.5240131946208896E-2</v>
      </c>
      <c r="K2820">
        <v>4.3470985541552903E-2</v>
      </c>
      <c r="L2820">
        <v>846.36085469936302</v>
      </c>
      <c r="M2820">
        <v>17.850600305791499</v>
      </c>
      <c r="N2820">
        <v>47.8109643440174</v>
      </c>
      <c r="O2820">
        <v>46.830532738494803</v>
      </c>
      <c r="P2820">
        <v>-8.8728395957189399E-2</v>
      </c>
      <c r="Q2820">
        <v>6.8941677451607994E-2</v>
      </c>
      <c r="R2820">
        <v>0.99574645673442597</v>
      </c>
      <c r="S2820" t="s">
        <v>9105</v>
      </c>
      <c r="T2820" t="s">
        <v>12568</v>
      </c>
      <c r="U2820" t="s">
        <v>12568</v>
      </c>
      <c r="V2820" t="s">
        <v>12568</v>
      </c>
      <c r="W2820" t="s">
        <v>15350</v>
      </c>
      <c r="X2820">
        <v>11</v>
      </c>
      <c r="Y2820" t="s">
        <v>21507</v>
      </c>
      <c r="Z2820" t="s">
        <v>27690</v>
      </c>
      <c r="AA2820">
        <v>0.31619087534836249</v>
      </c>
      <c r="AB2820" t="str">
        <f>HYPERLINK("Melting_Curves/meltCurve_Q0VDF9_HSPA14.pdf", "Melting_Curves/meltCurve_Q0VDF9_HSPA14.pdf")</f>
        <v>Melting_Curves/meltCurve_Q0VDF9_HSPA14.pdf</v>
      </c>
    </row>
    <row r="2821" spans="1:28" x14ac:dyDescent="0.25">
      <c r="A2821" t="s">
        <v>2825</v>
      </c>
      <c r="B2821">
        <v>0.99352677808782597</v>
      </c>
      <c r="C2821">
        <v>0.98119987676818199</v>
      </c>
      <c r="D2821">
        <v>0.97969515819429698</v>
      </c>
      <c r="E2821">
        <v>0.729524336825907</v>
      </c>
      <c r="F2821">
        <v>0.64889856081382502</v>
      </c>
      <c r="G2821">
        <v>0.34640899679376103</v>
      </c>
      <c r="H2821">
        <v>0.13401587572104801</v>
      </c>
      <c r="I2821">
        <v>7.6391556500272406E-2</v>
      </c>
      <c r="J2821">
        <v>5.8578556051126697E-2</v>
      </c>
      <c r="K2821">
        <v>4.6023959055176103E-2</v>
      </c>
      <c r="L2821">
        <v>835.430246189434</v>
      </c>
      <c r="M2821">
        <v>15.3423502885398</v>
      </c>
      <c r="N2821">
        <v>54.452559833138501</v>
      </c>
      <c r="O2821">
        <v>53.552615143026799</v>
      </c>
      <c r="P2821">
        <v>-7.1629410814889202E-2</v>
      </c>
      <c r="Q2821">
        <v>0</v>
      </c>
      <c r="R2821">
        <v>0.993912947781044</v>
      </c>
      <c r="S2821" t="s">
        <v>9106</v>
      </c>
      <c r="T2821" t="s">
        <v>12568</v>
      </c>
      <c r="U2821" t="s">
        <v>12568</v>
      </c>
      <c r="V2821" t="s">
        <v>12568</v>
      </c>
      <c r="W2821" t="s">
        <v>15351</v>
      </c>
      <c r="X2821">
        <v>5</v>
      </c>
      <c r="Y2821" t="s">
        <v>21508</v>
      </c>
      <c r="Z2821" t="s">
        <v>27691</v>
      </c>
      <c r="AA2821">
        <v>0.5012184003615876</v>
      </c>
      <c r="AB2821" t="str">
        <f>HYPERLINK("Melting_Curves/meltCurve_Q0VDG4_SCRN3.pdf", "Melting_Curves/meltCurve_Q0VDG4_SCRN3.pdf")</f>
        <v>Melting_Curves/meltCurve_Q0VDG4_SCRN3.pdf</v>
      </c>
    </row>
    <row r="2822" spans="1:28" x14ac:dyDescent="0.25">
      <c r="A2822" t="s">
        <v>2826</v>
      </c>
      <c r="B2822">
        <v>0.99352677808782597</v>
      </c>
      <c r="C2822">
        <v>1.1605757061342299</v>
      </c>
      <c r="D2822">
        <v>1.0711479625797899</v>
      </c>
      <c r="E2822">
        <v>1.21392219962556</v>
      </c>
      <c r="F2822">
        <v>1.3002322326172</v>
      </c>
      <c r="G2822">
        <v>1.32185518534116</v>
      </c>
      <c r="H2822">
        <v>0.57266569061933803</v>
      </c>
      <c r="I2822">
        <v>0.46852545982320898</v>
      </c>
      <c r="J2822">
        <v>0.583975847919184</v>
      </c>
      <c r="K2822">
        <v>0.36322053936065901</v>
      </c>
      <c r="L2822">
        <v>15000</v>
      </c>
      <c r="M2822">
        <v>247.346472962484</v>
      </c>
      <c r="N2822">
        <v>61.357878696698897</v>
      </c>
      <c r="O2822">
        <v>60.639712336351501</v>
      </c>
      <c r="P2822">
        <v>-0.53851665389327996</v>
      </c>
      <c r="Q2822">
        <v>0.47190682800342398</v>
      </c>
      <c r="R2822">
        <v>0.75912151462551003</v>
      </c>
      <c r="S2822" t="s">
        <v>9107</v>
      </c>
      <c r="T2822" t="s">
        <v>12568</v>
      </c>
      <c r="U2822" t="s">
        <v>12568</v>
      </c>
      <c r="V2822" t="s">
        <v>12568</v>
      </c>
      <c r="W2822" t="s">
        <v>15352</v>
      </c>
      <c r="X2822">
        <v>7</v>
      </c>
      <c r="Y2822" t="s">
        <v>21509</v>
      </c>
      <c r="Z2822" t="s">
        <v>27692</v>
      </c>
      <c r="AA2822">
        <v>0.83535710140341246</v>
      </c>
      <c r="AB2822" t="str">
        <f>HYPERLINK("Melting_Curves/meltCurve_Q0VF96_CGNL1.pdf", "Melting_Curves/meltCurve_Q0VF96_CGNL1.pdf")</f>
        <v>Melting_Curves/meltCurve_Q0VF96_CGNL1.pdf</v>
      </c>
    </row>
    <row r="2823" spans="1:28" x14ac:dyDescent="0.25">
      <c r="A2823" t="s">
        <v>2827</v>
      </c>
      <c r="B2823">
        <v>0.99352677808782597</v>
      </c>
      <c r="C2823">
        <v>0.93419393210762502</v>
      </c>
      <c r="D2823">
        <v>0.870489685347687</v>
      </c>
      <c r="E2823">
        <v>0.64977540087027597</v>
      </c>
      <c r="F2823">
        <v>0.60005688450448502</v>
      </c>
      <c r="G2823">
        <v>0.39013264489124599</v>
      </c>
      <c r="H2823">
        <v>0.248049551521106</v>
      </c>
      <c r="I2823">
        <v>0.215210312450588</v>
      </c>
      <c r="J2823">
        <v>0.193168151179198</v>
      </c>
      <c r="K2823">
        <v>0.16334082218002399</v>
      </c>
      <c r="L2823">
        <v>583.33068625279702</v>
      </c>
      <c r="M2823">
        <v>10.9902679156912</v>
      </c>
      <c r="N2823">
        <v>54.174262465461098</v>
      </c>
      <c r="O2823">
        <v>51.4105391398938</v>
      </c>
      <c r="P2823">
        <v>-4.8127318440742597E-2</v>
      </c>
      <c r="Q2823">
        <v>9.9780253458633505E-2</v>
      </c>
      <c r="R2823">
        <v>0.99414386412046196</v>
      </c>
      <c r="S2823" t="s">
        <v>9108</v>
      </c>
      <c r="T2823" t="s">
        <v>12568</v>
      </c>
      <c r="U2823" t="s">
        <v>12568</v>
      </c>
      <c r="V2823" t="s">
        <v>12568</v>
      </c>
      <c r="W2823" t="s">
        <v>15353</v>
      </c>
      <c r="X2823">
        <v>4</v>
      </c>
      <c r="Y2823" t="s">
        <v>21510</v>
      </c>
      <c r="Z2823" t="s">
        <v>27693</v>
      </c>
      <c r="AA2823">
        <v>0.52012227628126728</v>
      </c>
      <c r="AB2823" t="str">
        <f>HYPERLINK("Melting_Curves/meltCurve_Q0VG06_FAAP100.pdf", "Melting_Curves/meltCurve_Q0VG06_FAAP100.pdf")</f>
        <v>Melting_Curves/meltCurve_Q0VG06_FAAP100.pdf</v>
      </c>
    </row>
    <row r="2824" spans="1:28" x14ac:dyDescent="0.25">
      <c r="A2824" t="s">
        <v>2828</v>
      </c>
      <c r="B2824">
        <v>0.99352677808782597</v>
      </c>
      <c r="C2824">
        <v>0.88028478067482596</v>
      </c>
      <c r="D2824">
        <v>0.82257861902281204</v>
      </c>
      <c r="E2824">
        <v>0.41419258054268798</v>
      </c>
      <c r="F2824">
        <v>0.39696365765737401</v>
      </c>
      <c r="G2824">
        <v>0.25070640179706399</v>
      </c>
      <c r="H2824">
        <v>0.15612418941748499</v>
      </c>
      <c r="I2824">
        <v>8.57855556523901E-2</v>
      </c>
      <c r="J2824">
        <v>6.01283438679917E-2</v>
      </c>
      <c r="K2824">
        <v>5.0482132929023801E-2</v>
      </c>
      <c r="L2824">
        <v>626.472040115553</v>
      </c>
      <c r="M2824">
        <v>12.5232506224982</v>
      </c>
      <c r="N2824">
        <v>50.358209960525699</v>
      </c>
      <c r="O2824">
        <v>48.800545242118197</v>
      </c>
      <c r="P2824">
        <v>-6.16148459665041E-2</v>
      </c>
      <c r="Q2824">
        <v>3.9794381489001301E-2</v>
      </c>
      <c r="R2824">
        <v>0.98193757432839601</v>
      </c>
      <c r="S2824" t="s">
        <v>9109</v>
      </c>
      <c r="T2824" t="s">
        <v>12568</v>
      </c>
      <c r="U2824" t="s">
        <v>12568</v>
      </c>
      <c r="V2824" t="s">
        <v>12568</v>
      </c>
      <c r="W2824" t="s">
        <v>15354</v>
      </c>
      <c r="X2824">
        <v>1</v>
      </c>
      <c r="Y2824" t="s">
        <v>21511</v>
      </c>
      <c r="Z2824" t="s">
        <v>27694</v>
      </c>
      <c r="AA2824">
        <v>0.39167984843567061</v>
      </c>
      <c r="AB2824" t="str">
        <f>HYPERLINK("Melting_Curves/meltCurve_Q0VGL1_LAMTOR4.pdf", "Melting_Curves/meltCurve_Q0VGL1_LAMTOR4.pdf")</f>
        <v>Melting_Curves/meltCurve_Q0VGL1_LAMTOR4.pdf</v>
      </c>
    </row>
    <row r="2825" spans="1:28" x14ac:dyDescent="0.25">
      <c r="A2825" t="s">
        <v>2829</v>
      </c>
      <c r="B2825">
        <v>0.99352677808782597</v>
      </c>
      <c r="C2825">
        <v>1.01801288515152</v>
      </c>
      <c r="D2825">
        <v>0.92114329926463301</v>
      </c>
      <c r="E2825">
        <v>0.85588487613119901</v>
      </c>
      <c r="F2825">
        <v>0.67368900509662599</v>
      </c>
      <c r="G2825">
        <v>0.48389809265734401</v>
      </c>
      <c r="H2825">
        <v>0.22341567117605199</v>
      </c>
      <c r="I2825">
        <v>0.12063215772013899</v>
      </c>
      <c r="J2825">
        <v>7.8844456649073094E-2</v>
      </c>
      <c r="K2825">
        <v>6.4412437384689297E-2</v>
      </c>
      <c r="L2825">
        <v>804.49417124304898</v>
      </c>
      <c r="M2825">
        <v>14.353024021704</v>
      </c>
      <c r="N2825">
        <v>56.050499562737102</v>
      </c>
      <c r="O2825">
        <v>54.996155879760401</v>
      </c>
      <c r="P2825">
        <v>-6.5253423635973196E-2</v>
      </c>
      <c r="Q2825">
        <v>0</v>
      </c>
      <c r="R2825">
        <v>0.99602439134495202</v>
      </c>
      <c r="S2825" t="s">
        <v>9110</v>
      </c>
      <c r="T2825" t="s">
        <v>12568</v>
      </c>
      <c r="U2825" t="s">
        <v>12568</v>
      </c>
      <c r="V2825" t="s">
        <v>12568</v>
      </c>
      <c r="W2825" t="s">
        <v>15355</v>
      </c>
      <c r="X2825">
        <v>26</v>
      </c>
      <c r="Y2825" t="s">
        <v>21512</v>
      </c>
      <c r="Z2825" t="s">
        <v>27695</v>
      </c>
      <c r="AA2825">
        <v>0.55329891505306583</v>
      </c>
      <c r="AB2825" t="str">
        <f>HYPERLINK("Melting_Curves/meltCurve_Q10567_2_AP1B1.pdf", "Melting_Curves/meltCurve_Q10567_2_AP1B1.pdf")</f>
        <v>Melting_Curves/meltCurve_Q10567_2_AP1B1.pdf</v>
      </c>
    </row>
    <row r="2826" spans="1:28" x14ac:dyDescent="0.25">
      <c r="A2826" t="s">
        <v>2830</v>
      </c>
      <c r="B2826">
        <v>0.99352677808782597</v>
      </c>
      <c r="C2826">
        <v>1.0401311760629599</v>
      </c>
      <c r="D2826">
        <v>0.889009552330706</v>
      </c>
      <c r="E2826">
        <v>0.81951944616224903</v>
      </c>
      <c r="F2826">
        <v>0.61149419373325897</v>
      </c>
      <c r="G2826">
        <v>0.44062950706534398</v>
      </c>
      <c r="H2826">
        <v>0.206156581454287</v>
      </c>
      <c r="I2826">
        <v>9.8693830035427796E-2</v>
      </c>
      <c r="J2826">
        <v>9.2096472476079105E-2</v>
      </c>
      <c r="K2826">
        <v>4.5396694784957101E-2</v>
      </c>
      <c r="L2826">
        <v>754.16710875233696</v>
      </c>
      <c r="M2826">
        <v>13.659293467542501</v>
      </c>
      <c r="N2826">
        <v>55.212738634466497</v>
      </c>
      <c r="O2826">
        <v>54.069671085516902</v>
      </c>
      <c r="P2826">
        <v>-6.3165186805559506E-2</v>
      </c>
      <c r="Q2826">
        <v>0</v>
      </c>
      <c r="R2826">
        <v>0.992602257901955</v>
      </c>
      <c r="S2826" t="s">
        <v>9111</v>
      </c>
      <c r="T2826" t="s">
        <v>12568</v>
      </c>
      <c r="U2826" t="s">
        <v>12568</v>
      </c>
      <c r="V2826" t="s">
        <v>12568</v>
      </c>
      <c r="W2826" t="s">
        <v>15356</v>
      </c>
      <c r="X2826">
        <v>26</v>
      </c>
      <c r="Y2826" t="s">
        <v>21512</v>
      </c>
      <c r="Z2826" t="s">
        <v>27696</v>
      </c>
      <c r="AA2826">
        <v>0.52782248784641561</v>
      </c>
      <c r="AB2826" t="str">
        <f>HYPERLINK("Melting_Curves/meltCurve_Q10567_3_AP1B1.pdf", "Melting_Curves/meltCurve_Q10567_3_AP1B1.pdf")</f>
        <v>Melting_Curves/meltCurve_Q10567_3_AP1B1.pdf</v>
      </c>
    </row>
    <row r="2827" spans="1:28" x14ac:dyDescent="0.25">
      <c r="A2827" t="s">
        <v>2831</v>
      </c>
      <c r="B2827">
        <v>0.99352677808782597</v>
      </c>
      <c r="C2827">
        <v>1.01422705277495</v>
      </c>
      <c r="D2827">
        <v>0.94712520989188997</v>
      </c>
      <c r="E2827">
        <v>0.474823486598</v>
      </c>
      <c r="F2827">
        <v>0.40035683285592</v>
      </c>
      <c r="G2827">
        <v>0.24558519999780801</v>
      </c>
      <c r="H2827">
        <v>0.16664349988257601</v>
      </c>
      <c r="I2827">
        <v>0.18531560783882101</v>
      </c>
      <c r="J2827">
        <v>0.132612552641999</v>
      </c>
      <c r="K2827">
        <v>0.11388171443188</v>
      </c>
      <c r="L2827">
        <v>1086.7791246531999</v>
      </c>
      <c r="M2827">
        <v>21.810033910020501</v>
      </c>
      <c r="N2827">
        <v>50.698037712956001</v>
      </c>
      <c r="O2827">
        <v>49.416080249303398</v>
      </c>
      <c r="P2827">
        <v>-9.3137230188521297E-2</v>
      </c>
      <c r="Q2827">
        <v>0.15591685498574301</v>
      </c>
      <c r="R2827">
        <v>0.98250880951293396</v>
      </c>
      <c r="S2827" t="s">
        <v>9112</v>
      </c>
      <c r="T2827" t="s">
        <v>12568</v>
      </c>
      <c r="U2827" t="s">
        <v>12568</v>
      </c>
      <c r="V2827" t="s">
        <v>12568</v>
      </c>
      <c r="W2827" t="s">
        <v>15357</v>
      </c>
      <c r="X2827">
        <v>15</v>
      </c>
      <c r="Y2827" t="s">
        <v>21513</v>
      </c>
      <c r="Z2827" t="s">
        <v>27697</v>
      </c>
      <c r="AA2827">
        <v>0.44238140561574057</v>
      </c>
      <c r="AB2827" t="str">
        <f>HYPERLINK("Melting_Curves/meltCurve_Q10570_CPSF1.pdf", "Melting_Curves/meltCurve_Q10570_CPSF1.pdf")</f>
        <v>Melting_Curves/meltCurve_Q10570_CPSF1.pdf</v>
      </c>
    </row>
    <row r="2828" spans="1:28" x14ac:dyDescent="0.25">
      <c r="A2828" t="s">
        <v>2832</v>
      </c>
      <c r="B2828">
        <v>0.99352677808782597</v>
      </c>
      <c r="C2828">
        <v>0.96647737915283705</v>
      </c>
      <c r="D2828">
        <v>0.91315408901701001</v>
      </c>
      <c r="E2828">
        <v>0.275741763737815</v>
      </c>
      <c r="F2828">
        <v>0.213623360999594</v>
      </c>
      <c r="G2828">
        <v>0.142375603751277</v>
      </c>
      <c r="H2828">
        <v>0.130789014503055</v>
      </c>
      <c r="I2828">
        <v>0.105143290221939</v>
      </c>
      <c r="J2828">
        <v>8.9871639222119798E-2</v>
      </c>
      <c r="K2828">
        <v>7.14571410408993E-2</v>
      </c>
      <c r="L2828">
        <v>1955.5194140891299</v>
      </c>
      <c r="M2828">
        <v>40.483514507674599</v>
      </c>
      <c r="N2828">
        <v>48.628720218638101</v>
      </c>
      <c r="O2828">
        <v>48.186676615120099</v>
      </c>
      <c r="P2828">
        <v>-0.18516436874724801</v>
      </c>
      <c r="Q2828">
        <v>0.11841271226643101</v>
      </c>
      <c r="R2828">
        <v>0.99261275745702704</v>
      </c>
      <c r="S2828" t="s">
        <v>9113</v>
      </c>
      <c r="T2828" t="s">
        <v>12568</v>
      </c>
      <c r="U2828" t="s">
        <v>12568</v>
      </c>
      <c r="V2828" t="s">
        <v>12568</v>
      </c>
      <c r="W2828" t="s">
        <v>15358</v>
      </c>
      <c r="X2828">
        <v>11</v>
      </c>
      <c r="Y2828" t="s">
        <v>21514</v>
      </c>
      <c r="Z2828" t="s">
        <v>27698</v>
      </c>
      <c r="AA2828">
        <v>0.3653175470517131</v>
      </c>
      <c r="AB2828" t="str">
        <f>HYPERLINK("Melting_Curves/meltCurve_Q10713_PMPCA.pdf", "Melting_Curves/meltCurve_Q10713_PMPCA.pdf")</f>
        <v>Melting_Curves/meltCurve_Q10713_PMPCA.pdf</v>
      </c>
    </row>
    <row r="2829" spans="1:28" x14ac:dyDescent="0.25">
      <c r="A2829" t="s">
        <v>2833</v>
      </c>
      <c r="B2829">
        <v>0.99352677808782597</v>
      </c>
      <c r="C2829">
        <v>1.0955378310624699</v>
      </c>
      <c r="D2829">
        <v>0.93651557641597305</v>
      </c>
      <c r="E2829">
        <v>0.57173474154020298</v>
      </c>
      <c r="F2829">
        <v>0.44218583022653701</v>
      </c>
      <c r="G2829">
        <v>0.26057044052338102</v>
      </c>
      <c r="H2829">
        <v>0.29573673410200402</v>
      </c>
      <c r="I2829">
        <v>0.16698487465824899</v>
      </c>
      <c r="J2829">
        <v>0.15637770356373201</v>
      </c>
      <c r="K2829">
        <v>0.132650511769626</v>
      </c>
      <c r="L2829">
        <v>1032.49596072182</v>
      </c>
      <c r="M2829">
        <v>20.4270120414632</v>
      </c>
      <c r="N2829">
        <v>51.666793694600699</v>
      </c>
      <c r="O2829">
        <v>50.0686765130122</v>
      </c>
      <c r="P2829">
        <v>-8.3737056797473106E-2</v>
      </c>
      <c r="Q2829">
        <v>0.179032544986828</v>
      </c>
      <c r="R2829">
        <v>0.97445831828219098</v>
      </c>
      <c r="S2829" t="s">
        <v>9114</v>
      </c>
      <c r="T2829" t="s">
        <v>12568</v>
      </c>
      <c r="U2829" t="s">
        <v>12568</v>
      </c>
      <c r="V2829" t="s">
        <v>12568</v>
      </c>
      <c r="W2829" t="s">
        <v>15359</v>
      </c>
      <c r="X2829">
        <v>6</v>
      </c>
      <c r="Y2829" t="s">
        <v>21515</v>
      </c>
      <c r="Z2829" t="s">
        <v>27699</v>
      </c>
      <c r="AA2829">
        <v>0.47857698520670872</v>
      </c>
      <c r="AB2829" t="str">
        <f>HYPERLINK("Melting_Curves/meltCurve_Q12756_KIF1A.pdf", "Melting_Curves/meltCurve_Q12756_KIF1A.pdf")</f>
        <v>Melting_Curves/meltCurve_Q12756_KIF1A.pdf</v>
      </c>
    </row>
    <row r="2830" spans="1:28" x14ac:dyDescent="0.25">
      <c r="A2830" t="s">
        <v>2834</v>
      </c>
      <c r="B2830">
        <v>0.99352677808782597</v>
      </c>
      <c r="C2830">
        <v>0.95644259382984298</v>
      </c>
      <c r="D2830">
        <v>1.0133443931352999</v>
      </c>
      <c r="E2830">
        <v>0.42041344637703698</v>
      </c>
      <c r="F2830">
        <v>0.347079205148972</v>
      </c>
      <c r="G2830">
        <v>0.162934837681356</v>
      </c>
      <c r="H2830">
        <v>0.10398709163926</v>
      </c>
      <c r="I2830">
        <v>9.5911990684258194E-2</v>
      </c>
      <c r="J2830">
        <v>9.0869581460211193E-2</v>
      </c>
      <c r="K2830">
        <v>7.0818185449796206E-2</v>
      </c>
      <c r="L2830">
        <v>1310.4122510314201</v>
      </c>
      <c r="M2830">
        <v>26.367009473024499</v>
      </c>
      <c r="N2830">
        <v>50.146359995768599</v>
      </c>
      <c r="O2830">
        <v>49.415712495414098</v>
      </c>
      <c r="P2830">
        <v>-0.11941386915336</v>
      </c>
      <c r="Q2830">
        <v>0.104812312137123</v>
      </c>
      <c r="R2830">
        <v>0.976932631472617</v>
      </c>
      <c r="S2830" t="s">
        <v>9115</v>
      </c>
      <c r="T2830" t="s">
        <v>12568</v>
      </c>
      <c r="U2830" t="s">
        <v>12568</v>
      </c>
      <c r="V2830" t="s">
        <v>12568</v>
      </c>
      <c r="W2830" t="s">
        <v>15360</v>
      </c>
      <c r="X2830">
        <v>18</v>
      </c>
      <c r="Y2830" t="s">
        <v>21516</v>
      </c>
      <c r="Z2830" t="s">
        <v>27700</v>
      </c>
      <c r="AA2830">
        <v>0.40138589920802431</v>
      </c>
      <c r="AB2830" t="str">
        <f>HYPERLINK("Melting_Curves/meltCurve_Q12765_SCRN1.pdf", "Melting_Curves/meltCurve_Q12765_SCRN1.pdf")</f>
        <v>Melting_Curves/meltCurve_Q12765_SCRN1.pdf</v>
      </c>
    </row>
    <row r="2831" spans="1:28" x14ac:dyDescent="0.25">
      <c r="A2831" t="s">
        <v>2835</v>
      </c>
      <c r="B2831">
        <v>0.99352677808782597</v>
      </c>
      <c r="C2831">
        <v>0.91740379354537205</v>
      </c>
      <c r="D2831">
        <v>0.84193995912779496</v>
      </c>
      <c r="E2831">
        <v>0.41856894085153601</v>
      </c>
      <c r="F2831">
        <v>0.33590768237214202</v>
      </c>
      <c r="G2831">
        <v>0.15410051912050199</v>
      </c>
      <c r="H2831">
        <v>0.10877863596828299</v>
      </c>
      <c r="I2831">
        <v>0.10567957403822099</v>
      </c>
      <c r="J2831">
        <v>8.5699727616914106E-2</v>
      </c>
      <c r="K2831">
        <v>7.0314289060793497E-2</v>
      </c>
      <c r="L2831">
        <v>878.653559754973</v>
      </c>
      <c r="M2831">
        <v>17.838557912570099</v>
      </c>
      <c r="N2831">
        <v>49.7521446228549</v>
      </c>
      <c r="O2831">
        <v>48.649375666817797</v>
      </c>
      <c r="P2831">
        <v>-8.4201904916542405E-2</v>
      </c>
      <c r="Q2831">
        <v>8.1504081307517698E-2</v>
      </c>
      <c r="R2831">
        <v>0.99260474361454099</v>
      </c>
      <c r="S2831" t="s">
        <v>9116</v>
      </c>
      <c r="T2831" t="s">
        <v>12568</v>
      </c>
      <c r="U2831" t="s">
        <v>12568</v>
      </c>
      <c r="V2831" t="s">
        <v>12568</v>
      </c>
      <c r="W2831" t="s">
        <v>15361</v>
      </c>
      <c r="X2831">
        <v>25</v>
      </c>
      <c r="Y2831" t="s">
        <v>21517</v>
      </c>
      <c r="Z2831" t="s">
        <v>27701</v>
      </c>
      <c r="AA2831">
        <v>0.38100630727813489</v>
      </c>
      <c r="AB2831" t="str">
        <f>HYPERLINK("Melting_Curves/meltCurve_Q12768_KIAA0196.pdf", "Melting_Curves/meltCurve_Q12768_KIAA0196.pdf")</f>
        <v>Melting_Curves/meltCurve_Q12768_KIAA0196.pdf</v>
      </c>
    </row>
    <row r="2832" spans="1:28" x14ac:dyDescent="0.25">
      <c r="A2832" t="s">
        <v>2836</v>
      </c>
      <c r="B2832">
        <v>0.99352677808782597</v>
      </c>
      <c r="C2832">
        <v>0.94978514501346001</v>
      </c>
      <c r="D2832">
        <v>0.77666196902870799</v>
      </c>
      <c r="E2832">
        <v>0.66876828907453001</v>
      </c>
      <c r="F2832">
        <v>0.50437708066979503</v>
      </c>
      <c r="G2832">
        <v>0.25488728127685201</v>
      </c>
      <c r="H2832">
        <v>0.13205200955570001</v>
      </c>
      <c r="I2832">
        <v>0.12061599185701199</v>
      </c>
      <c r="J2832">
        <v>9.7979631798530406E-2</v>
      </c>
      <c r="K2832">
        <v>7.5723104132151497E-2</v>
      </c>
      <c r="L2832">
        <v>631.71694840604903</v>
      </c>
      <c r="M2832">
        <v>12.0883914197347</v>
      </c>
      <c r="N2832">
        <v>52.433077447583997</v>
      </c>
      <c r="O2832">
        <v>50.889696383747001</v>
      </c>
      <c r="P2832">
        <v>-5.8225194354857998E-2</v>
      </c>
      <c r="Q2832">
        <v>1.97642519988309E-2</v>
      </c>
      <c r="R2832">
        <v>0.99246460637134704</v>
      </c>
      <c r="S2832" t="s">
        <v>9117</v>
      </c>
      <c r="T2832" t="s">
        <v>12568</v>
      </c>
      <c r="U2832" t="s">
        <v>12568</v>
      </c>
      <c r="V2832" t="s">
        <v>12568</v>
      </c>
      <c r="W2832" t="s">
        <v>15362</v>
      </c>
      <c r="X2832">
        <v>11</v>
      </c>
      <c r="Y2832" t="s">
        <v>21518</v>
      </c>
      <c r="Z2832" t="s">
        <v>27702</v>
      </c>
      <c r="AA2832">
        <v>0.44949937636731641</v>
      </c>
      <c r="AB2832" t="str">
        <f>HYPERLINK("Melting_Curves/meltCurve_Q12769_NUP160.pdf", "Melting_Curves/meltCurve_Q12769_NUP160.pdf")</f>
        <v>Melting_Curves/meltCurve_Q12769_NUP160.pdf</v>
      </c>
    </row>
    <row r="2833" spans="1:28" x14ac:dyDescent="0.25">
      <c r="A2833" t="s">
        <v>2837</v>
      </c>
      <c r="B2833">
        <v>0.99352677808782597</v>
      </c>
      <c r="C2833">
        <v>0.73718767095873505</v>
      </c>
      <c r="D2833">
        <v>1.01807514752507</v>
      </c>
      <c r="E2833">
        <v>1.1285956489958</v>
      </c>
      <c r="F2833">
        <v>1.0953646795480501</v>
      </c>
      <c r="G2833">
        <v>1.0885936338470901</v>
      </c>
      <c r="H2833">
        <v>1.21658250937384</v>
      </c>
      <c r="I2833">
        <v>1.57475405457533</v>
      </c>
      <c r="J2833">
        <v>1.2800678999385799</v>
      </c>
      <c r="K2833">
        <v>1.3046014506471799</v>
      </c>
      <c r="L2833">
        <v>2339.0179116177901</v>
      </c>
      <c r="M2833">
        <v>39.561315147813097</v>
      </c>
      <c r="O2833">
        <v>58.973380417131203</v>
      </c>
      <c r="P2833">
        <v>6.2679773962421803E-2</v>
      </c>
      <c r="Q2833">
        <v>1.37374201878168</v>
      </c>
      <c r="R2833">
        <v>0.63953896259119003</v>
      </c>
      <c r="S2833" t="s">
        <v>9118</v>
      </c>
      <c r="T2833" t="s">
        <v>12568</v>
      </c>
      <c r="U2833" t="s">
        <v>12568</v>
      </c>
      <c r="V2833" t="s">
        <v>12568</v>
      </c>
      <c r="W2833" t="s">
        <v>15363</v>
      </c>
      <c r="X2833">
        <v>1</v>
      </c>
      <c r="Y2833" t="s">
        <v>21519</v>
      </c>
      <c r="Z2833" t="s">
        <v>27703</v>
      </c>
      <c r="AA2833">
        <v>1.1339928532208969</v>
      </c>
      <c r="AB2833" t="str">
        <f>HYPERLINK("Melting_Curves/meltCurve_Q12772_SREBF2.pdf", "Melting_Curves/meltCurve_Q12772_SREBF2.pdf")</f>
        <v>Melting_Curves/meltCurve_Q12772_SREBF2.pdf</v>
      </c>
    </row>
    <row r="2834" spans="1:28" x14ac:dyDescent="0.25">
      <c r="A2834" t="s">
        <v>2838</v>
      </c>
      <c r="B2834">
        <v>0.99352677808782597</v>
      </c>
      <c r="C2834">
        <v>1.02697379685682</v>
      </c>
      <c r="D2834">
        <v>0.98654279597780703</v>
      </c>
      <c r="E2834">
        <v>0.79585752524418496</v>
      </c>
      <c r="F2834">
        <v>0.79154689227598596</v>
      </c>
      <c r="G2834">
        <v>0.64960345596112301</v>
      </c>
      <c r="H2834">
        <v>0.66703166381690804</v>
      </c>
      <c r="I2834">
        <v>0.73456816512985801</v>
      </c>
      <c r="J2834">
        <v>0.72789129178300704</v>
      </c>
      <c r="K2834">
        <v>0.62888846218933903</v>
      </c>
      <c r="L2834">
        <v>1305.64256207581</v>
      </c>
      <c r="M2834">
        <v>26.272601623028098</v>
      </c>
      <c r="O2834">
        <v>49.410754676795399</v>
      </c>
      <c r="P2834">
        <v>-4.1855615103361603E-2</v>
      </c>
      <c r="Q2834">
        <v>0.68513297304491005</v>
      </c>
      <c r="R2834">
        <v>0.92334277710827095</v>
      </c>
      <c r="S2834" t="s">
        <v>9119</v>
      </c>
      <c r="T2834" t="s">
        <v>12568</v>
      </c>
      <c r="U2834" t="s">
        <v>12568</v>
      </c>
      <c r="V2834" t="s">
        <v>12568</v>
      </c>
      <c r="W2834" t="s">
        <v>15364</v>
      </c>
      <c r="X2834">
        <v>5</v>
      </c>
      <c r="Y2834" t="s">
        <v>21520</v>
      </c>
      <c r="Z2834" t="s">
        <v>27704</v>
      </c>
      <c r="AA2834">
        <v>0.7894349441789541</v>
      </c>
      <c r="AB2834" t="str">
        <f>HYPERLINK("Melting_Curves/meltCurve_Q12774_ARHGEF5.pdf", "Melting_Curves/meltCurve_Q12774_ARHGEF5.pdf")</f>
        <v>Melting_Curves/meltCurve_Q12774_ARHGEF5.pdf</v>
      </c>
    </row>
    <row r="2835" spans="1:28" x14ac:dyDescent="0.25">
      <c r="A2835" t="s">
        <v>2839</v>
      </c>
      <c r="B2835">
        <v>0.99352677808782597</v>
      </c>
      <c r="C2835">
        <v>0.83998102396435004</v>
      </c>
      <c r="D2835">
        <v>0.73361816075824804</v>
      </c>
      <c r="E2835">
        <v>0.46104435984263997</v>
      </c>
      <c r="F2835">
        <v>0.41702678481639699</v>
      </c>
      <c r="G2835">
        <v>0.27473265555060999</v>
      </c>
      <c r="H2835">
        <v>0.23028418180809301</v>
      </c>
      <c r="I2835">
        <v>0.22046338920335101</v>
      </c>
      <c r="J2835">
        <v>0.15178180736323299</v>
      </c>
      <c r="K2835">
        <v>0.134093691872126</v>
      </c>
      <c r="L2835">
        <v>578.746640205375</v>
      </c>
      <c r="M2835">
        <v>11.850964618699001</v>
      </c>
      <c r="N2835">
        <v>50.221843792868498</v>
      </c>
      <c r="O2835">
        <v>47.507141581303699</v>
      </c>
      <c r="P2835">
        <v>-5.3676886555526E-2</v>
      </c>
      <c r="Q2835">
        <v>0.13951632433308001</v>
      </c>
      <c r="R2835">
        <v>0.98880037668776499</v>
      </c>
      <c r="S2835" t="s">
        <v>9120</v>
      </c>
      <c r="T2835" t="s">
        <v>12568</v>
      </c>
      <c r="U2835" t="s">
        <v>12568</v>
      </c>
      <c r="V2835" t="s">
        <v>12568</v>
      </c>
      <c r="W2835" t="s">
        <v>15365</v>
      </c>
      <c r="X2835">
        <v>6</v>
      </c>
      <c r="Y2835" t="s">
        <v>21521</v>
      </c>
      <c r="Z2835" t="s">
        <v>27705</v>
      </c>
      <c r="AA2835">
        <v>0.42555102732329081</v>
      </c>
      <c r="AB2835" t="str">
        <f>HYPERLINK("Melting_Curves/meltCurve_Q12789_GTF3C1.pdf", "Melting_Curves/meltCurve_Q12789_GTF3C1.pdf")</f>
        <v>Melting_Curves/meltCurve_Q12789_GTF3C1.pdf</v>
      </c>
    </row>
    <row r="2836" spans="1:28" x14ac:dyDescent="0.25">
      <c r="A2836" t="s">
        <v>2840</v>
      </c>
      <c r="B2836">
        <v>0.99352677808782597</v>
      </c>
      <c r="C2836">
        <v>0.96555353171985603</v>
      </c>
      <c r="D2836">
        <v>0.93942808630936703</v>
      </c>
      <c r="E2836">
        <v>0.892122036768763</v>
      </c>
      <c r="F2836">
        <v>0.82940941455818495</v>
      </c>
      <c r="G2836">
        <v>0.38409352997867202</v>
      </c>
      <c r="H2836">
        <v>0.13567586332905299</v>
      </c>
      <c r="I2836">
        <v>0.124549138323158</v>
      </c>
      <c r="J2836">
        <v>9.6012528125716007E-2</v>
      </c>
      <c r="K2836">
        <v>7.6201643943276998E-2</v>
      </c>
      <c r="L2836">
        <v>1459.8427761934099</v>
      </c>
      <c r="M2836">
        <v>26.282421638449499</v>
      </c>
      <c r="N2836">
        <v>55.904769857208997</v>
      </c>
      <c r="O2836">
        <v>55.225884773661498</v>
      </c>
      <c r="P2836">
        <v>-0.10970838837963701</v>
      </c>
      <c r="Q2836">
        <v>7.7912056997553006E-2</v>
      </c>
      <c r="R2836">
        <v>0.99336225759465901</v>
      </c>
      <c r="S2836" t="s">
        <v>9121</v>
      </c>
      <c r="T2836" t="s">
        <v>12568</v>
      </c>
      <c r="U2836" t="s">
        <v>12568</v>
      </c>
      <c r="V2836" t="s">
        <v>12568</v>
      </c>
      <c r="W2836" t="s">
        <v>15366</v>
      </c>
      <c r="X2836">
        <v>20</v>
      </c>
      <c r="Y2836" t="s">
        <v>21522</v>
      </c>
      <c r="Z2836" t="s">
        <v>27706</v>
      </c>
      <c r="AA2836">
        <v>0.56348970474326621</v>
      </c>
      <c r="AB2836" t="str">
        <f>HYPERLINK("Melting_Curves/meltCurve_Q12792_TWF1.pdf", "Melting_Curves/meltCurve_Q12792_TWF1.pdf")</f>
        <v>Melting_Curves/meltCurve_Q12792_TWF1.pdf</v>
      </c>
    </row>
    <row r="2837" spans="1:28" x14ac:dyDescent="0.25">
      <c r="A2837" t="s">
        <v>2841</v>
      </c>
      <c r="B2837">
        <v>0.99352677808782597</v>
      </c>
      <c r="C2837">
        <v>0.93548619042326997</v>
      </c>
      <c r="D2837">
        <v>0.93521878534214797</v>
      </c>
      <c r="E2837">
        <v>0.35529173295857702</v>
      </c>
      <c r="F2837">
        <v>0.28616138062970098</v>
      </c>
      <c r="G2837">
        <v>0.169714033874171</v>
      </c>
      <c r="H2837">
        <v>0.128528694878385</v>
      </c>
      <c r="I2837">
        <v>0.120333194277532</v>
      </c>
      <c r="J2837">
        <v>9.6809621587434599E-2</v>
      </c>
      <c r="K2837">
        <v>7.2657375291176995E-2</v>
      </c>
      <c r="L2837">
        <v>1459.5399216908399</v>
      </c>
      <c r="M2837">
        <v>29.891662919269798</v>
      </c>
      <c r="N2837">
        <v>49.2964714401705</v>
      </c>
      <c r="O2837">
        <v>48.610684755190199</v>
      </c>
      <c r="P2837">
        <v>-0.13471140671221801</v>
      </c>
      <c r="Q2837">
        <v>0.12371942197628299</v>
      </c>
      <c r="R2837">
        <v>0.98424558533276296</v>
      </c>
      <c r="S2837" t="s">
        <v>9122</v>
      </c>
      <c r="T2837" t="s">
        <v>12568</v>
      </c>
      <c r="U2837" t="s">
        <v>12568</v>
      </c>
      <c r="V2837" t="s">
        <v>12568</v>
      </c>
      <c r="W2837" t="s">
        <v>15367</v>
      </c>
      <c r="X2837">
        <v>4</v>
      </c>
      <c r="Y2837" t="s">
        <v>21523</v>
      </c>
      <c r="Z2837" t="s">
        <v>27707</v>
      </c>
      <c r="AA2837">
        <v>0.38693368357334718</v>
      </c>
      <c r="AB2837" t="str">
        <f>HYPERLINK("Melting_Curves/meltCurve_Q12797_ASPH.pdf", "Melting_Curves/meltCurve_Q12797_ASPH.pdf")</f>
        <v>Melting_Curves/meltCurve_Q12797_ASPH.pdf</v>
      </c>
    </row>
    <row r="2838" spans="1:28" x14ac:dyDescent="0.25">
      <c r="A2838" t="s">
        <v>2842</v>
      </c>
      <c r="B2838">
        <v>0.99352677808782597</v>
      </c>
      <c r="C2838">
        <v>0.99964074878806997</v>
      </c>
      <c r="D2838">
        <v>0.98295098122125002</v>
      </c>
      <c r="E2838">
        <v>0.92100429384665405</v>
      </c>
      <c r="F2838">
        <v>0.85178777796074201</v>
      </c>
      <c r="G2838">
        <v>0.65456887023007904</v>
      </c>
      <c r="H2838">
        <v>0.66641918634827402</v>
      </c>
      <c r="I2838">
        <v>0.68371721790801998</v>
      </c>
      <c r="J2838">
        <v>0.70879156193285597</v>
      </c>
      <c r="K2838">
        <v>0.54389697374174795</v>
      </c>
      <c r="L2838">
        <v>1348.6577234843801</v>
      </c>
      <c r="M2838">
        <v>25.3839512317847</v>
      </c>
      <c r="O2838">
        <v>52.803877669714801</v>
      </c>
      <c r="P2838">
        <v>-4.3347508575747401E-2</v>
      </c>
      <c r="Q2838">
        <v>0.63931737039881098</v>
      </c>
      <c r="R2838">
        <v>0.92807319663916099</v>
      </c>
      <c r="S2838" t="s">
        <v>9123</v>
      </c>
      <c r="T2838" t="s">
        <v>12568</v>
      </c>
      <c r="U2838" t="s">
        <v>12568</v>
      </c>
      <c r="V2838" t="s">
        <v>12568</v>
      </c>
      <c r="W2838" t="s">
        <v>15368</v>
      </c>
      <c r="X2838">
        <v>38</v>
      </c>
      <c r="Y2838" t="s">
        <v>21524</v>
      </c>
      <c r="Z2838" t="s">
        <v>27708</v>
      </c>
      <c r="AA2838">
        <v>0.80041028134719927</v>
      </c>
      <c r="AB2838" t="str">
        <f>HYPERLINK("Melting_Curves/meltCurve_Q12802_AKAP13.pdf", "Melting_Curves/meltCurve_Q12802_AKAP13.pdf")</f>
        <v>Melting_Curves/meltCurve_Q12802_AKAP13.pdf</v>
      </c>
    </row>
    <row r="2839" spans="1:28" x14ac:dyDescent="0.25">
      <c r="A2839" t="s">
        <v>2843</v>
      </c>
      <c r="B2839">
        <v>0.99352677808782597</v>
      </c>
      <c r="C2839">
        <v>0.98137868025070096</v>
      </c>
      <c r="D2839">
        <v>0.69501871402233495</v>
      </c>
      <c r="E2839">
        <v>0.34468994625027199</v>
      </c>
      <c r="F2839">
        <v>0.31400028289577903</v>
      </c>
      <c r="G2839">
        <v>0.19596691398614099</v>
      </c>
      <c r="H2839">
        <v>0.20180325520995099</v>
      </c>
      <c r="I2839">
        <v>0.31522056374378798</v>
      </c>
      <c r="J2839">
        <v>0.139299566429362</v>
      </c>
      <c r="K2839">
        <v>9.9961454702153202E-2</v>
      </c>
      <c r="L2839">
        <v>1116.0482518842</v>
      </c>
      <c r="M2839">
        <v>23.649135086906401</v>
      </c>
      <c r="N2839">
        <v>48.196726752596597</v>
      </c>
      <c r="O2839">
        <v>46.858377724716803</v>
      </c>
      <c r="P2839">
        <v>-0.10161988007645301</v>
      </c>
      <c r="Q2839">
        <v>0.194615302896849</v>
      </c>
      <c r="R2839">
        <v>0.96696532657752399</v>
      </c>
      <c r="S2839" t="s">
        <v>9124</v>
      </c>
      <c r="T2839" t="s">
        <v>12568</v>
      </c>
      <c r="U2839" t="s">
        <v>12568</v>
      </c>
      <c r="V2839" t="s">
        <v>12568</v>
      </c>
      <c r="W2839" t="s">
        <v>15369</v>
      </c>
      <c r="X2839">
        <v>3</v>
      </c>
      <c r="Y2839" t="s">
        <v>21525</v>
      </c>
      <c r="Z2839" t="s">
        <v>27709</v>
      </c>
      <c r="AA2839">
        <v>0.39578609222166838</v>
      </c>
      <c r="AB2839" t="str">
        <f>HYPERLINK("Melting_Curves/meltCurve_Q12824_2_SMARCB1.pdf", "Melting_Curves/meltCurve_Q12824_2_SMARCB1.pdf")</f>
        <v>Melting_Curves/meltCurve_Q12824_2_SMARCB1.pdf</v>
      </c>
    </row>
    <row r="2840" spans="1:28" x14ac:dyDescent="0.25">
      <c r="A2840" t="s">
        <v>2844</v>
      </c>
      <c r="B2840">
        <v>0.99352677808782597</v>
      </c>
      <c r="C2840">
        <v>0.96637468748386002</v>
      </c>
      <c r="D2840">
        <v>0.77694765476481598</v>
      </c>
      <c r="E2840">
        <v>0.46452244712798602</v>
      </c>
      <c r="F2840">
        <v>0.404338623853916</v>
      </c>
      <c r="G2840">
        <v>0.306847718847926</v>
      </c>
      <c r="H2840">
        <v>0.27333327009633201</v>
      </c>
      <c r="I2840">
        <v>0.26982568935862</v>
      </c>
      <c r="J2840">
        <v>0.25272668700305401</v>
      </c>
      <c r="K2840">
        <v>0.21247280406270599</v>
      </c>
      <c r="L2840">
        <v>916.05945270973405</v>
      </c>
      <c r="M2840">
        <v>19.027516346579201</v>
      </c>
      <c r="N2840">
        <v>49.995289914473503</v>
      </c>
      <c r="O2840">
        <v>47.6216143070952</v>
      </c>
      <c r="P2840">
        <v>-7.4635367372883801E-2</v>
      </c>
      <c r="Q2840">
        <v>0.252847141281688</v>
      </c>
      <c r="R2840">
        <v>0.99244191372331003</v>
      </c>
      <c r="S2840" t="s">
        <v>9125</v>
      </c>
      <c r="T2840" t="s">
        <v>12568</v>
      </c>
      <c r="U2840" t="s">
        <v>12568</v>
      </c>
      <c r="V2840" t="s">
        <v>12568</v>
      </c>
      <c r="W2840" t="s">
        <v>15370</v>
      </c>
      <c r="X2840">
        <v>19</v>
      </c>
      <c r="Y2840" t="s">
        <v>21526</v>
      </c>
      <c r="Z2840" t="s">
        <v>27710</v>
      </c>
      <c r="AA2840">
        <v>0.46743001540675289</v>
      </c>
      <c r="AB2840" t="str">
        <f>HYPERLINK("Melting_Curves/meltCurve_Q12830_4_BPTF.pdf", "Melting_Curves/meltCurve_Q12830_4_BPTF.pdf")</f>
        <v>Melting_Curves/meltCurve_Q12830_4_BPTF.pdf</v>
      </c>
    </row>
    <row r="2841" spans="1:28" x14ac:dyDescent="0.25">
      <c r="A2841" t="s">
        <v>2845</v>
      </c>
      <c r="B2841">
        <v>0.99352677808782597</v>
      </c>
      <c r="C2841">
        <v>0.99505203726698399</v>
      </c>
      <c r="D2841">
        <v>0.99778163706170997</v>
      </c>
      <c r="E2841">
        <v>0.98439611024001605</v>
      </c>
      <c r="F2841">
        <v>0.84527583535186401</v>
      </c>
      <c r="G2841">
        <v>0.78149698000864498</v>
      </c>
      <c r="H2841">
        <v>0.71058939088085005</v>
      </c>
      <c r="I2841">
        <v>0.81673561632485403</v>
      </c>
      <c r="J2841">
        <v>0.91838097776848604</v>
      </c>
      <c r="K2841">
        <v>0.66751353670236202</v>
      </c>
      <c r="L2841">
        <v>3041.6060747799602</v>
      </c>
      <c r="M2841">
        <v>58.233219713984901</v>
      </c>
      <c r="O2841">
        <v>52.169970948895397</v>
      </c>
      <c r="P2841">
        <v>-6.1780464339314299E-2</v>
      </c>
      <c r="Q2841">
        <v>0.77860859884255895</v>
      </c>
      <c r="R2841">
        <v>0.72894981484749199</v>
      </c>
      <c r="S2841" t="s">
        <v>9126</v>
      </c>
      <c r="T2841" t="s">
        <v>12568</v>
      </c>
      <c r="U2841" t="s">
        <v>12568</v>
      </c>
      <c r="V2841" t="s">
        <v>12568</v>
      </c>
      <c r="W2841" t="s">
        <v>15371</v>
      </c>
      <c r="X2841">
        <v>6</v>
      </c>
      <c r="Y2841" t="s">
        <v>21527</v>
      </c>
      <c r="Z2841" t="s">
        <v>27711</v>
      </c>
      <c r="AA2841">
        <v>0.8692487452931863</v>
      </c>
      <c r="AB2841" t="str">
        <f>HYPERLINK("Melting_Curves/meltCurve_Q12841_FSTL1.pdf", "Melting_Curves/meltCurve_Q12841_FSTL1.pdf")</f>
        <v>Melting_Curves/meltCurve_Q12841_FSTL1.pdf</v>
      </c>
    </row>
    <row r="2842" spans="1:28" x14ac:dyDescent="0.25">
      <c r="A2842" t="s">
        <v>2846</v>
      </c>
      <c r="B2842">
        <v>0.99352677808782597</v>
      </c>
      <c r="C2842">
        <v>0.96230102982069099</v>
      </c>
      <c r="D2842">
        <v>0.92798012897903803</v>
      </c>
      <c r="E2842">
        <v>0.98403238959482497</v>
      </c>
      <c r="F2842">
        <v>0.85252239637389704</v>
      </c>
      <c r="G2842">
        <v>0.72102353417394704</v>
      </c>
      <c r="H2842">
        <v>0.54691478202879096</v>
      </c>
      <c r="I2842">
        <v>0.53778092422833601</v>
      </c>
      <c r="J2842">
        <v>0.56893830366130305</v>
      </c>
      <c r="K2842">
        <v>0.47383779877757398</v>
      </c>
      <c r="L2842">
        <v>1068.54250268646</v>
      </c>
      <c r="M2842">
        <v>19.121341752589998</v>
      </c>
      <c r="O2842">
        <v>55.281732400058402</v>
      </c>
      <c r="P2842">
        <v>-4.3560820154700801E-2</v>
      </c>
      <c r="Q2842">
        <v>0.49626446720939099</v>
      </c>
      <c r="R2842">
        <v>0.96964216992905705</v>
      </c>
      <c r="S2842" t="s">
        <v>9127</v>
      </c>
      <c r="T2842" t="s">
        <v>12568</v>
      </c>
      <c r="U2842" t="s">
        <v>12568</v>
      </c>
      <c r="V2842" t="s">
        <v>12568</v>
      </c>
      <c r="W2842" t="s">
        <v>15372</v>
      </c>
      <c r="X2842">
        <v>6</v>
      </c>
      <c r="Y2842" t="s">
        <v>21528</v>
      </c>
      <c r="Z2842" t="s">
        <v>27712</v>
      </c>
      <c r="AA2842">
        <v>0.76986984483259668</v>
      </c>
      <c r="AB2842" t="str">
        <f>HYPERLINK("Melting_Curves/meltCurve_Q12846_STX4.pdf", "Melting_Curves/meltCurve_Q12846_STX4.pdf")</f>
        <v>Melting_Curves/meltCurve_Q12846_STX4.pdf</v>
      </c>
    </row>
    <row r="2843" spans="1:28" x14ac:dyDescent="0.25">
      <c r="A2843" t="s">
        <v>2847</v>
      </c>
      <c r="B2843">
        <v>0.99352677808782597</v>
      </c>
      <c r="C2843">
        <v>1.02029356297345</v>
      </c>
      <c r="D2843">
        <v>1.04264276732112</v>
      </c>
      <c r="E2843">
        <v>0.51724629517339105</v>
      </c>
      <c r="F2843">
        <v>0.38725378777262798</v>
      </c>
      <c r="G2843">
        <v>0.199042856833996</v>
      </c>
      <c r="H2843">
        <v>0.13072271163598501</v>
      </c>
      <c r="I2843">
        <v>0.113161550790892</v>
      </c>
      <c r="J2843">
        <v>8.8979286482139805E-2</v>
      </c>
      <c r="K2843">
        <v>8.2241801397335196E-2</v>
      </c>
      <c r="L2843">
        <v>1224.65184134885</v>
      </c>
      <c r="M2843">
        <v>24.2465142035275</v>
      </c>
      <c r="N2843">
        <v>51.034742106534203</v>
      </c>
      <c r="O2843">
        <v>50.168557427294601</v>
      </c>
      <c r="P2843">
        <v>-0.107460125902212</v>
      </c>
      <c r="Q2843">
        <v>0.11062883626244301</v>
      </c>
      <c r="R2843">
        <v>0.98024551190794795</v>
      </c>
      <c r="S2843" t="s">
        <v>9128</v>
      </c>
      <c r="T2843" t="s">
        <v>12568</v>
      </c>
      <c r="U2843" t="s">
        <v>12568</v>
      </c>
      <c r="V2843" t="s">
        <v>12568</v>
      </c>
      <c r="W2843" t="s">
        <v>15373</v>
      </c>
      <c r="X2843">
        <v>5</v>
      </c>
      <c r="Y2843" t="s">
        <v>21529</v>
      </c>
      <c r="Z2843" t="s">
        <v>27713</v>
      </c>
      <c r="AA2843">
        <v>0.43064889743015</v>
      </c>
      <c r="AB2843" t="str">
        <f>HYPERLINK("Melting_Curves/meltCurve_Q12849_5_GRSF1.pdf", "Melting_Curves/meltCurve_Q12849_5_GRSF1.pdf")</f>
        <v>Melting_Curves/meltCurve_Q12849_5_GRSF1.pdf</v>
      </c>
    </row>
    <row r="2844" spans="1:28" x14ac:dyDescent="0.25">
      <c r="A2844" t="s">
        <v>2848</v>
      </c>
      <c r="B2844">
        <v>0.99352677808782597</v>
      </c>
      <c r="C2844">
        <v>0.97287012821901497</v>
      </c>
      <c r="D2844">
        <v>0.963732804984753</v>
      </c>
      <c r="E2844">
        <v>0.81183307710716901</v>
      </c>
      <c r="F2844">
        <v>0.74646915114893198</v>
      </c>
      <c r="G2844">
        <v>0.61819089801247795</v>
      </c>
      <c r="H2844">
        <v>0.51200043491220004</v>
      </c>
      <c r="I2844">
        <v>0.49465334637029501</v>
      </c>
      <c r="J2844">
        <v>0.49869313282995797</v>
      </c>
      <c r="K2844">
        <v>0.39375600514466003</v>
      </c>
      <c r="L2844">
        <v>629.97419653628697</v>
      </c>
      <c r="M2844">
        <v>11.592877428545</v>
      </c>
      <c r="N2844">
        <v>62.6797161877356</v>
      </c>
      <c r="O2844">
        <v>52.800025086337399</v>
      </c>
      <c r="P2844">
        <v>-3.3325292018510901E-2</v>
      </c>
      <c r="Q2844">
        <v>0.39304399482577401</v>
      </c>
      <c r="R2844">
        <v>0.98779240494949405</v>
      </c>
      <c r="S2844" t="s">
        <v>9129</v>
      </c>
      <c r="T2844" t="s">
        <v>12568</v>
      </c>
      <c r="U2844" t="s">
        <v>12568</v>
      </c>
      <c r="V2844" t="s">
        <v>12568</v>
      </c>
      <c r="W2844" t="s">
        <v>15374</v>
      </c>
      <c r="X2844">
        <v>15</v>
      </c>
      <c r="Y2844" t="s">
        <v>21530</v>
      </c>
      <c r="Z2844" t="s">
        <v>27714</v>
      </c>
      <c r="AA2844">
        <v>0.69896456530630091</v>
      </c>
      <c r="AB2844" t="str">
        <f>HYPERLINK("Melting_Curves/meltCurve_Q12860_2_CNTN1.pdf", "Melting_Curves/meltCurve_Q12860_2_CNTN1.pdf")</f>
        <v>Melting_Curves/meltCurve_Q12860_2_CNTN1.pdf</v>
      </c>
    </row>
    <row r="2845" spans="1:28" x14ac:dyDescent="0.25">
      <c r="A2845" t="s">
        <v>2849</v>
      </c>
      <c r="B2845">
        <v>0.99352677808782597</v>
      </c>
      <c r="C2845">
        <v>0.97935991210437701</v>
      </c>
      <c r="D2845">
        <v>0.42853397064897802</v>
      </c>
      <c r="E2845">
        <v>0.78257745818241098</v>
      </c>
      <c r="F2845">
        <v>0.75574472020629802</v>
      </c>
      <c r="G2845">
        <v>0.48748340975375098</v>
      </c>
      <c r="H2845">
        <v>0.33491632617474898</v>
      </c>
      <c r="I2845">
        <v>0.27729114191432402</v>
      </c>
      <c r="J2845">
        <v>0.24582297746580101</v>
      </c>
      <c r="K2845">
        <v>0.212042755221962</v>
      </c>
      <c r="L2845">
        <v>352.79189753469399</v>
      </c>
      <c r="M2845">
        <v>6.2943240543080501</v>
      </c>
      <c r="N2845">
        <v>56.049211077233103</v>
      </c>
      <c r="O2845">
        <v>51.1894609859418</v>
      </c>
      <c r="P2845">
        <v>-3.0824180134213199E-2</v>
      </c>
      <c r="Q2845">
        <v>0</v>
      </c>
      <c r="R2845">
        <v>0.76462389551051102</v>
      </c>
      <c r="S2845" t="s">
        <v>9130</v>
      </c>
      <c r="T2845" t="s">
        <v>12568</v>
      </c>
      <c r="U2845" t="s">
        <v>12568</v>
      </c>
      <c r="V2845" t="s">
        <v>12568</v>
      </c>
      <c r="W2845" t="s">
        <v>15375</v>
      </c>
      <c r="X2845">
        <v>10</v>
      </c>
      <c r="Y2845" t="s">
        <v>21531</v>
      </c>
      <c r="Z2845" t="s">
        <v>27715</v>
      </c>
      <c r="AA2845">
        <v>0.55041671490120792</v>
      </c>
      <c r="AB2845" t="str">
        <f>HYPERLINK("Melting_Curves/meltCurve_Q12872_SFSWAP.pdf", "Melting_Curves/meltCurve_Q12872_SFSWAP.pdf")</f>
        <v>Melting_Curves/meltCurve_Q12872_SFSWAP.pdf</v>
      </c>
    </row>
    <row r="2846" spans="1:28" x14ac:dyDescent="0.25">
      <c r="A2846" t="s">
        <v>2850</v>
      </c>
      <c r="B2846">
        <v>0.99352677808782597</v>
      </c>
      <c r="C2846">
        <v>0.93018802720554306</v>
      </c>
      <c r="D2846">
        <v>0.862524568427399</v>
      </c>
      <c r="E2846">
        <v>0.52057244377066203</v>
      </c>
      <c r="F2846">
        <v>0.45486326225185603</v>
      </c>
      <c r="G2846">
        <v>0.31898313723872002</v>
      </c>
      <c r="H2846">
        <v>0.274696985651954</v>
      </c>
      <c r="I2846">
        <v>0.31252478048990201</v>
      </c>
      <c r="J2846">
        <v>0.20122222250234101</v>
      </c>
      <c r="K2846">
        <v>0.18687618065356301</v>
      </c>
      <c r="L2846">
        <v>785.24825255740905</v>
      </c>
      <c r="M2846">
        <v>15.8729271668215</v>
      </c>
      <c r="N2846">
        <v>51.4182164931348</v>
      </c>
      <c r="O2846">
        <v>48.705676847209503</v>
      </c>
      <c r="P2846">
        <v>-6.3073264267283893E-2</v>
      </c>
      <c r="Q2846">
        <v>0.22590777401010601</v>
      </c>
      <c r="R2846">
        <v>0.98333000186771102</v>
      </c>
      <c r="S2846" t="s">
        <v>9131</v>
      </c>
      <c r="T2846" t="s">
        <v>12568</v>
      </c>
      <c r="U2846" t="s">
        <v>12568</v>
      </c>
      <c r="V2846" t="s">
        <v>12568</v>
      </c>
      <c r="W2846" t="s">
        <v>15376</v>
      </c>
      <c r="X2846">
        <v>7</v>
      </c>
      <c r="Y2846" t="s">
        <v>19488</v>
      </c>
      <c r="Z2846" t="s">
        <v>27716</v>
      </c>
      <c r="AA2846">
        <v>0.4872044533867611</v>
      </c>
      <c r="AB2846" t="str">
        <f>HYPERLINK("Melting_Curves/meltCurve_Q12873_CHD3.pdf", "Melting_Curves/meltCurve_Q12873_CHD3.pdf")</f>
        <v>Melting_Curves/meltCurve_Q12873_CHD3.pdf</v>
      </c>
    </row>
    <row r="2847" spans="1:28" x14ac:dyDescent="0.25">
      <c r="A2847" t="s">
        <v>2851</v>
      </c>
      <c r="B2847">
        <v>0.99352677808782597</v>
      </c>
      <c r="C2847">
        <v>0.86873920521265802</v>
      </c>
      <c r="D2847">
        <v>0.62791833690371901</v>
      </c>
      <c r="E2847">
        <v>0.35835421276650298</v>
      </c>
      <c r="F2847">
        <v>0.26542905379030002</v>
      </c>
      <c r="G2847">
        <v>0.143536016168026</v>
      </c>
      <c r="H2847">
        <v>8.24527463406316E-2</v>
      </c>
      <c r="I2847">
        <v>7.8496346707961698E-2</v>
      </c>
      <c r="J2847">
        <v>7.1246503400150499E-2</v>
      </c>
      <c r="K2847">
        <v>5.6470357983815798E-2</v>
      </c>
      <c r="L2847">
        <v>720.400096284195</v>
      </c>
      <c r="M2847">
        <v>15.1079287797492</v>
      </c>
      <c r="N2847">
        <v>48.091415276211002</v>
      </c>
      <c r="O2847">
        <v>46.871552984605302</v>
      </c>
      <c r="P2847">
        <v>-7.5743823189163895E-2</v>
      </c>
      <c r="Q2847">
        <v>6.0127448768407601E-2</v>
      </c>
      <c r="R2847">
        <v>0.99578211818982898</v>
      </c>
      <c r="S2847" t="s">
        <v>9132</v>
      </c>
      <c r="T2847" t="s">
        <v>12568</v>
      </c>
      <c r="U2847" t="s">
        <v>12568</v>
      </c>
      <c r="V2847" t="s">
        <v>12568</v>
      </c>
      <c r="W2847" t="s">
        <v>15377</v>
      </c>
      <c r="X2847">
        <v>12</v>
      </c>
      <c r="Y2847" t="s">
        <v>21532</v>
      </c>
      <c r="Z2847" t="s">
        <v>27717</v>
      </c>
      <c r="AA2847">
        <v>0.32506125982706352</v>
      </c>
      <c r="AB2847" t="str">
        <f>HYPERLINK("Melting_Curves/meltCurve_Q12874_SF3A3.pdf", "Melting_Curves/meltCurve_Q12874_SF3A3.pdf")</f>
        <v>Melting_Curves/meltCurve_Q12874_SF3A3.pdf</v>
      </c>
    </row>
    <row r="2848" spans="1:28" x14ac:dyDescent="0.25">
      <c r="A2848" t="s">
        <v>2852</v>
      </c>
      <c r="B2848">
        <v>0.99352677808782597</v>
      </c>
      <c r="C2848">
        <v>1.0811511932215201</v>
      </c>
      <c r="D2848">
        <v>0.90962527729570997</v>
      </c>
      <c r="E2848">
        <v>0.58654889126820497</v>
      </c>
      <c r="F2848">
        <v>0.44919136200946402</v>
      </c>
      <c r="G2848">
        <v>0.27169331873800701</v>
      </c>
      <c r="H2848">
        <v>0.140190301296438</v>
      </c>
      <c r="I2848">
        <v>0.132959576375802</v>
      </c>
      <c r="J2848">
        <v>0.122522957968485</v>
      </c>
      <c r="K2848">
        <v>9.8595124550444599E-2</v>
      </c>
      <c r="L2848">
        <v>904.84235808805397</v>
      </c>
      <c r="M2848">
        <v>17.671909294627199</v>
      </c>
      <c r="N2848">
        <v>51.912086112495402</v>
      </c>
      <c r="O2848">
        <v>50.560121218489599</v>
      </c>
      <c r="P2848">
        <v>-7.80063636728449E-2</v>
      </c>
      <c r="Q2848">
        <v>0.107328181013292</v>
      </c>
      <c r="R2848">
        <v>0.98654345572115498</v>
      </c>
      <c r="S2848" t="s">
        <v>9133</v>
      </c>
      <c r="T2848" t="s">
        <v>12568</v>
      </c>
      <c r="U2848" t="s">
        <v>12568</v>
      </c>
      <c r="V2848" t="s">
        <v>12568</v>
      </c>
      <c r="W2848" t="s">
        <v>15378</v>
      </c>
      <c r="X2848">
        <v>7</v>
      </c>
      <c r="Y2848" t="s">
        <v>21533</v>
      </c>
      <c r="Z2848" t="s">
        <v>27718</v>
      </c>
      <c r="AA2848">
        <v>0.45616465361581848</v>
      </c>
      <c r="AB2848" t="str">
        <f>HYPERLINK("Melting_Curves/meltCurve_Q12882_DPYD.pdf", "Melting_Curves/meltCurve_Q12882_DPYD.pdf")</f>
        <v>Melting_Curves/meltCurve_Q12882_DPYD.pdf</v>
      </c>
    </row>
    <row r="2849" spans="1:28" x14ac:dyDescent="0.25">
      <c r="A2849" t="s">
        <v>2853</v>
      </c>
      <c r="B2849">
        <v>0.99352677808782597</v>
      </c>
      <c r="C2849">
        <v>1.0376113393517901</v>
      </c>
      <c r="D2849">
        <v>0.96315982272783895</v>
      </c>
      <c r="E2849">
        <v>0.667018750370451</v>
      </c>
      <c r="F2849">
        <v>0.59917180037723805</v>
      </c>
      <c r="G2849">
        <v>0.44225530864132201</v>
      </c>
      <c r="H2849">
        <v>0.46203064705165497</v>
      </c>
      <c r="I2849">
        <v>0.43660588271999801</v>
      </c>
      <c r="J2849">
        <v>0.47317110187064598</v>
      </c>
      <c r="K2849">
        <v>0.34196460462670802</v>
      </c>
      <c r="L2849">
        <v>1145.3663696025201</v>
      </c>
      <c r="M2849">
        <v>22.886189342877501</v>
      </c>
      <c r="N2849">
        <v>54.576856051760601</v>
      </c>
      <c r="O2849">
        <v>49.668780996661702</v>
      </c>
      <c r="P2849">
        <v>-6.6213959343385004E-2</v>
      </c>
      <c r="Q2849">
        <v>0.42520726025220701</v>
      </c>
      <c r="R2849">
        <v>0.97013696364898305</v>
      </c>
      <c r="S2849" t="s">
        <v>9134</v>
      </c>
      <c r="T2849" t="s">
        <v>12568</v>
      </c>
      <c r="U2849" t="s">
        <v>12568</v>
      </c>
      <c r="V2849" t="s">
        <v>12568</v>
      </c>
      <c r="W2849" t="s">
        <v>15379</v>
      </c>
      <c r="X2849">
        <v>55</v>
      </c>
      <c r="Y2849" t="s">
        <v>21534</v>
      </c>
      <c r="Z2849" t="s">
        <v>27719</v>
      </c>
      <c r="AA2849">
        <v>0.62382316281559258</v>
      </c>
      <c r="AB2849" t="str">
        <f>HYPERLINK("Melting_Curves/meltCurve_Q12888_TP53BP1.pdf", "Melting_Curves/meltCurve_Q12888_TP53BP1.pdf")</f>
        <v>Melting_Curves/meltCurve_Q12888_TP53BP1.pdf</v>
      </c>
    </row>
    <row r="2850" spans="1:28" x14ac:dyDescent="0.25">
      <c r="A2850" t="s">
        <v>2854</v>
      </c>
      <c r="B2850">
        <v>0.99352677808782597</v>
      </c>
      <c r="C2850">
        <v>0.85256342674705599</v>
      </c>
      <c r="D2850">
        <v>0.837855299326281</v>
      </c>
      <c r="E2850">
        <v>0.42094062918595898</v>
      </c>
      <c r="F2850">
        <v>0.352229394135818</v>
      </c>
      <c r="G2850">
        <v>0.19605800280921301</v>
      </c>
      <c r="H2850">
        <v>0.12502944919395101</v>
      </c>
      <c r="I2850">
        <v>0.116206130654686</v>
      </c>
      <c r="J2850">
        <v>0.123980126010898</v>
      </c>
      <c r="K2850">
        <v>9.4047202416797704E-2</v>
      </c>
      <c r="L2850">
        <v>772.11718907889701</v>
      </c>
      <c r="M2850">
        <v>15.723689023641301</v>
      </c>
      <c r="N2850">
        <v>49.787235965425999</v>
      </c>
      <c r="O2850">
        <v>48.331649170930802</v>
      </c>
      <c r="P2850">
        <v>-7.3459646500116299E-2</v>
      </c>
      <c r="Q2850">
        <v>9.6871530269945896E-2</v>
      </c>
      <c r="R2850">
        <v>0.98621390310625501</v>
      </c>
      <c r="S2850" t="s">
        <v>9135</v>
      </c>
      <c r="T2850" t="s">
        <v>12568</v>
      </c>
      <c r="U2850" t="s">
        <v>12568</v>
      </c>
      <c r="V2850" t="s">
        <v>12568</v>
      </c>
      <c r="W2850" t="s">
        <v>15380</v>
      </c>
      <c r="X2850">
        <v>9</v>
      </c>
      <c r="Y2850" t="s">
        <v>21535</v>
      </c>
      <c r="Z2850" t="s">
        <v>27720</v>
      </c>
      <c r="AA2850">
        <v>0.39129522322918159</v>
      </c>
      <c r="AB2850" t="str">
        <f>HYPERLINK("Melting_Curves/meltCurve_Q12904_AIMP1.pdf", "Melting_Curves/meltCurve_Q12904_AIMP1.pdf")</f>
        <v>Melting_Curves/meltCurve_Q12904_AIMP1.pdf</v>
      </c>
    </row>
    <row r="2851" spans="1:28" x14ac:dyDescent="0.25">
      <c r="A2851" t="s">
        <v>2855</v>
      </c>
      <c r="B2851">
        <v>0.99352677808782597</v>
      </c>
      <c r="C2851">
        <v>1.0720323109566501</v>
      </c>
      <c r="D2851">
        <v>1.05014997189788</v>
      </c>
      <c r="E2851">
        <v>1.1665586415457201</v>
      </c>
      <c r="F2851">
        <v>0.94792636622535198</v>
      </c>
      <c r="G2851">
        <v>0.78382440747994298</v>
      </c>
      <c r="H2851">
        <v>0.40016289646159597</v>
      </c>
      <c r="I2851">
        <v>0.199309732519243</v>
      </c>
      <c r="J2851">
        <v>0.15639929823135801</v>
      </c>
      <c r="K2851">
        <v>0.11179932874496</v>
      </c>
      <c r="L2851">
        <v>1692.33846871898</v>
      </c>
      <c r="M2851">
        <v>28.5083226154137</v>
      </c>
      <c r="N2851">
        <v>59.879777432947598</v>
      </c>
      <c r="O2851">
        <v>59.073169353465303</v>
      </c>
      <c r="P2851">
        <v>-0.107491421929603</v>
      </c>
      <c r="Q2851">
        <v>0.10905902418233999</v>
      </c>
      <c r="R2851">
        <v>0.97644798339268501</v>
      </c>
      <c r="S2851" t="s">
        <v>9136</v>
      </c>
      <c r="T2851" t="s">
        <v>12568</v>
      </c>
      <c r="U2851" t="s">
        <v>12568</v>
      </c>
      <c r="V2851" t="s">
        <v>12568</v>
      </c>
      <c r="W2851" t="s">
        <v>15381</v>
      </c>
      <c r="X2851">
        <v>8</v>
      </c>
      <c r="Y2851" t="s">
        <v>21536</v>
      </c>
      <c r="Z2851" t="s">
        <v>27721</v>
      </c>
      <c r="AA2851">
        <v>0.69013390330561653</v>
      </c>
      <c r="AB2851" t="str">
        <f>HYPERLINK("Melting_Curves/meltCurve_Q12905_ILF2.pdf", "Melting_Curves/meltCurve_Q12905_ILF2.pdf")</f>
        <v>Melting_Curves/meltCurve_Q12905_ILF2.pdf</v>
      </c>
    </row>
    <row r="2852" spans="1:28" x14ac:dyDescent="0.25">
      <c r="A2852" t="s">
        <v>2856</v>
      </c>
      <c r="B2852">
        <v>0.99352677808782597</v>
      </c>
      <c r="C2852">
        <v>1.0418542943014899</v>
      </c>
      <c r="D2852">
        <v>1.0423482992836799</v>
      </c>
      <c r="E2852">
        <v>1.1703098541379799</v>
      </c>
      <c r="F2852">
        <v>1.0377581911653899</v>
      </c>
      <c r="G2852">
        <v>0.84540103935608402</v>
      </c>
      <c r="H2852">
        <v>0.46184647745169999</v>
      </c>
      <c r="I2852">
        <v>0.197011643327104</v>
      </c>
      <c r="J2852">
        <v>0.128627145465983</v>
      </c>
      <c r="K2852">
        <v>0.102612967922391</v>
      </c>
      <c r="L2852">
        <v>1922.2367057997601</v>
      </c>
      <c r="M2852">
        <v>31.945445788589701</v>
      </c>
      <c r="N2852">
        <v>60.554930900176203</v>
      </c>
      <c r="O2852">
        <v>59.938156333041697</v>
      </c>
      <c r="P2852">
        <v>-0.121071608676851</v>
      </c>
      <c r="Q2852">
        <v>9.1354385585769193E-2</v>
      </c>
      <c r="R2852">
        <v>0.97820697298947101</v>
      </c>
      <c r="S2852" t="s">
        <v>9137</v>
      </c>
      <c r="T2852" t="s">
        <v>12568</v>
      </c>
      <c r="U2852" t="s">
        <v>12568</v>
      </c>
      <c r="V2852" t="s">
        <v>12568</v>
      </c>
      <c r="W2852" t="s">
        <v>15382</v>
      </c>
      <c r="X2852">
        <v>21</v>
      </c>
      <c r="Y2852" t="s">
        <v>21537</v>
      </c>
      <c r="Z2852" t="s">
        <v>27722</v>
      </c>
      <c r="AA2852">
        <v>0.70736243503176188</v>
      </c>
      <c r="AB2852" t="str">
        <f>HYPERLINK("Melting_Curves/meltCurve_Q12906_7_ILF3.pdf", "Melting_Curves/meltCurve_Q12906_7_ILF3.pdf")</f>
        <v>Melting_Curves/meltCurve_Q12906_7_ILF3.pdf</v>
      </c>
    </row>
    <row r="2853" spans="1:28" x14ac:dyDescent="0.25">
      <c r="A2853" t="s">
        <v>2857</v>
      </c>
      <c r="B2853">
        <v>0.99352677808782597</v>
      </c>
      <c r="C2853">
        <v>1.0409473248138099</v>
      </c>
      <c r="D2853">
        <v>0.925159081134448</v>
      </c>
      <c r="E2853">
        <v>0.83267308144748498</v>
      </c>
      <c r="F2853">
        <v>0.665301764143305</v>
      </c>
      <c r="G2853">
        <v>0.56961914432696303</v>
      </c>
      <c r="H2853">
        <v>0.63998562090896804</v>
      </c>
      <c r="I2853">
        <v>0.62735178585508</v>
      </c>
      <c r="J2853">
        <v>0.77658343432687404</v>
      </c>
      <c r="K2853">
        <v>0.65048198274646296</v>
      </c>
      <c r="L2853">
        <v>1781.2456355397201</v>
      </c>
      <c r="M2853">
        <v>35.7861064539727</v>
      </c>
      <c r="O2853">
        <v>49.620118823391202</v>
      </c>
      <c r="P2853">
        <v>-6.3066434358800896E-2</v>
      </c>
      <c r="Q2853">
        <v>0.65021577956522603</v>
      </c>
      <c r="R2853">
        <v>0.88314348609855697</v>
      </c>
      <c r="S2853" t="s">
        <v>9138</v>
      </c>
      <c r="T2853" t="s">
        <v>12568</v>
      </c>
      <c r="U2853" t="s">
        <v>12568</v>
      </c>
      <c r="V2853" t="s">
        <v>12568</v>
      </c>
      <c r="W2853" t="s">
        <v>15383</v>
      </c>
      <c r="X2853">
        <v>3</v>
      </c>
      <c r="Y2853" t="s">
        <v>21538</v>
      </c>
      <c r="Z2853" t="s">
        <v>27723</v>
      </c>
      <c r="AA2853">
        <v>0.76569242022525097</v>
      </c>
      <c r="AB2853" t="str">
        <f>HYPERLINK("Melting_Curves/meltCurve_Q12913_PTPRJ.pdf", "Melting_Curves/meltCurve_Q12913_PTPRJ.pdf")</f>
        <v>Melting_Curves/meltCurve_Q12913_PTPRJ.pdf</v>
      </c>
    </row>
    <row r="2854" spans="1:28" x14ac:dyDescent="0.25">
      <c r="A2854" t="s">
        <v>2858</v>
      </c>
      <c r="B2854">
        <v>0.99352677808782597</v>
      </c>
      <c r="C2854">
        <v>0.98101124951990304</v>
      </c>
      <c r="D2854">
        <v>0.91374247889793303</v>
      </c>
      <c r="E2854">
        <v>0.62054724002502804</v>
      </c>
      <c r="F2854">
        <v>0.48887060102582203</v>
      </c>
      <c r="G2854">
        <v>0.39630840176694099</v>
      </c>
      <c r="H2854">
        <v>0.28936290435275702</v>
      </c>
      <c r="I2854">
        <v>0.286052473645104</v>
      </c>
      <c r="J2854">
        <v>0.31016872139067497</v>
      </c>
      <c r="K2854">
        <v>0.22779852829942099</v>
      </c>
      <c r="L2854">
        <v>877.61559448477499</v>
      </c>
      <c r="M2854">
        <v>17.423124813106401</v>
      </c>
      <c r="N2854">
        <v>52.7054962079036</v>
      </c>
      <c r="O2854">
        <v>49.721240433832797</v>
      </c>
      <c r="P2854">
        <v>-6.40497764465979E-2</v>
      </c>
      <c r="Q2854">
        <v>0.26891300242230898</v>
      </c>
      <c r="R2854">
        <v>0.99087270595340304</v>
      </c>
      <c r="S2854" t="s">
        <v>9139</v>
      </c>
      <c r="T2854" t="s">
        <v>12568</v>
      </c>
      <c r="U2854" t="s">
        <v>12568</v>
      </c>
      <c r="V2854" t="s">
        <v>12568</v>
      </c>
      <c r="W2854" t="s">
        <v>15384</v>
      </c>
      <c r="X2854">
        <v>3</v>
      </c>
      <c r="Y2854" t="s">
        <v>21539</v>
      </c>
      <c r="Z2854" t="s">
        <v>27724</v>
      </c>
      <c r="AA2854">
        <v>0.53482535578500001</v>
      </c>
      <c r="AB2854" t="str">
        <f>HYPERLINK("Melting_Curves/meltCurve_Q12923_2_PTPN13.pdf", "Melting_Curves/meltCurve_Q12923_2_PTPN13.pdf")</f>
        <v>Melting_Curves/meltCurve_Q12923_2_PTPN13.pdf</v>
      </c>
    </row>
    <row r="2855" spans="1:28" x14ac:dyDescent="0.25">
      <c r="A2855" t="s">
        <v>2859</v>
      </c>
      <c r="B2855">
        <v>0.99352677808782597</v>
      </c>
      <c r="C2855">
        <v>0.94670309791121399</v>
      </c>
      <c r="D2855">
        <v>0.94710530982468499</v>
      </c>
      <c r="E2855">
        <v>0.45076789131218697</v>
      </c>
      <c r="F2855">
        <v>0.38446595298945502</v>
      </c>
      <c r="G2855">
        <v>0.28596613669791998</v>
      </c>
      <c r="H2855">
        <v>0.193848465633956</v>
      </c>
      <c r="I2855">
        <v>0.16472297174250899</v>
      </c>
      <c r="J2855">
        <v>0.19591297126728699</v>
      </c>
      <c r="K2855">
        <v>0.157163638316863</v>
      </c>
      <c r="L2855">
        <v>1160.52585569692</v>
      </c>
      <c r="M2855">
        <v>23.544373425070798</v>
      </c>
      <c r="N2855">
        <v>50.333276361328501</v>
      </c>
      <c r="O2855">
        <v>48.939557637238302</v>
      </c>
      <c r="P2855">
        <v>-9.7069553724477606E-2</v>
      </c>
      <c r="Q2855">
        <v>0.192935115760726</v>
      </c>
      <c r="R2855">
        <v>0.97987594937147804</v>
      </c>
      <c r="S2855" t="s">
        <v>9140</v>
      </c>
      <c r="T2855" t="s">
        <v>12568</v>
      </c>
      <c r="U2855" t="s">
        <v>12568</v>
      </c>
      <c r="V2855" t="s">
        <v>12568</v>
      </c>
      <c r="W2855" t="s">
        <v>15385</v>
      </c>
      <c r="X2855">
        <v>18</v>
      </c>
      <c r="Y2855" t="s">
        <v>21540</v>
      </c>
      <c r="Z2855" t="s">
        <v>27725</v>
      </c>
      <c r="AA2855">
        <v>0.45098455766439949</v>
      </c>
      <c r="AB2855" t="str">
        <f>HYPERLINK("Melting_Curves/meltCurve_Q12929_EPS8.pdf", "Melting_Curves/meltCurve_Q12929_EPS8.pdf")</f>
        <v>Melting_Curves/meltCurve_Q12929_EPS8.pdf</v>
      </c>
    </row>
    <row r="2856" spans="1:28" x14ac:dyDescent="0.25">
      <c r="A2856" t="s">
        <v>2860</v>
      </c>
      <c r="B2856">
        <v>0.99352677808782597</v>
      </c>
      <c r="C2856">
        <v>0.96084475519794799</v>
      </c>
      <c r="D2856">
        <v>0.86171676255969298</v>
      </c>
      <c r="E2856">
        <v>0.86857465123539002</v>
      </c>
      <c r="F2856">
        <v>0.74127576465090095</v>
      </c>
      <c r="G2856">
        <v>0.301380511866225</v>
      </c>
      <c r="H2856">
        <v>0.124229208065109</v>
      </c>
      <c r="I2856">
        <v>0.10257201541539</v>
      </c>
      <c r="J2856">
        <v>7.9687734211852601E-2</v>
      </c>
      <c r="K2856">
        <v>5.9441385060201003E-2</v>
      </c>
      <c r="L2856">
        <v>1219.10600846632</v>
      </c>
      <c r="M2856">
        <v>22.276101367093599</v>
      </c>
      <c r="N2856">
        <v>55.0041357053639</v>
      </c>
      <c r="O2856">
        <v>54.2917706576238</v>
      </c>
      <c r="P2856">
        <v>-9.7134328391866101E-2</v>
      </c>
      <c r="Q2856">
        <v>5.3069028528906298E-2</v>
      </c>
      <c r="R2856">
        <v>0.98549746265632299</v>
      </c>
      <c r="S2856" t="s">
        <v>9141</v>
      </c>
      <c r="T2856" t="s">
        <v>12568</v>
      </c>
      <c r="U2856" t="s">
        <v>12568</v>
      </c>
      <c r="V2856" t="s">
        <v>12568</v>
      </c>
      <c r="W2856" t="s">
        <v>15386</v>
      </c>
      <c r="X2856">
        <v>14</v>
      </c>
      <c r="Y2856" t="s">
        <v>21541</v>
      </c>
      <c r="Z2856" t="s">
        <v>27726</v>
      </c>
      <c r="AA2856">
        <v>0.52860716088440007</v>
      </c>
      <c r="AB2856" t="str">
        <f>HYPERLINK("Melting_Curves/meltCurve_Q12933_3_TRAF2.pdf", "Melting_Curves/meltCurve_Q12933_3_TRAF2.pdf")</f>
        <v>Melting_Curves/meltCurve_Q12933_3_TRAF2.pdf</v>
      </c>
    </row>
    <row r="2857" spans="1:28" x14ac:dyDescent="0.25">
      <c r="A2857" t="s">
        <v>2861</v>
      </c>
      <c r="B2857">
        <v>0.99352677808782597</v>
      </c>
      <c r="C2857">
        <v>1.0543224026707501</v>
      </c>
      <c r="D2857">
        <v>0.91982960337832398</v>
      </c>
      <c r="E2857">
        <v>1.02902224562614</v>
      </c>
      <c r="F2857">
        <v>0.85818819300948901</v>
      </c>
      <c r="G2857">
        <v>0.67115053120436097</v>
      </c>
      <c r="H2857">
        <v>0.79607547192985695</v>
      </c>
      <c r="I2857">
        <v>0.81611541285522504</v>
      </c>
      <c r="J2857">
        <v>1.0394003037416699</v>
      </c>
      <c r="K2857">
        <v>0.96609737939027795</v>
      </c>
      <c r="L2857">
        <v>12978.8851091171</v>
      </c>
      <c r="M2857">
        <v>250</v>
      </c>
      <c r="O2857">
        <v>51.912219068174899</v>
      </c>
      <c r="P2857">
        <v>-0.17132643964519501</v>
      </c>
      <c r="Q2857">
        <v>0.857697031911274</v>
      </c>
      <c r="R2857">
        <v>0.33455168217720599</v>
      </c>
      <c r="S2857" t="s">
        <v>9142</v>
      </c>
      <c r="T2857" t="s">
        <v>12568</v>
      </c>
      <c r="U2857" t="s">
        <v>12568</v>
      </c>
      <c r="V2857" t="s">
        <v>12568</v>
      </c>
      <c r="W2857" t="s">
        <v>15387</v>
      </c>
      <c r="X2857">
        <v>4</v>
      </c>
      <c r="Y2857" t="s">
        <v>21542</v>
      </c>
      <c r="Z2857" t="s">
        <v>27727</v>
      </c>
      <c r="AA2857">
        <v>0.91423055628844374</v>
      </c>
      <c r="AB2857" t="str">
        <f>HYPERLINK("Melting_Curves/meltCurve_Q12955_ANK3.pdf", "Melting_Curves/meltCurve_Q12955_ANK3.pdf")</f>
        <v>Melting_Curves/meltCurve_Q12955_ANK3.pdf</v>
      </c>
    </row>
    <row r="2858" spans="1:28" x14ac:dyDescent="0.25">
      <c r="A2858" t="s">
        <v>2862</v>
      </c>
      <c r="B2858">
        <v>0.99352677808782597</v>
      </c>
      <c r="C2858">
        <v>0.999145642400318</v>
      </c>
      <c r="D2858">
        <v>0.91492108441694997</v>
      </c>
      <c r="E2858">
        <v>0.77942459710374701</v>
      </c>
      <c r="F2858">
        <v>0.65530801064431798</v>
      </c>
      <c r="G2858">
        <v>0.30355848028628002</v>
      </c>
      <c r="H2858">
        <v>0.175166996175603</v>
      </c>
      <c r="I2858">
        <v>0.16180029717692801</v>
      </c>
      <c r="J2858">
        <v>0.13938455622498599</v>
      </c>
      <c r="K2858">
        <v>0.11907857038891501</v>
      </c>
      <c r="L2858">
        <v>945.92340801375406</v>
      </c>
      <c r="M2858">
        <v>17.628609045534802</v>
      </c>
      <c r="N2858">
        <v>54.353109057467698</v>
      </c>
      <c r="O2858">
        <v>52.982228866533298</v>
      </c>
      <c r="P2858">
        <v>-7.4795337879804399E-2</v>
      </c>
      <c r="Q2858">
        <v>0.100868038577917</v>
      </c>
      <c r="R2858">
        <v>0.99428280407659098</v>
      </c>
      <c r="S2858" t="s">
        <v>9143</v>
      </c>
      <c r="T2858" t="s">
        <v>12568</v>
      </c>
      <c r="U2858" t="s">
        <v>12568</v>
      </c>
      <c r="V2858" t="s">
        <v>12568</v>
      </c>
      <c r="W2858" t="s">
        <v>15388</v>
      </c>
      <c r="X2858">
        <v>11</v>
      </c>
      <c r="Y2858" t="s">
        <v>21543</v>
      </c>
      <c r="Z2858" t="s">
        <v>27728</v>
      </c>
      <c r="AA2858">
        <v>0.52520525429184639</v>
      </c>
      <c r="AB2858" t="str">
        <f>HYPERLINK("Melting_Curves/meltCurve_Q12959_5_DLG1.pdf", "Melting_Curves/meltCurve_Q12959_5_DLG1.pdf")</f>
        <v>Melting_Curves/meltCurve_Q12959_5_DLG1.pdf</v>
      </c>
    </row>
    <row r="2859" spans="1:28" x14ac:dyDescent="0.25">
      <c r="A2859" t="s">
        <v>2863</v>
      </c>
      <c r="B2859">
        <v>0.99352677808782597</v>
      </c>
      <c r="C2859">
        <v>0.99407658783055497</v>
      </c>
      <c r="D2859">
        <v>0.94963824438706101</v>
      </c>
      <c r="E2859">
        <v>0.80655217291927295</v>
      </c>
      <c r="F2859">
        <v>0.74949756316331995</v>
      </c>
      <c r="G2859">
        <v>0.50014751903246701</v>
      </c>
      <c r="H2859">
        <v>0.37175096446290701</v>
      </c>
      <c r="I2859">
        <v>0.36704917673265203</v>
      </c>
      <c r="J2859">
        <v>0.4152726776099</v>
      </c>
      <c r="K2859">
        <v>0.34454785618097</v>
      </c>
      <c r="L2859">
        <v>910.10712423090695</v>
      </c>
      <c r="M2859">
        <v>17.016754488836</v>
      </c>
      <c r="N2859">
        <v>57.3553321893407</v>
      </c>
      <c r="O2859">
        <v>52.7607803815878</v>
      </c>
      <c r="P2859">
        <v>-5.3098854978122098E-2</v>
      </c>
      <c r="Q2859">
        <v>0.341504377092542</v>
      </c>
      <c r="R2859">
        <v>0.98622102296981196</v>
      </c>
      <c r="S2859" t="s">
        <v>9144</v>
      </c>
      <c r="T2859" t="s">
        <v>12568</v>
      </c>
      <c r="U2859" t="s">
        <v>12568</v>
      </c>
      <c r="V2859" t="s">
        <v>12568</v>
      </c>
      <c r="W2859" t="s">
        <v>15389</v>
      </c>
      <c r="X2859">
        <v>4</v>
      </c>
      <c r="Y2859" t="s">
        <v>21544</v>
      </c>
      <c r="Z2859" t="s">
        <v>27729</v>
      </c>
      <c r="AA2859">
        <v>0.64907538810975629</v>
      </c>
      <c r="AB2859" t="str">
        <f>HYPERLINK("Melting_Curves/meltCurve_Q12962_TAF10.pdf", "Melting_Curves/meltCurve_Q12962_TAF10.pdf")</f>
        <v>Melting_Curves/meltCurve_Q12962_TAF10.pdf</v>
      </c>
    </row>
    <row r="2860" spans="1:28" x14ac:dyDescent="0.25">
      <c r="A2860" t="s">
        <v>2864</v>
      </c>
      <c r="B2860">
        <v>0.99352677808782597</v>
      </c>
      <c r="C2860">
        <v>0.86714113166339502</v>
      </c>
      <c r="D2860">
        <v>0.72653491934221304</v>
      </c>
      <c r="E2860">
        <v>0.27920043183996801</v>
      </c>
      <c r="F2860">
        <v>0.21645319294451501</v>
      </c>
      <c r="G2860">
        <v>0.13115076400689801</v>
      </c>
      <c r="H2860">
        <v>9.6125236089984203E-2</v>
      </c>
      <c r="I2860">
        <v>9.2212891692280002E-2</v>
      </c>
      <c r="J2860">
        <v>8.3808901218012197E-2</v>
      </c>
      <c r="K2860">
        <v>6.8983060235320207E-2</v>
      </c>
      <c r="L2860">
        <v>969.38685831787495</v>
      </c>
      <c r="M2860">
        <v>20.419084946957099</v>
      </c>
      <c r="N2860">
        <v>47.916759237165103</v>
      </c>
      <c r="O2860">
        <v>47.026225069649399</v>
      </c>
      <c r="P2860">
        <v>-9.9232663098622303E-2</v>
      </c>
      <c r="Q2860">
        <v>8.5874934210868004E-2</v>
      </c>
      <c r="R2860">
        <v>0.99385377436480704</v>
      </c>
      <c r="S2860" t="s">
        <v>9145</v>
      </c>
      <c r="T2860" t="s">
        <v>12568</v>
      </c>
      <c r="U2860" t="s">
        <v>12568</v>
      </c>
      <c r="V2860" t="s">
        <v>12568</v>
      </c>
      <c r="W2860" t="s">
        <v>15390</v>
      </c>
      <c r="X2860">
        <v>38</v>
      </c>
      <c r="Y2860" t="s">
        <v>21545</v>
      </c>
      <c r="Z2860" t="s">
        <v>27730</v>
      </c>
      <c r="AA2860">
        <v>0.32621443865903837</v>
      </c>
      <c r="AB2860" t="str">
        <f>HYPERLINK("Melting_Curves/meltCurve_Q12965_MYO1E.pdf", "Melting_Curves/meltCurve_Q12965_MYO1E.pdf")</f>
        <v>Melting_Curves/meltCurve_Q12965_MYO1E.pdf</v>
      </c>
    </row>
    <row r="2861" spans="1:28" x14ac:dyDescent="0.25">
      <c r="A2861" t="s">
        <v>2865</v>
      </c>
      <c r="B2861">
        <v>0.99352677808782597</v>
      </c>
      <c r="C2861">
        <v>0.95770552022089295</v>
      </c>
      <c r="D2861">
        <v>0.90943834660974099</v>
      </c>
      <c r="E2861">
        <v>0.445291779216475</v>
      </c>
      <c r="F2861">
        <v>0.53495982855122204</v>
      </c>
      <c r="G2861">
        <v>0.28828302797579303</v>
      </c>
      <c r="H2861">
        <v>0.20466803285967</v>
      </c>
      <c r="I2861">
        <v>0.19784436702907299</v>
      </c>
      <c r="J2861">
        <v>0.19374116428563701</v>
      </c>
      <c r="K2861">
        <v>0.14502641299670499</v>
      </c>
      <c r="L2861">
        <v>761.91437980022204</v>
      </c>
      <c r="M2861">
        <v>15.175191510184399</v>
      </c>
      <c r="N2861">
        <v>51.557009229105198</v>
      </c>
      <c r="O2861">
        <v>49.3602185264429</v>
      </c>
      <c r="P2861">
        <v>-6.4271077868717094E-2</v>
      </c>
      <c r="Q2861">
        <v>0.16386451085572201</v>
      </c>
      <c r="R2861">
        <v>0.960224034843564</v>
      </c>
      <c r="S2861" t="s">
        <v>9146</v>
      </c>
      <c r="T2861" t="s">
        <v>12568</v>
      </c>
      <c r="U2861" t="s">
        <v>12568</v>
      </c>
      <c r="V2861" t="s">
        <v>12568</v>
      </c>
      <c r="W2861" t="s">
        <v>15391</v>
      </c>
      <c r="X2861">
        <v>9</v>
      </c>
      <c r="Y2861" t="s">
        <v>21546</v>
      </c>
      <c r="Z2861" t="s">
        <v>27731</v>
      </c>
      <c r="AA2861">
        <v>0.46777810203066622</v>
      </c>
      <c r="AB2861" t="str">
        <f>HYPERLINK("Melting_Curves/meltCurve_Q12972_PPP1R8.pdf", "Melting_Curves/meltCurve_Q12972_PPP1R8.pdf")</f>
        <v>Melting_Curves/meltCurve_Q12972_PPP1R8.pdf</v>
      </c>
    </row>
    <row r="2862" spans="1:28" x14ac:dyDescent="0.25">
      <c r="A2862" t="s">
        <v>2866</v>
      </c>
      <c r="B2862">
        <v>0.99352677808782597</v>
      </c>
      <c r="C2862">
        <v>0.92735201470871698</v>
      </c>
      <c r="D2862">
        <v>0.99165743821411101</v>
      </c>
      <c r="E2862">
        <v>0.88870143990305706</v>
      </c>
      <c r="F2862">
        <v>0.79845636666539399</v>
      </c>
      <c r="G2862">
        <v>0.61417540342640198</v>
      </c>
      <c r="H2862">
        <v>0.30525535909653601</v>
      </c>
      <c r="I2862">
        <v>0.238853452579918</v>
      </c>
      <c r="J2862">
        <v>0.16600568583167599</v>
      </c>
      <c r="K2862">
        <v>0.11627933949064299</v>
      </c>
      <c r="L2862">
        <v>842.18306952024102</v>
      </c>
      <c r="M2862">
        <v>14.5553305123454</v>
      </c>
      <c r="N2862">
        <v>58.215112920633501</v>
      </c>
      <c r="O2862">
        <v>56.801536914792202</v>
      </c>
      <c r="P2862">
        <v>-6.1353696912181503E-2</v>
      </c>
      <c r="Q2862">
        <v>4.2388543502109598E-2</v>
      </c>
      <c r="R2862">
        <v>0.99240769219871805</v>
      </c>
      <c r="S2862" t="s">
        <v>9147</v>
      </c>
      <c r="T2862" t="s">
        <v>12568</v>
      </c>
      <c r="U2862" t="s">
        <v>12568</v>
      </c>
      <c r="V2862" t="s">
        <v>12568</v>
      </c>
      <c r="W2862" t="s">
        <v>15392</v>
      </c>
      <c r="X2862">
        <v>5</v>
      </c>
      <c r="Y2862" t="s">
        <v>21547</v>
      </c>
      <c r="Z2862" t="s">
        <v>27732</v>
      </c>
      <c r="AA2862">
        <v>0.62579959586655542</v>
      </c>
      <c r="AB2862" t="str">
        <f>HYPERLINK("Melting_Curves/meltCurve_Q12974_PTP4A2.pdf", "Melting_Curves/meltCurve_Q12974_PTP4A2.pdf")</f>
        <v>Melting_Curves/meltCurve_Q12974_PTP4A2.pdf</v>
      </c>
    </row>
    <row r="2863" spans="1:28" x14ac:dyDescent="0.25">
      <c r="A2863" t="s">
        <v>2867</v>
      </c>
      <c r="B2863">
        <v>0.99352677808782597</v>
      </c>
      <c r="C2863">
        <v>0.99992725198796595</v>
      </c>
      <c r="D2863">
        <v>0.91705368231348705</v>
      </c>
      <c r="E2863">
        <v>0.37860714277105101</v>
      </c>
      <c r="F2863">
        <v>0.29437082174749202</v>
      </c>
      <c r="G2863">
        <v>0.14449483686129999</v>
      </c>
      <c r="H2863">
        <v>9.2445341837624206E-2</v>
      </c>
      <c r="I2863">
        <v>8.1453004539522894E-2</v>
      </c>
      <c r="J2863">
        <v>7.2981087029801606E-2</v>
      </c>
      <c r="K2863">
        <v>5.3265724986042699E-2</v>
      </c>
      <c r="L2863">
        <v>1253.6525245257201</v>
      </c>
      <c r="M2863">
        <v>25.490772115595298</v>
      </c>
      <c r="N2863">
        <v>49.557984849406303</v>
      </c>
      <c r="O2863">
        <v>48.880958631180199</v>
      </c>
      <c r="P2863">
        <v>-0.118873380181252</v>
      </c>
      <c r="Q2863">
        <v>8.8207697734118101E-2</v>
      </c>
      <c r="R2863">
        <v>0.988390422771253</v>
      </c>
      <c r="S2863" t="s">
        <v>9148</v>
      </c>
      <c r="T2863" t="s">
        <v>12568</v>
      </c>
      <c r="U2863" t="s">
        <v>12568</v>
      </c>
      <c r="V2863" t="s">
        <v>12568</v>
      </c>
      <c r="W2863" t="s">
        <v>15393</v>
      </c>
      <c r="X2863">
        <v>20</v>
      </c>
      <c r="Y2863" t="s">
        <v>21548</v>
      </c>
      <c r="Z2863" t="s">
        <v>27733</v>
      </c>
      <c r="AA2863">
        <v>0.37500927018449359</v>
      </c>
      <c r="AB2863" t="str">
        <f>HYPERLINK("Melting_Curves/meltCurve_Q12979_4_ABR.pdf", "Melting_Curves/meltCurve_Q12979_4_ABR.pdf")</f>
        <v>Melting_Curves/meltCurve_Q12979_4_ABR.pdf</v>
      </c>
    </row>
    <row r="2864" spans="1:28" x14ac:dyDescent="0.25">
      <c r="A2864" t="s">
        <v>2868</v>
      </c>
      <c r="B2864">
        <v>0.99352677808782597</v>
      </c>
      <c r="C2864">
        <v>0.98424828969480804</v>
      </c>
      <c r="D2864">
        <v>1.00890171033269</v>
      </c>
      <c r="E2864">
        <v>0.86874354886601102</v>
      </c>
      <c r="F2864">
        <v>0.78594357316382102</v>
      </c>
      <c r="G2864">
        <v>0.63867231885731501</v>
      </c>
      <c r="H2864">
        <v>0.55359648748453805</v>
      </c>
      <c r="I2864">
        <v>0.54807235403010102</v>
      </c>
      <c r="J2864">
        <v>0.46397710471895898</v>
      </c>
      <c r="K2864">
        <v>0.35958060640031603</v>
      </c>
      <c r="L2864">
        <v>593.97822670850098</v>
      </c>
      <c r="M2864">
        <v>10.3445851571707</v>
      </c>
      <c r="N2864">
        <v>63.540271648663101</v>
      </c>
      <c r="O2864">
        <v>55.397739449653997</v>
      </c>
      <c r="P2864">
        <v>-3.19720654570173E-2</v>
      </c>
      <c r="Q2864">
        <v>0.31542014146762098</v>
      </c>
      <c r="R2864">
        <v>0.97932387778459695</v>
      </c>
      <c r="S2864" t="s">
        <v>9149</v>
      </c>
      <c r="T2864" t="s">
        <v>12568</v>
      </c>
      <c r="U2864" t="s">
        <v>12568</v>
      </c>
      <c r="V2864" t="s">
        <v>12568</v>
      </c>
      <c r="W2864" t="s">
        <v>15394</v>
      </c>
      <c r="X2864">
        <v>4</v>
      </c>
      <c r="Y2864" t="s">
        <v>21549</v>
      </c>
      <c r="Z2864" t="s">
        <v>27734</v>
      </c>
      <c r="AA2864">
        <v>0.72242583197318622</v>
      </c>
      <c r="AB2864" t="str">
        <f>HYPERLINK("Melting_Curves/meltCurve_Q12981_BNIP1.pdf", "Melting_Curves/meltCurve_Q12981_BNIP1.pdf")</f>
        <v>Melting_Curves/meltCurve_Q12981_BNIP1.pdf</v>
      </c>
    </row>
    <row r="2865" spans="1:28" x14ac:dyDescent="0.25">
      <c r="A2865" t="s">
        <v>2869</v>
      </c>
      <c r="B2865">
        <v>0.99352677808782597</v>
      </c>
      <c r="C2865">
        <v>0.99795334375761702</v>
      </c>
      <c r="D2865">
        <v>1.0100208014135701</v>
      </c>
      <c r="E2865">
        <v>0.88805696681243196</v>
      </c>
      <c r="F2865">
        <v>0.88896877655069595</v>
      </c>
      <c r="G2865">
        <v>0.78043566110764995</v>
      </c>
      <c r="H2865">
        <v>0.66857525243762295</v>
      </c>
      <c r="I2865">
        <v>0.75493525505288706</v>
      </c>
      <c r="J2865">
        <v>0.66381387203032005</v>
      </c>
      <c r="K2865">
        <v>0.49540953933031101</v>
      </c>
      <c r="L2865">
        <v>390.85496804467601</v>
      </c>
      <c r="M2865">
        <v>5.3820992038684299</v>
      </c>
      <c r="O2865">
        <v>64.423360894562407</v>
      </c>
      <c r="P2865">
        <v>-2.0984907398616501E-2</v>
      </c>
      <c r="Q2865">
        <v>0</v>
      </c>
      <c r="R2865">
        <v>0.91572054470803499</v>
      </c>
      <c r="S2865" t="s">
        <v>9150</v>
      </c>
      <c r="T2865" t="s">
        <v>12568</v>
      </c>
      <c r="U2865" t="s">
        <v>12568</v>
      </c>
      <c r="V2865" t="s">
        <v>12568</v>
      </c>
      <c r="W2865" t="s">
        <v>15395</v>
      </c>
      <c r="X2865">
        <v>7</v>
      </c>
      <c r="Y2865" t="s">
        <v>19485</v>
      </c>
      <c r="Z2865" t="s">
        <v>27735</v>
      </c>
      <c r="AA2865">
        <v>0.81960904239503873</v>
      </c>
      <c r="AB2865" t="str">
        <f>HYPERLINK("Melting_Curves/meltCurve_Q12982_BNIP2.pdf", "Melting_Curves/meltCurve_Q12982_BNIP2.pdf")</f>
        <v>Melting_Curves/meltCurve_Q12982_BNIP2.pdf</v>
      </c>
    </row>
    <row r="2866" spans="1:28" x14ac:dyDescent="0.25">
      <c r="A2866" t="s">
        <v>2870</v>
      </c>
      <c r="B2866">
        <v>0.99352677808782597</v>
      </c>
      <c r="C2866">
        <v>1.0077432159569699</v>
      </c>
      <c r="D2866">
        <v>0.98569002674249295</v>
      </c>
      <c r="E2866">
        <v>0.894444381574653</v>
      </c>
      <c r="F2866">
        <v>0.82822634984083499</v>
      </c>
      <c r="G2866">
        <v>0.67328972548771904</v>
      </c>
      <c r="H2866">
        <v>0.56924474375366796</v>
      </c>
      <c r="I2866">
        <v>0.59361613880483799</v>
      </c>
      <c r="J2866">
        <v>0.57852848813494395</v>
      </c>
      <c r="K2866">
        <v>0.52483864513989298</v>
      </c>
      <c r="L2866">
        <v>949.05538732841603</v>
      </c>
      <c r="M2866">
        <v>17.536444060198601</v>
      </c>
      <c r="O2866">
        <v>53.429995395957803</v>
      </c>
      <c r="P2866">
        <v>-3.7706977571808097E-2</v>
      </c>
      <c r="Q2866">
        <v>0.54048301536080801</v>
      </c>
      <c r="R2866">
        <v>0.99078443044317399</v>
      </c>
      <c r="S2866" t="s">
        <v>9151</v>
      </c>
      <c r="T2866" t="s">
        <v>12568</v>
      </c>
      <c r="U2866" t="s">
        <v>12568</v>
      </c>
      <c r="V2866" t="s">
        <v>12568</v>
      </c>
      <c r="W2866" t="s">
        <v>15396</v>
      </c>
      <c r="X2866">
        <v>7</v>
      </c>
      <c r="Y2866" t="s">
        <v>21550</v>
      </c>
      <c r="Z2866" t="s">
        <v>27736</v>
      </c>
      <c r="AA2866">
        <v>0.76435796131145062</v>
      </c>
      <c r="AB2866" t="str">
        <f>HYPERLINK("Melting_Curves/meltCurve_Q12986_NFX1.pdf", "Melting_Curves/meltCurve_Q12986_NFX1.pdf")</f>
        <v>Melting_Curves/meltCurve_Q12986_NFX1.pdf</v>
      </c>
    </row>
    <row r="2867" spans="1:28" x14ac:dyDescent="0.25">
      <c r="A2867" t="s">
        <v>2871</v>
      </c>
      <c r="B2867">
        <v>0.99352677808782597</v>
      </c>
      <c r="C2867">
        <v>0.99904103156672297</v>
      </c>
      <c r="D2867">
        <v>0.86078377843153397</v>
      </c>
      <c r="E2867">
        <v>0.34897363024964101</v>
      </c>
      <c r="F2867">
        <v>0.25488572543742599</v>
      </c>
      <c r="G2867">
        <v>0.13567447343400199</v>
      </c>
      <c r="H2867">
        <v>7.9688215706306006E-2</v>
      </c>
      <c r="I2867">
        <v>7.8456606462861497E-2</v>
      </c>
      <c r="J2867">
        <v>6.8886825148536598E-2</v>
      </c>
      <c r="K2867">
        <v>5.6988453816705302E-2</v>
      </c>
      <c r="L2867">
        <v>1239.92300281351</v>
      </c>
      <c r="M2867">
        <v>25.4330140465485</v>
      </c>
      <c r="N2867">
        <v>49.1049058807709</v>
      </c>
      <c r="O2867">
        <v>48.454104374279098</v>
      </c>
      <c r="P2867">
        <v>-0.12027759109295</v>
      </c>
      <c r="Q2867">
        <v>8.3416882465999806E-2</v>
      </c>
      <c r="R2867">
        <v>0.99284497362014501</v>
      </c>
      <c r="S2867" t="s">
        <v>9152</v>
      </c>
      <c r="T2867" t="s">
        <v>12568</v>
      </c>
      <c r="U2867" t="s">
        <v>12568</v>
      </c>
      <c r="V2867" t="s">
        <v>12568</v>
      </c>
      <c r="W2867" t="s">
        <v>15397</v>
      </c>
      <c r="X2867">
        <v>8</v>
      </c>
      <c r="Y2867" t="s">
        <v>21551</v>
      </c>
      <c r="Z2867" t="s">
        <v>27737</v>
      </c>
      <c r="AA2867">
        <v>0.35865705966667821</v>
      </c>
      <c r="AB2867" t="str">
        <f>HYPERLINK("Melting_Curves/meltCurve_Q12996_CSTF3.pdf", "Melting_Curves/meltCurve_Q12996_CSTF3.pdf")</f>
        <v>Melting_Curves/meltCurve_Q12996_CSTF3.pdf</v>
      </c>
    </row>
    <row r="2868" spans="1:28" x14ac:dyDescent="0.25">
      <c r="A2868" t="s">
        <v>2872</v>
      </c>
      <c r="B2868">
        <v>0.99352677808782597</v>
      </c>
      <c r="C2868">
        <v>1.01007016439454</v>
      </c>
      <c r="D2868">
        <v>0.81048390364725598</v>
      </c>
      <c r="E2868">
        <v>0.55370134436457896</v>
      </c>
      <c r="F2868">
        <v>0.46932614780023002</v>
      </c>
      <c r="G2868">
        <v>0.15374870736243701</v>
      </c>
      <c r="H2868">
        <v>9.9218031796341005E-2</v>
      </c>
      <c r="I2868">
        <v>8.9684952138399596E-2</v>
      </c>
      <c r="J2868">
        <v>6.9809330611670703E-2</v>
      </c>
      <c r="K2868">
        <v>5.41315880485818E-2</v>
      </c>
      <c r="L2868">
        <v>763.02049115724196</v>
      </c>
      <c r="M2868">
        <v>14.936588279845999</v>
      </c>
      <c r="N2868">
        <v>51.326601271995997</v>
      </c>
      <c r="O2868">
        <v>50.194542635233503</v>
      </c>
      <c r="P2868">
        <v>-7.1865205949456404E-2</v>
      </c>
      <c r="Q2868">
        <v>3.4084133559835299E-2</v>
      </c>
      <c r="R2868">
        <v>0.98847017613865895</v>
      </c>
      <c r="S2868" t="s">
        <v>9153</v>
      </c>
      <c r="T2868" t="s">
        <v>12568</v>
      </c>
      <c r="U2868" t="s">
        <v>12568</v>
      </c>
      <c r="V2868" t="s">
        <v>12568</v>
      </c>
      <c r="W2868" t="s">
        <v>15398</v>
      </c>
      <c r="X2868">
        <v>14</v>
      </c>
      <c r="Y2868" t="s">
        <v>21552</v>
      </c>
      <c r="Z2868" t="s">
        <v>27738</v>
      </c>
      <c r="AA2868">
        <v>0.41337083874143338</v>
      </c>
      <c r="AB2868" t="str">
        <f>HYPERLINK("Melting_Curves/meltCurve_Q13011_ECH1.pdf", "Melting_Curves/meltCurve_Q13011_ECH1.pdf")</f>
        <v>Melting_Curves/meltCurve_Q13011_ECH1.pdf</v>
      </c>
    </row>
    <row r="2869" spans="1:28" x14ac:dyDescent="0.25">
      <c r="A2869" t="s">
        <v>2873</v>
      </c>
      <c r="B2869">
        <v>0.99352677808782597</v>
      </c>
      <c r="C2869">
        <v>0.97877188442494301</v>
      </c>
      <c r="D2869">
        <v>0.91884120732197905</v>
      </c>
      <c r="E2869">
        <v>0.28689783926602902</v>
      </c>
      <c r="F2869">
        <v>0.21776614548950099</v>
      </c>
      <c r="G2869">
        <v>0.14474932454839001</v>
      </c>
      <c r="H2869">
        <v>0.121338490836655</v>
      </c>
      <c r="I2869">
        <v>0.12714778457192999</v>
      </c>
      <c r="J2869">
        <v>0.107652207429442</v>
      </c>
      <c r="K2869">
        <v>8.2562429245757699E-2</v>
      </c>
      <c r="L2869">
        <v>1989.79057057155</v>
      </c>
      <c r="M2869">
        <v>41.153600571645804</v>
      </c>
      <c r="N2869">
        <v>48.696590671820097</v>
      </c>
      <c r="O2869">
        <v>48.236597672862899</v>
      </c>
      <c r="P2869">
        <v>-0.18623406056331501</v>
      </c>
      <c r="Q2869">
        <v>0.12685355662775699</v>
      </c>
      <c r="R2869">
        <v>0.99424399964244803</v>
      </c>
      <c r="S2869" t="s">
        <v>9154</v>
      </c>
      <c r="T2869" t="s">
        <v>12568</v>
      </c>
      <c r="U2869" t="s">
        <v>12568</v>
      </c>
      <c r="V2869" t="s">
        <v>12568</v>
      </c>
      <c r="W2869" t="s">
        <v>15399</v>
      </c>
      <c r="X2869">
        <v>16</v>
      </c>
      <c r="Y2869" t="s">
        <v>21553</v>
      </c>
      <c r="Z2869" t="s">
        <v>27739</v>
      </c>
      <c r="AA2869">
        <v>0.37264944262987321</v>
      </c>
      <c r="AB2869" t="str">
        <f>HYPERLINK("Melting_Curves/meltCurve_Q13017_2_ARHGAP5.pdf", "Melting_Curves/meltCurve_Q13017_2_ARHGAP5.pdf")</f>
        <v>Melting_Curves/meltCurve_Q13017_2_ARHGAP5.pdf</v>
      </c>
    </row>
    <row r="2870" spans="1:28" x14ac:dyDescent="0.25">
      <c r="A2870" t="s">
        <v>2874</v>
      </c>
      <c r="B2870">
        <v>0.99352677808782597</v>
      </c>
      <c r="C2870">
        <v>1.01074055166183</v>
      </c>
      <c r="D2870">
        <v>0.86722724260207595</v>
      </c>
      <c r="E2870">
        <v>0.880285234730527</v>
      </c>
      <c r="F2870">
        <v>0.72117602378069501</v>
      </c>
      <c r="G2870">
        <v>0.46515181838445402</v>
      </c>
      <c r="H2870">
        <v>0.238898051268114</v>
      </c>
      <c r="I2870">
        <v>0.181704936865274</v>
      </c>
      <c r="J2870">
        <v>0.150010132452462</v>
      </c>
      <c r="K2870">
        <v>0.113190943334148</v>
      </c>
      <c r="L2870">
        <v>834.53155621557505</v>
      </c>
      <c r="M2870">
        <v>14.964593233824001</v>
      </c>
      <c r="N2870">
        <v>56.298221395335901</v>
      </c>
      <c r="O2870">
        <v>54.799613735760701</v>
      </c>
      <c r="P2870">
        <v>-6.3781445730480502E-2</v>
      </c>
      <c r="Q2870">
        <v>6.5836680132950506E-2</v>
      </c>
      <c r="R2870">
        <v>0.99079865931062405</v>
      </c>
      <c r="S2870" t="s">
        <v>9155</v>
      </c>
      <c r="T2870" t="s">
        <v>12568</v>
      </c>
      <c r="U2870" t="s">
        <v>12568</v>
      </c>
      <c r="V2870" t="s">
        <v>12568</v>
      </c>
      <c r="W2870" t="s">
        <v>15400</v>
      </c>
      <c r="X2870">
        <v>14</v>
      </c>
      <c r="Y2870" t="s">
        <v>21554</v>
      </c>
      <c r="Z2870" t="s">
        <v>27740</v>
      </c>
      <c r="AA2870">
        <v>0.57377854150932461</v>
      </c>
      <c r="AB2870" t="str">
        <f>HYPERLINK("Melting_Curves/meltCurve_Q13033_2_STRN3.pdf", "Melting_Curves/meltCurve_Q13033_2_STRN3.pdf")</f>
        <v>Melting_Curves/meltCurve_Q13033_2_STRN3.pdf</v>
      </c>
    </row>
    <row r="2871" spans="1:28" x14ac:dyDescent="0.25">
      <c r="A2871" t="s">
        <v>2875</v>
      </c>
      <c r="B2871">
        <v>0.99352677808782597</v>
      </c>
      <c r="C2871">
        <v>0.98357312510634198</v>
      </c>
      <c r="D2871">
        <v>0.87457651689844595</v>
      </c>
      <c r="E2871">
        <v>0.97999537313811402</v>
      </c>
      <c r="F2871">
        <v>0.77874776046104199</v>
      </c>
      <c r="G2871">
        <v>0.39496628941974798</v>
      </c>
      <c r="H2871">
        <v>0.24337947666160401</v>
      </c>
      <c r="I2871">
        <v>0.232241641574853</v>
      </c>
      <c r="J2871">
        <v>0.19586993866718</v>
      </c>
      <c r="K2871">
        <v>0.14516612078573801</v>
      </c>
      <c r="L2871">
        <v>1498.25595883661</v>
      </c>
      <c r="M2871">
        <v>27.268848107617899</v>
      </c>
      <c r="N2871">
        <v>55.878539274872701</v>
      </c>
      <c r="O2871">
        <v>54.650929718119201</v>
      </c>
      <c r="P2871">
        <v>-0.101897752053465</v>
      </c>
      <c r="Q2871">
        <v>0.18313324787865101</v>
      </c>
      <c r="R2871">
        <v>0.984547335272141</v>
      </c>
      <c r="S2871" t="s">
        <v>9156</v>
      </c>
      <c r="T2871" t="s">
        <v>12568</v>
      </c>
      <c r="U2871" t="s">
        <v>12568</v>
      </c>
      <c r="V2871" t="s">
        <v>12568</v>
      </c>
      <c r="W2871" t="s">
        <v>15401</v>
      </c>
      <c r="X2871">
        <v>7</v>
      </c>
      <c r="Y2871" t="s">
        <v>21555</v>
      </c>
      <c r="Z2871" t="s">
        <v>27741</v>
      </c>
      <c r="AA2871">
        <v>0.59650690471930679</v>
      </c>
      <c r="AB2871" t="str">
        <f>HYPERLINK("Melting_Curves/meltCurve_Q13042_3_CDC16.pdf", "Melting_Curves/meltCurve_Q13042_3_CDC16.pdf")</f>
        <v>Melting_Curves/meltCurve_Q13042_3_CDC16.pdf</v>
      </c>
    </row>
    <row r="2872" spans="1:28" x14ac:dyDescent="0.25">
      <c r="A2872" t="s">
        <v>2876</v>
      </c>
      <c r="B2872">
        <v>0.99352677808782597</v>
      </c>
      <c r="C2872">
        <v>0.96283177232226402</v>
      </c>
      <c r="D2872">
        <v>0.93283738714720699</v>
      </c>
      <c r="E2872">
        <v>0.46492648568240902</v>
      </c>
      <c r="F2872">
        <v>0.38912174363838598</v>
      </c>
      <c r="G2872">
        <v>0.28078003664343898</v>
      </c>
      <c r="H2872">
        <v>0.21911911696094499</v>
      </c>
      <c r="I2872">
        <v>0.21948082151758799</v>
      </c>
      <c r="J2872">
        <v>0.187048462035869</v>
      </c>
      <c r="K2872">
        <v>0.16557273980142401</v>
      </c>
      <c r="L2872">
        <v>1172.9454959857601</v>
      </c>
      <c r="M2872">
        <v>23.8272632958633</v>
      </c>
      <c r="N2872">
        <v>50.371517238464698</v>
      </c>
      <c r="O2872">
        <v>48.8842343173066</v>
      </c>
      <c r="P2872">
        <v>-9.6385935751163804E-2</v>
      </c>
      <c r="Q2872">
        <v>0.209027931576627</v>
      </c>
      <c r="R2872">
        <v>0.98525787497000505</v>
      </c>
      <c r="S2872" t="s">
        <v>9157</v>
      </c>
      <c r="T2872" t="s">
        <v>12568</v>
      </c>
      <c r="U2872" t="s">
        <v>12568</v>
      </c>
      <c r="V2872" t="s">
        <v>12568</v>
      </c>
      <c r="W2872" t="s">
        <v>15402</v>
      </c>
      <c r="X2872">
        <v>17</v>
      </c>
      <c r="Y2872" t="s">
        <v>21556</v>
      </c>
      <c r="Z2872" t="s">
        <v>27742</v>
      </c>
      <c r="AA2872">
        <v>0.46005143039671043</v>
      </c>
      <c r="AB2872" t="str">
        <f>HYPERLINK("Melting_Curves/meltCurve_Q13043_STK4.pdf", "Melting_Curves/meltCurve_Q13043_STK4.pdf")</f>
        <v>Melting_Curves/meltCurve_Q13043_STK4.pdf</v>
      </c>
    </row>
    <row r="2873" spans="1:28" x14ac:dyDescent="0.25">
      <c r="A2873" t="s">
        <v>2877</v>
      </c>
      <c r="B2873">
        <v>0.99352677808782597</v>
      </c>
      <c r="C2873">
        <v>1.0349275618268701</v>
      </c>
      <c r="D2873">
        <v>0.80476548064701203</v>
      </c>
      <c r="E2873">
        <v>0.314995261762057</v>
      </c>
      <c r="F2873">
        <v>0.207064867459052</v>
      </c>
      <c r="G2873">
        <v>0.122034319253638</v>
      </c>
      <c r="H2873">
        <v>7.6794477791122195E-2</v>
      </c>
      <c r="I2873">
        <v>7.1328132454025903E-2</v>
      </c>
      <c r="J2873">
        <v>6.1861514472151297E-2</v>
      </c>
      <c r="K2873">
        <v>5.0879655777106701E-2</v>
      </c>
      <c r="L2873">
        <v>1297.2943667447801</v>
      </c>
      <c r="M2873">
        <v>26.856156547205899</v>
      </c>
      <c r="N2873">
        <v>48.612280173571797</v>
      </c>
      <c r="O2873">
        <v>48.039844439899497</v>
      </c>
      <c r="P2873">
        <v>-0.12886001581852299</v>
      </c>
      <c r="Q2873">
        <v>7.7998808639508796E-2</v>
      </c>
      <c r="R2873">
        <v>0.99354154680769102</v>
      </c>
      <c r="S2873" t="s">
        <v>9158</v>
      </c>
      <c r="T2873" t="s">
        <v>12568</v>
      </c>
      <c r="U2873" t="s">
        <v>12568</v>
      </c>
      <c r="V2873" t="s">
        <v>12568</v>
      </c>
      <c r="W2873" t="s">
        <v>15403</v>
      </c>
      <c r="X2873">
        <v>24</v>
      </c>
      <c r="Y2873" t="s">
        <v>21557</v>
      </c>
      <c r="Z2873" t="s">
        <v>27743</v>
      </c>
      <c r="AA2873">
        <v>0.34025912887400722</v>
      </c>
      <c r="AB2873" t="str">
        <f>HYPERLINK("Melting_Curves/meltCurve_Q13045_FLII.pdf", "Melting_Curves/meltCurve_Q13045_FLII.pdf")</f>
        <v>Melting_Curves/meltCurve_Q13045_FLII.pdf</v>
      </c>
    </row>
    <row r="2874" spans="1:28" x14ac:dyDescent="0.25">
      <c r="A2874" t="s">
        <v>2878</v>
      </c>
      <c r="B2874">
        <v>0.99352677808782597</v>
      </c>
      <c r="C2874">
        <v>1.0588849640390801</v>
      </c>
      <c r="D2874">
        <v>0.75781498739105202</v>
      </c>
      <c r="E2874">
        <v>0.23719102470127801</v>
      </c>
      <c r="F2874">
        <v>0.16974415759620401</v>
      </c>
      <c r="G2874">
        <v>0.10784404758314201</v>
      </c>
      <c r="H2874">
        <v>7.8007204314882797E-2</v>
      </c>
      <c r="I2874">
        <v>5.5383145114585301E-2</v>
      </c>
      <c r="J2874">
        <v>4.2343756890321597E-2</v>
      </c>
      <c r="K2874">
        <v>4.5899906330507001E-2</v>
      </c>
      <c r="L2874">
        <v>1484.4004769360399</v>
      </c>
      <c r="M2874">
        <v>31.1342959265485</v>
      </c>
      <c r="N2874">
        <v>47.920769188899101</v>
      </c>
      <c r="O2874">
        <v>47.481943432452198</v>
      </c>
      <c r="P2874">
        <v>-0.151937904416451</v>
      </c>
      <c r="Q2874">
        <v>7.3142166841248996E-2</v>
      </c>
      <c r="R2874">
        <v>0.99073009027385694</v>
      </c>
      <c r="S2874" t="s">
        <v>9159</v>
      </c>
      <c r="T2874" t="s">
        <v>12568</v>
      </c>
      <c r="U2874" t="s">
        <v>12568</v>
      </c>
      <c r="V2874" t="s">
        <v>12568</v>
      </c>
      <c r="W2874" t="s">
        <v>15404</v>
      </c>
      <c r="X2874">
        <v>24</v>
      </c>
      <c r="Y2874" t="s">
        <v>21557</v>
      </c>
      <c r="Z2874" t="s">
        <v>27744</v>
      </c>
      <c r="AA2874">
        <v>0.3154833239844439</v>
      </c>
      <c r="AB2874" t="str">
        <f>HYPERLINK("Melting_Curves/meltCurve_Q13045_2_FLII.pdf", "Melting_Curves/meltCurve_Q13045_2_FLII.pdf")</f>
        <v>Melting_Curves/meltCurve_Q13045_2_FLII.pdf</v>
      </c>
    </row>
    <row r="2875" spans="1:28" x14ac:dyDescent="0.25">
      <c r="A2875" t="s">
        <v>2879</v>
      </c>
      <c r="B2875">
        <v>0.99352677808782597</v>
      </c>
      <c r="C2875">
        <v>0.96809083422866804</v>
      </c>
      <c r="D2875">
        <v>1.0744089716677601</v>
      </c>
      <c r="E2875">
        <v>1.0029673724537</v>
      </c>
      <c r="F2875">
        <v>0.77415233750922097</v>
      </c>
      <c r="G2875">
        <v>0.57635084561797301</v>
      </c>
      <c r="H2875">
        <v>0.35807983887594302</v>
      </c>
      <c r="I2875">
        <v>0.33687872574974298</v>
      </c>
      <c r="J2875">
        <v>0.29834559382641201</v>
      </c>
      <c r="K2875">
        <v>0.256727051553712</v>
      </c>
      <c r="L2875">
        <v>1211.73485951926</v>
      </c>
      <c r="M2875">
        <v>21.709123937153301</v>
      </c>
      <c r="N2875">
        <v>57.906445701061401</v>
      </c>
      <c r="O2875">
        <v>55.349704031290599</v>
      </c>
      <c r="P2875">
        <v>-7.1427169024311996E-2</v>
      </c>
      <c r="Q2875">
        <v>0.27157274223788302</v>
      </c>
      <c r="R2875">
        <v>0.98483192162565703</v>
      </c>
      <c r="S2875" t="s">
        <v>9160</v>
      </c>
      <c r="T2875" t="s">
        <v>12568</v>
      </c>
      <c r="U2875" t="s">
        <v>12568</v>
      </c>
      <c r="V2875" t="s">
        <v>12568</v>
      </c>
      <c r="W2875" t="s">
        <v>15405</v>
      </c>
      <c r="X2875">
        <v>4</v>
      </c>
      <c r="Y2875" t="s">
        <v>21558</v>
      </c>
      <c r="Z2875" t="s">
        <v>27745</v>
      </c>
      <c r="AA2875">
        <v>0.66401393512671603</v>
      </c>
      <c r="AB2875" t="str">
        <f>HYPERLINK("Melting_Curves/meltCurve_Q13049_TRIM32.pdf", "Melting_Curves/meltCurve_Q13049_TRIM32.pdf")</f>
        <v>Melting_Curves/meltCurve_Q13049_TRIM32.pdf</v>
      </c>
    </row>
    <row r="2876" spans="1:28" x14ac:dyDescent="0.25">
      <c r="A2876" t="s">
        <v>2880</v>
      </c>
      <c r="B2876">
        <v>0.99352677808782597</v>
      </c>
      <c r="C2876">
        <v>0.91809273319253404</v>
      </c>
      <c r="D2876">
        <v>0.71796112543267998</v>
      </c>
      <c r="E2876">
        <v>0.244084092746435</v>
      </c>
      <c r="F2876">
        <v>0.18036372166238299</v>
      </c>
      <c r="G2876">
        <v>0.124067086810752</v>
      </c>
      <c r="H2876">
        <v>9.1005365582589995E-2</v>
      </c>
      <c r="I2876">
        <v>8.3993735877340603E-2</v>
      </c>
      <c r="J2876">
        <v>6.3669407599737299E-2</v>
      </c>
      <c r="K2876">
        <v>5.9227868249816303E-2</v>
      </c>
      <c r="L2876">
        <v>1169.1198502581601</v>
      </c>
      <c r="M2876">
        <v>24.694035769585501</v>
      </c>
      <c r="N2876">
        <v>47.693849378663401</v>
      </c>
      <c r="O2876">
        <v>47.037014504767903</v>
      </c>
      <c r="P2876">
        <v>-0.120383408055087</v>
      </c>
      <c r="Q2876">
        <v>8.2791293165643501E-2</v>
      </c>
      <c r="R2876">
        <v>0.99625397865861998</v>
      </c>
      <c r="S2876" t="s">
        <v>9161</v>
      </c>
      <c r="T2876" t="s">
        <v>12568</v>
      </c>
      <c r="U2876" t="s">
        <v>12568</v>
      </c>
      <c r="V2876" t="s">
        <v>12568</v>
      </c>
      <c r="W2876" t="s">
        <v>15406</v>
      </c>
      <c r="X2876">
        <v>13</v>
      </c>
      <c r="Y2876" t="s">
        <v>21559</v>
      </c>
      <c r="Z2876" t="s">
        <v>27746</v>
      </c>
      <c r="AA2876">
        <v>0.31569620000383108</v>
      </c>
      <c r="AB2876" t="str">
        <f>HYPERLINK("Melting_Curves/meltCurve_Q13057_COASY.pdf", "Melting_Curves/meltCurve_Q13057_COASY.pdf")</f>
        <v>Melting_Curves/meltCurve_Q13057_COASY.pdf</v>
      </c>
    </row>
    <row r="2877" spans="1:28" x14ac:dyDescent="0.25">
      <c r="A2877" t="s">
        <v>2881</v>
      </c>
      <c r="B2877">
        <v>0.99352677808782597</v>
      </c>
      <c r="C2877">
        <v>1.01706589885117</v>
      </c>
      <c r="D2877">
        <v>0.86680775685677702</v>
      </c>
      <c r="E2877">
        <v>0.91132448033236402</v>
      </c>
      <c r="F2877">
        <v>0.78784707131445297</v>
      </c>
      <c r="G2877">
        <v>0.51160663453673805</v>
      </c>
      <c r="H2877">
        <v>0.34210057089372697</v>
      </c>
      <c r="I2877">
        <v>0.248208631988873</v>
      </c>
      <c r="J2877">
        <v>0.27169397406363299</v>
      </c>
      <c r="K2877">
        <v>0.17408805158951701</v>
      </c>
      <c r="L2877">
        <v>878.443764279883</v>
      </c>
      <c r="M2877">
        <v>15.6616766982961</v>
      </c>
      <c r="N2877">
        <v>57.526147838148397</v>
      </c>
      <c r="O2877">
        <v>55.198197562571103</v>
      </c>
      <c r="P2877">
        <v>-5.9453010355695501E-2</v>
      </c>
      <c r="Q2877">
        <v>0.16192403506861899</v>
      </c>
      <c r="R2877">
        <v>0.98342577595007497</v>
      </c>
      <c r="S2877" t="s">
        <v>9162</v>
      </c>
      <c r="T2877" t="s">
        <v>12568</v>
      </c>
      <c r="U2877" t="s">
        <v>12568</v>
      </c>
      <c r="V2877" t="s">
        <v>12568</v>
      </c>
      <c r="W2877" t="s">
        <v>15407</v>
      </c>
      <c r="X2877">
        <v>6</v>
      </c>
      <c r="Y2877" t="s">
        <v>21560</v>
      </c>
      <c r="Z2877" t="s">
        <v>27747</v>
      </c>
      <c r="AA2877">
        <v>0.6255745363549533</v>
      </c>
      <c r="AB2877" t="str">
        <f>HYPERLINK("Melting_Curves/meltCurve_Q13077_TRAF1.pdf", "Melting_Curves/meltCurve_Q13077_TRAF1.pdf")</f>
        <v>Melting_Curves/meltCurve_Q13077_TRAF1.pdf</v>
      </c>
    </row>
    <row r="2878" spans="1:28" x14ac:dyDescent="0.25">
      <c r="A2878" t="s">
        <v>2882</v>
      </c>
      <c r="B2878">
        <v>0.99352677808782597</v>
      </c>
      <c r="C2878">
        <v>0.89447805184943896</v>
      </c>
      <c r="D2878">
        <v>0.72223034721150103</v>
      </c>
      <c r="E2878">
        <v>0.30646608121629898</v>
      </c>
      <c r="F2878">
        <v>0.23927316074105501</v>
      </c>
      <c r="G2878">
        <v>0.12706946777372</v>
      </c>
      <c r="H2878">
        <v>8.1157573972602107E-2</v>
      </c>
      <c r="I2878">
        <v>7.9476096240164801E-2</v>
      </c>
      <c r="J2878">
        <v>6.2634743220946004E-2</v>
      </c>
      <c r="K2878">
        <v>5.01587259949791E-2</v>
      </c>
      <c r="L2878">
        <v>900.724120257241</v>
      </c>
      <c r="M2878">
        <v>18.831073084408899</v>
      </c>
      <c r="N2878">
        <v>48.203390887894798</v>
      </c>
      <c r="O2878">
        <v>47.302184978251802</v>
      </c>
      <c r="P2878">
        <v>-9.2805206812211896E-2</v>
      </c>
      <c r="Q2878">
        <v>6.7560775200158102E-2</v>
      </c>
      <c r="R2878">
        <v>0.99538994925092406</v>
      </c>
      <c r="S2878" t="s">
        <v>9163</v>
      </c>
      <c r="T2878" t="s">
        <v>12568</v>
      </c>
      <c r="U2878" t="s">
        <v>12568</v>
      </c>
      <c r="V2878" t="s">
        <v>12568</v>
      </c>
      <c r="W2878" t="s">
        <v>15408</v>
      </c>
      <c r="X2878">
        <v>44</v>
      </c>
      <c r="Y2878" t="s">
        <v>21561</v>
      </c>
      <c r="Z2878" t="s">
        <v>27748</v>
      </c>
      <c r="AA2878">
        <v>0.32610281154939808</v>
      </c>
      <c r="AB2878" t="str">
        <f>HYPERLINK("Melting_Curves/meltCurve_Q13085_ACACA.pdf", "Melting_Curves/meltCurve_Q13085_ACACA.pdf")</f>
        <v>Melting_Curves/meltCurve_Q13085_ACACA.pdf</v>
      </c>
    </row>
    <row r="2879" spans="1:28" x14ac:dyDescent="0.25">
      <c r="A2879" t="s">
        <v>2883</v>
      </c>
      <c r="B2879">
        <v>0.99352677808782597</v>
      </c>
      <c r="C2879">
        <v>0.89270458796515695</v>
      </c>
      <c r="D2879">
        <v>0.59103286933583699</v>
      </c>
      <c r="E2879">
        <v>0.24118053958105001</v>
      </c>
      <c r="F2879">
        <v>0.197550694913214</v>
      </c>
      <c r="G2879">
        <v>0.130105456296078</v>
      </c>
      <c r="H2879">
        <v>9.3917985956095199E-2</v>
      </c>
      <c r="I2879">
        <v>8.5315227451186498E-2</v>
      </c>
      <c r="J2879">
        <v>6.4381054109349495E-2</v>
      </c>
      <c r="K2879">
        <v>5.4112168359248002E-2</v>
      </c>
      <c r="L2879">
        <v>983.91645901506797</v>
      </c>
      <c r="M2879">
        <v>21.110456226516899</v>
      </c>
      <c r="N2879">
        <v>47.019098996494797</v>
      </c>
      <c r="O2879">
        <v>46.195835191504898</v>
      </c>
      <c r="P2879">
        <v>-0.104620023116984</v>
      </c>
      <c r="Q2879">
        <v>8.4267661507481606E-2</v>
      </c>
      <c r="R2879">
        <v>0.99501388564752802</v>
      </c>
      <c r="S2879" t="s">
        <v>9164</v>
      </c>
      <c r="T2879" t="s">
        <v>12568</v>
      </c>
      <c r="U2879" t="s">
        <v>12568</v>
      </c>
      <c r="V2879" t="s">
        <v>12568</v>
      </c>
      <c r="W2879" t="s">
        <v>15409</v>
      </c>
      <c r="X2879">
        <v>9</v>
      </c>
      <c r="Y2879" t="s">
        <v>19029</v>
      </c>
      <c r="Z2879" t="s">
        <v>27749</v>
      </c>
      <c r="AA2879">
        <v>0.29805790009142052</v>
      </c>
      <c r="AB2879" t="str">
        <f>HYPERLINK("Melting_Curves/meltCurve_Q13107_2_USP4.pdf", "Melting_Curves/meltCurve_Q13107_2_USP4.pdf")</f>
        <v>Melting_Curves/meltCurve_Q13107_2_USP4.pdf</v>
      </c>
    </row>
    <row r="2880" spans="1:28" x14ac:dyDescent="0.25">
      <c r="A2880" t="s">
        <v>2884</v>
      </c>
      <c r="B2880">
        <v>0.99352677808782597</v>
      </c>
      <c r="C2880">
        <v>0.98372305846366903</v>
      </c>
      <c r="D2880">
        <v>0.96303189048183502</v>
      </c>
      <c r="E2880">
        <v>1.0403394653292199</v>
      </c>
      <c r="F2880">
        <v>0.875052195727689</v>
      </c>
      <c r="G2880">
        <v>0.80410431764687496</v>
      </c>
      <c r="H2880">
        <v>0.74645993929726995</v>
      </c>
      <c r="I2880">
        <v>0.732065971526902</v>
      </c>
      <c r="J2880">
        <v>0.79439754476369195</v>
      </c>
      <c r="K2880">
        <v>0.75350722757498101</v>
      </c>
      <c r="L2880">
        <v>13242.736351121899</v>
      </c>
      <c r="M2880">
        <v>250</v>
      </c>
      <c r="O2880">
        <v>52.967544201646</v>
      </c>
      <c r="P2880">
        <v>-0.27598617006696402</v>
      </c>
      <c r="Q2880">
        <v>0.76610699511079094</v>
      </c>
      <c r="R2880">
        <v>0.94144322309563999</v>
      </c>
      <c r="S2880" t="s">
        <v>9165</v>
      </c>
      <c r="T2880" t="s">
        <v>12568</v>
      </c>
      <c r="U2880" t="s">
        <v>12568</v>
      </c>
      <c r="V2880" t="s">
        <v>12568</v>
      </c>
      <c r="W2880" t="s">
        <v>15410</v>
      </c>
      <c r="X2880">
        <v>4</v>
      </c>
      <c r="Y2880" t="s">
        <v>21562</v>
      </c>
      <c r="Z2880" t="s">
        <v>27750</v>
      </c>
      <c r="AA2880">
        <v>0.8672558517797383</v>
      </c>
      <c r="AB2880" t="str">
        <f>HYPERLINK("Melting_Curves/meltCurve_Q13111_CHAF1A.pdf", "Melting_Curves/meltCurve_Q13111_CHAF1A.pdf")</f>
        <v>Melting_Curves/meltCurve_Q13111_CHAF1A.pdf</v>
      </c>
    </row>
    <row r="2881" spans="1:28" x14ac:dyDescent="0.25">
      <c r="A2881" t="s">
        <v>2885</v>
      </c>
      <c r="B2881">
        <v>0.99352677808782597</v>
      </c>
      <c r="C2881">
        <v>0.94716807208796605</v>
      </c>
      <c r="D2881">
        <v>0.98272076451948298</v>
      </c>
      <c r="E2881">
        <v>1.0134414393072899</v>
      </c>
      <c r="F2881">
        <v>0.95066462962493903</v>
      </c>
      <c r="G2881">
        <v>0.75638039658613199</v>
      </c>
      <c r="H2881">
        <v>0.35511164456378103</v>
      </c>
      <c r="I2881">
        <v>0.274528198431715</v>
      </c>
      <c r="J2881">
        <v>0.23351966687558001</v>
      </c>
      <c r="K2881">
        <v>0.21367398306586899</v>
      </c>
      <c r="L2881">
        <v>1907.2667718559101</v>
      </c>
      <c r="M2881">
        <v>32.720208733225903</v>
      </c>
      <c r="N2881">
        <v>59.339092021156397</v>
      </c>
      <c r="O2881">
        <v>58.073742402998199</v>
      </c>
      <c r="P2881">
        <v>-0.10992511357762701</v>
      </c>
      <c r="Q2881">
        <v>0.21959750132390299</v>
      </c>
      <c r="R2881">
        <v>0.99615318572886402</v>
      </c>
      <c r="S2881" t="s">
        <v>9166</v>
      </c>
      <c r="T2881" t="s">
        <v>12568</v>
      </c>
      <c r="U2881" t="s">
        <v>12568</v>
      </c>
      <c r="V2881" t="s">
        <v>12568</v>
      </c>
      <c r="W2881" t="s">
        <v>15411</v>
      </c>
      <c r="X2881">
        <v>11</v>
      </c>
      <c r="Y2881" t="s">
        <v>21563</v>
      </c>
      <c r="Z2881" t="s">
        <v>27751</v>
      </c>
      <c r="AA2881">
        <v>0.69980589842108676</v>
      </c>
      <c r="AB2881" t="str">
        <f>HYPERLINK("Melting_Curves/meltCurve_Q13112_CHAF1B.pdf", "Melting_Curves/meltCurve_Q13112_CHAF1B.pdf")</f>
        <v>Melting_Curves/meltCurve_Q13112_CHAF1B.pdf</v>
      </c>
    </row>
    <row r="2882" spans="1:28" x14ac:dyDescent="0.25">
      <c r="A2882" t="s">
        <v>2886</v>
      </c>
      <c r="B2882">
        <v>0.99352677808782597</v>
      </c>
      <c r="C2882">
        <v>1.0494762607945201</v>
      </c>
      <c r="D2882">
        <v>0.92708165536015397</v>
      </c>
      <c r="E2882">
        <v>0.54381346786729201</v>
      </c>
      <c r="F2882">
        <v>0.423393830933112</v>
      </c>
      <c r="G2882">
        <v>0.271939106469125</v>
      </c>
      <c r="H2882">
        <v>0.16652333591235099</v>
      </c>
      <c r="I2882">
        <v>0.17372217282723099</v>
      </c>
      <c r="J2882">
        <v>0.147483371237178</v>
      </c>
      <c r="K2882">
        <v>0.104735145230114</v>
      </c>
      <c r="L2882">
        <v>969.20074280205699</v>
      </c>
      <c r="M2882">
        <v>19.1869688305772</v>
      </c>
      <c r="N2882">
        <v>51.417936719755602</v>
      </c>
      <c r="O2882">
        <v>49.974374263581602</v>
      </c>
      <c r="P2882">
        <v>-8.2240141511384104E-2</v>
      </c>
      <c r="Q2882">
        <v>0.14322224793684801</v>
      </c>
      <c r="R2882">
        <v>0.98644465838838802</v>
      </c>
      <c r="S2882" t="s">
        <v>9167</v>
      </c>
      <c r="T2882" t="s">
        <v>12568</v>
      </c>
      <c r="U2882" t="s">
        <v>12568</v>
      </c>
      <c r="V2882" t="s">
        <v>12568</v>
      </c>
      <c r="W2882" t="s">
        <v>15412</v>
      </c>
      <c r="X2882">
        <v>1</v>
      </c>
      <c r="Y2882" t="s">
        <v>21564</v>
      </c>
      <c r="Z2882" t="s">
        <v>27752</v>
      </c>
      <c r="AA2882">
        <v>0.45636428907542531</v>
      </c>
      <c r="AB2882" t="str">
        <f>HYPERLINK("Melting_Curves/meltCurve_Q13114_2_TRAF3.pdf", "Melting_Curves/meltCurve_Q13114_2_TRAF3.pdf")</f>
        <v>Melting_Curves/meltCurve_Q13114_2_TRAF3.pdf</v>
      </c>
    </row>
    <row r="2883" spans="1:28" x14ac:dyDescent="0.25">
      <c r="A2883" t="s">
        <v>2887</v>
      </c>
      <c r="B2883">
        <v>0.99352677808782597</v>
      </c>
      <c r="C2883">
        <v>0.843544073105299</v>
      </c>
      <c r="D2883">
        <v>0.63703420091907403</v>
      </c>
      <c r="E2883">
        <v>0.333998577144272</v>
      </c>
      <c r="F2883">
        <v>0.27486229397142697</v>
      </c>
      <c r="G2883">
        <v>0.180846644762273</v>
      </c>
      <c r="H2883">
        <v>0.125242438856105</v>
      </c>
      <c r="I2883">
        <v>0.122051161103935</v>
      </c>
      <c r="J2883">
        <v>8.6584296216235798E-2</v>
      </c>
      <c r="K2883">
        <v>6.4363937325426501E-2</v>
      </c>
      <c r="L2883">
        <v>725.56398574241598</v>
      </c>
      <c r="M2883">
        <v>15.336642814528799</v>
      </c>
      <c r="N2883">
        <v>47.9454006701935</v>
      </c>
      <c r="O2883">
        <v>46.526745084371001</v>
      </c>
      <c r="P2883">
        <v>-7.4827166885613805E-2</v>
      </c>
      <c r="Q2883">
        <v>9.20722598512482E-2</v>
      </c>
      <c r="R2883">
        <v>0.99325658091984304</v>
      </c>
      <c r="S2883" t="s">
        <v>9168</v>
      </c>
      <c r="T2883" t="s">
        <v>12568</v>
      </c>
      <c r="U2883" t="s">
        <v>12568</v>
      </c>
      <c r="V2883" t="s">
        <v>12568</v>
      </c>
      <c r="W2883" t="s">
        <v>15413</v>
      </c>
      <c r="X2883">
        <v>2</v>
      </c>
      <c r="Y2883" t="s">
        <v>21565</v>
      </c>
      <c r="Z2883" t="s">
        <v>27753</v>
      </c>
      <c r="AA2883">
        <v>0.33642143014466092</v>
      </c>
      <c r="AB2883" t="str">
        <f>HYPERLINK("Melting_Curves/meltCurve_Q13115_DUSP4.pdf", "Melting_Curves/meltCurve_Q13115_DUSP4.pdf")</f>
        <v>Melting_Curves/meltCurve_Q13115_DUSP4.pdf</v>
      </c>
    </row>
    <row r="2884" spans="1:28" x14ac:dyDescent="0.25">
      <c r="A2884" t="s">
        <v>2888</v>
      </c>
      <c r="B2884">
        <v>0.99352677808782597</v>
      </c>
      <c r="C2884">
        <v>0.98412765130763802</v>
      </c>
      <c r="D2884">
        <v>0.97729542400079406</v>
      </c>
      <c r="E2884">
        <v>0.76710832489941805</v>
      </c>
      <c r="F2884">
        <v>0.70454621379921001</v>
      </c>
      <c r="G2884">
        <v>0.52207310242709604</v>
      </c>
      <c r="H2884">
        <v>0.33735162893524601</v>
      </c>
      <c r="I2884">
        <v>0.39982678352393403</v>
      </c>
      <c r="J2884">
        <v>0.43408369609355002</v>
      </c>
      <c r="K2884">
        <v>0.277048044983776</v>
      </c>
      <c r="L2884">
        <v>801.87456215411498</v>
      </c>
      <c r="M2884">
        <v>15.053755080956799</v>
      </c>
      <c r="N2884">
        <v>57.171227814936799</v>
      </c>
      <c r="O2884">
        <v>52.353940695444798</v>
      </c>
      <c r="P2884">
        <v>-4.8805566312166503E-2</v>
      </c>
      <c r="Q2884">
        <v>0.32112374309786301</v>
      </c>
      <c r="R2884">
        <v>0.96993533061178705</v>
      </c>
      <c r="S2884" t="s">
        <v>9169</v>
      </c>
      <c r="T2884" t="s">
        <v>12568</v>
      </c>
      <c r="U2884" t="s">
        <v>12568</v>
      </c>
      <c r="V2884" t="s">
        <v>12568</v>
      </c>
      <c r="W2884" t="s">
        <v>15414</v>
      </c>
      <c r="X2884">
        <v>3</v>
      </c>
      <c r="Y2884" t="s">
        <v>21566</v>
      </c>
      <c r="Z2884" t="s">
        <v>27754</v>
      </c>
      <c r="AA2884">
        <v>0.63572457356389456</v>
      </c>
      <c r="AB2884" t="str">
        <f>HYPERLINK("Melting_Curves/meltCurve_Q13118_2_KLF10.pdf", "Melting_Curves/meltCurve_Q13118_2_KLF10.pdf")</f>
        <v>Melting_Curves/meltCurve_Q13118_2_KLF10.pdf</v>
      </c>
    </row>
    <row r="2885" spans="1:28" x14ac:dyDescent="0.25">
      <c r="A2885" t="s">
        <v>2889</v>
      </c>
      <c r="B2885">
        <v>0.99352677808782597</v>
      </c>
      <c r="C2885">
        <v>0.94961675083144004</v>
      </c>
      <c r="D2885">
        <v>0.95489520677210604</v>
      </c>
      <c r="E2885">
        <v>0.86571544509184895</v>
      </c>
      <c r="F2885">
        <v>0.76220839770867999</v>
      </c>
      <c r="G2885">
        <v>0.72021332260647197</v>
      </c>
      <c r="H2885">
        <v>0.59035479249552003</v>
      </c>
      <c r="I2885">
        <v>0.68578715797980905</v>
      </c>
      <c r="J2885">
        <v>0.60555015310288796</v>
      </c>
      <c r="K2885">
        <v>0.58692277707839502</v>
      </c>
      <c r="L2885">
        <v>658.60955545412298</v>
      </c>
      <c r="M2885">
        <v>12.5412691885771</v>
      </c>
      <c r="O2885">
        <v>51.233822499655297</v>
      </c>
      <c r="P2885">
        <v>-2.54241301526579E-2</v>
      </c>
      <c r="Q2885">
        <v>0.58463203724759905</v>
      </c>
      <c r="R2885">
        <v>0.96016474282495501</v>
      </c>
      <c r="S2885" t="s">
        <v>9170</v>
      </c>
      <c r="T2885" t="s">
        <v>12568</v>
      </c>
      <c r="U2885" t="s">
        <v>12568</v>
      </c>
      <c r="V2885" t="s">
        <v>12568</v>
      </c>
      <c r="W2885" t="s">
        <v>15415</v>
      </c>
      <c r="X2885">
        <v>7</v>
      </c>
      <c r="Y2885" t="s">
        <v>21567</v>
      </c>
      <c r="Z2885" t="s">
        <v>27755</v>
      </c>
      <c r="AA2885">
        <v>0.76953335231770481</v>
      </c>
      <c r="AB2885" t="str">
        <f>HYPERLINK("Melting_Curves/meltCurve_Q13123_IK.pdf", "Melting_Curves/meltCurve_Q13123_IK.pdf")</f>
        <v>Melting_Curves/meltCurve_Q13123_IK.pdf</v>
      </c>
    </row>
    <row r="2886" spans="1:28" x14ac:dyDescent="0.25">
      <c r="A2886" t="s">
        <v>2890</v>
      </c>
      <c r="B2886">
        <v>0.99352677808782597</v>
      </c>
      <c r="C2886">
        <v>1.07737560956446</v>
      </c>
      <c r="D2886">
        <v>0.95726379653404503</v>
      </c>
      <c r="E2886">
        <v>0.84725269809562098</v>
      </c>
      <c r="F2886">
        <v>0.78860424977543897</v>
      </c>
      <c r="G2886">
        <v>0.62585395886361195</v>
      </c>
      <c r="H2886">
        <v>0.68045070772916505</v>
      </c>
      <c r="I2886">
        <v>0.65976775452911196</v>
      </c>
      <c r="J2886">
        <v>0.71187348341150203</v>
      </c>
      <c r="K2886">
        <v>0.49320992540959402</v>
      </c>
      <c r="L2886">
        <v>991.50749357897598</v>
      </c>
      <c r="M2886">
        <v>19.2158832815743</v>
      </c>
      <c r="O2886">
        <v>51.049263684679602</v>
      </c>
      <c r="P2886">
        <v>-3.58093147159965E-2</v>
      </c>
      <c r="Q2886">
        <v>0.61948780595902098</v>
      </c>
      <c r="R2886">
        <v>0.87668972571673398</v>
      </c>
      <c r="S2886" t="s">
        <v>9171</v>
      </c>
      <c r="T2886" t="s">
        <v>12568</v>
      </c>
      <c r="U2886" t="s">
        <v>12568</v>
      </c>
      <c r="V2886" t="s">
        <v>12568</v>
      </c>
      <c r="W2886" t="s">
        <v>15416</v>
      </c>
      <c r="X2886">
        <v>1</v>
      </c>
      <c r="Y2886" t="s">
        <v>21568</v>
      </c>
      <c r="Z2886" t="s">
        <v>27756</v>
      </c>
      <c r="AA2886">
        <v>0.77226755017113435</v>
      </c>
      <c r="AB2886" t="str">
        <f>HYPERLINK("Melting_Curves/meltCurve_Q13127_4_REST.pdf", "Melting_Curves/meltCurve_Q13127_4_REST.pdf")</f>
        <v>Melting_Curves/meltCurve_Q13127_4_REST.pdf</v>
      </c>
    </row>
    <row r="2887" spans="1:28" x14ac:dyDescent="0.25">
      <c r="A2887" t="s">
        <v>2891</v>
      </c>
      <c r="B2887">
        <v>0.99352677808782597</v>
      </c>
      <c r="C2887">
        <v>0.97494987683996603</v>
      </c>
      <c r="D2887">
        <v>0.91880014991231296</v>
      </c>
      <c r="E2887">
        <v>0.66411423997680596</v>
      </c>
      <c r="F2887">
        <v>0.57159794506834904</v>
      </c>
      <c r="G2887">
        <v>0.27997738120843102</v>
      </c>
      <c r="H2887">
        <v>0.172223867194231</v>
      </c>
      <c r="I2887">
        <v>0.16650823957539801</v>
      </c>
      <c r="J2887">
        <v>0.13911332822497499</v>
      </c>
      <c r="K2887">
        <v>0.110991548676574</v>
      </c>
      <c r="L2887">
        <v>794.29874672801395</v>
      </c>
      <c r="M2887">
        <v>15.129585838937601</v>
      </c>
      <c r="N2887">
        <v>53.241389189330498</v>
      </c>
      <c r="O2887">
        <v>51.608146812001003</v>
      </c>
      <c r="P2887">
        <v>-6.63332516316366E-2</v>
      </c>
      <c r="Q2887">
        <v>9.5017704589751201E-2</v>
      </c>
      <c r="R2887">
        <v>0.99424543972956803</v>
      </c>
      <c r="S2887" t="s">
        <v>9172</v>
      </c>
      <c r="T2887" t="s">
        <v>12568</v>
      </c>
      <c r="U2887" t="s">
        <v>12568</v>
      </c>
      <c r="V2887" t="s">
        <v>12568</v>
      </c>
      <c r="W2887" t="s">
        <v>15417</v>
      </c>
      <c r="X2887">
        <v>10</v>
      </c>
      <c r="Y2887" t="s">
        <v>21569</v>
      </c>
      <c r="Z2887" t="s">
        <v>27757</v>
      </c>
      <c r="AA2887">
        <v>0.49170346606368243</v>
      </c>
      <c r="AB2887" t="str">
        <f>HYPERLINK("Melting_Curves/meltCurve_Q13131_PRKAA1.pdf", "Melting_Curves/meltCurve_Q13131_PRKAA1.pdf")</f>
        <v>Melting_Curves/meltCurve_Q13131_PRKAA1.pdf</v>
      </c>
    </row>
    <row r="2888" spans="1:28" x14ac:dyDescent="0.25">
      <c r="A2888" t="s">
        <v>2892</v>
      </c>
      <c r="B2888">
        <v>0.99352677808782597</v>
      </c>
      <c r="C2888">
        <v>1.0086278482217199</v>
      </c>
      <c r="D2888">
        <v>0.92586345736530296</v>
      </c>
      <c r="E2888">
        <v>0.70911184692335005</v>
      </c>
      <c r="F2888">
        <v>0.61880408977107204</v>
      </c>
      <c r="G2888">
        <v>0.46324668348061598</v>
      </c>
      <c r="H2888">
        <v>0.44261867874817801</v>
      </c>
      <c r="I2888">
        <v>0.43337211455657498</v>
      </c>
      <c r="J2888">
        <v>0.48732186888663598</v>
      </c>
      <c r="K2888">
        <v>0.38108319145328601</v>
      </c>
      <c r="L2888">
        <v>967.27012535072595</v>
      </c>
      <c r="M2888">
        <v>19.1921833751985</v>
      </c>
      <c r="N2888">
        <v>55.962537669344101</v>
      </c>
      <c r="O2888">
        <v>49.861565170853702</v>
      </c>
      <c r="P2888">
        <v>-5.5255172967156797E-2</v>
      </c>
      <c r="Q2888">
        <v>0.42580712373171098</v>
      </c>
      <c r="R2888">
        <v>0.98491456550517198</v>
      </c>
      <c r="S2888" t="s">
        <v>9173</v>
      </c>
      <c r="T2888" t="s">
        <v>12568</v>
      </c>
      <c r="U2888" t="s">
        <v>12568</v>
      </c>
      <c r="V2888" t="s">
        <v>12568</v>
      </c>
      <c r="W2888" t="s">
        <v>15418</v>
      </c>
      <c r="X2888">
        <v>34</v>
      </c>
      <c r="Y2888" t="s">
        <v>21570</v>
      </c>
      <c r="Z2888" t="s">
        <v>27758</v>
      </c>
      <c r="AA2888">
        <v>0.63348138880408411</v>
      </c>
      <c r="AB2888" t="str">
        <f>HYPERLINK("Melting_Curves/meltCurve_Q13136_PPFIA1.pdf", "Melting_Curves/meltCurve_Q13136_PPFIA1.pdf")</f>
        <v>Melting_Curves/meltCurve_Q13136_PPFIA1.pdf</v>
      </c>
    </row>
    <row r="2889" spans="1:28" x14ac:dyDescent="0.25">
      <c r="A2889" t="s">
        <v>2893</v>
      </c>
      <c r="B2889">
        <v>0.99352677808782597</v>
      </c>
      <c r="C2889">
        <v>0.36441244401842598</v>
      </c>
      <c r="D2889">
        <v>1.1405575352368</v>
      </c>
      <c r="E2889">
        <v>0.226271266464044</v>
      </c>
      <c r="F2889">
        <v>0.186576650893713</v>
      </c>
      <c r="G2889">
        <v>0.114034947166312</v>
      </c>
      <c r="H2889">
        <v>7.7639583047009894E-2</v>
      </c>
      <c r="I2889">
        <v>8.1107001637159504E-2</v>
      </c>
      <c r="J2889">
        <v>6.6090160140992296E-2</v>
      </c>
      <c r="K2889">
        <v>6.10550810032187E-2</v>
      </c>
      <c r="L2889">
        <v>638.74657473254501</v>
      </c>
      <c r="M2889">
        <v>13.2809457459316</v>
      </c>
      <c r="N2889">
        <v>48.2631500689075</v>
      </c>
      <c r="O2889">
        <v>47.043776822520996</v>
      </c>
      <c r="P2889">
        <v>-6.8992801890848901E-2</v>
      </c>
      <c r="Q2889">
        <v>2.2613378077654001E-2</v>
      </c>
      <c r="R2889">
        <v>0.65760743359533702</v>
      </c>
      <c r="S2889" t="s">
        <v>9174</v>
      </c>
      <c r="T2889" t="s">
        <v>12568</v>
      </c>
      <c r="U2889" t="s">
        <v>12568</v>
      </c>
      <c r="V2889" t="s">
        <v>12568</v>
      </c>
      <c r="W2889" t="s">
        <v>15419</v>
      </c>
      <c r="X2889">
        <v>6</v>
      </c>
      <c r="Y2889" t="s">
        <v>21571</v>
      </c>
      <c r="Z2889" t="s">
        <v>27759</v>
      </c>
      <c r="AA2889">
        <v>0.31797258672745149</v>
      </c>
      <c r="AB2889" t="str">
        <f>HYPERLINK("Melting_Curves/meltCurve_Q13148_TARDBP.pdf", "Melting_Curves/meltCurve_Q13148_TARDBP.pdf")</f>
        <v>Melting_Curves/meltCurve_Q13148_TARDBP.pdf</v>
      </c>
    </row>
    <row r="2890" spans="1:28" x14ac:dyDescent="0.25">
      <c r="A2890" t="s">
        <v>2894</v>
      </c>
      <c r="B2890">
        <v>0.99352677808782597</v>
      </c>
      <c r="C2890">
        <v>0.84102838126537405</v>
      </c>
      <c r="D2890">
        <v>0.92200387927023797</v>
      </c>
      <c r="E2890">
        <v>0.47160894687705801</v>
      </c>
      <c r="F2890">
        <v>0.41394653809936199</v>
      </c>
      <c r="G2890">
        <v>0.35183373641502802</v>
      </c>
      <c r="H2890">
        <v>0.26852386508148302</v>
      </c>
      <c r="I2890">
        <v>0.27261094088288501</v>
      </c>
      <c r="J2890">
        <v>0.29313079143750698</v>
      </c>
      <c r="K2890">
        <v>0.247983916046604</v>
      </c>
      <c r="L2890">
        <v>1002.6472318930601</v>
      </c>
      <c r="M2890">
        <v>20.6172308228332</v>
      </c>
      <c r="N2890">
        <v>50.5897105307563</v>
      </c>
      <c r="O2890">
        <v>48.180944128575398</v>
      </c>
      <c r="P2890">
        <v>-7.7572713411048405E-2</v>
      </c>
      <c r="Q2890">
        <v>0.274894278093264</v>
      </c>
      <c r="R2890">
        <v>0.961093056319273</v>
      </c>
      <c r="S2890" t="s">
        <v>9175</v>
      </c>
      <c r="T2890" t="s">
        <v>12568</v>
      </c>
      <c r="U2890" t="s">
        <v>12568</v>
      </c>
      <c r="V2890" t="s">
        <v>12568</v>
      </c>
      <c r="W2890" t="s">
        <v>15420</v>
      </c>
      <c r="X2890">
        <v>5</v>
      </c>
      <c r="Y2890" t="s">
        <v>21572</v>
      </c>
      <c r="Z2890" t="s">
        <v>27760</v>
      </c>
      <c r="AA2890">
        <v>0.49309662216091438</v>
      </c>
      <c r="AB2890" t="str">
        <f>HYPERLINK("Melting_Curves/meltCurve_Q13151_HNRNPA0.pdf", "Melting_Curves/meltCurve_Q13151_HNRNPA0.pdf")</f>
        <v>Melting_Curves/meltCurve_Q13151_HNRNPA0.pdf</v>
      </c>
    </row>
    <row r="2891" spans="1:28" x14ac:dyDescent="0.25">
      <c r="A2891" t="s">
        <v>2895</v>
      </c>
      <c r="B2891">
        <v>0.99352677808782597</v>
      </c>
      <c r="C2891">
        <v>0.96969836535968601</v>
      </c>
      <c r="D2891">
        <v>0.96845272579041697</v>
      </c>
      <c r="E2891">
        <v>0.99811737285854296</v>
      </c>
      <c r="F2891">
        <v>0.93748439468853595</v>
      </c>
      <c r="G2891">
        <v>0.60865812508008998</v>
      </c>
      <c r="H2891">
        <v>0.23988834531606701</v>
      </c>
      <c r="I2891">
        <v>0.23607676093680799</v>
      </c>
      <c r="J2891">
        <v>0.15982201383590799</v>
      </c>
      <c r="K2891">
        <v>0.13079673111845799</v>
      </c>
      <c r="L2891">
        <v>1803.12359600478</v>
      </c>
      <c r="M2891">
        <v>31.501324020045999</v>
      </c>
      <c r="N2891">
        <v>57.925630197721603</v>
      </c>
      <c r="O2891">
        <v>57.010423747087202</v>
      </c>
      <c r="P2891">
        <v>-0.116632331431453</v>
      </c>
      <c r="Q2891">
        <v>0.15568971317566799</v>
      </c>
      <c r="R2891">
        <v>0.99572790833801095</v>
      </c>
      <c r="S2891" t="s">
        <v>9176</v>
      </c>
      <c r="T2891" t="s">
        <v>12568</v>
      </c>
      <c r="U2891" t="s">
        <v>12568</v>
      </c>
      <c r="V2891" t="s">
        <v>12568</v>
      </c>
      <c r="W2891" t="s">
        <v>15421</v>
      </c>
      <c r="X2891">
        <v>20</v>
      </c>
      <c r="Y2891" t="s">
        <v>21573</v>
      </c>
      <c r="Z2891" t="s">
        <v>27761</v>
      </c>
      <c r="AA2891">
        <v>0.64602682442106807</v>
      </c>
      <c r="AB2891" t="str">
        <f>HYPERLINK("Melting_Curves/meltCurve_Q13153_PAK1.pdf", "Melting_Curves/meltCurve_Q13153_PAK1.pdf")</f>
        <v>Melting_Curves/meltCurve_Q13153_PAK1.pdf</v>
      </c>
    </row>
    <row r="2892" spans="1:28" x14ac:dyDescent="0.25">
      <c r="A2892" t="s">
        <v>2896</v>
      </c>
      <c r="B2892">
        <v>0.99352677808782597</v>
      </c>
      <c r="C2892">
        <v>0.77673729230741995</v>
      </c>
      <c r="D2892">
        <v>0.745132126748282</v>
      </c>
      <c r="E2892">
        <v>0.43145180906325598</v>
      </c>
      <c r="F2892">
        <v>0.38329394156618202</v>
      </c>
      <c r="G2892">
        <v>0.219252688087476</v>
      </c>
      <c r="H2892">
        <v>7.5385602801466306E-2</v>
      </c>
      <c r="I2892">
        <v>0.12052298328845</v>
      </c>
      <c r="J2892">
        <v>5.2096378262701297E-2</v>
      </c>
      <c r="K2892">
        <v>7.2176963864934607E-2</v>
      </c>
      <c r="L2892">
        <v>542.10499069687705</v>
      </c>
      <c r="M2892">
        <v>10.9524113382388</v>
      </c>
      <c r="N2892">
        <v>49.654342840932898</v>
      </c>
      <c r="O2892">
        <v>47.932142356183803</v>
      </c>
      <c r="P2892">
        <v>-5.6165943778134199E-2</v>
      </c>
      <c r="Q2892">
        <v>1.7118474734412002E-2</v>
      </c>
      <c r="R2892">
        <v>0.98173959914499098</v>
      </c>
      <c r="S2892" t="s">
        <v>9177</v>
      </c>
      <c r="T2892" t="s">
        <v>12568</v>
      </c>
      <c r="U2892" t="s">
        <v>12568</v>
      </c>
      <c r="V2892" t="s">
        <v>12568</v>
      </c>
      <c r="W2892" t="s">
        <v>15422</v>
      </c>
      <c r="X2892">
        <v>4</v>
      </c>
      <c r="Y2892" t="s">
        <v>21574</v>
      </c>
      <c r="Z2892" t="s">
        <v>27762</v>
      </c>
      <c r="AA2892">
        <v>0.36870846209575769</v>
      </c>
      <c r="AB2892" t="str">
        <f>HYPERLINK("Melting_Curves/meltCurve_Q13155_AIMP2.pdf", "Melting_Curves/meltCurve_Q13155_AIMP2.pdf")</f>
        <v>Melting_Curves/meltCurve_Q13155_AIMP2.pdf</v>
      </c>
    </row>
    <row r="2893" spans="1:28" x14ac:dyDescent="0.25">
      <c r="A2893" t="s">
        <v>2897</v>
      </c>
      <c r="B2893">
        <v>0.99352677808782597</v>
      </c>
      <c r="C2893">
        <v>0.96613997414576502</v>
      </c>
      <c r="D2893">
        <v>1.0040935535344599</v>
      </c>
      <c r="E2893">
        <v>0.67980069195356596</v>
      </c>
      <c r="F2893">
        <v>0.59870705061192397</v>
      </c>
      <c r="G2893">
        <v>0.31149006855137701</v>
      </c>
      <c r="H2893">
        <v>0.178986954674451</v>
      </c>
      <c r="I2893">
        <v>0.152356770447166</v>
      </c>
      <c r="J2893">
        <v>0.135258344317539</v>
      </c>
      <c r="K2893">
        <v>8.6462715197029499E-2</v>
      </c>
      <c r="L2893">
        <v>842.27529116448102</v>
      </c>
      <c r="M2893">
        <v>15.842486597965999</v>
      </c>
      <c r="N2893">
        <v>53.793682444574003</v>
      </c>
      <c r="O2893">
        <v>52.340136703995697</v>
      </c>
      <c r="P2893">
        <v>-6.9287091890746402E-2</v>
      </c>
      <c r="Q2893">
        <v>8.4436809221359793E-2</v>
      </c>
      <c r="R2893">
        <v>0.98909394855188504</v>
      </c>
      <c r="S2893" t="s">
        <v>9178</v>
      </c>
      <c r="T2893" t="s">
        <v>12568</v>
      </c>
      <c r="U2893" t="s">
        <v>12568</v>
      </c>
      <c r="V2893" t="s">
        <v>12568</v>
      </c>
      <c r="W2893" t="s">
        <v>15423</v>
      </c>
      <c r="X2893">
        <v>10</v>
      </c>
      <c r="Y2893" t="s">
        <v>21575</v>
      </c>
      <c r="Z2893" t="s">
        <v>27763</v>
      </c>
      <c r="AA2893">
        <v>0.50435451532825826</v>
      </c>
      <c r="AB2893" t="str">
        <f>HYPERLINK("Melting_Curves/meltCurve_Q13158_FADD.pdf", "Melting_Curves/meltCurve_Q13158_FADD.pdf")</f>
        <v>Melting_Curves/meltCurve_Q13158_FADD.pdf</v>
      </c>
    </row>
    <row r="2894" spans="1:28" x14ac:dyDescent="0.25">
      <c r="A2894" t="s">
        <v>2898</v>
      </c>
      <c r="B2894">
        <v>0.99352677808782597</v>
      </c>
      <c r="C2894">
        <v>1.0399740811982301</v>
      </c>
      <c r="D2894">
        <v>0.95857073518813396</v>
      </c>
      <c r="E2894">
        <v>0.954173760076516</v>
      </c>
      <c r="F2894">
        <v>0.70697099408641295</v>
      </c>
      <c r="G2894">
        <v>0.78148591736233697</v>
      </c>
      <c r="H2894">
        <v>0.87654815529403096</v>
      </c>
      <c r="I2894">
        <v>0.93122680604624597</v>
      </c>
      <c r="J2894">
        <v>0.96094835540700496</v>
      </c>
      <c r="K2894">
        <v>1.0567093316960201</v>
      </c>
      <c r="L2894">
        <v>1930.45904419111</v>
      </c>
      <c r="M2894">
        <v>40.860365230239204</v>
      </c>
      <c r="O2894">
        <v>47.1325156616642</v>
      </c>
      <c r="P2894">
        <v>-2.3192997597670701E-2</v>
      </c>
      <c r="Q2894">
        <v>0.89298748903585301</v>
      </c>
      <c r="R2894">
        <v>0.21794868498515099</v>
      </c>
      <c r="S2894" t="s">
        <v>9179</v>
      </c>
      <c r="T2894" t="s">
        <v>12568</v>
      </c>
      <c r="U2894" t="s">
        <v>12568</v>
      </c>
      <c r="V2894" t="s">
        <v>12568</v>
      </c>
      <c r="W2894" t="s">
        <v>15424</v>
      </c>
      <c r="X2894">
        <v>14</v>
      </c>
      <c r="Y2894" t="s">
        <v>21576</v>
      </c>
      <c r="Z2894" t="s">
        <v>27764</v>
      </c>
      <c r="AA2894">
        <v>0.91916857969595711</v>
      </c>
      <c r="AB2894" t="str">
        <f>HYPERLINK("Melting_Curves/meltCurve_Q13162_PRDX4.pdf", "Melting_Curves/meltCurve_Q13162_PRDX4.pdf")</f>
        <v>Melting_Curves/meltCurve_Q13162_PRDX4.pdf</v>
      </c>
    </row>
    <row r="2895" spans="1:28" x14ac:dyDescent="0.25">
      <c r="A2895" t="s">
        <v>2899</v>
      </c>
      <c r="B2895">
        <v>0.99352677808782597</v>
      </c>
      <c r="C2895">
        <v>0.88561618804578601</v>
      </c>
      <c r="D2895">
        <v>0.83468202672330805</v>
      </c>
      <c r="E2895">
        <v>0.43929808487565303</v>
      </c>
      <c r="F2895">
        <v>0.37848331704711702</v>
      </c>
      <c r="G2895">
        <v>0.273884237432031</v>
      </c>
      <c r="H2895">
        <v>0.213362536734481</v>
      </c>
      <c r="I2895">
        <v>0.178811443699948</v>
      </c>
      <c r="J2895">
        <v>0.145630543896514</v>
      </c>
      <c r="K2895">
        <v>0.13579019148617399</v>
      </c>
      <c r="L2895">
        <v>764.109116321805</v>
      </c>
      <c r="M2895">
        <v>15.5956713476928</v>
      </c>
      <c r="N2895">
        <v>50.180044150522697</v>
      </c>
      <c r="O2895">
        <v>48.210603950827398</v>
      </c>
      <c r="P2895">
        <v>-6.8419938375056499E-2</v>
      </c>
      <c r="Q2895">
        <v>0.154052313753506</v>
      </c>
      <c r="R2895">
        <v>0.98637551063633699</v>
      </c>
      <c r="S2895" t="s">
        <v>9180</v>
      </c>
      <c r="T2895" t="s">
        <v>12568</v>
      </c>
      <c r="U2895" t="s">
        <v>12568</v>
      </c>
      <c r="V2895" t="s">
        <v>12568</v>
      </c>
      <c r="W2895" t="s">
        <v>15425</v>
      </c>
      <c r="X2895">
        <v>4</v>
      </c>
      <c r="Y2895" t="s">
        <v>21577</v>
      </c>
      <c r="Z2895" t="s">
        <v>27765</v>
      </c>
      <c r="AA2895">
        <v>0.42709010688149779</v>
      </c>
      <c r="AB2895" t="str">
        <f>HYPERLINK("Melting_Curves/meltCurve_Q13163_4_MAP2K5.pdf", "Melting_Curves/meltCurve_Q13163_4_MAP2K5.pdf")</f>
        <v>Melting_Curves/meltCurve_Q13163_4_MAP2K5.pdf</v>
      </c>
    </row>
    <row r="2896" spans="1:28" x14ac:dyDescent="0.25">
      <c r="A2896" t="s">
        <v>2900</v>
      </c>
      <c r="B2896">
        <v>0.99352677808782597</v>
      </c>
      <c r="C2896">
        <v>0.963806069211536</v>
      </c>
      <c r="D2896">
        <v>0.86102232230004805</v>
      </c>
      <c r="E2896">
        <v>0.40853137115692201</v>
      </c>
      <c r="F2896">
        <v>0.35543565737247401</v>
      </c>
      <c r="G2896">
        <v>0.24618374691872399</v>
      </c>
      <c r="H2896">
        <v>0.17848753542034099</v>
      </c>
      <c r="I2896">
        <v>0.21095028113991601</v>
      </c>
      <c r="J2896">
        <v>0.16500327565918299</v>
      </c>
      <c r="K2896">
        <v>0.15634519617040701</v>
      </c>
      <c r="L2896">
        <v>1118.9379208724499</v>
      </c>
      <c r="M2896">
        <v>23.016867537046299</v>
      </c>
      <c r="N2896">
        <v>49.629160151193503</v>
      </c>
      <c r="O2896">
        <v>48.2513247793879</v>
      </c>
      <c r="P2896">
        <v>-9.6863556828121394E-2</v>
      </c>
      <c r="Q2896">
        <v>0.18777694061705699</v>
      </c>
      <c r="R2896">
        <v>0.98890981538244005</v>
      </c>
      <c r="S2896" t="s">
        <v>9181</v>
      </c>
      <c r="T2896" t="s">
        <v>12568</v>
      </c>
      <c r="U2896" t="s">
        <v>12568</v>
      </c>
      <c r="V2896" t="s">
        <v>12568</v>
      </c>
      <c r="W2896" t="s">
        <v>15426</v>
      </c>
      <c r="X2896">
        <v>7</v>
      </c>
      <c r="Y2896" t="s">
        <v>21578</v>
      </c>
      <c r="Z2896" t="s">
        <v>27766</v>
      </c>
      <c r="AA2896">
        <v>0.42952190339542551</v>
      </c>
      <c r="AB2896" t="str">
        <f>HYPERLINK("Melting_Curves/meltCurve_Q13164_MAPK7.pdf", "Melting_Curves/meltCurve_Q13164_MAPK7.pdf")</f>
        <v>Melting_Curves/meltCurve_Q13164_MAPK7.pdf</v>
      </c>
    </row>
    <row r="2897" spans="1:28" x14ac:dyDescent="0.25">
      <c r="A2897" t="s">
        <v>2901</v>
      </c>
      <c r="B2897">
        <v>0.99352677808782597</v>
      </c>
      <c r="C2897">
        <v>0.96912635023270599</v>
      </c>
      <c r="D2897">
        <v>0.98206192363650402</v>
      </c>
      <c r="E2897">
        <v>0.852369473053605</v>
      </c>
      <c r="F2897">
        <v>0.74524377104441297</v>
      </c>
      <c r="G2897">
        <v>0.48866590971428497</v>
      </c>
      <c r="H2897">
        <v>0.188772571548674</v>
      </c>
      <c r="I2897">
        <v>0.14179810361242101</v>
      </c>
      <c r="J2897">
        <v>0.108978513017569</v>
      </c>
      <c r="K2897">
        <v>8.6418919250770401E-2</v>
      </c>
      <c r="L2897">
        <v>940.636025821212</v>
      </c>
      <c r="M2897">
        <v>16.784362256242101</v>
      </c>
      <c r="N2897">
        <v>56.326099620090297</v>
      </c>
      <c r="O2897">
        <v>55.264999528186003</v>
      </c>
      <c r="P2897">
        <v>-7.2854087812213406E-2</v>
      </c>
      <c r="Q2897">
        <v>4.0530752521520899E-2</v>
      </c>
      <c r="R2897">
        <v>0.995779079375962</v>
      </c>
      <c r="S2897" t="s">
        <v>9182</v>
      </c>
      <c r="T2897" t="s">
        <v>12568</v>
      </c>
      <c r="U2897" t="s">
        <v>12568</v>
      </c>
      <c r="V2897" t="s">
        <v>12568</v>
      </c>
      <c r="W2897" t="s">
        <v>15427</v>
      </c>
      <c r="X2897">
        <v>26</v>
      </c>
      <c r="Y2897" t="s">
        <v>21579</v>
      </c>
      <c r="Z2897" t="s">
        <v>27767</v>
      </c>
      <c r="AA2897">
        <v>0.56884633345401214</v>
      </c>
      <c r="AB2897" t="str">
        <f>HYPERLINK("Melting_Curves/meltCurve_Q13177_PAK2.pdf", "Melting_Curves/meltCurve_Q13177_PAK2.pdf")</f>
        <v>Melting_Curves/meltCurve_Q13177_PAK2.pdf</v>
      </c>
    </row>
    <row r="2898" spans="1:28" x14ac:dyDescent="0.25">
      <c r="A2898" t="s">
        <v>2902</v>
      </c>
      <c r="B2898">
        <v>0.99352677808782597</v>
      </c>
      <c r="C2898">
        <v>1.0010532821267399</v>
      </c>
      <c r="D2898">
        <v>1.0170636794393999</v>
      </c>
      <c r="E2898">
        <v>0.85459673196127395</v>
      </c>
      <c r="F2898">
        <v>0.76378190485736797</v>
      </c>
      <c r="G2898">
        <v>0.61840602334864203</v>
      </c>
      <c r="H2898">
        <v>0.45274512489564001</v>
      </c>
      <c r="I2898">
        <v>0.42811911646101303</v>
      </c>
      <c r="J2898">
        <v>0.42886146330284203</v>
      </c>
      <c r="K2898">
        <v>0.36438441074205002</v>
      </c>
      <c r="L2898">
        <v>836.57844884232804</v>
      </c>
      <c r="M2898">
        <v>15.2237058904392</v>
      </c>
      <c r="N2898">
        <v>59.991644798044398</v>
      </c>
      <c r="O2898">
        <v>54.03033350746</v>
      </c>
      <c r="P2898">
        <v>-4.5028982522086897E-2</v>
      </c>
      <c r="Q2898">
        <v>0.36081295770718702</v>
      </c>
      <c r="R2898">
        <v>0.99098256050299205</v>
      </c>
      <c r="S2898" t="s">
        <v>9183</v>
      </c>
      <c r="T2898" t="s">
        <v>12568</v>
      </c>
      <c r="U2898" t="s">
        <v>12568</v>
      </c>
      <c r="V2898" t="s">
        <v>12568</v>
      </c>
      <c r="W2898" t="s">
        <v>15428</v>
      </c>
      <c r="X2898">
        <v>9</v>
      </c>
      <c r="Y2898" t="s">
        <v>21580</v>
      </c>
      <c r="Z2898" t="s">
        <v>27768</v>
      </c>
      <c r="AA2898">
        <v>0.69156125626251175</v>
      </c>
      <c r="AB2898" t="str">
        <f>HYPERLINK("Melting_Curves/meltCurve_Q13185_CBX3.pdf", "Melting_Curves/meltCurve_Q13185_CBX3.pdf")</f>
        <v>Melting_Curves/meltCurve_Q13185_CBX3.pdf</v>
      </c>
    </row>
    <row r="2899" spans="1:28" x14ac:dyDescent="0.25">
      <c r="A2899" t="s">
        <v>2903</v>
      </c>
      <c r="B2899">
        <v>0.99352677808782597</v>
      </c>
      <c r="C2899">
        <v>0.98118645712121799</v>
      </c>
      <c r="D2899">
        <v>0.92364575595964504</v>
      </c>
      <c r="E2899">
        <v>0.56990481647686098</v>
      </c>
      <c r="F2899">
        <v>0.49289660635950899</v>
      </c>
      <c r="G2899">
        <v>0.24344033597578699</v>
      </c>
      <c r="H2899">
        <v>0.18106830989151201</v>
      </c>
      <c r="I2899">
        <v>0.147877070679371</v>
      </c>
      <c r="J2899">
        <v>0.12722612511078099</v>
      </c>
      <c r="K2899">
        <v>0.108339250343076</v>
      </c>
      <c r="L2899">
        <v>826.76719235233998</v>
      </c>
      <c r="M2899">
        <v>16.131544528009499</v>
      </c>
      <c r="N2899">
        <v>52.046729949433001</v>
      </c>
      <c r="O2899">
        <v>50.483389408660301</v>
      </c>
      <c r="P2899">
        <v>-7.1166266369608197E-2</v>
      </c>
      <c r="Q2899">
        <v>0.10921326753532599</v>
      </c>
      <c r="R2899">
        <v>0.99100713822828501</v>
      </c>
      <c r="S2899" t="s">
        <v>9184</v>
      </c>
      <c r="T2899" t="s">
        <v>12568</v>
      </c>
      <c r="U2899" t="s">
        <v>12568</v>
      </c>
      <c r="V2899" t="s">
        <v>12568</v>
      </c>
      <c r="W2899" t="s">
        <v>15429</v>
      </c>
      <c r="X2899">
        <v>18</v>
      </c>
      <c r="Y2899" t="s">
        <v>21581</v>
      </c>
      <c r="Z2899" t="s">
        <v>27769</v>
      </c>
      <c r="AA2899">
        <v>0.46140531952068509</v>
      </c>
      <c r="AB2899" t="str">
        <f>HYPERLINK("Melting_Curves/meltCurve_Q13188_STK3.pdf", "Melting_Curves/meltCurve_Q13188_STK3.pdf")</f>
        <v>Melting_Curves/meltCurve_Q13188_STK3.pdf</v>
      </c>
    </row>
    <row r="2900" spans="1:28" x14ac:dyDescent="0.25">
      <c r="A2900" t="s">
        <v>2904</v>
      </c>
      <c r="B2900">
        <v>0.99352677808782597</v>
      </c>
      <c r="C2900">
        <v>0.97222285973438405</v>
      </c>
      <c r="D2900">
        <v>0.90621901780123604</v>
      </c>
      <c r="E2900">
        <v>0.61361032376299196</v>
      </c>
      <c r="F2900">
        <v>0.55057904863803298</v>
      </c>
      <c r="G2900">
        <v>0.455499858017203</v>
      </c>
      <c r="H2900">
        <v>0.382890427167002</v>
      </c>
      <c r="I2900">
        <v>0.42959998968518298</v>
      </c>
      <c r="J2900">
        <v>0.40665617976178298</v>
      </c>
      <c r="K2900">
        <v>0.37375056625905601</v>
      </c>
      <c r="L2900">
        <v>977.14507112102604</v>
      </c>
      <c r="M2900">
        <v>19.841822015158002</v>
      </c>
      <c r="N2900">
        <v>53.559624799957298</v>
      </c>
      <c r="O2900">
        <v>48.754683938901003</v>
      </c>
      <c r="P2900">
        <v>-6.11674389053532E-2</v>
      </c>
      <c r="Q2900">
        <v>0.398825361142846</v>
      </c>
      <c r="R2900">
        <v>0.98961040240343801</v>
      </c>
      <c r="S2900" t="s">
        <v>9185</v>
      </c>
      <c r="T2900" t="s">
        <v>12568</v>
      </c>
      <c r="U2900" t="s">
        <v>12568</v>
      </c>
      <c r="V2900" t="s">
        <v>12568</v>
      </c>
      <c r="W2900" t="s">
        <v>15430</v>
      </c>
      <c r="X2900">
        <v>4</v>
      </c>
      <c r="Y2900" t="s">
        <v>21582</v>
      </c>
      <c r="Z2900" t="s">
        <v>27770</v>
      </c>
      <c r="AA2900">
        <v>0.59266113647103358</v>
      </c>
      <c r="AB2900" t="str">
        <f>HYPERLINK("Melting_Curves/meltCurve_Q13190_STX5.pdf", "Melting_Curves/meltCurve_Q13190_STX5.pdf")</f>
        <v>Melting_Curves/meltCurve_Q13190_STX5.pdf</v>
      </c>
    </row>
    <row r="2901" spans="1:28" x14ac:dyDescent="0.25">
      <c r="A2901" t="s">
        <v>2905</v>
      </c>
      <c r="B2901">
        <v>0.99352677808782597</v>
      </c>
      <c r="C2901">
        <v>0.98619410958527198</v>
      </c>
      <c r="D2901">
        <v>1.0224264709250199</v>
      </c>
      <c r="E2901">
        <v>0.87503085650116696</v>
      </c>
      <c r="F2901">
        <v>0.76395925055323</v>
      </c>
      <c r="G2901">
        <v>0.66303723873693998</v>
      </c>
      <c r="H2901">
        <v>0.571054932035441</v>
      </c>
      <c r="I2901">
        <v>0.58271839486787602</v>
      </c>
      <c r="J2901">
        <v>0.59325498069419802</v>
      </c>
      <c r="K2901">
        <v>0.46350250679919802</v>
      </c>
      <c r="L2901">
        <v>875.85393536756203</v>
      </c>
      <c r="M2901">
        <v>16.363118402781701</v>
      </c>
      <c r="O2901">
        <v>52.745818294185597</v>
      </c>
      <c r="P2901">
        <v>-3.6920537897055399E-2</v>
      </c>
      <c r="Q2901">
        <v>0.52398702266925701</v>
      </c>
      <c r="R2901">
        <v>0.96847154181099304</v>
      </c>
      <c r="S2901" t="s">
        <v>9186</v>
      </c>
      <c r="T2901" t="s">
        <v>12568</v>
      </c>
      <c r="U2901" t="s">
        <v>12568</v>
      </c>
      <c r="V2901" t="s">
        <v>12568</v>
      </c>
      <c r="W2901" t="s">
        <v>15431</v>
      </c>
      <c r="X2901">
        <v>9</v>
      </c>
      <c r="Y2901" t="s">
        <v>21583</v>
      </c>
      <c r="Z2901" t="s">
        <v>27771</v>
      </c>
      <c r="AA2901">
        <v>0.74748719047474077</v>
      </c>
      <c r="AB2901" t="str">
        <f>HYPERLINK("Melting_Curves/meltCurve_Q13191_CBLB.pdf", "Melting_Curves/meltCurve_Q13191_CBLB.pdf")</f>
        <v>Melting_Curves/meltCurve_Q13191_CBLB.pdf</v>
      </c>
    </row>
    <row r="2902" spans="1:28" x14ac:dyDescent="0.25">
      <c r="A2902" t="s">
        <v>2906</v>
      </c>
      <c r="B2902">
        <v>0.99352677808782597</v>
      </c>
      <c r="C2902">
        <v>0.99167019599097495</v>
      </c>
      <c r="D2902">
        <v>0.82411327503130904</v>
      </c>
      <c r="E2902">
        <v>0.99227992817996302</v>
      </c>
      <c r="F2902">
        <v>0.72528664711358304</v>
      </c>
      <c r="G2902">
        <v>0.44442478639218402</v>
      </c>
      <c r="H2902">
        <v>0.22562748900611801</v>
      </c>
      <c r="I2902">
        <v>0.19736734777724499</v>
      </c>
      <c r="J2902">
        <v>0.18283592121373601</v>
      </c>
      <c r="K2902">
        <v>0.12269028858297799</v>
      </c>
      <c r="L2902">
        <v>1161.1999027633699</v>
      </c>
      <c r="M2902">
        <v>21.0034771349662</v>
      </c>
      <c r="N2902">
        <v>56.141913631501801</v>
      </c>
      <c r="O2902">
        <v>54.792247870208698</v>
      </c>
      <c r="P2902">
        <v>-8.27062468620436E-2</v>
      </c>
      <c r="Q2902">
        <v>0.136992761667698</v>
      </c>
      <c r="R2902">
        <v>0.97178979084296502</v>
      </c>
      <c r="S2902" t="s">
        <v>9187</v>
      </c>
      <c r="T2902" t="s">
        <v>12568</v>
      </c>
      <c r="U2902" t="s">
        <v>12568</v>
      </c>
      <c r="V2902" t="s">
        <v>12568</v>
      </c>
      <c r="W2902" t="s">
        <v>15432</v>
      </c>
      <c r="X2902">
        <v>42</v>
      </c>
      <c r="Y2902" t="s">
        <v>21584</v>
      </c>
      <c r="Z2902" t="s">
        <v>27772</v>
      </c>
      <c r="AA2902">
        <v>0.58732130427153917</v>
      </c>
      <c r="AB2902" t="str">
        <f>HYPERLINK("Melting_Curves/meltCurve_Q13200_PSMD2.pdf", "Melting_Curves/meltCurve_Q13200_PSMD2.pdf")</f>
        <v>Melting_Curves/meltCurve_Q13200_PSMD2.pdf</v>
      </c>
    </row>
    <row r="2903" spans="1:28" x14ac:dyDescent="0.25">
      <c r="A2903" t="s">
        <v>2907</v>
      </c>
      <c r="B2903">
        <v>0.99352677808782597</v>
      </c>
      <c r="C2903">
        <v>0.93286801449279699</v>
      </c>
      <c r="D2903">
        <v>1.00480069577277</v>
      </c>
      <c r="E2903">
        <v>0.88539495528163403</v>
      </c>
      <c r="F2903">
        <v>0.83750247312220905</v>
      </c>
      <c r="G2903">
        <v>0.77369291167126897</v>
      </c>
      <c r="H2903">
        <v>0.70006764659692799</v>
      </c>
      <c r="I2903">
        <v>0.68122331095081701</v>
      </c>
      <c r="J2903">
        <v>0.75810510001571596</v>
      </c>
      <c r="K2903">
        <v>0.55687107434080796</v>
      </c>
      <c r="L2903">
        <v>451.01763359820501</v>
      </c>
      <c r="M2903">
        <v>7.7680709061568898</v>
      </c>
      <c r="O2903">
        <v>54.589283016090803</v>
      </c>
      <c r="P2903">
        <v>-1.6719284352257401E-2</v>
      </c>
      <c r="Q2903">
        <v>0.53062049509543097</v>
      </c>
      <c r="R2903">
        <v>0.88418978087949796</v>
      </c>
      <c r="S2903" t="s">
        <v>9188</v>
      </c>
      <c r="T2903" t="s">
        <v>12568</v>
      </c>
      <c r="U2903" t="s">
        <v>12568</v>
      </c>
      <c r="V2903" t="s">
        <v>12568</v>
      </c>
      <c r="W2903" t="s">
        <v>15433</v>
      </c>
      <c r="X2903">
        <v>8</v>
      </c>
      <c r="Y2903" t="s">
        <v>21585</v>
      </c>
      <c r="Z2903" t="s">
        <v>27773</v>
      </c>
      <c r="AA2903">
        <v>0.81412557425642162</v>
      </c>
      <c r="AB2903" t="str">
        <f>HYPERLINK("Melting_Curves/meltCurve_Q13206_DDX10.pdf", "Melting_Curves/meltCurve_Q13206_DDX10.pdf")</f>
        <v>Melting_Curves/meltCurve_Q13206_DDX10.pdf</v>
      </c>
    </row>
    <row r="2904" spans="1:28" x14ac:dyDescent="0.25">
      <c r="A2904" t="s">
        <v>2908</v>
      </c>
      <c r="B2904">
        <v>0.99352677808782597</v>
      </c>
      <c r="C2904">
        <v>0.98824631883809899</v>
      </c>
      <c r="D2904">
        <v>0.99679655023012503</v>
      </c>
      <c r="E2904">
        <v>0.39856359348062897</v>
      </c>
      <c r="F2904">
        <v>0.33036931859903401</v>
      </c>
      <c r="G2904">
        <v>0.15775824602562299</v>
      </c>
      <c r="H2904">
        <v>0.105779832142731</v>
      </c>
      <c r="I2904">
        <v>9.7177282817991401E-2</v>
      </c>
      <c r="J2904">
        <v>7.1110700321433906E-2</v>
      </c>
      <c r="K2904">
        <v>5.8802782365798702E-2</v>
      </c>
      <c r="L2904">
        <v>1367.57629467525</v>
      </c>
      <c r="M2904">
        <v>27.624635038519301</v>
      </c>
      <c r="N2904">
        <v>49.9151861928462</v>
      </c>
      <c r="O2904">
        <v>49.248431792073802</v>
      </c>
      <c r="P2904">
        <v>-0.126014214521768</v>
      </c>
      <c r="Q2904">
        <v>0.101389564764452</v>
      </c>
      <c r="R2904">
        <v>0.97893446968525999</v>
      </c>
      <c r="S2904" t="s">
        <v>9189</v>
      </c>
      <c r="T2904" t="s">
        <v>12568</v>
      </c>
      <c r="U2904" t="s">
        <v>12568</v>
      </c>
      <c r="V2904" t="s">
        <v>12568</v>
      </c>
      <c r="W2904" t="s">
        <v>15434</v>
      </c>
      <c r="X2904">
        <v>14</v>
      </c>
      <c r="Y2904" t="s">
        <v>21586</v>
      </c>
      <c r="Z2904" t="s">
        <v>27774</v>
      </c>
      <c r="AA2904">
        <v>0.3926429789871359</v>
      </c>
      <c r="AB2904" t="str">
        <f>HYPERLINK("Melting_Curves/meltCurve_Q13217_DNAJC3.pdf", "Melting_Curves/meltCurve_Q13217_DNAJC3.pdf")</f>
        <v>Melting_Curves/meltCurve_Q13217_DNAJC3.pdf</v>
      </c>
    </row>
    <row r="2905" spans="1:28" x14ac:dyDescent="0.25">
      <c r="A2905" t="s">
        <v>2909</v>
      </c>
      <c r="B2905">
        <v>0.99352677808782597</v>
      </c>
      <c r="C2905">
        <v>0.87318712088691997</v>
      </c>
      <c r="D2905">
        <v>0.91361877762730104</v>
      </c>
      <c r="E2905">
        <v>0.63680463819190603</v>
      </c>
      <c r="F2905">
        <v>0.77775123143653802</v>
      </c>
      <c r="G2905">
        <v>0.51563824975633499</v>
      </c>
      <c r="H2905">
        <v>0.53493600640084904</v>
      </c>
      <c r="I2905">
        <v>0.61045367303240505</v>
      </c>
      <c r="J2905">
        <v>0.42536003225886299</v>
      </c>
      <c r="K2905">
        <v>0.35215386896802398</v>
      </c>
      <c r="L2905">
        <v>349.504902721517</v>
      </c>
      <c r="M2905">
        <v>6.2127937258041399</v>
      </c>
      <c r="N2905">
        <v>62.713904320084303</v>
      </c>
      <c r="O2905">
        <v>51.267378322904797</v>
      </c>
      <c r="P2905">
        <v>-2.3203280986413201E-2</v>
      </c>
      <c r="Q2905">
        <v>0.23629807610989501</v>
      </c>
      <c r="R2905">
        <v>0.86169697386466204</v>
      </c>
      <c r="S2905" t="s">
        <v>9190</v>
      </c>
      <c r="T2905" t="s">
        <v>12568</v>
      </c>
      <c r="U2905" t="s">
        <v>12568</v>
      </c>
      <c r="V2905" t="s">
        <v>12568</v>
      </c>
      <c r="W2905" t="s">
        <v>15435</v>
      </c>
      <c r="X2905">
        <v>1</v>
      </c>
      <c r="Y2905" t="s">
        <v>21587</v>
      </c>
      <c r="Z2905" t="s">
        <v>27775</v>
      </c>
      <c r="AA2905">
        <v>0.65997112451924034</v>
      </c>
      <c r="AB2905" t="str">
        <f>HYPERLINK("Melting_Curves/meltCurve_Q13219_PAPPA.pdf", "Melting_Curves/meltCurve_Q13219_PAPPA.pdf")</f>
        <v>Melting_Curves/meltCurve_Q13219_PAPPA.pdf</v>
      </c>
    </row>
    <row r="2906" spans="1:28" x14ac:dyDescent="0.25">
      <c r="A2906" t="s">
        <v>2910</v>
      </c>
      <c r="B2906">
        <v>0.99352677808782597</v>
      </c>
      <c r="C2906">
        <v>0.99920345411547795</v>
      </c>
      <c r="D2906">
        <v>0.97755469616781598</v>
      </c>
      <c r="E2906">
        <v>0.80557991191279199</v>
      </c>
      <c r="F2906">
        <v>0.67870927278612003</v>
      </c>
      <c r="G2906">
        <v>0.50902917174803997</v>
      </c>
      <c r="H2906">
        <v>0.44177543856002899</v>
      </c>
      <c r="I2906">
        <v>0.403465379134539</v>
      </c>
      <c r="J2906">
        <v>0.43703953871616003</v>
      </c>
      <c r="K2906">
        <v>0.299104495842968</v>
      </c>
      <c r="L2906">
        <v>835.49585377224605</v>
      </c>
      <c r="M2906">
        <v>15.7474801960891</v>
      </c>
      <c r="N2906">
        <v>57.572309817189897</v>
      </c>
      <c r="O2906">
        <v>52.222369917373499</v>
      </c>
      <c r="P2906">
        <v>-4.8655904828161303E-2</v>
      </c>
      <c r="Q2906">
        <v>0.35463599172583898</v>
      </c>
      <c r="R2906">
        <v>0.98492815807519496</v>
      </c>
      <c r="S2906" t="s">
        <v>9191</v>
      </c>
      <c r="T2906" t="s">
        <v>12568</v>
      </c>
      <c r="U2906" t="s">
        <v>12568</v>
      </c>
      <c r="V2906" t="s">
        <v>12568</v>
      </c>
      <c r="W2906" t="s">
        <v>15436</v>
      </c>
      <c r="X2906">
        <v>15</v>
      </c>
      <c r="Y2906" t="s">
        <v>21588</v>
      </c>
      <c r="Z2906" t="s">
        <v>27776</v>
      </c>
      <c r="AA2906">
        <v>0.64842937505938991</v>
      </c>
      <c r="AB2906" t="str">
        <f>HYPERLINK("Melting_Curves/meltCurve_Q13228_SELENBP1.pdf", "Melting_Curves/meltCurve_Q13228_SELENBP1.pdf")</f>
        <v>Melting_Curves/meltCurve_Q13228_SELENBP1.pdf</v>
      </c>
    </row>
    <row r="2907" spans="1:28" x14ac:dyDescent="0.25">
      <c r="A2907" t="s">
        <v>2911</v>
      </c>
      <c r="B2907">
        <v>0.99352677808782597</v>
      </c>
      <c r="C2907">
        <v>1.0433634827501901</v>
      </c>
      <c r="D2907">
        <v>0.94407961130637197</v>
      </c>
      <c r="E2907">
        <v>0.89915123174539502</v>
      </c>
      <c r="F2907">
        <v>0.742901221650764</v>
      </c>
      <c r="G2907">
        <v>0.59444871061524995</v>
      </c>
      <c r="H2907">
        <v>0.68484501354125504</v>
      </c>
      <c r="I2907">
        <v>0.48405656606748398</v>
      </c>
      <c r="J2907">
        <v>0.33422388542613801</v>
      </c>
      <c r="K2907">
        <v>0.187437981580068</v>
      </c>
      <c r="L2907">
        <v>526.27849143772801</v>
      </c>
      <c r="M2907">
        <v>8.47626455173131</v>
      </c>
      <c r="N2907">
        <v>62.088488674865602</v>
      </c>
      <c r="O2907">
        <v>58.921754486627499</v>
      </c>
      <c r="P2907">
        <v>-3.599681959467E-2</v>
      </c>
      <c r="Q2907">
        <v>0</v>
      </c>
      <c r="R2907">
        <v>0.93586128624303599</v>
      </c>
      <c r="S2907" t="s">
        <v>9192</v>
      </c>
      <c r="T2907" t="s">
        <v>12568</v>
      </c>
      <c r="U2907" t="s">
        <v>12568</v>
      </c>
      <c r="V2907" t="s">
        <v>12568</v>
      </c>
      <c r="W2907" t="s">
        <v>15437</v>
      </c>
      <c r="X2907">
        <v>10</v>
      </c>
      <c r="Y2907" t="s">
        <v>21589</v>
      </c>
      <c r="Z2907" t="s">
        <v>27777</v>
      </c>
      <c r="AA2907">
        <v>0.70291238807641065</v>
      </c>
      <c r="AB2907" t="str">
        <f>HYPERLINK("Melting_Curves/meltCurve_Q13232_NME3.pdf", "Melting_Curves/meltCurve_Q13232_NME3.pdf")</f>
        <v>Melting_Curves/meltCurve_Q13232_NME3.pdf</v>
      </c>
    </row>
    <row r="2908" spans="1:28" x14ac:dyDescent="0.25">
      <c r="A2908" t="s">
        <v>2912</v>
      </c>
      <c r="B2908">
        <v>0.99352677808782597</v>
      </c>
      <c r="C2908">
        <v>0.99161865002562299</v>
      </c>
      <c r="D2908">
        <v>1.0236585279464201</v>
      </c>
      <c r="E2908">
        <v>0.91352396470346997</v>
      </c>
      <c r="F2908">
        <v>0.82646950534500896</v>
      </c>
      <c r="G2908">
        <v>0.73847342393123205</v>
      </c>
      <c r="H2908">
        <v>0.61401919047732101</v>
      </c>
      <c r="I2908">
        <v>0.62954826542037801</v>
      </c>
      <c r="J2908">
        <v>0.62151252407942303</v>
      </c>
      <c r="K2908">
        <v>0.58721130198625804</v>
      </c>
      <c r="L2908">
        <v>958.99093069995297</v>
      </c>
      <c r="M2908">
        <v>17.681907772941699</v>
      </c>
      <c r="O2908">
        <v>53.556267247002999</v>
      </c>
      <c r="P2908">
        <v>-3.3636246095917602E-2</v>
      </c>
      <c r="Q2908">
        <v>0.59250174505688002</v>
      </c>
      <c r="R2908">
        <v>0.98617868977357304</v>
      </c>
      <c r="S2908" t="s">
        <v>9193</v>
      </c>
      <c r="T2908" t="s">
        <v>12568</v>
      </c>
      <c r="U2908" t="s">
        <v>12568</v>
      </c>
      <c r="V2908" t="s">
        <v>12568</v>
      </c>
      <c r="W2908" t="s">
        <v>15438</v>
      </c>
      <c r="X2908">
        <v>2</v>
      </c>
      <c r="Y2908" t="s">
        <v>21590</v>
      </c>
      <c r="Z2908" t="s">
        <v>27778</v>
      </c>
      <c r="AA2908">
        <v>0.7925136283307237</v>
      </c>
      <c r="AB2908" t="str">
        <f>HYPERLINK("Melting_Curves/meltCurve_Q13233_MAP3K1.pdf", "Melting_Curves/meltCurve_Q13233_MAP3K1.pdf")</f>
        <v>Melting_Curves/meltCurve_Q13233_MAP3K1.pdf</v>
      </c>
    </row>
    <row r="2909" spans="1:28" x14ac:dyDescent="0.25">
      <c r="A2909" t="s">
        <v>2913</v>
      </c>
      <c r="B2909">
        <v>0.99352677808782597</v>
      </c>
      <c r="C2909">
        <v>0.83858064313839698</v>
      </c>
      <c r="D2909">
        <v>1.01202433494473</v>
      </c>
      <c r="E2909">
        <v>0.76716677500453101</v>
      </c>
      <c r="F2909">
        <v>0.70028181458136296</v>
      </c>
      <c r="G2909">
        <v>0.60335506067684996</v>
      </c>
      <c r="H2909">
        <v>0.57639650563148004</v>
      </c>
      <c r="I2909">
        <v>0.67029417576126404</v>
      </c>
      <c r="J2909">
        <v>0.71907322012243702</v>
      </c>
      <c r="K2909">
        <v>0.69379463176661105</v>
      </c>
      <c r="L2909">
        <v>2243.86211640283</v>
      </c>
      <c r="M2909">
        <v>45.528748223081998</v>
      </c>
      <c r="O2909">
        <v>49.189711900851599</v>
      </c>
      <c r="P2909">
        <v>-7.93054237374409E-2</v>
      </c>
      <c r="Q2909">
        <v>0.65727095052629603</v>
      </c>
      <c r="R2909">
        <v>0.78828654103338003</v>
      </c>
      <c r="S2909" t="s">
        <v>9194</v>
      </c>
      <c r="T2909" t="s">
        <v>12568</v>
      </c>
      <c r="U2909" t="s">
        <v>12568</v>
      </c>
      <c r="V2909" t="s">
        <v>12568</v>
      </c>
      <c r="W2909" t="s">
        <v>15439</v>
      </c>
      <c r="X2909">
        <v>5</v>
      </c>
      <c r="Y2909" t="s">
        <v>21591</v>
      </c>
      <c r="Z2909" t="s">
        <v>27779</v>
      </c>
      <c r="AA2909">
        <v>0.76423983302722576</v>
      </c>
      <c r="AB2909" t="str">
        <f>HYPERLINK("Melting_Curves/meltCurve_Q13242_SRSF9.pdf", "Melting_Curves/meltCurve_Q13242_SRSF9.pdf")</f>
        <v>Melting_Curves/meltCurve_Q13242_SRSF9.pdf</v>
      </c>
    </row>
    <row r="2910" spans="1:28" x14ac:dyDescent="0.25">
      <c r="A2910" t="s">
        <v>2914</v>
      </c>
      <c r="B2910">
        <v>0.99352677808782597</v>
      </c>
      <c r="C2910">
        <v>0.963258927424684</v>
      </c>
      <c r="D2910">
        <v>1.07826452060203</v>
      </c>
      <c r="E2910">
        <v>0.90750240775267998</v>
      </c>
      <c r="F2910">
        <v>0.810477595378303</v>
      </c>
      <c r="G2910">
        <v>0.76589593733332895</v>
      </c>
      <c r="H2910">
        <v>0.95433034695830499</v>
      </c>
      <c r="I2910">
        <v>1.1232497266216099</v>
      </c>
      <c r="J2910">
        <v>1.3108322490156901</v>
      </c>
      <c r="K2910">
        <v>1.20987041485514</v>
      </c>
      <c r="L2910">
        <v>15000</v>
      </c>
      <c r="M2910">
        <v>234.268547229783</v>
      </c>
      <c r="O2910">
        <v>64.024415789668893</v>
      </c>
      <c r="P2910">
        <v>0.23816141731241</v>
      </c>
      <c r="Q2910">
        <v>1.26035326994272</v>
      </c>
      <c r="R2910">
        <v>0.56721100314384498</v>
      </c>
      <c r="S2910" t="s">
        <v>9195</v>
      </c>
      <c r="T2910" t="s">
        <v>12568</v>
      </c>
      <c r="U2910" t="s">
        <v>12568</v>
      </c>
      <c r="V2910" t="s">
        <v>12568</v>
      </c>
      <c r="W2910" t="s">
        <v>15440</v>
      </c>
      <c r="X2910">
        <v>5</v>
      </c>
      <c r="Y2910" t="s">
        <v>21592</v>
      </c>
      <c r="Z2910" t="s">
        <v>27780</v>
      </c>
      <c r="AA2910">
        <v>1.051784950294252</v>
      </c>
      <c r="AB2910" t="str">
        <f>HYPERLINK("Melting_Curves/meltCurve_Q13243_3_SRSF5.pdf", "Melting_Curves/meltCurve_Q13243_3_SRSF5.pdf")</f>
        <v>Melting_Curves/meltCurve_Q13243_3_SRSF5.pdf</v>
      </c>
    </row>
    <row r="2911" spans="1:28" x14ac:dyDescent="0.25">
      <c r="A2911" t="s">
        <v>2915</v>
      </c>
      <c r="B2911">
        <v>0.99352677808782597</v>
      </c>
      <c r="C2911">
        <v>0.95270528406862798</v>
      </c>
      <c r="D2911">
        <v>1.0164088504189399</v>
      </c>
      <c r="E2911">
        <v>0.89326738511711301</v>
      </c>
      <c r="F2911">
        <v>0.86413021979248905</v>
      </c>
      <c r="G2911">
        <v>0.77549885212992797</v>
      </c>
      <c r="H2911">
        <v>0.75626743749831904</v>
      </c>
      <c r="I2911">
        <v>0.73213580297042402</v>
      </c>
      <c r="J2911">
        <v>0.815799863869208</v>
      </c>
      <c r="K2911">
        <v>0.65081686412169104</v>
      </c>
      <c r="L2911">
        <v>774.15967594943697</v>
      </c>
      <c r="M2911">
        <v>14.662841162399101</v>
      </c>
      <c r="O2911">
        <v>51.844514155351298</v>
      </c>
      <c r="P2911">
        <v>-1.99643768840028E-2</v>
      </c>
      <c r="Q2911">
        <v>0.71767296340124398</v>
      </c>
      <c r="R2911">
        <v>0.86746358258566902</v>
      </c>
      <c r="S2911" t="s">
        <v>9196</v>
      </c>
      <c r="T2911" t="s">
        <v>12568</v>
      </c>
      <c r="U2911" t="s">
        <v>12568</v>
      </c>
      <c r="V2911" t="s">
        <v>12568</v>
      </c>
      <c r="W2911" t="s">
        <v>15441</v>
      </c>
      <c r="X2911">
        <v>11</v>
      </c>
      <c r="Y2911" t="s">
        <v>21593</v>
      </c>
      <c r="Z2911" t="s">
        <v>27781</v>
      </c>
      <c r="AA2911">
        <v>0.84443335928017882</v>
      </c>
      <c r="AB2911" t="str">
        <f>HYPERLINK("Melting_Curves/meltCurve_Q13247_3_SRSF6.pdf", "Melting_Curves/meltCurve_Q13247_3_SRSF6.pdf")</f>
        <v>Melting_Curves/meltCurve_Q13247_3_SRSF6.pdf</v>
      </c>
    </row>
    <row r="2912" spans="1:28" x14ac:dyDescent="0.25">
      <c r="A2912" t="s">
        <v>2916</v>
      </c>
      <c r="B2912">
        <v>0.99352677808782597</v>
      </c>
      <c r="C2912">
        <v>0.96657885572896196</v>
      </c>
      <c r="D2912">
        <v>0.94338992167721103</v>
      </c>
      <c r="E2912">
        <v>1.0048215735158801</v>
      </c>
      <c r="F2912">
        <v>0.96631302113064599</v>
      </c>
      <c r="G2912">
        <v>0.88791645753704995</v>
      </c>
      <c r="H2912">
        <v>0.71627927895314702</v>
      </c>
      <c r="I2912">
        <v>0.82606468005765699</v>
      </c>
      <c r="J2912">
        <v>0.76379609013902805</v>
      </c>
      <c r="K2912">
        <v>0.79893121106599896</v>
      </c>
      <c r="L2912">
        <v>14249.7783839321</v>
      </c>
      <c r="M2912">
        <v>250</v>
      </c>
      <c r="O2912">
        <v>56.9954659852216</v>
      </c>
      <c r="P2912">
        <v>-0.24533989484525001</v>
      </c>
      <c r="Q2912">
        <v>0.77626781421639601</v>
      </c>
      <c r="R2912">
        <v>0.87328819270287505</v>
      </c>
      <c r="S2912" t="s">
        <v>9197</v>
      </c>
      <c r="T2912" t="s">
        <v>12568</v>
      </c>
      <c r="U2912" t="s">
        <v>12568</v>
      </c>
      <c r="V2912" t="s">
        <v>12568</v>
      </c>
      <c r="W2912" t="s">
        <v>15442</v>
      </c>
      <c r="X2912">
        <v>1</v>
      </c>
      <c r="Y2912" t="s">
        <v>21594</v>
      </c>
      <c r="Z2912" t="s">
        <v>27782</v>
      </c>
      <c r="AA2912">
        <v>0.90306515564346279</v>
      </c>
      <c r="AB2912" t="str">
        <f>HYPERLINK("Melting_Curves/meltCurve_Q13255_GRM1.pdf", "Melting_Curves/meltCurve_Q13255_GRM1.pdf")</f>
        <v>Melting_Curves/meltCurve_Q13255_GRM1.pdf</v>
      </c>
    </row>
    <row r="2913" spans="1:28" x14ac:dyDescent="0.25">
      <c r="A2913" t="s">
        <v>2917</v>
      </c>
      <c r="B2913">
        <v>0.99352677808782597</v>
      </c>
      <c r="C2913">
        <v>0.85275304890747305</v>
      </c>
      <c r="D2913">
        <v>0.97649742243830195</v>
      </c>
      <c r="E2913">
        <v>0.93656574656451597</v>
      </c>
      <c r="F2913">
        <v>0.873243996115319</v>
      </c>
      <c r="G2913">
        <v>0.70878097359722003</v>
      </c>
      <c r="H2913">
        <v>0.38005776998526902</v>
      </c>
      <c r="I2913">
        <v>0.25689581637714998</v>
      </c>
      <c r="J2913">
        <v>0.188825623835918</v>
      </c>
      <c r="K2913">
        <v>0.11555083946714199</v>
      </c>
      <c r="L2913">
        <v>988.97042874550698</v>
      </c>
      <c r="M2913">
        <v>16.7165564828246</v>
      </c>
      <c r="N2913">
        <v>59.5637245022616</v>
      </c>
      <c r="O2913">
        <v>58.3339493343505</v>
      </c>
      <c r="P2913">
        <v>-6.7819103107140705E-2</v>
      </c>
      <c r="Q2913">
        <v>5.3418622261530997E-2</v>
      </c>
      <c r="R2913">
        <v>0.97806651501181596</v>
      </c>
      <c r="S2913" t="s">
        <v>9198</v>
      </c>
      <c r="T2913" t="s">
        <v>12568</v>
      </c>
      <c r="U2913" t="s">
        <v>12568</v>
      </c>
      <c r="V2913" t="s">
        <v>12568</v>
      </c>
      <c r="W2913" t="s">
        <v>15443</v>
      </c>
      <c r="X2913">
        <v>11</v>
      </c>
      <c r="Y2913" t="s">
        <v>21595</v>
      </c>
      <c r="Z2913" t="s">
        <v>27783</v>
      </c>
      <c r="AA2913">
        <v>0.66776572612032292</v>
      </c>
      <c r="AB2913" t="str">
        <f>HYPERLINK("Melting_Curves/meltCurve_Q13257_MAD2L1.pdf", "Melting_Curves/meltCurve_Q13257_MAD2L1.pdf")</f>
        <v>Melting_Curves/meltCurve_Q13257_MAD2L1.pdf</v>
      </c>
    </row>
    <row r="2914" spans="1:28" x14ac:dyDescent="0.25">
      <c r="A2914" t="s">
        <v>2918</v>
      </c>
      <c r="B2914">
        <v>0.99352677808782597</v>
      </c>
      <c r="C2914">
        <v>0.98615326308957096</v>
      </c>
      <c r="D2914">
        <v>0.84471059171987894</v>
      </c>
      <c r="E2914">
        <v>0.549490252440055</v>
      </c>
      <c r="F2914">
        <v>0.462904592746546</v>
      </c>
      <c r="G2914">
        <v>0.34300293889986999</v>
      </c>
      <c r="H2914">
        <v>0.2559024559884</v>
      </c>
      <c r="I2914">
        <v>0.24236802863855</v>
      </c>
      <c r="J2914">
        <v>0.234486083547851</v>
      </c>
      <c r="K2914">
        <v>0.183256407935045</v>
      </c>
      <c r="L2914">
        <v>778.61703473008299</v>
      </c>
      <c r="M2914">
        <v>15.596131452495399</v>
      </c>
      <c r="N2914">
        <v>51.754216094419597</v>
      </c>
      <c r="O2914">
        <v>49.124561461727502</v>
      </c>
      <c r="P2914">
        <v>-6.25498421081018E-2</v>
      </c>
      <c r="Q2914">
        <v>0.21199249937866099</v>
      </c>
      <c r="R2914">
        <v>0.99153860503350599</v>
      </c>
      <c r="S2914" t="s">
        <v>9199</v>
      </c>
      <c r="T2914" t="s">
        <v>12568</v>
      </c>
      <c r="U2914" t="s">
        <v>12568</v>
      </c>
      <c r="V2914" t="s">
        <v>12568</v>
      </c>
      <c r="W2914" t="s">
        <v>15444</v>
      </c>
      <c r="X2914">
        <v>33</v>
      </c>
      <c r="Y2914" t="s">
        <v>21596</v>
      </c>
      <c r="Z2914" t="s">
        <v>27784</v>
      </c>
      <c r="AA2914">
        <v>0.49022265806026311</v>
      </c>
      <c r="AB2914" t="str">
        <f>HYPERLINK("Melting_Curves/meltCurve_Q13263_TRIM28.pdf", "Melting_Curves/meltCurve_Q13263_TRIM28.pdf")</f>
        <v>Melting_Curves/meltCurve_Q13263_TRIM28.pdf</v>
      </c>
    </row>
    <row r="2915" spans="1:28" x14ac:dyDescent="0.25">
      <c r="A2915" t="s">
        <v>2919</v>
      </c>
      <c r="B2915">
        <v>0.99352677808782597</v>
      </c>
      <c r="C2915">
        <v>0.85841034457838095</v>
      </c>
      <c r="D2915">
        <v>0.90446439848058102</v>
      </c>
      <c r="E2915">
        <v>0.62899353276649494</v>
      </c>
      <c r="F2915">
        <v>0.139123351965423</v>
      </c>
      <c r="G2915">
        <v>9.1660863362779094E-2</v>
      </c>
      <c r="H2915">
        <v>4.1697637372913203E-2</v>
      </c>
      <c r="I2915">
        <v>4.2881021774603303E-2</v>
      </c>
      <c r="J2915">
        <v>2.84844991252758E-2</v>
      </c>
      <c r="K2915">
        <v>2.82983028365804E-2</v>
      </c>
      <c r="L2915">
        <v>1925.04425955996</v>
      </c>
      <c r="M2915">
        <v>38.1367777377476</v>
      </c>
      <c r="N2915">
        <v>50.585854366336299</v>
      </c>
      <c r="O2915">
        <v>50.3391890960513</v>
      </c>
      <c r="P2915">
        <v>-0.181961293085</v>
      </c>
      <c r="Q2915">
        <v>3.9272895861073499E-2</v>
      </c>
      <c r="R2915">
        <v>0.98162383863638902</v>
      </c>
      <c r="S2915" t="s">
        <v>9200</v>
      </c>
      <c r="T2915" t="s">
        <v>12568</v>
      </c>
      <c r="U2915" t="s">
        <v>12568</v>
      </c>
      <c r="V2915" t="s">
        <v>12568</v>
      </c>
      <c r="W2915" t="s">
        <v>15445</v>
      </c>
      <c r="X2915">
        <v>1</v>
      </c>
      <c r="Y2915" t="s">
        <v>21597</v>
      </c>
      <c r="Z2915" t="s">
        <v>27785</v>
      </c>
      <c r="AA2915">
        <v>0.37849376210222019</v>
      </c>
      <c r="AB2915" t="str">
        <f>HYPERLINK("Melting_Curves/meltCurve_Q13277_2_STX3.pdf", "Melting_Curves/meltCurve_Q13277_2_STX3.pdf")</f>
        <v>Melting_Curves/meltCurve_Q13277_2_STX3.pdf</v>
      </c>
    </row>
    <row r="2916" spans="1:28" x14ac:dyDescent="0.25">
      <c r="A2916" t="s">
        <v>2920</v>
      </c>
      <c r="B2916">
        <v>0.99352677808782597</v>
      </c>
      <c r="C2916">
        <v>0.99645567926803802</v>
      </c>
      <c r="D2916">
        <v>0.95880663964345703</v>
      </c>
      <c r="E2916">
        <v>0.57114231000861904</v>
      </c>
      <c r="F2916">
        <v>0.48279149327372101</v>
      </c>
      <c r="G2916">
        <v>0.258364711078787</v>
      </c>
      <c r="H2916">
        <v>0.190892064270654</v>
      </c>
      <c r="I2916">
        <v>0.191177738664778</v>
      </c>
      <c r="J2916">
        <v>0.18219811513784201</v>
      </c>
      <c r="K2916">
        <v>0.148811756974356</v>
      </c>
      <c r="L2916">
        <v>968.46844003698902</v>
      </c>
      <c r="M2916">
        <v>19.060532240443401</v>
      </c>
      <c r="N2916">
        <v>51.909523405210003</v>
      </c>
      <c r="O2916">
        <v>50.260752443062302</v>
      </c>
      <c r="P2916">
        <v>-7.9066356963961304E-2</v>
      </c>
      <c r="Q2916">
        <v>0.16607153496586</v>
      </c>
      <c r="R2916">
        <v>0.98860225902962395</v>
      </c>
      <c r="S2916" t="s">
        <v>9201</v>
      </c>
      <c r="T2916" t="s">
        <v>12568</v>
      </c>
      <c r="U2916" t="s">
        <v>12568</v>
      </c>
      <c r="V2916" t="s">
        <v>12568</v>
      </c>
      <c r="W2916" t="s">
        <v>15446</v>
      </c>
      <c r="X2916">
        <v>15</v>
      </c>
      <c r="Y2916" t="s">
        <v>21598</v>
      </c>
      <c r="Z2916" t="s">
        <v>27786</v>
      </c>
      <c r="AA2916">
        <v>0.47924164555285859</v>
      </c>
      <c r="AB2916" t="str">
        <f>HYPERLINK("Melting_Curves/meltCurve_Q13283_G3BP1.pdf", "Melting_Curves/meltCurve_Q13283_G3BP1.pdf")</f>
        <v>Melting_Curves/meltCurve_Q13283_G3BP1.pdf</v>
      </c>
    </row>
    <row r="2917" spans="1:28" x14ac:dyDescent="0.25">
      <c r="A2917" t="s">
        <v>2921</v>
      </c>
      <c r="B2917">
        <v>0.99352677808782597</v>
      </c>
      <c r="C2917">
        <v>1.0024504244131001</v>
      </c>
      <c r="D2917">
        <v>0.94564970005586002</v>
      </c>
      <c r="E2917">
        <v>0.80418500710822205</v>
      </c>
      <c r="F2917">
        <v>0.681865065449759</v>
      </c>
      <c r="G2917">
        <v>0.38623517168180999</v>
      </c>
      <c r="H2917">
        <v>0.175985316380639</v>
      </c>
      <c r="I2917">
        <v>0.15444176101153301</v>
      </c>
      <c r="J2917">
        <v>0.14925083406117301</v>
      </c>
      <c r="K2917">
        <v>0.112641347193929</v>
      </c>
      <c r="L2917">
        <v>924.389673327222</v>
      </c>
      <c r="M2917">
        <v>16.974525339015599</v>
      </c>
      <c r="N2917">
        <v>55.0950213042901</v>
      </c>
      <c r="O2917">
        <v>53.718505363252298</v>
      </c>
      <c r="P2917">
        <v>-7.1958021808996894E-2</v>
      </c>
      <c r="Q2917">
        <v>8.9167545009240096E-2</v>
      </c>
      <c r="R2917">
        <v>0.99642352438061099</v>
      </c>
      <c r="S2917" t="s">
        <v>9202</v>
      </c>
      <c r="T2917" t="s">
        <v>12568</v>
      </c>
      <c r="U2917" t="s">
        <v>12568</v>
      </c>
      <c r="V2917" t="s">
        <v>12568</v>
      </c>
      <c r="W2917" t="s">
        <v>15447</v>
      </c>
      <c r="X2917">
        <v>9</v>
      </c>
      <c r="Y2917" t="s">
        <v>21599</v>
      </c>
      <c r="Z2917" t="s">
        <v>27787</v>
      </c>
      <c r="AA2917">
        <v>0.54370086568082898</v>
      </c>
      <c r="AB2917" t="str">
        <f>HYPERLINK("Melting_Curves/meltCurve_Q13287_NMI.pdf", "Melting_Curves/meltCurve_Q13287_NMI.pdf")</f>
        <v>Melting_Curves/meltCurve_Q13287_NMI.pdf</v>
      </c>
    </row>
    <row r="2918" spans="1:28" x14ac:dyDescent="0.25">
      <c r="A2918" t="s">
        <v>2922</v>
      </c>
      <c r="B2918">
        <v>0.99352677808782597</v>
      </c>
      <c r="C2918">
        <v>1.0122631588280799</v>
      </c>
      <c r="D2918">
        <v>0.94813136828298505</v>
      </c>
      <c r="E2918">
        <v>1.1060699154568301</v>
      </c>
      <c r="F2918">
        <v>0.96862807134085704</v>
      </c>
      <c r="G2918">
        <v>0.819213354789051</v>
      </c>
      <c r="H2918">
        <v>0.79389303856062599</v>
      </c>
      <c r="I2918">
        <v>0.54228145675364603</v>
      </c>
      <c r="J2918">
        <v>0.26644827678678101</v>
      </c>
      <c r="K2918">
        <v>0.19334788249639001</v>
      </c>
      <c r="L2918">
        <v>1219.4913556639899</v>
      </c>
      <c r="M2918">
        <v>18.963207616007701</v>
      </c>
      <c r="N2918">
        <v>64.308285058086199</v>
      </c>
      <c r="O2918">
        <v>63.605935497070703</v>
      </c>
      <c r="P2918">
        <v>-7.4536938073802697E-2</v>
      </c>
      <c r="Q2918">
        <v>0</v>
      </c>
      <c r="R2918">
        <v>0.965867454567234</v>
      </c>
      <c r="S2918" t="s">
        <v>9203</v>
      </c>
      <c r="T2918" t="s">
        <v>12568</v>
      </c>
      <c r="U2918" t="s">
        <v>12568</v>
      </c>
      <c r="V2918" t="s">
        <v>12568</v>
      </c>
      <c r="W2918" t="s">
        <v>15448</v>
      </c>
      <c r="X2918">
        <v>7</v>
      </c>
      <c r="Y2918" t="s">
        <v>21600</v>
      </c>
      <c r="Z2918" t="s">
        <v>27788</v>
      </c>
      <c r="AA2918">
        <v>0.80088078638376481</v>
      </c>
      <c r="AB2918" t="str">
        <f>HYPERLINK("Melting_Curves/meltCurve_Q13303_2_KCNAB2.pdf", "Melting_Curves/meltCurve_Q13303_2_KCNAB2.pdf")</f>
        <v>Melting_Curves/meltCurve_Q13303_2_KCNAB2.pdf</v>
      </c>
    </row>
    <row r="2919" spans="1:28" x14ac:dyDescent="0.25">
      <c r="A2919" t="s">
        <v>2923</v>
      </c>
      <c r="B2919">
        <v>0.99352677808782597</v>
      </c>
      <c r="C2919">
        <v>0.94706990822121395</v>
      </c>
      <c r="D2919">
        <v>0.94252501357414797</v>
      </c>
      <c r="E2919">
        <v>0.76430307925418595</v>
      </c>
      <c r="F2919">
        <v>0.71691550669265602</v>
      </c>
      <c r="G2919">
        <v>0.483775496329858</v>
      </c>
      <c r="H2919">
        <v>0.273487246867268</v>
      </c>
      <c r="I2919">
        <v>0.2426909260098</v>
      </c>
      <c r="J2919">
        <v>0.24134056911628099</v>
      </c>
      <c r="K2919">
        <v>0.18741944279397699</v>
      </c>
      <c r="L2919">
        <v>700.92647546215596</v>
      </c>
      <c r="M2919">
        <v>12.746535812753599</v>
      </c>
      <c r="N2919">
        <v>56.327516757198801</v>
      </c>
      <c r="O2919">
        <v>53.688824357023798</v>
      </c>
      <c r="P2919">
        <v>-5.1611092461459E-2</v>
      </c>
      <c r="Q2919">
        <v>0.130615607748369</v>
      </c>
      <c r="R2919">
        <v>0.99051960393261995</v>
      </c>
      <c r="S2919" t="s">
        <v>9204</v>
      </c>
      <c r="T2919" t="s">
        <v>12568</v>
      </c>
      <c r="U2919" t="s">
        <v>12568</v>
      </c>
      <c r="V2919" t="s">
        <v>12568</v>
      </c>
      <c r="W2919" t="s">
        <v>15449</v>
      </c>
      <c r="X2919">
        <v>4</v>
      </c>
      <c r="Y2919" t="s">
        <v>21601</v>
      </c>
      <c r="Z2919" t="s">
        <v>27789</v>
      </c>
      <c r="AA2919">
        <v>0.58452408233124276</v>
      </c>
      <c r="AB2919" t="str">
        <f>HYPERLINK("Melting_Curves/meltCurve_Q13308_3_PTK7.pdf", "Melting_Curves/meltCurve_Q13308_3_PTK7.pdf")</f>
        <v>Melting_Curves/meltCurve_Q13308_3_PTK7.pdf</v>
      </c>
    </row>
    <row r="2920" spans="1:28" x14ac:dyDescent="0.25">
      <c r="A2920" t="s">
        <v>2924</v>
      </c>
      <c r="B2920">
        <v>0.99352677808782597</v>
      </c>
      <c r="C2920">
        <v>0.68697388735495402</v>
      </c>
      <c r="D2920">
        <v>0.88920640733993594</v>
      </c>
      <c r="E2920">
        <v>0.45964771453140502</v>
      </c>
      <c r="F2920">
        <v>0.33139247976351999</v>
      </c>
      <c r="G2920">
        <v>0.28809745849560198</v>
      </c>
      <c r="H2920">
        <v>0.10621241146419801</v>
      </c>
      <c r="I2920">
        <v>9.26787183196119E-2</v>
      </c>
      <c r="J2920">
        <v>4.19236080438148E-2</v>
      </c>
      <c r="K2920">
        <v>6.6154798735908404E-2</v>
      </c>
      <c r="L2920">
        <v>531.59116515901496</v>
      </c>
      <c r="M2920">
        <v>10.575979988913099</v>
      </c>
      <c r="N2920">
        <v>50.264010113886897</v>
      </c>
      <c r="O2920">
        <v>48.566765571984803</v>
      </c>
      <c r="P2920">
        <v>-5.4461783867813002E-2</v>
      </c>
      <c r="Q2920">
        <v>0</v>
      </c>
      <c r="R2920">
        <v>0.93766445382069397</v>
      </c>
      <c r="S2920" t="s">
        <v>9205</v>
      </c>
      <c r="T2920" t="s">
        <v>12568</v>
      </c>
      <c r="U2920" t="s">
        <v>12568</v>
      </c>
      <c r="V2920" t="s">
        <v>12568</v>
      </c>
      <c r="W2920" t="s">
        <v>15450</v>
      </c>
      <c r="X2920">
        <v>1</v>
      </c>
      <c r="Y2920" t="s">
        <v>21602</v>
      </c>
      <c r="Z2920" t="s">
        <v>27790</v>
      </c>
      <c r="AA2920">
        <v>0.38312657091393132</v>
      </c>
      <c r="AB2920" t="str">
        <f>HYPERLINK("Melting_Curves/meltCurve_Q13309_2_SKP2.pdf", "Melting_Curves/meltCurve_Q13309_2_SKP2.pdf")</f>
        <v>Melting_Curves/meltCurve_Q13309_2_SKP2.pdf</v>
      </c>
    </row>
    <row r="2921" spans="1:28" x14ac:dyDescent="0.25">
      <c r="A2921" t="s">
        <v>2925</v>
      </c>
      <c r="B2921">
        <v>0.99352677808782597</v>
      </c>
      <c r="C2921">
        <v>0.97789484749608602</v>
      </c>
      <c r="D2921">
        <v>0.99183632007754496</v>
      </c>
      <c r="E2921">
        <v>0.43785974277747503</v>
      </c>
      <c r="F2921">
        <v>0.38689152005796901</v>
      </c>
      <c r="G2921">
        <v>0.24363568931320601</v>
      </c>
      <c r="H2921">
        <v>0.18755175699509499</v>
      </c>
      <c r="I2921">
        <v>0.180055152829943</v>
      </c>
      <c r="J2921">
        <v>0.13327176121024401</v>
      </c>
      <c r="K2921">
        <v>0.107298713520247</v>
      </c>
      <c r="L2921">
        <v>1284.8743827178801</v>
      </c>
      <c r="M2921">
        <v>25.9567304800022</v>
      </c>
      <c r="N2921">
        <v>50.304672667552303</v>
      </c>
      <c r="O2921">
        <v>49.2096199656498</v>
      </c>
      <c r="P2921">
        <v>-0.10947947415855901</v>
      </c>
      <c r="Q2921">
        <v>0.16979052648969301</v>
      </c>
      <c r="R2921">
        <v>0.97371419148882699</v>
      </c>
      <c r="S2921" t="s">
        <v>9206</v>
      </c>
      <c r="T2921" t="s">
        <v>12568</v>
      </c>
      <c r="U2921" t="s">
        <v>12568</v>
      </c>
      <c r="V2921" t="s">
        <v>12568</v>
      </c>
      <c r="W2921" t="s">
        <v>15451</v>
      </c>
      <c r="X2921">
        <v>24</v>
      </c>
      <c r="Y2921" t="s">
        <v>21603</v>
      </c>
      <c r="Z2921" t="s">
        <v>27791</v>
      </c>
      <c r="AA2921">
        <v>0.43954906780095371</v>
      </c>
      <c r="AB2921" t="str">
        <f>HYPERLINK("Melting_Curves/meltCurve_Q13310_3_PABPC4.pdf", "Melting_Curves/meltCurve_Q13310_3_PABPC4.pdf")</f>
        <v>Melting_Curves/meltCurve_Q13310_3_PABPC4.pdf</v>
      </c>
    </row>
    <row r="2922" spans="1:28" x14ac:dyDescent="0.25">
      <c r="A2922" t="s">
        <v>2926</v>
      </c>
      <c r="B2922">
        <v>0.99352677808782597</v>
      </c>
      <c r="C2922">
        <v>1.0010758528108501</v>
      </c>
      <c r="D2922">
        <v>1.00819294228411</v>
      </c>
      <c r="E2922">
        <v>0.96970351376450303</v>
      </c>
      <c r="F2922">
        <v>0.674929586479872</v>
      </c>
      <c r="G2922">
        <v>0.29932668987095101</v>
      </c>
      <c r="H2922">
        <v>0.17552409813135</v>
      </c>
      <c r="I2922">
        <v>0.21719078214058499</v>
      </c>
      <c r="J2922">
        <v>8.0298133353605805E-2</v>
      </c>
      <c r="K2922">
        <v>8.3416643585920103E-2</v>
      </c>
      <c r="L2922">
        <v>1547.20228222626</v>
      </c>
      <c r="M2922">
        <v>28.5561580963601</v>
      </c>
      <c r="N2922">
        <v>54.7357949696489</v>
      </c>
      <c r="O2922">
        <v>53.917420680038099</v>
      </c>
      <c r="P2922">
        <v>-0.115770659420006</v>
      </c>
      <c r="Q2922">
        <v>0.12565189196804799</v>
      </c>
      <c r="R2922">
        <v>0.99120283593004199</v>
      </c>
      <c r="S2922" t="s">
        <v>9207</v>
      </c>
      <c r="T2922" t="s">
        <v>12568</v>
      </c>
      <c r="U2922" t="s">
        <v>12568</v>
      </c>
      <c r="V2922" t="s">
        <v>12568</v>
      </c>
      <c r="W2922" t="s">
        <v>15452</v>
      </c>
      <c r="X2922">
        <v>4</v>
      </c>
      <c r="Y2922" t="s">
        <v>21604</v>
      </c>
      <c r="Z2922" t="s">
        <v>27792</v>
      </c>
      <c r="AA2922">
        <v>0.54528097616687676</v>
      </c>
      <c r="AB2922" t="str">
        <f>HYPERLINK("Melting_Curves/meltCurve_Q13315_ATM.pdf", "Melting_Curves/meltCurve_Q13315_ATM.pdf")</f>
        <v>Melting_Curves/meltCurve_Q13315_ATM.pdf</v>
      </c>
    </row>
    <row r="2923" spans="1:28" x14ac:dyDescent="0.25">
      <c r="A2923" t="s">
        <v>2927</v>
      </c>
      <c r="B2923">
        <v>0.99352677808782597</v>
      </c>
      <c r="C2923">
        <v>0.93044867897592998</v>
      </c>
      <c r="D2923">
        <v>0.89656927257311203</v>
      </c>
      <c r="E2923">
        <v>0.68291468150655499</v>
      </c>
      <c r="F2923">
        <v>0.60941044291700797</v>
      </c>
      <c r="G2923">
        <v>0.53673891994979905</v>
      </c>
      <c r="H2923">
        <v>0.45467667336751999</v>
      </c>
      <c r="I2923">
        <v>0.48756312051060802</v>
      </c>
      <c r="J2923">
        <v>0.40442027532706998</v>
      </c>
      <c r="K2923">
        <v>0.38264205384821098</v>
      </c>
      <c r="L2923">
        <v>623.26733885205397</v>
      </c>
      <c r="M2923">
        <v>12.3206721005284</v>
      </c>
      <c r="N2923">
        <v>57.882380662061998</v>
      </c>
      <c r="O2923">
        <v>49.309858063895398</v>
      </c>
      <c r="P2923">
        <v>-3.7851269952381097E-2</v>
      </c>
      <c r="Q2923">
        <v>0.394177739070386</v>
      </c>
      <c r="R2923">
        <v>0.98473099629929095</v>
      </c>
      <c r="S2923" t="s">
        <v>9208</v>
      </c>
      <c r="T2923" t="s">
        <v>12568</v>
      </c>
      <c r="U2923" t="s">
        <v>12568</v>
      </c>
      <c r="V2923" t="s">
        <v>12568</v>
      </c>
      <c r="W2923" t="s">
        <v>15453</v>
      </c>
      <c r="X2923">
        <v>6</v>
      </c>
      <c r="Y2923" t="s">
        <v>21605</v>
      </c>
      <c r="Z2923" t="s">
        <v>27793</v>
      </c>
      <c r="AA2923">
        <v>0.62744485713997034</v>
      </c>
      <c r="AB2923" t="str">
        <f>HYPERLINK("Melting_Curves/meltCurve_Q13322_2_GRB10.pdf", "Melting_Curves/meltCurve_Q13322_2_GRB10.pdf")</f>
        <v>Melting_Curves/meltCurve_Q13322_2_GRB10.pdf</v>
      </c>
    </row>
    <row r="2924" spans="1:28" x14ac:dyDescent="0.25">
      <c r="A2924" t="s">
        <v>2928</v>
      </c>
      <c r="B2924">
        <v>0.99352677808782597</v>
      </c>
      <c r="C2924">
        <v>0.93180123446034302</v>
      </c>
      <c r="D2924">
        <v>0.83209315289974894</v>
      </c>
      <c r="E2924">
        <v>0.24829379492583101</v>
      </c>
      <c r="F2924">
        <v>0.19785604882925201</v>
      </c>
      <c r="G2924">
        <v>0.11178620508208099</v>
      </c>
      <c r="H2924">
        <v>8.11881708597951E-2</v>
      </c>
      <c r="I2924">
        <v>7.6720142549916395E-2</v>
      </c>
      <c r="J2924">
        <v>7.0171074491859498E-2</v>
      </c>
      <c r="K2924">
        <v>5.4849596979031898E-2</v>
      </c>
      <c r="L2924">
        <v>1478.98138079301</v>
      </c>
      <c r="M2924">
        <v>30.840830584663401</v>
      </c>
      <c r="N2924">
        <v>48.245959486584503</v>
      </c>
      <c r="O2924">
        <v>47.755042191216901</v>
      </c>
      <c r="P2924">
        <v>-0.14776620035011301</v>
      </c>
      <c r="Q2924">
        <v>8.4779678368924805E-2</v>
      </c>
      <c r="R2924">
        <v>0.99257475607361401</v>
      </c>
      <c r="S2924" t="s">
        <v>9209</v>
      </c>
      <c r="T2924" t="s">
        <v>12568</v>
      </c>
      <c r="U2924" t="s">
        <v>12568</v>
      </c>
      <c r="V2924" t="s">
        <v>12568</v>
      </c>
      <c r="W2924" t="s">
        <v>15454</v>
      </c>
      <c r="X2924">
        <v>8</v>
      </c>
      <c r="Y2924" t="s">
        <v>21606</v>
      </c>
      <c r="Z2924" t="s">
        <v>27794</v>
      </c>
      <c r="AA2924">
        <v>0.33267223573548371</v>
      </c>
      <c r="AB2924" t="str">
        <f>HYPERLINK("Melting_Curves/meltCurve_Q13325_IFIT5.pdf", "Melting_Curves/meltCurve_Q13325_IFIT5.pdf")</f>
        <v>Melting_Curves/meltCurve_Q13325_IFIT5.pdf</v>
      </c>
    </row>
    <row r="2925" spans="1:28" x14ac:dyDescent="0.25">
      <c r="A2925" t="s">
        <v>2929</v>
      </c>
      <c r="B2925">
        <v>0.99352677808782597</v>
      </c>
      <c r="C2925">
        <v>0.95507082274834199</v>
      </c>
      <c r="D2925">
        <v>0.78619634439085395</v>
      </c>
      <c r="E2925">
        <v>0.38716573966273199</v>
      </c>
      <c r="F2925">
        <v>0.29894610035433999</v>
      </c>
      <c r="G2925">
        <v>0.14950227848529299</v>
      </c>
      <c r="H2925">
        <v>8.2869428312233206E-2</v>
      </c>
      <c r="I2925">
        <v>6.4310953638534299E-2</v>
      </c>
      <c r="J2925">
        <v>5.9927589729526498E-2</v>
      </c>
      <c r="K2925">
        <v>3.9692302752528101E-2</v>
      </c>
      <c r="L2925">
        <v>866.22889159760302</v>
      </c>
      <c r="M2925">
        <v>17.6839977806682</v>
      </c>
      <c r="N2925">
        <v>49.310941380037796</v>
      </c>
      <c r="O2925">
        <v>48.370264814882901</v>
      </c>
      <c r="P2925">
        <v>-8.6344338113568495E-2</v>
      </c>
      <c r="Q2925">
        <v>5.5354443677789897E-2</v>
      </c>
      <c r="R2925">
        <v>0.99448033653614498</v>
      </c>
      <c r="S2925" t="s">
        <v>9210</v>
      </c>
      <c r="T2925" t="s">
        <v>12568</v>
      </c>
      <c r="U2925" t="s">
        <v>12568</v>
      </c>
      <c r="V2925" t="s">
        <v>12568</v>
      </c>
      <c r="W2925" t="s">
        <v>15455</v>
      </c>
      <c r="X2925">
        <v>10</v>
      </c>
      <c r="Y2925" t="s">
        <v>21607</v>
      </c>
      <c r="Z2925" t="s">
        <v>27795</v>
      </c>
      <c r="AA2925">
        <v>0.35519167876457602</v>
      </c>
      <c r="AB2925" t="str">
        <f>HYPERLINK("Melting_Curves/meltCurve_Q13330_3_MTA1.pdf", "Melting_Curves/meltCurve_Q13330_3_MTA1.pdf")</f>
        <v>Melting_Curves/meltCurve_Q13330_3_MTA1.pdf</v>
      </c>
    </row>
    <row r="2926" spans="1:28" x14ac:dyDescent="0.25">
      <c r="A2926" t="s">
        <v>2930</v>
      </c>
      <c r="B2926">
        <v>0.99352677808782597</v>
      </c>
      <c r="C2926">
        <v>1.1244519537945501</v>
      </c>
      <c r="D2926">
        <v>0.97040077760482102</v>
      </c>
      <c r="E2926">
        <v>0.75414737919298303</v>
      </c>
      <c r="F2926">
        <v>0.76169992702414502</v>
      </c>
      <c r="G2926">
        <v>0.48413017459145902</v>
      </c>
      <c r="H2926">
        <v>0.40967824292417898</v>
      </c>
      <c r="I2926">
        <v>0.37249959508088698</v>
      </c>
      <c r="J2926">
        <v>0.38817848501150598</v>
      </c>
      <c r="K2926">
        <v>0.36230210121992401</v>
      </c>
      <c r="L2926">
        <v>918.63071219378196</v>
      </c>
      <c r="M2926">
        <v>17.256798467039399</v>
      </c>
      <c r="N2926">
        <v>57.255621907759597</v>
      </c>
      <c r="O2926">
        <v>52.533553097485097</v>
      </c>
      <c r="P2926">
        <v>-5.32792394593114E-2</v>
      </c>
      <c r="Q2926">
        <v>0.35126208318074498</v>
      </c>
      <c r="R2926">
        <v>0.95885071822937096</v>
      </c>
      <c r="S2926" t="s">
        <v>9211</v>
      </c>
      <c r="T2926" t="s">
        <v>12568</v>
      </c>
      <c r="U2926" t="s">
        <v>12568</v>
      </c>
      <c r="V2926" t="s">
        <v>12568</v>
      </c>
      <c r="W2926" t="s">
        <v>15456</v>
      </c>
      <c r="X2926">
        <v>4</v>
      </c>
      <c r="Y2926" t="s">
        <v>21608</v>
      </c>
      <c r="Z2926" t="s">
        <v>27796</v>
      </c>
      <c r="AA2926">
        <v>0.64870780918932669</v>
      </c>
      <c r="AB2926" t="str">
        <f>HYPERLINK("Melting_Curves/meltCurve_Q13332_6_PTPRS.pdf", "Melting_Curves/meltCurve_Q13332_6_PTPRS.pdf")</f>
        <v>Melting_Curves/meltCurve_Q13332_6_PTPRS.pdf</v>
      </c>
    </row>
    <row r="2927" spans="1:28" x14ac:dyDescent="0.25">
      <c r="A2927" t="s">
        <v>2931</v>
      </c>
      <c r="B2927">
        <v>0.99352677808782597</v>
      </c>
      <c r="C2927">
        <v>0.86869446919571602</v>
      </c>
      <c r="D2927">
        <v>0.67078541390531499</v>
      </c>
      <c r="E2927">
        <v>0.31515799270765399</v>
      </c>
      <c r="F2927">
        <v>0.26490947696295503</v>
      </c>
      <c r="G2927">
        <v>0.16000439776271699</v>
      </c>
      <c r="H2927">
        <v>0.11891853078140401</v>
      </c>
      <c r="I2927">
        <v>0.11957200292098701</v>
      </c>
      <c r="J2927">
        <v>7.0843197161888694E-2</v>
      </c>
      <c r="K2927">
        <v>5.7629306025886298E-2</v>
      </c>
      <c r="L2927">
        <v>798.06019072096296</v>
      </c>
      <c r="M2927">
        <v>16.812867365769499</v>
      </c>
      <c r="N2927">
        <v>48.018170569631003</v>
      </c>
      <c r="O2927">
        <v>46.810982671706398</v>
      </c>
      <c r="P2927">
        <v>-8.1920112067395898E-2</v>
      </c>
      <c r="Q2927">
        <v>8.7719822899126401E-2</v>
      </c>
      <c r="R2927">
        <v>0.99310060307779802</v>
      </c>
      <c r="S2927" t="s">
        <v>9212</v>
      </c>
      <c r="T2927" t="s">
        <v>12568</v>
      </c>
      <c r="U2927" t="s">
        <v>12568</v>
      </c>
      <c r="V2927" t="s">
        <v>12568</v>
      </c>
      <c r="W2927" t="s">
        <v>15457</v>
      </c>
      <c r="X2927">
        <v>9</v>
      </c>
      <c r="Y2927" t="s">
        <v>21609</v>
      </c>
      <c r="Z2927" t="s">
        <v>27797</v>
      </c>
      <c r="AA2927">
        <v>0.33384799405701931</v>
      </c>
      <c r="AB2927" t="str">
        <f>HYPERLINK("Melting_Curves/meltCurve_Q13347_EIF3I.pdf", "Melting_Curves/meltCurve_Q13347_EIF3I.pdf")</f>
        <v>Melting_Curves/meltCurve_Q13347_EIF3I.pdf</v>
      </c>
    </row>
    <row r="2928" spans="1:28" x14ac:dyDescent="0.25">
      <c r="A2928" t="s">
        <v>2932</v>
      </c>
      <c r="B2928">
        <v>0.99352677808782597</v>
      </c>
      <c r="C2928">
        <v>0.92439240045908999</v>
      </c>
      <c r="D2928">
        <v>0.78881565100601303</v>
      </c>
      <c r="E2928">
        <v>0.32155461783514899</v>
      </c>
      <c r="F2928">
        <v>0.28352213049806602</v>
      </c>
      <c r="G2928">
        <v>0.16081745691123001</v>
      </c>
      <c r="H2928">
        <v>0.116777179356075</v>
      </c>
      <c r="I2928">
        <v>0.107942642071649</v>
      </c>
      <c r="J2928">
        <v>8.2271856498639107E-2</v>
      </c>
      <c r="K2928">
        <v>6.3913416175437901E-2</v>
      </c>
      <c r="L2928">
        <v>985.77550006747197</v>
      </c>
      <c r="M2928">
        <v>20.451936933991401</v>
      </c>
      <c r="N2928">
        <v>48.718280390929799</v>
      </c>
      <c r="O2928">
        <v>47.745899836341202</v>
      </c>
      <c r="P2928">
        <v>-9.6614118928179393E-2</v>
      </c>
      <c r="Q2928">
        <v>9.7828116372716406E-2</v>
      </c>
      <c r="R2928">
        <v>0.98992328556790499</v>
      </c>
      <c r="S2928" t="s">
        <v>9213</v>
      </c>
      <c r="T2928" t="s">
        <v>12568</v>
      </c>
      <c r="U2928" t="s">
        <v>12568</v>
      </c>
      <c r="V2928" t="s">
        <v>12568</v>
      </c>
      <c r="W2928" t="s">
        <v>15458</v>
      </c>
      <c r="X2928">
        <v>12</v>
      </c>
      <c r="Y2928" t="s">
        <v>21610</v>
      </c>
      <c r="Z2928" t="s">
        <v>27798</v>
      </c>
      <c r="AA2928">
        <v>0.35659537403879199</v>
      </c>
      <c r="AB2928" t="str">
        <f>HYPERLINK("Melting_Curves/meltCurve_Q13362_4_PPP2R5C.pdf", "Melting_Curves/meltCurve_Q13362_4_PPP2R5C.pdf")</f>
        <v>Melting_Curves/meltCurve_Q13362_4_PPP2R5C.pdf</v>
      </c>
    </row>
    <row r="2929" spans="1:28" x14ac:dyDescent="0.25">
      <c r="A2929" t="s">
        <v>2933</v>
      </c>
      <c r="B2929">
        <v>0.99352677808782597</v>
      </c>
      <c r="C2929">
        <v>0.95914186828269299</v>
      </c>
      <c r="D2929">
        <v>0.89778164963666396</v>
      </c>
      <c r="E2929">
        <v>0.30830219442677798</v>
      </c>
      <c r="F2929">
        <v>0.237574318622195</v>
      </c>
      <c r="G2929">
        <v>0.13779536303218701</v>
      </c>
      <c r="H2929">
        <v>7.49838403954666E-2</v>
      </c>
      <c r="I2929">
        <v>6.6115112257803907E-2</v>
      </c>
      <c r="J2929">
        <v>5.5953700867836097E-2</v>
      </c>
      <c r="K2929">
        <v>3.7279524099416303E-2</v>
      </c>
      <c r="L2929">
        <v>1428.6778295044201</v>
      </c>
      <c r="M2929">
        <v>29.378869819852302</v>
      </c>
      <c r="N2929">
        <v>48.919341861868403</v>
      </c>
      <c r="O2929">
        <v>48.405794978107203</v>
      </c>
      <c r="P2929">
        <v>-0.13961036067266699</v>
      </c>
      <c r="Q2929">
        <v>7.9896196633842703E-2</v>
      </c>
      <c r="R2929">
        <v>0.98844180130211101</v>
      </c>
      <c r="S2929" t="s">
        <v>9214</v>
      </c>
      <c r="T2929" t="s">
        <v>12568</v>
      </c>
      <c r="U2929" t="s">
        <v>12568</v>
      </c>
      <c r="V2929" t="s">
        <v>12568</v>
      </c>
      <c r="W2929" t="s">
        <v>15459</v>
      </c>
      <c r="X2929">
        <v>13</v>
      </c>
      <c r="Y2929" t="s">
        <v>21611</v>
      </c>
      <c r="Z2929" t="s">
        <v>27799</v>
      </c>
      <c r="AA2929">
        <v>0.350384076947933</v>
      </c>
      <c r="AB2929" t="str">
        <f>HYPERLINK("Melting_Curves/meltCurve_Q13363_2_CTBP1.pdf", "Melting_Curves/meltCurve_Q13363_2_CTBP1.pdf")</f>
        <v>Melting_Curves/meltCurve_Q13363_2_CTBP1.pdf</v>
      </c>
    </row>
    <row r="2930" spans="1:28" x14ac:dyDescent="0.25">
      <c r="A2930" t="s">
        <v>2934</v>
      </c>
      <c r="B2930">
        <v>0.99352677808782597</v>
      </c>
      <c r="C2930">
        <v>0.94044773518637603</v>
      </c>
      <c r="D2930">
        <v>0.92464620371558404</v>
      </c>
      <c r="E2930">
        <v>1.1232606416024</v>
      </c>
      <c r="F2930">
        <v>1.0009459092580599</v>
      </c>
      <c r="G2930">
        <v>0.78901433562470102</v>
      </c>
      <c r="H2930">
        <v>0.57016344291084997</v>
      </c>
      <c r="I2930">
        <v>0.511090864896248</v>
      </c>
      <c r="J2930">
        <v>0.46235079240432903</v>
      </c>
      <c r="K2930">
        <v>0.36980183680450701</v>
      </c>
      <c r="L2930">
        <v>1510.51324237872</v>
      </c>
      <c r="M2930">
        <v>25.706609590003499</v>
      </c>
      <c r="N2930">
        <v>62.983128036926601</v>
      </c>
      <c r="O2930">
        <v>58.407596651581798</v>
      </c>
      <c r="P2930">
        <v>-6.4830528174924101E-2</v>
      </c>
      <c r="Q2930">
        <v>0.410805261711223</v>
      </c>
      <c r="R2930">
        <v>0.94925549112117402</v>
      </c>
      <c r="S2930" t="s">
        <v>9215</v>
      </c>
      <c r="T2930" t="s">
        <v>12568</v>
      </c>
      <c r="U2930" t="s">
        <v>12568</v>
      </c>
      <c r="V2930" t="s">
        <v>12568</v>
      </c>
      <c r="W2930" t="s">
        <v>15460</v>
      </c>
      <c r="X2930">
        <v>8</v>
      </c>
      <c r="Y2930" t="s">
        <v>21612</v>
      </c>
      <c r="Z2930" t="s">
        <v>27800</v>
      </c>
      <c r="AA2930">
        <v>0.78398470088219141</v>
      </c>
      <c r="AB2930" t="str">
        <f>HYPERLINK("Melting_Curves/meltCurve_Q13371_PDCL.pdf", "Melting_Curves/meltCurve_Q13371_PDCL.pdf")</f>
        <v>Melting_Curves/meltCurve_Q13371_PDCL.pdf</v>
      </c>
    </row>
    <row r="2931" spans="1:28" x14ac:dyDescent="0.25">
      <c r="A2931" t="s">
        <v>2935</v>
      </c>
      <c r="B2931">
        <v>0.99352677808782597</v>
      </c>
      <c r="C2931">
        <v>0.89195627615936002</v>
      </c>
      <c r="D2931">
        <v>0.82616909545916195</v>
      </c>
      <c r="E2931">
        <v>0.83834037554011598</v>
      </c>
      <c r="F2931">
        <v>0.71155107453245403</v>
      </c>
      <c r="G2931">
        <v>0.242938449645032</v>
      </c>
      <c r="H2931">
        <v>0.14536086730622699</v>
      </c>
      <c r="I2931">
        <v>0.14039640561735001</v>
      </c>
      <c r="J2931">
        <v>0.11808402961395</v>
      </c>
      <c r="K2931">
        <v>9.7049408421060801E-2</v>
      </c>
      <c r="L2931">
        <v>1165.9768428515999</v>
      </c>
      <c r="M2931">
        <v>21.6037945941532</v>
      </c>
      <c r="N2931">
        <v>54.464793750958599</v>
      </c>
      <c r="O2931">
        <v>53.514901273154599</v>
      </c>
      <c r="P2931">
        <v>-9.1949172574891505E-2</v>
      </c>
      <c r="Q2931">
        <v>8.8950674576088504E-2</v>
      </c>
      <c r="R2931">
        <v>0.96431747233014897</v>
      </c>
      <c r="S2931" t="s">
        <v>9216</v>
      </c>
      <c r="T2931" t="s">
        <v>12568</v>
      </c>
      <c r="U2931" t="s">
        <v>12568</v>
      </c>
      <c r="V2931" t="s">
        <v>12568</v>
      </c>
      <c r="W2931" t="s">
        <v>15461</v>
      </c>
      <c r="X2931">
        <v>5</v>
      </c>
      <c r="Y2931" t="s">
        <v>21613</v>
      </c>
      <c r="Z2931" t="s">
        <v>27801</v>
      </c>
      <c r="AA2931">
        <v>0.52412750405168218</v>
      </c>
      <c r="AB2931" t="str">
        <f>HYPERLINK("Melting_Curves/meltCurve_Q13395_TARBP1.pdf", "Melting_Curves/meltCurve_Q13395_TARBP1.pdf")</f>
        <v>Melting_Curves/meltCurve_Q13395_TARBP1.pdf</v>
      </c>
    </row>
    <row r="2932" spans="1:28" x14ac:dyDescent="0.25">
      <c r="A2932" t="s">
        <v>2936</v>
      </c>
      <c r="B2932">
        <v>0.99352677808782597</v>
      </c>
      <c r="C2932">
        <v>0.97208486061958599</v>
      </c>
      <c r="D2932">
        <v>1.0798824936798099</v>
      </c>
      <c r="E2932">
        <v>0.93696552879012296</v>
      </c>
      <c r="F2932">
        <v>0.79465766002470895</v>
      </c>
      <c r="G2932">
        <v>0.70245868545000001</v>
      </c>
      <c r="H2932">
        <v>0.43253740516114397</v>
      </c>
      <c r="I2932">
        <v>0.17180356647089401</v>
      </c>
      <c r="J2932">
        <v>7.6894966906335502E-2</v>
      </c>
      <c r="K2932">
        <v>5.9436851777481599E-2</v>
      </c>
      <c r="L2932">
        <v>1024.5358700757499</v>
      </c>
      <c r="M2932">
        <v>17.2967610265781</v>
      </c>
      <c r="N2932">
        <v>59.232816776713904</v>
      </c>
      <c r="O2932">
        <v>58.458081407931701</v>
      </c>
      <c r="P2932">
        <v>-7.3975056562195399E-2</v>
      </c>
      <c r="Q2932">
        <v>0</v>
      </c>
      <c r="R2932">
        <v>0.98271156181027597</v>
      </c>
      <c r="S2932" t="s">
        <v>9217</v>
      </c>
      <c r="T2932" t="s">
        <v>12568</v>
      </c>
      <c r="U2932" t="s">
        <v>12568</v>
      </c>
      <c r="V2932" t="s">
        <v>12568</v>
      </c>
      <c r="W2932" t="s">
        <v>15462</v>
      </c>
      <c r="X2932">
        <v>12</v>
      </c>
      <c r="Y2932" t="s">
        <v>21614</v>
      </c>
      <c r="Z2932" t="s">
        <v>27802</v>
      </c>
      <c r="AA2932">
        <v>0.6512351857809221</v>
      </c>
      <c r="AB2932" t="str">
        <f>HYPERLINK("Melting_Curves/meltCurve_Q13404_UBE2V1.pdf", "Melting_Curves/meltCurve_Q13404_UBE2V1.pdf")</f>
        <v>Melting_Curves/meltCurve_Q13404_UBE2V1.pdf</v>
      </c>
    </row>
    <row r="2933" spans="1:28" x14ac:dyDescent="0.25">
      <c r="A2933" t="s">
        <v>2937</v>
      </c>
      <c r="B2933">
        <v>0.99352677808782597</v>
      </c>
      <c r="C2933">
        <v>0.98304533945206796</v>
      </c>
      <c r="D2933">
        <v>1.0165892826784799</v>
      </c>
      <c r="E2933">
        <v>1.8346964297311601</v>
      </c>
      <c r="F2933">
        <v>1.73886929227076</v>
      </c>
      <c r="G2933">
        <v>1.2187883641877699</v>
      </c>
      <c r="H2933">
        <v>0.57099003638238899</v>
      </c>
      <c r="I2933">
        <v>0.39776585871750397</v>
      </c>
      <c r="J2933">
        <v>0.36989688639211199</v>
      </c>
      <c r="K2933">
        <v>0.30232482634105301</v>
      </c>
      <c r="L2933">
        <v>9071.6175959084194</v>
      </c>
      <c r="M2933">
        <v>149.40738184897401</v>
      </c>
      <c r="N2933">
        <v>61.2289651858067</v>
      </c>
      <c r="O2933">
        <v>60.7064598515123</v>
      </c>
      <c r="P2933">
        <v>-0.395919739513235</v>
      </c>
      <c r="Q2933">
        <v>0.356527545858568</v>
      </c>
      <c r="R2933">
        <v>0.51801738283119303</v>
      </c>
      <c r="S2933" t="s">
        <v>9218</v>
      </c>
      <c r="T2933" t="s">
        <v>12568</v>
      </c>
      <c r="U2933" t="s">
        <v>12568</v>
      </c>
      <c r="V2933" t="s">
        <v>12568</v>
      </c>
      <c r="W2933" t="s">
        <v>15463</v>
      </c>
      <c r="X2933">
        <v>16</v>
      </c>
      <c r="Y2933" t="s">
        <v>21615</v>
      </c>
      <c r="Z2933" t="s">
        <v>27803</v>
      </c>
      <c r="AA2933">
        <v>0.80108734775856649</v>
      </c>
      <c r="AB2933" t="str">
        <f>HYPERLINK("Melting_Curves/meltCurve_Q13409_6_DYNC1I2.pdf", "Melting_Curves/meltCurve_Q13409_6_DYNC1I2.pdf")</f>
        <v>Melting_Curves/meltCurve_Q13409_6_DYNC1I2.pdf</v>
      </c>
    </row>
    <row r="2934" spans="1:28" x14ac:dyDescent="0.25">
      <c r="A2934" t="s">
        <v>2938</v>
      </c>
      <c r="B2934">
        <v>0.99352677808782597</v>
      </c>
      <c r="C2934">
        <v>0.88755368410250002</v>
      </c>
      <c r="D2934">
        <v>0.84182378212977804</v>
      </c>
      <c r="E2934">
        <v>0.65030448290887499</v>
      </c>
      <c r="F2934">
        <v>0.55303504028313299</v>
      </c>
      <c r="G2934">
        <v>0.54874657122334503</v>
      </c>
      <c r="H2934">
        <v>0.51738994394167004</v>
      </c>
      <c r="I2934">
        <v>0.57157091452971198</v>
      </c>
      <c r="J2934">
        <v>0.56748652350936202</v>
      </c>
      <c r="K2934">
        <v>0.485956443948308</v>
      </c>
      <c r="L2934">
        <v>850.37986599743101</v>
      </c>
      <c r="M2934">
        <v>18.079016459230399</v>
      </c>
      <c r="O2934">
        <v>46.4726785254717</v>
      </c>
      <c r="P2934">
        <v>-4.5926910379441799E-2</v>
      </c>
      <c r="Q2934">
        <v>0.52779664880765198</v>
      </c>
      <c r="R2934">
        <v>0.96897731821755695</v>
      </c>
      <c r="S2934" t="s">
        <v>9219</v>
      </c>
      <c r="T2934" t="s">
        <v>12568</v>
      </c>
      <c r="U2934" t="s">
        <v>12568</v>
      </c>
      <c r="V2934" t="s">
        <v>12568</v>
      </c>
      <c r="W2934" t="s">
        <v>15464</v>
      </c>
      <c r="X2934">
        <v>5</v>
      </c>
      <c r="Y2934" t="s">
        <v>21616</v>
      </c>
      <c r="Z2934" t="s">
        <v>27804</v>
      </c>
      <c r="AA2934">
        <v>0.64717120951671236</v>
      </c>
      <c r="AB2934" t="str">
        <f>HYPERLINK("Melting_Curves/meltCurve_Q13416_ORC2.pdf", "Melting_Curves/meltCurve_Q13416_ORC2.pdf")</f>
        <v>Melting_Curves/meltCurve_Q13416_ORC2.pdf</v>
      </c>
    </row>
    <row r="2935" spans="1:28" x14ac:dyDescent="0.25">
      <c r="A2935" t="s">
        <v>2939</v>
      </c>
      <c r="B2935">
        <v>0.99352677808782597</v>
      </c>
      <c r="C2935">
        <v>0.91761963835057003</v>
      </c>
      <c r="D2935">
        <v>0.78021934724262798</v>
      </c>
      <c r="E2935">
        <v>0.29108969640065502</v>
      </c>
      <c r="F2935">
        <v>0.21241553464219001</v>
      </c>
      <c r="G2935">
        <v>0.12034431807314901</v>
      </c>
      <c r="H2935">
        <v>8.06787122696912E-2</v>
      </c>
      <c r="I2935">
        <v>8.37728033879164E-2</v>
      </c>
      <c r="J2935">
        <v>6.1574367433801597E-2</v>
      </c>
      <c r="K2935">
        <v>5.1242526217608698E-2</v>
      </c>
      <c r="L2935">
        <v>1108.53244349174</v>
      </c>
      <c r="M2935">
        <v>23.107001355948402</v>
      </c>
      <c r="N2935">
        <v>48.315400403507901</v>
      </c>
      <c r="O2935">
        <v>47.618901342375899</v>
      </c>
      <c r="P2935">
        <v>-0.112173245401961</v>
      </c>
      <c r="Q2935">
        <v>7.5350632579743504E-2</v>
      </c>
      <c r="R2935">
        <v>0.99474355877546095</v>
      </c>
      <c r="S2935" t="s">
        <v>9220</v>
      </c>
      <c r="T2935" t="s">
        <v>12568</v>
      </c>
      <c r="U2935" t="s">
        <v>12568</v>
      </c>
      <c r="V2935" t="s">
        <v>12568</v>
      </c>
      <c r="W2935" t="s">
        <v>15465</v>
      </c>
      <c r="X2935">
        <v>20</v>
      </c>
      <c r="Y2935" t="s">
        <v>21617</v>
      </c>
      <c r="Z2935" t="s">
        <v>27805</v>
      </c>
      <c r="AA2935">
        <v>0.33078407290142597</v>
      </c>
      <c r="AB2935" t="str">
        <f>HYPERLINK("Melting_Curves/meltCurve_Q13418_ILK.pdf", "Melting_Curves/meltCurve_Q13418_ILK.pdf")</f>
        <v>Melting_Curves/meltCurve_Q13418_ILK.pdf</v>
      </c>
    </row>
    <row r="2936" spans="1:28" x14ac:dyDescent="0.25">
      <c r="A2936" t="s">
        <v>2940</v>
      </c>
      <c r="B2936">
        <v>0.99352677808782597</v>
      </c>
      <c r="C2936">
        <v>0.93360697903179102</v>
      </c>
      <c r="D2936">
        <v>0.73412669849809598</v>
      </c>
      <c r="E2936">
        <v>0.35601032432864199</v>
      </c>
      <c r="F2936">
        <v>0.28379289114346401</v>
      </c>
      <c r="G2936">
        <v>0.17468165037576799</v>
      </c>
      <c r="H2936">
        <v>0.15180713080223501</v>
      </c>
      <c r="I2936">
        <v>0.12876986129201301</v>
      </c>
      <c r="J2936">
        <v>0.11483682788486201</v>
      </c>
      <c r="K2936">
        <v>6.17005728370046E-2</v>
      </c>
      <c r="L2936">
        <v>902.65475194102601</v>
      </c>
      <c r="M2936">
        <v>18.800363463603599</v>
      </c>
      <c r="N2936">
        <v>48.678138703909703</v>
      </c>
      <c r="O2936">
        <v>47.4792992027227</v>
      </c>
      <c r="P2936">
        <v>-8.7777236119882293E-2</v>
      </c>
      <c r="Q2936">
        <v>0.113330236906808</v>
      </c>
      <c r="R2936">
        <v>0.99312690720077401</v>
      </c>
      <c r="S2936" t="s">
        <v>9221</v>
      </c>
      <c r="T2936" t="s">
        <v>12568</v>
      </c>
      <c r="U2936" t="s">
        <v>12568</v>
      </c>
      <c r="V2936" t="s">
        <v>12568</v>
      </c>
      <c r="W2936" t="s">
        <v>15466</v>
      </c>
      <c r="X2936">
        <v>15</v>
      </c>
      <c r="Y2936" t="s">
        <v>21618</v>
      </c>
      <c r="Z2936" t="s">
        <v>27806</v>
      </c>
      <c r="AA2936">
        <v>0.3645040851265316</v>
      </c>
      <c r="AB2936" t="str">
        <f>HYPERLINK("Melting_Curves/meltCurve_Q13425_SNTB2.pdf", "Melting_Curves/meltCurve_Q13425_SNTB2.pdf")</f>
        <v>Melting_Curves/meltCurve_Q13425_SNTB2.pdf</v>
      </c>
    </row>
    <row r="2937" spans="1:28" x14ac:dyDescent="0.25">
      <c r="A2937" t="s">
        <v>2941</v>
      </c>
      <c r="B2937">
        <v>0.99352677808782597</v>
      </c>
      <c r="C2937">
        <v>0.94650214665183896</v>
      </c>
      <c r="D2937">
        <v>1.0000058746565901</v>
      </c>
      <c r="E2937">
        <v>1.11715186053487</v>
      </c>
      <c r="F2937">
        <v>1.0225263008322301</v>
      </c>
      <c r="G2937">
        <v>0.927368809634742</v>
      </c>
      <c r="H2937">
        <v>0.84075930654592701</v>
      </c>
      <c r="I2937">
        <v>0.72603498859347804</v>
      </c>
      <c r="J2937">
        <v>0.628191155329343</v>
      </c>
      <c r="K2937">
        <v>0.45632569810572199</v>
      </c>
      <c r="L2937">
        <v>1003.38537280299</v>
      </c>
      <c r="M2937">
        <v>14.899930076859899</v>
      </c>
      <c r="N2937">
        <v>69.230402731116101</v>
      </c>
      <c r="O2937">
        <v>66.163522031515996</v>
      </c>
      <c r="P2937">
        <v>-4.6901654081395697E-2</v>
      </c>
      <c r="Q2937">
        <v>0.16701446811017501</v>
      </c>
      <c r="R2937">
        <v>0.94470713672625395</v>
      </c>
      <c r="S2937" t="s">
        <v>9222</v>
      </c>
      <c r="T2937" t="s">
        <v>12568</v>
      </c>
      <c r="U2937" t="s">
        <v>12568</v>
      </c>
      <c r="V2937" t="s">
        <v>12568</v>
      </c>
      <c r="W2937" t="s">
        <v>15467</v>
      </c>
      <c r="X2937">
        <v>19</v>
      </c>
      <c r="Y2937" t="s">
        <v>21619</v>
      </c>
      <c r="Z2937" t="s">
        <v>27807</v>
      </c>
      <c r="AA2937">
        <v>0.88233733026911354</v>
      </c>
      <c r="AB2937" t="str">
        <f>HYPERLINK("Melting_Curves/meltCurve_Q13426_XRCC4.pdf", "Melting_Curves/meltCurve_Q13426_XRCC4.pdf")</f>
        <v>Melting_Curves/meltCurve_Q13426_XRCC4.pdf</v>
      </c>
    </row>
    <row r="2938" spans="1:28" x14ac:dyDescent="0.25">
      <c r="A2938" t="s">
        <v>2942</v>
      </c>
      <c r="B2938">
        <v>0.99352677808782597</v>
      </c>
      <c r="C2938">
        <v>0.93147227180571401</v>
      </c>
      <c r="D2938">
        <v>0.93121854987441999</v>
      </c>
      <c r="E2938">
        <v>0.55181359468454405</v>
      </c>
      <c r="F2938">
        <v>0.46867625840437499</v>
      </c>
      <c r="G2938">
        <v>0.36621178626824402</v>
      </c>
      <c r="H2938">
        <v>0.28810210743612402</v>
      </c>
      <c r="I2938">
        <v>0.30251620025742398</v>
      </c>
      <c r="J2938">
        <v>0.37433820318161298</v>
      </c>
      <c r="K2938">
        <v>0.32621919339639299</v>
      </c>
      <c r="L2938">
        <v>1174.71387128884</v>
      </c>
      <c r="M2938">
        <v>23.924081342678999</v>
      </c>
      <c r="N2938">
        <v>51.3939196526578</v>
      </c>
      <c r="O2938">
        <v>48.762522008876502</v>
      </c>
      <c r="P2938">
        <v>-8.2428138336276699E-2</v>
      </c>
      <c r="Q2938">
        <v>0.32798424782466801</v>
      </c>
      <c r="R2938">
        <v>0.98268519593667103</v>
      </c>
      <c r="S2938" t="s">
        <v>9223</v>
      </c>
      <c r="T2938" t="s">
        <v>12568</v>
      </c>
      <c r="U2938" t="s">
        <v>12568</v>
      </c>
      <c r="V2938" t="s">
        <v>12568</v>
      </c>
      <c r="W2938" t="s">
        <v>15468</v>
      </c>
      <c r="X2938">
        <v>6</v>
      </c>
      <c r="Y2938" t="s">
        <v>21620</v>
      </c>
      <c r="Z2938" t="s">
        <v>27808</v>
      </c>
      <c r="AA2938">
        <v>0.53839058411449925</v>
      </c>
      <c r="AB2938" t="str">
        <f>HYPERLINK("Melting_Curves/meltCurve_Q13427_PPIG.pdf", "Melting_Curves/meltCurve_Q13427_PPIG.pdf")</f>
        <v>Melting_Curves/meltCurve_Q13427_PPIG.pdf</v>
      </c>
    </row>
    <row r="2939" spans="1:28" x14ac:dyDescent="0.25">
      <c r="A2939" t="s">
        <v>2943</v>
      </c>
      <c r="B2939">
        <v>0.99352677808782597</v>
      </c>
      <c r="C2939">
        <v>0.94896280630034002</v>
      </c>
      <c r="D2939">
        <v>0.97385246608326803</v>
      </c>
      <c r="E2939">
        <v>0.98739085474987298</v>
      </c>
      <c r="F2939">
        <v>0.90164898386049197</v>
      </c>
      <c r="G2939">
        <v>0.80204973587196504</v>
      </c>
      <c r="H2939">
        <v>0.86863915460234797</v>
      </c>
      <c r="I2939">
        <v>0.89140097587773404</v>
      </c>
      <c r="J2939">
        <v>1.1108290821348199</v>
      </c>
      <c r="K2939">
        <v>0.87070170471920805</v>
      </c>
      <c r="L2939">
        <v>12592.2829532142</v>
      </c>
      <c r="M2939">
        <v>250</v>
      </c>
      <c r="O2939">
        <v>50.365913733046703</v>
      </c>
      <c r="P2939">
        <v>-0.114729282930894</v>
      </c>
      <c r="Q2939">
        <v>0.907544886989752</v>
      </c>
      <c r="R2939">
        <v>0.13330187295321599</v>
      </c>
      <c r="S2939" t="s">
        <v>9224</v>
      </c>
      <c r="T2939" t="s">
        <v>12568</v>
      </c>
      <c r="U2939" t="s">
        <v>12568</v>
      </c>
      <c r="V2939" t="s">
        <v>12568</v>
      </c>
      <c r="W2939" t="s">
        <v>15469</v>
      </c>
      <c r="X2939">
        <v>60</v>
      </c>
      <c r="Y2939" t="s">
        <v>21621</v>
      </c>
      <c r="Z2939" t="s">
        <v>27809</v>
      </c>
      <c r="AA2939">
        <v>0.93950903486749271</v>
      </c>
      <c r="AB2939" t="str">
        <f>HYPERLINK("Melting_Curves/meltCurve_Q13428_4_TCOF1.pdf", "Melting_Curves/meltCurve_Q13428_4_TCOF1.pdf")</f>
        <v>Melting_Curves/meltCurve_Q13428_4_TCOF1.pdf</v>
      </c>
    </row>
    <row r="2940" spans="1:28" x14ac:dyDescent="0.25">
      <c r="A2940" t="s">
        <v>2944</v>
      </c>
      <c r="B2940">
        <v>0.99352677808782597</v>
      </c>
      <c r="C2940">
        <v>0.91091836346548805</v>
      </c>
      <c r="D2940">
        <v>0.89100942042137898</v>
      </c>
      <c r="E2940">
        <v>0.37221690950925002</v>
      </c>
      <c r="F2940">
        <v>0.31570749410277299</v>
      </c>
      <c r="G2940">
        <v>0.22770301440969801</v>
      </c>
      <c r="H2940">
        <v>0.18887326138470101</v>
      </c>
      <c r="I2940">
        <v>0.18451098107803801</v>
      </c>
      <c r="J2940">
        <v>0.180939640543267</v>
      </c>
      <c r="K2940">
        <v>0.165785275516556</v>
      </c>
      <c r="L2940">
        <v>1388.61660659104</v>
      </c>
      <c r="M2940">
        <v>28.719906632079098</v>
      </c>
      <c r="N2940">
        <v>49.185570085904999</v>
      </c>
      <c r="O2940">
        <v>48.1177267180353</v>
      </c>
      <c r="P2940">
        <v>-0.120421169727721</v>
      </c>
      <c r="Q2940">
        <v>0.19298519432800401</v>
      </c>
      <c r="R2940">
        <v>0.98670788674926302</v>
      </c>
      <c r="S2940" t="s">
        <v>9225</v>
      </c>
      <c r="T2940" t="s">
        <v>12568</v>
      </c>
      <c r="U2940" t="s">
        <v>12568</v>
      </c>
      <c r="V2940" t="s">
        <v>12568</v>
      </c>
      <c r="W2940" t="s">
        <v>15470</v>
      </c>
      <c r="X2940">
        <v>5</v>
      </c>
      <c r="Y2940" t="s">
        <v>21622</v>
      </c>
      <c r="Z2940" t="s">
        <v>27810</v>
      </c>
      <c r="AA2940">
        <v>0.42294919546142828</v>
      </c>
      <c r="AB2940" t="str">
        <f>HYPERLINK("Melting_Curves/meltCurve_Q13432_UNC119.pdf", "Melting_Curves/meltCurve_Q13432_UNC119.pdf")</f>
        <v>Melting_Curves/meltCurve_Q13432_UNC119.pdf</v>
      </c>
    </row>
    <row r="2941" spans="1:28" x14ac:dyDescent="0.25">
      <c r="A2941" t="s">
        <v>2945</v>
      </c>
      <c r="B2941">
        <v>0.99352677808782597</v>
      </c>
      <c r="C2941">
        <v>1.00219803132093</v>
      </c>
      <c r="D2941">
        <v>0.99860612861737796</v>
      </c>
      <c r="E2941">
        <v>0.80876966647125204</v>
      </c>
      <c r="F2941">
        <v>0.69615981026504703</v>
      </c>
      <c r="G2941">
        <v>0.556158425807323</v>
      </c>
      <c r="H2941">
        <v>0.40821169161256299</v>
      </c>
      <c r="I2941">
        <v>0.413165223554463</v>
      </c>
      <c r="J2941">
        <v>0.44682229327238998</v>
      </c>
      <c r="K2941">
        <v>0.41069061251385203</v>
      </c>
      <c r="L2941">
        <v>966.51537370717494</v>
      </c>
      <c r="M2941">
        <v>18.324979312481801</v>
      </c>
      <c r="N2941">
        <v>57.976039352183101</v>
      </c>
      <c r="O2941">
        <v>52.126989902615598</v>
      </c>
      <c r="P2941">
        <v>-5.2350819861495701E-2</v>
      </c>
      <c r="Q2941">
        <v>0.40436163253554702</v>
      </c>
      <c r="R2941">
        <v>0.98944925014035801</v>
      </c>
      <c r="S2941" t="s">
        <v>9226</v>
      </c>
      <c r="T2941" t="s">
        <v>12568</v>
      </c>
      <c r="U2941" t="s">
        <v>12568</v>
      </c>
      <c r="V2941" t="s">
        <v>12568</v>
      </c>
      <c r="W2941" t="s">
        <v>15471</v>
      </c>
      <c r="X2941">
        <v>1</v>
      </c>
      <c r="Y2941" t="s">
        <v>21623</v>
      </c>
      <c r="Z2941" t="s">
        <v>27811</v>
      </c>
      <c r="AA2941">
        <v>0.66688576289760937</v>
      </c>
      <c r="AB2941" t="str">
        <f>HYPERLINK("Melting_Curves/meltCurve_Q13433_SLC39A6.pdf", "Melting_Curves/meltCurve_Q13433_SLC39A6.pdf")</f>
        <v>Melting_Curves/meltCurve_Q13433_SLC39A6.pdf</v>
      </c>
    </row>
    <row r="2942" spans="1:28" x14ac:dyDescent="0.25">
      <c r="A2942" t="s">
        <v>2946</v>
      </c>
      <c r="B2942">
        <v>0.99352677808782597</v>
      </c>
      <c r="C2942">
        <v>0.94937958366590203</v>
      </c>
      <c r="D2942">
        <v>0.92987771753966897</v>
      </c>
      <c r="E2942">
        <v>0.94892078877709796</v>
      </c>
      <c r="F2942">
        <v>0.83251101303226405</v>
      </c>
      <c r="G2942">
        <v>0.63732047265219605</v>
      </c>
      <c r="H2942">
        <v>0.59580747458801997</v>
      </c>
      <c r="I2942">
        <v>0.58529133608015904</v>
      </c>
      <c r="J2942">
        <v>0.64970177498968695</v>
      </c>
      <c r="K2942">
        <v>0.53330784474977999</v>
      </c>
      <c r="L2942">
        <v>1453.8730184050901</v>
      </c>
      <c r="M2942">
        <v>27.1372245617335</v>
      </c>
      <c r="O2942">
        <v>53.286493558991502</v>
      </c>
      <c r="P2942">
        <v>-5.3040273512504899E-2</v>
      </c>
      <c r="Q2942">
        <v>0.58340596371907705</v>
      </c>
      <c r="R2942">
        <v>0.95303213478309501</v>
      </c>
      <c r="S2942" t="s">
        <v>9227</v>
      </c>
      <c r="T2942" t="s">
        <v>12568</v>
      </c>
      <c r="U2942" t="s">
        <v>12568</v>
      </c>
      <c r="V2942" t="s">
        <v>12568</v>
      </c>
      <c r="W2942" t="s">
        <v>15472</v>
      </c>
      <c r="X2942">
        <v>33</v>
      </c>
      <c r="Y2942" t="s">
        <v>19187</v>
      </c>
      <c r="Z2942" t="s">
        <v>27812</v>
      </c>
      <c r="AA2942">
        <v>0.77521365791995622</v>
      </c>
      <c r="AB2942" t="str">
        <f>HYPERLINK("Melting_Curves/meltCurve_Q13435_SF3B2.pdf", "Melting_Curves/meltCurve_Q13435_SF3B2.pdf")</f>
        <v>Melting_Curves/meltCurve_Q13435_SF3B2.pdf</v>
      </c>
    </row>
    <row r="2943" spans="1:28" x14ac:dyDescent="0.25">
      <c r="A2943" t="s">
        <v>2947</v>
      </c>
      <c r="B2943">
        <v>0.99352677808782597</v>
      </c>
      <c r="C2943">
        <v>1.0125468589355899</v>
      </c>
      <c r="D2943">
        <v>0.84932961424837605</v>
      </c>
      <c r="E2943">
        <v>0.63592586749091295</v>
      </c>
      <c r="F2943">
        <v>0.53363873880158796</v>
      </c>
      <c r="G2943">
        <v>0.372733702656528</v>
      </c>
      <c r="H2943">
        <v>0.34363063436161001</v>
      </c>
      <c r="I2943">
        <v>0.33738129177397702</v>
      </c>
      <c r="J2943">
        <v>0.38374288723382899</v>
      </c>
      <c r="K2943">
        <v>0.30931857357633902</v>
      </c>
      <c r="L2943">
        <v>885.318921560734</v>
      </c>
      <c r="M2943">
        <v>17.799101904283699</v>
      </c>
      <c r="N2943">
        <v>52.971409055994499</v>
      </c>
      <c r="O2943">
        <v>49.124422285232797</v>
      </c>
      <c r="P2943">
        <v>-6.0583254964118503E-2</v>
      </c>
      <c r="Q2943">
        <v>0.33121031873393503</v>
      </c>
      <c r="R2943">
        <v>0.98894282500979203</v>
      </c>
      <c r="S2943" t="s">
        <v>9228</v>
      </c>
      <c r="T2943" t="s">
        <v>12568</v>
      </c>
      <c r="U2943" t="s">
        <v>12568</v>
      </c>
      <c r="V2943" t="s">
        <v>12568</v>
      </c>
      <c r="W2943" t="s">
        <v>15473</v>
      </c>
      <c r="X2943">
        <v>69</v>
      </c>
      <c r="Y2943" t="s">
        <v>21624</v>
      </c>
      <c r="Z2943" t="s">
        <v>27813</v>
      </c>
      <c r="AA2943">
        <v>0.56002850670600457</v>
      </c>
      <c r="AB2943" t="str">
        <f>HYPERLINK("Melting_Curves/meltCurve_Q13439_3_GOLGA4.pdf", "Melting_Curves/meltCurve_Q13439_3_GOLGA4.pdf")</f>
        <v>Melting_Curves/meltCurve_Q13439_3_GOLGA4.pdf</v>
      </c>
    </row>
    <row r="2944" spans="1:28" x14ac:dyDescent="0.25">
      <c r="A2944" t="s">
        <v>2948</v>
      </c>
      <c r="B2944">
        <v>0.99352677808782597</v>
      </c>
      <c r="C2944">
        <v>0.99294098674762998</v>
      </c>
      <c r="D2944">
        <v>1.0324384654207599</v>
      </c>
      <c r="E2944">
        <v>1.00607712183965</v>
      </c>
      <c r="F2944">
        <v>0.95549121306274798</v>
      </c>
      <c r="G2944">
        <v>0.95067904761534905</v>
      </c>
      <c r="H2944">
        <v>0.85829019033188902</v>
      </c>
      <c r="I2944">
        <v>1.0021538545005899</v>
      </c>
      <c r="J2944">
        <v>1.06573627343055</v>
      </c>
      <c r="K2944">
        <v>0.92669234780554799</v>
      </c>
      <c r="L2944">
        <v>5663.8332115165204</v>
      </c>
      <c r="M2944">
        <v>109.91982095333699</v>
      </c>
      <c r="O2944">
        <v>51.5099145438354</v>
      </c>
      <c r="P2944">
        <v>-2.1539554120211898E-2</v>
      </c>
      <c r="Q2944">
        <v>0.959625106179127</v>
      </c>
      <c r="R2944">
        <v>0.16199916832050201</v>
      </c>
      <c r="S2944" t="s">
        <v>9229</v>
      </c>
      <c r="T2944" t="s">
        <v>12568</v>
      </c>
      <c r="U2944" t="s">
        <v>12568</v>
      </c>
      <c r="V2944" t="s">
        <v>12568</v>
      </c>
      <c r="W2944" t="s">
        <v>15474</v>
      </c>
      <c r="X2944">
        <v>14</v>
      </c>
      <c r="Y2944" t="s">
        <v>21625</v>
      </c>
      <c r="Z2944" t="s">
        <v>27814</v>
      </c>
      <c r="AA2944">
        <v>0.97515732384763787</v>
      </c>
      <c r="AB2944" t="str">
        <f>HYPERLINK("Melting_Curves/meltCurve_Q13442_PDAP1.pdf", "Melting_Curves/meltCurve_Q13442_PDAP1.pdf")</f>
        <v>Melting_Curves/meltCurve_Q13442_PDAP1.pdf</v>
      </c>
    </row>
    <row r="2945" spans="1:28" x14ac:dyDescent="0.25">
      <c r="A2945" t="s">
        <v>2949</v>
      </c>
      <c r="B2945">
        <v>0.99352677808782597</v>
      </c>
      <c r="C2945">
        <v>0.94673897763067305</v>
      </c>
      <c r="D2945">
        <v>1.01879687113684</v>
      </c>
      <c r="E2945">
        <v>1.0070004710918601</v>
      </c>
      <c r="F2945">
        <v>0.935201160208736</v>
      </c>
      <c r="G2945">
        <v>0.89841910194860397</v>
      </c>
      <c r="H2945">
        <v>0.80730004819728096</v>
      </c>
      <c r="I2945">
        <v>0.87492507353813398</v>
      </c>
      <c r="J2945">
        <v>0.86053400282396997</v>
      </c>
      <c r="K2945">
        <v>0.80906946885862197</v>
      </c>
      <c r="L2945">
        <v>1456.76720506579</v>
      </c>
      <c r="M2945">
        <v>26.608406139505</v>
      </c>
      <c r="O2945">
        <v>54.441954782902499</v>
      </c>
      <c r="P2945">
        <v>-1.98876949090547E-2</v>
      </c>
      <c r="Q2945">
        <v>0.83723735917055797</v>
      </c>
      <c r="R2945">
        <v>0.846723655824275</v>
      </c>
      <c r="S2945" t="s">
        <v>9230</v>
      </c>
      <c r="T2945" t="s">
        <v>12568</v>
      </c>
      <c r="U2945" t="s">
        <v>12568</v>
      </c>
      <c r="V2945" t="s">
        <v>12568</v>
      </c>
      <c r="W2945" t="s">
        <v>15475</v>
      </c>
      <c r="X2945">
        <v>4</v>
      </c>
      <c r="Y2945" t="s">
        <v>21626</v>
      </c>
      <c r="Z2945" t="s">
        <v>27815</v>
      </c>
      <c r="AA2945">
        <v>0.91860071319362169</v>
      </c>
      <c r="AB2945" t="str">
        <f>HYPERLINK("Melting_Curves/meltCurve_Q13443_ADAM9.pdf", "Melting_Curves/meltCurve_Q13443_ADAM9.pdf")</f>
        <v>Melting_Curves/meltCurve_Q13443_ADAM9.pdf</v>
      </c>
    </row>
    <row r="2946" spans="1:28" x14ac:dyDescent="0.25">
      <c r="A2946" t="s">
        <v>2950</v>
      </c>
      <c r="B2946">
        <v>0.99352677808782597</v>
      </c>
      <c r="C2946">
        <v>0.93508879605053097</v>
      </c>
      <c r="D2946">
        <v>0.79556522278502495</v>
      </c>
      <c r="E2946">
        <v>0.34224448488412401</v>
      </c>
      <c r="F2946">
        <v>0.27465841798466201</v>
      </c>
      <c r="G2946">
        <v>0.196032817279364</v>
      </c>
      <c r="H2946">
        <v>0.14010664459160399</v>
      </c>
      <c r="I2946">
        <v>0.128172853784665</v>
      </c>
      <c r="J2946">
        <v>0.128060553060588</v>
      </c>
      <c r="K2946">
        <v>9.4840118161692993E-2</v>
      </c>
      <c r="L2946">
        <v>1070.96265931017</v>
      </c>
      <c r="M2946">
        <v>22.270856552003199</v>
      </c>
      <c r="N2946">
        <v>48.757829022922103</v>
      </c>
      <c r="O2946">
        <v>47.705395392965798</v>
      </c>
      <c r="P2946">
        <v>-0.101333214977178</v>
      </c>
      <c r="Q2946">
        <v>0.13177325299383599</v>
      </c>
      <c r="R2946">
        <v>0.992890911777072</v>
      </c>
      <c r="S2946" t="s">
        <v>9231</v>
      </c>
      <c r="T2946" t="s">
        <v>12568</v>
      </c>
      <c r="U2946" t="s">
        <v>12568</v>
      </c>
      <c r="V2946" t="s">
        <v>12568</v>
      </c>
      <c r="W2946" t="s">
        <v>15476</v>
      </c>
      <c r="X2946">
        <v>22</v>
      </c>
      <c r="Y2946" t="s">
        <v>21627</v>
      </c>
      <c r="Z2946" t="s">
        <v>27816</v>
      </c>
      <c r="AA2946">
        <v>0.37565523970424319</v>
      </c>
      <c r="AB2946" t="str">
        <f>HYPERLINK("Melting_Curves/meltCurve_Q13451_FKBP5.pdf", "Melting_Curves/meltCurve_Q13451_FKBP5.pdf")</f>
        <v>Melting_Curves/meltCurve_Q13451_FKBP5.pdf</v>
      </c>
    </row>
    <row r="2947" spans="1:28" x14ac:dyDescent="0.25">
      <c r="A2947" t="s">
        <v>2951</v>
      </c>
      <c r="B2947">
        <v>0.99352677808782597</v>
      </c>
      <c r="C2947">
        <v>0.83739749306537203</v>
      </c>
      <c r="D2947">
        <v>0.97918245597929798</v>
      </c>
      <c r="E2947">
        <v>0.479068375437882</v>
      </c>
      <c r="F2947">
        <v>0.39292105337599997</v>
      </c>
      <c r="G2947">
        <v>0.22031410849542599</v>
      </c>
      <c r="H2947">
        <v>0.13049624946233301</v>
      </c>
      <c r="I2947">
        <v>0.107360250821824</v>
      </c>
      <c r="J2947">
        <v>8.9431809885205701E-2</v>
      </c>
      <c r="K2947">
        <v>7.0291452830356205E-2</v>
      </c>
      <c r="L2947">
        <v>848.23420430697797</v>
      </c>
      <c r="M2947">
        <v>16.834370861247098</v>
      </c>
      <c r="N2947">
        <v>50.919830178254699</v>
      </c>
      <c r="O2947">
        <v>49.692160675394199</v>
      </c>
      <c r="P2947">
        <v>-7.7859306559157598E-2</v>
      </c>
      <c r="Q2947">
        <v>8.0750317733572302E-2</v>
      </c>
      <c r="R2947">
        <v>0.96724533977628402</v>
      </c>
      <c r="S2947" t="s">
        <v>9232</v>
      </c>
      <c r="T2947" t="s">
        <v>12568</v>
      </c>
      <c r="U2947" t="s">
        <v>12568</v>
      </c>
      <c r="V2947" t="s">
        <v>12568</v>
      </c>
      <c r="W2947" t="s">
        <v>15477</v>
      </c>
      <c r="X2947">
        <v>46</v>
      </c>
      <c r="Y2947" t="s">
        <v>21628</v>
      </c>
      <c r="Z2947" t="s">
        <v>27817</v>
      </c>
      <c r="AA2947">
        <v>0.41667271380092558</v>
      </c>
      <c r="AB2947" t="str">
        <f>HYPERLINK("Melting_Curves/meltCurve_Q13464_ROCK1.pdf", "Melting_Curves/meltCurve_Q13464_ROCK1.pdf")</f>
        <v>Melting_Curves/meltCurve_Q13464_ROCK1.pdf</v>
      </c>
    </row>
    <row r="2948" spans="1:28" x14ac:dyDescent="0.25">
      <c r="A2948" t="s">
        <v>2952</v>
      </c>
      <c r="B2948">
        <v>0.99352677808782597</v>
      </c>
      <c r="C2948">
        <v>0.93305027938670904</v>
      </c>
      <c r="D2948">
        <v>0.903691802894803</v>
      </c>
      <c r="E2948">
        <v>0.69529951801309797</v>
      </c>
      <c r="F2948">
        <v>0.61782508029202998</v>
      </c>
      <c r="G2948">
        <v>0.47045503522209797</v>
      </c>
      <c r="H2948">
        <v>0.40539482316189002</v>
      </c>
      <c r="I2948">
        <v>0.42261648217904202</v>
      </c>
      <c r="J2948">
        <v>0.41786054863976202</v>
      </c>
      <c r="K2948">
        <v>0.31609884801903498</v>
      </c>
      <c r="L2948">
        <v>671.20317217450599</v>
      </c>
      <c r="M2948">
        <v>13.135600397364399</v>
      </c>
      <c r="N2948">
        <v>56.238220630964797</v>
      </c>
      <c r="O2948">
        <v>49.957241532114203</v>
      </c>
      <c r="P2948">
        <v>-4.2767837370822397E-2</v>
      </c>
      <c r="Q2948">
        <v>0.34949247490242003</v>
      </c>
      <c r="R2948">
        <v>0.98634705939747203</v>
      </c>
      <c r="S2948" t="s">
        <v>9233</v>
      </c>
      <c r="T2948" t="s">
        <v>12568</v>
      </c>
      <c r="U2948" t="s">
        <v>12568</v>
      </c>
      <c r="V2948" t="s">
        <v>12568</v>
      </c>
      <c r="W2948" t="s">
        <v>15478</v>
      </c>
      <c r="X2948">
        <v>5</v>
      </c>
      <c r="Y2948" t="s">
        <v>21629</v>
      </c>
      <c r="Z2948" t="s">
        <v>27818</v>
      </c>
      <c r="AA2948">
        <v>0.60861073226941309</v>
      </c>
      <c r="AB2948" t="str">
        <f>HYPERLINK("Melting_Curves/meltCurve_Q13480_2_GAB1.pdf", "Melting_Curves/meltCurve_Q13480_2_GAB1.pdf")</f>
        <v>Melting_Curves/meltCurve_Q13480_2_GAB1.pdf</v>
      </c>
    </row>
    <row r="2949" spans="1:28" x14ac:dyDescent="0.25">
      <c r="A2949" t="s">
        <v>2953</v>
      </c>
      <c r="B2949">
        <v>0.99352677808782597</v>
      </c>
      <c r="C2949">
        <v>0.94951366276340798</v>
      </c>
      <c r="D2949">
        <v>1.0811363661218201</v>
      </c>
      <c r="E2949">
        <v>1.01038457695444</v>
      </c>
      <c r="F2949">
        <v>0.99292822932008495</v>
      </c>
      <c r="G2949">
        <v>0.44195473731324603</v>
      </c>
      <c r="H2949">
        <v>0.281441642023676</v>
      </c>
      <c r="I2949">
        <v>0.29107309165811301</v>
      </c>
      <c r="J2949">
        <v>0.23426457102822501</v>
      </c>
      <c r="K2949">
        <v>0.21125793704045601</v>
      </c>
      <c r="L2949">
        <v>3890.9247336886001</v>
      </c>
      <c r="M2949">
        <v>69.340446605661697</v>
      </c>
      <c r="N2949">
        <v>56.6917737901666</v>
      </c>
      <c r="O2949">
        <v>56.0667346286384</v>
      </c>
      <c r="P2949">
        <v>-0.23079058538131</v>
      </c>
      <c r="Q2949">
        <v>0.25355710507940998</v>
      </c>
      <c r="R2949">
        <v>0.98972920868651504</v>
      </c>
      <c r="S2949" t="s">
        <v>9234</v>
      </c>
      <c r="T2949" t="s">
        <v>12568</v>
      </c>
      <c r="U2949" t="s">
        <v>12568</v>
      </c>
      <c r="V2949" t="s">
        <v>12568</v>
      </c>
      <c r="W2949" t="s">
        <v>15479</v>
      </c>
      <c r="X2949">
        <v>9</v>
      </c>
      <c r="Y2949" t="s">
        <v>21630</v>
      </c>
      <c r="Z2949" t="s">
        <v>27819</v>
      </c>
      <c r="AA2949">
        <v>0.65543833097653847</v>
      </c>
      <c r="AB2949" t="str">
        <f>HYPERLINK("Melting_Curves/meltCurve_Q13492_3_PICALM.pdf", "Melting_Curves/meltCurve_Q13492_3_PICALM.pdf")</f>
        <v>Melting_Curves/meltCurve_Q13492_3_PICALM.pdf</v>
      </c>
    </row>
    <row r="2950" spans="1:28" x14ac:dyDescent="0.25">
      <c r="A2950" t="s">
        <v>2954</v>
      </c>
      <c r="B2950">
        <v>0.99352677808782597</v>
      </c>
      <c r="C2950">
        <v>0.97598384057667598</v>
      </c>
      <c r="D2950">
        <v>0.96811759898355898</v>
      </c>
      <c r="E2950">
        <v>0.69179530772293496</v>
      </c>
      <c r="F2950">
        <v>0.58737548070736101</v>
      </c>
      <c r="G2950">
        <v>0.45566365046617702</v>
      </c>
      <c r="H2950">
        <v>0.37085569436288901</v>
      </c>
      <c r="I2950">
        <v>0.14539583536708001</v>
      </c>
      <c r="J2950">
        <v>9.7767339240163606E-2</v>
      </c>
      <c r="K2950">
        <v>8.5528189319025699E-2</v>
      </c>
      <c r="L2950">
        <v>589.71176908421103</v>
      </c>
      <c r="M2950">
        <v>10.639435126164001</v>
      </c>
      <c r="N2950">
        <v>55.426981043865503</v>
      </c>
      <c r="O2950">
        <v>53.576442221428302</v>
      </c>
      <c r="P2950">
        <v>-4.9665094069598903E-2</v>
      </c>
      <c r="Q2950">
        <v>0</v>
      </c>
      <c r="R2950">
        <v>0.97894936614634098</v>
      </c>
      <c r="S2950" t="s">
        <v>9235</v>
      </c>
      <c r="T2950" t="s">
        <v>12568</v>
      </c>
      <c r="U2950" t="s">
        <v>12568</v>
      </c>
      <c r="V2950" t="s">
        <v>12568</v>
      </c>
      <c r="W2950" t="s">
        <v>15480</v>
      </c>
      <c r="X2950">
        <v>8</v>
      </c>
      <c r="Y2950" t="s">
        <v>21631</v>
      </c>
      <c r="Z2950" t="s">
        <v>27820</v>
      </c>
      <c r="AA2950">
        <v>0.53769448852063628</v>
      </c>
      <c r="AB2950" t="str">
        <f>HYPERLINK("Melting_Curves/meltCurve_Q13496_MTM1.pdf", "Melting_Curves/meltCurve_Q13496_MTM1.pdf")</f>
        <v>Melting_Curves/meltCurve_Q13496_MTM1.pdf</v>
      </c>
    </row>
    <row r="2951" spans="1:28" x14ac:dyDescent="0.25">
      <c r="A2951" t="s">
        <v>2955</v>
      </c>
      <c r="B2951">
        <v>0.99352677808782597</v>
      </c>
      <c r="C2951">
        <v>0.95306185116973197</v>
      </c>
      <c r="D2951">
        <v>0.857760991524816</v>
      </c>
      <c r="E2951">
        <v>0.84609304648648898</v>
      </c>
      <c r="F2951">
        <v>0.69297226301939696</v>
      </c>
      <c r="G2951">
        <v>0.518380406143783</v>
      </c>
      <c r="H2951">
        <v>0.38121847989091101</v>
      </c>
      <c r="I2951">
        <v>0.38312026226391299</v>
      </c>
      <c r="J2951">
        <v>0.40489320626730302</v>
      </c>
      <c r="K2951">
        <v>0.361365217600227</v>
      </c>
      <c r="L2951">
        <v>702.76806139013695</v>
      </c>
      <c r="M2951">
        <v>13.1894550056476</v>
      </c>
      <c r="N2951">
        <v>57.903057190875401</v>
      </c>
      <c r="O2951">
        <v>52.102385639916399</v>
      </c>
      <c r="P2951">
        <v>-4.2695959200014899E-2</v>
      </c>
      <c r="Q2951">
        <v>0.32546419499190099</v>
      </c>
      <c r="R2951">
        <v>0.98044884411111399</v>
      </c>
      <c r="S2951" t="s">
        <v>9236</v>
      </c>
      <c r="T2951" t="s">
        <v>12568</v>
      </c>
      <c r="U2951" t="s">
        <v>12568</v>
      </c>
      <c r="V2951" t="s">
        <v>12568</v>
      </c>
      <c r="W2951" t="s">
        <v>15481</v>
      </c>
      <c r="X2951">
        <v>12</v>
      </c>
      <c r="Y2951" t="s">
        <v>21632</v>
      </c>
      <c r="Z2951" t="s">
        <v>27821</v>
      </c>
      <c r="AA2951">
        <v>0.64099581051756516</v>
      </c>
      <c r="AB2951" t="str">
        <f>HYPERLINK("Melting_Curves/meltCurve_Q13501_SQSTM1.pdf", "Melting_Curves/meltCurve_Q13501_SQSTM1.pdf")</f>
        <v>Melting_Curves/meltCurve_Q13501_SQSTM1.pdf</v>
      </c>
    </row>
    <row r="2952" spans="1:28" x14ac:dyDescent="0.25">
      <c r="A2952" t="s">
        <v>2956</v>
      </c>
      <c r="B2952">
        <v>0.99352677808782597</v>
      </c>
      <c r="C2952">
        <v>0.86297751192803596</v>
      </c>
      <c r="D2952">
        <v>0.84227013826811903</v>
      </c>
      <c r="E2952">
        <v>0.90749422128597301</v>
      </c>
      <c r="F2952">
        <v>1.11070749162469</v>
      </c>
      <c r="G2952">
        <v>0.73436486170778603</v>
      </c>
      <c r="H2952">
        <v>0.785278882949902</v>
      </c>
      <c r="I2952">
        <v>1.05869586549901</v>
      </c>
      <c r="J2952">
        <v>0.65834647279121905</v>
      </c>
      <c r="K2952">
        <v>0.61682761949152398</v>
      </c>
      <c r="L2952">
        <v>329.07591912634001</v>
      </c>
      <c r="M2952">
        <v>3.8575841777729298</v>
      </c>
      <c r="O2952">
        <v>69.212884945617503</v>
      </c>
      <c r="P2952">
        <v>-1.4134821751561499E-2</v>
      </c>
      <c r="Q2952">
        <v>0</v>
      </c>
      <c r="R2952">
        <v>0.26923936181871899</v>
      </c>
      <c r="S2952" t="s">
        <v>9237</v>
      </c>
      <c r="T2952" t="s">
        <v>12568</v>
      </c>
      <c r="U2952" t="s">
        <v>12568</v>
      </c>
      <c r="V2952" t="s">
        <v>12568</v>
      </c>
      <c r="W2952" t="s">
        <v>15482</v>
      </c>
      <c r="X2952">
        <v>2</v>
      </c>
      <c r="Y2952" t="s">
        <v>21633</v>
      </c>
      <c r="Z2952" t="s">
        <v>27822</v>
      </c>
      <c r="AA2952">
        <v>0.87576035847504019</v>
      </c>
      <c r="AB2952" t="str">
        <f>HYPERLINK("Melting_Curves/meltCurve_Q13503_MED21.pdf", "Melting_Curves/meltCurve_Q13503_MED21.pdf")</f>
        <v>Melting_Curves/meltCurve_Q13503_MED21.pdf</v>
      </c>
    </row>
    <row r="2953" spans="1:28" x14ac:dyDescent="0.25">
      <c r="A2953" t="s">
        <v>2957</v>
      </c>
      <c r="B2953">
        <v>0.99352677808782597</v>
      </c>
      <c r="C2953">
        <v>1.00446499871758</v>
      </c>
      <c r="D2953">
        <v>0.97026411410237201</v>
      </c>
      <c r="E2953">
        <v>0.55559141854666005</v>
      </c>
      <c r="F2953">
        <v>0.42999434830144601</v>
      </c>
      <c r="G2953">
        <v>0.41111693213839301</v>
      </c>
      <c r="H2953">
        <v>0.200787205314506</v>
      </c>
      <c r="I2953">
        <v>0.21655961235488499</v>
      </c>
      <c r="J2953">
        <v>0.15337953156078399</v>
      </c>
      <c r="K2953">
        <v>0.10233323180568001</v>
      </c>
      <c r="L2953">
        <v>801.29477069906898</v>
      </c>
      <c r="M2953">
        <v>15.6719330578995</v>
      </c>
      <c r="N2953">
        <v>52.325250829496397</v>
      </c>
      <c r="O2953">
        <v>50.318515388147702</v>
      </c>
      <c r="P2953">
        <v>-6.6148185788225095E-2</v>
      </c>
      <c r="Q2953">
        <v>0.15053358320963101</v>
      </c>
      <c r="R2953">
        <v>0.96582531065315402</v>
      </c>
      <c r="S2953" t="s">
        <v>9238</v>
      </c>
      <c r="T2953" t="s">
        <v>12568</v>
      </c>
      <c r="U2953" t="s">
        <v>12568</v>
      </c>
      <c r="V2953" t="s">
        <v>12568</v>
      </c>
      <c r="W2953" t="s">
        <v>15483</v>
      </c>
      <c r="X2953">
        <v>3</v>
      </c>
      <c r="Y2953" t="s">
        <v>21634</v>
      </c>
      <c r="Z2953" t="s">
        <v>27823</v>
      </c>
      <c r="AA2953">
        <v>0.48384212958097689</v>
      </c>
      <c r="AB2953" t="str">
        <f>HYPERLINK("Melting_Curves/meltCurve_Q13506_NAB1.pdf", "Melting_Curves/meltCurve_Q13506_NAB1.pdf")</f>
        <v>Melting_Curves/meltCurve_Q13506_NAB1.pdf</v>
      </c>
    </row>
    <row r="2954" spans="1:28" x14ac:dyDescent="0.25">
      <c r="A2954" t="s">
        <v>2958</v>
      </c>
      <c r="B2954">
        <v>0.99352677808782597</v>
      </c>
      <c r="C2954">
        <v>0.94850022783954901</v>
      </c>
      <c r="D2954">
        <v>0.97803140950938405</v>
      </c>
      <c r="E2954">
        <v>0.72876285098803495</v>
      </c>
      <c r="F2954">
        <v>0.62002353104526498</v>
      </c>
      <c r="G2954">
        <v>0.37279227130640002</v>
      </c>
      <c r="H2954">
        <v>0.16990243821221801</v>
      </c>
      <c r="I2954">
        <v>0.146021902297785</v>
      </c>
      <c r="J2954">
        <v>9.85662425314352E-2</v>
      </c>
      <c r="K2954">
        <v>7.3202161356676301E-2</v>
      </c>
      <c r="L2954">
        <v>762.36418855111901</v>
      </c>
      <c r="M2954">
        <v>14.0490364392387</v>
      </c>
      <c r="N2954">
        <v>54.5239969452902</v>
      </c>
      <c r="O2954">
        <v>53.2005687469983</v>
      </c>
      <c r="P2954">
        <v>-6.3892734333168305E-2</v>
      </c>
      <c r="Q2954">
        <v>3.2336439370714502E-2</v>
      </c>
      <c r="R2954">
        <v>0.99444295079548595</v>
      </c>
      <c r="S2954" t="s">
        <v>9239</v>
      </c>
      <c r="T2954" t="s">
        <v>12568</v>
      </c>
      <c r="U2954" t="s">
        <v>12568</v>
      </c>
      <c r="V2954" t="s">
        <v>12568</v>
      </c>
      <c r="W2954" t="s">
        <v>15484</v>
      </c>
      <c r="X2954">
        <v>23</v>
      </c>
      <c r="Y2954" t="s">
        <v>21635</v>
      </c>
      <c r="Z2954" t="s">
        <v>27824</v>
      </c>
      <c r="AA2954">
        <v>0.51353481013377222</v>
      </c>
      <c r="AB2954" t="str">
        <f>HYPERLINK("Melting_Curves/meltCurve_Q13509_TUBB3.pdf", "Melting_Curves/meltCurve_Q13509_TUBB3.pdf")</f>
        <v>Melting_Curves/meltCurve_Q13509_TUBB3.pdf</v>
      </c>
    </row>
    <row r="2955" spans="1:28" x14ac:dyDescent="0.25">
      <c r="A2955" t="s">
        <v>2959</v>
      </c>
      <c r="B2955">
        <v>0.99352677808782597</v>
      </c>
      <c r="C2955">
        <v>1.0223045515534199</v>
      </c>
      <c r="D2955">
        <v>0</v>
      </c>
      <c r="E2955">
        <v>0.172704666590136</v>
      </c>
      <c r="F2955">
        <v>0.11558244241653701</v>
      </c>
      <c r="G2955">
        <v>4.8505318823672497E-2</v>
      </c>
      <c r="H2955">
        <v>2.9922324482636799E-2</v>
      </c>
      <c r="I2955">
        <v>2.85379743356836E-2</v>
      </c>
      <c r="J2955">
        <v>2.4482685967433099E-2</v>
      </c>
      <c r="K2955">
        <v>1.35784503563917E-2</v>
      </c>
      <c r="L2955">
        <v>11081.0302043338</v>
      </c>
      <c r="M2955">
        <v>250</v>
      </c>
      <c r="N2955">
        <v>44.344454206438698</v>
      </c>
      <c r="O2955">
        <v>44.321275997767501</v>
      </c>
      <c r="P2955">
        <v>-1.33379401334152</v>
      </c>
      <c r="Q2955">
        <v>5.4152580530712403E-2</v>
      </c>
      <c r="R2955">
        <v>0.983029155020537</v>
      </c>
      <c r="S2955" t="s">
        <v>9240</v>
      </c>
      <c r="T2955" t="s">
        <v>12568</v>
      </c>
      <c r="U2955" t="s">
        <v>12568</v>
      </c>
      <c r="V2955" t="s">
        <v>12568</v>
      </c>
      <c r="W2955" t="s">
        <v>15485</v>
      </c>
      <c r="X2955">
        <v>1</v>
      </c>
      <c r="Y2955" t="s">
        <v>21636</v>
      </c>
      <c r="Z2955" t="s">
        <v>27825</v>
      </c>
      <c r="AA2955">
        <v>0.19055810679594881</v>
      </c>
      <c r="AB2955" t="str">
        <f>HYPERLINK("Melting_Curves/meltCurve_Q13516_OLIG2.pdf", "Melting_Curves/meltCurve_Q13516_OLIG2.pdf")</f>
        <v>Melting_Curves/meltCurve_Q13516_OLIG2.pdf</v>
      </c>
    </row>
    <row r="2956" spans="1:28" x14ac:dyDescent="0.25">
      <c r="A2956" t="s">
        <v>2960</v>
      </c>
      <c r="B2956">
        <v>0.99352677808782597</v>
      </c>
      <c r="C2956">
        <v>0.95965118758044698</v>
      </c>
      <c r="D2956">
        <v>1.0147762623154599</v>
      </c>
      <c r="E2956">
        <v>0.79757676968284497</v>
      </c>
      <c r="F2956">
        <v>0.74797756891602196</v>
      </c>
      <c r="G2956">
        <v>0.56708380286993298</v>
      </c>
      <c r="H2956">
        <v>0.40492911994970499</v>
      </c>
      <c r="I2956">
        <v>0.47987963452726401</v>
      </c>
      <c r="J2956">
        <v>0.50887176515794497</v>
      </c>
      <c r="K2956">
        <v>0.44010724744829299</v>
      </c>
      <c r="L2956">
        <v>987.48556234023499</v>
      </c>
      <c r="M2956">
        <v>18.746828255286701</v>
      </c>
      <c r="N2956">
        <v>59.777722201097198</v>
      </c>
      <c r="O2956">
        <v>52.086414805085496</v>
      </c>
      <c r="P2956">
        <v>-4.9841426713312202E-2</v>
      </c>
      <c r="Q2956">
        <v>0.44610321650090201</v>
      </c>
      <c r="R2956">
        <v>0.96559828272364701</v>
      </c>
      <c r="S2956" t="s">
        <v>9241</v>
      </c>
      <c r="T2956" t="s">
        <v>12568</v>
      </c>
      <c r="U2956" t="s">
        <v>12568</v>
      </c>
      <c r="V2956" t="s">
        <v>12568</v>
      </c>
      <c r="W2956" t="s">
        <v>15486</v>
      </c>
      <c r="X2956">
        <v>6</v>
      </c>
      <c r="Y2956" t="s">
        <v>21637</v>
      </c>
      <c r="Z2956" t="s">
        <v>27826</v>
      </c>
      <c r="AA2956">
        <v>0.688649793581805</v>
      </c>
      <c r="AB2956" t="str">
        <f>HYPERLINK("Melting_Curves/meltCurve_Q13526_PIN1.pdf", "Melting_Curves/meltCurve_Q13526_PIN1.pdf")</f>
        <v>Melting_Curves/meltCurve_Q13526_PIN1.pdf</v>
      </c>
    </row>
    <row r="2957" spans="1:28" x14ac:dyDescent="0.25">
      <c r="A2957" t="s">
        <v>2961</v>
      </c>
      <c r="B2957">
        <v>0.99352677808782597</v>
      </c>
      <c r="C2957">
        <v>0.92284899550114696</v>
      </c>
      <c r="D2957">
        <v>0.98327367702879698</v>
      </c>
      <c r="E2957">
        <v>0.93079922334084897</v>
      </c>
      <c r="F2957">
        <v>1.3730517407493801</v>
      </c>
      <c r="G2957">
        <v>0.34899366570262202</v>
      </c>
      <c r="H2957">
        <v>0.15454849266391099</v>
      </c>
      <c r="I2957">
        <v>0.120293243827681</v>
      </c>
      <c r="J2957">
        <v>5.71301086928033E-2</v>
      </c>
      <c r="K2957">
        <v>5.4690959303268102E-2</v>
      </c>
      <c r="L2957">
        <v>14195.9760035496</v>
      </c>
      <c r="M2957">
        <v>250</v>
      </c>
      <c r="N2957">
        <v>56.832748285588501</v>
      </c>
      <c r="O2957">
        <v>56.780285160302398</v>
      </c>
      <c r="P2957">
        <v>-0.99433119948860504</v>
      </c>
      <c r="Q2957">
        <v>9.6665692945209894E-2</v>
      </c>
      <c r="R2957">
        <v>0.92830425339192002</v>
      </c>
      <c r="S2957" t="s">
        <v>9242</v>
      </c>
      <c r="T2957" t="s">
        <v>12568</v>
      </c>
      <c r="U2957" t="s">
        <v>12568</v>
      </c>
      <c r="V2957" t="s">
        <v>12568</v>
      </c>
      <c r="W2957" t="s">
        <v>15487</v>
      </c>
      <c r="X2957">
        <v>2</v>
      </c>
      <c r="Y2957" t="s">
        <v>21638</v>
      </c>
      <c r="Z2957" t="s">
        <v>27827</v>
      </c>
      <c r="AA2957">
        <v>0.60213825801748555</v>
      </c>
      <c r="AB2957" t="str">
        <f>HYPERLINK("Melting_Curves/meltCurve_Q13535_2_ATR.pdf", "Melting_Curves/meltCurve_Q13535_2_ATR.pdf")</f>
        <v>Melting_Curves/meltCurve_Q13535_2_ATR.pdf</v>
      </c>
    </row>
    <row r="2958" spans="1:28" x14ac:dyDescent="0.25">
      <c r="A2958" t="s">
        <v>2962</v>
      </c>
      <c r="B2958">
        <v>0.99352677808782597</v>
      </c>
      <c r="C2958">
        <v>0.91899154742549705</v>
      </c>
      <c r="D2958">
        <v>1.02488756296174</v>
      </c>
      <c r="E2958">
        <v>0.95965389206573504</v>
      </c>
      <c r="F2958">
        <v>0.93069247120445397</v>
      </c>
      <c r="G2958">
        <v>0.86109747939424397</v>
      </c>
      <c r="H2958">
        <v>0.853032975099555</v>
      </c>
      <c r="I2958">
        <v>1.00335476492735</v>
      </c>
      <c r="J2958">
        <v>0.95352674912732205</v>
      </c>
      <c r="K2958">
        <v>0.91634818251235295</v>
      </c>
      <c r="L2958">
        <v>2915.6215758799699</v>
      </c>
      <c r="M2958">
        <v>58.223843750827697</v>
      </c>
      <c r="O2958">
        <v>50.017108190754001</v>
      </c>
      <c r="P2958">
        <v>-2.35762917764798E-2</v>
      </c>
      <c r="Q2958">
        <v>0.91898732689106599</v>
      </c>
      <c r="R2958">
        <v>0.208694119694116</v>
      </c>
      <c r="S2958" t="s">
        <v>9243</v>
      </c>
      <c r="T2958" t="s">
        <v>12568</v>
      </c>
      <c r="U2958" t="s">
        <v>12568</v>
      </c>
      <c r="V2958" t="s">
        <v>12568</v>
      </c>
      <c r="W2958" t="s">
        <v>15488</v>
      </c>
      <c r="X2958">
        <v>5</v>
      </c>
      <c r="Y2958" t="s">
        <v>21639</v>
      </c>
      <c r="Z2958" t="s">
        <v>27828</v>
      </c>
      <c r="AA2958">
        <v>0.94632875824264362</v>
      </c>
      <c r="AB2958" t="str">
        <f>HYPERLINK("Melting_Curves/meltCurve_Q13541_EIF4EBP1.pdf", "Melting_Curves/meltCurve_Q13541_EIF4EBP1.pdf")</f>
        <v>Melting_Curves/meltCurve_Q13541_EIF4EBP1.pdf</v>
      </c>
    </row>
    <row r="2959" spans="1:28" x14ac:dyDescent="0.25">
      <c r="A2959" t="s">
        <v>2963</v>
      </c>
      <c r="B2959">
        <v>0.99352677808782597</v>
      </c>
      <c r="C2959">
        <v>0.95056081457002295</v>
      </c>
      <c r="D2959">
        <v>0.87605517827172996</v>
      </c>
      <c r="E2959">
        <v>0.41167196666588801</v>
      </c>
      <c r="F2959">
        <v>0.31666180533246502</v>
      </c>
      <c r="G2959">
        <v>0.20380923293143899</v>
      </c>
      <c r="H2959">
        <v>0.152534058193938</v>
      </c>
      <c r="I2959">
        <v>0.14302046474390201</v>
      </c>
      <c r="J2959">
        <v>0.126513897086589</v>
      </c>
      <c r="K2959">
        <v>9.1219083700748105E-2</v>
      </c>
      <c r="L2959">
        <v>1081.36271442877</v>
      </c>
      <c r="M2959">
        <v>22.0832755309332</v>
      </c>
      <c r="N2959">
        <v>49.670436425007303</v>
      </c>
      <c r="O2959">
        <v>48.571267896301201</v>
      </c>
      <c r="P2959">
        <v>-9.8412657399357895E-2</v>
      </c>
      <c r="Q2959">
        <v>0.13420063497260201</v>
      </c>
      <c r="R2959">
        <v>0.99108623476043101</v>
      </c>
      <c r="S2959" t="s">
        <v>9244</v>
      </c>
      <c r="T2959" t="s">
        <v>12568</v>
      </c>
      <c r="U2959" t="s">
        <v>12568</v>
      </c>
      <c r="V2959" t="s">
        <v>12568</v>
      </c>
      <c r="W2959" t="s">
        <v>15489</v>
      </c>
      <c r="X2959">
        <v>18</v>
      </c>
      <c r="Y2959" t="s">
        <v>21640</v>
      </c>
      <c r="Z2959" t="s">
        <v>27829</v>
      </c>
      <c r="AA2959">
        <v>0.40290699487021042</v>
      </c>
      <c r="AB2959" t="str">
        <f>HYPERLINK("Melting_Curves/meltCurve_Q13546_RIPK1.pdf", "Melting_Curves/meltCurve_Q13546_RIPK1.pdf")</f>
        <v>Melting_Curves/meltCurve_Q13546_RIPK1.pdf</v>
      </c>
    </row>
    <row r="2960" spans="1:28" x14ac:dyDescent="0.25">
      <c r="A2960" t="s">
        <v>2964</v>
      </c>
      <c r="B2960">
        <v>0.99352677808782597</v>
      </c>
      <c r="C2960">
        <v>0.88477430599703699</v>
      </c>
      <c r="D2960">
        <v>0.74377029570078501</v>
      </c>
      <c r="E2960">
        <v>0.41937367466472403</v>
      </c>
      <c r="F2960">
        <v>0.37113062673557601</v>
      </c>
      <c r="G2960">
        <v>0.188870857660171</v>
      </c>
      <c r="H2960">
        <v>9.7303310432992202E-2</v>
      </c>
      <c r="I2960">
        <v>8.7410929306352594E-2</v>
      </c>
      <c r="J2960">
        <v>7.7316005218335704E-2</v>
      </c>
      <c r="K2960">
        <v>5.6773585446966701E-2</v>
      </c>
      <c r="L2960">
        <v>655.512940808341</v>
      </c>
      <c r="M2960">
        <v>13.2980167808742</v>
      </c>
      <c r="N2960">
        <v>49.648444311264797</v>
      </c>
      <c r="O2960">
        <v>48.219312042190197</v>
      </c>
      <c r="P2960">
        <v>-6.5834307530381497E-2</v>
      </c>
      <c r="Q2960">
        <v>4.5279665003736203E-2</v>
      </c>
      <c r="R2960">
        <v>0.99287607487500795</v>
      </c>
      <c r="S2960" t="s">
        <v>9245</v>
      </c>
      <c r="T2960" t="s">
        <v>12568</v>
      </c>
      <c r="U2960" t="s">
        <v>12568</v>
      </c>
      <c r="V2960" t="s">
        <v>12568</v>
      </c>
      <c r="W2960" t="s">
        <v>15490</v>
      </c>
      <c r="X2960">
        <v>5</v>
      </c>
      <c r="Y2960" t="s">
        <v>21641</v>
      </c>
      <c r="Z2960" t="s">
        <v>27830</v>
      </c>
      <c r="AA2960">
        <v>0.37000655834262941</v>
      </c>
      <c r="AB2960" t="str">
        <f>HYPERLINK("Melting_Curves/meltCurve_Q13547_HDAC1.pdf", "Melting_Curves/meltCurve_Q13547_HDAC1.pdf")</f>
        <v>Melting_Curves/meltCurve_Q13547_HDAC1.pdf</v>
      </c>
    </row>
    <row r="2961" spans="1:28" x14ac:dyDescent="0.25">
      <c r="A2961" t="s">
        <v>2965</v>
      </c>
      <c r="B2961">
        <v>0.99352677808782597</v>
      </c>
      <c r="C2961">
        <v>0.94031408643199199</v>
      </c>
      <c r="D2961">
        <v>0.96886296337882505</v>
      </c>
      <c r="E2961">
        <v>0.66543515438762701</v>
      </c>
      <c r="F2961">
        <v>0.49348636211458802</v>
      </c>
      <c r="G2961">
        <v>0.28595397811966</v>
      </c>
      <c r="H2961">
        <v>0.16035762611735799</v>
      </c>
      <c r="I2961">
        <v>0.14139773689677701</v>
      </c>
      <c r="J2961">
        <v>0.12719781799730001</v>
      </c>
      <c r="K2961">
        <v>9.2460229979931405E-2</v>
      </c>
      <c r="L2961">
        <v>863.91167753517504</v>
      </c>
      <c r="M2961">
        <v>16.572826978335801</v>
      </c>
      <c r="N2961">
        <v>52.800938604973901</v>
      </c>
      <c r="O2961">
        <v>51.386960091881399</v>
      </c>
      <c r="P2961">
        <v>-7.2958838919180896E-2</v>
      </c>
      <c r="Q2961">
        <v>9.5175076153791005E-2</v>
      </c>
      <c r="R2961">
        <v>0.99483191819110195</v>
      </c>
      <c r="S2961" t="s">
        <v>9246</v>
      </c>
      <c r="T2961" t="s">
        <v>12568</v>
      </c>
      <c r="U2961" t="s">
        <v>12568</v>
      </c>
      <c r="V2961" t="s">
        <v>12568</v>
      </c>
      <c r="W2961" t="s">
        <v>15491</v>
      </c>
      <c r="X2961">
        <v>4</v>
      </c>
      <c r="Y2961" t="s">
        <v>21642</v>
      </c>
      <c r="Z2961" t="s">
        <v>27831</v>
      </c>
      <c r="AA2961">
        <v>0.47820241978542188</v>
      </c>
      <c r="AB2961" t="str">
        <f>HYPERLINK("Melting_Curves/meltCurve_Q13557_8_CAMK2D.pdf", "Melting_Curves/meltCurve_Q13557_8_CAMK2D.pdf")</f>
        <v>Melting_Curves/meltCurve_Q13557_8_CAMK2D.pdf</v>
      </c>
    </row>
    <row r="2962" spans="1:28" x14ac:dyDescent="0.25">
      <c r="A2962" t="s">
        <v>2966</v>
      </c>
      <c r="B2962">
        <v>0.99352677808782597</v>
      </c>
      <c r="C2962">
        <v>1.02530027890485</v>
      </c>
      <c r="D2962">
        <v>1.0019825190540901</v>
      </c>
      <c r="E2962">
        <v>1.3907947302454</v>
      </c>
      <c r="F2962">
        <v>1.1523510465684099</v>
      </c>
      <c r="G2962">
        <v>0.978750383080221</v>
      </c>
      <c r="H2962">
        <v>0.79971392230387395</v>
      </c>
      <c r="I2962">
        <v>0.81889528539287204</v>
      </c>
      <c r="J2962">
        <v>0.88282156559826097</v>
      </c>
      <c r="K2962">
        <v>0.69285793138902296</v>
      </c>
      <c r="L2962">
        <v>6676.8508745832996</v>
      </c>
      <c r="M2962">
        <v>114.996082493792</v>
      </c>
      <c r="O2962">
        <v>58.043997241490999</v>
      </c>
      <c r="P2962">
        <v>-9.9865632426867607E-2</v>
      </c>
      <c r="Q2962">
        <v>0.79837225104207099</v>
      </c>
      <c r="R2962">
        <v>0.44378597984479501</v>
      </c>
      <c r="S2962" t="s">
        <v>9247</v>
      </c>
      <c r="T2962" t="s">
        <v>12568</v>
      </c>
      <c r="U2962" t="s">
        <v>12568</v>
      </c>
      <c r="V2962" t="s">
        <v>12568</v>
      </c>
      <c r="W2962" t="s">
        <v>15492</v>
      </c>
      <c r="X2962">
        <v>24</v>
      </c>
      <c r="Y2962" t="s">
        <v>21643</v>
      </c>
      <c r="Z2962" t="s">
        <v>27832</v>
      </c>
      <c r="AA2962">
        <v>0.91985975981653978</v>
      </c>
      <c r="AB2962" t="str">
        <f>HYPERLINK("Melting_Curves/meltCurve_Q13561_DCTN2.pdf", "Melting_Curves/meltCurve_Q13561_DCTN2.pdf")</f>
        <v>Melting_Curves/meltCurve_Q13561_DCTN2.pdf</v>
      </c>
    </row>
    <row r="2963" spans="1:28" x14ac:dyDescent="0.25">
      <c r="A2963" t="s">
        <v>2967</v>
      </c>
      <c r="B2963">
        <v>0.99352677808782597</v>
      </c>
      <c r="C2963">
        <v>0.95979080583274601</v>
      </c>
      <c r="D2963">
        <v>0.98133101594288596</v>
      </c>
      <c r="E2963">
        <v>0.84306618199118899</v>
      </c>
      <c r="F2963">
        <v>0.794528894347726</v>
      </c>
      <c r="G2963">
        <v>0.69737309284249704</v>
      </c>
      <c r="H2963">
        <v>0.67831678145711805</v>
      </c>
      <c r="I2963">
        <v>0.74404282075452399</v>
      </c>
      <c r="J2963">
        <v>0.64337269376378503</v>
      </c>
      <c r="K2963">
        <v>0.56759338901456602</v>
      </c>
      <c r="L2963">
        <v>604.88285378438002</v>
      </c>
      <c r="M2963">
        <v>11.481396508158801</v>
      </c>
      <c r="O2963">
        <v>51.161521180927501</v>
      </c>
      <c r="P2963">
        <v>-2.1907671422704E-2</v>
      </c>
      <c r="Q2963">
        <v>0.609626118960792</v>
      </c>
      <c r="R2963">
        <v>0.92524414385748699</v>
      </c>
      <c r="S2963" t="s">
        <v>9248</v>
      </c>
      <c r="T2963" t="s">
        <v>12568</v>
      </c>
      <c r="U2963" t="s">
        <v>12568</v>
      </c>
      <c r="V2963" t="s">
        <v>12568</v>
      </c>
      <c r="W2963" t="s">
        <v>15493</v>
      </c>
      <c r="X2963">
        <v>4</v>
      </c>
      <c r="Y2963" t="s">
        <v>21644</v>
      </c>
      <c r="Z2963" t="s">
        <v>27833</v>
      </c>
      <c r="AA2963">
        <v>0.78664906006374835</v>
      </c>
      <c r="AB2963" t="str">
        <f>HYPERLINK("Melting_Curves/meltCurve_Q13563_2_PKD2.pdf", "Melting_Curves/meltCurve_Q13563_2_PKD2.pdf")</f>
        <v>Melting_Curves/meltCurve_Q13563_2_PKD2.pdf</v>
      </c>
    </row>
    <row r="2964" spans="1:28" x14ac:dyDescent="0.25">
      <c r="A2964" t="s">
        <v>2968</v>
      </c>
      <c r="B2964">
        <v>0.99352677808782597</v>
      </c>
      <c r="C2964">
        <v>0.75956597064858</v>
      </c>
      <c r="D2964">
        <v>0.975380090888877</v>
      </c>
      <c r="E2964">
        <v>0.53263662707896697</v>
      </c>
      <c r="F2964">
        <v>0.44651024403175099</v>
      </c>
      <c r="G2964">
        <v>0.18633554035289099</v>
      </c>
      <c r="H2964">
        <v>0.10893024483234499</v>
      </c>
      <c r="I2964">
        <v>9.3368336449091496E-2</v>
      </c>
      <c r="J2964">
        <v>8.6689912379255399E-2</v>
      </c>
      <c r="K2964">
        <v>6.7204562276540897E-2</v>
      </c>
      <c r="L2964">
        <v>735.63309652639896</v>
      </c>
      <c r="M2964">
        <v>14.3999238863894</v>
      </c>
      <c r="N2964">
        <v>51.3923310391962</v>
      </c>
      <c r="O2964">
        <v>50.131002649963101</v>
      </c>
      <c r="P2964">
        <v>-6.8865415198520505E-2</v>
      </c>
      <c r="Q2964">
        <v>4.1138702157829998E-2</v>
      </c>
      <c r="R2964">
        <v>0.95230605379751199</v>
      </c>
      <c r="S2964" t="s">
        <v>9249</v>
      </c>
      <c r="T2964" t="s">
        <v>12568</v>
      </c>
      <c r="U2964" t="s">
        <v>12568</v>
      </c>
      <c r="V2964" t="s">
        <v>12568</v>
      </c>
      <c r="W2964" t="s">
        <v>15494</v>
      </c>
      <c r="X2964">
        <v>20</v>
      </c>
      <c r="Y2964" t="s">
        <v>21645</v>
      </c>
      <c r="Z2964" t="s">
        <v>27834</v>
      </c>
      <c r="AA2964">
        <v>0.41907552054968289</v>
      </c>
      <c r="AB2964" t="str">
        <f>HYPERLINK("Melting_Curves/meltCurve_Q13564_2_NAE1.pdf", "Melting_Curves/meltCurve_Q13564_2_NAE1.pdf")</f>
        <v>Melting_Curves/meltCurve_Q13564_2_NAE1.pdf</v>
      </c>
    </row>
    <row r="2965" spans="1:28" x14ac:dyDescent="0.25">
      <c r="A2965" t="s">
        <v>2969</v>
      </c>
      <c r="B2965">
        <v>0.99352677808782597</v>
      </c>
      <c r="C2965">
        <v>0.95011162766297697</v>
      </c>
      <c r="D2965">
        <v>0.90189742397550599</v>
      </c>
      <c r="E2965">
        <v>0.36448942493337699</v>
      </c>
      <c r="F2965">
        <v>0.31906432320012201</v>
      </c>
      <c r="G2965">
        <v>0.225034245853132</v>
      </c>
      <c r="H2965">
        <v>0.18449868197573399</v>
      </c>
      <c r="I2965">
        <v>0.21032740306918801</v>
      </c>
      <c r="J2965">
        <v>0.158099937272276</v>
      </c>
      <c r="K2965">
        <v>0.118285891986272</v>
      </c>
      <c r="L2965">
        <v>1491.0320756019601</v>
      </c>
      <c r="M2965">
        <v>30.782870860466002</v>
      </c>
      <c r="N2965">
        <v>49.181523772743802</v>
      </c>
      <c r="O2965">
        <v>48.234039411589499</v>
      </c>
      <c r="P2965">
        <v>-0.12983699409184701</v>
      </c>
      <c r="Q2965">
        <v>0.186232511399754</v>
      </c>
      <c r="R2965">
        <v>0.98442684049368401</v>
      </c>
      <c r="S2965" t="s">
        <v>9250</v>
      </c>
      <c r="T2965" t="s">
        <v>12568</v>
      </c>
      <c r="U2965" t="s">
        <v>12568</v>
      </c>
      <c r="V2965" t="s">
        <v>12568</v>
      </c>
      <c r="W2965" t="s">
        <v>15495</v>
      </c>
      <c r="X2965">
        <v>5</v>
      </c>
      <c r="Y2965" t="s">
        <v>21646</v>
      </c>
      <c r="Z2965" t="s">
        <v>27835</v>
      </c>
      <c r="AA2965">
        <v>0.41975771806152101</v>
      </c>
      <c r="AB2965" t="str">
        <f>HYPERLINK("Melting_Curves/meltCurve_Q13568_5_IRF5.pdf", "Melting_Curves/meltCurve_Q13568_5_IRF5.pdf")</f>
        <v>Melting_Curves/meltCurve_Q13568_5_IRF5.pdf</v>
      </c>
    </row>
    <row r="2966" spans="1:28" x14ac:dyDescent="0.25">
      <c r="A2966" t="s">
        <v>2970</v>
      </c>
      <c r="B2966">
        <v>0.99352677808782597</v>
      </c>
      <c r="C2966">
        <v>0.93709405223460396</v>
      </c>
      <c r="D2966">
        <v>0.73310922218965702</v>
      </c>
      <c r="E2966">
        <v>0.25328947676248498</v>
      </c>
      <c r="F2966">
        <v>0.202670019809395</v>
      </c>
      <c r="G2966">
        <v>0.12519052370919601</v>
      </c>
      <c r="H2966">
        <v>9.6351070068236302E-2</v>
      </c>
      <c r="I2966">
        <v>9.0818427326473106E-2</v>
      </c>
      <c r="J2966">
        <v>6.9471579483465398E-2</v>
      </c>
      <c r="K2966">
        <v>5.4818644711323798E-2</v>
      </c>
      <c r="L2966">
        <v>1184.4220705616001</v>
      </c>
      <c r="M2966">
        <v>24.939385568276599</v>
      </c>
      <c r="N2966">
        <v>47.862579855297597</v>
      </c>
      <c r="O2966">
        <v>47.189836464554702</v>
      </c>
      <c r="P2966">
        <v>-0.120524661100064</v>
      </c>
      <c r="Q2966">
        <v>8.7794393406094101E-2</v>
      </c>
      <c r="R2966">
        <v>0.99509402909963296</v>
      </c>
      <c r="S2966" t="s">
        <v>9251</v>
      </c>
      <c r="T2966" t="s">
        <v>12568</v>
      </c>
      <c r="U2966" t="s">
        <v>12568</v>
      </c>
      <c r="V2966" t="s">
        <v>12568</v>
      </c>
      <c r="W2966" t="s">
        <v>15496</v>
      </c>
      <c r="X2966">
        <v>5</v>
      </c>
      <c r="Y2966" t="s">
        <v>21647</v>
      </c>
      <c r="Z2966" t="s">
        <v>27836</v>
      </c>
      <c r="AA2966">
        <v>0.32373263980892431</v>
      </c>
      <c r="AB2966" t="str">
        <f>HYPERLINK("Melting_Curves/meltCurve_Q13572_ITPK1.pdf", "Melting_Curves/meltCurve_Q13572_ITPK1.pdf")</f>
        <v>Melting_Curves/meltCurve_Q13572_ITPK1.pdf</v>
      </c>
    </row>
    <row r="2967" spans="1:28" x14ac:dyDescent="0.25">
      <c r="A2967" t="s">
        <v>2971</v>
      </c>
      <c r="B2967">
        <v>0.99352677808782597</v>
      </c>
      <c r="C2967">
        <v>0.98878972751810201</v>
      </c>
      <c r="D2967">
        <v>0.99150792779920505</v>
      </c>
      <c r="E2967">
        <v>0.73727679848967798</v>
      </c>
      <c r="F2967">
        <v>0.62467982776383801</v>
      </c>
      <c r="G2967">
        <v>0.44478628438335799</v>
      </c>
      <c r="H2967">
        <v>0.357107120424556</v>
      </c>
      <c r="I2967">
        <v>0.35423306884812</v>
      </c>
      <c r="J2967">
        <v>0.36174468427829998</v>
      </c>
      <c r="K2967">
        <v>0.29261343051229</v>
      </c>
      <c r="L2967">
        <v>934.194678989095</v>
      </c>
      <c r="M2967">
        <v>17.951222002742501</v>
      </c>
      <c r="N2967">
        <v>55.204267371287102</v>
      </c>
      <c r="O2967">
        <v>51.4078049574658</v>
      </c>
      <c r="P2967">
        <v>-5.92552033134809E-2</v>
      </c>
      <c r="Q2967">
        <v>0.321265549309178</v>
      </c>
      <c r="R2967">
        <v>0.99096112919593804</v>
      </c>
      <c r="S2967" t="s">
        <v>9252</v>
      </c>
      <c r="T2967" t="s">
        <v>12568</v>
      </c>
      <c r="U2967" t="s">
        <v>12568</v>
      </c>
      <c r="V2967" t="s">
        <v>12568</v>
      </c>
      <c r="W2967" t="s">
        <v>13122</v>
      </c>
      <c r="X2967">
        <v>22</v>
      </c>
      <c r="Y2967" t="s">
        <v>19353</v>
      </c>
      <c r="Z2967" t="s">
        <v>27837</v>
      </c>
      <c r="AA2967">
        <v>0.60502136965011255</v>
      </c>
      <c r="AB2967" t="str">
        <f>HYPERLINK("Melting_Curves/meltCurve_Q13573_SNW1.pdf", "Melting_Curves/meltCurve_Q13573_SNW1.pdf")</f>
        <v>Melting_Curves/meltCurve_Q13573_SNW1.pdf</v>
      </c>
    </row>
    <row r="2968" spans="1:28" x14ac:dyDescent="0.25">
      <c r="A2968" t="s">
        <v>2972</v>
      </c>
      <c r="B2968">
        <v>0.99352677808782597</v>
      </c>
      <c r="C2968">
        <v>0.67185304807361801</v>
      </c>
      <c r="D2968">
        <v>1.02636225451279</v>
      </c>
      <c r="E2968">
        <v>0.40217492539321098</v>
      </c>
      <c r="F2968">
        <v>0.31712976577937502</v>
      </c>
      <c r="G2968">
        <v>0.199648886859393</v>
      </c>
      <c r="H2968">
        <v>0.12929355520372901</v>
      </c>
      <c r="I2968">
        <v>0.12768492179883101</v>
      </c>
      <c r="J2968">
        <v>0.11558033723975999</v>
      </c>
      <c r="K2968">
        <v>9.5521020331219203E-2</v>
      </c>
      <c r="L2968">
        <v>1019.25304366891</v>
      </c>
      <c r="M2968">
        <v>20.668195808029299</v>
      </c>
      <c r="N2968">
        <v>49.951761856258202</v>
      </c>
      <c r="O2968">
        <v>48.860355829252597</v>
      </c>
      <c r="P2968">
        <v>-9.3507922486748302E-2</v>
      </c>
      <c r="Q2968">
        <v>0.11580110512250701</v>
      </c>
      <c r="R2968">
        <v>0.88953530841677497</v>
      </c>
      <c r="S2968" t="s">
        <v>9253</v>
      </c>
      <c r="T2968" t="s">
        <v>12568</v>
      </c>
      <c r="U2968" t="s">
        <v>12568</v>
      </c>
      <c r="V2968" t="s">
        <v>12568</v>
      </c>
      <c r="W2968" t="s">
        <v>15497</v>
      </c>
      <c r="X2968">
        <v>19</v>
      </c>
      <c r="Y2968" t="s">
        <v>21648</v>
      </c>
      <c r="Z2968" t="s">
        <v>27838</v>
      </c>
      <c r="AA2968">
        <v>0.40190983004812592</v>
      </c>
      <c r="AB2968" t="str">
        <f>HYPERLINK("Melting_Curves/meltCurve_Q13596_SNX1.pdf", "Melting_Curves/meltCurve_Q13596_SNX1.pdf")</f>
        <v>Melting_Curves/meltCurve_Q13596_SNX1.pdf</v>
      </c>
    </row>
    <row r="2969" spans="1:28" x14ac:dyDescent="0.25">
      <c r="A2969" t="s">
        <v>2973</v>
      </c>
      <c r="B2969">
        <v>0.99352677808782597</v>
      </c>
      <c r="C2969">
        <v>0.94911615697943097</v>
      </c>
      <c r="D2969">
        <v>0.91321861280341599</v>
      </c>
      <c r="E2969">
        <v>0.33711203222894398</v>
      </c>
      <c r="F2969">
        <v>0.26657779140283899</v>
      </c>
      <c r="G2969">
        <v>0.15915892044369401</v>
      </c>
      <c r="H2969">
        <v>0.12478430239403999</v>
      </c>
      <c r="I2969">
        <v>0.112253961294844</v>
      </c>
      <c r="J2969">
        <v>8.9882870851098501E-2</v>
      </c>
      <c r="K2969">
        <v>7.9070571611551593E-2</v>
      </c>
      <c r="L2969">
        <v>1493.3118861253799</v>
      </c>
      <c r="M2969">
        <v>30.696789029924499</v>
      </c>
      <c r="N2969">
        <v>49.084879765401197</v>
      </c>
      <c r="O2969">
        <v>48.442127735812903</v>
      </c>
      <c r="P2969">
        <v>-0.139452549579308</v>
      </c>
      <c r="Q2969">
        <v>0.119733864125619</v>
      </c>
      <c r="R2969">
        <v>0.98838165790285704</v>
      </c>
      <c r="S2969" t="s">
        <v>9254</v>
      </c>
      <c r="T2969" t="s">
        <v>12568</v>
      </c>
      <c r="U2969" t="s">
        <v>12568</v>
      </c>
      <c r="V2969" t="s">
        <v>12568</v>
      </c>
      <c r="W2969" t="s">
        <v>15498</v>
      </c>
      <c r="X2969">
        <v>5</v>
      </c>
      <c r="Y2969" t="s">
        <v>21649</v>
      </c>
      <c r="Z2969" t="s">
        <v>27839</v>
      </c>
      <c r="AA2969">
        <v>0.37855013644342878</v>
      </c>
      <c r="AB2969" t="str">
        <f>HYPERLINK("Melting_Curves/meltCurve_Q13613_MTMR1.pdf", "Melting_Curves/meltCurve_Q13613_MTMR1.pdf")</f>
        <v>Melting_Curves/meltCurve_Q13613_MTMR1.pdf</v>
      </c>
    </row>
    <row r="2970" spans="1:28" x14ac:dyDescent="0.25">
      <c r="A2970" t="s">
        <v>2974</v>
      </c>
      <c r="B2970">
        <v>0.99352677808782597</v>
      </c>
      <c r="C2970">
        <v>0.98895285871962002</v>
      </c>
      <c r="D2970">
        <v>1.0021604529966901</v>
      </c>
      <c r="E2970">
        <v>0.64881148342564798</v>
      </c>
      <c r="F2970">
        <v>0.52031894062934703</v>
      </c>
      <c r="G2970">
        <v>0.301685043156802</v>
      </c>
      <c r="H2970">
        <v>0.17512182590655301</v>
      </c>
      <c r="I2970">
        <v>0.15040484901960399</v>
      </c>
      <c r="J2970">
        <v>0.124292022526606</v>
      </c>
      <c r="K2970">
        <v>0.105557252577444</v>
      </c>
      <c r="L2970">
        <v>891.42354135385699</v>
      </c>
      <c r="M2970">
        <v>17.058935416287099</v>
      </c>
      <c r="N2970">
        <v>53.005033247544503</v>
      </c>
      <c r="O2970">
        <v>51.553261409273198</v>
      </c>
      <c r="P2970">
        <v>-7.3864062689267707E-2</v>
      </c>
      <c r="Q2970">
        <v>0.107165225724159</v>
      </c>
      <c r="R2970">
        <v>0.99046645133991695</v>
      </c>
      <c r="S2970" t="s">
        <v>9255</v>
      </c>
      <c r="T2970" t="s">
        <v>12568</v>
      </c>
      <c r="U2970" t="s">
        <v>12568</v>
      </c>
      <c r="V2970" t="s">
        <v>12568</v>
      </c>
      <c r="W2970" t="s">
        <v>15499</v>
      </c>
      <c r="X2970">
        <v>10</v>
      </c>
      <c r="Y2970" t="s">
        <v>21650</v>
      </c>
      <c r="Z2970" t="s">
        <v>27840</v>
      </c>
      <c r="AA2970">
        <v>0.48808232821460701</v>
      </c>
      <c r="AB2970" t="str">
        <f>HYPERLINK("Melting_Curves/meltCurve_Q13614_MTMR2.pdf", "Melting_Curves/meltCurve_Q13614_MTMR2.pdf")</f>
        <v>Melting_Curves/meltCurve_Q13614_MTMR2.pdf</v>
      </c>
    </row>
    <row r="2971" spans="1:28" x14ac:dyDescent="0.25">
      <c r="A2971" t="s">
        <v>2975</v>
      </c>
      <c r="B2971">
        <v>0.99352677808782597</v>
      </c>
      <c r="C2971">
        <v>0.98563818159122396</v>
      </c>
      <c r="D2971">
        <v>0.90417571870079305</v>
      </c>
      <c r="E2971">
        <v>0.73707066310088598</v>
      </c>
      <c r="F2971">
        <v>0.62011359892045703</v>
      </c>
      <c r="G2971">
        <v>0.46520485990313398</v>
      </c>
      <c r="H2971">
        <v>0.29954194329992101</v>
      </c>
      <c r="I2971">
        <v>0.34338350548614299</v>
      </c>
      <c r="J2971">
        <v>0.30971038480796698</v>
      </c>
      <c r="K2971">
        <v>0.29932070662740001</v>
      </c>
      <c r="L2971">
        <v>751.899855142565</v>
      </c>
      <c r="M2971">
        <v>14.372772387257999</v>
      </c>
      <c r="N2971">
        <v>55.370819954322101</v>
      </c>
      <c r="O2971">
        <v>51.332731483938801</v>
      </c>
      <c r="P2971">
        <v>-5.08350103990226E-2</v>
      </c>
      <c r="Q2971">
        <v>0.273852450454459</v>
      </c>
      <c r="R2971">
        <v>0.99336215414003703</v>
      </c>
      <c r="S2971" t="s">
        <v>9256</v>
      </c>
      <c r="T2971" t="s">
        <v>12568</v>
      </c>
      <c r="U2971" t="s">
        <v>12568</v>
      </c>
      <c r="V2971" t="s">
        <v>12568</v>
      </c>
      <c r="W2971" t="s">
        <v>15500</v>
      </c>
      <c r="X2971">
        <v>5</v>
      </c>
      <c r="Y2971" t="s">
        <v>21651</v>
      </c>
      <c r="Z2971" t="s">
        <v>27841</v>
      </c>
      <c r="AA2971">
        <v>0.58900411837407918</v>
      </c>
      <c r="AB2971" t="str">
        <f>HYPERLINK("Melting_Curves/meltCurve_Q13615_3_MTMR3.pdf", "Melting_Curves/meltCurve_Q13615_3_MTMR3.pdf")</f>
        <v>Melting_Curves/meltCurve_Q13615_3_MTMR3.pdf</v>
      </c>
    </row>
    <row r="2972" spans="1:28" x14ac:dyDescent="0.25">
      <c r="A2972" t="s">
        <v>2976</v>
      </c>
      <c r="B2972">
        <v>0.99352677808782597</v>
      </c>
      <c r="C2972">
        <v>0.98495745941073298</v>
      </c>
      <c r="D2972">
        <v>0.86928093307460896</v>
      </c>
      <c r="E2972">
        <v>1.0101401730719699</v>
      </c>
      <c r="F2972">
        <v>0.82725461206863504</v>
      </c>
      <c r="G2972">
        <v>0.83204830757763404</v>
      </c>
      <c r="H2972">
        <v>0.87366278133400699</v>
      </c>
      <c r="I2972">
        <v>0.19761153993003799</v>
      </c>
      <c r="J2972">
        <v>0.11825358196715099</v>
      </c>
      <c r="K2972">
        <v>9.8512599946256094E-2</v>
      </c>
      <c r="L2972">
        <v>5124.21163068438</v>
      </c>
      <c r="M2972">
        <v>82.2155583333153</v>
      </c>
      <c r="N2972">
        <v>62.507981627234699</v>
      </c>
      <c r="O2972">
        <v>62.2896976693387</v>
      </c>
      <c r="P2972">
        <v>-0.29494591941641801</v>
      </c>
      <c r="Q2972">
        <v>0.106150204542205</v>
      </c>
      <c r="R2972">
        <v>0.94212135596056301</v>
      </c>
      <c r="S2972" t="s">
        <v>9257</v>
      </c>
      <c r="T2972" t="s">
        <v>12568</v>
      </c>
      <c r="U2972" t="s">
        <v>12568</v>
      </c>
      <c r="V2972" t="s">
        <v>12568</v>
      </c>
      <c r="W2972" t="s">
        <v>15501</v>
      </c>
      <c r="X2972">
        <v>39</v>
      </c>
      <c r="Y2972" t="s">
        <v>21652</v>
      </c>
      <c r="Z2972" t="s">
        <v>27842</v>
      </c>
      <c r="AA2972">
        <v>0.77227155210296383</v>
      </c>
      <c r="AB2972" t="str">
        <f>HYPERLINK("Melting_Curves/meltCurve_Q13616_CUL1.pdf", "Melting_Curves/meltCurve_Q13616_CUL1.pdf")</f>
        <v>Melting_Curves/meltCurve_Q13616_CUL1.pdf</v>
      </c>
    </row>
    <row r="2973" spans="1:28" x14ac:dyDescent="0.25">
      <c r="A2973" t="s">
        <v>2977</v>
      </c>
      <c r="B2973">
        <v>0.99352677808782597</v>
      </c>
      <c r="C2973">
        <v>0.94065616397009399</v>
      </c>
      <c r="D2973">
        <v>0.84399168324344997</v>
      </c>
      <c r="E2973">
        <v>0.82066167395933698</v>
      </c>
      <c r="F2973">
        <v>0.69690458606169103</v>
      </c>
      <c r="G2973">
        <v>0.333739223705528</v>
      </c>
      <c r="H2973">
        <v>0.14104095695167601</v>
      </c>
      <c r="I2973">
        <v>0.13482230683362201</v>
      </c>
      <c r="J2973">
        <v>0.11801910881743199</v>
      </c>
      <c r="K2973">
        <v>9.4758742733711598E-2</v>
      </c>
      <c r="L2973">
        <v>889.63923303514696</v>
      </c>
      <c r="M2973">
        <v>16.345500588006601</v>
      </c>
      <c r="N2973">
        <v>54.811761220462799</v>
      </c>
      <c r="O2973">
        <v>53.632097595233901</v>
      </c>
      <c r="P2973">
        <v>-7.20698873582854E-2</v>
      </c>
      <c r="Q2973">
        <v>5.4179118440674801E-2</v>
      </c>
      <c r="R2973">
        <v>0.98203166423390198</v>
      </c>
      <c r="S2973" t="s">
        <v>9258</v>
      </c>
      <c r="T2973" t="s">
        <v>12568</v>
      </c>
      <c r="U2973" t="s">
        <v>12568</v>
      </c>
      <c r="V2973" t="s">
        <v>12568</v>
      </c>
      <c r="W2973" t="s">
        <v>15502</v>
      </c>
      <c r="X2973">
        <v>22</v>
      </c>
      <c r="Y2973" t="s">
        <v>21653</v>
      </c>
      <c r="Z2973" t="s">
        <v>27843</v>
      </c>
      <c r="AA2973">
        <v>0.52606657353742547</v>
      </c>
      <c r="AB2973" t="str">
        <f>HYPERLINK("Melting_Curves/meltCurve_Q13617_CUL2.pdf", "Melting_Curves/meltCurve_Q13617_CUL2.pdf")</f>
        <v>Melting_Curves/meltCurve_Q13617_CUL2.pdf</v>
      </c>
    </row>
    <row r="2974" spans="1:28" x14ac:dyDescent="0.25">
      <c r="A2974" t="s">
        <v>2978</v>
      </c>
      <c r="B2974">
        <v>0.99352677808782597</v>
      </c>
      <c r="C2974">
        <v>0.96180836301467298</v>
      </c>
      <c r="D2974">
        <v>0.85796176482796305</v>
      </c>
      <c r="E2974">
        <v>0.95547515999153998</v>
      </c>
      <c r="F2974">
        <v>0.80226716480357396</v>
      </c>
      <c r="G2974">
        <v>0.32636141280188402</v>
      </c>
      <c r="H2974">
        <v>0.12602170221543299</v>
      </c>
      <c r="I2974">
        <v>0.119387753273081</v>
      </c>
      <c r="J2974">
        <v>9.4527091153437007E-2</v>
      </c>
      <c r="K2974">
        <v>7.6170239127122799E-2</v>
      </c>
      <c r="L2974">
        <v>1689.506156271</v>
      </c>
      <c r="M2974">
        <v>30.650868148384099</v>
      </c>
      <c r="N2974">
        <v>55.4700207796675</v>
      </c>
      <c r="O2974">
        <v>54.887936111451602</v>
      </c>
      <c r="P2974">
        <v>-0.12736359877675599</v>
      </c>
      <c r="Q2974">
        <v>8.7701492471673706E-2</v>
      </c>
      <c r="R2974">
        <v>0.98577533963536101</v>
      </c>
      <c r="S2974" t="s">
        <v>9259</v>
      </c>
      <c r="T2974" t="s">
        <v>12568</v>
      </c>
      <c r="U2974" t="s">
        <v>12568</v>
      </c>
      <c r="V2974" t="s">
        <v>12568</v>
      </c>
      <c r="W2974" t="s">
        <v>15503</v>
      </c>
      <c r="X2974">
        <v>43</v>
      </c>
      <c r="Y2974" t="s">
        <v>21654</v>
      </c>
      <c r="Z2974" t="s">
        <v>27844</v>
      </c>
      <c r="AA2974">
        <v>0.55334651663761636</v>
      </c>
      <c r="AB2974" t="str">
        <f>HYPERLINK("Melting_Curves/meltCurve_Q13618_CUL3.pdf", "Melting_Curves/meltCurve_Q13618_CUL3.pdf")</f>
        <v>Melting_Curves/meltCurve_Q13618_CUL3.pdf</v>
      </c>
    </row>
    <row r="2975" spans="1:28" x14ac:dyDescent="0.25">
      <c r="A2975" t="s">
        <v>2979</v>
      </c>
      <c r="B2975">
        <v>0.99352677808782597</v>
      </c>
      <c r="C2975">
        <v>0.98085105730433497</v>
      </c>
      <c r="D2975">
        <v>0.84756834710110096</v>
      </c>
      <c r="E2975">
        <v>0.44584722513018399</v>
      </c>
      <c r="F2975">
        <v>0.34279651600212802</v>
      </c>
      <c r="G2975">
        <v>0.19992774981139699</v>
      </c>
      <c r="H2975">
        <v>0.12901891766568599</v>
      </c>
      <c r="I2975">
        <v>0.113421728178666</v>
      </c>
      <c r="J2975">
        <v>0.10855776766530199</v>
      </c>
      <c r="K2975">
        <v>8.36741314350955E-2</v>
      </c>
      <c r="L2975">
        <v>932.12139017157199</v>
      </c>
      <c r="M2975">
        <v>18.862270061371301</v>
      </c>
      <c r="N2975">
        <v>50.044905730243102</v>
      </c>
      <c r="O2975">
        <v>48.871848454366997</v>
      </c>
      <c r="P2975">
        <v>-8.6328400622392595E-2</v>
      </c>
      <c r="Q2975">
        <v>0.105334516039765</v>
      </c>
      <c r="R2975">
        <v>0.99372161151458904</v>
      </c>
      <c r="S2975" t="s">
        <v>9260</v>
      </c>
      <c r="T2975" t="s">
        <v>12568</v>
      </c>
      <c r="U2975" t="s">
        <v>12568</v>
      </c>
      <c r="V2975" t="s">
        <v>12568</v>
      </c>
      <c r="W2975" t="s">
        <v>15504</v>
      </c>
      <c r="X2975">
        <v>29</v>
      </c>
      <c r="Y2975" t="s">
        <v>21655</v>
      </c>
      <c r="Z2975" t="s">
        <v>27845</v>
      </c>
      <c r="AA2975">
        <v>0.40021063149205638</v>
      </c>
      <c r="AB2975" t="str">
        <f>HYPERLINK("Melting_Curves/meltCurve_Q13619_CUL4A.pdf", "Melting_Curves/meltCurve_Q13619_CUL4A.pdf")</f>
        <v>Melting_Curves/meltCurve_Q13619_CUL4A.pdf</v>
      </c>
    </row>
    <row r="2976" spans="1:28" x14ac:dyDescent="0.25">
      <c r="A2976" t="s">
        <v>2980</v>
      </c>
      <c r="B2976">
        <v>0.99352677808782597</v>
      </c>
      <c r="C2976">
        <v>0.95211353216230998</v>
      </c>
      <c r="D2976">
        <v>0.94365501021473597</v>
      </c>
      <c r="E2976">
        <v>0.57869787295032005</v>
      </c>
      <c r="F2976">
        <v>0.56936691849674104</v>
      </c>
      <c r="G2976">
        <v>0.38207735575593998</v>
      </c>
      <c r="H2976">
        <v>0.29306327585014103</v>
      </c>
      <c r="I2976">
        <v>0.30367919131139998</v>
      </c>
      <c r="J2976">
        <v>0.230876135448049</v>
      </c>
      <c r="K2976">
        <v>0.196464988078805</v>
      </c>
      <c r="L2976">
        <v>706.37012553300099</v>
      </c>
      <c r="M2976">
        <v>13.7524445337181</v>
      </c>
      <c r="N2976">
        <v>53.515395845856297</v>
      </c>
      <c r="O2976">
        <v>50.313719561040998</v>
      </c>
      <c r="P2976">
        <v>-5.3826558799623898E-2</v>
      </c>
      <c r="Q2976">
        <v>0.21240735357924001</v>
      </c>
      <c r="R2976">
        <v>0.97627167883427501</v>
      </c>
      <c r="S2976" t="s">
        <v>9261</v>
      </c>
      <c r="T2976" t="s">
        <v>12568</v>
      </c>
      <c r="U2976" t="s">
        <v>12568</v>
      </c>
      <c r="V2976" t="s">
        <v>12568</v>
      </c>
      <c r="W2976" t="s">
        <v>15505</v>
      </c>
      <c r="X2976">
        <v>16</v>
      </c>
      <c r="Y2976" t="s">
        <v>21656</v>
      </c>
      <c r="Z2976" t="s">
        <v>27846</v>
      </c>
      <c r="AA2976">
        <v>0.5313355912842247</v>
      </c>
      <c r="AB2976" t="str">
        <f>HYPERLINK("Melting_Curves/meltCurve_Q13625_TP53BP2.pdf", "Melting_Curves/meltCurve_Q13625_TP53BP2.pdf")</f>
        <v>Melting_Curves/meltCurve_Q13625_TP53BP2.pdf</v>
      </c>
    </row>
    <row r="2977" spans="1:28" x14ac:dyDescent="0.25">
      <c r="A2977" t="s">
        <v>2981</v>
      </c>
      <c r="B2977">
        <v>0.99352677808782597</v>
      </c>
      <c r="C2977">
        <v>0.96574620052792004</v>
      </c>
      <c r="D2977">
        <v>0.89033525784710599</v>
      </c>
      <c r="E2977">
        <v>0.56090019069932995</v>
      </c>
      <c r="F2977">
        <v>0.45687898311285602</v>
      </c>
      <c r="G2977">
        <v>0.24928204847172</v>
      </c>
      <c r="H2977">
        <v>0.128632611363109</v>
      </c>
      <c r="I2977">
        <v>0.121288986675676</v>
      </c>
      <c r="J2977">
        <v>0.11113227227516501</v>
      </c>
      <c r="K2977">
        <v>7.2805067391297107E-2</v>
      </c>
      <c r="L2977">
        <v>770.60723533925102</v>
      </c>
      <c r="M2977">
        <v>15.0471367784364</v>
      </c>
      <c r="N2977">
        <v>51.746076334326197</v>
      </c>
      <c r="O2977">
        <v>50.3338935552826</v>
      </c>
      <c r="P2977">
        <v>-6.9376532490434406E-2</v>
      </c>
      <c r="Q2977">
        <v>7.1812104771421206E-2</v>
      </c>
      <c r="R2977">
        <v>0.99447748965398897</v>
      </c>
      <c r="S2977" t="s">
        <v>9262</v>
      </c>
      <c r="T2977" t="s">
        <v>12568</v>
      </c>
      <c r="U2977" t="s">
        <v>12568</v>
      </c>
      <c r="V2977" t="s">
        <v>12568</v>
      </c>
      <c r="W2977" t="s">
        <v>15506</v>
      </c>
      <c r="X2977">
        <v>4</v>
      </c>
      <c r="Y2977" t="s">
        <v>21657</v>
      </c>
      <c r="Z2977" t="s">
        <v>27847</v>
      </c>
      <c r="AA2977">
        <v>0.43992662593078552</v>
      </c>
      <c r="AB2977" t="str">
        <f>HYPERLINK("Melting_Curves/meltCurve_Q13627_3_DYRK1A.pdf", "Melting_Curves/meltCurve_Q13627_3_DYRK1A.pdf")</f>
        <v>Melting_Curves/meltCurve_Q13627_3_DYRK1A.pdf</v>
      </c>
    </row>
    <row r="2978" spans="1:28" x14ac:dyDescent="0.25">
      <c r="A2978" t="s">
        <v>2982</v>
      </c>
      <c r="B2978">
        <v>0.99352677808782597</v>
      </c>
      <c r="C2978">
        <v>0.67485511584854796</v>
      </c>
      <c r="D2978">
        <v>0.92429672413628605</v>
      </c>
      <c r="E2978">
        <v>0.58084854879109005</v>
      </c>
      <c r="F2978">
        <v>0.50276745231839104</v>
      </c>
      <c r="G2978">
        <v>0.19862090329173299</v>
      </c>
      <c r="H2978">
        <v>9.83171792352244E-2</v>
      </c>
      <c r="I2978">
        <v>8.8859540807608606E-2</v>
      </c>
      <c r="J2978">
        <v>7.0524105680207297E-2</v>
      </c>
      <c r="K2978">
        <v>5.4232708500532002E-2</v>
      </c>
      <c r="L2978">
        <v>595.46331820426803</v>
      </c>
      <c r="M2978">
        <v>11.5301592429183</v>
      </c>
      <c r="N2978">
        <v>51.6439804338589</v>
      </c>
      <c r="O2978">
        <v>50.163826530885402</v>
      </c>
      <c r="P2978">
        <v>-5.7478704777924099E-2</v>
      </c>
      <c r="Q2978">
        <v>0</v>
      </c>
      <c r="R2978">
        <v>0.93072695125737304</v>
      </c>
      <c r="S2978" t="s">
        <v>9263</v>
      </c>
      <c r="T2978" t="s">
        <v>12568</v>
      </c>
      <c r="U2978" t="s">
        <v>12568</v>
      </c>
      <c r="V2978" t="s">
        <v>12568</v>
      </c>
      <c r="W2978" t="s">
        <v>15507</v>
      </c>
      <c r="X2978">
        <v>11</v>
      </c>
      <c r="Y2978" t="s">
        <v>21658</v>
      </c>
      <c r="Z2978" t="s">
        <v>27848</v>
      </c>
      <c r="AA2978">
        <v>0.42115159566558552</v>
      </c>
      <c r="AB2978" t="str">
        <f>HYPERLINK("Melting_Curves/meltCurve_Q13630_TSTA3.pdf", "Melting_Curves/meltCurve_Q13630_TSTA3.pdf")</f>
        <v>Melting_Curves/meltCurve_Q13630_TSTA3.pdf</v>
      </c>
    </row>
    <row r="2979" spans="1:28" x14ac:dyDescent="0.25">
      <c r="A2979" t="s">
        <v>2983</v>
      </c>
      <c r="B2979">
        <v>0.99352677808782597</v>
      </c>
      <c r="C2979">
        <v>0.95670930931505105</v>
      </c>
      <c r="D2979">
        <v>0.89259786016106502</v>
      </c>
      <c r="E2979">
        <v>0.735409992506458</v>
      </c>
      <c r="F2979">
        <v>0.67006966559991099</v>
      </c>
      <c r="G2979">
        <v>0.427436904140931</v>
      </c>
      <c r="H2979">
        <v>0.22310636344925799</v>
      </c>
      <c r="I2979">
        <v>0.15357193453712201</v>
      </c>
      <c r="J2979">
        <v>7.1876599450180698E-2</v>
      </c>
      <c r="K2979">
        <v>4.7851106024347702E-2</v>
      </c>
      <c r="L2979">
        <v>677.25189059328397</v>
      </c>
      <c r="M2979">
        <v>12.2756343089299</v>
      </c>
      <c r="N2979">
        <v>55.170419182821703</v>
      </c>
      <c r="O2979">
        <v>53.767592096353098</v>
      </c>
      <c r="P2979">
        <v>-5.7089869936734497E-2</v>
      </c>
      <c r="Q2979">
        <v>0</v>
      </c>
      <c r="R2979">
        <v>0.99418718145789997</v>
      </c>
      <c r="S2979" t="s">
        <v>9264</v>
      </c>
      <c r="T2979" t="s">
        <v>12568</v>
      </c>
      <c r="U2979" t="s">
        <v>12568</v>
      </c>
      <c r="V2979" t="s">
        <v>12568</v>
      </c>
      <c r="W2979" t="s">
        <v>15508</v>
      </c>
      <c r="X2979">
        <v>3</v>
      </c>
      <c r="Y2979" t="s">
        <v>21659</v>
      </c>
      <c r="Z2979" t="s">
        <v>27849</v>
      </c>
      <c r="AA2979">
        <v>0.52829629406595968</v>
      </c>
      <c r="AB2979" t="str">
        <f>HYPERLINK("Melting_Curves/meltCurve_Q13637_RAB32.pdf", "Melting_Curves/meltCurve_Q13637_RAB32.pdf")</f>
        <v>Melting_Curves/meltCurve_Q13637_RAB32.pdf</v>
      </c>
    </row>
    <row r="2980" spans="1:28" x14ac:dyDescent="0.25">
      <c r="A2980" t="s">
        <v>2984</v>
      </c>
      <c r="B2980">
        <v>0.99352677808782597</v>
      </c>
      <c r="C2980">
        <v>0.90892486753802004</v>
      </c>
      <c r="D2980">
        <v>0.94453723427921799</v>
      </c>
      <c r="E2980">
        <v>0.81439678746649502</v>
      </c>
      <c r="F2980">
        <v>0.76947238276959895</v>
      </c>
      <c r="G2980">
        <v>0.56365866489536398</v>
      </c>
      <c r="H2980">
        <v>0.46189122354440199</v>
      </c>
      <c r="I2980">
        <v>0.49234535021786402</v>
      </c>
      <c r="J2980">
        <v>0.50962255245320298</v>
      </c>
      <c r="K2980">
        <v>0.39270104401174799</v>
      </c>
      <c r="L2980">
        <v>657.82611228297799</v>
      </c>
      <c r="M2980">
        <v>12.272172242659099</v>
      </c>
      <c r="N2980">
        <v>61.629622280578097</v>
      </c>
      <c r="O2980">
        <v>52.239383050284303</v>
      </c>
      <c r="P2980">
        <v>-3.5311803657130401E-2</v>
      </c>
      <c r="Q2980">
        <v>0.39888093894735999</v>
      </c>
      <c r="R2980">
        <v>0.96486307992437004</v>
      </c>
      <c r="S2980" t="s">
        <v>9265</v>
      </c>
      <c r="T2980" t="s">
        <v>12568</v>
      </c>
      <c r="U2980" t="s">
        <v>12568</v>
      </c>
      <c r="V2980" t="s">
        <v>12568</v>
      </c>
      <c r="W2980" t="s">
        <v>15509</v>
      </c>
      <c r="X2980">
        <v>5</v>
      </c>
      <c r="Y2980" t="s">
        <v>21660</v>
      </c>
      <c r="Z2980" t="s">
        <v>27850</v>
      </c>
      <c r="AA2980">
        <v>0.68736273857627461</v>
      </c>
      <c r="AB2980" t="str">
        <f>HYPERLINK("Melting_Curves/meltCurve_Q13641_TPBG.pdf", "Melting_Curves/meltCurve_Q13641_TPBG.pdf")</f>
        <v>Melting_Curves/meltCurve_Q13641_TPBG.pdf</v>
      </c>
    </row>
    <row r="2981" spans="1:28" x14ac:dyDescent="0.25">
      <c r="A2981" t="s">
        <v>2985</v>
      </c>
      <c r="B2981">
        <v>0.99352677808782597</v>
      </c>
      <c r="C2981">
        <v>0.968996745884533</v>
      </c>
      <c r="D2981">
        <v>0.98587703148415395</v>
      </c>
      <c r="E2981">
        <v>0.91073335599624505</v>
      </c>
      <c r="F2981">
        <v>0.84438719982911203</v>
      </c>
      <c r="G2981">
        <v>0.79283725332070398</v>
      </c>
      <c r="H2981">
        <v>0.71782858854226805</v>
      </c>
      <c r="I2981">
        <v>0.77632941923362997</v>
      </c>
      <c r="J2981">
        <v>0.82916279194641496</v>
      </c>
      <c r="K2981">
        <v>0.68489108755918804</v>
      </c>
      <c r="L2981">
        <v>955.82716061153201</v>
      </c>
      <c r="M2981">
        <v>18.506017307489898</v>
      </c>
      <c r="O2981">
        <v>51.057764877296698</v>
      </c>
      <c r="P2981">
        <v>-2.2890415177552002E-2</v>
      </c>
      <c r="Q2981">
        <v>0.74739421679248497</v>
      </c>
      <c r="R2981">
        <v>0.87844802998076399</v>
      </c>
      <c r="S2981" t="s">
        <v>9266</v>
      </c>
      <c r="T2981" t="s">
        <v>12568</v>
      </c>
      <c r="U2981" t="s">
        <v>12568</v>
      </c>
      <c r="V2981" t="s">
        <v>12568</v>
      </c>
      <c r="W2981" t="s">
        <v>15510</v>
      </c>
      <c r="X2981">
        <v>18</v>
      </c>
      <c r="Y2981" t="s">
        <v>21661</v>
      </c>
      <c r="Z2981" t="s">
        <v>27851</v>
      </c>
      <c r="AA2981">
        <v>0.84950839270628131</v>
      </c>
      <c r="AB2981" t="str">
        <f>HYPERLINK("Melting_Curves/meltCurve_Q13642_1_FHL1.pdf", "Melting_Curves/meltCurve_Q13642_1_FHL1.pdf")</f>
        <v>Melting_Curves/meltCurve_Q13642_1_FHL1.pdf</v>
      </c>
    </row>
    <row r="2982" spans="1:28" x14ac:dyDescent="0.25">
      <c r="A2982" t="s">
        <v>2986</v>
      </c>
      <c r="B2982">
        <v>0.99352677808782597</v>
      </c>
      <c r="C2982">
        <v>0.94170150701953104</v>
      </c>
      <c r="D2982">
        <v>0.95431363920226497</v>
      </c>
      <c r="E2982">
        <v>0.89444447987120101</v>
      </c>
      <c r="F2982">
        <v>0.80800305845778897</v>
      </c>
      <c r="G2982">
        <v>0.79895136452179105</v>
      </c>
      <c r="H2982">
        <v>0.76023675624740406</v>
      </c>
      <c r="I2982">
        <v>0.84133550425072801</v>
      </c>
      <c r="J2982">
        <v>0.83428006273870403</v>
      </c>
      <c r="K2982">
        <v>0.79304728520206103</v>
      </c>
      <c r="L2982">
        <v>860.53959500551002</v>
      </c>
      <c r="M2982">
        <v>17.833053864905398</v>
      </c>
      <c r="O2982">
        <v>47.660785966552297</v>
      </c>
      <c r="P2982">
        <v>-1.8674090834306701E-2</v>
      </c>
      <c r="Q2982">
        <v>0.800376021323015</v>
      </c>
      <c r="R2982">
        <v>0.86256132630281301</v>
      </c>
      <c r="S2982" t="s">
        <v>9267</v>
      </c>
      <c r="T2982" t="s">
        <v>12568</v>
      </c>
      <c r="U2982" t="s">
        <v>12568</v>
      </c>
      <c r="V2982" t="s">
        <v>12568</v>
      </c>
      <c r="W2982" t="s">
        <v>15511</v>
      </c>
      <c r="X2982">
        <v>8</v>
      </c>
      <c r="Y2982" t="s">
        <v>21662</v>
      </c>
      <c r="Z2982" t="s">
        <v>27852</v>
      </c>
      <c r="AA2982">
        <v>0.85889234041421392</v>
      </c>
      <c r="AB2982" t="str">
        <f>HYPERLINK("Melting_Curves/meltCurve_Q13643_FHL3.pdf", "Melting_Curves/meltCurve_Q13643_FHL3.pdf")</f>
        <v>Melting_Curves/meltCurve_Q13643_FHL3.pdf</v>
      </c>
    </row>
    <row r="2983" spans="1:28" x14ac:dyDescent="0.25">
      <c r="A2983" t="s">
        <v>2987</v>
      </c>
      <c r="B2983">
        <v>0.99352677808782597</v>
      </c>
      <c r="C2983">
        <v>0.87940156305099604</v>
      </c>
      <c r="D2983">
        <v>0.75227770415387296</v>
      </c>
      <c r="E2983">
        <v>0.42108684658419598</v>
      </c>
      <c r="F2983">
        <v>0.368198028278029</v>
      </c>
      <c r="G2983">
        <v>0.23715118544535199</v>
      </c>
      <c r="H2983">
        <v>0.18455831963477601</v>
      </c>
      <c r="I2983">
        <v>0.15875375056046401</v>
      </c>
      <c r="J2983">
        <v>0.112194790051766</v>
      </c>
      <c r="K2983">
        <v>9.1792371052120306E-2</v>
      </c>
      <c r="L2983">
        <v>670.18878927379205</v>
      </c>
      <c r="M2983">
        <v>13.7326263840264</v>
      </c>
      <c r="N2983">
        <v>49.699954952082997</v>
      </c>
      <c r="O2983">
        <v>47.802722473022598</v>
      </c>
      <c r="P2983">
        <v>-6.3943184941595996E-2</v>
      </c>
      <c r="Q2983">
        <v>0.109792802362103</v>
      </c>
      <c r="R2983">
        <v>0.99111273308159598</v>
      </c>
      <c r="S2983" t="s">
        <v>9268</v>
      </c>
      <c r="T2983" t="s">
        <v>12568</v>
      </c>
      <c r="U2983" t="s">
        <v>12568</v>
      </c>
      <c r="V2983" t="s">
        <v>12568</v>
      </c>
      <c r="W2983" t="s">
        <v>15512</v>
      </c>
      <c r="X2983">
        <v>2</v>
      </c>
      <c r="Y2983" t="s">
        <v>21663</v>
      </c>
      <c r="Z2983" t="s">
        <v>27853</v>
      </c>
      <c r="AA2983">
        <v>0.39709792389747511</v>
      </c>
      <c r="AB2983" t="str">
        <f>HYPERLINK("Melting_Curves/meltCurve_Q13670_PMS2P11.pdf", "Melting_Curves/meltCurve_Q13670_PMS2P11.pdf")</f>
        <v>Melting_Curves/meltCurve_Q13670_PMS2P11.pdf</v>
      </c>
    </row>
    <row r="2984" spans="1:28" x14ac:dyDescent="0.25">
      <c r="A2984" t="s">
        <v>2988</v>
      </c>
      <c r="B2984">
        <v>0.99352677808782597</v>
      </c>
      <c r="C2984">
        <v>0.71756586268066203</v>
      </c>
      <c r="D2984">
        <v>0.48905449452543098</v>
      </c>
      <c r="E2984">
        <v>0.14741641500380101</v>
      </c>
      <c r="F2984">
        <v>0.103098276770089</v>
      </c>
      <c r="G2984">
        <v>5.2940432089985001E-2</v>
      </c>
      <c r="H2984">
        <v>2.1669047824455799E-2</v>
      </c>
      <c r="I2984">
        <v>1.5096094228674001E-2</v>
      </c>
      <c r="J2984">
        <v>1.6524330121805E-2</v>
      </c>
      <c r="K2984">
        <v>9.3497437324270797E-3</v>
      </c>
      <c r="L2984">
        <v>856.89708014232497</v>
      </c>
      <c r="M2984">
        <v>18.813528013610298</v>
      </c>
      <c r="N2984">
        <v>45.6291817925365</v>
      </c>
      <c r="O2984">
        <v>45.041618833677802</v>
      </c>
      <c r="P2984">
        <v>-0.102684782820676</v>
      </c>
      <c r="Q2984">
        <v>1.6686895829527801E-2</v>
      </c>
      <c r="R2984">
        <v>0.99278892582136702</v>
      </c>
      <c r="S2984" t="s">
        <v>9269</v>
      </c>
      <c r="T2984" t="s">
        <v>12568</v>
      </c>
      <c r="U2984" t="s">
        <v>12568</v>
      </c>
      <c r="V2984" t="s">
        <v>12568</v>
      </c>
      <c r="W2984" t="s">
        <v>15513</v>
      </c>
      <c r="X2984">
        <v>3</v>
      </c>
      <c r="Y2984" t="s">
        <v>21664</v>
      </c>
      <c r="Z2984" t="s">
        <v>27854</v>
      </c>
      <c r="AA2984">
        <v>0.2166350662389499</v>
      </c>
      <c r="AB2984" t="str">
        <f>HYPERLINK("Melting_Curves/meltCurve_Q13671_RIN1.pdf", "Melting_Curves/meltCurve_Q13671_RIN1.pdf")</f>
        <v>Melting_Curves/meltCurve_Q13671_RIN1.pdf</v>
      </c>
    </row>
    <row r="2985" spans="1:28" x14ac:dyDescent="0.25">
      <c r="A2985" t="s">
        <v>2989</v>
      </c>
      <c r="B2985">
        <v>0.99352677808782597</v>
      </c>
      <c r="C2985">
        <v>0.91798375375081398</v>
      </c>
      <c r="D2985">
        <v>0.78026655870495798</v>
      </c>
      <c r="E2985">
        <v>0.35586610794388901</v>
      </c>
      <c r="F2985">
        <v>0.30571604072053099</v>
      </c>
      <c r="G2985">
        <v>0.16941327468114001</v>
      </c>
      <c r="H2985">
        <v>6.3883403175067105E-2</v>
      </c>
      <c r="I2985">
        <v>6.11697438908088E-2</v>
      </c>
      <c r="J2985">
        <v>5.8209557955530601E-2</v>
      </c>
      <c r="K2985">
        <v>4.1531227716197397E-2</v>
      </c>
      <c r="L2985">
        <v>814.65649355663504</v>
      </c>
      <c r="M2985">
        <v>16.691267977501099</v>
      </c>
      <c r="N2985">
        <v>49.121973832057499</v>
      </c>
      <c r="O2985">
        <v>48.1229100597428</v>
      </c>
      <c r="P2985">
        <v>-8.2321197579477104E-2</v>
      </c>
      <c r="Q2985">
        <v>5.0695850423360701E-2</v>
      </c>
      <c r="R2985">
        <v>0.990421587202853</v>
      </c>
      <c r="S2985" t="s">
        <v>9270</v>
      </c>
      <c r="T2985" t="s">
        <v>12568</v>
      </c>
      <c r="U2985" t="s">
        <v>12568</v>
      </c>
      <c r="V2985" t="s">
        <v>12568</v>
      </c>
      <c r="W2985" t="s">
        <v>15514</v>
      </c>
      <c r="X2985">
        <v>2</v>
      </c>
      <c r="Y2985" t="s">
        <v>21665</v>
      </c>
      <c r="Z2985" t="s">
        <v>27855</v>
      </c>
      <c r="AA2985">
        <v>0.34857672860455152</v>
      </c>
      <c r="AB2985" t="str">
        <f>HYPERLINK("Melting_Curves/meltCurve_Q13686_ALKBH1.pdf", "Melting_Curves/meltCurve_Q13686_ALKBH1.pdf")</f>
        <v>Melting_Curves/meltCurve_Q13686_ALKBH1.pdf</v>
      </c>
    </row>
    <row r="2986" spans="1:28" x14ac:dyDescent="0.25">
      <c r="A2986" t="s">
        <v>2990</v>
      </c>
      <c r="B2986">
        <v>0.99352677808782597</v>
      </c>
      <c r="C2986">
        <v>0.981760570316071</v>
      </c>
      <c r="D2986">
        <v>0.93510164514753602</v>
      </c>
      <c r="E2986">
        <v>0.88219179762787703</v>
      </c>
      <c r="F2986">
        <v>0.77360414410588996</v>
      </c>
      <c r="G2986">
        <v>0.652881041344747</v>
      </c>
      <c r="H2986">
        <v>0.60675714113274004</v>
      </c>
      <c r="I2986">
        <v>0.65287996746759103</v>
      </c>
      <c r="J2986">
        <v>0.78037772950346196</v>
      </c>
      <c r="K2986">
        <v>0.59473607954265295</v>
      </c>
      <c r="L2986">
        <v>1138.2544241998401</v>
      </c>
      <c r="M2986">
        <v>22.268418322762599</v>
      </c>
      <c r="O2986">
        <v>50.7083175785408</v>
      </c>
      <c r="P2986">
        <v>-3.8306593677405999E-2</v>
      </c>
      <c r="Q2986">
        <v>0.65108934301801802</v>
      </c>
      <c r="R2986">
        <v>0.88332950106665897</v>
      </c>
      <c r="S2986" t="s">
        <v>9271</v>
      </c>
      <c r="T2986" t="s">
        <v>12568</v>
      </c>
      <c r="U2986" t="s">
        <v>12568</v>
      </c>
      <c r="V2986" t="s">
        <v>12568</v>
      </c>
      <c r="W2986" t="s">
        <v>15515</v>
      </c>
      <c r="X2986">
        <v>13</v>
      </c>
      <c r="Y2986" t="s">
        <v>21666</v>
      </c>
      <c r="Z2986" t="s">
        <v>27856</v>
      </c>
      <c r="AA2986">
        <v>0.78431422939573592</v>
      </c>
      <c r="AB2986" t="str">
        <f>HYPERLINK("Melting_Curves/meltCurve_Q13740_2_ALCAM.pdf", "Melting_Curves/meltCurve_Q13740_2_ALCAM.pdf")</f>
        <v>Melting_Curves/meltCurve_Q13740_2_ALCAM.pdf</v>
      </c>
    </row>
    <row r="2987" spans="1:28" x14ac:dyDescent="0.25">
      <c r="A2987" t="s">
        <v>2991</v>
      </c>
      <c r="B2987">
        <v>0.99352677808782597</v>
      </c>
      <c r="C2987">
        <v>1.1576951158426001</v>
      </c>
      <c r="D2987">
        <v>1.0792755998954799</v>
      </c>
      <c r="E2987">
        <v>1.1719422932367201</v>
      </c>
      <c r="F2987">
        <v>0.88990267451279903</v>
      </c>
      <c r="G2987">
        <v>0.35308237144798399</v>
      </c>
      <c r="H2987">
        <v>0.13735242598776301</v>
      </c>
      <c r="I2987">
        <v>0.117492981755027</v>
      </c>
      <c r="J2987">
        <v>7.4045231508346798E-2</v>
      </c>
      <c r="K2987">
        <v>7.3140166180112695E-2</v>
      </c>
      <c r="L2987">
        <v>2369.26600937487</v>
      </c>
      <c r="M2987">
        <v>42.4780695607392</v>
      </c>
      <c r="N2987">
        <v>56.048291830020197</v>
      </c>
      <c r="O2987">
        <v>55.653045469911298</v>
      </c>
      <c r="P2987">
        <v>-0.17303947508940801</v>
      </c>
      <c r="Q2987">
        <v>9.3164566151132902E-2</v>
      </c>
      <c r="R2987">
        <v>0.96991646413682597</v>
      </c>
      <c r="S2987" t="s">
        <v>9272</v>
      </c>
      <c r="T2987" t="s">
        <v>12568</v>
      </c>
      <c r="U2987" t="s">
        <v>12568</v>
      </c>
      <c r="V2987" t="s">
        <v>12568</v>
      </c>
      <c r="W2987" t="s">
        <v>15516</v>
      </c>
      <c r="X2987">
        <v>5</v>
      </c>
      <c r="Y2987" t="s">
        <v>21667</v>
      </c>
      <c r="Z2987" t="s">
        <v>27857</v>
      </c>
      <c r="AA2987">
        <v>0.57313173398122008</v>
      </c>
      <c r="AB2987" t="str">
        <f>HYPERLINK("Melting_Curves/meltCurve_Q13769_THOC5.pdf", "Melting_Curves/meltCurve_Q13769_THOC5.pdf")</f>
        <v>Melting_Curves/meltCurve_Q13769_THOC5.pdf</v>
      </c>
    </row>
    <row r="2988" spans="1:28" x14ac:dyDescent="0.25">
      <c r="A2988" t="s">
        <v>2992</v>
      </c>
      <c r="B2988">
        <v>0.99352677808782597</v>
      </c>
      <c r="C2988">
        <v>0.98185279909548295</v>
      </c>
      <c r="D2988">
        <v>0.92846850407232995</v>
      </c>
      <c r="E2988">
        <v>0.840949431304165</v>
      </c>
      <c r="F2988">
        <v>0.72181678694041396</v>
      </c>
      <c r="G2988">
        <v>0.60767672608838796</v>
      </c>
      <c r="H2988">
        <v>0.53115426266935495</v>
      </c>
      <c r="I2988">
        <v>0.539683693097053</v>
      </c>
      <c r="J2988">
        <v>0.60088344216759304</v>
      </c>
      <c r="K2988">
        <v>0.45351305955795901</v>
      </c>
      <c r="L2988">
        <v>780.44222643860405</v>
      </c>
      <c r="M2988">
        <v>14.9660497017179</v>
      </c>
      <c r="O2988">
        <v>51.243058993200002</v>
      </c>
      <c r="P2988">
        <v>-3.62111970152416E-2</v>
      </c>
      <c r="Q2988">
        <v>0.50410895989259097</v>
      </c>
      <c r="R2988">
        <v>0.97010548115197204</v>
      </c>
      <c r="S2988" t="s">
        <v>9273</v>
      </c>
      <c r="T2988" t="s">
        <v>12568</v>
      </c>
      <c r="U2988" t="s">
        <v>12568</v>
      </c>
      <c r="V2988" t="s">
        <v>12568</v>
      </c>
      <c r="W2988" t="s">
        <v>15517</v>
      </c>
      <c r="X2988">
        <v>8</v>
      </c>
      <c r="Y2988" t="s">
        <v>21668</v>
      </c>
      <c r="Z2988" t="s">
        <v>27858</v>
      </c>
      <c r="AA2988">
        <v>0.71597025992825514</v>
      </c>
      <c r="AB2988" t="str">
        <f>HYPERLINK("Melting_Curves/meltCurve_Q13796_SHROOM2.pdf", "Melting_Curves/meltCurve_Q13796_SHROOM2.pdf")</f>
        <v>Melting_Curves/meltCurve_Q13796_SHROOM2.pdf</v>
      </c>
    </row>
    <row r="2989" spans="1:28" x14ac:dyDescent="0.25">
      <c r="A2989" t="s">
        <v>2993</v>
      </c>
      <c r="B2989">
        <v>0.99352677808782597</v>
      </c>
      <c r="C2989">
        <v>1.0208687254989199</v>
      </c>
      <c r="D2989">
        <v>0.95554144064823199</v>
      </c>
      <c r="E2989">
        <v>1.25205609276606</v>
      </c>
      <c r="F2989">
        <v>1.12697517641308</v>
      </c>
      <c r="G2989">
        <v>0.98265007018885298</v>
      </c>
      <c r="H2989">
        <v>0.468348370787801</v>
      </c>
      <c r="I2989">
        <v>0.31270104019127198</v>
      </c>
      <c r="J2989">
        <v>0.28499402017512598</v>
      </c>
      <c r="K2989">
        <v>0.22659967504949999</v>
      </c>
      <c r="L2989">
        <v>3631.47738661007</v>
      </c>
      <c r="M2989">
        <v>60.467617271977097</v>
      </c>
      <c r="N2989">
        <v>60.825244237937099</v>
      </c>
      <c r="O2989">
        <v>59.990986370214003</v>
      </c>
      <c r="P2989">
        <v>-0.18467138316252901</v>
      </c>
      <c r="Q2989">
        <v>0.26713742524450401</v>
      </c>
      <c r="R2989">
        <v>0.938490992579191</v>
      </c>
      <c r="S2989" t="s">
        <v>9274</v>
      </c>
      <c r="T2989" t="s">
        <v>12568</v>
      </c>
      <c r="U2989" t="s">
        <v>12568</v>
      </c>
      <c r="V2989" t="s">
        <v>12568</v>
      </c>
      <c r="W2989" t="s">
        <v>15518</v>
      </c>
      <c r="X2989">
        <v>116</v>
      </c>
      <c r="Y2989" t="s">
        <v>21669</v>
      </c>
      <c r="Z2989" t="s">
        <v>27859</v>
      </c>
      <c r="AA2989">
        <v>0.75841299774013715</v>
      </c>
      <c r="AB2989" t="str">
        <f>HYPERLINK("Melting_Curves/meltCurve_Q13813_SPTAN1.pdf", "Melting_Curves/meltCurve_Q13813_SPTAN1.pdf")</f>
        <v>Melting_Curves/meltCurve_Q13813_SPTAN1.pdf</v>
      </c>
    </row>
    <row r="2990" spans="1:28" x14ac:dyDescent="0.25">
      <c r="A2990" t="s">
        <v>2994</v>
      </c>
      <c r="B2990">
        <v>0.99352677808782597</v>
      </c>
      <c r="C2990">
        <v>1.0083076789696701</v>
      </c>
      <c r="D2990">
        <v>0.92846663379740302</v>
      </c>
      <c r="E2990">
        <v>0.91430053235416398</v>
      </c>
      <c r="F2990">
        <v>0.81189546536550505</v>
      </c>
      <c r="G2990">
        <v>0.63914943487686404</v>
      </c>
      <c r="H2990">
        <v>0.426325318740849</v>
      </c>
      <c r="I2990">
        <v>0.34780713682613201</v>
      </c>
      <c r="J2990">
        <v>0.29937472000878501</v>
      </c>
      <c r="K2990">
        <v>0.22970470037388299</v>
      </c>
      <c r="L2990">
        <v>750.94408059062005</v>
      </c>
      <c r="M2990">
        <v>12.940554298209101</v>
      </c>
      <c r="N2990">
        <v>59.728769331629799</v>
      </c>
      <c r="O2990">
        <v>56.696908553208097</v>
      </c>
      <c r="P2990">
        <v>-4.8285268559435102E-2</v>
      </c>
      <c r="Q2990">
        <v>0.15393628201433801</v>
      </c>
      <c r="R2990">
        <v>0.99612122080786503</v>
      </c>
      <c r="S2990" t="s">
        <v>9275</v>
      </c>
      <c r="T2990" t="s">
        <v>12568</v>
      </c>
      <c r="U2990" t="s">
        <v>12568</v>
      </c>
      <c r="V2990" t="s">
        <v>12568</v>
      </c>
      <c r="W2990" t="s">
        <v>15519</v>
      </c>
      <c r="X2990">
        <v>113</v>
      </c>
      <c r="Y2990" t="s">
        <v>21669</v>
      </c>
      <c r="Z2990" t="s">
        <v>27860</v>
      </c>
      <c r="AA2990">
        <v>0.67354420537117332</v>
      </c>
      <c r="AB2990" t="str">
        <f>HYPERLINK("Melting_Curves/meltCurve_Q13813_3_SPTAN1.pdf", "Melting_Curves/meltCurve_Q13813_3_SPTAN1.pdf")</f>
        <v>Melting_Curves/meltCurve_Q13813_3_SPTAN1.pdf</v>
      </c>
    </row>
    <row r="2991" spans="1:28" x14ac:dyDescent="0.25">
      <c r="A2991" t="s">
        <v>2995</v>
      </c>
      <c r="B2991">
        <v>0.99352677808782597</v>
      </c>
      <c r="C2991">
        <v>0.96570511232808798</v>
      </c>
      <c r="D2991">
        <v>0.91268302603655105</v>
      </c>
      <c r="E2991">
        <v>0.38586364648756499</v>
      </c>
      <c r="F2991">
        <v>0.297415113606041</v>
      </c>
      <c r="G2991">
        <v>0.20142256294559199</v>
      </c>
      <c r="H2991">
        <v>0.13966588925315901</v>
      </c>
      <c r="I2991">
        <v>0.124235659612336</v>
      </c>
      <c r="J2991">
        <v>0.12132864906622701</v>
      </c>
      <c r="K2991">
        <v>9.8585514201524199E-2</v>
      </c>
      <c r="L2991">
        <v>1326.7574945932499</v>
      </c>
      <c r="M2991">
        <v>27.141184731254299</v>
      </c>
      <c r="N2991">
        <v>49.471935273909502</v>
      </c>
      <c r="O2991">
        <v>48.620496766501901</v>
      </c>
      <c r="P2991">
        <v>-0.120307026975492</v>
      </c>
      <c r="Q2991">
        <v>0.13794038896093799</v>
      </c>
      <c r="R2991">
        <v>0.98910656280551401</v>
      </c>
      <c r="S2991" t="s">
        <v>9276</v>
      </c>
      <c r="T2991" t="s">
        <v>12568</v>
      </c>
      <c r="U2991" t="s">
        <v>12568</v>
      </c>
      <c r="V2991" t="s">
        <v>12568</v>
      </c>
      <c r="W2991" t="s">
        <v>15520</v>
      </c>
      <c r="X2991">
        <v>2</v>
      </c>
      <c r="Y2991" t="s">
        <v>21670</v>
      </c>
      <c r="Z2991" t="s">
        <v>27861</v>
      </c>
      <c r="AA2991">
        <v>0.39965408723333018</v>
      </c>
      <c r="AB2991" t="str">
        <f>HYPERLINK("Melting_Curves/meltCurve_Q13825_AUH.pdf", "Melting_Curves/meltCurve_Q13825_AUH.pdf")</f>
        <v>Melting_Curves/meltCurve_Q13825_AUH.pdf</v>
      </c>
    </row>
    <row r="2992" spans="1:28" x14ac:dyDescent="0.25">
      <c r="A2992" t="s">
        <v>2996</v>
      </c>
      <c r="B2992">
        <v>0.99352677808782597</v>
      </c>
      <c r="C2992">
        <v>0.89777649307756902</v>
      </c>
      <c r="D2992">
        <v>0.84170294962960202</v>
      </c>
      <c r="E2992">
        <v>0.62301806305349905</v>
      </c>
      <c r="F2992">
        <v>0.58083712230601603</v>
      </c>
      <c r="G2992">
        <v>0.22131061668103799</v>
      </c>
      <c r="H2992">
        <v>0.108154006578465</v>
      </c>
      <c r="I2992">
        <v>9.6439140990150996E-2</v>
      </c>
      <c r="J2992">
        <v>8.2941758265814999E-2</v>
      </c>
      <c r="K2992">
        <v>6.4973009662932305E-2</v>
      </c>
      <c r="L2992">
        <v>650.73586224773601</v>
      </c>
      <c r="M2992">
        <v>12.375400924253301</v>
      </c>
      <c r="N2992">
        <v>52.583026685465498</v>
      </c>
      <c r="O2992">
        <v>51.266558977122003</v>
      </c>
      <c r="P2992">
        <v>-6.0361193882988898E-2</v>
      </c>
      <c r="Q2992">
        <v>0</v>
      </c>
      <c r="R2992">
        <v>0.98404865685851906</v>
      </c>
      <c r="S2992" t="s">
        <v>9277</v>
      </c>
      <c r="T2992" t="s">
        <v>12568</v>
      </c>
      <c r="U2992" t="s">
        <v>12568</v>
      </c>
      <c r="V2992" t="s">
        <v>12568</v>
      </c>
      <c r="W2992" t="s">
        <v>15521</v>
      </c>
      <c r="X2992">
        <v>23</v>
      </c>
      <c r="Y2992" t="s">
        <v>21671</v>
      </c>
      <c r="Z2992" t="s">
        <v>27862</v>
      </c>
      <c r="AA2992">
        <v>0.44774275633395072</v>
      </c>
      <c r="AB2992" t="str">
        <f>HYPERLINK("Melting_Curves/meltCurve_Q13838_DDX39B.pdf", "Melting_Curves/meltCurve_Q13838_DDX39B.pdf")</f>
        <v>Melting_Curves/meltCurve_Q13838_DDX39B.pdf</v>
      </c>
    </row>
    <row r="2993" spans="1:28" x14ac:dyDescent="0.25">
      <c r="A2993" t="s">
        <v>2997</v>
      </c>
      <c r="B2993">
        <v>0.99352677808782597</v>
      </c>
      <c r="C2993">
        <v>1.0737845186005399</v>
      </c>
      <c r="D2993">
        <v>0.90807133820411301</v>
      </c>
      <c r="E2993">
        <v>0.74373635561441098</v>
      </c>
      <c r="F2993">
        <v>0.61361108588457602</v>
      </c>
      <c r="G2993">
        <v>0.56011844569719704</v>
      </c>
      <c r="H2993">
        <v>0.96206812560361299</v>
      </c>
      <c r="I2993">
        <v>0.72265121323970205</v>
      </c>
      <c r="J2993">
        <v>0.36787835730798901</v>
      </c>
      <c r="K2993">
        <v>0.136742509562264</v>
      </c>
      <c r="L2993">
        <v>383.39899936296899</v>
      </c>
      <c r="M2993">
        <v>5.9368405193136002</v>
      </c>
      <c r="N2993">
        <v>64.579635936493204</v>
      </c>
      <c r="O2993">
        <v>58.391539340360303</v>
      </c>
      <c r="P2993">
        <v>-2.5503719321853802E-2</v>
      </c>
      <c r="Q2993">
        <v>0</v>
      </c>
      <c r="R2993">
        <v>0.589555655312761</v>
      </c>
      <c r="S2993" t="s">
        <v>9278</v>
      </c>
      <c r="T2993" t="s">
        <v>12568</v>
      </c>
      <c r="U2993" t="s">
        <v>12568</v>
      </c>
      <c r="V2993" t="s">
        <v>12568</v>
      </c>
      <c r="W2993" t="s">
        <v>15522</v>
      </c>
      <c r="X2993">
        <v>18</v>
      </c>
      <c r="Y2993" t="s">
        <v>21672</v>
      </c>
      <c r="Z2993" t="s">
        <v>27863</v>
      </c>
      <c r="AA2993">
        <v>0.71748953412615823</v>
      </c>
      <c r="AB2993" t="str">
        <f>HYPERLINK("Melting_Curves/meltCurve_Q13867_BLMH.pdf", "Melting_Curves/meltCurve_Q13867_BLMH.pdf")</f>
        <v>Melting_Curves/meltCurve_Q13867_BLMH.pdf</v>
      </c>
    </row>
    <row r="2994" spans="1:28" x14ac:dyDescent="0.25">
      <c r="A2994" t="s">
        <v>2998</v>
      </c>
      <c r="B2994">
        <v>0.99352677808782597</v>
      </c>
      <c r="C2994">
        <v>1.02890444812531</v>
      </c>
      <c r="D2994">
        <v>0.96061291943708405</v>
      </c>
      <c r="E2994">
        <v>1.13917552112595</v>
      </c>
      <c r="F2994">
        <v>0.97386459494173105</v>
      </c>
      <c r="G2994">
        <v>0.66821752386788102</v>
      </c>
      <c r="H2994">
        <v>0.39713976550657598</v>
      </c>
      <c r="I2994">
        <v>0.20436877125258199</v>
      </c>
      <c r="J2994">
        <v>0.137801744069423</v>
      </c>
      <c r="K2994">
        <v>9.7223593215298998E-2</v>
      </c>
      <c r="L2994">
        <v>1428.8820758094701</v>
      </c>
      <c r="M2994">
        <v>24.271905073759999</v>
      </c>
      <c r="N2994">
        <v>59.3628549116522</v>
      </c>
      <c r="O2994">
        <v>58.474562101502698</v>
      </c>
      <c r="P2994">
        <v>-9.4299514935853604E-2</v>
      </c>
      <c r="Q2994">
        <v>9.1288741508073007E-2</v>
      </c>
      <c r="R2994">
        <v>0.98044857706039201</v>
      </c>
      <c r="S2994" t="s">
        <v>9279</v>
      </c>
      <c r="T2994" t="s">
        <v>12568</v>
      </c>
      <c r="U2994" t="s">
        <v>12568</v>
      </c>
      <c r="V2994" t="s">
        <v>12568</v>
      </c>
      <c r="W2994" t="s">
        <v>15523</v>
      </c>
      <c r="X2994">
        <v>6</v>
      </c>
      <c r="Y2994" t="s">
        <v>21673</v>
      </c>
      <c r="Z2994" t="s">
        <v>27864</v>
      </c>
      <c r="AA2994">
        <v>0.67064706619215897</v>
      </c>
      <c r="AB2994" t="str">
        <f>HYPERLINK("Melting_Curves/meltCurve_Q13868_EXOSC2.pdf", "Melting_Curves/meltCurve_Q13868_EXOSC2.pdf")</f>
        <v>Melting_Curves/meltCurve_Q13868_EXOSC2.pdf</v>
      </c>
    </row>
    <row r="2995" spans="1:28" x14ac:dyDescent="0.25">
      <c r="A2995" t="s">
        <v>2999</v>
      </c>
      <c r="B2995">
        <v>0.99352677808782597</v>
      </c>
      <c r="C2995">
        <v>0.901227263857723</v>
      </c>
      <c r="D2995">
        <v>0.91929197997978196</v>
      </c>
      <c r="E2995">
        <v>0.54111775880203505</v>
      </c>
      <c r="F2995">
        <v>0.42417692529244</v>
      </c>
      <c r="G2995">
        <v>0.20433350664774799</v>
      </c>
      <c r="H2995">
        <v>9.6710707719401295E-2</v>
      </c>
      <c r="I2995">
        <v>0.10020039562788299</v>
      </c>
      <c r="J2995">
        <v>7.1035127834299994E-2</v>
      </c>
      <c r="K2995">
        <v>5.5407555416969401E-2</v>
      </c>
      <c r="L2995">
        <v>795.51978809680395</v>
      </c>
      <c r="M2995">
        <v>15.592861099655901</v>
      </c>
      <c r="N2995">
        <v>51.344117370296502</v>
      </c>
      <c r="O2995">
        <v>50.201184460492698</v>
      </c>
      <c r="P2995">
        <v>-7.3999451291402701E-2</v>
      </c>
      <c r="Q2995">
        <v>4.7118366943726502E-2</v>
      </c>
      <c r="R2995">
        <v>0.99077818385279204</v>
      </c>
      <c r="S2995" t="s">
        <v>9280</v>
      </c>
      <c r="T2995" t="s">
        <v>12568</v>
      </c>
      <c r="U2995" t="s">
        <v>12568</v>
      </c>
      <c r="V2995" t="s">
        <v>12568</v>
      </c>
      <c r="W2995" t="s">
        <v>15524</v>
      </c>
      <c r="X2995">
        <v>23</v>
      </c>
      <c r="Y2995" t="s">
        <v>21674</v>
      </c>
      <c r="Z2995" t="s">
        <v>27865</v>
      </c>
      <c r="AA2995">
        <v>0.41771156514136742</v>
      </c>
      <c r="AB2995" t="str">
        <f>HYPERLINK("Melting_Curves/meltCurve_Q13885_TUBB2A.pdf", "Melting_Curves/meltCurve_Q13885_TUBB2A.pdf")</f>
        <v>Melting_Curves/meltCurve_Q13885_TUBB2A.pdf</v>
      </c>
    </row>
    <row r="2996" spans="1:28" x14ac:dyDescent="0.25">
      <c r="A2996" t="s">
        <v>3000</v>
      </c>
      <c r="B2996">
        <v>0.99352677808782597</v>
      </c>
      <c r="C2996">
        <v>1.0482213462658401</v>
      </c>
      <c r="D2996">
        <v>1.0432270827874399</v>
      </c>
      <c r="E2996">
        <v>1.1267709198535301</v>
      </c>
      <c r="F2996">
        <v>0.97306772140626097</v>
      </c>
      <c r="G2996">
        <v>0.86673468278592003</v>
      </c>
      <c r="H2996">
        <v>0.72741333876774805</v>
      </c>
      <c r="I2996">
        <v>0.717331465187655</v>
      </c>
      <c r="J2996">
        <v>0.77750815138966101</v>
      </c>
      <c r="K2996">
        <v>0.71985852179700804</v>
      </c>
      <c r="L2996">
        <v>3460.2135164341798</v>
      </c>
      <c r="M2996">
        <v>60.740058684351702</v>
      </c>
      <c r="O2996">
        <v>56.9059167096976</v>
      </c>
      <c r="P2996">
        <v>-7.0850738102240393E-2</v>
      </c>
      <c r="Q2996">
        <v>0.73448661669121396</v>
      </c>
      <c r="R2996">
        <v>0.89342992175852898</v>
      </c>
      <c r="S2996" t="s">
        <v>9281</v>
      </c>
      <c r="T2996" t="s">
        <v>12568</v>
      </c>
      <c r="U2996" t="s">
        <v>12568</v>
      </c>
      <c r="V2996" t="s">
        <v>12568</v>
      </c>
      <c r="W2996" t="s">
        <v>15525</v>
      </c>
      <c r="X2996">
        <v>4</v>
      </c>
      <c r="Y2996" t="s">
        <v>21675</v>
      </c>
      <c r="Z2996" t="s">
        <v>27866</v>
      </c>
      <c r="AA2996">
        <v>0.88510830879091429</v>
      </c>
      <c r="AB2996" t="str">
        <f>HYPERLINK("Melting_Curves/meltCurve_Q13887_KLF5.pdf", "Melting_Curves/meltCurve_Q13887_KLF5.pdf")</f>
        <v>Melting_Curves/meltCurve_Q13887_KLF5.pdf</v>
      </c>
    </row>
    <row r="2997" spans="1:28" x14ac:dyDescent="0.25">
      <c r="A2997" t="s">
        <v>3001</v>
      </c>
      <c r="B2997">
        <v>0.99352677808782597</v>
      </c>
      <c r="C2997">
        <v>0.99155449719775601</v>
      </c>
      <c r="D2997">
        <v>0.94169219430528295</v>
      </c>
      <c r="E2997">
        <v>0.39317837635806702</v>
      </c>
      <c r="F2997">
        <v>0.33168897297974698</v>
      </c>
      <c r="G2997">
        <v>0.209568624163709</v>
      </c>
      <c r="H2997">
        <v>0.15919817012800899</v>
      </c>
      <c r="I2997">
        <v>0.14508868285255599</v>
      </c>
      <c r="J2997">
        <v>0.121615255309223</v>
      </c>
      <c r="K2997">
        <v>0.10650045672931301</v>
      </c>
      <c r="L2997">
        <v>1403.90791649995</v>
      </c>
      <c r="M2997">
        <v>28.644479539274101</v>
      </c>
      <c r="N2997">
        <v>49.646877788189101</v>
      </c>
      <c r="O2997">
        <v>48.774462619263701</v>
      </c>
      <c r="P2997">
        <v>-0.12429073253781001</v>
      </c>
      <c r="Q2997">
        <v>0.153461263012312</v>
      </c>
      <c r="R2997">
        <v>0.98419498620399504</v>
      </c>
      <c r="S2997" t="s">
        <v>9282</v>
      </c>
      <c r="T2997" t="s">
        <v>12568</v>
      </c>
      <c r="U2997" t="s">
        <v>12568</v>
      </c>
      <c r="V2997" t="s">
        <v>12568</v>
      </c>
      <c r="W2997" t="s">
        <v>15526</v>
      </c>
      <c r="X2997">
        <v>10</v>
      </c>
      <c r="Y2997" t="s">
        <v>21676</v>
      </c>
      <c r="Z2997" t="s">
        <v>27867</v>
      </c>
      <c r="AA2997">
        <v>0.41341630767738707</v>
      </c>
      <c r="AB2997" t="str">
        <f>HYPERLINK("Melting_Curves/meltCurve_Q13895_BYSL.pdf", "Melting_Curves/meltCurve_Q13895_BYSL.pdf")</f>
        <v>Melting_Curves/meltCurve_Q13895_BYSL.pdf</v>
      </c>
    </row>
    <row r="2998" spans="1:28" x14ac:dyDescent="0.25">
      <c r="A2998" t="s">
        <v>3002</v>
      </c>
      <c r="B2998">
        <v>0.99352677808782597</v>
      </c>
      <c r="C2998">
        <v>0.80763960163093795</v>
      </c>
      <c r="D2998">
        <v>0.91575306382852395</v>
      </c>
      <c r="E2998">
        <v>0.76247337874635301</v>
      </c>
      <c r="F2998">
        <v>0.63184880327450998</v>
      </c>
      <c r="G2998">
        <v>0.50435352678180101</v>
      </c>
      <c r="H2998">
        <v>0.277154742432553</v>
      </c>
      <c r="I2998">
        <v>0.26918812417756099</v>
      </c>
      <c r="J2998">
        <v>0.15237105157970199</v>
      </c>
      <c r="K2998">
        <v>0.101456550391353</v>
      </c>
      <c r="L2998">
        <v>523.96201761010605</v>
      </c>
      <c r="M2998">
        <v>9.3576262095880196</v>
      </c>
      <c r="N2998">
        <v>55.993048436292298</v>
      </c>
      <c r="O2998">
        <v>53.614403180032703</v>
      </c>
      <c r="P2998">
        <v>-4.3661269016281201E-2</v>
      </c>
      <c r="Q2998">
        <v>0</v>
      </c>
      <c r="R2998">
        <v>0.97225039628257304</v>
      </c>
      <c r="S2998" t="s">
        <v>9283</v>
      </c>
      <c r="T2998" t="s">
        <v>12568</v>
      </c>
      <c r="U2998" t="s">
        <v>12568</v>
      </c>
      <c r="V2998" t="s">
        <v>12568</v>
      </c>
      <c r="W2998" t="s">
        <v>15527</v>
      </c>
      <c r="X2998">
        <v>14</v>
      </c>
      <c r="Y2998" t="s">
        <v>21677</v>
      </c>
      <c r="Z2998" t="s">
        <v>27868</v>
      </c>
      <c r="AA2998">
        <v>0.55411084960381096</v>
      </c>
      <c r="AB2998" t="str">
        <f>HYPERLINK("Melting_Curves/meltCurve_Q13907_IDI1.pdf", "Melting_Curves/meltCurve_Q13907_IDI1.pdf")</f>
        <v>Melting_Curves/meltCurve_Q13907_IDI1.pdf</v>
      </c>
    </row>
    <row r="2999" spans="1:28" x14ac:dyDescent="0.25">
      <c r="A2999" t="s">
        <v>3003</v>
      </c>
      <c r="B2999">
        <v>0.99352677808782597</v>
      </c>
      <c r="C2999">
        <v>0</v>
      </c>
      <c r="D2999">
        <v>0.81589136175379295</v>
      </c>
      <c r="E2999">
        <v>0.71950070302407099</v>
      </c>
      <c r="F2999">
        <v>0.63232635452642705</v>
      </c>
      <c r="G2999">
        <v>0.67280607833824702</v>
      </c>
      <c r="H2999">
        <v>0.58959905375135002</v>
      </c>
      <c r="I2999">
        <v>0.6138096023288</v>
      </c>
      <c r="J2999">
        <v>0.55871657460527702</v>
      </c>
      <c r="K2999">
        <v>0.44306264458476202</v>
      </c>
      <c r="L2999">
        <v>10167.6075591839</v>
      </c>
      <c r="M2999">
        <v>250</v>
      </c>
      <c r="O2999">
        <v>40.667827525944197</v>
      </c>
      <c r="P2999">
        <v>-0.67523450611025404</v>
      </c>
      <c r="Q2999">
        <v>0.56063487278118296</v>
      </c>
      <c r="R2999">
        <v>0.27712981474673198</v>
      </c>
      <c r="S2999" t="s">
        <v>9284</v>
      </c>
      <c r="T2999" t="s">
        <v>12568</v>
      </c>
      <c r="U2999" t="s">
        <v>12568</v>
      </c>
      <c r="V2999" t="s">
        <v>12568</v>
      </c>
      <c r="W2999" t="s">
        <v>15528</v>
      </c>
      <c r="X2999">
        <v>2</v>
      </c>
      <c r="Y2999" t="s">
        <v>21678</v>
      </c>
      <c r="Z2999" t="s">
        <v>27869</v>
      </c>
      <c r="AA2999">
        <v>0.57051939010340191</v>
      </c>
      <c r="AB2999" t="str">
        <f>HYPERLINK("Melting_Curves/meltCurve_Q13938_CAPS.pdf", "Melting_Curves/meltCurve_Q13938_CAPS.pdf")</f>
        <v>Melting_Curves/meltCurve_Q13938_CAPS.pdf</v>
      </c>
    </row>
    <row r="3000" spans="1:28" x14ac:dyDescent="0.25">
      <c r="A3000" t="s">
        <v>3004</v>
      </c>
      <c r="B3000">
        <v>0.99352677808782597</v>
      </c>
      <c r="C3000">
        <v>1.0150526746409001</v>
      </c>
      <c r="D3000">
        <v>1.06386828998401</v>
      </c>
      <c r="E3000">
        <v>0.78851366560355296</v>
      </c>
      <c r="F3000">
        <v>0.66599082512182395</v>
      </c>
      <c r="G3000">
        <v>0.35335251707855603</v>
      </c>
      <c r="H3000">
        <v>0.22025358638723799</v>
      </c>
      <c r="I3000">
        <v>0.185257639133702</v>
      </c>
      <c r="J3000">
        <v>0.19268592180688299</v>
      </c>
      <c r="K3000">
        <v>0.100206053832627</v>
      </c>
      <c r="L3000">
        <v>1038.1780362407801</v>
      </c>
      <c r="M3000">
        <v>19.242295623410701</v>
      </c>
      <c r="N3000">
        <v>54.848078176658703</v>
      </c>
      <c r="O3000">
        <v>53.380356518348002</v>
      </c>
      <c r="P3000">
        <v>-7.79775655880902E-2</v>
      </c>
      <c r="Q3000">
        <v>0.13475779567048099</v>
      </c>
      <c r="R3000">
        <v>0.98768292652267398</v>
      </c>
      <c r="S3000" t="s">
        <v>9285</v>
      </c>
      <c r="T3000" t="s">
        <v>12568</v>
      </c>
      <c r="U3000" t="s">
        <v>12568</v>
      </c>
      <c r="V3000" t="s">
        <v>12568</v>
      </c>
      <c r="W3000" t="s">
        <v>15529</v>
      </c>
      <c r="X3000">
        <v>13</v>
      </c>
      <c r="Y3000" t="s">
        <v>21679</v>
      </c>
      <c r="Z3000" t="s">
        <v>27870</v>
      </c>
      <c r="AA3000">
        <v>0.54969494228165139</v>
      </c>
      <c r="AB3000" t="str">
        <f>HYPERLINK("Melting_Curves/meltCurve_Q13951_CBFB.pdf", "Melting_Curves/meltCurve_Q13951_CBFB.pdf")</f>
        <v>Melting_Curves/meltCurve_Q13951_CBFB.pdf</v>
      </c>
    </row>
    <row r="3001" spans="1:28" x14ac:dyDescent="0.25">
      <c r="A3001" t="s">
        <v>3005</v>
      </c>
      <c r="B3001">
        <v>0.99352677808782597</v>
      </c>
      <c r="C3001">
        <v>0.98720348640815503</v>
      </c>
      <c r="D3001">
        <v>1.0195595106930699</v>
      </c>
      <c r="E3001">
        <v>0.79934601207346601</v>
      </c>
      <c r="F3001">
        <v>0.75563959213037601</v>
      </c>
      <c r="G3001">
        <v>0.44139016503224998</v>
      </c>
      <c r="H3001">
        <v>0.224554441250647</v>
      </c>
      <c r="I3001">
        <v>0.190082309679033</v>
      </c>
      <c r="J3001">
        <v>0.16993897892503601</v>
      </c>
      <c r="K3001">
        <v>0.13843081416981501</v>
      </c>
      <c r="L3001">
        <v>953.48322720320095</v>
      </c>
      <c r="M3001">
        <v>17.278433144468199</v>
      </c>
      <c r="N3001">
        <v>56.021135565977303</v>
      </c>
      <c r="O3001">
        <v>54.460181324565902</v>
      </c>
      <c r="P3001">
        <v>-7.0291100205743501E-2</v>
      </c>
      <c r="Q3001">
        <v>0.1138449342396</v>
      </c>
      <c r="R3001">
        <v>0.99109409640005997</v>
      </c>
      <c r="S3001" t="s">
        <v>9286</v>
      </c>
      <c r="T3001" t="s">
        <v>12568</v>
      </c>
      <c r="U3001" t="s">
        <v>12568</v>
      </c>
      <c r="V3001" t="s">
        <v>12568</v>
      </c>
      <c r="W3001" t="s">
        <v>15530</v>
      </c>
      <c r="X3001">
        <v>13</v>
      </c>
      <c r="Y3001" t="s">
        <v>21679</v>
      </c>
      <c r="Z3001" t="s">
        <v>27871</v>
      </c>
      <c r="AA3001">
        <v>0.57668202220320353</v>
      </c>
      <c r="AB3001" t="str">
        <f>HYPERLINK("Melting_Curves/meltCurve_Q13951_2_CBFB.pdf", "Melting_Curves/meltCurve_Q13951_2_CBFB.pdf")</f>
        <v>Melting_Curves/meltCurve_Q13951_2_CBFB.pdf</v>
      </c>
    </row>
    <row r="3002" spans="1:28" x14ac:dyDescent="0.25">
      <c r="A3002" t="s">
        <v>3006</v>
      </c>
      <c r="B3002">
        <v>0.99352677808782597</v>
      </c>
      <c r="C3002">
        <v>0.98570434779203797</v>
      </c>
      <c r="D3002">
        <v>0.96608039121050704</v>
      </c>
      <c r="E3002">
        <v>0.84687017698753497</v>
      </c>
      <c r="F3002">
        <v>0.805753507749985</v>
      </c>
      <c r="G3002">
        <v>0.40298316911302301</v>
      </c>
      <c r="H3002">
        <v>0.16336020608438101</v>
      </c>
      <c r="I3002">
        <v>0.13908282906719599</v>
      </c>
      <c r="J3002">
        <v>0.12437813850535701</v>
      </c>
      <c r="K3002">
        <v>9.2257050677306093E-2</v>
      </c>
      <c r="L3002">
        <v>1204.7313637110101</v>
      </c>
      <c r="M3002">
        <v>21.730268283941999</v>
      </c>
      <c r="N3002">
        <v>55.912846219508701</v>
      </c>
      <c r="O3002">
        <v>54.9771378280645</v>
      </c>
      <c r="P3002">
        <v>-9.0526877504457703E-2</v>
      </c>
      <c r="Q3002">
        <v>8.3896807399687606E-2</v>
      </c>
      <c r="R3002">
        <v>0.99274323767400696</v>
      </c>
      <c r="S3002" t="s">
        <v>9287</v>
      </c>
      <c r="T3002" t="s">
        <v>12568</v>
      </c>
      <c r="U3002" t="s">
        <v>12568</v>
      </c>
      <c r="V3002" t="s">
        <v>12568</v>
      </c>
      <c r="W3002" t="s">
        <v>15531</v>
      </c>
      <c r="X3002">
        <v>9</v>
      </c>
      <c r="Y3002" t="s">
        <v>21680</v>
      </c>
      <c r="Z3002" t="s">
        <v>27872</v>
      </c>
      <c r="AA3002">
        <v>0.56602820794890862</v>
      </c>
      <c r="AB3002" t="str">
        <f>HYPERLINK("Melting_Curves/meltCurve_Q13952_3_NFYC.pdf", "Melting_Curves/meltCurve_Q13952_3_NFYC.pdf")</f>
        <v>Melting_Curves/meltCurve_Q13952_3_NFYC.pdf</v>
      </c>
    </row>
    <row r="3003" spans="1:28" x14ac:dyDescent="0.25">
      <c r="A3003" t="s">
        <v>3007</v>
      </c>
      <c r="B3003">
        <v>0.99352677808782597</v>
      </c>
      <c r="C3003">
        <v>0.95398152578582796</v>
      </c>
      <c r="D3003">
        <v>0.91350903731971</v>
      </c>
      <c r="E3003">
        <v>0.57126592959264</v>
      </c>
      <c r="F3003">
        <v>0.51086346087901502</v>
      </c>
      <c r="G3003">
        <v>0.307805359869124</v>
      </c>
      <c r="H3003">
        <v>0.235062545121767</v>
      </c>
      <c r="I3003">
        <v>0.23946585734679901</v>
      </c>
      <c r="J3003">
        <v>0.217553745704613</v>
      </c>
      <c r="K3003">
        <v>0.16524226200164199</v>
      </c>
      <c r="L3003">
        <v>793.35951375604304</v>
      </c>
      <c r="M3003">
        <v>15.634014082858901</v>
      </c>
      <c r="N3003">
        <v>52.315416217708801</v>
      </c>
      <c r="O3003">
        <v>49.937236312706403</v>
      </c>
      <c r="P3003">
        <v>-6.3620789206209699E-2</v>
      </c>
      <c r="Q3003">
        <v>0.18721487393064201</v>
      </c>
      <c r="R3003">
        <v>0.98865491980994502</v>
      </c>
      <c r="S3003" t="s">
        <v>9288</v>
      </c>
      <c r="T3003" t="s">
        <v>12568</v>
      </c>
      <c r="U3003" t="s">
        <v>12568</v>
      </c>
      <c r="V3003" t="s">
        <v>12568</v>
      </c>
      <c r="W3003" t="s">
        <v>15532</v>
      </c>
      <c r="X3003">
        <v>5</v>
      </c>
      <c r="Y3003" t="s">
        <v>21681</v>
      </c>
      <c r="Z3003" t="s">
        <v>27873</v>
      </c>
      <c r="AA3003">
        <v>0.49598919094737232</v>
      </c>
      <c r="AB3003" t="str">
        <f>HYPERLINK("Melting_Curves/meltCurve_Q14004_CDK13.pdf", "Melting_Curves/meltCurve_Q14004_CDK13.pdf")</f>
        <v>Melting_Curves/meltCurve_Q14004_CDK13.pdf</v>
      </c>
    </row>
    <row r="3004" spans="1:28" x14ac:dyDescent="0.25">
      <c r="A3004" t="s">
        <v>3008</v>
      </c>
      <c r="B3004">
        <v>0.99352677808782597</v>
      </c>
      <c r="C3004">
        <v>0.92056582207552395</v>
      </c>
      <c r="D3004">
        <v>0.82508937133524995</v>
      </c>
      <c r="E3004">
        <v>0.324083971749276</v>
      </c>
      <c r="F3004">
        <v>0.25087573531403201</v>
      </c>
      <c r="G3004">
        <v>0.14565068945630699</v>
      </c>
      <c r="H3004">
        <v>0.10203542836740701</v>
      </c>
      <c r="I3004">
        <v>9.3860360512276697E-2</v>
      </c>
      <c r="J3004">
        <v>8.3005783557310905E-2</v>
      </c>
      <c r="K3004">
        <v>6.2449658042592601E-2</v>
      </c>
      <c r="L3004">
        <v>1111.7582657564001</v>
      </c>
      <c r="M3004">
        <v>23.0060007077454</v>
      </c>
      <c r="N3004">
        <v>48.759315104484699</v>
      </c>
      <c r="O3004">
        <v>47.964031775267401</v>
      </c>
      <c r="P3004">
        <v>-0.108798823115937</v>
      </c>
      <c r="Q3004">
        <v>9.2700661627854994E-2</v>
      </c>
      <c r="R3004">
        <v>0.99191817994374398</v>
      </c>
      <c r="S3004" t="s">
        <v>9289</v>
      </c>
      <c r="T3004" t="s">
        <v>12568</v>
      </c>
      <c r="U3004" t="s">
        <v>12568</v>
      </c>
      <c r="V3004" t="s">
        <v>12568</v>
      </c>
      <c r="W3004" t="s">
        <v>15533</v>
      </c>
      <c r="X3004">
        <v>62</v>
      </c>
      <c r="Y3004" t="s">
        <v>21682</v>
      </c>
      <c r="Z3004" t="s">
        <v>27874</v>
      </c>
      <c r="AA3004">
        <v>0.35401780848604109</v>
      </c>
      <c r="AB3004" t="str">
        <f>HYPERLINK("Melting_Curves/meltCurve_Q14008_CKAP5.pdf", "Melting_Curves/meltCurve_Q14008_CKAP5.pdf")</f>
        <v>Melting_Curves/meltCurve_Q14008_CKAP5.pdf</v>
      </c>
    </row>
    <row r="3005" spans="1:28" x14ac:dyDescent="0.25">
      <c r="A3005" t="s">
        <v>3009</v>
      </c>
      <c r="B3005">
        <v>0.99352677808782597</v>
      </c>
      <c r="C3005">
        <v>0.98749968456494797</v>
      </c>
      <c r="D3005">
        <v>1.05953631441947</v>
      </c>
      <c r="E3005">
        <v>0.95867092953938704</v>
      </c>
      <c r="F3005">
        <v>0.88875242331911497</v>
      </c>
      <c r="G3005">
        <v>0.67085007676278297</v>
      </c>
      <c r="H3005">
        <v>0.58068828073663603</v>
      </c>
      <c r="I3005">
        <v>0.59425661099573601</v>
      </c>
      <c r="J3005">
        <v>0.64883075116508604</v>
      </c>
      <c r="K3005">
        <v>0.50722055287264001</v>
      </c>
      <c r="L3005">
        <v>1657.4040559949201</v>
      </c>
      <c r="M3005">
        <v>30.310264752308999</v>
      </c>
      <c r="O3005">
        <v>54.444915460797098</v>
      </c>
      <c r="P3005">
        <v>-5.8932993567783601E-2</v>
      </c>
      <c r="Q3005">
        <v>0.57656829823252098</v>
      </c>
      <c r="R3005">
        <v>0.96262311374502196</v>
      </c>
      <c r="S3005" t="s">
        <v>9290</v>
      </c>
      <c r="T3005" t="s">
        <v>12568</v>
      </c>
      <c r="U3005" t="s">
        <v>12568</v>
      </c>
      <c r="V3005" t="s">
        <v>12568</v>
      </c>
      <c r="W3005" t="s">
        <v>15534</v>
      </c>
      <c r="X3005">
        <v>4</v>
      </c>
      <c r="Y3005" t="s">
        <v>21683</v>
      </c>
      <c r="Z3005" t="s">
        <v>27875</v>
      </c>
      <c r="AA3005">
        <v>0.78653239098255923</v>
      </c>
      <c r="AB3005" t="str">
        <f>HYPERLINK("Melting_Curves/meltCurve_Q14011_CIRBP.pdf", "Melting_Curves/meltCurve_Q14011_CIRBP.pdf")</f>
        <v>Melting_Curves/meltCurve_Q14011_CIRBP.pdf</v>
      </c>
    </row>
    <row r="3006" spans="1:28" x14ac:dyDescent="0.25">
      <c r="A3006" t="s">
        <v>3010</v>
      </c>
      <c r="B3006">
        <v>0.99352677808782597</v>
      </c>
      <c r="C3006">
        <v>0.95529464135657705</v>
      </c>
      <c r="D3006">
        <v>0.88888658152526001</v>
      </c>
      <c r="E3006">
        <v>0.492469590948036</v>
      </c>
      <c r="F3006">
        <v>0.39355175891722</v>
      </c>
      <c r="G3006">
        <v>0.260862326806786</v>
      </c>
      <c r="H3006">
        <v>0.17423677422786801</v>
      </c>
      <c r="I3006">
        <v>0.15935465794366499</v>
      </c>
      <c r="J3006">
        <v>0.181912076998091</v>
      </c>
      <c r="K3006">
        <v>0.13389427655469799</v>
      </c>
      <c r="L3006">
        <v>923.78252718947101</v>
      </c>
      <c r="M3006">
        <v>18.599343791248099</v>
      </c>
      <c r="N3006">
        <v>50.7054922234909</v>
      </c>
      <c r="O3006">
        <v>49.104009481179197</v>
      </c>
      <c r="P3006">
        <v>-7.9704630435118995E-2</v>
      </c>
      <c r="Q3006">
        <v>0.15832573815245099</v>
      </c>
      <c r="R3006">
        <v>0.99164835103573801</v>
      </c>
      <c r="S3006" t="s">
        <v>9291</v>
      </c>
      <c r="T3006" t="s">
        <v>12568</v>
      </c>
      <c r="U3006" t="s">
        <v>12568</v>
      </c>
      <c r="V3006" t="s">
        <v>12568</v>
      </c>
      <c r="W3006" t="s">
        <v>15535</v>
      </c>
      <c r="X3006">
        <v>6</v>
      </c>
      <c r="Y3006" t="s">
        <v>21684</v>
      </c>
      <c r="Z3006" t="s">
        <v>27876</v>
      </c>
      <c r="AA3006">
        <v>0.44308665685006388</v>
      </c>
      <c r="AB3006" t="str">
        <f>HYPERLINK("Melting_Curves/meltCurve_Q14012_CAMK1.pdf", "Melting_Curves/meltCurve_Q14012_CAMK1.pdf")</f>
        <v>Melting_Curves/meltCurve_Q14012_CAMK1.pdf</v>
      </c>
    </row>
    <row r="3007" spans="1:28" x14ac:dyDescent="0.25">
      <c r="A3007" t="s">
        <v>3011</v>
      </c>
      <c r="B3007">
        <v>0.99352677808782597</v>
      </c>
      <c r="C3007">
        <v>0.88343447441201095</v>
      </c>
      <c r="D3007">
        <v>0.98918185726507701</v>
      </c>
      <c r="E3007">
        <v>0.98424744728797797</v>
      </c>
      <c r="F3007">
        <v>0.91393131209879397</v>
      </c>
      <c r="G3007">
        <v>0.84763997495354004</v>
      </c>
      <c r="H3007">
        <v>0.54558227617294797</v>
      </c>
      <c r="I3007">
        <v>0.32787885022053298</v>
      </c>
      <c r="J3007">
        <v>0.168750165618124</v>
      </c>
      <c r="K3007">
        <v>0.114879154371343</v>
      </c>
      <c r="L3007">
        <v>1201.29657812135</v>
      </c>
      <c r="M3007">
        <v>19.548081514712301</v>
      </c>
      <c r="N3007">
        <v>61.587252767156301</v>
      </c>
      <c r="O3007">
        <v>60.821151137155198</v>
      </c>
      <c r="P3007">
        <v>-7.8682713394932699E-2</v>
      </c>
      <c r="Q3007">
        <v>2.0793380253200398E-2</v>
      </c>
      <c r="R3007">
        <v>0.98543136760273198</v>
      </c>
      <c r="S3007" t="s">
        <v>9292</v>
      </c>
      <c r="T3007" t="s">
        <v>12568</v>
      </c>
      <c r="U3007" t="s">
        <v>12568</v>
      </c>
      <c r="V3007" t="s">
        <v>12568</v>
      </c>
      <c r="W3007" t="s">
        <v>15536</v>
      </c>
      <c r="X3007">
        <v>17</v>
      </c>
      <c r="Y3007" t="s">
        <v>21685</v>
      </c>
      <c r="Z3007" t="s">
        <v>27877</v>
      </c>
      <c r="AA3007">
        <v>0.72555765662409577</v>
      </c>
      <c r="AB3007" t="str">
        <f>HYPERLINK("Melting_Curves/meltCurve_Q14019_COTL1.pdf", "Melting_Curves/meltCurve_Q14019_COTL1.pdf")</f>
        <v>Melting_Curves/meltCurve_Q14019_COTL1.pdf</v>
      </c>
    </row>
    <row r="3008" spans="1:28" x14ac:dyDescent="0.25">
      <c r="A3008" t="s">
        <v>3012</v>
      </c>
      <c r="B3008">
        <v>0.99352677808782597</v>
      </c>
      <c r="C3008">
        <v>0.91990320281154103</v>
      </c>
      <c r="D3008">
        <v>0.97924149512604797</v>
      </c>
      <c r="E3008">
        <v>0.30778789991978001</v>
      </c>
      <c r="F3008">
        <v>0.23870842032033901</v>
      </c>
      <c r="G3008">
        <v>0.12986874917467101</v>
      </c>
      <c r="H3008">
        <v>7.9407715152666203E-2</v>
      </c>
      <c r="I3008">
        <v>7.4540765427105707E-2</v>
      </c>
      <c r="J3008">
        <v>5.7503182312337198E-2</v>
      </c>
      <c r="K3008">
        <v>4.7796808311821801E-2</v>
      </c>
      <c r="L3008">
        <v>2005.3458821454301</v>
      </c>
      <c r="M3008">
        <v>41.076111922919203</v>
      </c>
      <c r="N3008">
        <v>49.069089041187802</v>
      </c>
      <c r="O3008">
        <v>48.704942698632102</v>
      </c>
      <c r="P3008">
        <v>-0.19101747421885301</v>
      </c>
      <c r="Q3008">
        <v>9.4025116585880406E-2</v>
      </c>
      <c r="R3008">
        <v>0.98227401268655401</v>
      </c>
      <c r="S3008" t="s">
        <v>9293</v>
      </c>
      <c r="T3008" t="s">
        <v>12568</v>
      </c>
      <c r="U3008" t="s">
        <v>12568</v>
      </c>
      <c r="V3008" t="s">
        <v>12568</v>
      </c>
      <c r="W3008" t="s">
        <v>15537</v>
      </c>
      <c r="X3008">
        <v>6</v>
      </c>
      <c r="Y3008" t="s">
        <v>21686</v>
      </c>
      <c r="Z3008" t="s">
        <v>27878</v>
      </c>
      <c r="AA3008">
        <v>0.36329024665048337</v>
      </c>
      <c r="AB3008" t="str">
        <f>HYPERLINK("Melting_Curves/meltCurve_Q14032_BAAT.pdf", "Melting_Curves/meltCurve_Q14032_BAAT.pdf")</f>
        <v>Melting_Curves/meltCurve_Q14032_BAAT.pdf</v>
      </c>
    </row>
    <row r="3009" spans="1:28" x14ac:dyDescent="0.25">
      <c r="A3009" t="s">
        <v>3013</v>
      </c>
      <c r="B3009">
        <v>0.99352677808782597</v>
      </c>
      <c r="C3009">
        <v>0.93666251843579895</v>
      </c>
      <c r="D3009">
        <v>1.00255825826176</v>
      </c>
      <c r="E3009">
        <v>1.01767901694121</v>
      </c>
      <c r="F3009">
        <v>0.95962292133979799</v>
      </c>
      <c r="G3009">
        <v>0.98568447355771904</v>
      </c>
      <c r="H3009">
        <v>0.87227430168742304</v>
      </c>
      <c r="I3009">
        <v>0.90927811398802505</v>
      </c>
      <c r="J3009">
        <v>0.85635516596741701</v>
      </c>
      <c r="K3009">
        <v>0.87953694840026697</v>
      </c>
      <c r="L3009">
        <v>14364.292851002199</v>
      </c>
      <c r="M3009">
        <v>250</v>
      </c>
      <c r="O3009">
        <v>57.453494497321202</v>
      </c>
      <c r="P3009">
        <v>-0.13123536013041401</v>
      </c>
      <c r="Q3009">
        <v>0.87936111942317596</v>
      </c>
      <c r="R3009">
        <v>0.76232815725711001</v>
      </c>
      <c r="S3009" t="s">
        <v>9294</v>
      </c>
      <c r="T3009" t="s">
        <v>12568</v>
      </c>
      <c r="U3009" t="s">
        <v>12568</v>
      </c>
      <c r="V3009" t="s">
        <v>12568</v>
      </c>
      <c r="W3009" t="s">
        <v>15538</v>
      </c>
      <c r="X3009">
        <v>8</v>
      </c>
      <c r="Y3009" t="s">
        <v>21687</v>
      </c>
      <c r="Z3009" t="s">
        <v>27879</v>
      </c>
      <c r="AA3009">
        <v>0.9495737380925221</v>
      </c>
      <c r="AB3009" t="str">
        <f>HYPERLINK("Melting_Curves/meltCurve_Q14061_COX17.pdf", "Melting_Curves/meltCurve_Q14061_COX17.pdf")</f>
        <v>Melting_Curves/meltCurve_Q14061_COX17.pdf</v>
      </c>
    </row>
    <row r="3010" spans="1:28" x14ac:dyDescent="0.25">
      <c r="A3010" t="s">
        <v>3014</v>
      </c>
      <c r="B3010">
        <v>0.99352677808782597</v>
      </c>
      <c r="C3010">
        <v>1.04364343603576</v>
      </c>
      <c r="D3010">
        <v>1.1200792681573899</v>
      </c>
      <c r="E3010">
        <v>1.0949084482413001</v>
      </c>
      <c r="F3010">
        <v>0.97540053503093505</v>
      </c>
      <c r="G3010">
        <v>0.86977437309085204</v>
      </c>
      <c r="H3010">
        <v>0.764083417730271</v>
      </c>
      <c r="I3010">
        <v>0.70823729419232295</v>
      </c>
      <c r="J3010">
        <v>0.69821894502396997</v>
      </c>
      <c r="K3010">
        <v>0.49775062617417398</v>
      </c>
      <c r="L3010">
        <v>839.34931271313701</v>
      </c>
      <c r="M3010">
        <v>12.992957133857001</v>
      </c>
      <c r="O3010">
        <v>63.127480747683698</v>
      </c>
      <c r="P3010">
        <v>-3.1980297276017498E-2</v>
      </c>
      <c r="Q3010">
        <v>0.37859299013860498</v>
      </c>
      <c r="R3010">
        <v>0.89153656472962595</v>
      </c>
      <c r="S3010" t="s">
        <v>9295</v>
      </c>
      <c r="T3010" t="s">
        <v>12568</v>
      </c>
      <c r="U3010" t="s">
        <v>12568</v>
      </c>
      <c r="V3010" t="s">
        <v>12568</v>
      </c>
      <c r="W3010" t="s">
        <v>15539</v>
      </c>
      <c r="X3010">
        <v>23</v>
      </c>
      <c r="Y3010" t="s">
        <v>21688</v>
      </c>
      <c r="Z3010" t="s">
        <v>27880</v>
      </c>
      <c r="AA3010">
        <v>0.86940738417726704</v>
      </c>
      <c r="AB3010" t="str">
        <f>HYPERLINK("Melting_Curves/meltCurve_Q14103_3_HNRNPD.pdf", "Melting_Curves/meltCurve_Q14103_3_HNRNPD.pdf")</f>
        <v>Melting_Curves/meltCurve_Q14103_3_HNRNPD.pdf</v>
      </c>
    </row>
    <row r="3011" spans="1:28" x14ac:dyDescent="0.25">
      <c r="A3011" t="s">
        <v>3015</v>
      </c>
      <c r="B3011">
        <v>0.99352677808782597</v>
      </c>
      <c r="C3011">
        <v>0.90500698438292904</v>
      </c>
      <c r="D3011">
        <v>0.75727456701595897</v>
      </c>
      <c r="E3011">
        <v>0.69233283325818196</v>
      </c>
      <c r="F3011">
        <v>0.60623651957040803</v>
      </c>
      <c r="G3011">
        <v>0.45575257480084003</v>
      </c>
      <c r="H3011">
        <v>0.40151520215279801</v>
      </c>
      <c r="I3011">
        <v>0.41170146323076701</v>
      </c>
      <c r="J3011">
        <v>0.51252396140084</v>
      </c>
      <c r="K3011">
        <v>0.36898250526655801</v>
      </c>
      <c r="L3011">
        <v>570.74180344758099</v>
      </c>
      <c r="M3011">
        <v>11.6337239598223</v>
      </c>
      <c r="N3011">
        <v>56.377621972390301</v>
      </c>
      <c r="O3011">
        <v>47.6769323497874</v>
      </c>
      <c r="P3011">
        <v>-3.7248482178077302E-2</v>
      </c>
      <c r="Q3011">
        <v>0.38956405426624202</v>
      </c>
      <c r="R3011">
        <v>0.95353413538739795</v>
      </c>
      <c r="S3011" t="s">
        <v>9296</v>
      </c>
      <c r="T3011" t="s">
        <v>12568</v>
      </c>
      <c r="U3011" t="s">
        <v>12568</v>
      </c>
      <c r="V3011" t="s">
        <v>12568</v>
      </c>
      <c r="W3011" t="s">
        <v>15540</v>
      </c>
      <c r="X3011">
        <v>1</v>
      </c>
      <c r="Y3011" t="s">
        <v>21689</v>
      </c>
      <c r="Z3011" t="s">
        <v>27881</v>
      </c>
      <c r="AA3011">
        <v>0.5974199378785392</v>
      </c>
      <c r="AB3011" t="str">
        <f>HYPERLINK("Melting_Curves/meltCurve_Q14108_2_SCARB2.pdf", "Melting_Curves/meltCurve_Q14108_2_SCARB2.pdf")</f>
        <v>Melting_Curves/meltCurve_Q14108_2_SCARB2.pdf</v>
      </c>
    </row>
    <row r="3012" spans="1:28" x14ac:dyDescent="0.25">
      <c r="A3012" t="s">
        <v>3016</v>
      </c>
      <c r="B3012">
        <v>0.99352677808782597</v>
      </c>
      <c r="C3012">
        <v>1.07846543326595</v>
      </c>
      <c r="D3012">
        <v>0.89966616441126601</v>
      </c>
      <c r="E3012">
        <v>0.89802502765358905</v>
      </c>
      <c r="F3012">
        <v>0.85065660687852496</v>
      </c>
      <c r="G3012">
        <v>0.52517056843869803</v>
      </c>
      <c r="H3012">
        <v>0.52030418073812201</v>
      </c>
      <c r="I3012">
        <v>0.41993603930330597</v>
      </c>
      <c r="J3012">
        <v>0.315408139743515</v>
      </c>
      <c r="K3012">
        <v>0.474273742861264</v>
      </c>
      <c r="L3012">
        <v>1133.5185796993701</v>
      </c>
      <c r="M3012">
        <v>20.710625104786999</v>
      </c>
      <c r="N3012">
        <v>59.246206248418297</v>
      </c>
      <c r="O3012">
        <v>54.228654187511196</v>
      </c>
      <c r="P3012">
        <v>-5.7590701033323102E-2</v>
      </c>
      <c r="Q3012">
        <v>0.39683565415222799</v>
      </c>
      <c r="R3012">
        <v>0.94237121269486301</v>
      </c>
      <c r="S3012" t="s">
        <v>9297</v>
      </c>
      <c r="T3012" t="s">
        <v>12568</v>
      </c>
      <c r="U3012" t="s">
        <v>12568</v>
      </c>
      <c r="V3012" t="s">
        <v>12568</v>
      </c>
      <c r="W3012" t="s">
        <v>15541</v>
      </c>
      <c r="X3012">
        <v>1</v>
      </c>
      <c r="Y3012" t="s">
        <v>21690</v>
      </c>
      <c r="Z3012" t="s">
        <v>27882</v>
      </c>
      <c r="AA3012">
        <v>0.70067233099221959</v>
      </c>
      <c r="AB3012" t="str">
        <f>HYPERLINK("Melting_Curves/meltCurve_Q14114_4_LRP8.pdf", "Melting_Curves/meltCurve_Q14114_4_LRP8.pdf")</f>
        <v>Melting_Curves/meltCurve_Q14114_4_LRP8.pdf</v>
      </c>
    </row>
    <row r="3013" spans="1:28" x14ac:dyDescent="0.25">
      <c r="A3013" t="s">
        <v>3017</v>
      </c>
      <c r="B3013">
        <v>0.99352677808782597</v>
      </c>
      <c r="C3013">
        <v>0.96558546740314199</v>
      </c>
      <c r="D3013">
        <v>1.0259872730838899</v>
      </c>
      <c r="E3013">
        <v>0.94529825148557201</v>
      </c>
      <c r="F3013">
        <v>0.90269370860261</v>
      </c>
      <c r="G3013">
        <v>0.88627412099979697</v>
      </c>
      <c r="H3013">
        <v>0.63916642561510795</v>
      </c>
      <c r="I3013">
        <v>0.52125548552614798</v>
      </c>
      <c r="J3013">
        <v>0.30879564445113999</v>
      </c>
      <c r="K3013">
        <v>0.17625505809615299</v>
      </c>
      <c r="L3013">
        <v>975.53494215788703</v>
      </c>
      <c r="M3013">
        <v>15.321277348557</v>
      </c>
      <c r="N3013">
        <v>63.671906765636002</v>
      </c>
      <c r="O3013">
        <v>62.616775571192299</v>
      </c>
      <c r="P3013">
        <v>-6.1176504866168699E-2</v>
      </c>
      <c r="Q3013">
        <v>0</v>
      </c>
      <c r="R3013">
        <v>0.98804204731044099</v>
      </c>
      <c r="S3013" t="s">
        <v>9298</v>
      </c>
      <c r="T3013" t="s">
        <v>12568</v>
      </c>
      <c r="U3013" t="s">
        <v>12568</v>
      </c>
      <c r="V3013" t="s">
        <v>12568</v>
      </c>
      <c r="W3013" t="s">
        <v>15542</v>
      </c>
      <c r="X3013">
        <v>15</v>
      </c>
      <c r="Y3013" t="s">
        <v>21691</v>
      </c>
      <c r="Z3013" t="s">
        <v>27883</v>
      </c>
      <c r="AA3013">
        <v>0.7759279939185314</v>
      </c>
      <c r="AB3013" t="str">
        <f>HYPERLINK("Melting_Curves/meltCurve_Q14116_2_IL18.pdf", "Melting_Curves/meltCurve_Q14116_2_IL18.pdf")</f>
        <v>Melting_Curves/meltCurve_Q14116_2_IL18.pdf</v>
      </c>
    </row>
    <row r="3014" spans="1:28" x14ac:dyDescent="0.25">
      <c r="A3014" t="s">
        <v>3018</v>
      </c>
      <c r="B3014">
        <v>0.99352677808782597</v>
      </c>
      <c r="C3014">
        <v>0.96079678732090101</v>
      </c>
      <c r="D3014">
        <v>0.974958632976475</v>
      </c>
      <c r="E3014">
        <v>0.85312226535996805</v>
      </c>
      <c r="F3014">
        <v>0.71377186606325005</v>
      </c>
      <c r="G3014">
        <v>0.59328671561232005</v>
      </c>
      <c r="H3014">
        <v>0.48463012518008303</v>
      </c>
      <c r="I3014">
        <v>0.435720211941721</v>
      </c>
      <c r="J3014">
        <v>0.46161854349644399</v>
      </c>
      <c r="K3014">
        <v>0.34824639404290603</v>
      </c>
      <c r="L3014">
        <v>710.34092579406399</v>
      </c>
      <c r="M3014">
        <v>13.0519922953936</v>
      </c>
      <c r="N3014">
        <v>60.280073221932199</v>
      </c>
      <c r="O3014">
        <v>53.193905880163499</v>
      </c>
      <c r="P3014">
        <v>-3.9308340958147302E-2</v>
      </c>
      <c r="Q3014">
        <v>0.35930071208450798</v>
      </c>
      <c r="R3014">
        <v>0.98853275581359501</v>
      </c>
      <c r="S3014" t="s">
        <v>9299</v>
      </c>
      <c r="T3014" t="s">
        <v>12568</v>
      </c>
      <c r="U3014" t="s">
        <v>12568</v>
      </c>
      <c r="V3014" t="s">
        <v>12568</v>
      </c>
      <c r="W3014" t="s">
        <v>15543</v>
      </c>
      <c r="X3014">
        <v>5</v>
      </c>
      <c r="Y3014" t="s">
        <v>21692</v>
      </c>
      <c r="Z3014" t="s">
        <v>27884</v>
      </c>
      <c r="AA3014">
        <v>0.68222425708006385</v>
      </c>
      <c r="AB3014" t="str">
        <f>HYPERLINK("Melting_Curves/meltCurve_Q14118_DAG1.pdf", "Melting_Curves/meltCurve_Q14118_DAG1.pdf")</f>
        <v>Melting_Curves/meltCurve_Q14118_DAG1.pdf</v>
      </c>
    </row>
    <row r="3015" spans="1:28" x14ac:dyDescent="0.25">
      <c r="A3015" t="s">
        <v>3019</v>
      </c>
      <c r="B3015">
        <v>0.99352677808782597</v>
      </c>
      <c r="C3015">
        <v>0.91373429633585501</v>
      </c>
      <c r="D3015">
        <v>0.77410885734663704</v>
      </c>
      <c r="E3015">
        <v>0.52196428852848697</v>
      </c>
      <c r="F3015">
        <v>0.477607914680373</v>
      </c>
      <c r="G3015">
        <v>0.35407494615299001</v>
      </c>
      <c r="H3015">
        <v>0.26676480668767599</v>
      </c>
      <c r="I3015">
        <v>0.27642187823390302</v>
      </c>
      <c r="J3015">
        <v>0.21591295089836299</v>
      </c>
      <c r="K3015">
        <v>0.18640514684707299</v>
      </c>
      <c r="L3015">
        <v>605.59641583304096</v>
      </c>
      <c r="M3015">
        <v>12.219082599172699</v>
      </c>
      <c r="N3015">
        <v>51.666616796274504</v>
      </c>
      <c r="O3015">
        <v>48.290128392164902</v>
      </c>
      <c r="P3015">
        <v>-5.0866244341768098E-2</v>
      </c>
      <c r="Q3015">
        <v>0.196081649925472</v>
      </c>
      <c r="R3015">
        <v>0.989694999426875</v>
      </c>
      <c r="S3015" t="s">
        <v>9300</v>
      </c>
      <c r="T3015" t="s">
        <v>12568</v>
      </c>
      <c r="U3015" t="s">
        <v>12568</v>
      </c>
      <c r="V3015" t="s">
        <v>12568</v>
      </c>
      <c r="W3015" t="s">
        <v>15544</v>
      </c>
      <c r="X3015">
        <v>11</v>
      </c>
      <c r="Y3015" t="s">
        <v>21693</v>
      </c>
      <c r="Z3015" t="s">
        <v>27885</v>
      </c>
      <c r="AA3015">
        <v>0.4800364858662397</v>
      </c>
      <c r="AB3015" t="str">
        <f>HYPERLINK("Melting_Curves/meltCurve_Q14123_PDE1C.pdf", "Melting_Curves/meltCurve_Q14123_PDE1C.pdf")</f>
        <v>Melting_Curves/meltCurve_Q14123_PDE1C.pdf</v>
      </c>
    </row>
    <row r="3016" spans="1:28" x14ac:dyDescent="0.25">
      <c r="A3016" t="s">
        <v>3020</v>
      </c>
      <c r="B3016">
        <v>0.99352677808782597</v>
      </c>
      <c r="C3016">
        <v>1.02858985614806</v>
      </c>
      <c r="D3016">
        <v>1.0268219786192501</v>
      </c>
      <c r="E3016">
        <v>0.94590351580897503</v>
      </c>
      <c r="F3016">
        <v>0.86296778523795403</v>
      </c>
      <c r="G3016">
        <v>0.75760437964748095</v>
      </c>
      <c r="H3016">
        <v>0.74268655843820497</v>
      </c>
      <c r="I3016">
        <v>0.81477356208986995</v>
      </c>
      <c r="J3016">
        <v>0.86548906781061097</v>
      </c>
      <c r="K3016">
        <v>0.69317305394095996</v>
      </c>
      <c r="L3016">
        <v>1906.03621227643</v>
      </c>
      <c r="M3016">
        <v>36.626503491552398</v>
      </c>
      <c r="O3016">
        <v>51.8854087790113</v>
      </c>
      <c r="P3016">
        <v>-3.98699107877033E-2</v>
      </c>
      <c r="Q3016">
        <v>0.77408049149553704</v>
      </c>
      <c r="R3016">
        <v>0.84898171819304302</v>
      </c>
      <c r="S3016" t="s">
        <v>9301</v>
      </c>
      <c r="T3016" t="s">
        <v>12568</v>
      </c>
      <c r="U3016" t="s">
        <v>12568</v>
      </c>
      <c r="V3016" t="s">
        <v>12568</v>
      </c>
      <c r="W3016" t="s">
        <v>15545</v>
      </c>
      <c r="X3016">
        <v>19</v>
      </c>
      <c r="Y3016" t="s">
        <v>21694</v>
      </c>
      <c r="Z3016" t="s">
        <v>27886</v>
      </c>
      <c r="AA3016">
        <v>0.86571764712678945</v>
      </c>
      <c r="AB3016" t="str">
        <f>HYPERLINK("Melting_Curves/meltCurve_Q14126_DSG2.pdf", "Melting_Curves/meltCurve_Q14126_DSG2.pdf")</f>
        <v>Melting_Curves/meltCurve_Q14126_DSG2.pdf</v>
      </c>
    </row>
    <row r="3017" spans="1:28" x14ac:dyDescent="0.25">
      <c r="A3017" t="s">
        <v>3021</v>
      </c>
      <c r="B3017">
        <v>0.99352677808782597</v>
      </c>
      <c r="C3017">
        <v>1.01518878861776</v>
      </c>
      <c r="D3017">
        <v>0.86519451754920595</v>
      </c>
      <c r="E3017">
        <v>0.48706399294624902</v>
      </c>
      <c r="F3017">
        <v>0.41830365072924303</v>
      </c>
      <c r="G3017">
        <v>0.25453014660497703</v>
      </c>
      <c r="H3017">
        <v>0.17924938439125801</v>
      </c>
      <c r="I3017">
        <v>0.18338980525323301</v>
      </c>
      <c r="J3017">
        <v>0.177554692281961</v>
      </c>
      <c r="K3017">
        <v>0.13949619405047001</v>
      </c>
      <c r="L3017">
        <v>932.80145842515697</v>
      </c>
      <c r="M3017">
        <v>18.791134086799399</v>
      </c>
      <c r="N3017">
        <v>50.734512954966497</v>
      </c>
      <c r="O3017">
        <v>49.088571156387196</v>
      </c>
      <c r="P3017">
        <v>-7.9762111868956403E-2</v>
      </c>
      <c r="Q3017">
        <v>0.16657609608148799</v>
      </c>
      <c r="R3017">
        <v>0.98855154947050505</v>
      </c>
      <c r="S3017" t="s">
        <v>9302</v>
      </c>
      <c r="T3017" t="s">
        <v>12568</v>
      </c>
      <c r="U3017" t="s">
        <v>12568</v>
      </c>
      <c r="V3017" t="s">
        <v>12568</v>
      </c>
      <c r="W3017" t="s">
        <v>15546</v>
      </c>
      <c r="X3017">
        <v>8</v>
      </c>
      <c r="Y3017" t="s">
        <v>21695</v>
      </c>
      <c r="Z3017" t="s">
        <v>27887</v>
      </c>
      <c r="AA3017">
        <v>0.44753487416837467</v>
      </c>
      <c r="AB3017" t="str">
        <f>HYPERLINK("Melting_Curves/meltCurve_Q14137_BOP1.pdf", "Melting_Curves/meltCurve_Q14137_BOP1.pdf")</f>
        <v>Melting_Curves/meltCurve_Q14137_BOP1.pdf</v>
      </c>
    </row>
    <row r="3018" spans="1:28" x14ac:dyDescent="0.25">
      <c r="A3018" t="s">
        <v>3022</v>
      </c>
      <c r="B3018">
        <v>0.99352677808782597</v>
      </c>
      <c r="C3018">
        <v>1.1102639916369701</v>
      </c>
      <c r="D3018">
        <v>0.942976433472695</v>
      </c>
      <c r="E3018">
        <v>0.29277763634642701</v>
      </c>
      <c r="F3018">
        <v>0.179340203065429</v>
      </c>
      <c r="G3018">
        <v>0.138367407900228</v>
      </c>
      <c r="H3018">
        <v>9.6774940294516595E-2</v>
      </c>
      <c r="I3018">
        <v>8.5673582484758704E-2</v>
      </c>
      <c r="J3018">
        <v>5.5793474260186798E-2</v>
      </c>
      <c r="K3018">
        <v>4.1051683882440099E-2</v>
      </c>
      <c r="L3018">
        <v>2145.01887040577</v>
      </c>
      <c r="M3018">
        <v>44.077826864218501</v>
      </c>
      <c r="N3018">
        <v>48.893477157068801</v>
      </c>
      <c r="O3018">
        <v>48.564517422894397</v>
      </c>
      <c r="P3018">
        <v>-0.20573077487643199</v>
      </c>
      <c r="Q3018">
        <v>9.3312947055349205E-2</v>
      </c>
      <c r="R3018">
        <v>0.98662858689903699</v>
      </c>
      <c r="S3018" t="s">
        <v>9303</v>
      </c>
      <c r="T3018" t="s">
        <v>12568</v>
      </c>
      <c r="U3018" t="s">
        <v>12568</v>
      </c>
      <c r="V3018" t="s">
        <v>12568</v>
      </c>
      <c r="W3018" t="s">
        <v>15547</v>
      </c>
      <c r="X3018">
        <v>2</v>
      </c>
      <c r="Y3018" t="s">
        <v>21696</v>
      </c>
      <c r="Z3018" t="s">
        <v>27888</v>
      </c>
      <c r="AA3018">
        <v>0.35768474018961688</v>
      </c>
      <c r="AB3018" t="str">
        <f>HYPERLINK("Melting_Curves/meltCurve_Q14139_UBE4A.pdf", "Melting_Curves/meltCurve_Q14139_UBE4A.pdf")</f>
        <v>Melting_Curves/meltCurve_Q14139_UBE4A.pdf</v>
      </c>
    </row>
    <row r="3019" spans="1:28" x14ac:dyDescent="0.25">
      <c r="A3019" t="s">
        <v>3023</v>
      </c>
      <c r="B3019">
        <v>0.99352677808782597</v>
      </c>
      <c r="C3019">
        <v>0.98584701982571898</v>
      </c>
      <c r="D3019">
        <v>0.91447004831581902</v>
      </c>
      <c r="E3019">
        <v>1.19615381920451</v>
      </c>
      <c r="F3019">
        <v>1.06921330354335</v>
      </c>
      <c r="G3019">
        <v>0.86756226167902095</v>
      </c>
      <c r="H3019">
        <v>0.61066047740977203</v>
      </c>
      <c r="I3019">
        <v>0.47338089772310199</v>
      </c>
      <c r="J3019">
        <v>0.206038136983554</v>
      </c>
      <c r="K3019">
        <v>0.157163615386234</v>
      </c>
      <c r="L3019">
        <v>1361.5142240477301</v>
      </c>
      <c r="M3019">
        <v>21.819060388246999</v>
      </c>
      <c r="N3019">
        <v>62.846293973837597</v>
      </c>
      <c r="O3019">
        <v>61.883159525484899</v>
      </c>
      <c r="P3019">
        <v>-8.1824855788088499E-2</v>
      </c>
      <c r="Q3019">
        <v>7.1735747498620994E-2</v>
      </c>
      <c r="R3019">
        <v>0.94774295004845899</v>
      </c>
      <c r="S3019" t="s">
        <v>9304</v>
      </c>
      <c r="T3019" t="s">
        <v>12568</v>
      </c>
      <c r="U3019" t="s">
        <v>12568</v>
      </c>
      <c r="V3019" t="s">
        <v>12568</v>
      </c>
      <c r="W3019" t="s">
        <v>15548</v>
      </c>
      <c r="X3019">
        <v>11</v>
      </c>
      <c r="Y3019" t="s">
        <v>21697</v>
      </c>
      <c r="Z3019" t="s">
        <v>27889</v>
      </c>
      <c r="AA3019">
        <v>0.76738544178318402</v>
      </c>
      <c r="AB3019" t="str">
        <f>HYPERLINK("Melting_Curves/meltCurve_Q14141_2_SEPT6.pdf", "Melting_Curves/meltCurve_Q14141_2_SEPT6.pdf")</f>
        <v>Melting_Curves/meltCurve_Q14141_2_SEPT6.pdf</v>
      </c>
    </row>
    <row r="3020" spans="1:28" x14ac:dyDescent="0.25">
      <c r="A3020" t="s">
        <v>3024</v>
      </c>
      <c r="B3020">
        <v>0.99352677808782597</v>
      </c>
      <c r="C3020">
        <v>0.98889954962802096</v>
      </c>
      <c r="D3020">
        <v>0.877835292026375</v>
      </c>
      <c r="E3020">
        <v>0.56020470581294701</v>
      </c>
      <c r="F3020">
        <v>0.40334375184716997</v>
      </c>
      <c r="G3020">
        <v>0.22509247433235999</v>
      </c>
      <c r="H3020">
        <v>0.15216960930603901</v>
      </c>
      <c r="I3020">
        <v>0.115333493161466</v>
      </c>
      <c r="J3020">
        <v>9.14460245995838E-2</v>
      </c>
      <c r="K3020">
        <v>9.4129902125171805E-2</v>
      </c>
      <c r="L3020">
        <v>851.43053981977596</v>
      </c>
      <c r="M3020">
        <v>16.798975338754801</v>
      </c>
      <c r="N3020">
        <v>51.293859355974298</v>
      </c>
      <c r="O3020">
        <v>49.981606145415299</v>
      </c>
      <c r="P3020">
        <v>-7.6418465044311407E-2</v>
      </c>
      <c r="Q3020">
        <v>9.0594365523334594E-2</v>
      </c>
      <c r="R3020">
        <v>0.99735331676542205</v>
      </c>
      <c r="S3020" t="s">
        <v>9305</v>
      </c>
      <c r="T3020" t="s">
        <v>12568</v>
      </c>
      <c r="U3020" t="s">
        <v>12568</v>
      </c>
      <c r="V3020" t="s">
        <v>12568</v>
      </c>
      <c r="W3020" t="s">
        <v>15549</v>
      </c>
      <c r="X3020">
        <v>1</v>
      </c>
      <c r="Y3020" t="s">
        <v>21698</v>
      </c>
      <c r="Z3020" t="s">
        <v>27890</v>
      </c>
      <c r="AA3020">
        <v>0.4318751174354557</v>
      </c>
      <c r="AB3020" t="str">
        <f>HYPERLINK("Melting_Curves/meltCurve_Q14145_KEAP1.pdf", "Melting_Curves/meltCurve_Q14145_KEAP1.pdf")</f>
        <v>Melting_Curves/meltCurve_Q14145_KEAP1.pdf</v>
      </c>
    </row>
    <row r="3021" spans="1:28" x14ac:dyDescent="0.25">
      <c r="A3021" t="s">
        <v>3025</v>
      </c>
      <c r="B3021">
        <v>0.99352677808782597</v>
      </c>
      <c r="C3021">
        <v>1.0329810010118401</v>
      </c>
      <c r="D3021">
        <v>0.91650193173069205</v>
      </c>
      <c r="E3021">
        <v>0.48855886701315898</v>
      </c>
      <c r="F3021">
        <v>0.41484188132926098</v>
      </c>
      <c r="G3021">
        <v>0.34799712648617198</v>
      </c>
      <c r="H3021">
        <v>0.301735637215862</v>
      </c>
      <c r="I3021">
        <v>0.29415694281678101</v>
      </c>
      <c r="J3021">
        <v>0.364232075954667</v>
      </c>
      <c r="K3021">
        <v>0.28798151497854402</v>
      </c>
      <c r="L3021">
        <v>1621.67840465515</v>
      </c>
      <c r="M3021">
        <v>33.405139880794501</v>
      </c>
      <c r="N3021">
        <v>50.120335953331697</v>
      </c>
      <c r="O3021">
        <v>48.372793949452401</v>
      </c>
      <c r="P3021">
        <v>-0.116547029037278</v>
      </c>
      <c r="Q3021">
        <v>0.324932460232358</v>
      </c>
      <c r="R3021">
        <v>0.98868269058615099</v>
      </c>
      <c r="S3021" t="s">
        <v>9306</v>
      </c>
      <c r="T3021" t="s">
        <v>12568</v>
      </c>
      <c r="U3021" t="s">
        <v>12568</v>
      </c>
      <c r="V3021" t="s">
        <v>12568</v>
      </c>
      <c r="W3021" t="s">
        <v>15550</v>
      </c>
      <c r="X3021">
        <v>4</v>
      </c>
      <c r="Y3021" t="s">
        <v>21699</v>
      </c>
      <c r="Z3021" t="s">
        <v>27891</v>
      </c>
      <c r="AA3021">
        <v>0.52050739863843509</v>
      </c>
      <c r="AB3021" t="str">
        <f>HYPERLINK("Melting_Curves/meltCurve_Q14147_DHX34.pdf", "Melting_Curves/meltCurve_Q14147_DHX34.pdf")</f>
        <v>Melting_Curves/meltCurve_Q14147_DHX34.pdf</v>
      </c>
    </row>
    <row r="3022" spans="1:28" x14ac:dyDescent="0.25">
      <c r="A3022" t="s">
        <v>3026</v>
      </c>
      <c r="B3022">
        <v>0.99352677808782597</v>
      </c>
      <c r="C3022">
        <v>0.97405248647376497</v>
      </c>
      <c r="D3022">
        <v>0.83172397181558599</v>
      </c>
      <c r="E3022">
        <v>0.62312559579000504</v>
      </c>
      <c r="F3022">
        <v>0.547648907809274</v>
      </c>
      <c r="G3022">
        <v>0.48113855270908601</v>
      </c>
      <c r="H3022">
        <v>0.40632075966053799</v>
      </c>
      <c r="I3022">
        <v>0.43944021406794398</v>
      </c>
      <c r="J3022">
        <v>0.49030609764070099</v>
      </c>
      <c r="K3022">
        <v>0.41423792496200101</v>
      </c>
      <c r="L3022">
        <v>905.55048928177996</v>
      </c>
      <c r="M3022">
        <v>18.740419143430302</v>
      </c>
      <c r="N3022">
        <v>54.359118031623403</v>
      </c>
      <c r="O3022">
        <v>47.780596195853001</v>
      </c>
      <c r="P3022">
        <v>-5.5143870408723199E-2</v>
      </c>
      <c r="Q3022">
        <v>0.437644146322195</v>
      </c>
      <c r="R3022">
        <v>0.98683431694481305</v>
      </c>
      <c r="S3022" t="s">
        <v>9307</v>
      </c>
      <c r="T3022" t="s">
        <v>12568</v>
      </c>
      <c r="U3022" t="s">
        <v>12568</v>
      </c>
      <c r="V3022" t="s">
        <v>12568</v>
      </c>
      <c r="W3022" t="s">
        <v>15551</v>
      </c>
      <c r="X3022">
        <v>9</v>
      </c>
      <c r="Y3022" t="s">
        <v>21700</v>
      </c>
      <c r="Z3022" t="s">
        <v>27892</v>
      </c>
      <c r="AA3022">
        <v>0.60271550670201191</v>
      </c>
      <c r="AB3022" t="str">
        <f>HYPERLINK("Melting_Curves/meltCurve_Q14149_MORC3.pdf", "Melting_Curves/meltCurve_Q14149_MORC3.pdf")</f>
        <v>Melting_Curves/meltCurve_Q14149_MORC3.pdf</v>
      </c>
    </row>
    <row r="3023" spans="1:28" x14ac:dyDescent="0.25">
      <c r="A3023" t="s">
        <v>3027</v>
      </c>
      <c r="B3023">
        <v>0.99352677808782597</v>
      </c>
      <c r="C3023">
        <v>0.98452818997589797</v>
      </c>
      <c r="D3023">
        <v>0.98129726802220096</v>
      </c>
      <c r="E3023">
        <v>0.97157319462152203</v>
      </c>
      <c r="F3023">
        <v>0.85872117441682005</v>
      </c>
      <c r="G3023">
        <v>0.78237412112963101</v>
      </c>
      <c r="H3023">
        <v>0.758819500052344</v>
      </c>
      <c r="I3023">
        <v>0.84234490501429105</v>
      </c>
      <c r="J3023">
        <v>0.95544185136611004</v>
      </c>
      <c r="K3023">
        <v>0.78168901030536497</v>
      </c>
      <c r="L3023">
        <v>2865.6746931104599</v>
      </c>
      <c r="M3023">
        <v>55.600899435084301</v>
      </c>
      <c r="O3023">
        <v>51.473533824335497</v>
      </c>
      <c r="P3023">
        <v>-4.7406350047657801E-2</v>
      </c>
      <c r="Q3023">
        <v>0.82445096698909504</v>
      </c>
      <c r="R3023">
        <v>0.68439602949712897</v>
      </c>
      <c r="S3023" t="s">
        <v>9308</v>
      </c>
      <c r="T3023" t="s">
        <v>12568</v>
      </c>
      <c r="U3023" t="s">
        <v>12568</v>
      </c>
      <c r="V3023" t="s">
        <v>12568</v>
      </c>
      <c r="W3023" t="s">
        <v>15552</v>
      </c>
      <c r="X3023">
        <v>10</v>
      </c>
      <c r="Y3023" t="s">
        <v>19608</v>
      </c>
      <c r="Z3023" t="s">
        <v>27893</v>
      </c>
      <c r="AA3023">
        <v>0.89230167960836582</v>
      </c>
      <c r="AB3023" t="str">
        <f>HYPERLINK("Melting_Curves/meltCurve_Q14151_SAFB2.pdf", "Melting_Curves/meltCurve_Q14151_SAFB2.pdf")</f>
        <v>Melting_Curves/meltCurve_Q14151_SAFB2.pdf</v>
      </c>
    </row>
    <row r="3024" spans="1:28" x14ac:dyDescent="0.25">
      <c r="A3024" t="s">
        <v>3028</v>
      </c>
      <c r="B3024">
        <v>0.99352677808782597</v>
      </c>
      <c r="C3024">
        <v>0.86760120312000599</v>
      </c>
      <c r="D3024">
        <v>0.72856181264903197</v>
      </c>
      <c r="E3024">
        <v>0.42932250382331399</v>
      </c>
      <c r="F3024">
        <v>0.37463671273083399</v>
      </c>
      <c r="G3024">
        <v>0.26628421862325402</v>
      </c>
      <c r="H3024">
        <v>0.222239794913689</v>
      </c>
      <c r="I3024">
        <v>0.23470039487585501</v>
      </c>
      <c r="J3024">
        <v>0.206924659814578</v>
      </c>
      <c r="K3024">
        <v>0.17849554579364599</v>
      </c>
      <c r="L3024">
        <v>740.77823545526303</v>
      </c>
      <c r="M3024">
        <v>15.513010126801101</v>
      </c>
      <c r="N3024">
        <v>49.375301940337003</v>
      </c>
      <c r="O3024">
        <v>46.9796653080572</v>
      </c>
      <c r="P3024">
        <v>-6.6067718164011094E-2</v>
      </c>
      <c r="Q3024">
        <v>0.19975183650860201</v>
      </c>
      <c r="R3024">
        <v>0.99391293552718196</v>
      </c>
      <c r="S3024" t="s">
        <v>9309</v>
      </c>
      <c r="T3024" t="s">
        <v>12568</v>
      </c>
      <c r="U3024" t="s">
        <v>12568</v>
      </c>
      <c r="V3024" t="s">
        <v>12568</v>
      </c>
      <c r="W3024" t="s">
        <v>15553</v>
      </c>
      <c r="X3024">
        <v>80</v>
      </c>
      <c r="Y3024" t="s">
        <v>21701</v>
      </c>
      <c r="Z3024" t="s">
        <v>27894</v>
      </c>
      <c r="AA3024">
        <v>0.42601636957368222</v>
      </c>
      <c r="AB3024" t="str">
        <f>HYPERLINK("Melting_Curves/meltCurve_Q14152_EIF3A.pdf", "Melting_Curves/meltCurve_Q14152_EIF3A.pdf")</f>
        <v>Melting_Curves/meltCurve_Q14152_EIF3A.pdf</v>
      </c>
    </row>
    <row r="3025" spans="1:28" x14ac:dyDescent="0.25">
      <c r="A3025" t="s">
        <v>3029</v>
      </c>
      <c r="B3025">
        <v>0.99352677808782597</v>
      </c>
      <c r="C3025">
        <v>0.92098410082025595</v>
      </c>
      <c r="D3025">
        <v>0.86953668064773004</v>
      </c>
      <c r="E3025">
        <v>0.38690711097434199</v>
      </c>
      <c r="F3025">
        <v>0.29534038595069401</v>
      </c>
      <c r="G3025">
        <v>0.17302276090159099</v>
      </c>
      <c r="H3025">
        <v>0.110562732989784</v>
      </c>
      <c r="I3025">
        <v>0.107508530915887</v>
      </c>
      <c r="J3025">
        <v>9.1598735010811005E-2</v>
      </c>
      <c r="K3025">
        <v>7.8378772096420093E-2</v>
      </c>
      <c r="L3025">
        <v>1039.7678627765899</v>
      </c>
      <c r="M3025">
        <v>21.251045711315999</v>
      </c>
      <c r="N3025">
        <v>49.4524870534229</v>
      </c>
      <c r="O3025">
        <v>48.500779274370799</v>
      </c>
      <c r="P3025">
        <v>-9.848724133082E-2</v>
      </c>
      <c r="Q3025">
        <v>0.10092243825269499</v>
      </c>
      <c r="R3025">
        <v>0.99053631804387499</v>
      </c>
      <c r="S3025" t="s">
        <v>9310</v>
      </c>
      <c r="T3025" t="s">
        <v>12568</v>
      </c>
      <c r="U3025" t="s">
        <v>12568</v>
      </c>
      <c r="V3025" t="s">
        <v>12568</v>
      </c>
      <c r="W3025" t="s">
        <v>15554</v>
      </c>
      <c r="X3025">
        <v>6</v>
      </c>
      <c r="Y3025" t="s">
        <v>21702</v>
      </c>
      <c r="Z3025" t="s">
        <v>27895</v>
      </c>
      <c r="AA3025">
        <v>0.37961455958254242</v>
      </c>
      <c r="AB3025" t="str">
        <f>HYPERLINK("Melting_Curves/meltCurve_Q14155_1_ARHGEF7.pdf", "Melting_Curves/meltCurve_Q14155_1_ARHGEF7.pdf")</f>
        <v>Melting_Curves/meltCurve_Q14155_1_ARHGEF7.pdf</v>
      </c>
    </row>
    <row r="3026" spans="1:28" x14ac:dyDescent="0.25">
      <c r="A3026" t="s">
        <v>3030</v>
      </c>
      <c r="B3026">
        <v>0.99352677808782597</v>
      </c>
      <c r="C3026">
        <v>0.90061915247353097</v>
      </c>
      <c r="D3026">
        <v>1.0699746328991699</v>
      </c>
      <c r="E3026">
        <v>1.0879202281571501</v>
      </c>
      <c r="F3026">
        <v>1.00333914502168</v>
      </c>
      <c r="G3026">
        <v>1.1529383623932901</v>
      </c>
      <c r="H3026">
        <v>1.15665128126034</v>
      </c>
      <c r="I3026">
        <v>1.2560895523647999</v>
      </c>
      <c r="J3026">
        <v>1.3077507896954601</v>
      </c>
      <c r="K3026">
        <v>1.2489943985836001</v>
      </c>
      <c r="L3026">
        <v>740.24681988113298</v>
      </c>
      <c r="M3026">
        <v>12.5379152466419</v>
      </c>
      <c r="O3026">
        <v>57.599102069209998</v>
      </c>
      <c r="P3026">
        <v>1.7689232462310599E-2</v>
      </c>
      <c r="Q3026">
        <v>1.3249907906435201</v>
      </c>
      <c r="R3026">
        <v>0.82654885928190003</v>
      </c>
      <c r="S3026" t="s">
        <v>9311</v>
      </c>
      <c r="T3026" t="s">
        <v>12568</v>
      </c>
      <c r="U3026" t="s">
        <v>12568</v>
      </c>
      <c r="V3026" t="s">
        <v>12568</v>
      </c>
      <c r="W3026" t="s">
        <v>13095</v>
      </c>
      <c r="X3026">
        <v>22</v>
      </c>
      <c r="Y3026" t="s">
        <v>19326</v>
      </c>
      <c r="Z3026" t="s">
        <v>27896</v>
      </c>
      <c r="AA3026">
        <v>1.1159687268083429</v>
      </c>
      <c r="AB3026" t="str">
        <f>HYPERLINK("Melting_Curves/meltCurve_Q14157_UBAP2L.pdf", "Melting_Curves/meltCurve_Q14157_UBAP2L.pdf")</f>
        <v>Melting_Curves/meltCurve_Q14157_UBAP2L.pdf</v>
      </c>
    </row>
    <row r="3027" spans="1:28" x14ac:dyDescent="0.25">
      <c r="A3027" t="s">
        <v>3031</v>
      </c>
      <c r="B3027">
        <v>0.99352677808782597</v>
      </c>
      <c r="C3027">
        <v>0.97884554240263899</v>
      </c>
      <c r="D3027">
        <v>1.03452215711761</v>
      </c>
      <c r="E3027">
        <v>0.96475332711328099</v>
      </c>
      <c r="F3027">
        <v>0.86340909357985196</v>
      </c>
      <c r="G3027">
        <v>0.80168631752030095</v>
      </c>
      <c r="H3027">
        <v>0.78355177844298995</v>
      </c>
      <c r="I3027">
        <v>0.80839006495677701</v>
      </c>
      <c r="J3027">
        <v>0.88184003078361795</v>
      </c>
      <c r="K3027">
        <v>0.74222009384111698</v>
      </c>
      <c r="L3027">
        <v>2241.2623063460301</v>
      </c>
      <c r="M3027">
        <v>43.162596075479101</v>
      </c>
      <c r="O3027">
        <v>51.814940301962103</v>
      </c>
      <c r="P3027">
        <v>-4.1043574676157997E-2</v>
      </c>
      <c r="Q3027">
        <v>0.80291573733297705</v>
      </c>
      <c r="R3027">
        <v>0.87014640056425197</v>
      </c>
      <c r="S3027" t="s">
        <v>9312</v>
      </c>
      <c r="T3027" t="s">
        <v>12568</v>
      </c>
      <c r="U3027" t="s">
        <v>12568</v>
      </c>
      <c r="V3027" t="s">
        <v>12568</v>
      </c>
      <c r="W3027" t="s">
        <v>15555</v>
      </c>
      <c r="X3027">
        <v>23</v>
      </c>
      <c r="Y3027" t="s">
        <v>19326</v>
      </c>
      <c r="Z3027" t="s">
        <v>27897</v>
      </c>
      <c r="AA3027">
        <v>0.88187023232198125</v>
      </c>
      <c r="AB3027" t="str">
        <f>HYPERLINK("Melting_Curves/meltCurve_Q14157_1_UBAP2L.pdf", "Melting_Curves/meltCurve_Q14157_1_UBAP2L.pdf")</f>
        <v>Melting_Curves/meltCurve_Q14157_1_UBAP2L.pdf</v>
      </c>
    </row>
    <row r="3028" spans="1:28" x14ac:dyDescent="0.25">
      <c r="A3028" t="s">
        <v>3032</v>
      </c>
      <c r="B3028">
        <v>0.99352677808782597</v>
      </c>
      <c r="C3028">
        <v>0.91067425817626502</v>
      </c>
      <c r="D3028">
        <v>0.75202517413467296</v>
      </c>
      <c r="E3028">
        <v>0.41041402981645098</v>
      </c>
      <c r="F3028">
        <v>0.34741293798272199</v>
      </c>
      <c r="G3028">
        <v>0.276885380523749</v>
      </c>
      <c r="H3028">
        <v>0.23326084234153199</v>
      </c>
      <c r="I3028">
        <v>0.239201839038445</v>
      </c>
      <c r="J3028">
        <v>0.23480010607007401</v>
      </c>
      <c r="K3028">
        <v>0.19804674217992799</v>
      </c>
      <c r="L3028">
        <v>930.98951093945698</v>
      </c>
      <c r="M3028">
        <v>19.574476854345001</v>
      </c>
      <c r="N3028">
        <v>49.086762093192299</v>
      </c>
      <c r="O3028">
        <v>47.073371528995402</v>
      </c>
      <c r="P3028">
        <v>-8.0272956165256398E-2</v>
      </c>
      <c r="Q3028">
        <v>0.22785508649245201</v>
      </c>
      <c r="R3028">
        <v>0.99561934036715205</v>
      </c>
      <c r="S3028" t="s">
        <v>9313</v>
      </c>
      <c r="T3028" t="s">
        <v>12568</v>
      </c>
      <c r="U3028" t="s">
        <v>12568</v>
      </c>
      <c r="V3028" t="s">
        <v>12568</v>
      </c>
      <c r="W3028" t="s">
        <v>15556</v>
      </c>
      <c r="X3028">
        <v>38</v>
      </c>
      <c r="Y3028" t="s">
        <v>21703</v>
      </c>
      <c r="Z3028" t="s">
        <v>27898</v>
      </c>
      <c r="AA3028">
        <v>0.43408900679046819</v>
      </c>
      <c r="AB3028" t="str">
        <f>HYPERLINK("Melting_Curves/meltCurve_Q14160_3_SCRIB.pdf", "Melting_Curves/meltCurve_Q14160_3_SCRIB.pdf")</f>
        <v>Melting_Curves/meltCurve_Q14160_3_SCRIB.pdf</v>
      </c>
    </row>
    <row r="3029" spans="1:28" x14ac:dyDescent="0.25">
      <c r="A3029" t="s">
        <v>3033</v>
      </c>
      <c r="B3029">
        <v>0.99352677808782597</v>
      </c>
      <c r="C3029">
        <v>0.83547090184535999</v>
      </c>
      <c r="D3029">
        <v>0.70932182269980204</v>
      </c>
      <c r="E3029">
        <v>0.45408657427459997</v>
      </c>
      <c r="F3029">
        <v>0.41622820751512102</v>
      </c>
      <c r="G3029">
        <v>0.320660252724982</v>
      </c>
      <c r="H3029">
        <v>0.26542761157262401</v>
      </c>
      <c r="I3029">
        <v>0.27186165855872702</v>
      </c>
      <c r="J3029">
        <v>0.25333873718414601</v>
      </c>
      <c r="K3029">
        <v>0.18195005900302</v>
      </c>
      <c r="L3029">
        <v>633.01288555226904</v>
      </c>
      <c r="M3029">
        <v>13.2869049590608</v>
      </c>
      <c r="N3029">
        <v>49.8757360796182</v>
      </c>
      <c r="O3029">
        <v>46.601483330063303</v>
      </c>
      <c r="P3029">
        <v>-5.5304060255024101E-2</v>
      </c>
      <c r="Q3029">
        <v>0.22424880753019499</v>
      </c>
      <c r="R3029">
        <v>0.98661405113245904</v>
      </c>
      <c r="S3029" t="s">
        <v>9314</v>
      </c>
      <c r="T3029" t="s">
        <v>12568</v>
      </c>
      <c r="U3029" t="s">
        <v>12568</v>
      </c>
      <c r="V3029" t="s">
        <v>12568</v>
      </c>
      <c r="W3029" t="s">
        <v>15557</v>
      </c>
      <c r="X3029">
        <v>8</v>
      </c>
      <c r="Y3029" t="s">
        <v>21704</v>
      </c>
      <c r="Z3029" t="s">
        <v>27899</v>
      </c>
      <c r="AA3029">
        <v>0.44761913219156141</v>
      </c>
      <c r="AB3029" t="str">
        <f>HYPERLINK("Melting_Curves/meltCurve_Q14161_GIT2.pdf", "Melting_Curves/meltCurve_Q14161_GIT2.pdf")</f>
        <v>Melting_Curves/meltCurve_Q14161_GIT2.pdf</v>
      </c>
    </row>
    <row r="3030" spans="1:28" x14ac:dyDescent="0.25">
      <c r="A3030" t="s">
        <v>3034</v>
      </c>
      <c r="B3030">
        <v>0.99352677808782597</v>
      </c>
      <c r="C3030">
        <v>0.96375516546963003</v>
      </c>
      <c r="D3030">
        <v>0.64310009907753696</v>
      </c>
      <c r="E3030">
        <v>0.233449170154305</v>
      </c>
      <c r="F3030">
        <v>0.17240575483235701</v>
      </c>
      <c r="G3030">
        <v>0.104356291895953</v>
      </c>
      <c r="H3030">
        <v>7.8890170469866697E-2</v>
      </c>
      <c r="I3030">
        <v>7.63181875223959E-2</v>
      </c>
      <c r="J3030">
        <v>5.4065450779681501E-2</v>
      </c>
      <c r="K3030">
        <v>3.5918862998991302E-2</v>
      </c>
      <c r="L3030">
        <v>1169.6224277239101</v>
      </c>
      <c r="M3030">
        <v>24.872460599101899</v>
      </c>
      <c r="N3030">
        <v>47.324142423934497</v>
      </c>
      <c r="O3030">
        <v>46.724001707048401</v>
      </c>
      <c r="P3030">
        <v>-0.123396767004063</v>
      </c>
      <c r="Q3030">
        <v>7.2788305505623194E-2</v>
      </c>
      <c r="R3030">
        <v>0.99501615137361898</v>
      </c>
      <c r="S3030" t="s">
        <v>9315</v>
      </c>
      <c r="T3030" t="s">
        <v>12568</v>
      </c>
      <c r="U3030" t="s">
        <v>12568</v>
      </c>
      <c r="V3030" t="s">
        <v>12568</v>
      </c>
      <c r="W3030" t="s">
        <v>15558</v>
      </c>
      <c r="X3030">
        <v>14</v>
      </c>
      <c r="Y3030" t="s">
        <v>21705</v>
      </c>
      <c r="Z3030" t="s">
        <v>27900</v>
      </c>
      <c r="AA3030">
        <v>0.29827240280343598</v>
      </c>
      <c r="AB3030" t="str">
        <f>HYPERLINK("Melting_Curves/meltCurve_Q14166_TTLL12.pdf", "Melting_Curves/meltCurve_Q14166_TTLL12.pdf")</f>
        <v>Melting_Curves/meltCurve_Q14166_TTLL12.pdf</v>
      </c>
    </row>
    <row r="3031" spans="1:28" x14ac:dyDescent="0.25">
      <c r="A3031" t="s">
        <v>3035</v>
      </c>
      <c r="B3031">
        <v>0.99352677808782597</v>
      </c>
      <c r="C3031">
        <v>1.0404546137714901</v>
      </c>
      <c r="D3031">
        <v>0.93082039378182102</v>
      </c>
      <c r="E3031">
        <v>0.61279388491161502</v>
      </c>
      <c r="F3031">
        <v>0.49277425705665101</v>
      </c>
      <c r="G3031">
        <v>0.24954027454090499</v>
      </c>
      <c r="H3031">
        <v>0.14280964024923301</v>
      </c>
      <c r="I3031">
        <v>0.14547370337281201</v>
      </c>
      <c r="J3031">
        <v>0.12561402700893901</v>
      </c>
      <c r="K3031">
        <v>9.8909189262931796E-2</v>
      </c>
      <c r="L3031">
        <v>902.25964346769399</v>
      </c>
      <c r="M3031">
        <v>17.485968325912101</v>
      </c>
      <c r="N3031">
        <v>52.2918025598482</v>
      </c>
      <c r="O3031">
        <v>50.938395534503698</v>
      </c>
      <c r="P3031">
        <v>-7.6951062931424397E-2</v>
      </c>
      <c r="Q3031">
        <v>0.103384650430321</v>
      </c>
      <c r="R3031">
        <v>0.99165556068115301</v>
      </c>
      <c r="S3031" t="s">
        <v>9316</v>
      </c>
      <c r="T3031" t="s">
        <v>12568</v>
      </c>
      <c r="U3031" t="s">
        <v>12568</v>
      </c>
      <c r="V3031" t="s">
        <v>12568</v>
      </c>
      <c r="W3031" t="s">
        <v>15559</v>
      </c>
      <c r="X3031">
        <v>9</v>
      </c>
      <c r="Y3031" t="s">
        <v>21706</v>
      </c>
      <c r="Z3031" t="s">
        <v>27901</v>
      </c>
      <c r="AA3031">
        <v>0.4658197829172252</v>
      </c>
      <c r="AB3031" t="str">
        <f>HYPERLINK("Melting_Curves/meltCurve_Q14181_POLA2.pdf", "Melting_Curves/meltCurve_Q14181_POLA2.pdf")</f>
        <v>Melting_Curves/meltCurve_Q14181_POLA2.pdf</v>
      </c>
    </row>
    <row r="3032" spans="1:28" x14ac:dyDescent="0.25">
      <c r="A3032" t="s">
        <v>3036</v>
      </c>
      <c r="B3032">
        <v>0.99352677808782597</v>
      </c>
      <c r="C3032">
        <v>0.94653623723940705</v>
      </c>
      <c r="D3032">
        <v>0.82720771160447604</v>
      </c>
      <c r="E3032">
        <v>0.40753436611749699</v>
      </c>
      <c r="F3032">
        <v>0.31558316456220498</v>
      </c>
      <c r="G3032">
        <v>0.19919297460069799</v>
      </c>
      <c r="H3032">
        <v>0.13236337230626</v>
      </c>
      <c r="I3032">
        <v>0.136263171715197</v>
      </c>
      <c r="J3032">
        <v>0.12987305703136301</v>
      </c>
      <c r="K3032">
        <v>0.11545095134304099</v>
      </c>
      <c r="L3032">
        <v>986.64175279640904</v>
      </c>
      <c r="M3032">
        <v>20.242195248120499</v>
      </c>
      <c r="N3032">
        <v>49.480670599700403</v>
      </c>
      <c r="O3032">
        <v>48.273631413983601</v>
      </c>
      <c r="P3032">
        <v>-9.1160943914632406E-2</v>
      </c>
      <c r="Q3032">
        <v>0.130424089928243</v>
      </c>
      <c r="R3032">
        <v>0.99482636896987597</v>
      </c>
      <c r="S3032" t="s">
        <v>9317</v>
      </c>
      <c r="T3032" t="s">
        <v>12568</v>
      </c>
      <c r="U3032" t="s">
        <v>12568</v>
      </c>
      <c r="V3032" t="s">
        <v>12568</v>
      </c>
      <c r="W3032" t="s">
        <v>15560</v>
      </c>
      <c r="X3032">
        <v>12</v>
      </c>
      <c r="Y3032" t="s">
        <v>21707</v>
      </c>
      <c r="Z3032" t="s">
        <v>27902</v>
      </c>
      <c r="AA3032">
        <v>0.39572879479998591</v>
      </c>
      <c r="AB3032" t="str">
        <f>HYPERLINK("Melting_Curves/meltCurve_Q14185_DOCK1.pdf", "Melting_Curves/meltCurve_Q14185_DOCK1.pdf")</f>
        <v>Melting_Curves/meltCurve_Q14185_DOCK1.pdf</v>
      </c>
    </row>
    <row r="3033" spans="1:28" x14ac:dyDescent="0.25">
      <c r="A3033" t="s">
        <v>3037</v>
      </c>
      <c r="B3033">
        <v>0.99352677808782597</v>
      </c>
      <c r="C3033">
        <v>0.89992902138858699</v>
      </c>
      <c r="D3033">
        <v>0.81536659368529996</v>
      </c>
      <c r="E3033">
        <v>0.70134920734500805</v>
      </c>
      <c r="F3033">
        <v>0.67297507788643995</v>
      </c>
      <c r="G3033">
        <v>0.57955185055094904</v>
      </c>
      <c r="H3033">
        <v>0.488066744617073</v>
      </c>
      <c r="I3033">
        <v>0.53448253460363904</v>
      </c>
      <c r="J3033">
        <v>0.46753241050286098</v>
      </c>
      <c r="K3033">
        <v>0.41146472392098299</v>
      </c>
      <c r="L3033">
        <v>435.72332833840699</v>
      </c>
      <c r="M3033">
        <v>8.4966179283422694</v>
      </c>
      <c r="N3033">
        <v>62.2927682031413</v>
      </c>
      <c r="O3033">
        <v>48.677889025266602</v>
      </c>
      <c r="P3033">
        <v>-2.67018994157395E-2</v>
      </c>
      <c r="Q3033">
        <v>0.38864135437505598</v>
      </c>
      <c r="R3033">
        <v>0.977137854664346</v>
      </c>
      <c r="S3033" t="s">
        <v>9318</v>
      </c>
      <c r="T3033" t="s">
        <v>12568</v>
      </c>
      <c r="U3033" t="s">
        <v>12568</v>
      </c>
      <c r="V3033" t="s">
        <v>12568</v>
      </c>
      <c r="W3033" t="s">
        <v>15561</v>
      </c>
      <c r="X3033">
        <v>2</v>
      </c>
      <c r="Y3033" t="s">
        <v>21708</v>
      </c>
      <c r="Z3033" t="s">
        <v>27903</v>
      </c>
      <c r="AA3033">
        <v>0.64827404334144068</v>
      </c>
      <c r="AB3033" t="str">
        <f>HYPERLINK("Melting_Curves/meltCurve_Q14191_WRN.pdf", "Melting_Curves/meltCurve_Q14191_WRN.pdf")</f>
        <v>Melting_Curves/meltCurve_Q14191_WRN.pdf</v>
      </c>
    </row>
    <row r="3034" spans="1:28" x14ac:dyDescent="0.25">
      <c r="A3034" t="s">
        <v>3038</v>
      </c>
      <c r="B3034">
        <v>0.99352677808782597</v>
      </c>
      <c r="C3034">
        <v>0.97849045044310401</v>
      </c>
      <c r="D3034">
        <v>1.00074061640043</v>
      </c>
      <c r="E3034">
        <v>0.91916002414085796</v>
      </c>
      <c r="F3034">
        <v>0.84035788598263705</v>
      </c>
      <c r="G3034">
        <v>0.761273094036507</v>
      </c>
      <c r="H3034">
        <v>0.644779624788406</v>
      </c>
      <c r="I3034">
        <v>0.67251762564849904</v>
      </c>
      <c r="J3034">
        <v>0.78554125639554895</v>
      </c>
      <c r="K3034">
        <v>0.61955449897917003</v>
      </c>
      <c r="L3034">
        <v>1083.1415463743299</v>
      </c>
      <c r="M3034">
        <v>20.415272804261701</v>
      </c>
      <c r="O3034">
        <v>52.554263153564698</v>
      </c>
      <c r="P3034">
        <v>-3.1468100206266898E-2</v>
      </c>
      <c r="Q3034">
        <v>0.675981186866774</v>
      </c>
      <c r="R3034">
        <v>0.90510701325800502</v>
      </c>
      <c r="S3034" t="s">
        <v>9319</v>
      </c>
      <c r="T3034" t="s">
        <v>12568</v>
      </c>
      <c r="U3034" t="s">
        <v>12568</v>
      </c>
      <c r="V3034" t="s">
        <v>12568</v>
      </c>
      <c r="W3034" t="s">
        <v>15562</v>
      </c>
      <c r="X3034">
        <v>23</v>
      </c>
      <c r="Y3034" t="s">
        <v>21709</v>
      </c>
      <c r="Z3034" t="s">
        <v>27904</v>
      </c>
      <c r="AA3034">
        <v>0.82128868189894788</v>
      </c>
      <c r="AB3034" t="str">
        <f>HYPERLINK("Melting_Curves/meltCurve_Q14192_FHL2.pdf", "Melting_Curves/meltCurve_Q14192_FHL2.pdf")</f>
        <v>Melting_Curves/meltCurve_Q14192_FHL2.pdf</v>
      </c>
    </row>
    <row r="3035" spans="1:28" x14ac:dyDescent="0.25">
      <c r="A3035" t="s">
        <v>3039</v>
      </c>
      <c r="B3035">
        <v>0.99352677808782597</v>
      </c>
      <c r="C3035">
        <v>1.0891379838139701</v>
      </c>
      <c r="D3035">
        <v>0.72808219202166802</v>
      </c>
      <c r="E3035">
        <v>0.82861050381192702</v>
      </c>
      <c r="F3035">
        <v>0.68501445186967203</v>
      </c>
      <c r="G3035">
        <v>0.53550142492042296</v>
      </c>
      <c r="H3035">
        <v>0.32776760901541602</v>
      </c>
      <c r="I3035">
        <v>0.12789197794124499</v>
      </c>
      <c r="J3035">
        <v>6.68409981600495E-2</v>
      </c>
      <c r="K3035">
        <v>5.3431552287540297E-2</v>
      </c>
      <c r="L3035">
        <v>681.28127158521204</v>
      </c>
      <c r="M3035">
        <v>12.0958363963691</v>
      </c>
      <c r="N3035">
        <v>56.323623066172402</v>
      </c>
      <c r="O3035">
        <v>54.850443633182103</v>
      </c>
      <c r="P3035">
        <v>-5.5143874016074901E-2</v>
      </c>
      <c r="Q3035">
        <v>0</v>
      </c>
      <c r="R3035">
        <v>0.94551239598610404</v>
      </c>
      <c r="S3035" t="s">
        <v>9320</v>
      </c>
      <c r="T3035" t="s">
        <v>12568</v>
      </c>
      <c r="U3035" t="s">
        <v>12568</v>
      </c>
      <c r="V3035" t="s">
        <v>12568</v>
      </c>
      <c r="W3035" t="s">
        <v>15563</v>
      </c>
      <c r="X3035">
        <v>29</v>
      </c>
      <c r="Y3035" t="s">
        <v>21710</v>
      </c>
      <c r="Z3035" t="s">
        <v>27905</v>
      </c>
      <c r="AA3035">
        <v>0.56336981760081073</v>
      </c>
      <c r="AB3035" t="str">
        <f>HYPERLINK("Melting_Curves/meltCurve_Q14195_2_DPYSL3.pdf", "Melting_Curves/meltCurve_Q14195_2_DPYSL3.pdf")</f>
        <v>Melting_Curves/meltCurve_Q14195_2_DPYSL3.pdf</v>
      </c>
    </row>
    <row r="3036" spans="1:28" x14ac:dyDescent="0.25">
      <c r="A3036" t="s">
        <v>3040</v>
      </c>
      <c r="B3036">
        <v>0.99352677808782597</v>
      </c>
      <c r="C3036">
        <v>0.91838936943708405</v>
      </c>
      <c r="D3036">
        <v>0.88956636841423298</v>
      </c>
      <c r="E3036">
        <v>0.71688056020976998</v>
      </c>
      <c r="F3036">
        <v>0.63656773282772505</v>
      </c>
      <c r="G3036">
        <v>0.54782145740587895</v>
      </c>
      <c r="H3036">
        <v>0.42657285963303798</v>
      </c>
      <c r="I3036">
        <v>0.40266492904013801</v>
      </c>
      <c r="J3036">
        <v>0.445212786572796</v>
      </c>
      <c r="K3036">
        <v>0.33908868919803897</v>
      </c>
      <c r="L3036">
        <v>548.20585875900497</v>
      </c>
      <c r="M3036">
        <v>10.518647081664399</v>
      </c>
      <c r="N3036">
        <v>58.115188857484199</v>
      </c>
      <c r="O3036">
        <v>50.339533820992699</v>
      </c>
      <c r="P3036">
        <v>-3.4954087234739299E-2</v>
      </c>
      <c r="Q3036">
        <v>0.33114304903157599</v>
      </c>
      <c r="R3036">
        <v>0.98588119135707497</v>
      </c>
      <c r="S3036" t="s">
        <v>9321</v>
      </c>
      <c r="T3036" t="s">
        <v>12568</v>
      </c>
      <c r="U3036" t="s">
        <v>12568</v>
      </c>
      <c r="V3036" t="s">
        <v>12568</v>
      </c>
      <c r="W3036" t="s">
        <v>15564</v>
      </c>
      <c r="X3036">
        <v>11</v>
      </c>
      <c r="Y3036" t="s">
        <v>21711</v>
      </c>
      <c r="Z3036" t="s">
        <v>27906</v>
      </c>
      <c r="AA3036">
        <v>0.62506433914472004</v>
      </c>
      <c r="AB3036" t="str">
        <f>HYPERLINK("Melting_Curves/meltCurve_Q14202_2_ZMYM3.pdf", "Melting_Curves/meltCurve_Q14202_2_ZMYM3.pdf")</f>
        <v>Melting_Curves/meltCurve_Q14202_2_ZMYM3.pdf</v>
      </c>
    </row>
    <row r="3037" spans="1:28" x14ac:dyDescent="0.25">
      <c r="A3037" t="s">
        <v>3041</v>
      </c>
      <c r="B3037">
        <v>0.99352677808782597</v>
      </c>
      <c r="C3037">
        <v>0.87120520656301403</v>
      </c>
      <c r="D3037">
        <v>0.950711959257448</v>
      </c>
      <c r="E3037">
        <v>1.04345078912662</v>
      </c>
      <c r="F3037">
        <v>0.91950826763817495</v>
      </c>
      <c r="G3037">
        <v>0.60402619864032503</v>
      </c>
      <c r="H3037">
        <v>0.37081454993863699</v>
      </c>
      <c r="I3037">
        <v>0.36331481377512498</v>
      </c>
      <c r="J3037">
        <v>0.30560244485969901</v>
      </c>
      <c r="K3037">
        <v>0.22940153862864199</v>
      </c>
      <c r="L3037">
        <v>1612.28963224063</v>
      </c>
      <c r="M3037">
        <v>28.4185267806346</v>
      </c>
      <c r="N3037">
        <v>58.458752739839497</v>
      </c>
      <c r="O3037">
        <v>56.455054502336701</v>
      </c>
      <c r="P3037">
        <v>-9.0126869828943093E-2</v>
      </c>
      <c r="Q3037">
        <v>0.28383673854394598</v>
      </c>
      <c r="R3037">
        <v>0.96934275853847895</v>
      </c>
      <c r="S3037" t="s">
        <v>9322</v>
      </c>
      <c r="T3037" t="s">
        <v>12568</v>
      </c>
      <c r="U3037" t="s">
        <v>12568</v>
      </c>
      <c r="V3037" t="s">
        <v>12568</v>
      </c>
      <c r="W3037" t="s">
        <v>15565</v>
      </c>
      <c r="X3037">
        <v>35</v>
      </c>
      <c r="Y3037" t="s">
        <v>21712</v>
      </c>
      <c r="Z3037" t="s">
        <v>27907</v>
      </c>
      <c r="AA3037">
        <v>0.6885571780693015</v>
      </c>
      <c r="AB3037" t="str">
        <f>HYPERLINK("Melting_Curves/meltCurve_Q14203_3_DCTN1.pdf", "Melting_Curves/meltCurve_Q14203_3_DCTN1.pdf")</f>
        <v>Melting_Curves/meltCurve_Q14203_3_DCTN1.pdf</v>
      </c>
    </row>
    <row r="3038" spans="1:28" x14ac:dyDescent="0.25">
      <c r="A3038" t="s">
        <v>3042</v>
      </c>
      <c r="B3038">
        <v>0.99352677808782597</v>
      </c>
      <c r="C3038">
        <v>0.90051157852243302</v>
      </c>
      <c r="D3038">
        <v>0.78015677927840199</v>
      </c>
      <c r="E3038">
        <v>0.673229171528133</v>
      </c>
      <c r="F3038">
        <v>0.51688822163756798</v>
      </c>
      <c r="G3038">
        <v>0.26211212871963002</v>
      </c>
      <c r="H3038">
        <v>0.131461333580979</v>
      </c>
      <c r="I3038">
        <v>0.118198909877213</v>
      </c>
      <c r="J3038">
        <v>9.5054923202291697E-2</v>
      </c>
      <c r="K3038">
        <v>7.2442351630059507E-2</v>
      </c>
      <c r="L3038">
        <v>590.15008594510095</v>
      </c>
      <c r="M3038">
        <v>11.2361733203394</v>
      </c>
      <c r="N3038">
        <v>52.522332456894603</v>
      </c>
      <c r="O3038">
        <v>50.9411176971171</v>
      </c>
      <c r="P3038">
        <v>-5.5160070096757899E-2</v>
      </c>
      <c r="Q3038">
        <v>0</v>
      </c>
      <c r="R3038">
        <v>0.99162120465224202</v>
      </c>
      <c r="S3038" t="s">
        <v>9323</v>
      </c>
      <c r="T3038" t="s">
        <v>12568</v>
      </c>
      <c r="U3038" t="s">
        <v>12568</v>
      </c>
      <c r="V3038" t="s">
        <v>12568</v>
      </c>
      <c r="W3038" t="s">
        <v>15566</v>
      </c>
      <c r="X3038">
        <v>145</v>
      </c>
      <c r="Y3038" t="s">
        <v>21713</v>
      </c>
      <c r="Z3038" t="s">
        <v>27908</v>
      </c>
      <c r="AA3038">
        <v>0.44926402817662742</v>
      </c>
      <c r="AB3038" t="str">
        <f>HYPERLINK("Melting_Curves/meltCurve_Q14204_DYNC1H1.pdf", "Melting_Curves/meltCurve_Q14204_DYNC1H1.pdf")</f>
        <v>Melting_Curves/meltCurve_Q14204_DYNC1H1.pdf</v>
      </c>
    </row>
    <row r="3039" spans="1:28" x14ac:dyDescent="0.25">
      <c r="A3039" t="s">
        <v>3043</v>
      </c>
      <c r="B3039">
        <v>0.99352677808782597</v>
      </c>
      <c r="C3039">
        <v>0.96597224896314404</v>
      </c>
      <c r="D3039">
        <v>0.95777889612585998</v>
      </c>
      <c r="E3039">
        <v>0.82167789102425204</v>
      </c>
      <c r="F3039">
        <v>0.71588351852013699</v>
      </c>
      <c r="G3039">
        <v>0.58085102182931703</v>
      </c>
      <c r="H3039">
        <v>0.460371499378463</v>
      </c>
      <c r="I3039">
        <v>0.48890660812584202</v>
      </c>
      <c r="J3039">
        <v>0.52635286680898297</v>
      </c>
      <c r="K3039">
        <v>0.43015543768749098</v>
      </c>
      <c r="L3039">
        <v>848.42706417942395</v>
      </c>
      <c r="M3039">
        <v>16.165787459414599</v>
      </c>
      <c r="N3039">
        <v>61.501591050144803</v>
      </c>
      <c r="O3039">
        <v>51.699476391469602</v>
      </c>
      <c r="P3039">
        <v>-4.27408310403323E-2</v>
      </c>
      <c r="Q3039">
        <v>0.453286847175282</v>
      </c>
      <c r="R3039">
        <v>0.98444081841257203</v>
      </c>
      <c r="S3039" t="s">
        <v>9324</v>
      </c>
      <c r="T3039" t="s">
        <v>12568</v>
      </c>
      <c r="U3039" t="s">
        <v>12568</v>
      </c>
      <c r="V3039" t="s">
        <v>12568</v>
      </c>
      <c r="W3039" t="s">
        <v>15567</v>
      </c>
      <c r="X3039">
        <v>4</v>
      </c>
      <c r="Y3039" t="s">
        <v>21714</v>
      </c>
      <c r="Z3039" t="s">
        <v>27909</v>
      </c>
      <c r="AA3039">
        <v>0.69150234341116223</v>
      </c>
      <c r="AB3039" t="str">
        <f>HYPERLINK("Melting_Curves/meltCurve_Q14207_NPAT.pdf", "Melting_Curves/meltCurve_Q14207_NPAT.pdf")</f>
        <v>Melting_Curves/meltCurve_Q14207_NPAT.pdf</v>
      </c>
    </row>
    <row r="3040" spans="1:28" x14ac:dyDescent="0.25">
      <c r="A3040" t="s">
        <v>3044</v>
      </c>
      <c r="B3040">
        <v>0.99352677808782597</v>
      </c>
      <c r="C3040">
        <v>1.0066038882000801</v>
      </c>
      <c r="D3040">
        <v>1.01525289275831</v>
      </c>
      <c r="E3040">
        <v>1.0239463253308401</v>
      </c>
      <c r="F3040">
        <v>0.88570369408393002</v>
      </c>
      <c r="G3040">
        <v>0.65426320446983899</v>
      </c>
      <c r="H3040">
        <v>0.134363069599097</v>
      </c>
      <c r="I3040">
        <v>0.11829206022529901</v>
      </c>
      <c r="J3040">
        <v>8.16188761351576E-2</v>
      </c>
      <c r="K3040">
        <v>6.4598868559299805E-2</v>
      </c>
      <c r="L3040">
        <v>2115.9350752966898</v>
      </c>
      <c r="M3040">
        <v>36.7151977315336</v>
      </c>
      <c r="N3040">
        <v>57.8614482345086</v>
      </c>
      <c r="O3040">
        <v>57.460879374616802</v>
      </c>
      <c r="P3040">
        <v>-0.14887679376174601</v>
      </c>
      <c r="Q3040">
        <v>6.8008254581696403E-2</v>
      </c>
      <c r="R3040">
        <v>0.994060271483445</v>
      </c>
      <c r="S3040" t="s">
        <v>9325</v>
      </c>
      <c r="T3040" t="s">
        <v>12568</v>
      </c>
      <c r="U3040" t="s">
        <v>12568</v>
      </c>
      <c r="V3040" t="s">
        <v>12568</v>
      </c>
      <c r="W3040" t="s">
        <v>15568</v>
      </c>
      <c r="X3040">
        <v>15</v>
      </c>
      <c r="Y3040" t="s">
        <v>21715</v>
      </c>
      <c r="Z3040" t="s">
        <v>27910</v>
      </c>
      <c r="AA3040">
        <v>0.620038973610196</v>
      </c>
      <c r="AB3040" t="str">
        <f>HYPERLINK("Melting_Curves/meltCurve_Q14232_EIF2B1.pdf", "Melting_Curves/meltCurve_Q14232_EIF2B1.pdf")</f>
        <v>Melting_Curves/meltCurve_Q14232_EIF2B1.pdf</v>
      </c>
    </row>
    <row r="3041" spans="1:28" x14ac:dyDescent="0.25">
      <c r="A3041" t="s">
        <v>3045</v>
      </c>
      <c r="B3041">
        <v>0.99352677808782597</v>
      </c>
      <c r="C3041">
        <v>0.96572033938567503</v>
      </c>
      <c r="D3041">
        <v>1.0277314870124299</v>
      </c>
      <c r="E3041">
        <v>0.95009658574391698</v>
      </c>
      <c r="F3041">
        <v>0.89901120951341296</v>
      </c>
      <c r="G3041">
        <v>0.59581582191951099</v>
      </c>
      <c r="H3041">
        <v>0.187435281462113</v>
      </c>
      <c r="I3041">
        <v>0.11153906990192</v>
      </c>
      <c r="J3041">
        <v>0.12847313920527301</v>
      </c>
      <c r="K3041">
        <v>0.10817304392664601</v>
      </c>
      <c r="L3041">
        <v>1749.6714010564001</v>
      </c>
      <c r="M3041">
        <v>30.585977722804699</v>
      </c>
      <c r="N3041">
        <v>57.6051026217323</v>
      </c>
      <c r="O3041">
        <v>56.962149935708297</v>
      </c>
      <c r="P3041">
        <v>-0.12139324178859499</v>
      </c>
      <c r="Q3041">
        <v>9.5693002372470304E-2</v>
      </c>
      <c r="R3041">
        <v>0.99588554478147895</v>
      </c>
      <c r="S3041" t="s">
        <v>9326</v>
      </c>
      <c r="T3041" t="s">
        <v>12568</v>
      </c>
      <c r="U3041" t="s">
        <v>12568</v>
      </c>
      <c r="V3041" t="s">
        <v>12568</v>
      </c>
      <c r="W3041" t="s">
        <v>15569</v>
      </c>
      <c r="X3041">
        <v>21</v>
      </c>
      <c r="Y3041" t="s">
        <v>21716</v>
      </c>
      <c r="Z3041" t="s">
        <v>27911</v>
      </c>
      <c r="AA3041">
        <v>0.62012712561443217</v>
      </c>
      <c r="AB3041" t="str">
        <f>HYPERLINK("Melting_Curves/meltCurve_Q14240_EIF4A2.pdf", "Melting_Curves/meltCurve_Q14240_EIF4A2.pdf")</f>
        <v>Melting_Curves/meltCurve_Q14240_EIF4A2.pdf</v>
      </c>
    </row>
    <row r="3042" spans="1:28" x14ac:dyDescent="0.25">
      <c r="A3042" t="s">
        <v>3046</v>
      </c>
      <c r="B3042">
        <v>0.99352677808782597</v>
      </c>
      <c r="C3042">
        <v>0.93645938812021401</v>
      </c>
      <c r="D3042">
        <v>0.91896207225376303</v>
      </c>
      <c r="E3042">
        <v>0.76669467146650505</v>
      </c>
      <c r="F3042">
        <v>0.64378640903340301</v>
      </c>
      <c r="G3042">
        <v>0.573146361842376</v>
      </c>
      <c r="H3042">
        <v>0.50269334711863101</v>
      </c>
      <c r="I3042">
        <v>0.51061390180701405</v>
      </c>
      <c r="J3042">
        <v>0.57869138058304703</v>
      </c>
      <c r="K3042">
        <v>0.43418806911743602</v>
      </c>
      <c r="L3042">
        <v>752.32780728164005</v>
      </c>
      <c r="M3042">
        <v>14.9091062600356</v>
      </c>
      <c r="N3042">
        <v>67.108984331349504</v>
      </c>
      <c r="O3042">
        <v>49.579231182651498</v>
      </c>
      <c r="P3042">
        <v>-3.8523743664803198E-2</v>
      </c>
      <c r="Q3042">
        <v>0.48762052738136502</v>
      </c>
      <c r="R3042">
        <v>0.96846744842702803</v>
      </c>
      <c r="S3042" t="s">
        <v>9327</v>
      </c>
      <c r="T3042" t="s">
        <v>12568</v>
      </c>
      <c r="U3042" t="s">
        <v>12568</v>
      </c>
      <c r="V3042" t="s">
        <v>12568</v>
      </c>
      <c r="W3042" t="s">
        <v>15570</v>
      </c>
      <c r="X3042">
        <v>8</v>
      </c>
      <c r="Y3042" t="s">
        <v>21717</v>
      </c>
      <c r="Z3042" t="s">
        <v>27912</v>
      </c>
      <c r="AA3042">
        <v>0.67845340555318367</v>
      </c>
      <c r="AB3042" t="str">
        <f>HYPERLINK("Melting_Curves/meltCurve_Q14241_TCEB3.pdf", "Melting_Curves/meltCurve_Q14241_TCEB3.pdf")</f>
        <v>Melting_Curves/meltCurve_Q14241_TCEB3.pdf</v>
      </c>
    </row>
    <row r="3043" spans="1:28" x14ac:dyDescent="0.25">
      <c r="A3043" t="s">
        <v>3047</v>
      </c>
      <c r="B3043">
        <v>0.99352677808782597</v>
      </c>
      <c r="C3043">
        <v>0.94463414697367798</v>
      </c>
      <c r="D3043">
        <v>1.02983414794266</v>
      </c>
      <c r="E3043">
        <v>1.04194321883611</v>
      </c>
      <c r="F3043">
        <v>0.98538602353272997</v>
      </c>
      <c r="G3043">
        <v>0.96173256498306803</v>
      </c>
      <c r="H3043">
        <v>0.88486237597961903</v>
      </c>
      <c r="I3043">
        <v>0.99965344258073896</v>
      </c>
      <c r="J3043">
        <v>0.96606422510118695</v>
      </c>
      <c r="K3043">
        <v>0.885302892853427</v>
      </c>
      <c r="L3043">
        <v>14231.706536846999</v>
      </c>
      <c r="M3043">
        <v>250</v>
      </c>
      <c r="O3043">
        <v>56.923183246629797</v>
      </c>
      <c r="P3043">
        <v>-7.2498212376505805E-2</v>
      </c>
      <c r="Q3043">
        <v>0.93397073567151201</v>
      </c>
      <c r="R3043">
        <v>0.37056413245631198</v>
      </c>
      <c r="S3043" t="s">
        <v>9328</v>
      </c>
      <c r="T3043" t="s">
        <v>12568</v>
      </c>
      <c r="U3043" t="s">
        <v>12568</v>
      </c>
      <c r="V3043" t="s">
        <v>12568</v>
      </c>
      <c r="W3043" t="s">
        <v>15571</v>
      </c>
      <c r="X3043">
        <v>27</v>
      </c>
      <c r="Y3043" t="s">
        <v>21718</v>
      </c>
      <c r="Z3043" t="s">
        <v>27913</v>
      </c>
      <c r="AA3043">
        <v>0.97123286163525802</v>
      </c>
      <c r="AB3043" t="str">
        <f>HYPERLINK("Melting_Curves/meltCurve_Q14244_MAP7.pdf", "Melting_Curves/meltCurve_Q14244_MAP7.pdf")</f>
        <v>Melting_Curves/meltCurve_Q14244_MAP7.pdf</v>
      </c>
    </row>
    <row r="3044" spans="1:28" x14ac:dyDescent="0.25">
      <c r="A3044" t="s">
        <v>3048</v>
      </c>
      <c r="B3044">
        <v>0.99352677808782597</v>
      </c>
      <c r="C3044">
        <v>0.973083810219319</v>
      </c>
      <c r="D3044">
        <v>1.01622634478104</v>
      </c>
      <c r="E3044">
        <v>1.0279903242941799</v>
      </c>
      <c r="F3044">
        <v>0.93112063355633801</v>
      </c>
      <c r="G3044">
        <v>0.87678650055686902</v>
      </c>
      <c r="H3044">
        <v>0.85696075962949603</v>
      </c>
      <c r="I3044">
        <v>0.90696067975060302</v>
      </c>
      <c r="J3044">
        <v>1.0834471463494</v>
      </c>
      <c r="K3044">
        <v>0.88916460299604405</v>
      </c>
      <c r="L3044">
        <v>13138.8448031975</v>
      </c>
      <c r="M3044">
        <v>250</v>
      </c>
      <c r="O3044">
        <v>52.552013967682697</v>
      </c>
      <c r="P3044">
        <v>-9.1975776197856005E-2</v>
      </c>
      <c r="Q3044">
        <v>0.92266380066581499</v>
      </c>
      <c r="R3044">
        <v>0.29548029046635099</v>
      </c>
      <c r="S3044" t="s">
        <v>9329</v>
      </c>
      <c r="T3044" t="s">
        <v>12568</v>
      </c>
      <c r="U3044" t="s">
        <v>12568</v>
      </c>
      <c r="V3044" t="s">
        <v>12568</v>
      </c>
      <c r="W3044" t="s">
        <v>15572</v>
      </c>
      <c r="X3044">
        <v>58</v>
      </c>
      <c r="Y3044" t="s">
        <v>21719</v>
      </c>
      <c r="Z3044" t="s">
        <v>27914</v>
      </c>
      <c r="AA3044">
        <v>0.95503711066685681</v>
      </c>
      <c r="AB3044" t="str">
        <f>HYPERLINK("Melting_Curves/meltCurve_Q14247_CTTN.pdf", "Melting_Curves/meltCurve_Q14247_CTTN.pdf")</f>
        <v>Melting_Curves/meltCurve_Q14247_CTTN.pdf</v>
      </c>
    </row>
    <row r="3045" spans="1:28" x14ac:dyDescent="0.25">
      <c r="A3045" t="s">
        <v>3049</v>
      </c>
      <c r="B3045">
        <v>0.99352677808782597</v>
      </c>
      <c r="C3045">
        <v>0.90354895328780005</v>
      </c>
      <c r="D3045">
        <v>1.0545618069132701</v>
      </c>
      <c r="E3045">
        <v>0.892588345185095</v>
      </c>
      <c r="F3045">
        <v>0.88615728443697495</v>
      </c>
      <c r="G3045">
        <v>0.84994563380379595</v>
      </c>
      <c r="H3045">
        <v>0.84642488735850296</v>
      </c>
      <c r="I3045">
        <v>0.95552304584026604</v>
      </c>
      <c r="J3045">
        <v>1.0019625850679801</v>
      </c>
      <c r="K3045">
        <v>0.90182100927333597</v>
      </c>
      <c r="L3045">
        <v>12015.487975656601</v>
      </c>
      <c r="M3045">
        <v>250</v>
      </c>
      <c r="O3045">
        <v>48.0588673741345</v>
      </c>
      <c r="P3045">
        <v>-0.123654425682764</v>
      </c>
      <c r="Q3045">
        <v>0.90491691618129799</v>
      </c>
      <c r="R3045">
        <v>0.28260688729143602</v>
      </c>
      <c r="S3045" t="s">
        <v>9330</v>
      </c>
      <c r="T3045" t="s">
        <v>12568</v>
      </c>
      <c r="U3045" t="s">
        <v>12568</v>
      </c>
      <c r="V3045" t="s">
        <v>12568</v>
      </c>
      <c r="W3045" t="s">
        <v>15573</v>
      </c>
      <c r="X3045">
        <v>52</v>
      </c>
      <c r="Y3045" t="s">
        <v>21719</v>
      </c>
      <c r="Z3045" t="s">
        <v>27915</v>
      </c>
      <c r="AA3045">
        <v>0.93047677786377925</v>
      </c>
      <c r="AB3045" t="str">
        <f>HYPERLINK("Melting_Curves/meltCurve_Q14247_3_CTTN.pdf", "Melting_Curves/meltCurve_Q14247_3_CTTN.pdf")</f>
        <v>Melting_Curves/meltCurve_Q14247_3_CTTN.pdf</v>
      </c>
    </row>
    <row r="3046" spans="1:28" x14ac:dyDescent="0.25">
      <c r="A3046" t="s">
        <v>3050</v>
      </c>
      <c r="B3046">
        <v>0.99352677808782597</v>
      </c>
      <c r="C3046">
        <v>0.92868246324664805</v>
      </c>
      <c r="D3046">
        <v>0.76053950197273701</v>
      </c>
      <c r="E3046">
        <v>0.39883647466169903</v>
      </c>
      <c r="F3046">
        <v>0.32569884575652103</v>
      </c>
      <c r="G3046">
        <v>0.20788107573099199</v>
      </c>
      <c r="H3046">
        <v>0.13327653836942899</v>
      </c>
      <c r="I3046">
        <v>0.113143709979371</v>
      </c>
      <c r="J3046">
        <v>8.4408754661101607E-2</v>
      </c>
      <c r="K3046">
        <v>5.5809449755539003E-2</v>
      </c>
      <c r="L3046">
        <v>767.02638115118395</v>
      </c>
      <c r="M3046">
        <v>15.7068629206012</v>
      </c>
      <c r="N3046">
        <v>49.414098836583797</v>
      </c>
      <c r="O3046">
        <v>48.062813022083603</v>
      </c>
      <c r="P3046">
        <v>-7.4825523395364593E-2</v>
      </c>
      <c r="Q3046">
        <v>8.4216404938951397E-2</v>
      </c>
      <c r="R3046">
        <v>0.99239124607332496</v>
      </c>
      <c r="S3046" t="s">
        <v>9331</v>
      </c>
      <c r="T3046" t="s">
        <v>12568</v>
      </c>
      <c r="U3046" t="s">
        <v>12568</v>
      </c>
      <c r="V3046" t="s">
        <v>12568</v>
      </c>
      <c r="W3046" t="s">
        <v>15574</v>
      </c>
      <c r="X3046">
        <v>3</v>
      </c>
      <c r="Y3046" t="s">
        <v>21720</v>
      </c>
      <c r="Z3046" t="s">
        <v>27916</v>
      </c>
      <c r="AA3046">
        <v>0.37470384065321199</v>
      </c>
      <c r="AB3046" t="str">
        <f>HYPERLINK("Melting_Curves/meltCurve_Q14249_ENDOG.pdf", "Melting_Curves/meltCurve_Q14249_ENDOG.pdf")</f>
        <v>Melting_Curves/meltCurve_Q14249_ENDOG.pdf</v>
      </c>
    </row>
    <row r="3047" spans="1:28" x14ac:dyDescent="0.25">
      <c r="A3047" t="s">
        <v>3051</v>
      </c>
      <c r="B3047">
        <v>0.99352677808782597</v>
      </c>
      <c r="C3047">
        <v>1.03029752342555</v>
      </c>
      <c r="D3047">
        <v>0.914879145466582</v>
      </c>
      <c r="E3047">
        <v>0.420551959339304</v>
      </c>
      <c r="F3047">
        <v>0.67865465299834904</v>
      </c>
      <c r="G3047">
        <v>0.57135893333775301</v>
      </c>
      <c r="H3047">
        <v>0.46415391149343699</v>
      </c>
      <c r="I3047">
        <v>0.47935846416544903</v>
      </c>
      <c r="J3047">
        <v>0.48124717053204902</v>
      </c>
      <c r="K3047">
        <v>0.42925061532832298</v>
      </c>
      <c r="L3047">
        <v>11572.4691760762</v>
      </c>
      <c r="M3047">
        <v>250</v>
      </c>
      <c r="O3047">
        <v>46.286914467970199</v>
      </c>
      <c r="P3047">
        <v>-0.67039625506254297</v>
      </c>
      <c r="Q3047">
        <v>0.50351081479206605</v>
      </c>
      <c r="R3047">
        <v>0.90385367823519702</v>
      </c>
      <c r="S3047" t="s">
        <v>9332</v>
      </c>
      <c r="T3047" t="s">
        <v>12568</v>
      </c>
      <c r="U3047" t="s">
        <v>12568</v>
      </c>
      <c r="V3047" t="s">
        <v>12568</v>
      </c>
      <c r="W3047" t="s">
        <v>15575</v>
      </c>
      <c r="X3047">
        <v>8</v>
      </c>
      <c r="Y3047" t="s">
        <v>21721</v>
      </c>
      <c r="Z3047" t="s">
        <v>27917</v>
      </c>
      <c r="AA3047">
        <v>0.60764634058632949</v>
      </c>
      <c r="AB3047" t="str">
        <f>HYPERLINK("Melting_Curves/meltCurve_Q14257_RCN2.pdf", "Melting_Curves/meltCurve_Q14257_RCN2.pdf")</f>
        <v>Melting_Curves/meltCurve_Q14257_RCN2.pdf</v>
      </c>
    </row>
    <row r="3048" spans="1:28" x14ac:dyDescent="0.25">
      <c r="A3048" t="s">
        <v>3052</v>
      </c>
      <c r="B3048">
        <v>0.99352677808782597</v>
      </c>
      <c r="C3048">
        <v>0.96818927720009795</v>
      </c>
      <c r="D3048">
        <v>0.88637212152107803</v>
      </c>
      <c r="E3048">
        <v>0.36001862106062299</v>
      </c>
      <c r="F3048">
        <v>0.32678291395389802</v>
      </c>
      <c r="G3048">
        <v>0.19314663905795501</v>
      </c>
      <c r="H3048">
        <v>0.131133741834907</v>
      </c>
      <c r="I3048">
        <v>0.123039678325428</v>
      </c>
      <c r="J3048">
        <v>9.9827000162474103E-2</v>
      </c>
      <c r="K3048">
        <v>7.1412616650024505E-2</v>
      </c>
      <c r="L3048">
        <v>1142.2947135766599</v>
      </c>
      <c r="M3048">
        <v>23.383939537836</v>
      </c>
      <c r="N3048">
        <v>49.432965032810401</v>
      </c>
      <c r="O3048">
        <v>48.496511230459802</v>
      </c>
      <c r="P3048">
        <v>-0.10601018554292101</v>
      </c>
      <c r="Q3048">
        <v>0.120587485073176</v>
      </c>
      <c r="R3048">
        <v>0.98311127564788403</v>
      </c>
      <c r="S3048" t="s">
        <v>9333</v>
      </c>
      <c r="T3048" t="s">
        <v>12568</v>
      </c>
      <c r="U3048" t="s">
        <v>12568</v>
      </c>
      <c r="V3048" t="s">
        <v>12568</v>
      </c>
      <c r="W3048" t="s">
        <v>15576</v>
      </c>
      <c r="X3048">
        <v>16</v>
      </c>
      <c r="Y3048" t="s">
        <v>21722</v>
      </c>
      <c r="Z3048" t="s">
        <v>27918</v>
      </c>
      <c r="AA3048">
        <v>0.38894117831160369</v>
      </c>
      <c r="AB3048" t="str">
        <f>HYPERLINK("Melting_Curves/meltCurve_Q14258_TRIM25.pdf", "Melting_Curves/meltCurve_Q14258_TRIM25.pdf")</f>
        <v>Melting_Curves/meltCurve_Q14258_TRIM25.pdf</v>
      </c>
    </row>
    <row r="3049" spans="1:28" x14ac:dyDescent="0.25">
      <c r="A3049" t="s">
        <v>3053</v>
      </c>
      <c r="B3049">
        <v>0.99352677808782597</v>
      </c>
      <c r="C3049">
        <v>0.96158199721036097</v>
      </c>
      <c r="D3049">
        <v>0.84261410787409796</v>
      </c>
      <c r="E3049">
        <v>0.30836399072262299</v>
      </c>
      <c r="F3049">
        <v>0.243721485437984</v>
      </c>
      <c r="G3049">
        <v>0.157654531277855</v>
      </c>
      <c r="H3049">
        <v>0.111014351167641</v>
      </c>
      <c r="I3049">
        <v>9.6914248979950005E-2</v>
      </c>
      <c r="J3049">
        <v>8.2097002387317403E-2</v>
      </c>
      <c r="K3049">
        <v>5.9768511049339501E-2</v>
      </c>
      <c r="L3049">
        <v>1306.22086223306</v>
      </c>
      <c r="M3049">
        <v>27.0541643966191</v>
      </c>
      <c r="N3049">
        <v>48.700318894331701</v>
      </c>
      <c r="O3049">
        <v>48.020211901232202</v>
      </c>
      <c r="P3049">
        <v>-0.12623643614184099</v>
      </c>
      <c r="Q3049">
        <v>0.10374748168162699</v>
      </c>
      <c r="R3049">
        <v>0.99125461659510905</v>
      </c>
      <c r="S3049" t="s">
        <v>9334</v>
      </c>
      <c r="T3049" t="s">
        <v>12568</v>
      </c>
      <c r="U3049" t="s">
        <v>12568</v>
      </c>
      <c r="V3049" t="s">
        <v>12568</v>
      </c>
      <c r="W3049" t="s">
        <v>15577</v>
      </c>
      <c r="X3049">
        <v>8</v>
      </c>
      <c r="Y3049" t="s">
        <v>21723</v>
      </c>
      <c r="Z3049" t="s">
        <v>27919</v>
      </c>
      <c r="AA3049">
        <v>0.35787388300600731</v>
      </c>
      <c r="AB3049" t="str">
        <f>HYPERLINK("Melting_Curves/meltCurve_Q14289_2_PTK2B.pdf", "Melting_Curves/meltCurve_Q14289_2_PTK2B.pdf")</f>
        <v>Melting_Curves/meltCurve_Q14289_2_PTK2B.pdf</v>
      </c>
    </row>
    <row r="3050" spans="1:28" x14ac:dyDescent="0.25">
      <c r="A3050" t="s">
        <v>3054</v>
      </c>
      <c r="B3050">
        <v>0.99352677808782597</v>
      </c>
      <c r="C3050">
        <v>1.0260552895670201</v>
      </c>
      <c r="D3050">
        <v>0.97205229793812897</v>
      </c>
      <c r="E3050">
        <v>0.68645517710789505</v>
      </c>
      <c r="F3050">
        <v>0.56914846937781904</v>
      </c>
      <c r="G3050">
        <v>0.357535381596151</v>
      </c>
      <c r="H3050">
        <v>0.215882598510903</v>
      </c>
      <c r="I3050">
        <v>0.215526276702518</v>
      </c>
      <c r="J3050">
        <v>0.12749425173912299</v>
      </c>
      <c r="K3050">
        <v>0.107309076697935</v>
      </c>
      <c r="L3050">
        <v>786.69901140459206</v>
      </c>
      <c r="M3050">
        <v>14.8136830990028</v>
      </c>
      <c r="N3050">
        <v>53.974546764363701</v>
      </c>
      <c r="O3050">
        <v>52.166646701285501</v>
      </c>
      <c r="P3050">
        <v>-6.3472138286899196E-2</v>
      </c>
      <c r="Q3050">
        <v>0.10602182563170499</v>
      </c>
      <c r="R3050">
        <v>0.99033324343748896</v>
      </c>
      <c r="S3050" t="s">
        <v>9335</v>
      </c>
      <c r="T3050" t="s">
        <v>12568</v>
      </c>
      <c r="U3050" t="s">
        <v>12568</v>
      </c>
      <c r="V3050" t="s">
        <v>12568</v>
      </c>
      <c r="W3050" t="s">
        <v>15578</v>
      </c>
      <c r="X3050">
        <v>20</v>
      </c>
      <c r="Y3050" t="s">
        <v>21724</v>
      </c>
      <c r="Z3050" t="s">
        <v>27920</v>
      </c>
      <c r="AA3050">
        <v>0.51605893343310794</v>
      </c>
      <c r="AB3050" t="str">
        <f>HYPERLINK("Melting_Curves/meltCurve_Q14315_2_FLNC.pdf", "Melting_Curves/meltCurve_Q14315_2_FLNC.pdf")</f>
        <v>Melting_Curves/meltCurve_Q14315_2_FLNC.pdf</v>
      </c>
    </row>
    <row r="3051" spans="1:28" x14ac:dyDescent="0.25">
      <c r="A3051" t="s">
        <v>3055</v>
      </c>
      <c r="B3051">
        <v>0.99352677808782597</v>
      </c>
      <c r="C3051">
        <v>0.94163400094393102</v>
      </c>
      <c r="D3051">
        <v>1.00210334082519</v>
      </c>
      <c r="E3051">
        <v>0.83657193593199197</v>
      </c>
      <c r="F3051">
        <v>0.74383957056691097</v>
      </c>
      <c r="G3051">
        <v>0.469857015137015</v>
      </c>
      <c r="H3051">
        <v>0.23187867313018001</v>
      </c>
      <c r="I3051">
        <v>0.18798747920745901</v>
      </c>
      <c r="J3051">
        <v>0.16555434860782201</v>
      </c>
      <c r="K3051">
        <v>0.12998532574441801</v>
      </c>
      <c r="L3051">
        <v>924.74614339301797</v>
      </c>
      <c r="M3051">
        <v>16.650914511078401</v>
      </c>
      <c r="N3051">
        <v>56.290766801561297</v>
      </c>
      <c r="O3051">
        <v>54.754756181533999</v>
      </c>
      <c r="P3051">
        <v>-6.8434799756992098E-2</v>
      </c>
      <c r="Q3051">
        <v>9.9898201185015606E-2</v>
      </c>
      <c r="R3051">
        <v>0.99401211534096301</v>
      </c>
      <c r="S3051" t="s">
        <v>9336</v>
      </c>
      <c r="T3051" t="s">
        <v>12568</v>
      </c>
      <c r="U3051" t="s">
        <v>12568</v>
      </c>
      <c r="V3051" t="s">
        <v>12568</v>
      </c>
      <c r="W3051" t="s">
        <v>15579</v>
      </c>
      <c r="X3051">
        <v>18</v>
      </c>
      <c r="Y3051" t="s">
        <v>21725</v>
      </c>
      <c r="Z3051" t="s">
        <v>27921</v>
      </c>
      <c r="AA3051">
        <v>0.58099635567407815</v>
      </c>
      <c r="AB3051" t="str">
        <f>HYPERLINK("Melting_Curves/meltCurve_Q14320_FAM50A.pdf", "Melting_Curves/meltCurve_Q14320_FAM50A.pdf")</f>
        <v>Melting_Curves/meltCurve_Q14320_FAM50A.pdf</v>
      </c>
    </row>
    <row r="3052" spans="1:28" x14ac:dyDescent="0.25">
      <c r="A3052" t="s">
        <v>3056</v>
      </c>
      <c r="B3052">
        <v>0.99352677808782597</v>
      </c>
      <c r="C3052">
        <v>0.87456731980269797</v>
      </c>
      <c r="D3052">
        <v>0.91923289090832705</v>
      </c>
      <c r="E3052">
        <v>0.46771726857130402</v>
      </c>
      <c r="F3052">
        <v>0.428235184233769</v>
      </c>
      <c r="G3052">
        <v>0.24963887956120501</v>
      </c>
      <c r="H3052">
        <v>0.233457986506</v>
      </c>
      <c r="I3052">
        <v>0.229319193212179</v>
      </c>
      <c r="J3052">
        <v>0.221074709106554</v>
      </c>
      <c r="K3052">
        <v>0.15954175950213201</v>
      </c>
      <c r="L3052">
        <v>923.54244660838503</v>
      </c>
      <c r="M3052">
        <v>18.7458907948247</v>
      </c>
      <c r="N3052">
        <v>50.664262116244501</v>
      </c>
      <c r="O3052">
        <v>48.716018063957698</v>
      </c>
      <c r="P3052">
        <v>-7.6779445925184001E-2</v>
      </c>
      <c r="Q3052">
        <v>0.20190900939779699</v>
      </c>
      <c r="R3052">
        <v>0.97299398051250396</v>
      </c>
      <c r="S3052" t="s">
        <v>9337</v>
      </c>
      <c r="T3052" t="s">
        <v>12568</v>
      </c>
      <c r="U3052" t="s">
        <v>12568</v>
      </c>
      <c r="V3052" t="s">
        <v>12568</v>
      </c>
      <c r="W3052" t="s">
        <v>15580</v>
      </c>
      <c r="X3052">
        <v>4</v>
      </c>
      <c r="Y3052" t="s">
        <v>21726</v>
      </c>
      <c r="Z3052" t="s">
        <v>27922</v>
      </c>
      <c r="AA3052">
        <v>0.46111964957350082</v>
      </c>
      <c r="AB3052" t="str">
        <f>HYPERLINK("Melting_Curves/meltCurve_Q14331_FRG1.pdf", "Melting_Curves/meltCurve_Q14331_FRG1.pdf")</f>
        <v>Melting_Curves/meltCurve_Q14331_FRG1.pdf</v>
      </c>
    </row>
    <row r="3053" spans="1:28" x14ac:dyDescent="0.25">
      <c r="A3053" t="s">
        <v>3057</v>
      </c>
      <c r="B3053">
        <v>0.99352677808782597</v>
      </c>
      <c r="C3053">
        <v>0.93994735098828697</v>
      </c>
      <c r="D3053">
        <v>1.00391804861956</v>
      </c>
      <c r="E3053">
        <v>0.49184969799559902</v>
      </c>
      <c r="F3053">
        <v>0.449486309304645</v>
      </c>
      <c r="G3053">
        <v>0.14906676181120199</v>
      </c>
      <c r="H3053">
        <v>0.143294571068148</v>
      </c>
      <c r="I3053">
        <v>0.183186090380419</v>
      </c>
      <c r="J3053">
        <v>9.1160500131437297E-2</v>
      </c>
      <c r="K3053">
        <v>8.05968906928132E-2</v>
      </c>
      <c r="L3053">
        <v>1047.46017043855</v>
      </c>
      <c r="M3053">
        <v>20.752137606564101</v>
      </c>
      <c r="N3053">
        <v>51.1051176723551</v>
      </c>
      <c r="O3053">
        <v>50.013117374711101</v>
      </c>
      <c r="P3053">
        <v>-9.2023718846650698E-2</v>
      </c>
      <c r="Q3053">
        <v>0.112908068168507</v>
      </c>
      <c r="R3053">
        <v>0.96990641683040202</v>
      </c>
      <c r="S3053" t="s">
        <v>9338</v>
      </c>
      <c r="T3053" t="s">
        <v>12568</v>
      </c>
      <c r="U3053" t="s">
        <v>12568</v>
      </c>
      <c r="V3053" t="s">
        <v>12568</v>
      </c>
      <c r="W3053" t="s">
        <v>15581</v>
      </c>
      <c r="X3053">
        <v>5</v>
      </c>
      <c r="Y3053" t="s">
        <v>21727</v>
      </c>
      <c r="Z3053" t="s">
        <v>27923</v>
      </c>
      <c r="AA3053">
        <v>0.43413142292853057</v>
      </c>
      <c r="AB3053" t="str">
        <f>HYPERLINK("Melting_Curves/meltCurve_Q14353_GAMT.pdf", "Melting_Curves/meltCurve_Q14353_GAMT.pdf")</f>
        <v>Melting_Curves/meltCurve_Q14353_GAMT.pdf</v>
      </c>
    </row>
    <row r="3054" spans="1:28" x14ac:dyDescent="0.25">
      <c r="A3054" t="s">
        <v>3058</v>
      </c>
      <c r="B3054">
        <v>0.99352677808782597</v>
      </c>
      <c r="C3054">
        <v>0.93567071238620603</v>
      </c>
      <c r="D3054">
        <v>0.65368330872323199</v>
      </c>
      <c r="E3054">
        <v>0.23947996696384</v>
      </c>
      <c r="F3054">
        <v>0.17340450156003201</v>
      </c>
      <c r="G3054">
        <v>0.10056120833915599</v>
      </c>
      <c r="H3054">
        <v>8.0805327039286903E-2</v>
      </c>
      <c r="I3054">
        <v>7.92020287827154E-2</v>
      </c>
      <c r="J3054">
        <v>6.8009498449880301E-2</v>
      </c>
      <c r="K3054">
        <v>4.8105719574219899E-2</v>
      </c>
      <c r="L3054">
        <v>1127.2960500676099</v>
      </c>
      <c r="M3054">
        <v>23.9639391144764</v>
      </c>
      <c r="N3054">
        <v>47.366214428994198</v>
      </c>
      <c r="O3054">
        <v>46.717452214097897</v>
      </c>
      <c r="P3054">
        <v>-0.118522543803908</v>
      </c>
      <c r="Q3054">
        <v>7.5780958700559606E-2</v>
      </c>
      <c r="R3054">
        <v>0.99745517124337801</v>
      </c>
      <c r="S3054" t="s">
        <v>9339</v>
      </c>
      <c r="T3054" t="s">
        <v>12568</v>
      </c>
      <c r="U3054" t="s">
        <v>12568</v>
      </c>
      <c r="V3054" t="s">
        <v>12568</v>
      </c>
      <c r="W3054" t="s">
        <v>15582</v>
      </c>
      <c r="X3054">
        <v>13</v>
      </c>
      <c r="Y3054" t="s">
        <v>21728</v>
      </c>
      <c r="Z3054" t="s">
        <v>27924</v>
      </c>
      <c r="AA3054">
        <v>0.30175812438937782</v>
      </c>
      <c r="AB3054" t="str">
        <f>HYPERLINK("Melting_Curves/meltCurve_Q14376_GALE.pdf", "Melting_Curves/meltCurve_Q14376_GALE.pdf")</f>
        <v>Melting_Curves/meltCurve_Q14376_GALE.pdf</v>
      </c>
    </row>
    <row r="3055" spans="1:28" x14ac:dyDescent="0.25">
      <c r="A3055" t="s">
        <v>3059</v>
      </c>
      <c r="B3055">
        <v>0.99352677808782597</v>
      </c>
      <c r="C3055">
        <v>0.94642273075942895</v>
      </c>
      <c r="D3055">
        <v>0.79550969664168703</v>
      </c>
      <c r="E3055">
        <v>0.42241193379040598</v>
      </c>
      <c r="F3055">
        <v>0.34959934367304801</v>
      </c>
      <c r="G3055">
        <v>0.25167406351698601</v>
      </c>
      <c r="H3055">
        <v>0.16904343582755499</v>
      </c>
      <c r="I3055">
        <v>0.17242844548682501</v>
      </c>
      <c r="J3055">
        <v>0.15389478968894599</v>
      </c>
      <c r="K3055">
        <v>0.121129931395656</v>
      </c>
      <c r="L3055">
        <v>868.35208318801199</v>
      </c>
      <c r="M3055">
        <v>17.845190332650098</v>
      </c>
      <c r="N3055">
        <v>49.679220541540403</v>
      </c>
      <c r="O3055">
        <v>48.0615688445492</v>
      </c>
      <c r="P3055">
        <v>-7.8603103894883494E-2</v>
      </c>
      <c r="Q3055">
        <v>0.15325180729537699</v>
      </c>
      <c r="R3055">
        <v>0.99231442182756402</v>
      </c>
      <c r="S3055" t="s">
        <v>9340</v>
      </c>
      <c r="T3055" t="s">
        <v>12568</v>
      </c>
      <c r="U3055" t="s">
        <v>12568</v>
      </c>
      <c r="V3055" t="s">
        <v>12568</v>
      </c>
      <c r="W3055" t="s">
        <v>15583</v>
      </c>
      <c r="X3055">
        <v>6</v>
      </c>
      <c r="Y3055" t="s">
        <v>21729</v>
      </c>
      <c r="Z3055" t="s">
        <v>27925</v>
      </c>
      <c r="AA3055">
        <v>0.41271669287074031</v>
      </c>
      <c r="AB3055" t="str">
        <f>HYPERLINK("Melting_Curves/meltCurve_Q14432_PDE3A.pdf", "Melting_Curves/meltCurve_Q14432_PDE3A.pdf")</f>
        <v>Melting_Curves/meltCurve_Q14432_PDE3A.pdf</v>
      </c>
    </row>
    <row r="3056" spans="1:28" x14ac:dyDescent="0.25">
      <c r="A3056" t="s">
        <v>3060</v>
      </c>
      <c r="B3056">
        <v>0.99352677808782597</v>
      </c>
      <c r="C3056">
        <v>1.01431353954836</v>
      </c>
      <c r="D3056">
        <v>0.97943926351133903</v>
      </c>
      <c r="E3056">
        <v>1.0062235283768799</v>
      </c>
      <c r="F3056">
        <v>0.94507143354317402</v>
      </c>
      <c r="G3056">
        <v>0.80227313195687799</v>
      </c>
      <c r="H3056">
        <v>0.92179092270452201</v>
      </c>
      <c r="I3056">
        <v>0.970591494073066</v>
      </c>
      <c r="J3056">
        <v>1.25247718980194</v>
      </c>
      <c r="K3056">
        <v>0.85364477940439398</v>
      </c>
      <c r="L3056">
        <v>15000</v>
      </c>
      <c r="M3056">
        <v>212.522047016844</v>
      </c>
      <c r="Q3056">
        <v>0</v>
      </c>
      <c r="R3056">
        <v>0.114065712544798</v>
      </c>
      <c r="S3056" t="s">
        <v>9341</v>
      </c>
      <c r="T3056" t="s">
        <v>12568</v>
      </c>
      <c r="U3056" t="s">
        <v>12568</v>
      </c>
      <c r="V3056" t="s">
        <v>12568</v>
      </c>
      <c r="W3056" t="s">
        <v>15584</v>
      </c>
      <c r="X3056">
        <v>23</v>
      </c>
      <c r="Y3056" t="s">
        <v>21730</v>
      </c>
      <c r="Z3056" t="s">
        <v>27926</v>
      </c>
      <c r="AA3056">
        <v>0.99829373347494277</v>
      </c>
      <c r="AB3056" t="str">
        <f>HYPERLINK("Melting_Curves/meltCurve_Q14444_2_CAPRIN1.pdf", "Melting_Curves/meltCurve_Q14444_2_CAPRIN1.pdf")</f>
        <v>Melting_Curves/meltCurve_Q14444_2_CAPRIN1.pdf</v>
      </c>
    </row>
    <row r="3057" spans="1:28" x14ac:dyDescent="0.25">
      <c r="A3057" t="s">
        <v>3061</v>
      </c>
      <c r="B3057">
        <v>0.99352677808782597</v>
      </c>
      <c r="C3057">
        <v>0.91393039806515697</v>
      </c>
      <c r="D3057">
        <v>0.93291979663100699</v>
      </c>
      <c r="E3057">
        <v>0.60299260371888097</v>
      </c>
      <c r="F3057">
        <v>0.57541489803879597</v>
      </c>
      <c r="G3057">
        <v>0.349364748072857</v>
      </c>
      <c r="H3057">
        <v>0.35144643543707199</v>
      </c>
      <c r="I3057">
        <v>0.31733668602569298</v>
      </c>
      <c r="J3057">
        <v>0.290158809160454</v>
      </c>
      <c r="K3057">
        <v>0.23750718503631199</v>
      </c>
      <c r="L3057">
        <v>738.19522015173902</v>
      </c>
      <c r="M3057">
        <v>14.535355614115799</v>
      </c>
      <c r="N3057">
        <v>53.511996459374799</v>
      </c>
      <c r="O3057">
        <v>49.853949449326102</v>
      </c>
      <c r="P3057">
        <v>-5.38322568734751E-2</v>
      </c>
      <c r="Q3057">
        <v>0.261540196529572</v>
      </c>
      <c r="R3057">
        <v>0.976999980457255</v>
      </c>
      <c r="S3057" t="s">
        <v>9342</v>
      </c>
      <c r="T3057" t="s">
        <v>12568</v>
      </c>
      <c r="U3057" t="s">
        <v>12568</v>
      </c>
      <c r="V3057" t="s">
        <v>12568</v>
      </c>
      <c r="W3057" t="s">
        <v>15585</v>
      </c>
      <c r="X3057">
        <v>5</v>
      </c>
      <c r="Y3057" t="s">
        <v>21731</v>
      </c>
      <c r="Z3057" t="s">
        <v>27927</v>
      </c>
      <c r="AA3057">
        <v>0.54514683654567686</v>
      </c>
      <c r="AB3057" t="str">
        <f>HYPERLINK("Melting_Curves/meltCurve_Q14449_GRB14.pdf", "Melting_Curves/meltCurve_Q14449_GRB14.pdf")</f>
        <v>Melting_Curves/meltCurve_Q14449_GRB14.pdf</v>
      </c>
    </row>
    <row r="3058" spans="1:28" x14ac:dyDescent="0.25">
      <c r="A3058" t="s">
        <v>3062</v>
      </c>
      <c r="B3058">
        <v>0.99352677808782597</v>
      </c>
      <c r="C3058">
        <v>0.91191270576773797</v>
      </c>
      <c r="D3058">
        <v>0.80103474457357104</v>
      </c>
      <c r="E3058">
        <v>0.55649839380686705</v>
      </c>
      <c r="F3058">
        <v>0.46211735129861697</v>
      </c>
      <c r="G3058">
        <v>0.36617556933635298</v>
      </c>
      <c r="H3058">
        <v>0.29343162854784499</v>
      </c>
      <c r="I3058">
        <v>0.30234683888406999</v>
      </c>
      <c r="J3058">
        <v>0.29729310289553201</v>
      </c>
      <c r="K3058">
        <v>0.26798054471664301</v>
      </c>
      <c r="L3058">
        <v>723.42234418156204</v>
      </c>
      <c r="M3058">
        <v>14.8038170239181</v>
      </c>
      <c r="N3058">
        <v>51.638120858645998</v>
      </c>
      <c r="O3058">
        <v>48.001579327169701</v>
      </c>
      <c r="P3058">
        <v>-5.5976242654307701E-2</v>
      </c>
      <c r="Q3058">
        <v>0.27406241584698199</v>
      </c>
      <c r="R3058">
        <v>0.99723559012233898</v>
      </c>
      <c r="S3058" t="s">
        <v>9343</v>
      </c>
      <c r="T3058" t="s">
        <v>12568</v>
      </c>
      <c r="U3058" t="s">
        <v>12568</v>
      </c>
      <c r="V3058" t="s">
        <v>12568</v>
      </c>
      <c r="W3058" t="s">
        <v>15586</v>
      </c>
      <c r="X3058">
        <v>3</v>
      </c>
      <c r="Y3058" t="s">
        <v>21732</v>
      </c>
      <c r="Z3058" t="s">
        <v>27928</v>
      </c>
      <c r="AA3058">
        <v>0.50709235308104161</v>
      </c>
      <c r="AB3058" t="str">
        <f>HYPERLINK("Melting_Curves/meltCurve_Q14451_GRB7.pdf", "Melting_Curves/meltCurve_Q14451_GRB7.pdf")</f>
        <v>Melting_Curves/meltCurve_Q14451_GRB7.pdf</v>
      </c>
    </row>
    <row r="3059" spans="1:28" x14ac:dyDescent="0.25">
      <c r="A3059" t="s">
        <v>3063</v>
      </c>
      <c r="B3059">
        <v>0.99352677808782597</v>
      </c>
      <c r="C3059">
        <v>0.95344258321689201</v>
      </c>
      <c r="D3059">
        <v>0.86939062915657095</v>
      </c>
      <c r="E3059">
        <v>0.74918384929023196</v>
      </c>
      <c r="F3059">
        <v>0.58793124763154203</v>
      </c>
      <c r="G3059">
        <v>0.336741712940611</v>
      </c>
      <c r="H3059">
        <v>0.20118780497772901</v>
      </c>
      <c r="I3059">
        <v>0.17181782108560301</v>
      </c>
      <c r="J3059">
        <v>0.18083791107466499</v>
      </c>
      <c r="K3059">
        <v>0.13475867792177801</v>
      </c>
      <c r="L3059">
        <v>740.421785847911</v>
      </c>
      <c r="M3059">
        <v>13.9354922528446</v>
      </c>
      <c r="N3059">
        <v>54.023887660012797</v>
      </c>
      <c r="O3059">
        <v>52.0738406430564</v>
      </c>
      <c r="P3059">
        <v>-6.0036456682119599E-2</v>
      </c>
      <c r="Q3059">
        <v>0.10274925781194399</v>
      </c>
      <c r="R3059">
        <v>0.99565379753397298</v>
      </c>
      <c r="S3059" t="s">
        <v>9344</v>
      </c>
      <c r="T3059" t="s">
        <v>12568</v>
      </c>
      <c r="U3059" t="s">
        <v>12568</v>
      </c>
      <c r="V3059" t="s">
        <v>12568</v>
      </c>
      <c r="W3059" t="s">
        <v>15587</v>
      </c>
      <c r="X3059">
        <v>4</v>
      </c>
      <c r="Y3059" t="s">
        <v>21733</v>
      </c>
      <c r="Z3059" t="s">
        <v>27929</v>
      </c>
      <c r="AA3059">
        <v>0.51667734749406147</v>
      </c>
      <c r="AB3059" t="str">
        <f>HYPERLINK("Melting_Curves/meltCurve_Q14457_BECN1.pdf", "Melting_Curves/meltCurve_Q14457_BECN1.pdf")</f>
        <v>Melting_Curves/meltCurve_Q14457_BECN1.pdf</v>
      </c>
    </row>
    <row r="3060" spans="1:28" x14ac:dyDescent="0.25">
      <c r="A3060" t="s">
        <v>3064</v>
      </c>
      <c r="B3060">
        <v>0.99352677808782597</v>
      </c>
      <c r="C3060">
        <v>1.1654242728964901</v>
      </c>
      <c r="D3060">
        <v>0.81518010298708199</v>
      </c>
      <c r="E3060">
        <v>1.43444684525591</v>
      </c>
      <c r="F3060">
        <v>1.0549611530579901</v>
      </c>
      <c r="G3060">
        <v>1.13314069495557</v>
      </c>
      <c r="H3060">
        <v>1.8519894236686401</v>
      </c>
      <c r="I3060">
        <v>0.91961086373053302</v>
      </c>
      <c r="J3060">
        <v>0.53007894102142605</v>
      </c>
      <c r="K3060">
        <v>0.15813636397744299</v>
      </c>
      <c r="L3060">
        <v>4861.2658277501896</v>
      </c>
      <c r="M3060">
        <v>72.729427448830904</v>
      </c>
      <c r="N3060">
        <v>67.112681053176402</v>
      </c>
      <c r="O3060">
        <v>66.789954879191995</v>
      </c>
      <c r="P3060">
        <v>-0.23745435778841401</v>
      </c>
      <c r="Q3060">
        <v>0.127750037581146</v>
      </c>
      <c r="R3060">
        <v>0.48227136270958898</v>
      </c>
      <c r="S3060" t="s">
        <v>9345</v>
      </c>
      <c r="T3060" t="s">
        <v>12568</v>
      </c>
      <c r="U3060" t="s">
        <v>12568</v>
      </c>
      <c r="V3060" t="s">
        <v>12568</v>
      </c>
      <c r="W3060" t="s">
        <v>15588</v>
      </c>
      <c r="X3060">
        <v>1</v>
      </c>
      <c r="Y3060" t="s">
        <v>21734</v>
      </c>
      <c r="Z3060" t="s">
        <v>27930</v>
      </c>
      <c r="AA3060">
        <v>0.90823482829630631</v>
      </c>
      <c r="AB3060" t="str">
        <f>HYPERLINK("Melting_Curves/meltCurve_Q14469_HES1.pdf", "Melting_Curves/meltCurve_Q14469_HES1.pdf")</f>
        <v>Melting_Curves/meltCurve_Q14469_HES1.pdf</v>
      </c>
    </row>
    <row r="3061" spans="1:28" x14ac:dyDescent="0.25">
      <c r="A3061" t="s">
        <v>3065</v>
      </c>
      <c r="B3061">
        <v>0.99352677808782597</v>
      </c>
      <c r="C3061">
        <v>0.82041126012636201</v>
      </c>
      <c r="D3061">
        <v>0.92508927815700803</v>
      </c>
      <c r="E3061">
        <v>0.814669617184831</v>
      </c>
      <c r="F3061">
        <v>0.84624191639540003</v>
      </c>
      <c r="G3061">
        <v>0.71571492232426503</v>
      </c>
      <c r="H3061">
        <v>0.66743281708827995</v>
      </c>
      <c r="I3061">
        <v>0.74496363382172803</v>
      </c>
      <c r="J3061">
        <v>0.73449750592903995</v>
      </c>
      <c r="K3061">
        <v>0.69355033152240497</v>
      </c>
      <c r="L3061">
        <v>359.62183569553702</v>
      </c>
      <c r="M3061">
        <v>7.2899292580064596</v>
      </c>
      <c r="O3061">
        <v>46.025684446167197</v>
      </c>
      <c r="P3061">
        <v>-1.3377549041101E-2</v>
      </c>
      <c r="Q3061">
        <v>0.66269685741576001</v>
      </c>
      <c r="R3061">
        <v>0.75802917549301196</v>
      </c>
      <c r="S3061" t="s">
        <v>9346</v>
      </c>
      <c r="T3061" t="s">
        <v>12568</v>
      </c>
      <c r="U3061" t="s">
        <v>12568</v>
      </c>
      <c r="V3061" t="s">
        <v>12568</v>
      </c>
      <c r="W3061" t="s">
        <v>15589</v>
      </c>
      <c r="X3061">
        <v>9</v>
      </c>
      <c r="Y3061" t="s">
        <v>21735</v>
      </c>
      <c r="Z3061" t="s">
        <v>27931</v>
      </c>
      <c r="AA3061">
        <v>0.79155170026397914</v>
      </c>
      <c r="AB3061" t="str">
        <f>HYPERLINK("Melting_Curves/meltCurve_Q14493_SLBP.pdf", "Melting_Curves/meltCurve_Q14493_SLBP.pdf")</f>
        <v>Melting_Curves/meltCurve_Q14493_SLBP.pdf</v>
      </c>
    </row>
    <row r="3062" spans="1:28" x14ac:dyDescent="0.25">
      <c r="A3062" t="s">
        <v>3066</v>
      </c>
      <c r="B3062">
        <v>0.99352677808782597</v>
      </c>
      <c r="C3062">
        <v>0.25738634320386</v>
      </c>
      <c r="D3062">
        <v>1.1548166633013199</v>
      </c>
      <c r="E3062">
        <v>0.65179135299236401</v>
      </c>
      <c r="F3062">
        <v>0.51559913662719803</v>
      </c>
      <c r="G3062">
        <v>0.30343180636049899</v>
      </c>
      <c r="H3062">
        <v>0.156672314695388</v>
      </c>
      <c r="I3062">
        <v>0.12796258237078401</v>
      </c>
      <c r="J3062">
        <v>0.113714907444508</v>
      </c>
      <c r="K3062">
        <v>9.1154946162137707E-2</v>
      </c>
      <c r="L3062">
        <v>449.811195117529</v>
      </c>
      <c r="M3062">
        <v>8.5985629320442101</v>
      </c>
      <c r="N3062">
        <v>52.3123664946297</v>
      </c>
      <c r="O3062">
        <v>49.713523321255103</v>
      </c>
      <c r="P3062">
        <v>-4.3277870339397798E-2</v>
      </c>
      <c r="Q3062">
        <v>0</v>
      </c>
      <c r="R3062">
        <v>0.59134235077507702</v>
      </c>
      <c r="S3062" t="s">
        <v>9347</v>
      </c>
      <c r="T3062" t="s">
        <v>12568</v>
      </c>
      <c r="U3062" t="s">
        <v>12568</v>
      </c>
      <c r="V3062" t="s">
        <v>12568</v>
      </c>
      <c r="W3062" t="s">
        <v>15590</v>
      </c>
      <c r="X3062">
        <v>8</v>
      </c>
      <c r="Y3062" t="s">
        <v>21736</v>
      </c>
      <c r="Z3062" t="s">
        <v>27932</v>
      </c>
      <c r="AA3062">
        <v>0.45290031387427609</v>
      </c>
      <c r="AB3062" t="str">
        <f>HYPERLINK("Melting_Curves/meltCurve_Q14498_2_RBM39.pdf", "Melting_Curves/meltCurve_Q14498_2_RBM39.pdf")</f>
        <v>Melting_Curves/meltCurve_Q14498_2_RBM39.pdf</v>
      </c>
    </row>
    <row r="3063" spans="1:28" x14ac:dyDescent="0.25">
      <c r="A3063" t="s">
        <v>3067</v>
      </c>
      <c r="B3063">
        <v>0.99352677808782597</v>
      </c>
      <c r="C3063">
        <v>0.901609533943454</v>
      </c>
      <c r="D3063">
        <v>0.86932150790994001</v>
      </c>
      <c r="E3063">
        <v>0.52763391342551602</v>
      </c>
      <c r="F3063">
        <v>0.47161360408897002</v>
      </c>
      <c r="G3063">
        <v>0.340022308741396</v>
      </c>
      <c r="H3063">
        <v>0.280399658732986</v>
      </c>
      <c r="I3063">
        <v>0.30377425227805799</v>
      </c>
      <c r="J3063">
        <v>0.27208796731889201</v>
      </c>
      <c r="K3063">
        <v>0.21686964943259701</v>
      </c>
      <c r="L3063">
        <v>774.56186139923705</v>
      </c>
      <c r="M3063">
        <v>15.709108577828699</v>
      </c>
      <c r="N3063">
        <v>51.611269057915102</v>
      </c>
      <c r="O3063">
        <v>48.528272983424699</v>
      </c>
      <c r="P3063">
        <v>-6.0532475748308598E-2</v>
      </c>
      <c r="Q3063">
        <v>0.25208003768631199</v>
      </c>
      <c r="R3063">
        <v>0.98557523202236796</v>
      </c>
      <c r="S3063" t="s">
        <v>9348</v>
      </c>
      <c r="T3063" t="s">
        <v>12568</v>
      </c>
      <c r="U3063" t="s">
        <v>12568</v>
      </c>
      <c r="V3063" t="s">
        <v>12568</v>
      </c>
      <c r="W3063" t="s">
        <v>15591</v>
      </c>
      <c r="X3063">
        <v>13</v>
      </c>
      <c r="Y3063" t="s">
        <v>21737</v>
      </c>
      <c r="Z3063" t="s">
        <v>27933</v>
      </c>
      <c r="AA3063">
        <v>0.50084620182143991</v>
      </c>
      <c r="AB3063" t="str">
        <f>HYPERLINK("Melting_Curves/meltCurve_Q14511_3_NEDD9.pdf", "Melting_Curves/meltCurve_Q14511_3_NEDD9.pdf")</f>
        <v>Melting_Curves/meltCurve_Q14511_3_NEDD9.pdf</v>
      </c>
    </row>
    <row r="3064" spans="1:28" x14ac:dyDescent="0.25">
      <c r="A3064" t="s">
        <v>3068</v>
      </c>
      <c r="B3064">
        <v>0.99352677808782597</v>
      </c>
      <c r="C3064">
        <v>0.94754445972300405</v>
      </c>
      <c r="D3064">
        <v>1.0161762554454401</v>
      </c>
      <c r="E3064">
        <v>1.06906837222088</v>
      </c>
      <c r="F3064">
        <v>0.99668538151896502</v>
      </c>
      <c r="G3064">
        <v>0.89549589712808597</v>
      </c>
      <c r="H3064">
        <v>0.80172565044504196</v>
      </c>
      <c r="I3064">
        <v>0.77678993967895005</v>
      </c>
      <c r="J3064">
        <v>0.826861438518398</v>
      </c>
      <c r="K3064">
        <v>0.77042386430861398</v>
      </c>
      <c r="L3064">
        <v>3177.9043740748598</v>
      </c>
      <c r="M3064">
        <v>55.759494099852702</v>
      </c>
      <c r="O3064">
        <v>56.919896517488198</v>
      </c>
      <c r="P3064">
        <v>-5.0826772600633799E-2</v>
      </c>
      <c r="Q3064">
        <v>0.79246203102901502</v>
      </c>
      <c r="R3064">
        <v>0.90989679967006598</v>
      </c>
      <c r="S3064" t="s">
        <v>9349</v>
      </c>
      <c r="T3064" t="s">
        <v>12568</v>
      </c>
      <c r="U3064" t="s">
        <v>12568</v>
      </c>
      <c r="V3064" t="s">
        <v>12568</v>
      </c>
      <c r="W3064" t="s">
        <v>15592</v>
      </c>
      <c r="X3064">
        <v>2</v>
      </c>
      <c r="Y3064" t="s">
        <v>21738</v>
      </c>
      <c r="Z3064" t="s">
        <v>27934</v>
      </c>
      <c r="AA3064">
        <v>0.91043760673571106</v>
      </c>
      <c r="AB3064" t="str">
        <f>HYPERLINK("Melting_Curves/meltCurve_Q14517_FAT1.pdf", "Melting_Curves/meltCurve_Q14517_FAT1.pdf")</f>
        <v>Melting_Curves/meltCurve_Q14517_FAT1.pdf</v>
      </c>
    </row>
    <row r="3065" spans="1:28" x14ac:dyDescent="0.25">
      <c r="A3065" t="s">
        <v>3069</v>
      </c>
      <c r="B3065">
        <v>0.99352677808782597</v>
      </c>
      <c r="C3065">
        <v>0.99984934770026901</v>
      </c>
      <c r="D3065">
        <v>0.98912414246669</v>
      </c>
      <c r="E3065">
        <v>0.89626410550540303</v>
      </c>
      <c r="F3065">
        <v>0.82290323872126803</v>
      </c>
      <c r="G3065">
        <v>0.44200047347425098</v>
      </c>
      <c r="H3065">
        <v>0.119419402686086</v>
      </c>
      <c r="I3065">
        <v>0.11317179700509999</v>
      </c>
      <c r="J3065">
        <v>9.0245246689651795E-2</v>
      </c>
      <c r="K3065">
        <v>7.2239764380968893E-2</v>
      </c>
      <c r="L3065">
        <v>1384.6102265278801</v>
      </c>
      <c r="M3065">
        <v>24.7580175568777</v>
      </c>
      <c r="N3065">
        <v>56.220806011259398</v>
      </c>
      <c r="O3065">
        <v>55.564696143337997</v>
      </c>
      <c r="P3065">
        <v>-0.104607509648832</v>
      </c>
      <c r="Q3065">
        <v>6.0925910697955998E-2</v>
      </c>
      <c r="R3065">
        <v>0.99599550332120901</v>
      </c>
      <c r="S3065" t="s">
        <v>9350</v>
      </c>
      <c r="T3065" t="s">
        <v>12568</v>
      </c>
      <c r="U3065" t="s">
        <v>12568</v>
      </c>
      <c r="V3065" t="s">
        <v>12568</v>
      </c>
      <c r="W3065" t="s">
        <v>15593</v>
      </c>
      <c r="X3065">
        <v>1</v>
      </c>
      <c r="Y3065" t="s">
        <v>21739</v>
      </c>
      <c r="Z3065" t="s">
        <v>27935</v>
      </c>
      <c r="AA3065">
        <v>0.56820959293571149</v>
      </c>
      <c r="AB3065" t="str">
        <f>HYPERLINK("Melting_Curves/meltCurve_Q14520_2_HABP2.pdf", "Melting_Curves/meltCurve_Q14520_2_HABP2.pdf")</f>
        <v>Melting_Curves/meltCurve_Q14520_2_HABP2.pdf</v>
      </c>
    </row>
    <row r="3066" spans="1:28" x14ac:dyDescent="0.25">
      <c r="A3066" t="s">
        <v>3070</v>
      </c>
      <c r="B3066">
        <v>0.99352677808782597</v>
      </c>
      <c r="C3066">
        <v>0.80250431951938395</v>
      </c>
      <c r="D3066">
        <v>0.84515720512505899</v>
      </c>
      <c r="E3066">
        <v>0.413488302682335</v>
      </c>
      <c r="F3066">
        <v>0.20945496969643199</v>
      </c>
      <c r="G3066">
        <v>0.202183393349601</v>
      </c>
      <c r="H3066">
        <v>0.12342835258432</v>
      </c>
      <c r="I3066">
        <v>0.12455817613476999</v>
      </c>
      <c r="J3066">
        <v>0.101316278179106</v>
      </c>
      <c r="K3066">
        <v>9.0515114781195699E-2</v>
      </c>
      <c r="L3066">
        <v>901.74514766710797</v>
      </c>
      <c r="M3066">
        <v>18.594215016087901</v>
      </c>
      <c r="N3066">
        <v>49.102998947014299</v>
      </c>
      <c r="O3066">
        <v>47.945528511929197</v>
      </c>
      <c r="P3066">
        <v>-8.7003772714716293E-2</v>
      </c>
      <c r="Q3066">
        <v>0.10267559762390201</v>
      </c>
      <c r="R3066">
        <v>0.97523233253154495</v>
      </c>
      <c r="S3066" t="s">
        <v>9351</v>
      </c>
      <c r="T3066" t="s">
        <v>12568</v>
      </c>
      <c r="U3066" t="s">
        <v>12568</v>
      </c>
      <c r="V3066" t="s">
        <v>12568</v>
      </c>
      <c r="W3066" t="s">
        <v>15594</v>
      </c>
      <c r="X3066">
        <v>4</v>
      </c>
      <c r="Y3066" t="s">
        <v>21740</v>
      </c>
      <c r="Z3066" t="s">
        <v>27936</v>
      </c>
      <c r="AA3066">
        <v>0.37149631914019732</v>
      </c>
      <c r="AB3066" t="str">
        <f>HYPERLINK("Melting_Curves/meltCurve_Q14527_HLTF.pdf", "Melting_Curves/meltCurve_Q14527_HLTF.pdf")</f>
        <v>Melting_Curves/meltCurve_Q14527_HLTF.pdf</v>
      </c>
    </row>
    <row r="3067" spans="1:28" x14ac:dyDescent="0.25">
      <c r="A3067" t="s">
        <v>3071</v>
      </c>
      <c r="B3067">
        <v>0.99352677808782597</v>
      </c>
      <c r="C3067">
        <v>0.92448443951640402</v>
      </c>
      <c r="D3067">
        <v>0.96692848710555501</v>
      </c>
      <c r="E3067">
        <v>0.77928299444770699</v>
      </c>
      <c r="F3067">
        <v>0.65800482405030802</v>
      </c>
      <c r="G3067">
        <v>0.20724350646897499</v>
      </c>
      <c r="H3067">
        <v>0.119686888878425</v>
      </c>
      <c r="I3067">
        <v>0.14299878406408001</v>
      </c>
      <c r="J3067">
        <v>9.2565573341906099E-2</v>
      </c>
      <c r="K3067">
        <v>7.0176015819325005E-2</v>
      </c>
      <c r="L3067">
        <v>1169.35025976113</v>
      </c>
      <c r="M3067">
        <v>21.858570244209801</v>
      </c>
      <c r="N3067">
        <v>53.897481134069899</v>
      </c>
      <c r="O3067">
        <v>53.054485771268702</v>
      </c>
      <c r="P3067">
        <v>-9.5267762176870302E-2</v>
      </c>
      <c r="Q3067">
        <v>7.5096637536053307E-2</v>
      </c>
      <c r="R3067">
        <v>0.98666064072346704</v>
      </c>
      <c r="S3067" t="s">
        <v>9352</v>
      </c>
      <c r="T3067" t="s">
        <v>12568</v>
      </c>
      <c r="U3067" t="s">
        <v>12568</v>
      </c>
      <c r="V3067" t="s">
        <v>12568</v>
      </c>
      <c r="W3067" t="s">
        <v>15595</v>
      </c>
      <c r="X3067">
        <v>4</v>
      </c>
      <c r="Y3067" t="s">
        <v>21741</v>
      </c>
      <c r="Z3067" t="s">
        <v>27937</v>
      </c>
      <c r="AA3067">
        <v>0.50206435463577925</v>
      </c>
      <c r="AB3067" t="str">
        <f>HYPERLINK("Melting_Curves/meltCurve_Q14554_PDIA5.pdf", "Melting_Curves/meltCurve_Q14554_PDIA5.pdf")</f>
        <v>Melting_Curves/meltCurve_Q14554_PDIA5.pdf</v>
      </c>
    </row>
    <row r="3068" spans="1:28" x14ac:dyDescent="0.25">
      <c r="A3068" t="s">
        <v>3072</v>
      </c>
      <c r="B3068">
        <v>0.99352677808782597</v>
      </c>
      <c r="C3068">
        <v>0.98689735923157496</v>
      </c>
      <c r="D3068">
        <v>0.90366529729998801</v>
      </c>
      <c r="E3068">
        <v>1.06989772780768</v>
      </c>
      <c r="F3068">
        <v>0.83691371523860802</v>
      </c>
      <c r="G3068">
        <v>0.32189066703442198</v>
      </c>
      <c r="H3068">
        <v>0.19245084177954599</v>
      </c>
      <c r="I3068">
        <v>0.14754619561110799</v>
      </c>
      <c r="J3068">
        <v>0.141781804554378</v>
      </c>
      <c r="K3068">
        <v>0.100261510932212</v>
      </c>
      <c r="L3068">
        <v>2161.4949859636099</v>
      </c>
      <c r="M3068">
        <v>39.220906184721102</v>
      </c>
      <c r="N3068">
        <v>55.571777955987002</v>
      </c>
      <c r="O3068">
        <v>54.9680994713434</v>
      </c>
      <c r="P3068">
        <v>-0.15361084677106099</v>
      </c>
      <c r="Q3068">
        <v>0.138859530814991</v>
      </c>
      <c r="R3068">
        <v>0.98752807305238199</v>
      </c>
      <c r="S3068" t="s">
        <v>9353</v>
      </c>
      <c r="T3068" t="s">
        <v>12568</v>
      </c>
      <c r="U3068" t="s">
        <v>12568</v>
      </c>
      <c r="V3068" t="s">
        <v>12568</v>
      </c>
      <c r="W3068" t="s">
        <v>15596</v>
      </c>
      <c r="X3068">
        <v>12</v>
      </c>
      <c r="Y3068" t="s">
        <v>21742</v>
      </c>
      <c r="Z3068" t="s">
        <v>27938</v>
      </c>
      <c r="AA3068">
        <v>0.57600751747914314</v>
      </c>
      <c r="AB3068" t="str">
        <f>HYPERLINK("Melting_Curves/meltCurve_Q14558_2_PRPSAP1.pdf", "Melting_Curves/meltCurve_Q14558_2_PRPSAP1.pdf")</f>
        <v>Melting_Curves/meltCurve_Q14558_2_PRPSAP1.pdf</v>
      </c>
    </row>
    <row r="3069" spans="1:28" x14ac:dyDescent="0.25">
      <c r="A3069" t="s">
        <v>3073</v>
      </c>
      <c r="B3069">
        <v>0.99352677808782597</v>
      </c>
      <c r="C3069">
        <v>0.94672167087217396</v>
      </c>
      <c r="D3069">
        <v>1.03956199518126</v>
      </c>
      <c r="E3069">
        <v>0.75988258172051804</v>
      </c>
      <c r="F3069">
        <v>0.65669347948755896</v>
      </c>
      <c r="G3069">
        <v>0.33401916138596899</v>
      </c>
      <c r="H3069">
        <v>0.17681592576546301</v>
      </c>
      <c r="I3069">
        <v>0.15002056255605301</v>
      </c>
      <c r="J3069">
        <v>0.13108429443101399</v>
      </c>
      <c r="K3069">
        <v>0.119729045105821</v>
      </c>
      <c r="L3069">
        <v>989.40846986926601</v>
      </c>
      <c r="M3069">
        <v>18.375945611069799</v>
      </c>
      <c r="N3069">
        <v>54.516828744439799</v>
      </c>
      <c r="O3069">
        <v>53.217098033158003</v>
      </c>
      <c r="P3069">
        <v>-7.7554344980521203E-2</v>
      </c>
      <c r="Q3069">
        <v>0.101645261974535</v>
      </c>
      <c r="R3069">
        <v>0.98949714352043805</v>
      </c>
      <c r="S3069" t="s">
        <v>9354</v>
      </c>
      <c r="T3069" t="s">
        <v>12568</v>
      </c>
      <c r="U3069" t="s">
        <v>12568</v>
      </c>
      <c r="V3069" t="s">
        <v>12568</v>
      </c>
      <c r="W3069" t="s">
        <v>15597</v>
      </c>
      <c r="X3069">
        <v>5</v>
      </c>
      <c r="Y3069" t="s">
        <v>21743</v>
      </c>
      <c r="Z3069" t="s">
        <v>27939</v>
      </c>
      <c r="AA3069">
        <v>0.53015294452792872</v>
      </c>
      <c r="AB3069" t="str">
        <f>HYPERLINK("Melting_Curves/meltCurve_Q14562_DHX8.pdf", "Melting_Curves/meltCurve_Q14562_DHX8.pdf")</f>
        <v>Melting_Curves/meltCurve_Q14562_DHX8.pdf</v>
      </c>
    </row>
    <row r="3070" spans="1:28" x14ac:dyDescent="0.25">
      <c r="A3070" t="s">
        <v>3074</v>
      </c>
      <c r="B3070">
        <v>0.99352677808782597</v>
      </c>
      <c r="C3070">
        <v>0.99861373948038401</v>
      </c>
      <c r="D3070">
        <v>0.91780667093687596</v>
      </c>
      <c r="E3070">
        <v>0.51099410697910197</v>
      </c>
      <c r="F3070">
        <v>0.40710084736223001</v>
      </c>
      <c r="G3070">
        <v>0.23705578119326401</v>
      </c>
      <c r="H3070">
        <v>0.14032629440348701</v>
      </c>
      <c r="I3070">
        <v>0.13048175678436999</v>
      </c>
      <c r="J3070">
        <v>0.105351877437468</v>
      </c>
      <c r="K3070">
        <v>7.8175611857855307E-2</v>
      </c>
      <c r="L3070">
        <v>904.280844590426</v>
      </c>
      <c r="M3070">
        <v>17.921107159607701</v>
      </c>
      <c r="N3070">
        <v>51.111428271065101</v>
      </c>
      <c r="O3070">
        <v>49.843277232375598</v>
      </c>
      <c r="P3070">
        <v>-8.0701054931472893E-2</v>
      </c>
      <c r="Q3070">
        <v>0.102242274470695</v>
      </c>
      <c r="R3070">
        <v>0.98982786997292005</v>
      </c>
      <c r="S3070" t="s">
        <v>9355</v>
      </c>
      <c r="T3070" t="s">
        <v>12568</v>
      </c>
      <c r="U3070" t="s">
        <v>12568</v>
      </c>
      <c r="V3070" t="s">
        <v>12568</v>
      </c>
      <c r="W3070" t="s">
        <v>15598</v>
      </c>
      <c r="X3070">
        <v>38</v>
      </c>
      <c r="Y3070" t="s">
        <v>21744</v>
      </c>
      <c r="Z3070" t="s">
        <v>27940</v>
      </c>
      <c r="AA3070">
        <v>0.43057732439873392</v>
      </c>
      <c r="AB3070" t="str">
        <f>HYPERLINK("Melting_Curves/meltCurve_Q14566_MCM6.pdf", "Melting_Curves/meltCurve_Q14566_MCM6.pdf")</f>
        <v>Melting_Curves/meltCurve_Q14566_MCM6.pdf</v>
      </c>
    </row>
    <row r="3071" spans="1:28" x14ac:dyDescent="0.25">
      <c r="A3071" t="s">
        <v>3075</v>
      </c>
      <c r="B3071">
        <v>0.99352677808782597</v>
      </c>
      <c r="C3071">
        <v>0.96945180239717299</v>
      </c>
      <c r="D3071">
        <v>1.00492221201536</v>
      </c>
      <c r="E3071">
        <v>0.54646463440617399</v>
      </c>
      <c r="F3071">
        <v>0.45078179134108698</v>
      </c>
      <c r="G3071">
        <v>0.232997582123559</v>
      </c>
      <c r="H3071">
        <v>0.14535496078288601</v>
      </c>
      <c r="I3071">
        <v>0.12237587488783599</v>
      </c>
      <c r="J3071">
        <v>0.11427870718791799</v>
      </c>
      <c r="K3071">
        <v>8.2598865860443904E-2</v>
      </c>
      <c r="L3071">
        <v>969.50714781184502</v>
      </c>
      <c r="M3071">
        <v>18.985318414862</v>
      </c>
      <c r="N3071">
        <v>51.699318969977703</v>
      </c>
      <c r="O3071">
        <v>50.509727918714702</v>
      </c>
      <c r="P3071">
        <v>-8.4224556624351701E-2</v>
      </c>
      <c r="Q3071">
        <v>0.103731062470588</v>
      </c>
      <c r="R3071">
        <v>0.98312171648728197</v>
      </c>
      <c r="S3071" t="s">
        <v>9356</v>
      </c>
      <c r="T3071" t="s">
        <v>12568</v>
      </c>
      <c r="U3071" t="s">
        <v>12568</v>
      </c>
      <c r="V3071" t="s">
        <v>12568</v>
      </c>
      <c r="W3071" t="s">
        <v>15599</v>
      </c>
      <c r="X3071">
        <v>21</v>
      </c>
      <c r="Y3071" t="s">
        <v>21745</v>
      </c>
      <c r="Z3071" t="s">
        <v>27941</v>
      </c>
      <c r="AA3071">
        <v>0.44803721589286422</v>
      </c>
      <c r="AB3071" t="str">
        <f>HYPERLINK("Melting_Curves/meltCurve_Q14651_PLS1.pdf", "Melting_Curves/meltCurve_Q14651_PLS1.pdf")</f>
        <v>Melting_Curves/meltCurve_Q14651_PLS1.pdf</v>
      </c>
    </row>
    <row r="3072" spans="1:28" x14ac:dyDescent="0.25">
      <c r="A3072" t="s">
        <v>3076</v>
      </c>
      <c r="B3072">
        <v>0.99352677808782597</v>
      </c>
      <c r="C3072">
        <v>0.98803919304950305</v>
      </c>
      <c r="D3072">
        <v>0.99151431014649305</v>
      </c>
      <c r="E3072">
        <v>0.77657183936210294</v>
      </c>
      <c r="F3072">
        <v>0.64839719417438701</v>
      </c>
      <c r="G3072">
        <v>0.325197577241849</v>
      </c>
      <c r="H3072">
        <v>9.99916873414744E-2</v>
      </c>
      <c r="I3072">
        <v>8.7799930629229903E-2</v>
      </c>
      <c r="J3072">
        <v>7.64302453098374E-2</v>
      </c>
      <c r="K3072">
        <v>6.8724621597111998E-2</v>
      </c>
      <c r="L3072">
        <v>993.261352652558</v>
      </c>
      <c r="M3072">
        <v>18.337069809269099</v>
      </c>
      <c r="N3072">
        <v>54.390720413555599</v>
      </c>
      <c r="O3072">
        <v>53.534975053670699</v>
      </c>
      <c r="P3072">
        <v>-8.2522538904666404E-2</v>
      </c>
      <c r="Q3072">
        <v>3.6347780453500997E-2</v>
      </c>
      <c r="R3072">
        <v>0.99525069616511597</v>
      </c>
      <c r="S3072" t="s">
        <v>9357</v>
      </c>
      <c r="T3072" t="s">
        <v>12568</v>
      </c>
      <c r="U3072" t="s">
        <v>12568</v>
      </c>
      <c r="V3072" t="s">
        <v>12568</v>
      </c>
      <c r="W3072" t="s">
        <v>15600</v>
      </c>
      <c r="X3072">
        <v>8</v>
      </c>
      <c r="Y3072" t="s">
        <v>21746</v>
      </c>
      <c r="Z3072" t="s">
        <v>27942</v>
      </c>
      <c r="AA3072">
        <v>0.50634237716706754</v>
      </c>
      <c r="AB3072" t="str">
        <f>HYPERLINK("Melting_Curves/meltCurve_Q14653_IRF3.pdf", "Melting_Curves/meltCurve_Q14653_IRF3.pdf")</f>
        <v>Melting_Curves/meltCurve_Q14653_IRF3.pdf</v>
      </c>
    </row>
    <row r="3073" spans="1:28" x14ac:dyDescent="0.25">
      <c r="A3073" t="s">
        <v>3077</v>
      </c>
      <c r="B3073">
        <v>0.99352677808782597</v>
      </c>
      <c r="C3073">
        <v>1.00222230633083</v>
      </c>
      <c r="D3073">
        <v>0.94801533162796803</v>
      </c>
      <c r="E3073">
        <v>0.77053842779218396</v>
      </c>
      <c r="F3073">
        <v>0.75602564307081699</v>
      </c>
      <c r="G3073">
        <v>0.60660447938023698</v>
      </c>
      <c r="H3073">
        <v>0.29187941302298898</v>
      </c>
      <c r="I3073">
        <v>0.18420194786318</v>
      </c>
      <c r="J3073">
        <v>0.13312266788329699</v>
      </c>
      <c r="K3073">
        <v>0.10498978125066701</v>
      </c>
      <c r="L3073">
        <v>709.68791195233405</v>
      </c>
      <c r="M3073">
        <v>12.363525277612499</v>
      </c>
      <c r="N3073">
        <v>57.401729948387</v>
      </c>
      <c r="O3073">
        <v>55.962026912684898</v>
      </c>
      <c r="P3073">
        <v>-5.5243621117940997E-2</v>
      </c>
      <c r="Q3073">
        <v>0</v>
      </c>
      <c r="R3073">
        <v>0.98458531598381205</v>
      </c>
      <c r="S3073" t="s">
        <v>9358</v>
      </c>
      <c r="T3073" t="s">
        <v>12568</v>
      </c>
      <c r="U3073" t="s">
        <v>12568</v>
      </c>
      <c r="V3073" t="s">
        <v>12568</v>
      </c>
      <c r="W3073" t="s">
        <v>15601</v>
      </c>
      <c r="X3073">
        <v>4</v>
      </c>
      <c r="Y3073" t="s">
        <v>21747</v>
      </c>
      <c r="Z3073" t="s">
        <v>27943</v>
      </c>
      <c r="AA3073">
        <v>0.59540475196640452</v>
      </c>
      <c r="AB3073" t="str">
        <f>HYPERLINK("Melting_Curves/meltCurve_Q14657_LAGE3.pdf", "Melting_Curves/meltCurve_Q14657_LAGE3.pdf")</f>
        <v>Melting_Curves/meltCurve_Q14657_LAGE3.pdf</v>
      </c>
    </row>
    <row r="3074" spans="1:28" x14ac:dyDescent="0.25">
      <c r="A3074" t="s">
        <v>3078</v>
      </c>
      <c r="B3074">
        <v>0.99352677808782597</v>
      </c>
      <c r="C3074">
        <v>0.85322083522506698</v>
      </c>
      <c r="D3074">
        <v>0.64020764712104905</v>
      </c>
      <c r="E3074">
        <v>0.39080585893434699</v>
      </c>
      <c r="F3074">
        <v>0.32226607389504303</v>
      </c>
      <c r="G3074">
        <v>0.220905089567003</v>
      </c>
      <c r="H3074">
        <v>0.16577581392767199</v>
      </c>
      <c r="I3074">
        <v>0.17116230294537299</v>
      </c>
      <c r="J3074">
        <v>0.14845510489220801</v>
      </c>
      <c r="K3074">
        <v>0.12947096906688299</v>
      </c>
      <c r="L3074">
        <v>708.15208332281804</v>
      </c>
      <c r="M3074">
        <v>14.970763619204799</v>
      </c>
      <c r="N3074">
        <v>48.4055765514169</v>
      </c>
      <c r="O3074">
        <v>46.4824117705964</v>
      </c>
      <c r="P3074">
        <v>-6.8887125183412806E-2</v>
      </c>
      <c r="Q3074">
        <v>0.14454253167716699</v>
      </c>
      <c r="R3074">
        <v>0.99444904939546597</v>
      </c>
      <c r="S3074" t="s">
        <v>9359</v>
      </c>
      <c r="T3074" t="s">
        <v>12568</v>
      </c>
      <c r="U3074" t="s">
        <v>12568</v>
      </c>
      <c r="V3074" t="s">
        <v>12568</v>
      </c>
      <c r="W3074" t="s">
        <v>15602</v>
      </c>
      <c r="X3074">
        <v>23</v>
      </c>
      <c r="Y3074" t="s">
        <v>21748</v>
      </c>
      <c r="Z3074" t="s">
        <v>27944</v>
      </c>
      <c r="AA3074">
        <v>0.37568762293502822</v>
      </c>
      <c r="AB3074" t="str">
        <f>HYPERLINK("Melting_Curves/meltCurve_Q14669_3_TRIP12.pdf", "Melting_Curves/meltCurve_Q14669_3_TRIP12.pdf")</f>
        <v>Melting_Curves/meltCurve_Q14669_3_TRIP12.pdf</v>
      </c>
    </row>
    <row r="3075" spans="1:28" x14ac:dyDescent="0.25">
      <c r="A3075" t="s">
        <v>3079</v>
      </c>
      <c r="B3075">
        <v>0.99352677808782597</v>
      </c>
      <c r="C3075">
        <v>0.95483153487664896</v>
      </c>
      <c r="D3075">
        <v>1.00001037520728</v>
      </c>
      <c r="E3075">
        <v>0.79115590984113304</v>
      </c>
      <c r="F3075">
        <v>0.70680090944677498</v>
      </c>
      <c r="G3075">
        <v>0.58885322262606399</v>
      </c>
      <c r="H3075">
        <v>0.58128296637132704</v>
      </c>
      <c r="I3075">
        <v>0.61238795770841703</v>
      </c>
      <c r="J3075">
        <v>0.64336635021893096</v>
      </c>
      <c r="K3075">
        <v>0.580576883499208</v>
      </c>
      <c r="L3075">
        <v>1367.28441611775</v>
      </c>
      <c r="M3075">
        <v>27.228562398736699</v>
      </c>
      <c r="O3075">
        <v>49.946569066129598</v>
      </c>
      <c r="P3075">
        <v>-5.4429143731251198E-2</v>
      </c>
      <c r="Q3075">
        <v>0.600636588537106</v>
      </c>
      <c r="R3075">
        <v>0.97328300586827599</v>
      </c>
      <c r="S3075" t="s">
        <v>9360</v>
      </c>
      <c r="T3075" t="s">
        <v>12568</v>
      </c>
      <c r="U3075" t="s">
        <v>12568</v>
      </c>
      <c r="V3075" t="s">
        <v>12568</v>
      </c>
      <c r="W3075" t="s">
        <v>15603</v>
      </c>
      <c r="X3075">
        <v>11</v>
      </c>
      <c r="Y3075" t="s">
        <v>21749</v>
      </c>
      <c r="Z3075" t="s">
        <v>27945</v>
      </c>
      <c r="AA3075">
        <v>0.73963469266472692</v>
      </c>
      <c r="AB3075" t="str">
        <f>HYPERLINK("Melting_Curves/meltCurve_Q14671_2_PUM1.pdf", "Melting_Curves/meltCurve_Q14671_2_PUM1.pdf")</f>
        <v>Melting_Curves/meltCurve_Q14671_2_PUM1.pdf</v>
      </c>
    </row>
    <row r="3076" spans="1:28" x14ac:dyDescent="0.25">
      <c r="A3076" t="s">
        <v>3080</v>
      </c>
      <c r="B3076">
        <v>0.99352677808782597</v>
      </c>
      <c r="C3076">
        <v>0.97055470229975505</v>
      </c>
      <c r="D3076">
        <v>0.96294583480024598</v>
      </c>
      <c r="E3076">
        <v>0.84942510889064904</v>
      </c>
      <c r="F3076">
        <v>0.79246895547019802</v>
      </c>
      <c r="G3076">
        <v>0.58714991119068105</v>
      </c>
      <c r="H3076">
        <v>0.54550189131389404</v>
      </c>
      <c r="I3076">
        <v>0.57890237225155805</v>
      </c>
      <c r="J3076">
        <v>0.60538580030078104</v>
      </c>
      <c r="K3076">
        <v>0.47922360910386702</v>
      </c>
      <c r="L3076">
        <v>933.98515578875197</v>
      </c>
      <c r="M3076">
        <v>17.746438856453199</v>
      </c>
      <c r="O3076">
        <v>51.974796235153001</v>
      </c>
      <c r="P3076">
        <v>-4.00921251432678E-2</v>
      </c>
      <c r="Q3076">
        <v>0.53034593076612702</v>
      </c>
      <c r="R3076">
        <v>0.96370452667725204</v>
      </c>
      <c r="S3076" t="s">
        <v>9361</v>
      </c>
      <c r="T3076" t="s">
        <v>12568</v>
      </c>
      <c r="U3076" t="s">
        <v>12568</v>
      </c>
      <c r="V3076" t="s">
        <v>12568</v>
      </c>
      <c r="W3076" t="s">
        <v>15604</v>
      </c>
      <c r="X3076">
        <v>22</v>
      </c>
      <c r="Y3076" t="s">
        <v>21750</v>
      </c>
      <c r="Z3076" t="s">
        <v>27946</v>
      </c>
      <c r="AA3076">
        <v>0.73598428144697614</v>
      </c>
      <c r="AB3076" t="str">
        <f>HYPERLINK("Melting_Curves/meltCurve_Q14676_MDC1.pdf", "Melting_Curves/meltCurve_Q14676_MDC1.pdf")</f>
        <v>Melting_Curves/meltCurve_Q14676_MDC1.pdf</v>
      </c>
    </row>
    <row r="3077" spans="1:28" x14ac:dyDescent="0.25">
      <c r="A3077" t="s">
        <v>3081</v>
      </c>
      <c r="B3077">
        <v>0.99352677808782597</v>
      </c>
      <c r="C3077">
        <v>1.01504351049798</v>
      </c>
      <c r="D3077">
        <v>1.07230013907912</v>
      </c>
      <c r="E3077">
        <v>0.94265073685791201</v>
      </c>
      <c r="F3077">
        <v>0.73929110392217401</v>
      </c>
      <c r="G3077">
        <v>0.64435217261552902</v>
      </c>
      <c r="H3077">
        <v>0.51120039702272102</v>
      </c>
      <c r="I3077">
        <v>0.452371297031603</v>
      </c>
      <c r="J3077">
        <v>0.42923226349037902</v>
      </c>
      <c r="K3077">
        <v>0.37168764948972299</v>
      </c>
      <c r="L3077">
        <v>922.18395155253097</v>
      </c>
      <c r="M3077">
        <v>16.632891578306999</v>
      </c>
      <c r="N3077">
        <v>60.7954231814849</v>
      </c>
      <c r="O3077">
        <v>54.6605594039926</v>
      </c>
      <c r="P3077">
        <v>-4.6836009056530001E-2</v>
      </c>
      <c r="Q3077">
        <v>0.38437401514361602</v>
      </c>
      <c r="R3077">
        <v>0.97603209237555599</v>
      </c>
      <c r="S3077" t="s">
        <v>9362</v>
      </c>
      <c r="T3077" t="s">
        <v>12568</v>
      </c>
      <c r="U3077" t="s">
        <v>12568</v>
      </c>
      <c r="V3077" t="s">
        <v>12568</v>
      </c>
      <c r="W3077" t="s">
        <v>15605</v>
      </c>
      <c r="X3077">
        <v>16</v>
      </c>
      <c r="Y3077" t="s">
        <v>21751</v>
      </c>
      <c r="Z3077" t="s">
        <v>27947</v>
      </c>
      <c r="AA3077">
        <v>0.71156799345068278</v>
      </c>
      <c r="AB3077" t="str">
        <f>HYPERLINK("Melting_Curves/meltCurve_Q14677_CLINT1.pdf", "Melting_Curves/meltCurve_Q14677_CLINT1.pdf")</f>
        <v>Melting_Curves/meltCurve_Q14677_CLINT1.pdf</v>
      </c>
    </row>
    <row r="3078" spans="1:28" x14ac:dyDescent="0.25">
      <c r="A3078" t="s">
        <v>3082</v>
      </c>
      <c r="B3078">
        <v>0.99352677808782597</v>
      </c>
      <c r="C3078">
        <v>0.91860129192711804</v>
      </c>
      <c r="D3078">
        <v>0.77227842780071598</v>
      </c>
      <c r="E3078">
        <v>0.63548879799454105</v>
      </c>
      <c r="F3078">
        <v>0.47208722476806803</v>
      </c>
      <c r="G3078">
        <v>0.28446435958600402</v>
      </c>
      <c r="H3078">
        <v>0.14988165361317199</v>
      </c>
      <c r="I3078">
        <v>0.14436378218443099</v>
      </c>
      <c r="J3078">
        <v>0.147210170909372</v>
      </c>
      <c r="K3078">
        <v>0.12633559489544899</v>
      </c>
      <c r="L3078">
        <v>614.08706832162795</v>
      </c>
      <c r="M3078">
        <v>11.9592699604449</v>
      </c>
      <c r="N3078">
        <v>52.034847933316001</v>
      </c>
      <c r="O3078">
        <v>49.975674847155702</v>
      </c>
      <c r="P3078">
        <v>-5.5472054668209002E-2</v>
      </c>
      <c r="Q3078">
        <v>7.2994802424736605E-2</v>
      </c>
      <c r="R3078">
        <v>0.99409542456822797</v>
      </c>
      <c r="S3078" t="s">
        <v>9363</v>
      </c>
      <c r="T3078" t="s">
        <v>12568</v>
      </c>
      <c r="U3078" t="s">
        <v>12568</v>
      </c>
      <c r="V3078" t="s">
        <v>12568</v>
      </c>
      <c r="W3078" t="s">
        <v>15606</v>
      </c>
      <c r="X3078">
        <v>3</v>
      </c>
      <c r="Y3078" t="s">
        <v>21752</v>
      </c>
      <c r="Z3078" t="s">
        <v>27948</v>
      </c>
      <c r="AA3078">
        <v>0.45338678057996001</v>
      </c>
      <c r="AB3078" t="str">
        <f>HYPERLINK("Melting_Curves/meltCurve_Q14678_KANK1.pdf", "Melting_Curves/meltCurve_Q14678_KANK1.pdf")</f>
        <v>Melting_Curves/meltCurve_Q14678_KANK1.pdf</v>
      </c>
    </row>
    <row r="3079" spans="1:28" x14ac:dyDescent="0.25">
      <c r="A3079" t="s">
        <v>3083</v>
      </c>
      <c r="B3079">
        <v>0.99352677808782597</v>
      </c>
      <c r="C3079">
        <v>1.1144064939536</v>
      </c>
      <c r="D3079">
        <v>1.00696204299438</v>
      </c>
      <c r="E3079">
        <v>0.88112680150530098</v>
      </c>
      <c r="F3079">
        <v>0.89398863363942505</v>
      </c>
      <c r="G3079">
        <v>0.60245325911411196</v>
      </c>
      <c r="H3079">
        <v>0.59091290054867196</v>
      </c>
      <c r="I3079">
        <v>0.71288037593380305</v>
      </c>
      <c r="J3079">
        <v>0.64334517096330701</v>
      </c>
      <c r="K3079">
        <v>0.63787222105042496</v>
      </c>
      <c r="L3079">
        <v>3624.08744244632</v>
      </c>
      <c r="M3079">
        <v>67.5882429852835</v>
      </c>
      <c r="O3079">
        <v>53.573206644723697</v>
      </c>
      <c r="P3079">
        <v>-0.114614331476998</v>
      </c>
      <c r="Q3079">
        <v>0.63660807730300195</v>
      </c>
      <c r="R3079">
        <v>0.89155345569074496</v>
      </c>
      <c r="S3079" t="s">
        <v>9364</v>
      </c>
      <c r="T3079" t="s">
        <v>12568</v>
      </c>
      <c r="U3079" t="s">
        <v>12568</v>
      </c>
      <c r="V3079" t="s">
        <v>12568</v>
      </c>
      <c r="W3079" t="s">
        <v>15607</v>
      </c>
      <c r="X3079">
        <v>1</v>
      </c>
      <c r="Y3079" t="s">
        <v>21753</v>
      </c>
      <c r="Z3079" t="s">
        <v>27949</v>
      </c>
      <c r="AA3079">
        <v>0.80205823579592894</v>
      </c>
      <c r="AB3079" t="str">
        <f>HYPERLINK("Melting_Curves/meltCurve_Q14681_KCTD2.pdf", "Melting_Curves/meltCurve_Q14681_KCTD2.pdf")</f>
        <v>Melting_Curves/meltCurve_Q14681_KCTD2.pdf</v>
      </c>
    </row>
    <row r="3080" spans="1:28" x14ac:dyDescent="0.25">
      <c r="A3080" t="s">
        <v>3084</v>
      </c>
      <c r="B3080">
        <v>0.99352677808782597</v>
      </c>
      <c r="C3080">
        <v>0.84692207275949405</v>
      </c>
      <c r="D3080">
        <v>0.72656472274678396</v>
      </c>
      <c r="E3080">
        <v>0.61834597839985905</v>
      </c>
      <c r="F3080">
        <v>0.49730850258568099</v>
      </c>
      <c r="G3080">
        <v>0.306993582237374</v>
      </c>
      <c r="H3080">
        <v>0.20478234683211599</v>
      </c>
      <c r="I3080">
        <v>0.177529159677981</v>
      </c>
      <c r="J3080">
        <v>0.184119444104892</v>
      </c>
      <c r="K3080">
        <v>0.158009816016874</v>
      </c>
      <c r="L3080">
        <v>498.082326328487</v>
      </c>
      <c r="M3080">
        <v>9.7451378868485694</v>
      </c>
      <c r="N3080">
        <v>52.0497379809362</v>
      </c>
      <c r="O3080">
        <v>49.097965548102302</v>
      </c>
      <c r="P3080">
        <v>-4.56459018329958E-2</v>
      </c>
      <c r="Q3080">
        <v>8.0600696424256199E-2</v>
      </c>
      <c r="R3080">
        <v>0.98883619873558504</v>
      </c>
      <c r="S3080" t="s">
        <v>9365</v>
      </c>
      <c r="T3080" t="s">
        <v>12568</v>
      </c>
      <c r="U3080" t="s">
        <v>12568</v>
      </c>
      <c r="V3080" t="s">
        <v>12568</v>
      </c>
      <c r="W3080" t="s">
        <v>15608</v>
      </c>
      <c r="X3080">
        <v>29</v>
      </c>
      <c r="Y3080" t="s">
        <v>21754</v>
      </c>
      <c r="Z3080" t="s">
        <v>27950</v>
      </c>
      <c r="AA3080">
        <v>0.46018141038604993</v>
      </c>
      <c r="AB3080" t="str">
        <f>HYPERLINK("Melting_Curves/meltCurve_Q14683_SMC1A.pdf", "Melting_Curves/meltCurve_Q14683_SMC1A.pdf")</f>
        <v>Melting_Curves/meltCurve_Q14683_SMC1A.pdf</v>
      </c>
    </row>
    <row r="3081" spans="1:28" x14ac:dyDescent="0.25">
      <c r="A3081" t="s">
        <v>3085</v>
      </c>
      <c r="B3081">
        <v>0.99352677808782597</v>
      </c>
      <c r="C3081">
        <v>0.98112709048052904</v>
      </c>
      <c r="D3081">
        <v>1.1012159108843</v>
      </c>
      <c r="E3081">
        <v>1.0925270885135501</v>
      </c>
      <c r="F3081">
        <v>0.93343770327353304</v>
      </c>
      <c r="G3081">
        <v>0.91797515227698701</v>
      </c>
      <c r="H3081">
        <v>0.77282850902187505</v>
      </c>
      <c r="I3081">
        <v>0.83863814297256301</v>
      </c>
      <c r="J3081">
        <v>0.84000918296536398</v>
      </c>
      <c r="K3081">
        <v>0.70929720475866898</v>
      </c>
      <c r="L3081">
        <v>1593.0412843546701</v>
      </c>
      <c r="M3081">
        <v>27.794791039757801</v>
      </c>
      <c r="O3081">
        <v>57.020163938259202</v>
      </c>
      <c r="P3081">
        <v>-2.6827193876834798E-2</v>
      </c>
      <c r="Q3081">
        <v>0.77986127113546</v>
      </c>
      <c r="R3081">
        <v>0.76977980085594999</v>
      </c>
      <c r="S3081" t="s">
        <v>9366</v>
      </c>
      <c r="T3081" t="s">
        <v>12568</v>
      </c>
      <c r="U3081" t="s">
        <v>12568</v>
      </c>
      <c r="V3081" t="s">
        <v>12568</v>
      </c>
      <c r="W3081" t="s">
        <v>15609</v>
      </c>
      <c r="X3081">
        <v>5</v>
      </c>
      <c r="Y3081" t="s">
        <v>21755</v>
      </c>
      <c r="Z3081" t="s">
        <v>27951</v>
      </c>
      <c r="AA3081">
        <v>0.90857691475660884</v>
      </c>
      <c r="AB3081" t="str">
        <f>HYPERLINK("Melting_Curves/meltCurve_Q14684_2_RRP1B.pdf", "Melting_Curves/meltCurve_Q14684_2_RRP1B.pdf")</f>
        <v>Melting_Curves/meltCurve_Q14684_2_RRP1B.pdf</v>
      </c>
    </row>
    <row r="3082" spans="1:28" x14ac:dyDescent="0.25">
      <c r="A3082" t="s">
        <v>3086</v>
      </c>
      <c r="B3082">
        <v>0.99352677808782597</v>
      </c>
      <c r="C3082">
        <v>1.0406138527145901</v>
      </c>
      <c r="D3082">
        <v>0.99385412894970204</v>
      </c>
      <c r="E3082">
        <v>0.92726514809184901</v>
      </c>
      <c r="F3082">
        <v>0.81018383959652795</v>
      </c>
      <c r="G3082">
        <v>0.78832970481383202</v>
      </c>
      <c r="H3082">
        <v>0.67544816580369105</v>
      </c>
      <c r="I3082">
        <v>0.705712276580437</v>
      </c>
      <c r="J3082">
        <v>0.78652199536698597</v>
      </c>
      <c r="K3082">
        <v>0.67650216067387103</v>
      </c>
      <c r="L3082">
        <v>1253.0588155308501</v>
      </c>
      <c r="M3082">
        <v>24.0685621111495</v>
      </c>
      <c r="O3082">
        <v>51.706653200035397</v>
      </c>
      <c r="P3082">
        <v>-3.3154816306255101E-2</v>
      </c>
      <c r="Q3082">
        <v>0.71509759806738704</v>
      </c>
      <c r="R3082">
        <v>0.92610110565949499</v>
      </c>
      <c r="S3082" t="s">
        <v>9367</v>
      </c>
      <c r="T3082" t="s">
        <v>12568</v>
      </c>
      <c r="U3082" t="s">
        <v>12568</v>
      </c>
      <c r="V3082" t="s">
        <v>12568</v>
      </c>
      <c r="W3082" t="s">
        <v>15610</v>
      </c>
      <c r="X3082">
        <v>9</v>
      </c>
      <c r="Y3082" t="s">
        <v>21756</v>
      </c>
      <c r="Z3082" t="s">
        <v>27952</v>
      </c>
      <c r="AA3082">
        <v>0.83244641196506142</v>
      </c>
      <c r="AB3082" t="str">
        <f>HYPERLINK("Melting_Curves/meltCurve_Q14686_NCOA6.pdf", "Melting_Curves/meltCurve_Q14686_NCOA6.pdf")</f>
        <v>Melting_Curves/meltCurve_Q14686_NCOA6.pdf</v>
      </c>
    </row>
    <row r="3083" spans="1:28" x14ac:dyDescent="0.25">
      <c r="A3083" t="s">
        <v>3087</v>
      </c>
      <c r="B3083">
        <v>0.99352677808782597</v>
      </c>
      <c r="C3083">
        <v>0.89510364386701902</v>
      </c>
      <c r="D3083">
        <v>0.79751111457809398</v>
      </c>
      <c r="E3083">
        <v>0.52829918905531204</v>
      </c>
      <c r="F3083">
        <v>0.47036967215297498</v>
      </c>
      <c r="G3083">
        <v>0.33805321851308501</v>
      </c>
      <c r="H3083">
        <v>0.21091258576084901</v>
      </c>
      <c r="I3083">
        <v>0.206151510407693</v>
      </c>
      <c r="J3083">
        <v>0.19945152924633799</v>
      </c>
      <c r="K3083">
        <v>0.184623633367059</v>
      </c>
      <c r="L3083">
        <v>614.33710733247005</v>
      </c>
      <c r="M3083">
        <v>12.2965030747993</v>
      </c>
      <c r="N3083">
        <v>51.561200658800999</v>
      </c>
      <c r="O3083">
        <v>48.694117150964502</v>
      </c>
      <c r="P3083">
        <v>-5.3125376402449902E-2</v>
      </c>
      <c r="Q3083">
        <v>0.15867928777944901</v>
      </c>
      <c r="R3083">
        <v>0.99256688888766698</v>
      </c>
      <c r="S3083" t="s">
        <v>9368</v>
      </c>
      <c r="T3083" t="s">
        <v>12568</v>
      </c>
      <c r="U3083" t="s">
        <v>12568</v>
      </c>
      <c r="V3083" t="s">
        <v>12568</v>
      </c>
      <c r="W3083" t="s">
        <v>15611</v>
      </c>
      <c r="X3083">
        <v>7</v>
      </c>
      <c r="Y3083" t="s">
        <v>21757</v>
      </c>
      <c r="Z3083" t="s">
        <v>27953</v>
      </c>
      <c r="AA3083">
        <v>0.4660946215344991</v>
      </c>
      <c r="AB3083" t="str">
        <f>HYPERLINK("Melting_Curves/meltCurve_Q14687_2_GSE1.pdf", "Melting_Curves/meltCurve_Q14687_2_GSE1.pdf")</f>
        <v>Melting_Curves/meltCurve_Q14687_2_GSE1.pdf</v>
      </c>
    </row>
    <row r="3084" spans="1:28" x14ac:dyDescent="0.25">
      <c r="A3084" t="s">
        <v>3088</v>
      </c>
      <c r="B3084">
        <v>0.99352677808782597</v>
      </c>
      <c r="C3084">
        <v>1.01248648464653</v>
      </c>
      <c r="D3084">
        <v>0.92751653312419902</v>
      </c>
      <c r="E3084">
        <v>0.62881064680579202</v>
      </c>
      <c r="F3084">
        <v>0.532996643124659</v>
      </c>
      <c r="G3084">
        <v>0.23367053870012899</v>
      </c>
      <c r="H3084">
        <v>0.22226677824227201</v>
      </c>
      <c r="I3084">
        <v>0.19877811535329501</v>
      </c>
      <c r="J3084">
        <v>0.16373410039886999</v>
      </c>
      <c r="K3084">
        <v>0.14324324698981999</v>
      </c>
      <c r="L3084">
        <v>908.19151589433204</v>
      </c>
      <c r="M3084">
        <v>17.644269427410102</v>
      </c>
      <c r="N3084">
        <v>52.553401755522799</v>
      </c>
      <c r="O3084">
        <v>50.8248011332456</v>
      </c>
      <c r="P3084">
        <v>-7.3584775766312796E-2</v>
      </c>
      <c r="Q3084">
        <v>0.15219340978513601</v>
      </c>
      <c r="R3084">
        <v>0.98979819181364403</v>
      </c>
      <c r="S3084" t="s">
        <v>9369</v>
      </c>
      <c r="T3084" t="s">
        <v>12568</v>
      </c>
      <c r="U3084" t="s">
        <v>12568</v>
      </c>
      <c r="V3084" t="s">
        <v>12568</v>
      </c>
      <c r="W3084" t="s">
        <v>15612</v>
      </c>
      <c r="X3084">
        <v>9</v>
      </c>
      <c r="Y3084" t="s">
        <v>21758</v>
      </c>
      <c r="Z3084" t="s">
        <v>27954</v>
      </c>
      <c r="AA3084">
        <v>0.49111365230483051</v>
      </c>
      <c r="AB3084" t="str">
        <f>HYPERLINK("Melting_Curves/meltCurve_Q14689_6_DIP2A.pdf", "Melting_Curves/meltCurve_Q14689_6_DIP2A.pdf")</f>
        <v>Melting_Curves/meltCurve_Q14689_6_DIP2A.pdf</v>
      </c>
    </row>
    <row r="3085" spans="1:28" x14ac:dyDescent="0.25">
      <c r="A3085" t="s">
        <v>3089</v>
      </c>
      <c r="B3085">
        <v>0.99352677808782597</v>
      </c>
      <c r="C3085">
        <v>0.929140014938311</v>
      </c>
      <c r="D3085">
        <v>0.91489906788590902</v>
      </c>
      <c r="E3085">
        <v>0.25580125141788801</v>
      </c>
      <c r="F3085">
        <v>0.18651884076479799</v>
      </c>
      <c r="G3085">
        <v>0.105770610989303</v>
      </c>
      <c r="H3085">
        <v>7.6210550936978996E-2</v>
      </c>
      <c r="I3085">
        <v>7.4127360908849999E-2</v>
      </c>
      <c r="J3085">
        <v>6.6518123072513605E-2</v>
      </c>
      <c r="K3085">
        <v>5.3157186320120002E-2</v>
      </c>
      <c r="L3085">
        <v>1917.3780208877999</v>
      </c>
      <c r="M3085">
        <v>39.659025970743897</v>
      </c>
      <c r="N3085">
        <v>48.5765572355252</v>
      </c>
      <c r="O3085">
        <v>48.224142000651</v>
      </c>
      <c r="P3085">
        <v>-0.18799969765964</v>
      </c>
      <c r="Q3085">
        <v>8.5594885225941095E-2</v>
      </c>
      <c r="R3085">
        <v>0.99143321048729505</v>
      </c>
      <c r="S3085" t="s">
        <v>9370</v>
      </c>
      <c r="T3085" t="s">
        <v>12568</v>
      </c>
      <c r="U3085" t="s">
        <v>12568</v>
      </c>
      <c r="V3085" t="s">
        <v>12568</v>
      </c>
      <c r="W3085" t="s">
        <v>15613</v>
      </c>
      <c r="X3085">
        <v>8</v>
      </c>
      <c r="Y3085" t="s">
        <v>21759</v>
      </c>
      <c r="Z3085" t="s">
        <v>27955</v>
      </c>
      <c r="AA3085">
        <v>0.34311565501079</v>
      </c>
      <c r="AB3085" t="str">
        <f>HYPERLINK("Melting_Curves/meltCurve_Q14691_GINS1.pdf", "Melting_Curves/meltCurve_Q14691_GINS1.pdf")</f>
        <v>Melting_Curves/meltCurve_Q14691_GINS1.pdf</v>
      </c>
    </row>
    <row r="3086" spans="1:28" x14ac:dyDescent="0.25">
      <c r="A3086" t="s">
        <v>3090</v>
      </c>
      <c r="B3086">
        <v>0.99352677808782597</v>
      </c>
      <c r="C3086">
        <v>0.79028655256170999</v>
      </c>
      <c r="D3086">
        <v>0.65158577284539998</v>
      </c>
      <c r="E3086">
        <v>0.41282760380231598</v>
      </c>
      <c r="F3086">
        <v>0.35828091937597301</v>
      </c>
      <c r="G3086">
        <v>0.26301760447398198</v>
      </c>
      <c r="H3086">
        <v>0.24354238439834899</v>
      </c>
      <c r="I3086">
        <v>0.26205488332142202</v>
      </c>
      <c r="J3086">
        <v>0.24111656486189501</v>
      </c>
      <c r="K3086">
        <v>0.21428922077006099</v>
      </c>
      <c r="L3086">
        <v>706.57280313127501</v>
      </c>
      <c r="M3086">
        <v>15.2196346474698</v>
      </c>
      <c r="N3086">
        <v>48.3912044105899</v>
      </c>
      <c r="O3086">
        <v>45.645731469655402</v>
      </c>
      <c r="P3086">
        <v>-6.4142230462248595E-2</v>
      </c>
      <c r="Q3086">
        <v>0.230588722075486</v>
      </c>
      <c r="R3086">
        <v>0.99045771555678297</v>
      </c>
      <c r="S3086" t="s">
        <v>9371</v>
      </c>
      <c r="T3086" t="s">
        <v>12568</v>
      </c>
      <c r="U3086" t="s">
        <v>12568</v>
      </c>
      <c r="V3086" t="s">
        <v>12568</v>
      </c>
      <c r="W3086" t="s">
        <v>15614</v>
      </c>
      <c r="X3086">
        <v>14</v>
      </c>
      <c r="Y3086" t="s">
        <v>21760</v>
      </c>
      <c r="Z3086" t="s">
        <v>27956</v>
      </c>
      <c r="AA3086">
        <v>0.41645704933488548</v>
      </c>
      <c r="AB3086" t="str">
        <f>HYPERLINK("Melting_Curves/meltCurve_Q14694_USP10.pdf", "Melting_Curves/meltCurve_Q14694_USP10.pdf")</f>
        <v>Melting_Curves/meltCurve_Q14694_USP10.pdf</v>
      </c>
    </row>
    <row r="3087" spans="1:28" x14ac:dyDescent="0.25">
      <c r="A3087" t="s">
        <v>3091</v>
      </c>
      <c r="B3087">
        <v>0.99352677808782597</v>
      </c>
      <c r="C3087">
        <v>0.99295242770867498</v>
      </c>
      <c r="D3087">
        <v>1.0294070016309</v>
      </c>
      <c r="E3087">
        <v>0.99928154183704399</v>
      </c>
      <c r="F3087">
        <v>0.82495506354064696</v>
      </c>
      <c r="G3087">
        <v>0.87124574075133299</v>
      </c>
      <c r="H3087">
        <v>0.66362398371740206</v>
      </c>
      <c r="I3087">
        <v>0.57476355564640502</v>
      </c>
      <c r="J3087">
        <v>0.47589369189706798</v>
      </c>
      <c r="K3087">
        <v>0.33618871165803799</v>
      </c>
      <c r="L3087">
        <v>653.74672851447997</v>
      </c>
      <c r="M3087">
        <v>9.9376520361637208</v>
      </c>
      <c r="N3087">
        <v>65.784822710969294</v>
      </c>
      <c r="O3087">
        <v>63.287265752185498</v>
      </c>
      <c r="P3087">
        <v>-3.9275683398590201E-2</v>
      </c>
      <c r="Q3087">
        <v>0</v>
      </c>
      <c r="R3087">
        <v>0.97186928350779</v>
      </c>
      <c r="S3087" t="s">
        <v>9372</v>
      </c>
      <c r="T3087" t="s">
        <v>12568</v>
      </c>
      <c r="U3087" t="s">
        <v>12568</v>
      </c>
      <c r="V3087" t="s">
        <v>12568</v>
      </c>
      <c r="W3087" t="s">
        <v>15615</v>
      </c>
      <c r="X3087">
        <v>10</v>
      </c>
      <c r="Y3087" t="s">
        <v>21761</v>
      </c>
      <c r="Z3087" t="s">
        <v>27957</v>
      </c>
      <c r="AA3087">
        <v>0.79422621558908624</v>
      </c>
      <c r="AB3087" t="str">
        <f>HYPERLINK("Melting_Curves/meltCurve_Q14696_MESDC2.pdf", "Melting_Curves/meltCurve_Q14696_MESDC2.pdf")</f>
        <v>Melting_Curves/meltCurve_Q14696_MESDC2.pdf</v>
      </c>
    </row>
    <row r="3088" spans="1:28" x14ac:dyDescent="0.25">
      <c r="A3088" t="s">
        <v>3092</v>
      </c>
      <c r="B3088">
        <v>0.99352677808782597</v>
      </c>
      <c r="C3088">
        <v>1.0076635363435</v>
      </c>
      <c r="D3088">
        <v>0.74058333804084797</v>
      </c>
      <c r="E3088">
        <v>0.28189337947613302</v>
      </c>
      <c r="F3088">
        <v>0.20579950263428301</v>
      </c>
      <c r="G3088">
        <v>0.12083055416056</v>
      </c>
      <c r="H3088">
        <v>7.65831809654232E-2</v>
      </c>
      <c r="I3088">
        <v>6.6406583685545403E-2</v>
      </c>
      <c r="J3088">
        <v>5.7543445134464397E-2</v>
      </c>
      <c r="K3088">
        <v>4.5526135956250699E-2</v>
      </c>
      <c r="L3088">
        <v>1194.5033537322099</v>
      </c>
      <c r="M3088">
        <v>24.9651498425536</v>
      </c>
      <c r="N3088">
        <v>48.158942198255303</v>
      </c>
      <c r="O3088">
        <v>47.543002546865999</v>
      </c>
      <c r="P3088">
        <v>-0.121473066411641</v>
      </c>
      <c r="Q3088">
        <v>7.4691523078035199E-2</v>
      </c>
      <c r="R3088">
        <v>0.993280416704443</v>
      </c>
      <c r="S3088" t="s">
        <v>9373</v>
      </c>
      <c r="T3088" t="s">
        <v>12568</v>
      </c>
      <c r="U3088" t="s">
        <v>12568</v>
      </c>
      <c r="V3088" t="s">
        <v>12568</v>
      </c>
      <c r="W3088" t="s">
        <v>15616</v>
      </c>
      <c r="X3088">
        <v>35</v>
      </c>
      <c r="Y3088" t="s">
        <v>21762</v>
      </c>
      <c r="Z3088" t="s">
        <v>27958</v>
      </c>
      <c r="AA3088">
        <v>0.32492320360075272</v>
      </c>
      <c r="AB3088" t="str">
        <f>HYPERLINK("Melting_Curves/meltCurve_Q14697_GANAB.pdf", "Melting_Curves/meltCurve_Q14697_GANAB.pdf")</f>
        <v>Melting_Curves/meltCurve_Q14697_GANAB.pdf</v>
      </c>
    </row>
    <row r="3089" spans="1:28" x14ac:dyDescent="0.25">
      <c r="A3089" t="s">
        <v>3093</v>
      </c>
      <c r="B3089">
        <v>0.99352677808782597</v>
      </c>
      <c r="C3089">
        <v>0.639759877533432</v>
      </c>
      <c r="D3089">
        <v>0.45537692356564302</v>
      </c>
      <c r="E3089">
        <v>0.495783698272312</v>
      </c>
      <c r="F3089">
        <v>0.37829406169832402</v>
      </c>
      <c r="G3089">
        <v>0.38474147996133601</v>
      </c>
      <c r="H3089">
        <v>0.19592956215056201</v>
      </c>
      <c r="I3089">
        <v>0.18064973516912899</v>
      </c>
      <c r="J3089">
        <v>0.15725185989972701</v>
      </c>
      <c r="K3089">
        <v>0.13034028673324499</v>
      </c>
      <c r="L3089">
        <v>379.67941686487302</v>
      </c>
      <c r="M3089">
        <v>8.0549024241058405</v>
      </c>
      <c r="N3089">
        <v>48.439154077382597</v>
      </c>
      <c r="O3089">
        <v>44.497628641980803</v>
      </c>
      <c r="P3089">
        <v>-4.0892630016758698E-2</v>
      </c>
      <c r="Q3089">
        <v>9.7383601992962504E-2</v>
      </c>
      <c r="R3089">
        <v>0.89205638921345098</v>
      </c>
      <c r="S3089" t="s">
        <v>9374</v>
      </c>
      <c r="T3089" t="s">
        <v>12568</v>
      </c>
      <c r="U3089" t="s">
        <v>12568</v>
      </c>
      <c r="V3089" t="s">
        <v>12568</v>
      </c>
      <c r="W3089" t="s">
        <v>15617</v>
      </c>
      <c r="X3089">
        <v>13</v>
      </c>
      <c r="Y3089" t="s">
        <v>21763</v>
      </c>
      <c r="Z3089" t="s">
        <v>27959</v>
      </c>
      <c r="AA3089">
        <v>0.38246005067015421</v>
      </c>
      <c r="AB3089" t="str">
        <f>HYPERLINK("Melting_Curves/meltCurve_Q14764_MVP.pdf", "Melting_Curves/meltCurve_Q14764_MVP.pdf")</f>
        <v>Melting_Curves/meltCurve_Q14764_MVP.pdf</v>
      </c>
    </row>
    <row r="3090" spans="1:28" x14ac:dyDescent="0.25">
      <c r="A3090" t="s">
        <v>3094</v>
      </c>
      <c r="B3090">
        <v>0.99352677808782597</v>
      </c>
      <c r="C3090">
        <v>0.96997834526500903</v>
      </c>
      <c r="D3090">
        <v>0.911093343541448</v>
      </c>
      <c r="E3090">
        <v>0.54359822917170897</v>
      </c>
      <c r="F3090">
        <v>0.46129546712078401</v>
      </c>
      <c r="G3090">
        <v>0.30708294547859599</v>
      </c>
      <c r="H3090">
        <v>0.27449874486435999</v>
      </c>
      <c r="I3090">
        <v>0.26778327781899303</v>
      </c>
      <c r="J3090">
        <v>0.30434506273337802</v>
      </c>
      <c r="K3090">
        <v>0.22617100920344599</v>
      </c>
      <c r="L3090">
        <v>1038.53757165407</v>
      </c>
      <c r="M3090">
        <v>20.983432945487099</v>
      </c>
      <c r="N3090">
        <v>51.349216370791702</v>
      </c>
      <c r="O3090">
        <v>49.050262591171197</v>
      </c>
      <c r="P3090">
        <v>-7.8523601101003898E-2</v>
      </c>
      <c r="Q3090">
        <v>0.26580156557142898</v>
      </c>
      <c r="R3090">
        <v>0.98963479702217405</v>
      </c>
      <c r="S3090" t="s">
        <v>9375</v>
      </c>
      <c r="T3090" t="s">
        <v>12568</v>
      </c>
      <c r="U3090" t="s">
        <v>12568</v>
      </c>
      <c r="V3090" t="s">
        <v>12568</v>
      </c>
      <c r="W3090" t="s">
        <v>15618</v>
      </c>
      <c r="X3090">
        <v>17</v>
      </c>
      <c r="Y3090" t="s">
        <v>21764</v>
      </c>
      <c r="Z3090" t="s">
        <v>27960</v>
      </c>
      <c r="AA3090">
        <v>0.5074401708206927</v>
      </c>
      <c r="AB3090" t="str">
        <f>HYPERLINK("Melting_Curves/meltCurve_Q14789_GOLGB1.pdf", "Melting_Curves/meltCurve_Q14789_GOLGB1.pdf")</f>
        <v>Melting_Curves/meltCurve_Q14789_GOLGB1.pdf</v>
      </c>
    </row>
    <row r="3091" spans="1:28" x14ac:dyDescent="0.25">
      <c r="A3091" t="s">
        <v>3095</v>
      </c>
      <c r="B3091">
        <v>0.99352677808782597</v>
      </c>
      <c r="C3091">
        <v>1.2467672555504301</v>
      </c>
      <c r="D3091">
        <v>0.58644366775594303</v>
      </c>
      <c r="E3091">
        <v>0.35317585981111099</v>
      </c>
      <c r="F3091">
        <v>0.26426465358397</v>
      </c>
      <c r="G3091">
        <v>0.14458303449318399</v>
      </c>
      <c r="H3091">
        <v>9.3934634431241795E-2</v>
      </c>
      <c r="I3091">
        <v>8.9878724830570494E-2</v>
      </c>
      <c r="J3091">
        <v>7.6012466568680895E-2</v>
      </c>
      <c r="K3091">
        <v>4.9789585537901901E-2</v>
      </c>
      <c r="L3091">
        <v>1133.4582072405599</v>
      </c>
      <c r="M3091">
        <v>23.7639134188993</v>
      </c>
      <c r="N3091">
        <v>48.152181452381399</v>
      </c>
      <c r="O3091">
        <v>47.362717093351101</v>
      </c>
      <c r="P3091">
        <v>-0.11280949635877401</v>
      </c>
      <c r="Q3091">
        <v>0.10067414636158301</v>
      </c>
      <c r="R3091">
        <v>0.92009829811369903</v>
      </c>
      <c r="S3091" t="s">
        <v>9376</v>
      </c>
      <c r="T3091" t="s">
        <v>12568</v>
      </c>
      <c r="U3091" t="s">
        <v>12568</v>
      </c>
      <c r="V3091" t="s">
        <v>12568</v>
      </c>
      <c r="W3091" t="s">
        <v>15619</v>
      </c>
      <c r="X3091">
        <v>12</v>
      </c>
      <c r="Y3091" t="s">
        <v>21765</v>
      </c>
      <c r="Z3091" t="s">
        <v>27961</v>
      </c>
      <c r="AA3091">
        <v>0.34027569855768919</v>
      </c>
      <c r="AB3091" t="str">
        <f>HYPERLINK("Melting_Curves/meltCurve_Q14790_9_CASP8.pdf", "Melting_Curves/meltCurve_Q14790_9_CASP8.pdf")</f>
        <v>Melting_Curves/meltCurve_Q14790_9_CASP8.pdf</v>
      </c>
    </row>
    <row r="3092" spans="1:28" x14ac:dyDescent="0.25">
      <c r="A3092" t="s">
        <v>3096</v>
      </c>
      <c r="B3092">
        <v>0.99352677808782597</v>
      </c>
      <c r="C3092">
        <v>1.00784979068459</v>
      </c>
      <c r="D3092">
        <v>0.88893460199683205</v>
      </c>
      <c r="E3092">
        <v>0.58962061545701705</v>
      </c>
      <c r="F3092">
        <v>0.55892331840124199</v>
      </c>
      <c r="G3092">
        <v>0.441052132349043</v>
      </c>
      <c r="H3092">
        <v>0.32854469040374401</v>
      </c>
      <c r="I3092">
        <v>0.35543121832657498</v>
      </c>
      <c r="J3092">
        <v>0.28650024839462801</v>
      </c>
      <c r="K3092">
        <v>0.28013274506282199</v>
      </c>
      <c r="L3092">
        <v>755.88468336460301</v>
      </c>
      <c r="M3092">
        <v>14.9934712728104</v>
      </c>
      <c r="N3092">
        <v>53.587605149149198</v>
      </c>
      <c r="O3092">
        <v>49.542945974625603</v>
      </c>
      <c r="P3092">
        <v>-5.3402700968155803E-2</v>
      </c>
      <c r="Q3092">
        <v>0.29423697657826497</v>
      </c>
      <c r="R3092">
        <v>0.97963630417214698</v>
      </c>
      <c r="S3092" t="s">
        <v>9377</v>
      </c>
      <c r="T3092" t="s">
        <v>12568</v>
      </c>
      <c r="U3092" t="s">
        <v>12568</v>
      </c>
      <c r="V3092" t="s">
        <v>12568</v>
      </c>
      <c r="W3092" t="s">
        <v>15620</v>
      </c>
      <c r="X3092">
        <v>6</v>
      </c>
      <c r="Y3092" t="s">
        <v>21766</v>
      </c>
      <c r="Z3092" t="s">
        <v>27962</v>
      </c>
      <c r="AA3092">
        <v>0.55585877517531468</v>
      </c>
      <c r="AB3092" t="str">
        <f>HYPERLINK("Melting_Curves/meltCurve_Q147X3_NAA30.pdf", "Melting_Curves/meltCurve_Q147X3_NAA30.pdf")</f>
        <v>Melting_Curves/meltCurve_Q147X3_NAA30.pdf</v>
      </c>
    </row>
    <row r="3093" spans="1:28" x14ac:dyDescent="0.25">
      <c r="A3093" t="s">
        <v>3097</v>
      </c>
      <c r="B3093">
        <v>0.99352677808782597</v>
      </c>
      <c r="C3093">
        <v>1.0520832955752299</v>
      </c>
      <c r="D3093">
        <v>1.1647514477270899</v>
      </c>
      <c r="E3093">
        <v>0.88714818753297697</v>
      </c>
      <c r="F3093">
        <v>0.731800998094434</v>
      </c>
      <c r="G3093">
        <v>0.64593375157292698</v>
      </c>
      <c r="H3093">
        <v>0.54321488448748501</v>
      </c>
      <c r="I3093">
        <v>0.65809561038116005</v>
      </c>
      <c r="J3093">
        <v>0.48354422449985002</v>
      </c>
      <c r="K3093">
        <v>0.371258863789386</v>
      </c>
      <c r="L3093">
        <v>966.64419857012797</v>
      </c>
      <c r="M3093">
        <v>17.849422868392001</v>
      </c>
      <c r="N3093">
        <v>66.218068525338694</v>
      </c>
      <c r="O3093">
        <v>53.489444258019397</v>
      </c>
      <c r="P3093">
        <v>-4.33295755091469E-2</v>
      </c>
      <c r="Q3093">
        <v>0.48064255586696902</v>
      </c>
      <c r="R3093">
        <v>0.87506499487446598</v>
      </c>
      <c r="S3093" t="s">
        <v>9378</v>
      </c>
      <c r="T3093" t="s">
        <v>12568</v>
      </c>
      <c r="U3093" t="s">
        <v>12568</v>
      </c>
      <c r="V3093" t="s">
        <v>12568</v>
      </c>
      <c r="W3093" t="s">
        <v>15621</v>
      </c>
      <c r="X3093">
        <v>1</v>
      </c>
      <c r="Y3093" t="s">
        <v>21767</v>
      </c>
      <c r="Z3093" t="s">
        <v>27963</v>
      </c>
      <c r="AA3093">
        <v>0.73407603722954917</v>
      </c>
      <c r="AB3093" t="str">
        <f>HYPERLINK("Melting_Curves/meltCurve_Q14807_2_KIF22.pdf", "Melting_Curves/meltCurve_Q14807_2_KIF22.pdf")</f>
        <v>Melting_Curves/meltCurve_Q14807_2_KIF22.pdf</v>
      </c>
    </row>
    <row r="3094" spans="1:28" x14ac:dyDescent="0.25">
      <c r="A3094" t="s">
        <v>3098</v>
      </c>
      <c r="B3094">
        <v>0.99352677808782597</v>
      </c>
      <c r="C3094">
        <v>1.0268890339177399</v>
      </c>
      <c r="D3094">
        <v>1.03401099886912</v>
      </c>
      <c r="E3094">
        <v>0.94294276278788502</v>
      </c>
      <c r="F3094">
        <v>0.80522791013679196</v>
      </c>
      <c r="G3094">
        <v>0.58045724795613796</v>
      </c>
      <c r="H3094">
        <v>0.42325036830180401</v>
      </c>
      <c r="I3094">
        <v>0.38536597764498598</v>
      </c>
      <c r="J3094">
        <v>0.37190303176488898</v>
      </c>
      <c r="K3094">
        <v>0.31548338510278701</v>
      </c>
      <c r="L3094">
        <v>1139.41860353323</v>
      </c>
      <c r="M3094">
        <v>20.531093494733199</v>
      </c>
      <c r="N3094">
        <v>58.6415066306078</v>
      </c>
      <c r="O3094">
        <v>54.978768875975497</v>
      </c>
      <c r="P3094">
        <v>-6.2206489654395798E-2</v>
      </c>
      <c r="Q3094">
        <v>0.333706060042048</v>
      </c>
      <c r="R3094">
        <v>0.99492995093303604</v>
      </c>
      <c r="S3094" t="s">
        <v>9379</v>
      </c>
      <c r="T3094" t="s">
        <v>12568</v>
      </c>
      <c r="U3094" t="s">
        <v>12568</v>
      </c>
      <c r="V3094" t="s">
        <v>12568</v>
      </c>
      <c r="W3094" t="s">
        <v>15622</v>
      </c>
      <c r="X3094">
        <v>11</v>
      </c>
      <c r="Y3094" t="s">
        <v>21768</v>
      </c>
      <c r="Z3094" t="s">
        <v>27964</v>
      </c>
      <c r="AA3094">
        <v>0.6863129376786945</v>
      </c>
      <c r="AB3094" t="str">
        <f>HYPERLINK("Melting_Curves/meltCurve_Q14814_4_MEF2D.pdf", "Melting_Curves/meltCurve_Q14814_4_MEF2D.pdf")</f>
        <v>Melting_Curves/meltCurve_Q14814_4_MEF2D.pdf</v>
      </c>
    </row>
    <row r="3095" spans="1:28" x14ac:dyDescent="0.25">
      <c r="A3095" t="s">
        <v>3099</v>
      </c>
      <c r="B3095">
        <v>0.99352677808782597</v>
      </c>
      <c r="C3095">
        <v>0.92496339806404004</v>
      </c>
      <c r="D3095">
        <v>0.79742855409372504</v>
      </c>
      <c r="E3095">
        <v>0.35911307176062701</v>
      </c>
      <c r="F3095">
        <v>0.28905885072647503</v>
      </c>
      <c r="G3095">
        <v>0.17908926090028299</v>
      </c>
      <c r="H3095">
        <v>0.10469525087481101</v>
      </c>
      <c r="I3095">
        <v>9.0750959330676395E-2</v>
      </c>
      <c r="J3095">
        <v>7.6465121476038095E-2</v>
      </c>
      <c r="K3095">
        <v>6.01501682267764E-2</v>
      </c>
      <c r="L3095">
        <v>904.65859648587605</v>
      </c>
      <c r="M3095">
        <v>18.618602841710999</v>
      </c>
      <c r="N3095">
        <v>49.073288416702802</v>
      </c>
      <c r="O3095">
        <v>48.038845915608398</v>
      </c>
      <c r="P3095">
        <v>-8.8765015249174004E-2</v>
      </c>
      <c r="Q3095">
        <v>8.3930227082154502E-2</v>
      </c>
      <c r="R3095">
        <v>0.99191659866330595</v>
      </c>
      <c r="S3095" t="s">
        <v>9380</v>
      </c>
      <c r="T3095" t="s">
        <v>12568</v>
      </c>
      <c r="U3095" t="s">
        <v>12568</v>
      </c>
      <c r="V3095" t="s">
        <v>12568</v>
      </c>
      <c r="W3095" t="s">
        <v>15623</v>
      </c>
      <c r="X3095">
        <v>31</v>
      </c>
      <c r="Y3095" t="s">
        <v>21769</v>
      </c>
      <c r="Z3095" t="s">
        <v>27965</v>
      </c>
      <c r="AA3095">
        <v>0.36113685760020803</v>
      </c>
      <c r="AB3095" t="str">
        <f>HYPERLINK("Melting_Curves/meltCurve_Q14839_2_CHD4.pdf", "Melting_Curves/meltCurve_Q14839_2_CHD4.pdf")</f>
        <v>Melting_Curves/meltCurve_Q14839_2_CHD4.pdf</v>
      </c>
    </row>
    <row r="3096" spans="1:28" x14ac:dyDescent="0.25">
      <c r="A3096" t="s">
        <v>3100</v>
      </c>
      <c r="B3096">
        <v>0.99352677808782597</v>
      </c>
      <c r="C3096">
        <v>0.91412069176950095</v>
      </c>
      <c r="D3096">
        <v>0.96614752462585796</v>
      </c>
      <c r="E3096">
        <v>0.98470702854219605</v>
      </c>
      <c r="F3096">
        <v>0.990333749827086</v>
      </c>
      <c r="G3096">
        <v>0.95507096298719496</v>
      </c>
      <c r="H3096">
        <v>0.905506773765137</v>
      </c>
      <c r="I3096">
        <v>0.94766615935704202</v>
      </c>
      <c r="J3096">
        <v>0.99362670968703004</v>
      </c>
      <c r="K3096">
        <v>0.85272562322885803</v>
      </c>
      <c r="L3096">
        <v>159.47352455826999</v>
      </c>
      <c r="M3096">
        <v>1.0000000000000001E-5</v>
      </c>
      <c r="O3096">
        <v>66.465016748496595</v>
      </c>
      <c r="P3096">
        <v>-2.46463167995603E-3</v>
      </c>
      <c r="Q3096">
        <v>0.105158430365664</v>
      </c>
      <c r="R3096">
        <v>0.17943444166932801</v>
      </c>
      <c r="S3096" t="s">
        <v>9381</v>
      </c>
      <c r="T3096" t="s">
        <v>12568</v>
      </c>
      <c r="U3096" t="s">
        <v>12568</v>
      </c>
      <c r="V3096" t="s">
        <v>12568</v>
      </c>
      <c r="W3096" t="s">
        <v>15624</v>
      </c>
      <c r="X3096">
        <v>29</v>
      </c>
      <c r="Y3096" t="s">
        <v>21770</v>
      </c>
      <c r="Z3096" t="s">
        <v>27966</v>
      </c>
      <c r="AA3096">
        <v>0.95231860906844357</v>
      </c>
      <c r="AB3096" t="str">
        <f>HYPERLINK("Melting_Curves/meltCurve_Q14847_LASP1.pdf", "Melting_Curves/meltCurve_Q14847_LASP1.pdf")</f>
        <v>Melting_Curves/meltCurve_Q14847_LASP1.pdf</v>
      </c>
    </row>
    <row r="3097" spans="1:28" x14ac:dyDescent="0.25">
      <c r="A3097" t="s">
        <v>3101</v>
      </c>
      <c r="B3097">
        <v>0.99352677808782597</v>
      </c>
      <c r="C3097">
        <v>0.94681394688357601</v>
      </c>
      <c r="D3097">
        <v>0.94109070050131505</v>
      </c>
      <c r="E3097">
        <v>0.88679959897198601</v>
      </c>
      <c r="F3097">
        <v>0.87708422274443298</v>
      </c>
      <c r="G3097">
        <v>0.78834023729240299</v>
      </c>
      <c r="H3097">
        <v>0.66135945631525195</v>
      </c>
      <c r="I3097">
        <v>0.35783157284459199</v>
      </c>
      <c r="J3097">
        <v>0.15750677466874999</v>
      </c>
      <c r="K3097">
        <v>0.110833924010351</v>
      </c>
      <c r="L3097">
        <v>1052.6302559804799</v>
      </c>
      <c r="M3097">
        <v>16.988936622816301</v>
      </c>
      <c r="N3097">
        <v>61.959750013452798</v>
      </c>
      <c r="O3097">
        <v>61.120378718544103</v>
      </c>
      <c r="P3097">
        <v>-6.9493962495755096E-2</v>
      </c>
      <c r="Q3097">
        <v>0</v>
      </c>
      <c r="R3097">
        <v>0.96735822762971302</v>
      </c>
      <c r="S3097" t="s">
        <v>9382</v>
      </c>
      <c r="T3097" t="s">
        <v>12568</v>
      </c>
      <c r="U3097" t="s">
        <v>12568</v>
      </c>
      <c r="V3097" t="s">
        <v>12568</v>
      </c>
      <c r="W3097" t="s">
        <v>15625</v>
      </c>
      <c r="X3097">
        <v>3</v>
      </c>
      <c r="Y3097" t="s">
        <v>21771</v>
      </c>
      <c r="Z3097" t="s">
        <v>27967</v>
      </c>
      <c r="AA3097">
        <v>0.73255051424888928</v>
      </c>
      <c r="AB3097" t="str">
        <f>HYPERLINK("Melting_Curves/meltCurve_Q14894_CRYM.pdf", "Melting_Curves/meltCurve_Q14894_CRYM.pdf")</f>
        <v>Melting_Curves/meltCurve_Q14894_CRYM.pdf</v>
      </c>
    </row>
    <row r="3098" spans="1:28" x14ac:dyDescent="0.25">
      <c r="A3098" t="s">
        <v>3102</v>
      </c>
      <c r="B3098">
        <v>0.99352677808782597</v>
      </c>
      <c r="C3098">
        <v>0.85937496990631601</v>
      </c>
      <c r="D3098">
        <v>1.0736519361625401</v>
      </c>
      <c r="E3098">
        <v>0.44302391056287699</v>
      </c>
      <c r="F3098">
        <v>0.34346889861691199</v>
      </c>
      <c r="G3098">
        <v>0.14722194222846999</v>
      </c>
      <c r="H3098">
        <v>0.10169397809334201</v>
      </c>
      <c r="I3098">
        <v>8.8225394334164806E-2</v>
      </c>
      <c r="J3098">
        <v>7.4662121000528298E-2</v>
      </c>
      <c r="K3098">
        <v>5.04187358403997E-2</v>
      </c>
      <c r="L3098">
        <v>1339.7958298774699</v>
      </c>
      <c r="M3098">
        <v>26.804161147138799</v>
      </c>
      <c r="N3098">
        <v>50.360989784978898</v>
      </c>
      <c r="O3098">
        <v>49.708874858145002</v>
      </c>
      <c r="P3098">
        <v>-0.122571552958432</v>
      </c>
      <c r="Q3098">
        <v>9.0763018975056897E-2</v>
      </c>
      <c r="R3098">
        <v>0.95879523305231096</v>
      </c>
      <c r="S3098" t="s">
        <v>9383</v>
      </c>
      <c r="T3098" t="s">
        <v>12568</v>
      </c>
      <c r="U3098" t="s">
        <v>12568</v>
      </c>
      <c r="V3098" t="s">
        <v>12568</v>
      </c>
      <c r="W3098" t="s">
        <v>15626</v>
      </c>
      <c r="X3098">
        <v>19</v>
      </c>
      <c r="Y3098" t="s">
        <v>21772</v>
      </c>
      <c r="Z3098" t="s">
        <v>27968</v>
      </c>
      <c r="AA3098">
        <v>0.40043647438248647</v>
      </c>
      <c r="AB3098" t="str">
        <f>HYPERLINK("Melting_Curves/meltCurve_Q14914_2_PTGR1.pdf", "Melting_Curves/meltCurve_Q14914_2_PTGR1.pdf")</f>
        <v>Melting_Curves/meltCurve_Q14914_2_PTGR1.pdf</v>
      </c>
    </row>
    <row r="3099" spans="1:28" x14ac:dyDescent="0.25">
      <c r="A3099" t="s">
        <v>3103</v>
      </c>
      <c r="B3099">
        <v>0.99352677808782597</v>
      </c>
      <c r="C3099">
        <v>0.94200382838292296</v>
      </c>
      <c r="D3099">
        <v>0.94445579491421705</v>
      </c>
      <c r="E3099">
        <v>0.85715068501972902</v>
      </c>
      <c r="F3099">
        <v>0.74449397139057705</v>
      </c>
      <c r="G3099">
        <v>0.53876689948446299</v>
      </c>
      <c r="H3099">
        <v>0.36794312216208103</v>
      </c>
      <c r="I3099">
        <v>0.30783732050624901</v>
      </c>
      <c r="J3099">
        <v>0.268868578081214</v>
      </c>
      <c r="K3099">
        <v>0.173139848642653</v>
      </c>
      <c r="L3099">
        <v>652.67085198157395</v>
      </c>
      <c r="M3099">
        <v>11.459636693436</v>
      </c>
      <c r="N3099">
        <v>58.092787639377299</v>
      </c>
      <c r="O3099">
        <v>55.302335849121398</v>
      </c>
      <c r="P3099">
        <v>-4.6605888922891803E-2</v>
      </c>
      <c r="Q3099">
        <v>0.10060946935954899</v>
      </c>
      <c r="R3099">
        <v>0.99595809584847095</v>
      </c>
      <c r="S3099" t="s">
        <v>9384</v>
      </c>
      <c r="T3099" t="s">
        <v>12568</v>
      </c>
      <c r="U3099" t="s">
        <v>12568</v>
      </c>
      <c r="V3099" t="s">
        <v>12568</v>
      </c>
      <c r="W3099" t="s">
        <v>15627</v>
      </c>
      <c r="X3099">
        <v>3</v>
      </c>
      <c r="Y3099" t="s">
        <v>21773</v>
      </c>
      <c r="Z3099" t="s">
        <v>27969</v>
      </c>
      <c r="AA3099">
        <v>0.62411757533578394</v>
      </c>
      <c r="AB3099" t="str">
        <f>HYPERLINK("Melting_Curves/meltCurve_Q14919_2_DRAP1.pdf", "Melting_Curves/meltCurve_Q14919_2_DRAP1.pdf")</f>
        <v>Melting_Curves/meltCurve_Q14919_2_DRAP1.pdf</v>
      </c>
    </row>
    <row r="3100" spans="1:28" x14ac:dyDescent="0.25">
      <c r="A3100" t="s">
        <v>3104</v>
      </c>
      <c r="B3100">
        <v>0.99352677808782597</v>
      </c>
      <c r="C3100">
        <v>0.99702265493772901</v>
      </c>
      <c r="D3100">
        <v>1.02840368467384</v>
      </c>
      <c r="E3100">
        <v>0.880384929191245</v>
      </c>
      <c r="F3100">
        <v>0.821003311344358</v>
      </c>
      <c r="G3100">
        <v>0.67809528847158296</v>
      </c>
      <c r="H3100">
        <v>0.62984853466759005</v>
      </c>
      <c r="I3100">
        <v>0.69775555631346597</v>
      </c>
      <c r="J3100">
        <v>0.63393385931975599</v>
      </c>
      <c r="K3100">
        <v>0.51946131050427502</v>
      </c>
      <c r="L3100">
        <v>918.82093259240696</v>
      </c>
      <c r="M3100">
        <v>17.2005236729734</v>
      </c>
      <c r="O3100">
        <v>52.711843278979003</v>
      </c>
      <c r="P3100">
        <v>-3.3011713128667797E-2</v>
      </c>
      <c r="Q3100">
        <v>0.59535985505158295</v>
      </c>
      <c r="R3100">
        <v>0.93935484257679602</v>
      </c>
      <c r="S3100" t="s">
        <v>9385</v>
      </c>
      <c r="T3100" t="s">
        <v>12568</v>
      </c>
      <c r="U3100" t="s">
        <v>12568</v>
      </c>
      <c r="V3100" t="s">
        <v>12568</v>
      </c>
      <c r="W3100" t="s">
        <v>15628</v>
      </c>
      <c r="X3100">
        <v>27</v>
      </c>
      <c r="Y3100" t="s">
        <v>21774</v>
      </c>
      <c r="Z3100" t="s">
        <v>27970</v>
      </c>
      <c r="AA3100">
        <v>0.78338525156016603</v>
      </c>
      <c r="AB3100" t="str">
        <f>HYPERLINK("Melting_Curves/meltCurve_Q14966_ZNF638.pdf", "Melting_Curves/meltCurve_Q14966_ZNF638.pdf")</f>
        <v>Melting_Curves/meltCurve_Q14966_ZNF638.pdf</v>
      </c>
    </row>
    <row r="3101" spans="1:28" x14ac:dyDescent="0.25">
      <c r="A3101" t="s">
        <v>3105</v>
      </c>
      <c r="B3101">
        <v>0.99352677808782597</v>
      </c>
      <c r="C3101">
        <v>1.0313587422956501</v>
      </c>
      <c r="D3101">
        <v>0.87979431742402003</v>
      </c>
      <c r="E3101">
        <v>0.64896032788800195</v>
      </c>
      <c r="F3101">
        <v>0.53774268797849401</v>
      </c>
      <c r="G3101">
        <v>0.32228147451739703</v>
      </c>
      <c r="H3101">
        <v>0.15183365615060099</v>
      </c>
      <c r="I3101">
        <v>0.12620718993500599</v>
      </c>
      <c r="J3101">
        <v>0.10351481536543999</v>
      </c>
      <c r="K3101">
        <v>8.3123878507024102E-2</v>
      </c>
      <c r="L3101">
        <v>722.84067082647596</v>
      </c>
      <c r="M3101">
        <v>13.7015162848139</v>
      </c>
      <c r="N3101">
        <v>53.158534670646901</v>
      </c>
      <c r="O3101">
        <v>51.670528501193097</v>
      </c>
      <c r="P3101">
        <v>-6.3037102877457798E-2</v>
      </c>
      <c r="Q3101">
        <v>4.9246357956853497E-2</v>
      </c>
      <c r="R3101">
        <v>0.99296791454199496</v>
      </c>
      <c r="S3101" t="s">
        <v>9386</v>
      </c>
      <c r="T3101" t="s">
        <v>12568</v>
      </c>
      <c r="U3101" t="s">
        <v>12568</v>
      </c>
      <c r="V3101" t="s">
        <v>12568</v>
      </c>
      <c r="W3101" t="s">
        <v>15629</v>
      </c>
      <c r="X3101">
        <v>35</v>
      </c>
      <c r="Y3101" t="s">
        <v>21775</v>
      </c>
      <c r="Z3101" t="s">
        <v>27971</v>
      </c>
      <c r="AA3101">
        <v>0.47691488803996579</v>
      </c>
      <c r="AB3101" t="str">
        <f>HYPERLINK("Melting_Curves/meltCurve_Q14974_KPNB1.pdf", "Melting_Curves/meltCurve_Q14974_KPNB1.pdf")</f>
        <v>Melting_Curves/meltCurve_Q14974_KPNB1.pdf</v>
      </c>
    </row>
    <row r="3102" spans="1:28" x14ac:dyDescent="0.25">
      <c r="A3102" t="s">
        <v>3106</v>
      </c>
      <c r="B3102">
        <v>0.99352677808782597</v>
      </c>
      <c r="C3102">
        <v>0.93095750104270003</v>
      </c>
      <c r="D3102">
        <v>0.977306520414289</v>
      </c>
      <c r="E3102">
        <v>1.0211400762195399</v>
      </c>
      <c r="F3102">
        <v>1.04557623707349</v>
      </c>
      <c r="G3102">
        <v>0.947671767643535</v>
      </c>
      <c r="H3102">
        <v>1.1263279757078299</v>
      </c>
      <c r="I3102">
        <v>1.11858324259689</v>
      </c>
      <c r="J3102">
        <v>1.27932495085329</v>
      </c>
      <c r="K3102">
        <v>0.94634458180985204</v>
      </c>
      <c r="L3102">
        <v>11757.112988971799</v>
      </c>
      <c r="M3102">
        <v>198.595548807163</v>
      </c>
      <c r="O3102">
        <v>59.195303045244202</v>
      </c>
      <c r="P3102">
        <v>9.8732254803596903E-2</v>
      </c>
      <c r="Q3102">
        <v>1.1177163197950399</v>
      </c>
      <c r="R3102">
        <v>0.37908619578951602</v>
      </c>
      <c r="S3102" t="s">
        <v>9387</v>
      </c>
      <c r="T3102" t="s">
        <v>12568</v>
      </c>
      <c r="U3102" t="s">
        <v>12568</v>
      </c>
      <c r="V3102" t="s">
        <v>12568</v>
      </c>
      <c r="W3102" t="s">
        <v>15630</v>
      </c>
      <c r="X3102">
        <v>28</v>
      </c>
      <c r="Y3102" t="s">
        <v>21776</v>
      </c>
      <c r="Z3102" t="s">
        <v>27972</v>
      </c>
      <c r="AA3102">
        <v>1.042353423400066</v>
      </c>
      <c r="AB3102" t="str">
        <f>HYPERLINK("Melting_Curves/meltCurve_Q14978_2_NOLC1.pdf", "Melting_Curves/meltCurve_Q14978_2_NOLC1.pdf")</f>
        <v>Melting_Curves/meltCurve_Q14978_2_NOLC1.pdf</v>
      </c>
    </row>
    <row r="3103" spans="1:28" x14ac:dyDescent="0.25">
      <c r="A3103" t="s">
        <v>3107</v>
      </c>
      <c r="B3103">
        <v>0.99352677808782597</v>
      </c>
      <c r="C3103">
        <v>1.0959095747005301</v>
      </c>
      <c r="D3103">
        <v>0.96082391138918199</v>
      </c>
      <c r="E3103">
        <v>0.74213692036587697</v>
      </c>
      <c r="F3103">
        <v>0.61158729727314398</v>
      </c>
      <c r="G3103">
        <v>0.39197146507835601</v>
      </c>
      <c r="H3103">
        <v>0.28017448193434102</v>
      </c>
      <c r="I3103">
        <v>0.224791760188948</v>
      </c>
      <c r="J3103">
        <v>0.190677337463274</v>
      </c>
      <c r="K3103">
        <v>0.15145769334172099</v>
      </c>
      <c r="L3103">
        <v>834.54779639364006</v>
      </c>
      <c r="M3103">
        <v>15.6122288823472</v>
      </c>
      <c r="N3103">
        <v>54.760814362281302</v>
      </c>
      <c r="O3103">
        <v>52.600776535883298</v>
      </c>
      <c r="P3103">
        <v>-6.2672632307878506E-2</v>
      </c>
      <c r="Q3103">
        <v>0.155445525585758</v>
      </c>
      <c r="R3103">
        <v>0.98624640199326796</v>
      </c>
      <c r="S3103" t="s">
        <v>9388</v>
      </c>
      <c r="T3103" t="s">
        <v>12568</v>
      </c>
      <c r="U3103" t="s">
        <v>12568</v>
      </c>
      <c r="V3103" t="s">
        <v>12568</v>
      </c>
      <c r="W3103" t="s">
        <v>15631</v>
      </c>
      <c r="X3103">
        <v>107</v>
      </c>
      <c r="Y3103" t="s">
        <v>21777</v>
      </c>
      <c r="Z3103" t="s">
        <v>27973</v>
      </c>
      <c r="AA3103">
        <v>0.551094264801261</v>
      </c>
      <c r="AB3103" t="str">
        <f>HYPERLINK("Melting_Curves/meltCurve_Q14980_NUMA1.pdf", "Melting_Curves/meltCurve_Q14980_NUMA1.pdf")</f>
        <v>Melting_Curves/meltCurve_Q14980_NUMA1.pdf</v>
      </c>
    </row>
    <row r="3104" spans="1:28" x14ac:dyDescent="0.25">
      <c r="A3104" t="s">
        <v>3108</v>
      </c>
      <c r="B3104">
        <v>0.99352677808782597</v>
      </c>
      <c r="C3104">
        <v>0.99163008202189096</v>
      </c>
      <c r="D3104">
        <v>0.917124350582885</v>
      </c>
      <c r="E3104">
        <v>0.75044177962051095</v>
      </c>
      <c r="F3104">
        <v>0.67979057651324404</v>
      </c>
      <c r="G3104">
        <v>0.42751222511504999</v>
      </c>
      <c r="H3104">
        <v>0.309082655553852</v>
      </c>
      <c r="I3104">
        <v>0.268296454577654</v>
      </c>
      <c r="J3104">
        <v>0.255873443209297</v>
      </c>
      <c r="K3104">
        <v>0.19718401585446199</v>
      </c>
      <c r="L3104">
        <v>707.47483461007005</v>
      </c>
      <c r="M3104">
        <v>13.110404097716099</v>
      </c>
      <c r="N3104">
        <v>55.752476651334298</v>
      </c>
      <c r="O3104">
        <v>52.753680605681502</v>
      </c>
      <c r="P3104">
        <v>-5.1468138329349697E-2</v>
      </c>
      <c r="Q3104">
        <v>0.17175105648988301</v>
      </c>
      <c r="R3104">
        <v>0.99488795584537004</v>
      </c>
      <c r="S3104" t="s">
        <v>9389</v>
      </c>
      <c r="T3104" t="s">
        <v>12568</v>
      </c>
      <c r="U3104" t="s">
        <v>12568</v>
      </c>
      <c r="V3104" t="s">
        <v>12568</v>
      </c>
      <c r="W3104" t="s">
        <v>15632</v>
      </c>
      <c r="X3104">
        <v>107</v>
      </c>
      <c r="Y3104" t="s">
        <v>21777</v>
      </c>
      <c r="Z3104" t="s">
        <v>27974</v>
      </c>
      <c r="AA3104">
        <v>0.57712330944732249</v>
      </c>
      <c r="AB3104" t="str">
        <f>HYPERLINK("Melting_Curves/meltCurve_Q14980_2_NUMA1.pdf", "Melting_Curves/meltCurve_Q14980_2_NUMA1.pdf")</f>
        <v>Melting_Curves/meltCurve_Q14980_2_NUMA1.pdf</v>
      </c>
    </row>
    <row r="3105" spans="1:28" x14ac:dyDescent="0.25">
      <c r="A3105" t="s">
        <v>3109</v>
      </c>
      <c r="B3105">
        <v>0.99352677808782597</v>
      </c>
      <c r="C3105">
        <v>0.98111729771023803</v>
      </c>
      <c r="D3105">
        <v>0.78966884308320695</v>
      </c>
      <c r="E3105">
        <v>0.46861912510475701</v>
      </c>
      <c r="F3105">
        <v>0.39033080906204498</v>
      </c>
      <c r="G3105">
        <v>0.20734377088544401</v>
      </c>
      <c r="H3105">
        <v>0.135672999755788</v>
      </c>
      <c r="I3105">
        <v>0.13245202271428999</v>
      </c>
      <c r="J3105">
        <v>0.10896798944124</v>
      </c>
      <c r="K3105">
        <v>8.9333922207786798E-2</v>
      </c>
      <c r="L3105">
        <v>781.63939260511097</v>
      </c>
      <c r="M3105">
        <v>15.7544795668119</v>
      </c>
      <c r="N3105">
        <v>50.3061142184728</v>
      </c>
      <c r="O3105">
        <v>48.835054068806201</v>
      </c>
      <c r="P3105">
        <v>-7.2797138276749093E-2</v>
      </c>
      <c r="Q3105">
        <v>9.74615458862607E-2</v>
      </c>
      <c r="R3105">
        <v>0.99263822796933299</v>
      </c>
      <c r="S3105" t="s">
        <v>9390</v>
      </c>
      <c r="T3105" t="s">
        <v>12568</v>
      </c>
      <c r="U3105" t="s">
        <v>12568</v>
      </c>
      <c r="V3105" t="s">
        <v>12568</v>
      </c>
      <c r="W3105" t="s">
        <v>15633</v>
      </c>
      <c r="X3105">
        <v>17</v>
      </c>
      <c r="Y3105" t="s">
        <v>21778</v>
      </c>
      <c r="Z3105" t="s">
        <v>27975</v>
      </c>
      <c r="AA3105">
        <v>0.40661028472787808</v>
      </c>
      <c r="AB3105" t="str">
        <f>HYPERLINK("Melting_Curves/meltCurve_Q14997_PSME4.pdf", "Melting_Curves/meltCurve_Q14997_PSME4.pdf")</f>
        <v>Melting_Curves/meltCurve_Q14997_PSME4.pdf</v>
      </c>
    </row>
    <row r="3106" spans="1:28" x14ac:dyDescent="0.25">
      <c r="A3106" t="s">
        <v>3110</v>
      </c>
      <c r="B3106">
        <v>0.99352677808782597</v>
      </c>
      <c r="C3106">
        <v>0.95290174254565096</v>
      </c>
      <c r="D3106">
        <v>0.68288256613777298</v>
      </c>
      <c r="E3106">
        <v>0.465624542073308</v>
      </c>
      <c r="F3106">
        <v>0.38797712263727402</v>
      </c>
      <c r="G3106">
        <v>0.25902107923347101</v>
      </c>
      <c r="H3106">
        <v>0.191086996452284</v>
      </c>
      <c r="I3106">
        <v>0.25333485407682899</v>
      </c>
      <c r="J3106">
        <v>0.14725321291419999</v>
      </c>
      <c r="K3106">
        <v>0.13640220730417299</v>
      </c>
      <c r="L3106">
        <v>711.57922877517001</v>
      </c>
      <c r="M3106">
        <v>14.7031781728707</v>
      </c>
      <c r="N3106">
        <v>49.765877884854802</v>
      </c>
      <c r="O3106">
        <v>47.527489080163399</v>
      </c>
      <c r="P3106">
        <v>-6.44786110598847E-2</v>
      </c>
      <c r="Q3106">
        <v>0.16639200698982101</v>
      </c>
      <c r="R3106">
        <v>0.9822194532763</v>
      </c>
      <c r="S3106" t="s">
        <v>9391</v>
      </c>
      <c r="T3106" t="s">
        <v>12568</v>
      </c>
      <c r="U3106" t="s">
        <v>12568</v>
      </c>
      <c r="V3106" t="s">
        <v>12568</v>
      </c>
      <c r="W3106" t="s">
        <v>15634</v>
      </c>
      <c r="X3106">
        <v>1</v>
      </c>
      <c r="Y3106" t="s">
        <v>21779</v>
      </c>
      <c r="Z3106" t="s">
        <v>27976</v>
      </c>
      <c r="AA3106">
        <v>0.42160370681011272</v>
      </c>
      <c r="AB3106" t="str">
        <f>HYPERLINK("Melting_Curves/meltCurve_Q14999_CUL7.pdf", "Melting_Curves/meltCurve_Q14999_CUL7.pdf")</f>
        <v>Melting_Curves/meltCurve_Q14999_CUL7.pdf</v>
      </c>
    </row>
    <row r="3107" spans="1:28" x14ac:dyDescent="0.25">
      <c r="A3107" t="s">
        <v>3111</v>
      </c>
      <c r="B3107">
        <v>0.99352677808782597</v>
      </c>
      <c r="C3107">
        <v>0.99652010434986504</v>
      </c>
      <c r="D3107">
        <v>0.84058001883343503</v>
      </c>
      <c r="E3107">
        <v>0.49629571827178098</v>
      </c>
      <c r="F3107">
        <v>0.38760134363540999</v>
      </c>
      <c r="G3107">
        <v>0.23488413000244801</v>
      </c>
      <c r="H3107">
        <v>0.158507095758771</v>
      </c>
      <c r="I3107">
        <v>0.14419106349432401</v>
      </c>
      <c r="J3107">
        <v>0.121898823041716</v>
      </c>
      <c r="K3107">
        <v>8.7993148990900993E-2</v>
      </c>
      <c r="L3107">
        <v>839.99734528710303</v>
      </c>
      <c r="M3107">
        <v>16.829204153439601</v>
      </c>
      <c r="N3107">
        <v>50.690227630257702</v>
      </c>
      <c r="O3107">
        <v>49.224299907391199</v>
      </c>
      <c r="P3107">
        <v>-7.5758057298065395E-2</v>
      </c>
      <c r="Q3107">
        <v>0.11370792930064</v>
      </c>
      <c r="R3107">
        <v>0.99311718084045197</v>
      </c>
      <c r="S3107" t="s">
        <v>9392</v>
      </c>
      <c r="T3107" t="s">
        <v>12568</v>
      </c>
      <c r="U3107" t="s">
        <v>12568</v>
      </c>
      <c r="V3107" t="s">
        <v>12568</v>
      </c>
      <c r="W3107" t="s">
        <v>15635</v>
      </c>
      <c r="X3107">
        <v>22</v>
      </c>
      <c r="Y3107" t="s">
        <v>21780</v>
      </c>
      <c r="Z3107" t="s">
        <v>27977</v>
      </c>
      <c r="AA3107">
        <v>0.42375022520075878</v>
      </c>
      <c r="AB3107" t="str">
        <f>HYPERLINK("Melting_Curves/meltCurve_Q14C86_5_GAPVD1.pdf", "Melting_Curves/meltCurve_Q14C86_5_GAPVD1.pdf")</f>
        <v>Melting_Curves/meltCurve_Q14C86_5_GAPVD1.pdf</v>
      </c>
    </row>
    <row r="3108" spans="1:28" x14ac:dyDescent="0.25">
      <c r="A3108" t="s">
        <v>3112</v>
      </c>
      <c r="B3108">
        <v>0.99352677808782597</v>
      </c>
      <c r="C3108">
        <v>0.94601858891570401</v>
      </c>
      <c r="D3108">
        <v>0.88379584799967303</v>
      </c>
      <c r="E3108">
        <v>0.421403642438753</v>
      </c>
      <c r="F3108">
        <v>0.38250063740010898</v>
      </c>
      <c r="G3108">
        <v>0.23791743105805899</v>
      </c>
      <c r="H3108">
        <v>0.17383185820233399</v>
      </c>
      <c r="I3108">
        <v>0.18837897223788699</v>
      </c>
      <c r="J3108">
        <v>0.13725974758574</v>
      </c>
      <c r="K3108">
        <v>0.11292771659664499</v>
      </c>
      <c r="L3108">
        <v>964.56617806402699</v>
      </c>
      <c r="M3108">
        <v>19.624383241965301</v>
      </c>
      <c r="N3108">
        <v>50.097387860482499</v>
      </c>
      <c r="O3108">
        <v>48.649571107362902</v>
      </c>
      <c r="P3108">
        <v>-8.5235076331299606E-2</v>
      </c>
      <c r="Q3108">
        <v>0.154826079758492</v>
      </c>
      <c r="R3108">
        <v>0.98328816816652798</v>
      </c>
      <c r="S3108" t="s">
        <v>9393</v>
      </c>
      <c r="T3108" t="s">
        <v>12568</v>
      </c>
      <c r="U3108" t="s">
        <v>12568</v>
      </c>
      <c r="V3108" t="s">
        <v>12568</v>
      </c>
      <c r="W3108" t="s">
        <v>15636</v>
      </c>
      <c r="X3108">
        <v>6</v>
      </c>
      <c r="Y3108" t="s">
        <v>21781</v>
      </c>
      <c r="Z3108" t="s">
        <v>27978</v>
      </c>
      <c r="AA3108">
        <v>0.42492816212151702</v>
      </c>
      <c r="AB3108" t="str">
        <f>HYPERLINK("Melting_Curves/meltCurve_Q14CS0_UBXN2B.pdf", "Melting_Curves/meltCurve_Q14CS0_UBXN2B.pdf")</f>
        <v>Melting_Curves/meltCurve_Q14CS0_UBXN2B.pdf</v>
      </c>
    </row>
    <row r="3109" spans="1:28" x14ac:dyDescent="0.25">
      <c r="A3109" t="s">
        <v>3113</v>
      </c>
      <c r="B3109">
        <v>0.99352677808782597</v>
      </c>
      <c r="C3109">
        <v>0.97264612606635803</v>
      </c>
      <c r="D3109">
        <v>0.94947393734736396</v>
      </c>
      <c r="E3109">
        <v>0.37623771394483602</v>
      </c>
      <c r="F3109">
        <v>0.26175993179393198</v>
      </c>
      <c r="G3109">
        <v>0.15250477924029901</v>
      </c>
      <c r="H3109">
        <v>0.105306485456341</v>
      </c>
      <c r="I3109">
        <v>8.8907067885167307E-2</v>
      </c>
      <c r="J3109">
        <v>7.7997268975617803E-2</v>
      </c>
      <c r="K3109">
        <v>5.7605981393218597E-2</v>
      </c>
      <c r="L3109">
        <v>1496.9614972198799</v>
      </c>
      <c r="M3109">
        <v>30.496844199823101</v>
      </c>
      <c r="N3109">
        <v>49.452505250258803</v>
      </c>
      <c r="O3109">
        <v>48.876175958122701</v>
      </c>
      <c r="P3109">
        <v>-0.140204423643497</v>
      </c>
      <c r="Q3109">
        <v>0.10120349351946099</v>
      </c>
      <c r="R3109">
        <v>0.98942901677564699</v>
      </c>
      <c r="S3109" t="s">
        <v>9394</v>
      </c>
      <c r="T3109" t="s">
        <v>12568</v>
      </c>
      <c r="U3109" t="s">
        <v>12568</v>
      </c>
      <c r="V3109" t="s">
        <v>12568</v>
      </c>
      <c r="W3109" t="s">
        <v>15637</v>
      </c>
      <c r="X3109">
        <v>19</v>
      </c>
      <c r="Y3109" t="s">
        <v>21782</v>
      </c>
      <c r="Z3109" t="s">
        <v>27979</v>
      </c>
      <c r="AA3109">
        <v>0.3787123191612769</v>
      </c>
      <c r="AB3109" t="str">
        <f>HYPERLINK("Melting_Curves/meltCurve_Q14CX7_NAA25.pdf", "Melting_Curves/meltCurve_Q14CX7_NAA25.pdf")</f>
        <v>Melting_Curves/meltCurve_Q14CX7_NAA25.pdf</v>
      </c>
    </row>
    <row r="3110" spans="1:28" x14ac:dyDescent="0.25">
      <c r="A3110" t="s">
        <v>3114</v>
      </c>
      <c r="B3110">
        <v>0.99352677808782597</v>
      </c>
      <c r="C3110">
        <v>0.94480035290456899</v>
      </c>
      <c r="D3110">
        <v>0.866727824973195</v>
      </c>
      <c r="E3110">
        <v>0.53452349714533698</v>
      </c>
      <c r="F3110">
        <v>0.39465384262985798</v>
      </c>
      <c r="G3110">
        <v>0.27006436375632298</v>
      </c>
      <c r="H3110">
        <v>0.18346071708758599</v>
      </c>
      <c r="I3110">
        <v>0.18919999591696801</v>
      </c>
      <c r="J3110">
        <v>0.15407047052332501</v>
      </c>
      <c r="K3110">
        <v>0.117890337165444</v>
      </c>
      <c r="L3110">
        <v>821.73896317667095</v>
      </c>
      <c r="M3110">
        <v>16.432351519882101</v>
      </c>
      <c r="N3110">
        <v>51.059649902221203</v>
      </c>
      <c r="O3110">
        <v>49.284382470766097</v>
      </c>
      <c r="P3110">
        <v>-7.1387391653986207E-2</v>
      </c>
      <c r="Q3110">
        <v>0.143631992770205</v>
      </c>
      <c r="R3110">
        <v>0.99552116520647405</v>
      </c>
      <c r="S3110" t="s">
        <v>9395</v>
      </c>
      <c r="T3110" t="s">
        <v>12568</v>
      </c>
      <c r="U3110" t="s">
        <v>12568</v>
      </c>
      <c r="V3110" t="s">
        <v>12568</v>
      </c>
      <c r="W3110" t="s">
        <v>15638</v>
      </c>
      <c r="X3110">
        <v>2</v>
      </c>
      <c r="Y3110" t="s">
        <v>21783</v>
      </c>
      <c r="Z3110" t="s">
        <v>27980</v>
      </c>
      <c r="AA3110">
        <v>0.44661450400616598</v>
      </c>
      <c r="AB3110" t="str">
        <f>HYPERLINK("Melting_Curves/meltCurve_Q14CZ0_C16orf72.pdf", "Melting_Curves/meltCurve_Q14CZ0_C16orf72.pdf")</f>
        <v>Melting_Curves/meltCurve_Q14CZ0_C16orf72.pdf</v>
      </c>
    </row>
    <row r="3111" spans="1:28" x14ac:dyDescent="0.25">
      <c r="A3111" t="s">
        <v>3115</v>
      </c>
      <c r="B3111">
        <v>0.99352677808782597</v>
      </c>
      <c r="C3111">
        <v>0.94363087645971699</v>
      </c>
      <c r="D3111">
        <v>0.73247605228028401</v>
      </c>
      <c r="E3111">
        <v>0.35638484821793298</v>
      </c>
      <c r="F3111">
        <v>0.272913711142868</v>
      </c>
      <c r="G3111">
        <v>0.186004975250255</v>
      </c>
      <c r="H3111">
        <v>0.12773803867636099</v>
      </c>
      <c r="I3111">
        <v>0.13178163942682899</v>
      </c>
      <c r="J3111">
        <v>0.13084385533718099</v>
      </c>
      <c r="K3111">
        <v>0.121696579907245</v>
      </c>
      <c r="L3111">
        <v>979.34663697432802</v>
      </c>
      <c r="M3111">
        <v>20.476547188383702</v>
      </c>
      <c r="N3111">
        <v>48.556386454951898</v>
      </c>
      <c r="O3111">
        <v>47.378573369362201</v>
      </c>
      <c r="P3111">
        <v>-9.3758188514593402E-2</v>
      </c>
      <c r="Q3111">
        <v>0.132276074967973</v>
      </c>
      <c r="R3111">
        <v>0.99682037499110099</v>
      </c>
      <c r="S3111" t="s">
        <v>9396</v>
      </c>
      <c r="T3111" t="s">
        <v>12568</v>
      </c>
      <c r="U3111" t="s">
        <v>12568</v>
      </c>
      <c r="V3111" t="s">
        <v>12568</v>
      </c>
      <c r="W3111" t="s">
        <v>15639</v>
      </c>
      <c r="X3111">
        <v>19</v>
      </c>
      <c r="Y3111" t="s">
        <v>21784</v>
      </c>
      <c r="Z3111" t="s">
        <v>27981</v>
      </c>
      <c r="AA3111">
        <v>0.37045677665827031</v>
      </c>
      <c r="AB3111" t="str">
        <f>HYPERLINK("Melting_Curves/meltCurve_Q15003_NCAPH.pdf", "Melting_Curves/meltCurve_Q15003_NCAPH.pdf")</f>
        <v>Melting_Curves/meltCurve_Q15003_NCAPH.pdf</v>
      </c>
    </row>
    <row r="3112" spans="1:28" x14ac:dyDescent="0.25">
      <c r="A3112" t="s">
        <v>3116</v>
      </c>
      <c r="B3112">
        <v>0.99352677808782597</v>
      </c>
      <c r="C3112">
        <v>1.0087016842840999</v>
      </c>
      <c r="D3112">
        <v>1.0193530808729601</v>
      </c>
      <c r="E3112">
        <v>1.1133846820817701</v>
      </c>
      <c r="F3112">
        <v>0.95017886941638996</v>
      </c>
      <c r="G3112">
        <v>0.999401369781037</v>
      </c>
      <c r="H3112">
        <v>1.0397491881099901</v>
      </c>
      <c r="I3112">
        <v>1.15440411694047</v>
      </c>
      <c r="J3112">
        <v>1.2213419112924899</v>
      </c>
      <c r="K3112">
        <v>1.0157191374640999</v>
      </c>
      <c r="L3112">
        <v>15000</v>
      </c>
      <c r="M3112">
        <v>245.07632530696401</v>
      </c>
      <c r="O3112">
        <v>61.201341321136503</v>
      </c>
      <c r="P3112">
        <v>0.13063334913257901</v>
      </c>
      <c r="Q3112">
        <v>1.1304889302258001</v>
      </c>
      <c r="R3112">
        <v>0.40789917359681499</v>
      </c>
      <c r="S3112" t="s">
        <v>9397</v>
      </c>
      <c r="T3112" t="s">
        <v>12568</v>
      </c>
      <c r="U3112" t="s">
        <v>12568</v>
      </c>
      <c r="V3112" t="s">
        <v>12568</v>
      </c>
      <c r="W3112" t="s">
        <v>15640</v>
      </c>
      <c r="X3112">
        <v>9</v>
      </c>
      <c r="Y3112" t="s">
        <v>21785</v>
      </c>
      <c r="Z3112" t="s">
        <v>27982</v>
      </c>
      <c r="AA3112">
        <v>1.0382385822264419</v>
      </c>
      <c r="AB3112" t="str">
        <f>HYPERLINK("Melting_Curves/meltCurve_Q15004_KIAA0101.pdf", "Melting_Curves/meltCurve_Q15004_KIAA0101.pdf")</f>
        <v>Melting_Curves/meltCurve_Q15004_KIAA0101.pdf</v>
      </c>
    </row>
    <row r="3113" spans="1:28" x14ac:dyDescent="0.25">
      <c r="A3113" t="s">
        <v>3117</v>
      </c>
      <c r="B3113">
        <v>0.99352677808782597</v>
      </c>
      <c r="C3113">
        <v>1.0446703110679001</v>
      </c>
      <c r="D3113">
        <v>0.92173722368080402</v>
      </c>
      <c r="E3113">
        <v>0.63372177405137997</v>
      </c>
      <c r="F3113">
        <v>0.54596686417282703</v>
      </c>
      <c r="G3113">
        <v>0.39507019864533</v>
      </c>
      <c r="H3113">
        <v>0.339407328339769</v>
      </c>
      <c r="I3113">
        <v>0.38379706358196303</v>
      </c>
      <c r="J3113">
        <v>0.43769888095100601</v>
      </c>
      <c r="K3113">
        <v>0.36228406540465502</v>
      </c>
      <c r="L3113">
        <v>1165.51886783297</v>
      </c>
      <c r="M3113">
        <v>23.460575491526001</v>
      </c>
      <c r="N3113">
        <v>52.904558037890602</v>
      </c>
      <c r="O3113">
        <v>49.323159230984899</v>
      </c>
      <c r="P3113">
        <v>-7.3686259475096993E-2</v>
      </c>
      <c r="Q3113">
        <v>0.38034321509157099</v>
      </c>
      <c r="R3113">
        <v>0.98109626674319095</v>
      </c>
      <c r="S3113" t="s">
        <v>9398</v>
      </c>
      <c r="T3113" t="s">
        <v>12568</v>
      </c>
      <c r="U3113" t="s">
        <v>12568</v>
      </c>
      <c r="V3113" t="s">
        <v>12568</v>
      </c>
      <c r="W3113" t="s">
        <v>15641</v>
      </c>
      <c r="X3113">
        <v>7</v>
      </c>
      <c r="Y3113" t="s">
        <v>21786</v>
      </c>
      <c r="Z3113" t="s">
        <v>27983</v>
      </c>
      <c r="AA3113">
        <v>0.58656178527515057</v>
      </c>
      <c r="AB3113" t="str">
        <f>HYPERLINK("Melting_Curves/meltCurve_Q15007_WTAP.pdf", "Melting_Curves/meltCurve_Q15007_WTAP.pdf")</f>
        <v>Melting_Curves/meltCurve_Q15007_WTAP.pdf</v>
      </c>
    </row>
    <row r="3114" spans="1:28" x14ac:dyDescent="0.25">
      <c r="A3114" t="s">
        <v>3118</v>
      </c>
      <c r="B3114">
        <v>0.99352677808782597</v>
      </c>
      <c r="C3114">
        <v>0.99651109039908903</v>
      </c>
      <c r="D3114">
        <v>0.80642591253156404</v>
      </c>
      <c r="E3114">
        <v>1.13506958713509</v>
      </c>
      <c r="F3114">
        <v>0.87283287825259703</v>
      </c>
      <c r="G3114">
        <v>0.46619594338464998</v>
      </c>
      <c r="H3114">
        <v>0.18218675899706299</v>
      </c>
      <c r="I3114">
        <v>0.15386777657772899</v>
      </c>
      <c r="J3114">
        <v>0.13873013645446799</v>
      </c>
      <c r="K3114">
        <v>0.106388219915</v>
      </c>
      <c r="L3114">
        <v>1939.5496978185499</v>
      </c>
      <c r="M3114">
        <v>34.5024954772977</v>
      </c>
      <c r="N3114">
        <v>56.698658704681499</v>
      </c>
      <c r="O3114">
        <v>56.026926544684798</v>
      </c>
      <c r="P3114">
        <v>-0.13432110631969499</v>
      </c>
      <c r="Q3114">
        <v>0.127533176348022</v>
      </c>
      <c r="R3114">
        <v>0.96113620793010601</v>
      </c>
      <c r="S3114" t="s">
        <v>9399</v>
      </c>
      <c r="T3114" t="s">
        <v>12568</v>
      </c>
      <c r="U3114" t="s">
        <v>12568</v>
      </c>
      <c r="V3114" t="s">
        <v>12568</v>
      </c>
      <c r="W3114" t="s">
        <v>15642</v>
      </c>
      <c r="X3114">
        <v>20</v>
      </c>
      <c r="Y3114" t="s">
        <v>21787</v>
      </c>
      <c r="Z3114" t="s">
        <v>27984</v>
      </c>
      <c r="AA3114">
        <v>0.60357776522858175</v>
      </c>
      <c r="AB3114" t="str">
        <f>HYPERLINK("Melting_Curves/meltCurve_Q15008_PSMD6.pdf", "Melting_Curves/meltCurve_Q15008_PSMD6.pdf")</f>
        <v>Melting_Curves/meltCurve_Q15008_PSMD6.pdf</v>
      </c>
    </row>
    <row r="3115" spans="1:28" x14ac:dyDescent="0.25">
      <c r="A3115" t="s">
        <v>3119</v>
      </c>
      <c r="B3115">
        <v>0.99352677808782597</v>
      </c>
      <c r="C3115">
        <v>0.97390959070628202</v>
      </c>
      <c r="D3115">
        <v>1.0384390431397199</v>
      </c>
      <c r="E3115">
        <v>0.79498099549762702</v>
      </c>
      <c r="F3115">
        <v>0.848984752218649</v>
      </c>
      <c r="G3115">
        <v>0.72869503140565295</v>
      </c>
      <c r="H3115">
        <v>0.66944546308866504</v>
      </c>
      <c r="I3115">
        <v>0.72502274908110798</v>
      </c>
      <c r="J3115">
        <v>0.662808374365499</v>
      </c>
      <c r="K3115">
        <v>0.59027605512909498</v>
      </c>
      <c r="L3115">
        <v>672.60256701217997</v>
      </c>
      <c r="M3115">
        <v>12.6843674984042</v>
      </c>
      <c r="O3115">
        <v>51.759951810637098</v>
      </c>
      <c r="P3115">
        <v>-2.2945507488282901E-2</v>
      </c>
      <c r="Q3115">
        <v>0.62554615717259399</v>
      </c>
      <c r="R3115">
        <v>0.89421829752410997</v>
      </c>
      <c r="S3115" t="s">
        <v>9400</v>
      </c>
      <c r="T3115" t="s">
        <v>12568</v>
      </c>
      <c r="U3115" t="s">
        <v>12568</v>
      </c>
      <c r="V3115" t="s">
        <v>12568</v>
      </c>
      <c r="W3115" t="s">
        <v>15643</v>
      </c>
      <c r="X3115">
        <v>2</v>
      </c>
      <c r="Y3115" t="s">
        <v>21788</v>
      </c>
      <c r="Z3115" t="s">
        <v>27985</v>
      </c>
      <c r="AA3115">
        <v>0.79811914627989122</v>
      </c>
      <c r="AB3115" t="str">
        <f>HYPERLINK("Melting_Curves/meltCurve_Q15011_3_HERPUD1.pdf", "Melting_Curves/meltCurve_Q15011_3_HERPUD1.pdf")</f>
        <v>Melting_Curves/meltCurve_Q15011_3_HERPUD1.pdf</v>
      </c>
    </row>
    <row r="3116" spans="1:28" x14ac:dyDescent="0.25">
      <c r="A3116" t="s">
        <v>3120</v>
      </c>
      <c r="B3116">
        <v>0.99352677808782597</v>
      </c>
      <c r="C3116">
        <v>0.93924470572894603</v>
      </c>
      <c r="D3116">
        <v>0.890503804278587</v>
      </c>
      <c r="E3116">
        <v>0.388503756411266</v>
      </c>
      <c r="F3116">
        <v>0.31453504964576201</v>
      </c>
      <c r="G3116">
        <v>0.20561643670174201</v>
      </c>
      <c r="H3116">
        <v>0.21244863520052901</v>
      </c>
      <c r="I3116">
        <v>0.15636266591466699</v>
      </c>
      <c r="J3116">
        <v>0.14101403327696199</v>
      </c>
      <c r="K3116">
        <v>0.13013219143438101</v>
      </c>
      <c r="L3116">
        <v>1278.4409531828201</v>
      </c>
      <c r="M3116">
        <v>26.296097696974599</v>
      </c>
      <c r="N3116">
        <v>49.395036391743297</v>
      </c>
      <c r="O3116">
        <v>48.338572665238502</v>
      </c>
      <c r="P3116">
        <v>-0.112943263900894</v>
      </c>
      <c r="Q3116">
        <v>0.16954105236181599</v>
      </c>
      <c r="R3116">
        <v>0.98785528144541201</v>
      </c>
      <c r="S3116" t="s">
        <v>9401</v>
      </c>
      <c r="T3116" t="s">
        <v>12568</v>
      </c>
      <c r="U3116" t="s">
        <v>12568</v>
      </c>
      <c r="V3116" t="s">
        <v>12568</v>
      </c>
      <c r="W3116" t="s">
        <v>15644</v>
      </c>
      <c r="X3116">
        <v>2</v>
      </c>
      <c r="Y3116" t="s">
        <v>21789</v>
      </c>
      <c r="Z3116" t="s">
        <v>27986</v>
      </c>
      <c r="AA3116">
        <v>0.41469150137938449</v>
      </c>
      <c r="AB3116" t="str">
        <f>HYPERLINK("Melting_Curves/meltCurve_Q15013_MAD2L1BP.pdf", "Melting_Curves/meltCurve_Q15013_MAD2L1BP.pdf")</f>
        <v>Melting_Curves/meltCurve_Q15013_MAD2L1BP.pdf</v>
      </c>
    </row>
    <row r="3117" spans="1:28" x14ac:dyDescent="0.25">
      <c r="A3117" t="s">
        <v>3121</v>
      </c>
      <c r="B3117">
        <v>0.99352677808782597</v>
      </c>
      <c r="C3117">
        <v>0.60638754929217697</v>
      </c>
      <c r="D3117">
        <v>0.85991083418713798</v>
      </c>
      <c r="E3117">
        <v>0.661075244118973</v>
      </c>
      <c r="F3117">
        <v>0.56710291905717902</v>
      </c>
      <c r="G3117">
        <v>0.314190972489024</v>
      </c>
      <c r="H3117">
        <v>0.20139972485968799</v>
      </c>
      <c r="I3117">
        <v>0.19336103634003399</v>
      </c>
      <c r="J3117">
        <v>0.165863184668569</v>
      </c>
      <c r="K3117">
        <v>0.131168650170774</v>
      </c>
      <c r="L3117">
        <v>414.32046930062899</v>
      </c>
      <c r="M3117">
        <v>7.8407726125465098</v>
      </c>
      <c r="N3117">
        <v>52.841790498135701</v>
      </c>
      <c r="O3117">
        <v>49.735399712599303</v>
      </c>
      <c r="P3117">
        <v>-3.9460479310669802E-2</v>
      </c>
      <c r="Q3117">
        <v>0</v>
      </c>
      <c r="R3117">
        <v>0.89409975420697496</v>
      </c>
      <c r="S3117" t="s">
        <v>9402</v>
      </c>
      <c r="T3117" t="s">
        <v>12568</v>
      </c>
      <c r="U3117" t="s">
        <v>12568</v>
      </c>
      <c r="V3117" t="s">
        <v>12568</v>
      </c>
      <c r="W3117" t="s">
        <v>15645</v>
      </c>
      <c r="X3117">
        <v>11</v>
      </c>
      <c r="Y3117" t="s">
        <v>21790</v>
      </c>
      <c r="Z3117" t="s">
        <v>27987</v>
      </c>
      <c r="AA3117">
        <v>0.47038991236475097</v>
      </c>
      <c r="AB3117" t="str">
        <f>HYPERLINK("Melting_Curves/meltCurve_Q15014_MORF4L2.pdf", "Melting_Curves/meltCurve_Q15014_MORF4L2.pdf")</f>
        <v>Melting_Curves/meltCurve_Q15014_MORF4L2.pdf</v>
      </c>
    </row>
    <row r="3118" spans="1:28" x14ac:dyDescent="0.25">
      <c r="A3118" t="s">
        <v>3122</v>
      </c>
      <c r="B3118">
        <v>0.99352677808782597</v>
      </c>
      <c r="C3118">
        <v>0.96207071782186704</v>
      </c>
      <c r="D3118">
        <v>0.89259816225225497</v>
      </c>
      <c r="E3118">
        <v>0.82018256228365005</v>
      </c>
      <c r="F3118">
        <v>0.68505807533321195</v>
      </c>
      <c r="G3118">
        <v>0.55899268462600704</v>
      </c>
      <c r="H3118">
        <v>0.39854325726912898</v>
      </c>
      <c r="I3118">
        <v>0.22108229102803501</v>
      </c>
      <c r="J3118">
        <v>0.14268517861778501</v>
      </c>
      <c r="K3118">
        <v>0.112305007883715</v>
      </c>
      <c r="L3118">
        <v>605.25044510979001</v>
      </c>
      <c r="M3118">
        <v>10.545129151348201</v>
      </c>
      <c r="N3118">
        <v>57.396209667038299</v>
      </c>
      <c r="O3118">
        <v>55.447412202253098</v>
      </c>
      <c r="P3118">
        <v>-4.7564505087957301E-2</v>
      </c>
      <c r="Q3118">
        <v>0</v>
      </c>
      <c r="R3118">
        <v>0.99153739277733399</v>
      </c>
      <c r="S3118" t="s">
        <v>9403</v>
      </c>
      <c r="T3118" t="s">
        <v>12568</v>
      </c>
      <c r="U3118" t="s">
        <v>12568</v>
      </c>
      <c r="V3118" t="s">
        <v>12568</v>
      </c>
      <c r="W3118" t="s">
        <v>15646</v>
      </c>
      <c r="X3118">
        <v>11</v>
      </c>
      <c r="Y3118" t="s">
        <v>21791</v>
      </c>
      <c r="Z3118" t="s">
        <v>27988</v>
      </c>
      <c r="AA3118">
        <v>0.59412764358066239</v>
      </c>
      <c r="AB3118" t="str">
        <f>HYPERLINK("Melting_Curves/meltCurve_Q15018_FAM175B.pdf", "Melting_Curves/meltCurve_Q15018_FAM175B.pdf")</f>
        <v>Melting_Curves/meltCurve_Q15018_FAM175B.pdf</v>
      </c>
    </row>
    <row r="3119" spans="1:28" x14ac:dyDescent="0.25">
      <c r="A3119" t="s">
        <v>3123</v>
      </c>
      <c r="B3119">
        <v>0.99352677808782597</v>
      </c>
      <c r="C3119">
        <v>0.98370297633216597</v>
      </c>
      <c r="D3119">
        <v>0.89112422500946598</v>
      </c>
      <c r="E3119">
        <v>1.157045974179</v>
      </c>
      <c r="F3119">
        <v>1.04875959158184</v>
      </c>
      <c r="G3119">
        <v>0.750330762020187</v>
      </c>
      <c r="H3119">
        <v>0.49621158951087202</v>
      </c>
      <c r="I3119">
        <v>0.38290667948305701</v>
      </c>
      <c r="J3119">
        <v>0.19912126198743699</v>
      </c>
      <c r="K3119">
        <v>0.13535373083720001</v>
      </c>
      <c r="L3119">
        <v>1284.03576186903</v>
      </c>
      <c r="M3119">
        <v>21.223465880837001</v>
      </c>
      <c r="N3119">
        <v>61.209938357245697</v>
      </c>
      <c r="O3119">
        <v>59.9713131084373</v>
      </c>
      <c r="P3119">
        <v>-7.8831852222990995E-2</v>
      </c>
      <c r="Q3119">
        <v>0.108999836042646</v>
      </c>
      <c r="R3119">
        <v>0.954820613405582</v>
      </c>
      <c r="S3119" t="s">
        <v>9404</v>
      </c>
      <c r="T3119" t="s">
        <v>12568</v>
      </c>
      <c r="U3119" t="s">
        <v>12568</v>
      </c>
      <c r="V3119" t="s">
        <v>12568</v>
      </c>
      <c r="W3119" t="s">
        <v>15647</v>
      </c>
      <c r="X3119">
        <v>19</v>
      </c>
      <c r="Y3119" t="s">
        <v>21792</v>
      </c>
      <c r="Z3119" t="s">
        <v>27989</v>
      </c>
      <c r="AA3119">
        <v>0.72441060766485621</v>
      </c>
      <c r="AB3119" t="str">
        <f>HYPERLINK("Melting_Curves/meltCurve_Q15019_SEPT2.pdf", "Melting_Curves/meltCurve_Q15019_SEPT2.pdf")</f>
        <v>Melting_Curves/meltCurve_Q15019_SEPT2.pdf</v>
      </c>
    </row>
    <row r="3120" spans="1:28" x14ac:dyDescent="0.25">
      <c r="A3120" t="s">
        <v>3124</v>
      </c>
      <c r="B3120">
        <v>0.99352677808782597</v>
      </c>
      <c r="C3120">
        <v>0.92974739862034605</v>
      </c>
      <c r="D3120">
        <v>0.86915396750474305</v>
      </c>
      <c r="E3120">
        <v>0.54205759830941602</v>
      </c>
      <c r="F3120">
        <v>0.45498876762159302</v>
      </c>
      <c r="G3120">
        <v>0.26996505167867502</v>
      </c>
      <c r="H3120">
        <v>0.182368790428139</v>
      </c>
      <c r="I3120">
        <v>0.18373423869507399</v>
      </c>
      <c r="J3120">
        <v>0.15438003909339801</v>
      </c>
      <c r="K3120">
        <v>0.13375676434318201</v>
      </c>
      <c r="L3120">
        <v>745.53969551139096</v>
      </c>
      <c r="M3120">
        <v>14.7748631210059</v>
      </c>
      <c r="N3120">
        <v>51.530109301627903</v>
      </c>
      <c r="O3120">
        <v>49.562672929532802</v>
      </c>
      <c r="P3120">
        <v>-6.4687501948303097E-2</v>
      </c>
      <c r="Q3120">
        <v>0.13210922084295501</v>
      </c>
      <c r="R3120">
        <v>0.99410707480910099</v>
      </c>
      <c r="S3120" t="s">
        <v>9405</v>
      </c>
      <c r="T3120" t="s">
        <v>12568</v>
      </c>
      <c r="U3120" t="s">
        <v>12568</v>
      </c>
      <c r="V3120" t="s">
        <v>12568</v>
      </c>
      <c r="W3120" t="s">
        <v>15648</v>
      </c>
      <c r="X3120">
        <v>20</v>
      </c>
      <c r="Y3120" t="s">
        <v>21793</v>
      </c>
      <c r="Z3120" t="s">
        <v>27990</v>
      </c>
      <c r="AA3120">
        <v>0.45564439799339812</v>
      </c>
      <c r="AB3120" t="str">
        <f>HYPERLINK("Melting_Curves/meltCurve_Q15020_SART3.pdf", "Melting_Curves/meltCurve_Q15020_SART3.pdf")</f>
        <v>Melting_Curves/meltCurve_Q15020_SART3.pdf</v>
      </c>
    </row>
    <row r="3121" spans="1:28" x14ac:dyDescent="0.25">
      <c r="A3121" t="s">
        <v>3125</v>
      </c>
      <c r="B3121">
        <v>0.99352677808782597</v>
      </c>
      <c r="C3121">
        <v>0.95982171942491401</v>
      </c>
      <c r="D3121">
        <v>0.69727301672438502</v>
      </c>
      <c r="E3121">
        <v>0.26729240788581099</v>
      </c>
      <c r="F3121">
        <v>0.19981912147120801</v>
      </c>
      <c r="G3121">
        <v>0.11371613184024899</v>
      </c>
      <c r="H3121">
        <v>7.3751340630948001E-2</v>
      </c>
      <c r="I3121">
        <v>6.61449044105102E-2</v>
      </c>
      <c r="J3121">
        <v>5.6623909795579699E-2</v>
      </c>
      <c r="K3121">
        <v>4.2565455723675899E-2</v>
      </c>
      <c r="L3121">
        <v>1089.32415925651</v>
      </c>
      <c r="M3121">
        <v>22.918213198284299</v>
      </c>
      <c r="N3121">
        <v>47.842540424158003</v>
      </c>
      <c r="O3121">
        <v>47.173494932662003</v>
      </c>
      <c r="P3121">
        <v>-0.113038440860609</v>
      </c>
      <c r="Q3121">
        <v>6.9331119390765805E-2</v>
      </c>
      <c r="R3121">
        <v>0.99543497431319605</v>
      </c>
      <c r="S3121" t="s">
        <v>9406</v>
      </c>
      <c r="T3121" t="s">
        <v>12568</v>
      </c>
      <c r="U3121" t="s">
        <v>12568</v>
      </c>
      <c r="V3121" t="s">
        <v>12568</v>
      </c>
      <c r="W3121" t="s">
        <v>15649</v>
      </c>
      <c r="X3121">
        <v>34</v>
      </c>
      <c r="Y3121" t="s">
        <v>21794</v>
      </c>
      <c r="Z3121" t="s">
        <v>27991</v>
      </c>
      <c r="AA3121">
        <v>0.31291426437240139</v>
      </c>
      <c r="AB3121" t="str">
        <f>HYPERLINK("Melting_Curves/meltCurve_Q15021_NCAPD2.pdf", "Melting_Curves/meltCurve_Q15021_NCAPD2.pdf")</f>
        <v>Melting_Curves/meltCurve_Q15021_NCAPD2.pdf</v>
      </c>
    </row>
    <row r="3122" spans="1:28" x14ac:dyDescent="0.25">
      <c r="A3122" t="s">
        <v>3126</v>
      </c>
      <c r="B3122">
        <v>0.99352677808782597</v>
      </c>
      <c r="C3122">
        <v>1.0519015685512501</v>
      </c>
      <c r="D3122">
        <v>1.0293903752522</v>
      </c>
      <c r="E3122">
        <v>1.1498273816162199</v>
      </c>
      <c r="F3122">
        <v>0.93514365399572497</v>
      </c>
      <c r="G3122">
        <v>0.74690840907844003</v>
      </c>
      <c r="H3122">
        <v>0.51555982736601702</v>
      </c>
      <c r="I3122">
        <v>0.39720141227891298</v>
      </c>
      <c r="J3122">
        <v>0.330450536499375</v>
      </c>
      <c r="K3122">
        <v>0.263650095408136</v>
      </c>
      <c r="L3122">
        <v>1324.0760802709101</v>
      </c>
      <c r="M3122">
        <v>22.424631515562801</v>
      </c>
      <c r="N3122">
        <v>61.155963005883201</v>
      </c>
      <c r="O3122">
        <v>58.582068944323296</v>
      </c>
      <c r="P3122">
        <v>-6.9920389052976706E-2</v>
      </c>
      <c r="Q3122">
        <v>0.269375488341834</v>
      </c>
      <c r="R3122">
        <v>0.96823642941989296</v>
      </c>
      <c r="S3122" t="s">
        <v>9407</v>
      </c>
      <c r="T3122" t="s">
        <v>12568</v>
      </c>
      <c r="U3122" t="s">
        <v>12568</v>
      </c>
      <c r="V3122" t="s">
        <v>12568</v>
      </c>
      <c r="W3122" t="s">
        <v>15650</v>
      </c>
      <c r="X3122">
        <v>7</v>
      </c>
      <c r="Y3122" t="s">
        <v>21795</v>
      </c>
      <c r="Z3122" t="s">
        <v>27992</v>
      </c>
      <c r="AA3122">
        <v>0.73990197837330529</v>
      </c>
      <c r="AB3122" t="str">
        <f>HYPERLINK("Melting_Curves/meltCurve_Q15024_EXOSC7.pdf", "Melting_Curves/meltCurve_Q15024_EXOSC7.pdf")</f>
        <v>Melting_Curves/meltCurve_Q15024_EXOSC7.pdf</v>
      </c>
    </row>
    <row r="3123" spans="1:28" x14ac:dyDescent="0.25">
      <c r="A3123" t="s">
        <v>3127</v>
      </c>
      <c r="B3123">
        <v>0.99352677808782597</v>
      </c>
      <c r="C3123">
        <v>1.0341637280757801</v>
      </c>
      <c r="D3123">
        <v>0.98128952305759298</v>
      </c>
      <c r="E3123">
        <v>1.3823099603592599</v>
      </c>
      <c r="F3123">
        <v>1.22314581764902</v>
      </c>
      <c r="G3123">
        <v>0.95180487697170701</v>
      </c>
      <c r="H3123">
        <v>0.44106329676297501</v>
      </c>
      <c r="I3123">
        <v>0.20363871940778</v>
      </c>
      <c r="J3123">
        <v>0.15204637316576899</v>
      </c>
      <c r="K3123">
        <v>0.113582022310279</v>
      </c>
      <c r="L3123">
        <v>2937.3818840724798</v>
      </c>
      <c r="M3123">
        <v>48.7297211888487</v>
      </c>
      <c r="N3123">
        <v>60.675678040441099</v>
      </c>
      <c r="O3123">
        <v>60.177805834027701</v>
      </c>
      <c r="P3123">
        <v>-0.174830026254852</v>
      </c>
      <c r="Q3123">
        <v>0.136389275368756</v>
      </c>
      <c r="R3123">
        <v>0.90117157209765797</v>
      </c>
      <c r="S3123" t="s">
        <v>9408</v>
      </c>
      <c r="T3123" t="s">
        <v>12568</v>
      </c>
      <c r="U3123" t="s">
        <v>12568</v>
      </c>
      <c r="V3123" t="s">
        <v>12568</v>
      </c>
      <c r="W3123" t="s">
        <v>15651</v>
      </c>
      <c r="X3123">
        <v>37</v>
      </c>
      <c r="Y3123" t="s">
        <v>21796</v>
      </c>
      <c r="Z3123" t="s">
        <v>27993</v>
      </c>
      <c r="AA3123">
        <v>0.72252332486062132</v>
      </c>
      <c r="AB3123" t="str">
        <f>HYPERLINK("Melting_Curves/meltCurve_Q15029_2_EFTUD2.pdf", "Melting_Curves/meltCurve_Q15029_2_EFTUD2.pdf")</f>
        <v>Melting_Curves/meltCurve_Q15029_2_EFTUD2.pdf</v>
      </c>
    </row>
    <row r="3124" spans="1:28" x14ac:dyDescent="0.25">
      <c r="A3124" t="s">
        <v>3128</v>
      </c>
      <c r="B3124">
        <v>0.99352677808782597</v>
      </c>
      <c r="C3124">
        <v>0.962912247493387</v>
      </c>
      <c r="D3124">
        <v>0.96517372326541195</v>
      </c>
      <c r="E3124">
        <v>0.77113851928617805</v>
      </c>
      <c r="F3124">
        <v>0.737612072786203</v>
      </c>
      <c r="G3124">
        <v>0.53816997890523799</v>
      </c>
      <c r="H3124">
        <v>0.458221582666341</v>
      </c>
      <c r="I3124">
        <v>0.46362862050096798</v>
      </c>
      <c r="J3124">
        <v>0.46973211504516699</v>
      </c>
      <c r="K3124">
        <v>0.33001795938794798</v>
      </c>
      <c r="L3124">
        <v>674.47144591148799</v>
      </c>
      <c r="M3124">
        <v>12.6038425607319</v>
      </c>
      <c r="N3124">
        <v>59.612841579744398</v>
      </c>
      <c r="O3124">
        <v>52.219657682622397</v>
      </c>
      <c r="P3124">
        <v>-3.8485860707646702E-2</v>
      </c>
      <c r="Q3124">
        <v>0.36231577629863898</v>
      </c>
      <c r="R3124">
        <v>0.97432134124038094</v>
      </c>
      <c r="S3124" t="s">
        <v>9409</v>
      </c>
      <c r="T3124" t="s">
        <v>12568</v>
      </c>
      <c r="U3124" t="s">
        <v>12568</v>
      </c>
      <c r="V3124" t="s">
        <v>12568</v>
      </c>
      <c r="W3124" t="s">
        <v>15652</v>
      </c>
      <c r="X3124">
        <v>12</v>
      </c>
      <c r="Y3124" t="s">
        <v>21797</v>
      </c>
      <c r="Z3124" t="s">
        <v>27994</v>
      </c>
      <c r="AA3124">
        <v>0.66608254236577791</v>
      </c>
      <c r="AB3124" t="str">
        <f>HYPERLINK("Melting_Curves/meltCurve_Q15032_2_R3HDM1.pdf", "Melting_Curves/meltCurve_Q15032_2_R3HDM1.pdf")</f>
        <v>Melting_Curves/meltCurve_Q15032_2_R3HDM1.pdf</v>
      </c>
    </row>
    <row r="3125" spans="1:28" x14ac:dyDescent="0.25">
      <c r="A3125" t="s">
        <v>3129</v>
      </c>
      <c r="B3125">
        <v>0.99352677808782597</v>
      </c>
      <c r="C3125">
        <v>0.94856447124962495</v>
      </c>
      <c r="D3125">
        <v>0.94106101468090397</v>
      </c>
      <c r="E3125">
        <v>0.39885362922511503</v>
      </c>
      <c r="F3125">
        <v>0.33266906641361899</v>
      </c>
      <c r="G3125">
        <v>0.17573391037861799</v>
      </c>
      <c r="H3125">
        <v>0.112376137223165</v>
      </c>
      <c r="I3125">
        <v>9.45533782852883E-2</v>
      </c>
      <c r="J3125">
        <v>7.4268650211646803E-2</v>
      </c>
      <c r="K3125">
        <v>5.8506135560590297E-2</v>
      </c>
      <c r="L3125">
        <v>1113.4132243031499</v>
      </c>
      <c r="M3125">
        <v>22.513801205810999</v>
      </c>
      <c r="N3125">
        <v>49.915375131478399</v>
      </c>
      <c r="O3125">
        <v>49.069461222901602</v>
      </c>
      <c r="P3125">
        <v>-0.103945679201962</v>
      </c>
      <c r="Q3125">
        <v>9.3808027192244195E-2</v>
      </c>
      <c r="R3125">
        <v>0.98229829052795903</v>
      </c>
      <c r="S3125" t="s">
        <v>9410</v>
      </c>
      <c r="T3125" t="s">
        <v>12568</v>
      </c>
      <c r="U3125" t="s">
        <v>12568</v>
      </c>
      <c r="V3125" t="s">
        <v>12568</v>
      </c>
      <c r="W3125" t="s">
        <v>15653</v>
      </c>
      <c r="X3125">
        <v>14</v>
      </c>
      <c r="Y3125" t="s">
        <v>21798</v>
      </c>
      <c r="Z3125" t="s">
        <v>27995</v>
      </c>
      <c r="AA3125">
        <v>0.38936914510115839</v>
      </c>
      <c r="AB3125" t="str">
        <f>HYPERLINK("Melting_Curves/meltCurve_Q15036_2_SNX17.pdf", "Melting_Curves/meltCurve_Q15036_2_SNX17.pdf")</f>
        <v>Melting_Curves/meltCurve_Q15036_2_SNX17.pdf</v>
      </c>
    </row>
    <row r="3126" spans="1:28" x14ac:dyDescent="0.25">
      <c r="A3126" t="s">
        <v>3130</v>
      </c>
      <c r="B3126">
        <v>0.99352677808782597</v>
      </c>
      <c r="C3126">
        <v>1.00092684076843</v>
      </c>
      <c r="D3126">
        <v>0.807366127034431</v>
      </c>
      <c r="E3126">
        <v>0.43289052471494899</v>
      </c>
      <c r="F3126">
        <v>0.35875196848304802</v>
      </c>
      <c r="G3126">
        <v>0.23011016926279301</v>
      </c>
      <c r="H3126">
        <v>0.155580350384037</v>
      </c>
      <c r="I3126">
        <v>0.139904021702729</v>
      </c>
      <c r="J3126">
        <v>0.119493585734817</v>
      </c>
      <c r="K3126">
        <v>8.4814392038434799E-2</v>
      </c>
      <c r="L3126">
        <v>877.03730396279798</v>
      </c>
      <c r="M3126">
        <v>17.833836742664399</v>
      </c>
      <c r="N3126">
        <v>49.961399041684501</v>
      </c>
      <c r="O3126">
        <v>48.572427738129001</v>
      </c>
      <c r="P3126">
        <v>-8.0601781687320101E-2</v>
      </c>
      <c r="Q3126">
        <v>0.121933456812663</v>
      </c>
      <c r="R3126">
        <v>0.98882992561951299</v>
      </c>
      <c r="S3126" t="s">
        <v>9411</v>
      </c>
      <c r="T3126" t="s">
        <v>12568</v>
      </c>
      <c r="U3126" t="s">
        <v>12568</v>
      </c>
      <c r="V3126" t="s">
        <v>12568</v>
      </c>
      <c r="W3126" t="s">
        <v>15654</v>
      </c>
      <c r="X3126">
        <v>17</v>
      </c>
      <c r="Y3126" t="s">
        <v>21799</v>
      </c>
      <c r="Z3126" t="s">
        <v>27996</v>
      </c>
      <c r="AA3126">
        <v>0.4060112004727276</v>
      </c>
      <c r="AB3126" t="str">
        <f>HYPERLINK("Melting_Curves/meltCurve_Q15042_RAB3GAP1.pdf", "Melting_Curves/meltCurve_Q15042_RAB3GAP1.pdf")</f>
        <v>Melting_Curves/meltCurve_Q15042_RAB3GAP1.pdf</v>
      </c>
    </row>
    <row r="3127" spans="1:28" x14ac:dyDescent="0.25">
      <c r="A3127" t="s">
        <v>3131</v>
      </c>
      <c r="B3127">
        <v>0.99352677808782597</v>
      </c>
      <c r="C3127">
        <v>1.02121119606176</v>
      </c>
      <c r="D3127">
        <v>0.93255192859161495</v>
      </c>
      <c r="E3127">
        <v>0.76557681244892795</v>
      </c>
      <c r="F3127">
        <v>0.69678698714128195</v>
      </c>
      <c r="G3127">
        <v>0.53428539955217003</v>
      </c>
      <c r="H3127">
        <v>0.34553181692176099</v>
      </c>
      <c r="I3127">
        <v>0.447482922274206</v>
      </c>
      <c r="J3127">
        <v>0.38699653628854502</v>
      </c>
      <c r="K3127">
        <v>0.454507872264728</v>
      </c>
      <c r="L3127">
        <v>879.90929737901502</v>
      </c>
      <c r="M3127">
        <v>16.873377824669099</v>
      </c>
      <c r="N3127">
        <v>57.4220916972439</v>
      </c>
      <c r="O3127">
        <v>51.431842133576801</v>
      </c>
      <c r="P3127">
        <v>-4.9717672007569699E-2</v>
      </c>
      <c r="Q3127">
        <v>0.39385957716064202</v>
      </c>
      <c r="R3127">
        <v>0.96968587529378703</v>
      </c>
      <c r="S3127" t="s">
        <v>9412</v>
      </c>
      <c r="T3127" t="s">
        <v>12568</v>
      </c>
      <c r="U3127" t="s">
        <v>12568</v>
      </c>
      <c r="V3127" t="s">
        <v>12568</v>
      </c>
      <c r="W3127" t="s">
        <v>15655</v>
      </c>
      <c r="X3127">
        <v>1</v>
      </c>
      <c r="Y3127" t="s">
        <v>21800</v>
      </c>
      <c r="Z3127" t="s">
        <v>27997</v>
      </c>
      <c r="AA3127">
        <v>0.65050799143500515</v>
      </c>
      <c r="AB3127" t="str">
        <f>HYPERLINK("Melting_Curves/meltCurve_Q15043_2_SLC39A14.pdf", "Melting_Curves/meltCurve_Q15043_2_SLC39A14.pdf")</f>
        <v>Melting_Curves/meltCurve_Q15043_2_SLC39A14.pdf</v>
      </c>
    </row>
    <row r="3128" spans="1:28" x14ac:dyDescent="0.25">
      <c r="A3128" t="s">
        <v>3132</v>
      </c>
      <c r="B3128">
        <v>0.99352677808782597</v>
      </c>
      <c r="C3128">
        <v>0.99478495638820896</v>
      </c>
      <c r="D3128">
        <v>1.0427294895288</v>
      </c>
      <c r="E3128">
        <v>0.70200859731642296</v>
      </c>
      <c r="F3128">
        <v>0.56927040500985704</v>
      </c>
      <c r="G3128">
        <v>0.32581031003481498</v>
      </c>
      <c r="H3128">
        <v>0.180395350524132</v>
      </c>
      <c r="I3128">
        <v>0.164282219841378</v>
      </c>
      <c r="J3128">
        <v>0.13911808428415201</v>
      </c>
      <c r="K3128">
        <v>9.8293780537963296E-2</v>
      </c>
      <c r="L3128">
        <v>933.457330238081</v>
      </c>
      <c r="M3128">
        <v>17.619607201116899</v>
      </c>
      <c r="N3128">
        <v>53.732471884965499</v>
      </c>
      <c r="O3128">
        <v>52.310020528156201</v>
      </c>
      <c r="P3128">
        <v>-7.4987148150808799E-2</v>
      </c>
      <c r="Q3128">
        <v>0.109544343875617</v>
      </c>
      <c r="R3128">
        <v>0.98819626551453099</v>
      </c>
      <c r="S3128" t="s">
        <v>9413</v>
      </c>
      <c r="T3128" t="s">
        <v>12568</v>
      </c>
      <c r="U3128" t="s">
        <v>12568</v>
      </c>
      <c r="V3128" t="s">
        <v>12568</v>
      </c>
      <c r="W3128" t="s">
        <v>15656</v>
      </c>
      <c r="X3128">
        <v>21</v>
      </c>
      <c r="Y3128" t="s">
        <v>21801</v>
      </c>
      <c r="Z3128" t="s">
        <v>27998</v>
      </c>
      <c r="AA3128">
        <v>0.50985598304413771</v>
      </c>
      <c r="AB3128" t="str">
        <f>HYPERLINK("Melting_Curves/meltCurve_Q15046_KARS.pdf", "Melting_Curves/meltCurve_Q15046_KARS.pdf")</f>
        <v>Melting_Curves/meltCurve_Q15046_KARS.pdf</v>
      </c>
    </row>
    <row r="3129" spans="1:28" x14ac:dyDescent="0.25">
      <c r="A3129" t="s">
        <v>3133</v>
      </c>
      <c r="B3129">
        <v>0.99352677808782597</v>
      </c>
      <c r="C3129">
        <v>1.01621075181542</v>
      </c>
      <c r="D3129">
        <v>0.87947477275153596</v>
      </c>
      <c r="E3129">
        <v>0.44987357309756598</v>
      </c>
      <c r="F3129">
        <v>0.37686320568068499</v>
      </c>
      <c r="G3129">
        <v>0.27095194310752402</v>
      </c>
      <c r="H3129">
        <v>0.210860667212243</v>
      </c>
      <c r="I3129">
        <v>0.195048649715582</v>
      </c>
      <c r="J3129">
        <v>0.191491902835078</v>
      </c>
      <c r="K3129">
        <v>0.16057849231840099</v>
      </c>
      <c r="L3129">
        <v>1135.40878413782</v>
      </c>
      <c r="M3129">
        <v>23.176257723452899</v>
      </c>
      <c r="N3129">
        <v>50.099339635902098</v>
      </c>
      <c r="O3129">
        <v>48.629792215942302</v>
      </c>
      <c r="P3129">
        <v>-9.5237240438990498E-2</v>
      </c>
      <c r="Q3129">
        <v>0.200684618598443</v>
      </c>
      <c r="R3129">
        <v>0.98826221652636004</v>
      </c>
      <c r="S3129" t="s">
        <v>9414</v>
      </c>
      <c r="T3129" t="s">
        <v>12568</v>
      </c>
      <c r="U3129" t="s">
        <v>12568</v>
      </c>
      <c r="V3129" t="s">
        <v>12568</v>
      </c>
      <c r="W3129" t="s">
        <v>15657</v>
      </c>
      <c r="X3129">
        <v>9</v>
      </c>
      <c r="Y3129" t="s">
        <v>21802</v>
      </c>
      <c r="Z3129" t="s">
        <v>27999</v>
      </c>
      <c r="AA3129">
        <v>0.44849624956080308</v>
      </c>
      <c r="AB3129" t="str">
        <f>HYPERLINK("Melting_Curves/meltCurve_Q15047_3_SETDB1.pdf", "Melting_Curves/meltCurve_Q15047_3_SETDB1.pdf")</f>
        <v>Melting_Curves/meltCurve_Q15047_3_SETDB1.pdf</v>
      </c>
    </row>
    <row r="3130" spans="1:28" x14ac:dyDescent="0.25">
      <c r="A3130" t="s">
        <v>3134</v>
      </c>
      <c r="B3130">
        <v>0.99352677808782597</v>
      </c>
      <c r="C3130">
        <v>0.87705777742966495</v>
      </c>
      <c r="D3130">
        <v>0.72551474712212305</v>
      </c>
      <c r="E3130">
        <v>0.28732623466989599</v>
      </c>
      <c r="F3130">
        <v>0.24307624100838901</v>
      </c>
      <c r="G3130">
        <v>0.152636416442406</v>
      </c>
      <c r="H3130">
        <v>0.13535658718336799</v>
      </c>
      <c r="I3130">
        <v>0.13646584552042201</v>
      </c>
      <c r="J3130">
        <v>0.112825730893057</v>
      </c>
      <c r="K3130">
        <v>8.0528351463135597E-2</v>
      </c>
      <c r="L3130">
        <v>993.63873596875203</v>
      </c>
      <c r="M3130">
        <v>20.984174291295901</v>
      </c>
      <c r="N3130">
        <v>47.963777047314899</v>
      </c>
      <c r="O3130">
        <v>46.9280727029332</v>
      </c>
      <c r="P3130">
        <v>-9.8662246466640804E-2</v>
      </c>
      <c r="Q3130">
        <v>0.117448343482361</v>
      </c>
      <c r="R3130">
        <v>0.99239707130278798</v>
      </c>
      <c r="S3130" t="s">
        <v>9415</v>
      </c>
      <c r="T3130" t="s">
        <v>12568</v>
      </c>
      <c r="U3130" t="s">
        <v>12568</v>
      </c>
      <c r="V3130" t="s">
        <v>12568</v>
      </c>
      <c r="W3130" t="s">
        <v>15658</v>
      </c>
      <c r="X3130">
        <v>6</v>
      </c>
      <c r="Y3130" t="s">
        <v>21803</v>
      </c>
      <c r="Z3130" t="s">
        <v>28000</v>
      </c>
      <c r="AA3130">
        <v>0.34521372882557272</v>
      </c>
      <c r="AB3130" t="str">
        <f>HYPERLINK("Melting_Curves/meltCurve_Q15048_LRRC14.pdf", "Melting_Curves/meltCurve_Q15048_LRRC14.pdf")</f>
        <v>Melting_Curves/meltCurve_Q15048_LRRC14.pdf</v>
      </c>
    </row>
    <row r="3131" spans="1:28" x14ac:dyDescent="0.25">
      <c r="A3131" t="s">
        <v>3135</v>
      </c>
      <c r="B3131">
        <v>0.99352677808782597</v>
      </c>
      <c r="C3131">
        <v>0.89711072103751299</v>
      </c>
      <c r="D3131">
        <v>0.83131167665785599</v>
      </c>
      <c r="E3131">
        <v>0.57734908103856997</v>
      </c>
      <c r="F3131">
        <v>0.505674658245998</v>
      </c>
      <c r="G3131">
        <v>0.46408888796398701</v>
      </c>
      <c r="H3131">
        <v>0.40599253031001498</v>
      </c>
      <c r="I3131">
        <v>0.43032862395969301</v>
      </c>
      <c r="J3131">
        <v>0.44690601889849801</v>
      </c>
      <c r="K3131">
        <v>0.38482071284934599</v>
      </c>
      <c r="L3131">
        <v>833.88297594362302</v>
      </c>
      <c r="M3131">
        <v>17.4515256415206</v>
      </c>
      <c r="N3131">
        <v>53.117076958237902</v>
      </c>
      <c r="O3131">
        <v>47.168660997871797</v>
      </c>
      <c r="P3131">
        <v>-5.4266784102061198E-2</v>
      </c>
      <c r="Q3131">
        <v>0.41333549570578998</v>
      </c>
      <c r="R3131">
        <v>0.98880126199795704</v>
      </c>
      <c r="S3131" t="s">
        <v>9416</v>
      </c>
      <c r="T3131" t="s">
        <v>12568</v>
      </c>
      <c r="U3131" t="s">
        <v>12568</v>
      </c>
      <c r="V3131" t="s">
        <v>12568</v>
      </c>
      <c r="W3131" t="s">
        <v>15659</v>
      </c>
      <c r="X3131">
        <v>8</v>
      </c>
      <c r="Y3131" t="s">
        <v>21804</v>
      </c>
      <c r="Z3131" t="s">
        <v>28001</v>
      </c>
      <c r="AA3131">
        <v>0.57671805302385681</v>
      </c>
      <c r="AB3131" t="str">
        <f>HYPERLINK("Melting_Curves/meltCurve_Q15054_POLD3.pdf", "Melting_Curves/meltCurve_Q15054_POLD3.pdf")</f>
        <v>Melting_Curves/meltCurve_Q15054_POLD3.pdf</v>
      </c>
    </row>
    <row r="3132" spans="1:28" x14ac:dyDescent="0.25">
      <c r="A3132" t="s">
        <v>3136</v>
      </c>
      <c r="B3132">
        <v>0.99352677808782597</v>
      </c>
      <c r="C3132">
        <v>0.95884791793310298</v>
      </c>
      <c r="D3132">
        <v>0.98286278965226903</v>
      </c>
      <c r="E3132">
        <v>0.93542518432334898</v>
      </c>
      <c r="F3132">
        <v>0.97541518053618104</v>
      </c>
      <c r="G3132">
        <v>0.93251731130260895</v>
      </c>
      <c r="H3132">
        <v>0.81941712694949398</v>
      </c>
      <c r="I3132">
        <v>0.96742148521637095</v>
      </c>
      <c r="J3132">
        <v>0.92128810749025403</v>
      </c>
      <c r="K3132">
        <v>0.82297558525812198</v>
      </c>
      <c r="L3132">
        <v>216.48310964375</v>
      </c>
      <c r="M3132">
        <v>1.2396941412642399</v>
      </c>
      <c r="Q3132">
        <v>0</v>
      </c>
      <c r="R3132">
        <v>0.46062547296939599</v>
      </c>
      <c r="S3132" t="s">
        <v>9417</v>
      </c>
      <c r="T3132" t="s">
        <v>12568</v>
      </c>
      <c r="U3132" t="s">
        <v>12568</v>
      </c>
      <c r="V3132" t="s">
        <v>12568</v>
      </c>
      <c r="W3132" t="s">
        <v>15660</v>
      </c>
      <c r="X3132">
        <v>25</v>
      </c>
      <c r="Y3132" t="s">
        <v>21805</v>
      </c>
      <c r="Z3132" t="s">
        <v>28002</v>
      </c>
      <c r="AA3132">
        <v>0.93271340316985074</v>
      </c>
      <c r="AB3132" t="str">
        <f>HYPERLINK("Melting_Curves/meltCurve_Q15056_EIF4H.pdf", "Melting_Curves/meltCurve_Q15056_EIF4H.pdf")</f>
        <v>Melting_Curves/meltCurve_Q15056_EIF4H.pdf</v>
      </c>
    </row>
    <row r="3133" spans="1:28" x14ac:dyDescent="0.25">
      <c r="A3133" t="s">
        <v>3137</v>
      </c>
      <c r="B3133">
        <v>0.99352677808782597</v>
      </c>
      <c r="C3133">
        <v>0.94902488795139495</v>
      </c>
      <c r="D3133">
        <v>1.0121428245563799</v>
      </c>
      <c r="E3133">
        <v>0.91701430337423195</v>
      </c>
      <c r="F3133">
        <v>0.83375923331444801</v>
      </c>
      <c r="G3133">
        <v>0.70837238754548604</v>
      </c>
      <c r="H3133">
        <v>0.64852622873903698</v>
      </c>
      <c r="I3133">
        <v>0.69350777806263797</v>
      </c>
      <c r="J3133">
        <v>0.72778666795616798</v>
      </c>
      <c r="K3133">
        <v>0.58905359761951803</v>
      </c>
      <c r="L3133">
        <v>1199.98571900248</v>
      </c>
      <c r="M3133">
        <v>22.689169879615001</v>
      </c>
      <c r="O3133">
        <v>52.4823488448082</v>
      </c>
      <c r="P3133">
        <v>-3.6988026518020502E-2</v>
      </c>
      <c r="Q3133">
        <v>0.657778595830535</v>
      </c>
      <c r="R3133">
        <v>0.933183883203483</v>
      </c>
      <c r="S3133" t="s">
        <v>9418</v>
      </c>
      <c r="T3133" t="s">
        <v>12568</v>
      </c>
      <c r="U3133" t="s">
        <v>12568</v>
      </c>
      <c r="V3133" t="s">
        <v>12568</v>
      </c>
      <c r="W3133" t="s">
        <v>15661</v>
      </c>
      <c r="X3133">
        <v>23</v>
      </c>
      <c r="Y3133" t="s">
        <v>21805</v>
      </c>
      <c r="Z3133" t="s">
        <v>28003</v>
      </c>
      <c r="AA3133">
        <v>0.80856554069027953</v>
      </c>
      <c r="AB3133" t="str">
        <f>HYPERLINK("Melting_Curves/meltCurve_Q15056_2_EIF4H.pdf", "Melting_Curves/meltCurve_Q15056_2_EIF4H.pdf")</f>
        <v>Melting_Curves/meltCurve_Q15056_2_EIF4H.pdf</v>
      </c>
    </row>
    <row r="3134" spans="1:28" x14ac:dyDescent="0.25">
      <c r="A3134" t="s">
        <v>3138</v>
      </c>
      <c r="B3134">
        <v>0.99352677808782597</v>
      </c>
      <c r="C3134">
        <v>0.988112929219926</v>
      </c>
      <c r="D3134">
        <v>0.93211123824151398</v>
      </c>
      <c r="E3134">
        <v>0.35361746771915498</v>
      </c>
      <c r="F3134">
        <v>0.30572007542968399</v>
      </c>
      <c r="G3134">
        <v>0.17832388954539</v>
      </c>
      <c r="H3134">
        <v>0.1054049658283</v>
      </c>
      <c r="I3134">
        <v>8.8236743691381306E-2</v>
      </c>
      <c r="J3134">
        <v>7.0940614403608104E-2</v>
      </c>
      <c r="K3134">
        <v>5.94342146196754E-2</v>
      </c>
      <c r="L3134">
        <v>1324.2234372441301</v>
      </c>
      <c r="M3134">
        <v>27.0167996200781</v>
      </c>
      <c r="N3134">
        <v>49.4404482431801</v>
      </c>
      <c r="O3134">
        <v>48.748634550705397</v>
      </c>
      <c r="P3134">
        <v>-0.124176886786406</v>
      </c>
      <c r="Q3134">
        <v>0.10375855853495899</v>
      </c>
      <c r="R3134">
        <v>0.98160373483027796</v>
      </c>
      <c r="S3134" t="s">
        <v>9419</v>
      </c>
      <c r="T3134" t="s">
        <v>12568</v>
      </c>
      <c r="U3134" t="s">
        <v>12568</v>
      </c>
      <c r="V3134" t="s">
        <v>12568</v>
      </c>
      <c r="W3134" t="s">
        <v>15662</v>
      </c>
      <c r="X3134">
        <v>20</v>
      </c>
      <c r="Y3134" t="s">
        <v>21806</v>
      </c>
      <c r="Z3134" t="s">
        <v>28004</v>
      </c>
      <c r="AA3134">
        <v>0.3798437023388444</v>
      </c>
      <c r="AB3134" t="str">
        <f>HYPERLINK("Melting_Curves/meltCurve_Q15057_ACAP2.pdf", "Melting_Curves/meltCurve_Q15057_ACAP2.pdf")</f>
        <v>Melting_Curves/meltCurve_Q15057_ACAP2.pdf</v>
      </c>
    </row>
    <row r="3135" spans="1:28" x14ac:dyDescent="0.25">
      <c r="A3135" t="s">
        <v>3139</v>
      </c>
      <c r="B3135">
        <v>0.99352677808782597</v>
      </c>
      <c r="C3135">
        <v>0.87872288667786502</v>
      </c>
      <c r="D3135">
        <v>0.83777127562079601</v>
      </c>
      <c r="E3135">
        <v>0.56370558623048195</v>
      </c>
      <c r="F3135">
        <v>0.58276368237802001</v>
      </c>
      <c r="G3135">
        <v>0.40439516365423001</v>
      </c>
      <c r="H3135">
        <v>0.309068211641913</v>
      </c>
      <c r="I3135">
        <v>0.33885986921474298</v>
      </c>
      <c r="J3135">
        <v>0.31226746353233398</v>
      </c>
      <c r="K3135">
        <v>0.25822305617201502</v>
      </c>
      <c r="L3135">
        <v>563.18494948667797</v>
      </c>
      <c r="M3135">
        <v>11.2094929376553</v>
      </c>
      <c r="N3135">
        <v>53.577158342472998</v>
      </c>
      <c r="O3135">
        <v>48.722390206965002</v>
      </c>
      <c r="P3135">
        <v>-4.3084166885585397E-2</v>
      </c>
      <c r="Q3135">
        <v>0.25116855405689498</v>
      </c>
      <c r="R3135">
        <v>0.97733910356471498</v>
      </c>
      <c r="S3135" t="s">
        <v>9420</v>
      </c>
      <c r="T3135" t="s">
        <v>12568</v>
      </c>
      <c r="U3135" t="s">
        <v>12568</v>
      </c>
      <c r="V3135" t="s">
        <v>12568</v>
      </c>
      <c r="W3135" t="s">
        <v>15663</v>
      </c>
      <c r="X3135">
        <v>12</v>
      </c>
      <c r="Y3135" t="s">
        <v>21807</v>
      </c>
      <c r="Z3135" t="s">
        <v>28005</v>
      </c>
      <c r="AA3135">
        <v>0.53511096159157534</v>
      </c>
      <c r="AB3135" t="str">
        <f>HYPERLINK("Melting_Curves/meltCurve_Q15058_KIF14.pdf", "Melting_Curves/meltCurve_Q15058_KIF14.pdf")</f>
        <v>Melting_Curves/meltCurve_Q15058_KIF14.pdf</v>
      </c>
    </row>
    <row r="3136" spans="1:28" x14ac:dyDescent="0.25">
      <c r="A3136" t="s">
        <v>3140</v>
      </c>
      <c r="B3136">
        <v>0.99352677808782597</v>
      </c>
      <c r="C3136">
        <v>0.93665788007380002</v>
      </c>
      <c r="D3136">
        <v>0.96294623565116799</v>
      </c>
      <c r="E3136">
        <v>0.52199152909215496</v>
      </c>
      <c r="F3136">
        <v>0.43998785303729299</v>
      </c>
      <c r="G3136">
        <v>0.33060660619369098</v>
      </c>
      <c r="H3136">
        <v>0.298984212713861</v>
      </c>
      <c r="I3136">
        <v>0.34008055612674698</v>
      </c>
      <c r="J3136">
        <v>0.31299098242389001</v>
      </c>
      <c r="K3136">
        <v>0.27854310197266102</v>
      </c>
      <c r="L3136">
        <v>1486.3378213654701</v>
      </c>
      <c r="M3136">
        <v>30.309941243392</v>
      </c>
      <c r="N3136">
        <v>50.714073094828201</v>
      </c>
      <c r="O3136">
        <v>48.825989049147303</v>
      </c>
      <c r="P3136">
        <v>-0.106093935218316</v>
      </c>
      <c r="Q3136">
        <v>0.31638152897503102</v>
      </c>
      <c r="R3136">
        <v>0.98475946309496998</v>
      </c>
      <c r="S3136" t="s">
        <v>9421</v>
      </c>
      <c r="T3136" t="s">
        <v>12568</v>
      </c>
      <c r="U3136" t="s">
        <v>12568</v>
      </c>
      <c r="V3136" t="s">
        <v>12568</v>
      </c>
      <c r="W3136" t="s">
        <v>15664</v>
      </c>
      <c r="X3136">
        <v>16</v>
      </c>
      <c r="Y3136" t="s">
        <v>21808</v>
      </c>
      <c r="Z3136" t="s">
        <v>28006</v>
      </c>
      <c r="AA3136">
        <v>0.52641132067796814</v>
      </c>
      <c r="AB3136" t="str">
        <f>HYPERLINK("Melting_Curves/meltCurve_Q15059_BRD3.pdf", "Melting_Curves/meltCurve_Q15059_BRD3.pdf")</f>
        <v>Melting_Curves/meltCurve_Q15059_BRD3.pdf</v>
      </c>
    </row>
    <row r="3137" spans="1:28" x14ac:dyDescent="0.25">
      <c r="A3137" t="s">
        <v>3141</v>
      </c>
      <c r="B3137">
        <v>0.99352677808782597</v>
      </c>
      <c r="C3137">
        <v>0.99912951178396903</v>
      </c>
      <c r="D3137">
        <v>1.08891926875467</v>
      </c>
      <c r="E3137">
        <v>0.93994572668899201</v>
      </c>
      <c r="F3137">
        <v>0.842111634497131</v>
      </c>
      <c r="G3137">
        <v>0.60415744253842696</v>
      </c>
      <c r="H3137">
        <v>0.29824515920311501</v>
      </c>
      <c r="I3137">
        <v>0.17357536927407899</v>
      </c>
      <c r="J3137">
        <v>0.11978323556621499</v>
      </c>
      <c r="K3137">
        <v>8.5538061191393899E-2</v>
      </c>
      <c r="L3137">
        <v>1115.7678124074901</v>
      </c>
      <c r="M3137">
        <v>19.308669213401899</v>
      </c>
      <c r="N3137">
        <v>58.123181260786097</v>
      </c>
      <c r="O3137">
        <v>57.176731683065597</v>
      </c>
      <c r="P3137">
        <v>-7.9953357696739003E-2</v>
      </c>
      <c r="Q3137">
        <v>5.3005546286206399E-2</v>
      </c>
      <c r="R3137">
        <v>0.99329229573875499</v>
      </c>
      <c r="S3137" t="s">
        <v>9422</v>
      </c>
      <c r="T3137" t="s">
        <v>12568</v>
      </c>
      <c r="U3137" t="s">
        <v>12568</v>
      </c>
      <c r="V3137" t="s">
        <v>12568</v>
      </c>
      <c r="W3137" t="s">
        <v>15665</v>
      </c>
      <c r="X3137">
        <v>5</v>
      </c>
      <c r="Y3137" t="s">
        <v>21809</v>
      </c>
      <c r="Z3137" t="s">
        <v>28007</v>
      </c>
      <c r="AA3137">
        <v>0.62576251820836404</v>
      </c>
      <c r="AB3137" t="str">
        <f>HYPERLINK("Melting_Curves/meltCurve_Q15061_WDR43.pdf", "Melting_Curves/meltCurve_Q15061_WDR43.pdf")</f>
        <v>Melting_Curves/meltCurve_Q15061_WDR43.pdf</v>
      </c>
    </row>
    <row r="3138" spans="1:28" x14ac:dyDescent="0.25">
      <c r="A3138" t="s">
        <v>3142</v>
      </c>
      <c r="B3138">
        <v>0.99352677808782597</v>
      </c>
      <c r="C3138">
        <v>1.0254664023072899</v>
      </c>
      <c r="D3138">
        <v>0.96990722584292299</v>
      </c>
      <c r="E3138">
        <v>0.90138225289766505</v>
      </c>
      <c r="F3138">
        <v>0.83961623295190002</v>
      </c>
      <c r="G3138">
        <v>0.61139965494020598</v>
      </c>
      <c r="H3138">
        <v>0.88556474805071295</v>
      </c>
      <c r="I3138">
        <v>0.86995003164181295</v>
      </c>
      <c r="J3138">
        <v>1.1916216366413499</v>
      </c>
      <c r="K3138">
        <v>0.80718516544385299</v>
      </c>
      <c r="L3138">
        <v>2000.2172131530699</v>
      </c>
      <c r="M3138">
        <v>41.8772798409694</v>
      </c>
      <c r="O3138">
        <v>47.655254862725997</v>
      </c>
      <c r="P3138">
        <v>-2.87240961450183E-2</v>
      </c>
      <c r="Q3138">
        <v>0.86925114405108805</v>
      </c>
      <c r="R3138">
        <v>0.15952916151478999</v>
      </c>
      <c r="S3138" t="s">
        <v>9423</v>
      </c>
      <c r="T3138" t="s">
        <v>12568</v>
      </c>
      <c r="U3138" t="s">
        <v>12568</v>
      </c>
      <c r="V3138" t="s">
        <v>12568</v>
      </c>
      <c r="W3138" t="s">
        <v>15666</v>
      </c>
      <c r="X3138">
        <v>89</v>
      </c>
      <c r="Y3138" t="s">
        <v>21810</v>
      </c>
      <c r="Z3138" t="s">
        <v>28008</v>
      </c>
      <c r="AA3138">
        <v>0.90348261082686665</v>
      </c>
      <c r="AB3138" t="str">
        <f>HYPERLINK("Melting_Curves/meltCurve_Q15075_EEA1.pdf", "Melting_Curves/meltCurve_Q15075_EEA1.pdf")</f>
        <v>Melting_Curves/meltCurve_Q15075_EEA1.pdf</v>
      </c>
    </row>
    <row r="3139" spans="1:28" x14ac:dyDescent="0.25">
      <c r="A3139" t="s">
        <v>3143</v>
      </c>
      <c r="B3139">
        <v>0.99352677808782597</v>
      </c>
      <c r="C3139">
        <v>0.94633264144257101</v>
      </c>
      <c r="D3139">
        <v>0.78687469030920398</v>
      </c>
      <c r="E3139">
        <v>0.28163399228606101</v>
      </c>
      <c r="F3139">
        <v>0.21246378855942999</v>
      </c>
      <c r="G3139">
        <v>0.12648957038470299</v>
      </c>
      <c r="H3139">
        <v>9.38939641641508E-2</v>
      </c>
      <c r="I3139">
        <v>8.7082475195798301E-2</v>
      </c>
      <c r="J3139">
        <v>8.3427220018707796E-2</v>
      </c>
      <c r="K3139">
        <v>6.0591720023272101E-2</v>
      </c>
      <c r="L3139">
        <v>1239.21741896207</v>
      </c>
      <c r="M3139">
        <v>25.8730898085939</v>
      </c>
      <c r="N3139">
        <v>48.270802631277803</v>
      </c>
      <c r="O3139">
        <v>47.612617879381503</v>
      </c>
      <c r="P3139">
        <v>-0.12349084356284799</v>
      </c>
      <c r="Q3139">
        <v>9.1000952236582597E-2</v>
      </c>
      <c r="R3139">
        <v>0.99533570405093597</v>
      </c>
      <c r="S3139" t="s">
        <v>9424</v>
      </c>
      <c r="T3139" t="s">
        <v>12568</v>
      </c>
      <c r="U3139" t="s">
        <v>12568</v>
      </c>
      <c r="V3139" t="s">
        <v>12568</v>
      </c>
      <c r="W3139" t="s">
        <v>15667</v>
      </c>
      <c r="X3139">
        <v>14</v>
      </c>
      <c r="Y3139" t="s">
        <v>21811</v>
      </c>
      <c r="Z3139" t="s">
        <v>28009</v>
      </c>
      <c r="AA3139">
        <v>0.33771986394419451</v>
      </c>
      <c r="AB3139" t="str">
        <f>HYPERLINK("Melting_Curves/meltCurve_Q15102_PAFAH1B3.pdf", "Melting_Curves/meltCurve_Q15102_PAFAH1B3.pdf")</f>
        <v>Melting_Curves/meltCurve_Q15102_PAFAH1B3.pdf</v>
      </c>
    </row>
    <row r="3140" spans="1:28" x14ac:dyDescent="0.25">
      <c r="A3140" t="s">
        <v>3144</v>
      </c>
      <c r="B3140">
        <v>0.99352677808782597</v>
      </c>
      <c r="C3140">
        <v>0.89567361004785995</v>
      </c>
      <c r="D3140">
        <v>0.90957694635411601</v>
      </c>
      <c r="E3140">
        <v>0.25118417263939402</v>
      </c>
      <c r="F3140">
        <v>0.195041018328141</v>
      </c>
      <c r="G3140">
        <v>0.14631413469380899</v>
      </c>
      <c r="H3140">
        <v>8.4309128315907103E-2</v>
      </c>
      <c r="I3140">
        <v>9.2952817236129207E-2</v>
      </c>
      <c r="J3140">
        <v>6.1909047223865303E-2</v>
      </c>
      <c r="K3140">
        <v>7.30333091337068E-2</v>
      </c>
      <c r="L3140">
        <v>1932.1246373957499</v>
      </c>
      <c r="M3140">
        <v>40.070185703861299</v>
      </c>
      <c r="N3140">
        <v>48.4929774708216</v>
      </c>
      <c r="O3140">
        <v>48.098860166454799</v>
      </c>
      <c r="P3140">
        <v>-0.18713890069848099</v>
      </c>
      <c r="Q3140">
        <v>0.10146128026066099</v>
      </c>
      <c r="R3140">
        <v>0.98543245721775197</v>
      </c>
      <c r="S3140" t="s">
        <v>9425</v>
      </c>
      <c r="T3140" t="s">
        <v>12568</v>
      </c>
      <c r="U3140" t="s">
        <v>12568</v>
      </c>
      <c r="V3140" t="s">
        <v>12568</v>
      </c>
      <c r="W3140" t="s">
        <v>15668</v>
      </c>
      <c r="X3140">
        <v>1</v>
      </c>
      <c r="Y3140" t="s">
        <v>21812</v>
      </c>
      <c r="Z3140" t="s">
        <v>28010</v>
      </c>
      <c r="AA3140">
        <v>0.35060738622658222</v>
      </c>
      <c r="AB3140" t="str">
        <f>HYPERLINK("Melting_Curves/meltCurve_Q15120_PDK3.pdf", "Melting_Curves/meltCurve_Q15120_PDK3.pdf")</f>
        <v>Melting_Curves/meltCurve_Q15120_PDK3.pdf</v>
      </c>
    </row>
    <row r="3141" spans="1:28" x14ac:dyDescent="0.25">
      <c r="A3141" t="s">
        <v>3145</v>
      </c>
      <c r="B3141">
        <v>0.99352677808782597</v>
      </c>
      <c r="C3141">
        <v>0.96841602162490703</v>
      </c>
      <c r="D3141">
        <v>0.95667117798477397</v>
      </c>
      <c r="E3141">
        <v>0.88538310297617995</v>
      </c>
      <c r="F3141">
        <v>0.83004833213381102</v>
      </c>
      <c r="G3141">
        <v>0.75374526894654204</v>
      </c>
      <c r="H3141">
        <v>0.65015680061179804</v>
      </c>
      <c r="I3141">
        <v>0.74977531702674705</v>
      </c>
      <c r="J3141">
        <v>0.66877642448646202</v>
      </c>
      <c r="K3141">
        <v>0.60852443094251296</v>
      </c>
      <c r="L3141">
        <v>567.72943631617295</v>
      </c>
      <c r="M3141">
        <v>10.481567100473001</v>
      </c>
      <c r="O3141">
        <v>52.304367920507403</v>
      </c>
      <c r="P3141">
        <v>-1.9502223889007402E-2</v>
      </c>
      <c r="Q3141">
        <v>0.610883635837705</v>
      </c>
      <c r="R3141">
        <v>0.945117460172609</v>
      </c>
      <c r="S3141" t="s">
        <v>9426</v>
      </c>
      <c r="T3141" t="s">
        <v>12568</v>
      </c>
      <c r="U3141" t="s">
        <v>12568</v>
      </c>
      <c r="V3141" t="s">
        <v>12568</v>
      </c>
      <c r="W3141" t="s">
        <v>15669</v>
      </c>
      <c r="X3141">
        <v>8</v>
      </c>
      <c r="Y3141" t="s">
        <v>21813</v>
      </c>
      <c r="Z3141" t="s">
        <v>28011</v>
      </c>
      <c r="AA3141">
        <v>0.8057387825746114</v>
      </c>
      <c r="AB3141" t="str">
        <f>HYPERLINK("Melting_Curves/meltCurve_Q15121_PEA15.pdf", "Melting_Curves/meltCurve_Q15121_PEA15.pdf")</f>
        <v>Melting_Curves/meltCurve_Q15121_PEA15.pdf</v>
      </c>
    </row>
    <row r="3142" spans="1:28" x14ac:dyDescent="0.25">
      <c r="A3142" t="s">
        <v>3146</v>
      </c>
      <c r="B3142">
        <v>0.99352677808782597</v>
      </c>
      <c r="C3142">
        <v>0.85454479979049702</v>
      </c>
      <c r="D3142">
        <v>0.80982389765181995</v>
      </c>
      <c r="E3142">
        <v>0.19744336621497199</v>
      </c>
      <c r="F3142">
        <v>0.142864879605343</v>
      </c>
      <c r="G3142">
        <v>8.3552740682097296E-2</v>
      </c>
      <c r="H3142">
        <v>6.3634995196930694E-2</v>
      </c>
      <c r="I3142">
        <v>5.6904710670436197E-2</v>
      </c>
      <c r="J3142">
        <v>5.3208409678570802E-2</v>
      </c>
      <c r="K3142">
        <v>3.9168516149325497E-2</v>
      </c>
      <c r="L3142">
        <v>1473.0376701011101</v>
      </c>
      <c r="M3142">
        <v>30.914948088471899</v>
      </c>
      <c r="N3142">
        <v>47.848290795260297</v>
      </c>
      <c r="O3142">
        <v>47.450032431815202</v>
      </c>
      <c r="P3142">
        <v>-0.15300007535445301</v>
      </c>
      <c r="Q3142">
        <v>6.0672332816128001E-2</v>
      </c>
      <c r="R3142">
        <v>0.98564903477586396</v>
      </c>
      <c r="S3142" t="s">
        <v>9427</v>
      </c>
      <c r="T3142" t="s">
        <v>12568</v>
      </c>
      <c r="U3142" t="s">
        <v>12568</v>
      </c>
      <c r="V3142" t="s">
        <v>12568</v>
      </c>
      <c r="W3142" t="s">
        <v>15670</v>
      </c>
      <c r="X3142">
        <v>17</v>
      </c>
      <c r="Y3142" t="s">
        <v>21814</v>
      </c>
      <c r="Z3142" t="s">
        <v>28012</v>
      </c>
      <c r="AA3142">
        <v>0.30543426052687328</v>
      </c>
      <c r="AB3142" t="str">
        <f>HYPERLINK("Melting_Curves/meltCurve_Q15126_PMVK.pdf", "Melting_Curves/meltCurve_Q15126_PMVK.pdf")</f>
        <v>Melting_Curves/meltCurve_Q15126_PMVK.pdf</v>
      </c>
    </row>
    <row r="3143" spans="1:28" x14ac:dyDescent="0.25">
      <c r="A3143" t="s">
        <v>3147</v>
      </c>
      <c r="B3143">
        <v>0.99352677808782597</v>
      </c>
      <c r="C3143">
        <v>0.99220533451104398</v>
      </c>
      <c r="D3143">
        <v>0.82124497530644103</v>
      </c>
      <c r="E3143">
        <v>0.43869527331112201</v>
      </c>
      <c r="F3143">
        <v>0.29096897089136797</v>
      </c>
      <c r="G3143">
        <v>0.17886896412119899</v>
      </c>
      <c r="H3143">
        <v>0.13167607195488201</v>
      </c>
      <c r="I3143">
        <v>2.4159404485295601E-2</v>
      </c>
      <c r="J3143">
        <v>4.7962629194308902E-2</v>
      </c>
      <c r="K3143">
        <v>0</v>
      </c>
      <c r="L3143">
        <v>860.79049822468198</v>
      </c>
      <c r="M3143">
        <v>17.3413036823829</v>
      </c>
      <c r="N3143">
        <v>49.877822576049802</v>
      </c>
      <c r="O3143">
        <v>48.992182756052799</v>
      </c>
      <c r="P3143">
        <v>-8.4957791773600702E-2</v>
      </c>
      <c r="Q3143">
        <v>3.9973029186442501E-2</v>
      </c>
      <c r="R3143">
        <v>0.99009487629936299</v>
      </c>
      <c r="S3143" t="s">
        <v>9428</v>
      </c>
      <c r="T3143" t="s">
        <v>12568</v>
      </c>
      <c r="U3143" t="s">
        <v>12568</v>
      </c>
      <c r="V3143" t="s">
        <v>12568</v>
      </c>
      <c r="W3143" t="s">
        <v>15671</v>
      </c>
      <c r="X3143">
        <v>2</v>
      </c>
      <c r="Y3143" t="s">
        <v>21815</v>
      </c>
      <c r="Z3143" t="s">
        <v>28013</v>
      </c>
      <c r="AA3143">
        <v>0.36607963564777879</v>
      </c>
      <c r="AB3143" t="str">
        <f>HYPERLINK("Melting_Curves/meltCurve_Q15139_PRKD1.pdf", "Melting_Curves/meltCurve_Q15139_PRKD1.pdf")</f>
        <v>Melting_Curves/meltCurve_Q15139_PRKD1.pdf</v>
      </c>
    </row>
    <row r="3144" spans="1:28" x14ac:dyDescent="0.25">
      <c r="A3144" t="s">
        <v>3148</v>
      </c>
      <c r="B3144">
        <v>0.99352677808782597</v>
      </c>
      <c r="C3144">
        <v>0.95154914697813098</v>
      </c>
      <c r="D3144">
        <v>0.91686362763600004</v>
      </c>
      <c r="E3144">
        <v>0.60007877798573495</v>
      </c>
      <c r="F3144">
        <v>0.54347726274257901</v>
      </c>
      <c r="G3144">
        <v>0.23240391972058</v>
      </c>
      <c r="H3144">
        <v>0.163322711539719</v>
      </c>
      <c r="I3144">
        <v>0.17703138385508099</v>
      </c>
      <c r="J3144">
        <v>0.123191075134644</v>
      </c>
      <c r="K3144">
        <v>0.12049021362847</v>
      </c>
      <c r="L3144">
        <v>795.77551209456101</v>
      </c>
      <c r="M3144">
        <v>15.3982582960892</v>
      </c>
      <c r="N3144">
        <v>52.465076553832397</v>
      </c>
      <c r="O3144">
        <v>50.8314874538232</v>
      </c>
      <c r="P3144">
        <v>-6.7941713854568195E-2</v>
      </c>
      <c r="Q3144">
        <v>0.102946976375659</v>
      </c>
      <c r="R3144">
        <v>0.98798879158828501</v>
      </c>
      <c r="S3144" t="s">
        <v>9429</v>
      </c>
      <c r="T3144" t="s">
        <v>12568</v>
      </c>
      <c r="U3144" t="s">
        <v>12568</v>
      </c>
      <c r="V3144" t="s">
        <v>12568</v>
      </c>
      <c r="W3144" t="s">
        <v>15672</v>
      </c>
      <c r="X3144">
        <v>7</v>
      </c>
      <c r="Y3144" t="s">
        <v>21816</v>
      </c>
      <c r="Z3144" t="s">
        <v>28014</v>
      </c>
      <c r="AA3144">
        <v>0.47163903334626939</v>
      </c>
      <c r="AB3144" t="str">
        <f>HYPERLINK("Melting_Curves/meltCurve_Q15147_4_PLCB4.pdf", "Melting_Curves/meltCurve_Q15147_4_PLCB4.pdf")</f>
        <v>Melting_Curves/meltCurve_Q15147_4_PLCB4.pdf</v>
      </c>
    </row>
    <row r="3145" spans="1:28" x14ac:dyDescent="0.25">
      <c r="A3145" t="s">
        <v>3149</v>
      </c>
      <c r="B3145">
        <v>0.99352677808782597</v>
      </c>
      <c r="C3145">
        <v>1.00174024267768</v>
      </c>
      <c r="D3145">
        <v>0.95817557759880201</v>
      </c>
      <c r="E3145">
        <v>0.64634747912260104</v>
      </c>
      <c r="F3145">
        <v>0.56650214515092601</v>
      </c>
      <c r="G3145">
        <v>0.331525322640916</v>
      </c>
      <c r="H3145">
        <v>0.238611262815831</v>
      </c>
      <c r="I3145">
        <v>0.23029994925914399</v>
      </c>
      <c r="J3145">
        <v>0.21429427938307</v>
      </c>
      <c r="K3145">
        <v>0.167288461257139</v>
      </c>
      <c r="L3145">
        <v>847.54569030909897</v>
      </c>
      <c r="M3145">
        <v>16.323362644685599</v>
      </c>
      <c r="N3145">
        <v>53.383201318717298</v>
      </c>
      <c r="O3145">
        <v>51.161745210828997</v>
      </c>
      <c r="P3145">
        <v>-6.5399624788309504E-2</v>
      </c>
      <c r="Q3145">
        <v>0.180140416484357</v>
      </c>
      <c r="R3145">
        <v>0.99012157181003901</v>
      </c>
      <c r="S3145" t="s">
        <v>9430</v>
      </c>
      <c r="T3145" t="s">
        <v>12568</v>
      </c>
      <c r="U3145" t="s">
        <v>12568</v>
      </c>
      <c r="V3145" t="s">
        <v>12568</v>
      </c>
      <c r="W3145" t="s">
        <v>15673</v>
      </c>
      <c r="X3145">
        <v>190</v>
      </c>
      <c r="Y3145" t="s">
        <v>21817</v>
      </c>
      <c r="Z3145" t="s">
        <v>28015</v>
      </c>
      <c r="AA3145">
        <v>0.52203832772335079</v>
      </c>
      <c r="AB3145" t="str">
        <f>HYPERLINK("Melting_Curves/meltCurve_Q15149_PLEC.pdf", "Melting_Curves/meltCurve_Q15149_PLEC.pdf")</f>
        <v>Melting_Curves/meltCurve_Q15149_PLEC.pdf</v>
      </c>
    </row>
    <row r="3146" spans="1:28" x14ac:dyDescent="0.25">
      <c r="A3146" t="s">
        <v>3150</v>
      </c>
      <c r="B3146">
        <v>0.99352677808782597</v>
      </c>
      <c r="C3146">
        <v>1.02924339400154</v>
      </c>
      <c r="D3146">
        <v>0.86576682057473597</v>
      </c>
      <c r="E3146">
        <v>0.61086554821159</v>
      </c>
      <c r="F3146">
        <v>0.50281398307335401</v>
      </c>
      <c r="G3146">
        <v>0.30513765426302802</v>
      </c>
      <c r="H3146">
        <v>0.145152805494765</v>
      </c>
      <c r="I3146">
        <v>0.10808417428318701</v>
      </c>
      <c r="J3146">
        <v>9.0382902493194903E-2</v>
      </c>
      <c r="K3146">
        <v>6.5432065362738004E-2</v>
      </c>
      <c r="L3146">
        <v>705.05631197276102</v>
      </c>
      <c r="M3146">
        <v>13.472458564640601</v>
      </c>
      <c r="N3146">
        <v>52.6404867265855</v>
      </c>
      <c r="O3146">
        <v>51.220515339090802</v>
      </c>
      <c r="P3146">
        <v>-6.3279893951568703E-2</v>
      </c>
      <c r="Q3146">
        <v>3.78208440017897E-2</v>
      </c>
      <c r="R3146">
        <v>0.99205719179499896</v>
      </c>
      <c r="S3146" t="s">
        <v>9431</v>
      </c>
      <c r="T3146" t="s">
        <v>12568</v>
      </c>
      <c r="U3146" t="s">
        <v>12568</v>
      </c>
      <c r="V3146" t="s">
        <v>12568</v>
      </c>
      <c r="W3146" t="s">
        <v>15674</v>
      </c>
      <c r="X3146">
        <v>186</v>
      </c>
      <c r="Y3146" t="s">
        <v>21817</v>
      </c>
      <c r="Z3146" t="s">
        <v>28016</v>
      </c>
      <c r="AA3146">
        <v>0.45814642091553182</v>
      </c>
      <c r="AB3146" t="str">
        <f>HYPERLINK("Melting_Curves/meltCurve_Q15149_3_PLEC.pdf", "Melting_Curves/meltCurve_Q15149_3_PLEC.pdf")</f>
        <v>Melting_Curves/meltCurve_Q15149_3_PLEC.pdf</v>
      </c>
    </row>
    <row r="3147" spans="1:28" x14ac:dyDescent="0.25">
      <c r="A3147" t="s">
        <v>3151</v>
      </c>
      <c r="B3147">
        <v>0.99352677808782597</v>
      </c>
      <c r="C3147">
        <v>1.0291247238815899</v>
      </c>
      <c r="D3147">
        <v>0.99884027573689105</v>
      </c>
      <c r="E3147">
        <v>0.72768601002119704</v>
      </c>
      <c r="F3147">
        <v>0.62290090924651698</v>
      </c>
      <c r="G3147">
        <v>0.40029432025234402</v>
      </c>
      <c r="H3147">
        <v>0.19247431435884399</v>
      </c>
      <c r="I3147">
        <v>0.176843538375663</v>
      </c>
      <c r="J3147">
        <v>0.146295961548915</v>
      </c>
      <c r="K3147">
        <v>0.14007659844966899</v>
      </c>
      <c r="L3147">
        <v>849.30842834650196</v>
      </c>
      <c r="M3147">
        <v>15.7948202549684</v>
      </c>
      <c r="N3147">
        <v>54.6206635841543</v>
      </c>
      <c r="O3147">
        <v>52.9315310041898</v>
      </c>
      <c r="P3147">
        <v>-6.6482909388348499E-2</v>
      </c>
      <c r="Q3147">
        <v>0.108884610456476</v>
      </c>
      <c r="R3147">
        <v>0.99054904766896901</v>
      </c>
      <c r="S3147" t="s">
        <v>9432</v>
      </c>
      <c r="T3147" t="s">
        <v>12568</v>
      </c>
      <c r="U3147" t="s">
        <v>12568</v>
      </c>
      <c r="V3147" t="s">
        <v>12568</v>
      </c>
      <c r="W3147" t="s">
        <v>15675</v>
      </c>
      <c r="X3147">
        <v>188</v>
      </c>
      <c r="Y3147" t="s">
        <v>21817</v>
      </c>
      <c r="Z3147" t="s">
        <v>28017</v>
      </c>
      <c r="AA3147">
        <v>0.53523857919116269</v>
      </c>
      <c r="AB3147" t="str">
        <f>HYPERLINK("Melting_Curves/meltCurve_Q15149_4_PLEC.pdf", "Melting_Curves/meltCurve_Q15149_4_PLEC.pdf")</f>
        <v>Melting_Curves/meltCurve_Q15149_4_PLEC.pdf</v>
      </c>
    </row>
    <row r="3148" spans="1:28" x14ac:dyDescent="0.25">
      <c r="A3148" t="s">
        <v>3152</v>
      </c>
      <c r="B3148">
        <v>0.99352677808782597</v>
      </c>
      <c r="C3148">
        <v>0.97421826739593997</v>
      </c>
      <c r="D3148">
        <v>0.94118253687395004</v>
      </c>
      <c r="E3148">
        <v>0.74416182189336599</v>
      </c>
      <c r="F3148">
        <v>0.64365595872442904</v>
      </c>
      <c r="G3148">
        <v>0.39907227337044299</v>
      </c>
      <c r="H3148">
        <v>0.22379007626008601</v>
      </c>
      <c r="I3148">
        <v>0.158447929743882</v>
      </c>
      <c r="J3148">
        <v>0.19351222937898099</v>
      </c>
      <c r="K3148">
        <v>0.130504190048462</v>
      </c>
      <c r="L3148">
        <v>764.51931123549105</v>
      </c>
      <c r="M3148">
        <v>14.150092920617499</v>
      </c>
      <c r="N3148">
        <v>54.8821918449988</v>
      </c>
      <c r="O3148">
        <v>52.984522500215398</v>
      </c>
      <c r="P3148">
        <v>-6.0182928522085601E-2</v>
      </c>
      <c r="Q3148">
        <v>9.8703017832409104E-2</v>
      </c>
      <c r="R3148">
        <v>0.99501438563447597</v>
      </c>
      <c r="S3148" t="s">
        <v>9433</v>
      </c>
      <c r="T3148" t="s">
        <v>12568</v>
      </c>
      <c r="U3148" t="s">
        <v>12568</v>
      </c>
      <c r="V3148" t="s">
        <v>12568</v>
      </c>
      <c r="W3148" t="s">
        <v>15676</v>
      </c>
      <c r="X3148">
        <v>188</v>
      </c>
      <c r="Y3148" t="s">
        <v>21817</v>
      </c>
      <c r="Z3148" t="s">
        <v>28018</v>
      </c>
      <c r="AA3148">
        <v>0.53998218720178748</v>
      </c>
      <c r="AB3148" t="str">
        <f>HYPERLINK("Melting_Curves/meltCurve_Q15149_8_PLEC.pdf", "Melting_Curves/meltCurve_Q15149_8_PLEC.pdf")</f>
        <v>Melting_Curves/meltCurve_Q15149_8_PLEC.pdf</v>
      </c>
    </row>
    <row r="3149" spans="1:28" x14ac:dyDescent="0.25">
      <c r="A3149" t="s">
        <v>3153</v>
      </c>
      <c r="B3149">
        <v>0.99352677808782597</v>
      </c>
      <c r="C3149">
        <v>0.98251489798175595</v>
      </c>
      <c r="D3149">
        <v>0.98043659407411599</v>
      </c>
      <c r="E3149">
        <v>0.94122013848539299</v>
      </c>
      <c r="F3149">
        <v>0.82391541700148097</v>
      </c>
      <c r="G3149">
        <v>0.71488420799201202</v>
      </c>
      <c r="H3149">
        <v>0.67097809186361201</v>
      </c>
      <c r="I3149">
        <v>0.69539063196708095</v>
      </c>
      <c r="J3149">
        <v>0.78007116812973498</v>
      </c>
      <c r="K3149">
        <v>0.63670824761227396</v>
      </c>
      <c r="L3149">
        <v>1597.80572593482</v>
      </c>
      <c r="M3149">
        <v>30.5006070437768</v>
      </c>
      <c r="O3149">
        <v>52.162377180705697</v>
      </c>
      <c r="P3149">
        <v>-4.4714953196047097E-2</v>
      </c>
      <c r="Q3149">
        <v>0.69411436906361501</v>
      </c>
      <c r="R3149">
        <v>0.93387835865861102</v>
      </c>
      <c r="S3149" t="s">
        <v>9434</v>
      </c>
      <c r="T3149" t="s">
        <v>12568</v>
      </c>
      <c r="U3149" t="s">
        <v>12568</v>
      </c>
      <c r="V3149" t="s">
        <v>12568</v>
      </c>
      <c r="W3149" t="s">
        <v>15677</v>
      </c>
      <c r="X3149">
        <v>41</v>
      </c>
      <c r="Y3149" t="s">
        <v>21818</v>
      </c>
      <c r="Z3149" t="s">
        <v>28019</v>
      </c>
      <c r="AA3149">
        <v>0.82230742154839809</v>
      </c>
      <c r="AB3149" t="str">
        <f>HYPERLINK("Melting_Curves/meltCurve_Q15154_PCM1.pdf", "Melting_Curves/meltCurve_Q15154_PCM1.pdf")</f>
        <v>Melting_Curves/meltCurve_Q15154_PCM1.pdf</v>
      </c>
    </row>
    <row r="3150" spans="1:28" x14ac:dyDescent="0.25">
      <c r="A3150" t="s">
        <v>3154</v>
      </c>
      <c r="B3150">
        <v>0.99352677808782597</v>
      </c>
      <c r="C3150">
        <v>1.0348980369494301</v>
      </c>
      <c r="D3150">
        <v>1.0747408220632899</v>
      </c>
      <c r="E3150">
        <v>1.0863873683202401</v>
      </c>
      <c r="F3150">
        <v>1.0231404054323601</v>
      </c>
      <c r="G3150">
        <v>0.99113115405743801</v>
      </c>
      <c r="H3150">
        <v>0.84992317047955301</v>
      </c>
      <c r="I3150">
        <v>0.94838808601135005</v>
      </c>
      <c r="J3150">
        <v>1.04091681243706</v>
      </c>
      <c r="K3150">
        <v>0.87175652084864796</v>
      </c>
      <c r="L3150">
        <v>14362.098544083899</v>
      </c>
      <c r="M3150">
        <v>250</v>
      </c>
      <c r="O3150">
        <v>57.444717788867599</v>
      </c>
      <c r="P3150">
        <v>-7.8612365125825798E-2</v>
      </c>
      <c r="Q3150">
        <v>0.92774615792512805</v>
      </c>
      <c r="R3150">
        <v>0.35189180384306501</v>
      </c>
      <c r="S3150" t="s">
        <v>9435</v>
      </c>
      <c r="T3150" t="s">
        <v>12568</v>
      </c>
      <c r="U3150" t="s">
        <v>12568</v>
      </c>
      <c r="V3150" t="s">
        <v>12568</v>
      </c>
      <c r="W3150" t="s">
        <v>15678</v>
      </c>
      <c r="X3150">
        <v>8</v>
      </c>
      <c r="Y3150" t="s">
        <v>21819</v>
      </c>
      <c r="Z3150" t="s">
        <v>28020</v>
      </c>
      <c r="AA3150">
        <v>0.96977722654169807</v>
      </c>
      <c r="AB3150" t="str">
        <f>HYPERLINK("Melting_Curves/meltCurve_Q15170_2_TCEAL1.pdf", "Melting_Curves/meltCurve_Q15170_2_TCEAL1.pdf")</f>
        <v>Melting_Curves/meltCurve_Q15170_2_TCEAL1.pdf</v>
      </c>
    </row>
    <row r="3151" spans="1:28" x14ac:dyDescent="0.25">
      <c r="A3151" t="s">
        <v>3155</v>
      </c>
      <c r="B3151">
        <v>0.99352677808782597</v>
      </c>
      <c r="C3151">
        <v>1.0032974666765999</v>
      </c>
      <c r="D3151">
        <v>0.87322403287698902</v>
      </c>
      <c r="E3151">
        <v>0.24260265730377301</v>
      </c>
      <c r="F3151">
        <v>0.171768936287964</v>
      </c>
      <c r="G3151">
        <v>0.112418985250337</v>
      </c>
      <c r="H3151">
        <v>0.111906363156032</v>
      </c>
      <c r="I3151">
        <v>0.100970672361977</v>
      </c>
      <c r="J3151">
        <v>0.108303077829525</v>
      </c>
      <c r="K3151">
        <v>5.8244461673684599E-2</v>
      </c>
      <c r="L3151">
        <v>1941.74896082332</v>
      </c>
      <c r="M3151">
        <v>40.447743814602802</v>
      </c>
      <c r="N3151">
        <v>48.289078970262402</v>
      </c>
      <c r="O3151">
        <v>47.889464510820602</v>
      </c>
      <c r="P3151">
        <v>-0.18889024980024799</v>
      </c>
      <c r="Q3151">
        <v>0.10542998809255801</v>
      </c>
      <c r="R3151">
        <v>0.99671271213937396</v>
      </c>
      <c r="S3151" t="s">
        <v>9436</v>
      </c>
      <c r="T3151" t="s">
        <v>12568</v>
      </c>
      <c r="U3151" t="s">
        <v>12568</v>
      </c>
      <c r="V3151" t="s">
        <v>12568</v>
      </c>
      <c r="W3151" t="s">
        <v>15679</v>
      </c>
      <c r="X3151">
        <v>12</v>
      </c>
      <c r="Y3151" t="s">
        <v>21820</v>
      </c>
      <c r="Z3151" t="s">
        <v>28021</v>
      </c>
      <c r="AA3151">
        <v>0.34708199344402552</v>
      </c>
      <c r="AB3151" t="str">
        <f>HYPERLINK("Melting_Curves/meltCurve_Q15172_PPP2R5A.pdf", "Melting_Curves/meltCurve_Q15172_PPP2R5A.pdf")</f>
        <v>Melting_Curves/meltCurve_Q15172_PPP2R5A.pdf</v>
      </c>
    </row>
    <row r="3152" spans="1:28" x14ac:dyDescent="0.25">
      <c r="A3152" t="s">
        <v>3156</v>
      </c>
      <c r="B3152">
        <v>0.99352677808782597</v>
      </c>
      <c r="C3152">
        <v>0.84799950176607597</v>
      </c>
      <c r="D3152">
        <v>0.78711988823804802</v>
      </c>
      <c r="E3152">
        <v>0.30370819585679198</v>
      </c>
      <c r="F3152">
        <v>0.212310205588083</v>
      </c>
      <c r="G3152">
        <v>0.123742824898376</v>
      </c>
      <c r="H3152">
        <v>0.152748847528863</v>
      </c>
      <c r="I3152">
        <v>0.1764417566581</v>
      </c>
      <c r="J3152">
        <v>0.15012547785469399</v>
      </c>
      <c r="K3152">
        <v>3.4748797802844199E-2</v>
      </c>
      <c r="L3152">
        <v>1096.7515786193001</v>
      </c>
      <c r="M3152">
        <v>23.025670437974501</v>
      </c>
      <c r="N3152">
        <v>48.210251544352303</v>
      </c>
      <c r="O3152">
        <v>47.276768637841499</v>
      </c>
      <c r="P3152">
        <v>-0.10706325045995201</v>
      </c>
      <c r="Q3152">
        <v>0.120718477700565</v>
      </c>
      <c r="R3152">
        <v>0.97810278499312298</v>
      </c>
      <c r="S3152" t="s">
        <v>9437</v>
      </c>
      <c r="T3152" t="s">
        <v>12568</v>
      </c>
      <c r="U3152" t="s">
        <v>12568</v>
      </c>
      <c r="V3152" t="s">
        <v>12568</v>
      </c>
      <c r="W3152" t="s">
        <v>15680</v>
      </c>
      <c r="X3152">
        <v>2</v>
      </c>
      <c r="Y3152" t="s">
        <v>21821</v>
      </c>
      <c r="Z3152" t="s">
        <v>28022</v>
      </c>
      <c r="AA3152">
        <v>0.35369578883493991</v>
      </c>
      <c r="AB3152" t="str">
        <f>HYPERLINK("Melting_Curves/meltCurve_Q15173_2_PPP2R5B.pdf", "Melting_Curves/meltCurve_Q15173_2_PPP2R5B.pdf")</f>
        <v>Melting_Curves/meltCurve_Q15173_2_PPP2R5B.pdf</v>
      </c>
    </row>
    <row r="3153" spans="1:28" x14ac:dyDescent="0.25">
      <c r="A3153" t="s">
        <v>3157</v>
      </c>
      <c r="B3153">
        <v>0.99352677808782597</v>
      </c>
      <c r="C3153">
        <v>0.77323897705615197</v>
      </c>
      <c r="D3153">
        <v>1.01051371287878</v>
      </c>
      <c r="E3153">
        <v>0.64527112437846401</v>
      </c>
      <c r="F3153">
        <v>0.54416080170146397</v>
      </c>
      <c r="G3153">
        <v>0.21693522376438901</v>
      </c>
      <c r="H3153">
        <v>0.11451280610008301</v>
      </c>
      <c r="I3153">
        <v>9.9651565598313105E-2</v>
      </c>
      <c r="J3153">
        <v>7.9963299874689905E-2</v>
      </c>
      <c r="K3153">
        <v>5.9370474606950101E-2</v>
      </c>
      <c r="L3153">
        <v>806.01614665434704</v>
      </c>
      <c r="M3153">
        <v>15.338522421080199</v>
      </c>
      <c r="N3153">
        <v>52.776697019857899</v>
      </c>
      <c r="O3153">
        <v>51.679589713860601</v>
      </c>
      <c r="P3153">
        <v>-7.1825708664594007E-2</v>
      </c>
      <c r="Q3153">
        <v>3.2089407981463501E-2</v>
      </c>
      <c r="R3153">
        <v>0.95594499745398698</v>
      </c>
      <c r="S3153" t="s">
        <v>9438</v>
      </c>
      <c r="T3153" t="s">
        <v>12568</v>
      </c>
      <c r="U3153" t="s">
        <v>12568</v>
      </c>
      <c r="V3153" t="s">
        <v>12568</v>
      </c>
      <c r="W3153" t="s">
        <v>15681</v>
      </c>
      <c r="X3153">
        <v>20</v>
      </c>
      <c r="Y3153" t="s">
        <v>21822</v>
      </c>
      <c r="Z3153" t="s">
        <v>28023</v>
      </c>
      <c r="AA3153">
        <v>0.45747623786536412</v>
      </c>
      <c r="AB3153" t="str">
        <f>HYPERLINK("Melting_Curves/meltCurve_Q15181_PPA1.pdf", "Melting_Curves/meltCurve_Q15181_PPA1.pdf")</f>
        <v>Melting_Curves/meltCurve_Q15181_PPA1.pdf</v>
      </c>
    </row>
    <row r="3154" spans="1:28" x14ac:dyDescent="0.25">
      <c r="A3154" t="s">
        <v>3158</v>
      </c>
      <c r="B3154">
        <v>0.99352677808782597</v>
      </c>
      <c r="C3154">
        <v>0.90805312638481495</v>
      </c>
      <c r="D3154">
        <v>0.81531544508194498</v>
      </c>
      <c r="E3154">
        <v>0.260973490762267</v>
      </c>
      <c r="F3154">
        <v>0.20346019847232799</v>
      </c>
      <c r="G3154">
        <v>0.12002959886333101</v>
      </c>
      <c r="H3154">
        <v>8.7757624253528205E-2</v>
      </c>
      <c r="I3154">
        <v>8.1457402927537698E-2</v>
      </c>
      <c r="J3154">
        <v>6.9025974308055196E-2</v>
      </c>
      <c r="K3154">
        <v>5.3810577501678801E-2</v>
      </c>
      <c r="L3154">
        <v>1306.4081211932601</v>
      </c>
      <c r="M3154">
        <v>27.2589904626494</v>
      </c>
      <c r="N3154">
        <v>48.2514741396297</v>
      </c>
      <c r="O3154">
        <v>47.6700736772761</v>
      </c>
      <c r="P3154">
        <v>-0.130944830404739</v>
      </c>
      <c r="Q3154">
        <v>8.4032198692483101E-2</v>
      </c>
      <c r="R3154">
        <v>0.99125581857391198</v>
      </c>
      <c r="S3154" t="s">
        <v>9439</v>
      </c>
      <c r="T3154" t="s">
        <v>12568</v>
      </c>
      <c r="U3154" t="s">
        <v>12568</v>
      </c>
      <c r="V3154" t="s">
        <v>12568</v>
      </c>
      <c r="W3154" t="s">
        <v>15682</v>
      </c>
      <c r="X3154">
        <v>16</v>
      </c>
      <c r="Y3154" t="s">
        <v>21823</v>
      </c>
      <c r="Z3154" t="s">
        <v>28024</v>
      </c>
      <c r="AA3154">
        <v>0.33276348043616238</v>
      </c>
      <c r="AB3154" t="str">
        <f>HYPERLINK("Melting_Curves/meltCurve_Q15208_STK38.pdf", "Melting_Curves/meltCurve_Q15208_STK38.pdf")</f>
        <v>Melting_Curves/meltCurve_Q15208_STK38.pdf</v>
      </c>
    </row>
    <row r="3155" spans="1:28" x14ac:dyDescent="0.25">
      <c r="A3155" t="s">
        <v>3159</v>
      </c>
      <c r="B3155">
        <v>0.99352677808782597</v>
      </c>
      <c r="C3155">
        <v>0.86022141110972405</v>
      </c>
      <c r="D3155">
        <v>0.70655104344153297</v>
      </c>
      <c r="E3155">
        <v>0.32563679304770199</v>
      </c>
      <c r="F3155">
        <v>0.26809709346581101</v>
      </c>
      <c r="G3155">
        <v>0.201020483127128</v>
      </c>
      <c r="H3155">
        <v>0.152176859436289</v>
      </c>
      <c r="I3155">
        <v>0.15773942788317299</v>
      </c>
      <c r="J3155">
        <v>0.140754349813491</v>
      </c>
      <c r="K3155">
        <v>0.116588268016789</v>
      </c>
      <c r="L3155">
        <v>883.24001430068404</v>
      </c>
      <c r="M3155">
        <v>18.696114322476401</v>
      </c>
      <c r="N3155">
        <v>48.101853650226502</v>
      </c>
      <c r="O3155">
        <v>46.711381407109599</v>
      </c>
      <c r="P3155">
        <v>-8.5850700743642497E-2</v>
      </c>
      <c r="Q3155">
        <v>0.142060344230095</v>
      </c>
      <c r="R3155">
        <v>0.99386158911558797</v>
      </c>
      <c r="S3155" t="s">
        <v>9440</v>
      </c>
      <c r="T3155" t="s">
        <v>12568</v>
      </c>
      <c r="U3155" t="s">
        <v>12568</v>
      </c>
      <c r="V3155" t="s">
        <v>12568</v>
      </c>
      <c r="W3155" t="s">
        <v>15683</v>
      </c>
      <c r="X3155">
        <v>28</v>
      </c>
      <c r="Y3155" t="s">
        <v>21824</v>
      </c>
      <c r="Z3155" t="s">
        <v>28025</v>
      </c>
      <c r="AA3155">
        <v>0.36358211723636152</v>
      </c>
      <c r="AB3155" t="str">
        <f>HYPERLINK("Melting_Curves/meltCurve_Q15233_NONO.pdf", "Melting_Curves/meltCurve_Q15233_NONO.pdf")</f>
        <v>Melting_Curves/meltCurve_Q15233_NONO.pdf</v>
      </c>
    </row>
    <row r="3156" spans="1:28" x14ac:dyDescent="0.25">
      <c r="A3156" t="s">
        <v>3160</v>
      </c>
      <c r="B3156">
        <v>0.99352677808782597</v>
      </c>
      <c r="C3156">
        <v>0.995255134138194</v>
      </c>
      <c r="D3156">
        <v>1.0157871019775</v>
      </c>
      <c r="E3156">
        <v>0.82222014650511299</v>
      </c>
      <c r="F3156">
        <v>0.70727950676357698</v>
      </c>
      <c r="G3156">
        <v>0.39136157912095898</v>
      </c>
      <c r="H3156">
        <v>0.13004552626268001</v>
      </c>
      <c r="I3156">
        <v>0.122629652149759</v>
      </c>
      <c r="J3156">
        <v>9.5196091951168904E-2</v>
      </c>
      <c r="K3156">
        <v>7.3157894522518502E-2</v>
      </c>
      <c r="L3156">
        <v>1036.5255260869001</v>
      </c>
      <c r="M3156">
        <v>18.859743880276199</v>
      </c>
      <c r="N3156">
        <v>55.277191918583199</v>
      </c>
      <c r="O3156">
        <v>54.352957063594502</v>
      </c>
      <c r="P3156">
        <v>-8.2296948248448604E-2</v>
      </c>
      <c r="Q3156">
        <v>5.1334082648017199E-2</v>
      </c>
      <c r="R3156">
        <v>0.99494301339746904</v>
      </c>
      <c r="S3156" t="s">
        <v>9441</v>
      </c>
      <c r="T3156" t="s">
        <v>12568</v>
      </c>
      <c r="U3156" t="s">
        <v>12568</v>
      </c>
      <c r="V3156" t="s">
        <v>12568</v>
      </c>
      <c r="W3156" t="s">
        <v>15684</v>
      </c>
      <c r="X3156">
        <v>15</v>
      </c>
      <c r="Y3156" t="s">
        <v>21825</v>
      </c>
      <c r="Z3156" t="s">
        <v>28026</v>
      </c>
      <c r="AA3156">
        <v>0.53816970165778499</v>
      </c>
      <c r="AB3156" t="str">
        <f>HYPERLINK("Melting_Curves/meltCurve_Q15257_PPP2R4.pdf", "Melting_Curves/meltCurve_Q15257_PPP2R4.pdf")</f>
        <v>Melting_Curves/meltCurve_Q15257_PPP2R4.pdf</v>
      </c>
    </row>
    <row r="3157" spans="1:28" x14ac:dyDescent="0.25">
      <c r="A3157" t="s">
        <v>3161</v>
      </c>
      <c r="B3157">
        <v>0.99352677808782597</v>
      </c>
      <c r="C3157">
        <v>1.01017035988832</v>
      </c>
      <c r="D3157">
        <v>0.90967683955245904</v>
      </c>
      <c r="E3157">
        <v>0.77609187945999103</v>
      </c>
      <c r="F3157">
        <v>0.88943883685342195</v>
      </c>
      <c r="G3157">
        <v>0.37526687437245998</v>
      </c>
      <c r="H3157">
        <v>0.265627136418503</v>
      </c>
      <c r="I3157">
        <v>0.22942169057049799</v>
      </c>
      <c r="J3157">
        <v>0.174791885757028</v>
      </c>
      <c r="K3157">
        <v>0.15156878013751399</v>
      </c>
      <c r="L3157">
        <v>1076.0778818890101</v>
      </c>
      <c r="M3157">
        <v>19.448088053511299</v>
      </c>
      <c r="N3157">
        <v>56.316042518033797</v>
      </c>
      <c r="O3157">
        <v>54.7557469958791</v>
      </c>
      <c r="P3157">
        <v>-7.5992850864551806E-2</v>
      </c>
      <c r="Q3157">
        <v>0.144205264072681</v>
      </c>
      <c r="R3157">
        <v>0.95863787438404102</v>
      </c>
      <c r="S3157" t="s">
        <v>9442</v>
      </c>
      <c r="T3157" t="s">
        <v>12568</v>
      </c>
      <c r="U3157" t="s">
        <v>12568</v>
      </c>
      <c r="V3157" t="s">
        <v>12568</v>
      </c>
      <c r="W3157" t="s">
        <v>15685</v>
      </c>
      <c r="X3157">
        <v>13</v>
      </c>
      <c r="Y3157" t="s">
        <v>21825</v>
      </c>
      <c r="Z3157" t="s">
        <v>28027</v>
      </c>
      <c r="AA3157">
        <v>0.59328978902884055</v>
      </c>
      <c r="AB3157" t="str">
        <f>HYPERLINK("Melting_Curves/meltCurve_Q15257_2_PPP2R4.pdf", "Melting_Curves/meltCurve_Q15257_2_PPP2R4.pdf")</f>
        <v>Melting_Curves/meltCurve_Q15257_2_PPP2R4.pdf</v>
      </c>
    </row>
    <row r="3158" spans="1:28" x14ac:dyDescent="0.25">
      <c r="A3158" t="s">
        <v>3162</v>
      </c>
      <c r="B3158">
        <v>0.99352677808782597</v>
      </c>
      <c r="C3158">
        <v>0.94678379484840103</v>
      </c>
      <c r="D3158">
        <v>0.89119971548770205</v>
      </c>
      <c r="E3158">
        <v>0.62386611586680796</v>
      </c>
      <c r="F3158">
        <v>0.54259177826915195</v>
      </c>
      <c r="G3158">
        <v>0.37900953732728798</v>
      </c>
      <c r="H3158">
        <v>0.43424498212580798</v>
      </c>
      <c r="I3158">
        <v>0.43427316930549398</v>
      </c>
      <c r="J3158">
        <v>0.55886263679294601</v>
      </c>
      <c r="K3158">
        <v>0.37946053545367597</v>
      </c>
      <c r="L3158">
        <v>1125.71550683291</v>
      </c>
      <c r="M3158">
        <v>23.151354522036499</v>
      </c>
      <c r="N3158">
        <v>53.407827611292603</v>
      </c>
      <c r="O3158">
        <v>48.2657512357545</v>
      </c>
      <c r="P3158">
        <v>-6.7497705850432896E-2</v>
      </c>
      <c r="Q3158">
        <v>0.43713568690586402</v>
      </c>
      <c r="R3158">
        <v>0.94957767723980802</v>
      </c>
      <c r="S3158" t="s">
        <v>9443</v>
      </c>
      <c r="T3158" t="s">
        <v>12568</v>
      </c>
      <c r="U3158" t="s">
        <v>12568</v>
      </c>
      <c r="V3158" t="s">
        <v>12568</v>
      </c>
      <c r="W3158" t="s">
        <v>15686</v>
      </c>
      <c r="X3158">
        <v>8</v>
      </c>
      <c r="Y3158" t="s">
        <v>21826</v>
      </c>
      <c r="Z3158" t="s">
        <v>28028</v>
      </c>
      <c r="AA3158">
        <v>0.60478585088220127</v>
      </c>
      <c r="AB3158" t="str">
        <f>HYPERLINK("Melting_Curves/meltCurve_Q15262_2_PTPRK.pdf", "Melting_Curves/meltCurve_Q15262_2_PTPRK.pdf")</f>
        <v>Melting_Curves/meltCurve_Q15262_2_PTPRK.pdf</v>
      </c>
    </row>
    <row r="3159" spans="1:28" x14ac:dyDescent="0.25">
      <c r="A3159" t="s">
        <v>3163</v>
      </c>
      <c r="B3159">
        <v>0.99352677808782597</v>
      </c>
      <c r="C3159">
        <v>1.0159762525242</v>
      </c>
      <c r="D3159">
        <v>0.92017242450046799</v>
      </c>
      <c r="E3159">
        <v>0.79937458025870001</v>
      </c>
      <c r="F3159">
        <v>0.71478718009033304</v>
      </c>
      <c r="G3159">
        <v>0.58989764454671001</v>
      </c>
      <c r="H3159">
        <v>0.60528563660913703</v>
      </c>
      <c r="I3159">
        <v>0.632929422579534</v>
      </c>
      <c r="J3159">
        <v>0.76136478930451001</v>
      </c>
      <c r="K3159">
        <v>0.61390325659946998</v>
      </c>
      <c r="L3159">
        <v>1188.52355765006</v>
      </c>
      <c r="M3159">
        <v>24.131961057363402</v>
      </c>
      <c r="O3159">
        <v>48.916545973706398</v>
      </c>
      <c r="P3159">
        <v>-4.4247732855230197E-2</v>
      </c>
      <c r="Q3159">
        <v>0.64123715148425098</v>
      </c>
      <c r="R3159">
        <v>0.90566161846161897</v>
      </c>
      <c r="S3159" t="s">
        <v>9444</v>
      </c>
      <c r="T3159" t="s">
        <v>12568</v>
      </c>
      <c r="U3159" t="s">
        <v>12568</v>
      </c>
      <c r="V3159" t="s">
        <v>12568</v>
      </c>
      <c r="W3159" t="s">
        <v>15687</v>
      </c>
      <c r="X3159">
        <v>39</v>
      </c>
      <c r="Y3159" t="s">
        <v>21827</v>
      </c>
      <c r="Z3159" t="s">
        <v>28029</v>
      </c>
      <c r="AA3159">
        <v>0.75529146904920708</v>
      </c>
      <c r="AB3159" t="str">
        <f>HYPERLINK("Melting_Curves/meltCurve_Q15276_RABEP1.pdf", "Melting_Curves/meltCurve_Q15276_RABEP1.pdf")</f>
        <v>Melting_Curves/meltCurve_Q15276_RABEP1.pdf</v>
      </c>
    </row>
    <row r="3160" spans="1:28" x14ac:dyDescent="0.25">
      <c r="A3160" t="s">
        <v>3164</v>
      </c>
      <c r="B3160">
        <v>0.99352677808782597</v>
      </c>
      <c r="C3160">
        <v>0.83771489948745803</v>
      </c>
      <c r="D3160">
        <v>0.488732459353314</v>
      </c>
      <c r="E3160">
        <v>0.16874179696556099</v>
      </c>
      <c r="F3160">
        <v>0.123328096024719</v>
      </c>
      <c r="G3160">
        <v>7.4119737139805894E-2</v>
      </c>
      <c r="H3160">
        <v>4.4784348386665097E-2</v>
      </c>
      <c r="I3160">
        <v>4.2912310368287902E-2</v>
      </c>
      <c r="J3160">
        <v>4.0081040936736999E-2</v>
      </c>
      <c r="K3160">
        <v>2.9355738015274298E-2</v>
      </c>
      <c r="L3160">
        <v>1045.8436751253701</v>
      </c>
      <c r="M3160">
        <v>22.834089995719101</v>
      </c>
      <c r="N3160">
        <v>46.0066224485468</v>
      </c>
      <c r="O3160">
        <v>45.454897871931102</v>
      </c>
      <c r="P3160">
        <v>-0.119521067617544</v>
      </c>
      <c r="Q3160">
        <v>4.8315224092646901E-2</v>
      </c>
      <c r="R3160">
        <v>0.99758570171858496</v>
      </c>
      <c r="S3160" t="s">
        <v>9445</v>
      </c>
      <c r="T3160" t="s">
        <v>12568</v>
      </c>
      <c r="U3160" t="s">
        <v>12568</v>
      </c>
      <c r="V3160" t="s">
        <v>12568</v>
      </c>
      <c r="W3160" t="s">
        <v>15688</v>
      </c>
      <c r="X3160">
        <v>3</v>
      </c>
      <c r="Y3160" t="s">
        <v>21828</v>
      </c>
      <c r="Z3160" t="s">
        <v>28030</v>
      </c>
      <c r="AA3160">
        <v>0.24334528720131871</v>
      </c>
      <c r="AB3160" t="str">
        <f>HYPERLINK("Melting_Curves/meltCurve_Q15283_2_RASA2.pdf", "Melting_Curves/meltCurve_Q15283_2_RASA2.pdf")</f>
        <v>Melting_Curves/meltCurve_Q15283_2_RASA2.pdf</v>
      </c>
    </row>
    <row r="3161" spans="1:28" x14ac:dyDescent="0.25">
      <c r="A3161" t="s">
        <v>3165</v>
      </c>
      <c r="B3161">
        <v>0.99352677808782597</v>
      </c>
      <c r="C3161">
        <v>0.93557420489582699</v>
      </c>
      <c r="D3161">
        <v>1.0136044635846699</v>
      </c>
      <c r="E3161">
        <v>0.85340970475398203</v>
      </c>
      <c r="F3161">
        <v>0.81138497052134595</v>
      </c>
      <c r="G3161">
        <v>0.51452913598084604</v>
      </c>
      <c r="H3161">
        <v>0.25807162567868802</v>
      </c>
      <c r="I3161">
        <v>0.18900379919054699</v>
      </c>
      <c r="J3161">
        <v>0.148545464757011</v>
      </c>
      <c r="K3161">
        <v>0.12013790313204201</v>
      </c>
      <c r="L3161">
        <v>976.89916520958002</v>
      </c>
      <c r="M3161">
        <v>17.2959168075561</v>
      </c>
      <c r="N3161">
        <v>57.085815479870902</v>
      </c>
      <c r="O3161">
        <v>55.742671357841402</v>
      </c>
      <c r="P3161">
        <v>-7.1085191755477894E-2</v>
      </c>
      <c r="Q3161">
        <v>8.3656625077429506E-2</v>
      </c>
      <c r="R3161">
        <v>0.992103719762505</v>
      </c>
      <c r="S3161" t="s">
        <v>9446</v>
      </c>
      <c r="T3161" t="s">
        <v>12568</v>
      </c>
      <c r="U3161" t="s">
        <v>12568</v>
      </c>
      <c r="V3161" t="s">
        <v>12568</v>
      </c>
      <c r="W3161" t="s">
        <v>15689</v>
      </c>
      <c r="X3161">
        <v>8</v>
      </c>
      <c r="Y3161" t="s">
        <v>21829</v>
      </c>
      <c r="Z3161" t="s">
        <v>28031</v>
      </c>
      <c r="AA3161">
        <v>0.60073105574834074</v>
      </c>
      <c r="AB3161" t="str">
        <f>HYPERLINK("Melting_Curves/meltCurve_Q15286_RAB35.pdf", "Melting_Curves/meltCurve_Q15286_RAB35.pdf")</f>
        <v>Melting_Curves/meltCurve_Q15286_RAB35.pdf</v>
      </c>
    </row>
    <row r="3162" spans="1:28" x14ac:dyDescent="0.25">
      <c r="A3162" t="s">
        <v>3166</v>
      </c>
      <c r="B3162">
        <v>0.99352677808782597</v>
      </c>
      <c r="C3162">
        <v>1.04440266121707</v>
      </c>
      <c r="D3162">
        <v>0.94885391900559102</v>
      </c>
      <c r="E3162">
        <v>1.15575686106381</v>
      </c>
      <c r="F3162">
        <v>1.06181990795438</v>
      </c>
      <c r="G3162">
        <v>1.0011220708058</v>
      </c>
      <c r="H3162">
        <v>0.90090929278731402</v>
      </c>
      <c r="I3162">
        <v>0.78862239112541899</v>
      </c>
      <c r="J3162">
        <v>0.41411161939424201</v>
      </c>
      <c r="K3162">
        <v>0.148620158433935</v>
      </c>
      <c r="L3162">
        <v>2162.3327986569798</v>
      </c>
      <c r="M3162">
        <v>32.600250893714303</v>
      </c>
      <c r="N3162">
        <v>66.328732462222206</v>
      </c>
      <c r="O3162">
        <v>66.080628124835997</v>
      </c>
      <c r="P3162">
        <v>-0.12333570521965</v>
      </c>
      <c r="Q3162">
        <v>0</v>
      </c>
      <c r="R3162">
        <v>0.96151980656807101</v>
      </c>
      <c r="S3162" t="s">
        <v>9447</v>
      </c>
      <c r="T3162" t="s">
        <v>12568</v>
      </c>
      <c r="U3162" t="s">
        <v>12568</v>
      </c>
      <c r="V3162" t="s">
        <v>12568</v>
      </c>
      <c r="W3162" t="s">
        <v>15690</v>
      </c>
      <c r="X3162">
        <v>13</v>
      </c>
      <c r="Y3162" t="s">
        <v>21830</v>
      </c>
      <c r="Z3162" t="s">
        <v>28032</v>
      </c>
      <c r="AA3162">
        <v>0.87105460514569921</v>
      </c>
      <c r="AB3162" t="str">
        <f>HYPERLINK("Melting_Curves/meltCurve_Q15291_RBBP5.pdf", "Melting_Curves/meltCurve_Q15291_RBBP5.pdf")</f>
        <v>Melting_Curves/meltCurve_Q15291_RBBP5.pdf</v>
      </c>
    </row>
    <row r="3163" spans="1:28" x14ac:dyDescent="0.25">
      <c r="A3163" t="s">
        <v>3167</v>
      </c>
      <c r="B3163">
        <v>0.99352677808782597</v>
      </c>
      <c r="C3163">
        <v>0.97240324175182402</v>
      </c>
      <c r="D3163">
        <v>0.99399821501669705</v>
      </c>
      <c r="E3163">
        <v>0.91607011931998295</v>
      </c>
      <c r="F3163">
        <v>0.82894495116129596</v>
      </c>
      <c r="G3163">
        <v>0.700444432268713</v>
      </c>
      <c r="H3163">
        <v>0.67888718917214796</v>
      </c>
      <c r="I3163">
        <v>0.71575120497019495</v>
      </c>
      <c r="J3163">
        <v>0.79222809481099399</v>
      </c>
      <c r="K3163">
        <v>0.65367984643399601</v>
      </c>
      <c r="L3163">
        <v>1508.10652432487</v>
      </c>
      <c r="M3163">
        <v>29.0342811724705</v>
      </c>
      <c r="O3163">
        <v>51.697749263800802</v>
      </c>
      <c r="P3163">
        <v>-4.1417323760142198E-2</v>
      </c>
      <c r="Q3163">
        <v>0.70501546310311602</v>
      </c>
      <c r="R3163">
        <v>0.92147033509500498</v>
      </c>
      <c r="S3163" t="s">
        <v>9448</v>
      </c>
      <c r="T3163" t="s">
        <v>12568</v>
      </c>
      <c r="U3163" t="s">
        <v>12568</v>
      </c>
      <c r="V3163" t="s">
        <v>12568</v>
      </c>
      <c r="W3163" t="s">
        <v>15691</v>
      </c>
      <c r="X3163">
        <v>22</v>
      </c>
      <c r="Y3163" t="s">
        <v>21831</v>
      </c>
      <c r="Z3163" t="s">
        <v>28033</v>
      </c>
      <c r="AA3163">
        <v>0.82445075625647501</v>
      </c>
      <c r="AB3163" t="str">
        <f>HYPERLINK("Melting_Curves/meltCurve_Q15293_RCN1.pdf", "Melting_Curves/meltCurve_Q15293_RCN1.pdf")</f>
        <v>Melting_Curves/meltCurve_Q15293_RCN1.pdf</v>
      </c>
    </row>
    <row r="3164" spans="1:28" x14ac:dyDescent="0.25">
      <c r="A3164" t="s">
        <v>3168</v>
      </c>
      <c r="B3164">
        <v>0.99352677808782597</v>
      </c>
      <c r="C3164">
        <v>0.98423341503773898</v>
      </c>
      <c r="D3164">
        <v>0.81164372197228896</v>
      </c>
      <c r="E3164">
        <v>0.42435622353236602</v>
      </c>
      <c r="F3164">
        <v>0.36846272853497303</v>
      </c>
      <c r="G3164">
        <v>0.23121744820654899</v>
      </c>
      <c r="H3164">
        <v>0.14952408910853901</v>
      </c>
      <c r="I3164">
        <v>0.123723258418309</v>
      </c>
      <c r="J3164">
        <v>0.11699411978655599</v>
      </c>
      <c r="K3164">
        <v>9.5820899628796904E-2</v>
      </c>
      <c r="L3164">
        <v>853.36927993269501</v>
      </c>
      <c r="M3164">
        <v>17.344366987206101</v>
      </c>
      <c r="N3164">
        <v>49.971899978409098</v>
      </c>
      <c r="O3164">
        <v>48.5614463426801</v>
      </c>
      <c r="P3164">
        <v>-7.8820595271805599E-2</v>
      </c>
      <c r="Q3164">
        <v>0.11731032874944</v>
      </c>
      <c r="R3164">
        <v>0.98888323192402605</v>
      </c>
      <c r="S3164" t="s">
        <v>9449</v>
      </c>
      <c r="T3164" t="s">
        <v>12568</v>
      </c>
      <c r="U3164" t="s">
        <v>12568</v>
      </c>
      <c r="V3164" t="s">
        <v>12568</v>
      </c>
      <c r="W3164" t="s">
        <v>15692</v>
      </c>
      <c r="X3164">
        <v>10</v>
      </c>
      <c r="Y3164" t="s">
        <v>21832</v>
      </c>
      <c r="Z3164" t="s">
        <v>28034</v>
      </c>
      <c r="AA3164">
        <v>0.40443246825837481</v>
      </c>
      <c r="AB3164" t="str">
        <f>HYPERLINK("Melting_Curves/meltCurve_Q15311_RALBP1.pdf", "Melting_Curves/meltCurve_Q15311_RALBP1.pdf")</f>
        <v>Melting_Curves/meltCurve_Q15311_RALBP1.pdf</v>
      </c>
    </row>
    <row r="3165" spans="1:28" x14ac:dyDescent="0.25">
      <c r="A3165" t="s">
        <v>3169</v>
      </c>
      <c r="B3165">
        <v>0.99352677808782597</v>
      </c>
      <c r="C3165">
        <v>0.83380106908771001</v>
      </c>
      <c r="D3165">
        <v>0.63672304324081197</v>
      </c>
      <c r="E3165">
        <v>0.37588597231405302</v>
      </c>
      <c r="F3165">
        <v>0.33661574320058602</v>
      </c>
      <c r="G3165">
        <v>0.22720654014460301</v>
      </c>
      <c r="H3165">
        <v>0.172742349698466</v>
      </c>
      <c r="I3165">
        <v>0.16600938134732601</v>
      </c>
      <c r="J3165">
        <v>0.14144157762888701</v>
      </c>
      <c r="K3165">
        <v>0.107671225795648</v>
      </c>
      <c r="L3165">
        <v>666.10783839881503</v>
      </c>
      <c r="M3165">
        <v>14.078173995284599</v>
      </c>
      <c r="N3165">
        <v>48.391196728432703</v>
      </c>
      <c r="O3165">
        <v>46.390945020546702</v>
      </c>
      <c r="P3165">
        <v>-6.5677812105401495E-2</v>
      </c>
      <c r="Q3165">
        <v>0.13441587853738701</v>
      </c>
      <c r="R3165">
        <v>0.99052972826421504</v>
      </c>
      <c r="S3165" t="s">
        <v>9450</v>
      </c>
      <c r="T3165" t="s">
        <v>12568</v>
      </c>
      <c r="U3165" t="s">
        <v>12568</v>
      </c>
      <c r="V3165" t="s">
        <v>12568</v>
      </c>
      <c r="W3165" t="s">
        <v>15693</v>
      </c>
      <c r="X3165">
        <v>10</v>
      </c>
      <c r="Y3165" t="s">
        <v>21833</v>
      </c>
      <c r="Z3165" t="s">
        <v>28035</v>
      </c>
      <c r="AA3165">
        <v>0.37168800001505942</v>
      </c>
      <c r="AB3165" t="str">
        <f>HYPERLINK("Melting_Curves/meltCurve_Q15334_LLGL1.pdf", "Melting_Curves/meltCurve_Q15334_LLGL1.pdf")</f>
        <v>Melting_Curves/meltCurve_Q15334_LLGL1.pdf</v>
      </c>
    </row>
    <row r="3166" spans="1:28" x14ac:dyDescent="0.25">
      <c r="A3166" t="s">
        <v>3170</v>
      </c>
      <c r="B3166">
        <v>0.99352677808782597</v>
      </c>
      <c r="C3166">
        <v>0.85472868999607698</v>
      </c>
      <c r="D3166">
        <v>0.72056502956130897</v>
      </c>
      <c r="E3166">
        <v>0.31781909399984698</v>
      </c>
      <c r="F3166">
        <v>0.30014842034452199</v>
      </c>
      <c r="G3166">
        <v>0.208976743257344</v>
      </c>
      <c r="H3166">
        <v>0.169302531517878</v>
      </c>
      <c r="I3166">
        <v>0.16300578430548701</v>
      </c>
      <c r="J3166">
        <v>0.15459820958161599</v>
      </c>
      <c r="K3166">
        <v>0.117235218029433</v>
      </c>
      <c r="L3166">
        <v>867.77577334528701</v>
      </c>
      <c r="M3166">
        <v>18.357219815619899</v>
      </c>
      <c r="N3166">
        <v>48.219447276341398</v>
      </c>
      <c r="O3166">
        <v>46.721378915921903</v>
      </c>
      <c r="P3166">
        <v>-8.3354137961646105E-2</v>
      </c>
      <c r="Q3166">
        <v>0.151452674068452</v>
      </c>
      <c r="R3166">
        <v>0.98873701529268798</v>
      </c>
      <c r="S3166" t="s">
        <v>9451</v>
      </c>
      <c r="T3166" t="s">
        <v>12568</v>
      </c>
      <c r="U3166" t="s">
        <v>12568</v>
      </c>
      <c r="V3166" t="s">
        <v>12568</v>
      </c>
      <c r="W3166" t="s">
        <v>15694</v>
      </c>
      <c r="X3166">
        <v>8</v>
      </c>
      <c r="Y3166" t="s">
        <v>21834</v>
      </c>
      <c r="Z3166" t="s">
        <v>28036</v>
      </c>
      <c r="AA3166">
        <v>0.37194862234211939</v>
      </c>
      <c r="AB3166" t="str">
        <f>HYPERLINK("Melting_Curves/meltCurve_Q15345_LRRC41.pdf", "Melting_Curves/meltCurve_Q15345_LRRC41.pdf")</f>
        <v>Melting_Curves/meltCurve_Q15345_LRRC41.pdf</v>
      </c>
    </row>
    <row r="3167" spans="1:28" x14ac:dyDescent="0.25">
      <c r="A3167" t="s">
        <v>3171</v>
      </c>
      <c r="B3167">
        <v>0.99352677808782597</v>
      </c>
      <c r="C3167">
        <v>0.99983927721314103</v>
      </c>
      <c r="D3167">
        <v>1.0274781529407699</v>
      </c>
      <c r="E3167">
        <v>0.88234151450200304</v>
      </c>
      <c r="F3167">
        <v>0.82130147817241494</v>
      </c>
      <c r="G3167">
        <v>0.64019267643658595</v>
      </c>
      <c r="H3167">
        <v>0.44141757512313001</v>
      </c>
      <c r="I3167">
        <v>0.36172238477326302</v>
      </c>
      <c r="J3167">
        <v>0.29093491633843599</v>
      </c>
      <c r="K3167">
        <v>0.17773502645044001</v>
      </c>
      <c r="L3167">
        <v>705.59266307397797</v>
      </c>
      <c r="M3167">
        <v>11.9180362355724</v>
      </c>
      <c r="N3167">
        <v>60.057311732943703</v>
      </c>
      <c r="O3167">
        <v>57.610774267445798</v>
      </c>
      <c r="P3167">
        <v>-4.7700599721470997E-2</v>
      </c>
      <c r="Q3167">
        <v>7.7905688047258906E-2</v>
      </c>
      <c r="R3167">
        <v>0.99355536261606003</v>
      </c>
      <c r="S3167" t="s">
        <v>9452</v>
      </c>
      <c r="T3167" t="s">
        <v>12568</v>
      </c>
      <c r="U3167" t="s">
        <v>12568</v>
      </c>
      <c r="V3167" t="s">
        <v>12568</v>
      </c>
      <c r="W3167" t="s">
        <v>15695</v>
      </c>
      <c r="X3167">
        <v>16</v>
      </c>
      <c r="Y3167" t="s">
        <v>21835</v>
      </c>
      <c r="Z3167" t="s">
        <v>28037</v>
      </c>
      <c r="AA3167">
        <v>0.67434490165461558</v>
      </c>
      <c r="AB3167" t="str">
        <f>HYPERLINK("Melting_Curves/meltCurve_Q15365_PCBP1.pdf", "Melting_Curves/meltCurve_Q15365_PCBP1.pdf")</f>
        <v>Melting_Curves/meltCurve_Q15365_PCBP1.pdf</v>
      </c>
    </row>
    <row r="3168" spans="1:28" x14ac:dyDescent="0.25">
      <c r="A3168" t="s">
        <v>3172</v>
      </c>
      <c r="B3168">
        <v>0.99352677808782597</v>
      </c>
      <c r="C3168">
        <v>0.98967932611749199</v>
      </c>
      <c r="D3168">
        <v>1.0009949622958501</v>
      </c>
      <c r="E3168">
        <v>0.72196008096279496</v>
      </c>
      <c r="F3168">
        <v>0.67406927985960297</v>
      </c>
      <c r="G3168">
        <v>0.43215977224213098</v>
      </c>
      <c r="H3168">
        <v>0.29355511143775198</v>
      </c>
      <c r="I3168">
        <v>0.22027277997740499</v>
      </c>
      <c r="J3168">
        <v>0.20656496645676101</v>
      </c>
      <c r="K3168">
        <v>0.121198794066465</v>
      </c>
      <c r="L3168">
        <v>708.14466610270597</v>
      </c>
      <c r="M3168">
        <v>12.9362191389167</v>
      </c>
      <c r="N3168">
        <v>55.7056110562039</v>
      </c>
      <c r="O3168">
        <v>53.4826269740878</v>
      </c>
      <c r="P3168">
        <v>-5.44126342853124E-2</v>
      </c>
      <c r="Q3168">
        <v>0.100322407617538</v>
      </c>
      <c r="R3168">
        <v>0.98799271159508295</v>
      </c>
      <c r="S3168" t="s">
        <v>9453</v>
      </c>
      <c r="T3168" t="s">
        <v>12568</v>
      </c>
      <c r="U3168" t="s">
        <v>12568</v>
      </c>
      <c r="V3168" t="s">
        <v>12568</v>
      </c>
      <c r="W3168" t="s">
        <v>15696</v>
      </c>
      <c r="X3168">
        <v>12</v>
      </c>
      <c r="Y3168" t="s">
        <v>19307</v>
      </c>
      <c r="Z3168" t="s">
        <v>28038</v>
      </c>
      <c r="AA3168">
        <v>0.56285958807181558</v>
      </c>
      <c r="AB3168" t="str">
        <f>HYPERLINK("Melting_Curves/meltCurve_Q15366_6_PCBP2.pdf", "Melting_Curves/meltCurve_Q15366_6_PCBP2.pdf")</f>
        <v>Melting_Curves/meltCurve_Q15366_6_PCBP2.pdf</v>
      </c>
    </row>
    <row r="3169" spans="1:28" x14ac:dyDescent="0.25">
      <c r="A3169" t="s">
        <v>3173</v>
      </c>
      <c r="B3169">
        <v>0.99352677808782597</v>
      </c>
      <c r="C3169">
        <v>0.990281940154909</v>
      </c>
      <c r="D3169">
        <v>1.04379825303172</v>
      </c>
      <c r="E3169">
        <v>1.0002435136184</v>
      </c>
      <c r="F3169">
        <v>0.88414718514791801</v>
      </c>
      <c r="G3169">
        <v>0.59680956525303896</v>
      </c>
      <c r="H3169">
        <v>0.35408252304137799</v>
      </c>
      <c r="I3169">
        <v>0.34391020277894802</v>
      </c>
      <c r="J3169">
        <v>0.35041933814002901</v>
      </c>
      <c r="K3169">
        <v>0.32369149009291498</v>
      </c>
      <c r="L3169">
        <v>1707.7149049894299</v>
      </c>
      <c r="M3169">
        <v>30.4519841514626</v>
      </c>
      <c r="N3169">
        <v>58.099295029477702</v>
      </c>
      <c r="O3169">
        <v>55.8387660647658</v>
      </c>
      <c r="P3169">
        <v>-9.1812609823101105E-2</v>
      </c>
      <c r="Q3169">
        <v>0.326589514057188</v>
      </c>
      <c r="R3169">
        <v>0.99572765462201396</v>
      </c>
      <c r="S3169" t="s">
        <v>9454</v>
      </c>
      <c r="T3169" t="s">
        <v>12568</v>
      </c>
      <c r="U3169" t="s">
        <v>12568</v>
      </c>
      <c r="V3169" t="s">
        <v>12568</v>
      </c>
      <c r="W3169" t="s">
        <v>15697</v>
      </c>
      <c r="X3169">
        <v>15</v>
      </c>
      <c r="Y3169" t="s">
        <v>21836</v>
      </c>
      <c r="Z3169" t="s">
        <v>28039</v>
      </c>
      <c r="AA3169">
        <v>0.69188359639212649</v>
      </c>
      <c r="AB3169" t="str">
        <f>HYPERLINK("Melting_Curves/meltCurve_Q15370_2_TCEB2.pdf", "Melting_Curves/meltCurve_Q15370_2_TCEB2.pdf")</f>
        <v>Melting_Curves/meltCurve_Q15370_2_TCEB2.pdf</v>
      </c>
    </row>
    <row r="3170" spans="1:28" x14ac:dyDescent="0.25">
      <c r="A3170" t="s">
        <v>3174</v>
      </c>
      <c r="B3170">
        <v>0.99352677808782597</v>
      </c>
      <c r="C3170">
        <v>0.61486020121274698</v>
      </c>
      <c r="D3170">
        <v>0.82173871473268301</v>
      </c>
      <c r="E3170">
        <v>0.22983100272297499</v>
      </c>
      <c r="F3170">
        <v>0.167917040301341</v>
      </c>
      <c r="G3170">
        <v>9.0633180242785799E-2</v>
      </c>
      <c r="H3170">
        <v>5.2001895515111099E-2</v>
      </c>
      <c r="I3170">
        <v>4.7345892137471202E-2</v>
      </c>
      <c r="J3170">
        <v>3.7613830383196101E-2</v>
      </c>
      <c r="K3170">
        <v>2.94851579478724E-2</v>
      </c>
      <c r="L3170">
        <v>703.09960829883698</v>
      </c>
      <c r="M3170">
        <v>14.8465011954118</v>
      </c>
      <c r="N3170">
        <v>47.458355802973699</v>
      </c>
      <c r="O3170">
        <v>46.523647594241197</v>
      </c>
      <c r="P3170">
        <v>-7.8554052350885098E-2</v>
      </c>
      <c r="Q3170">
        <v>1.5462117517559699E-2</v>
      </c>
      <c r="R3170">
        <v>0.91538249042839603</v>
      </c>
      <c r="S3170" t="s">
        <v>9455</v>
      </c>
      <c r="T3170" t="s">
        <v>12568</v>
      </c>
      <c r="U3170" t="s">
        <v>12568</v>
      </c>
      <c r="V3170" t="s">
        <v>12568</v>
      </c>
      <c r="W3170" t="s">
        <v>15698</v>
      </c>
      <c r="X3170">
        <v>9</v>
      </c>
      <c r="Y3170" t="s">
        <v>21837</v>
      </c>
      <c r="Z3170" t="s">
        <v>28040</v>
      </c>
      <c r="AA3170">
        <v>0.28367421245345797</v>
      </c>
      <c r="AB3170" t="str">
        <f>HYPERLINK("Melting_Curves/meltCurve_Q15382_RHEB.pdf", "Melting_Curves/meltCurve_Q15382_RHEB.pdf")</f>
        <v>Melting_Curves/meltCurve_Q15382_RHEB.pdf</v>
      </c>
    </row>
    <row r="3171" spans="1:28" x14ac:dyDescent="0.25">
      <c r="A3171" t="s">
        <v>3175</v>
      </c>
      <c r="B3171">
        <v>0.99352677808782597</v>
      </c>
      <c r="C3171">
        <v>0.95407296764530403</v>
      </c>
      <c r="D3171">
        <v>0.88136396030431297</v>
      </c>
      <c r="E3171">
        <v>0.278394218267425</v>
      </c>
      <c r="F3171">
        <v>0.238836011943937</v>
      </c>
      <c r="G3171">
        <v>0.11354711485996601</v>
      </c>
      <c r="H3171">
        <v>8.4999360477627003E-2</v>
      </c>
      <c r="I3171">
        <v>9.1771565811570005E-2</v>
      </c>
      <c r="J3171">
        <v>5.2035121492575803E-2</v>
      </c>
      <c r="K3171">
        <v>3.1243956368019001E-2</v>
      </c>
      <c r="L3171">
        <v>1486.6379887098999</v>
      </c>
      <c r="M3171">
        <v>30.724679634447501</v>
      </c>
      <c r="N3171">
        <v>48.6762884762732</v>
      </c>
      <c r="O3171">
        <v>48.182215450118001</v>
      </c>
      <c r="P3171">
        <v>-0.146066075618031</v>
      </c>
      <c r="Q3171">
        <v>8.3766649151862396E-2</v>
      </c>
      <c r="R3171">
        <v>0.987331295196618</v>
      </c>
      <c r="S3171" t="s">
        <v>9456</v>
      </c>
      <c r="T3171" t="s">
        <v>12568</v>
      </c>
      <c r="U3171" t="s">
        <v>12568</v>
      </c>
      <c r="V3171" t="s">
        <v>12568</v>
      </c>
      <c r="W3171" t="s">
        <v>15699</v>
      </c>
      <c r="X3171">
        <v>11</v>
      </c>
      <c r="Y3171" t="s">
        <v>21838</v>
      </c>
      <c r="Z3171" t="s">
        <v>28041</v>
      </c>
      <c r="AA3171">
        <v>0.34514739377731879</v>
      </c>
      <c r="AB3171" t="str">
        <f>HYPERLINK("Melting_Curves/meltCurve_Q15386_UBE3C.pdf", "Melting_Curves/meltCurve_Q15386_UBE3C.pdf")</f>
        <v>Melting_Curves/meltCurve_Q15386_UBE3C.pdf</v>
      </c>
    </row>
    <row r="3172" spans="1:28" x14ac:dyDescent="0.25">
      <c r="A3172" t="s">
        <v>3176</v>
      </c>
      <c r="B3172">
        <v>0.99352677808782597</v>
      </c>
      <c r="C3172">
        <v>0.94012757656027801</v>
      </c>
      <c r="D3172">
        <v>0.89696695034863805</v>
      </c>
      <c r="E3172">
        <v>0.82974249017724999</v>
      </c>
      <c r="F3172">
        <v>0.74327729936323805</v>
      </c>
      <c r="G3172">
        <v>0.63305409657428502</v>
      </c>
      <c r="H3172">
        <v>0.55513753092609097</v>
      </c>
      <c r="I3172">
        <v>0.58172978995813096</v>
      </c>
      <c r="J3172">
        <v>0.46180373432924399</v>
      </c>
      <c r="K3172">
        <v>0.44471266160043499</v>
      </c>
      <c r="L3172">
        <v>443.10539246284998</v>
      </c>
      <c r="M3172">
        <v>7.8896312809791098</v>
      </c>
      <c r="N3172">
        <v>65.641913966005504</v>
      </c>
      <c r="O3172">
        <v>52.898314102349602</v>
      </c>
      <c r="P3172">
        <v>-2.4639466158366902E-2</v>
      </c>
      <c r="Q3172">
        <v>0.339976641946797</v>
      </c>
      <c r="R3172">
        <v>0.98538319649372996</v>
      </c>
      <c r="S3172" t="s">
        <v>9457</v>
      </c>
      <c r="T3172" t="s">
        <v>12568</v>
      </c>
      <c r="U3172" t="s">
        <v>12568</v>
      </c>
      <c r="V3172" t="s">
        <v>12568</v>
      </c>
      <c r="W3172" t="s">
        <v>15700</v>
      </c>
      <c r="X3172">
        <v>4</v>
      </c>
      <c r="Y3172" t="s">
        <v>21839</v>
      </c>
      <c r="Z3172" t="s">
        <v>28042</v>
      </c>
      <c r="AA3172">
        <v>0.70771087078171946</v>
      </c>
      <c r="AB3172" t="str">
        <f>HYPERLINK("Melting_Curves/meltCurve_Q15390_2_MTFR1.pdf", "Melting_Curves/meltCurve_Q15390_2_MTFR1.pdf")</f>
        <v>Melting_Curves/meltCurve_Q15390_2_MTFR1.pdf</v>
      </c>
    </row>
    <row r="3173" spans="1:28" x14ac:dyDescent="0.25">
      <c r="A3173" t="s">
        <v>3177</v>
      </c>
      <c r="B3173">
        <v>0.99352677808782597</v>
      </c>
      <c r="C3173">
        <v>0.96498161343205602</v>
      </c>
      <c r="D3173">
        <v>0.87348765832213104</v>
      </c>
      <c r="E3173">
        <v>1.1160850889926499</v>
      </c>
      <c r="F3173">
        <v>0.93789378291986902</v>
      </c>
      <c r="G3173">
        <v>0.52447008292616204</v>
      </c>
      <c r="H3173">
        <v>0.26382598072701102</v>
      </c>
      <c r="I3173">
        <v>0.19642553880514699</v>
      </c>
      <c r="J3173">
        <v>0.16651041487419199</v>
      </c>
      <c r="K3173">
        <v>0.114449122787533</v>
      </c>
      <c r="L3173">
        <v>1942.3061038798501</v>
      </c>
      <c r="M3173">
        <v>34.2472977211524</v>
      </c>
      <c r="N3173">
        <v>57.357038568040203</v>
      </c>
      <c r="O3173">
        <v>56.5218179896941</v>
      </c>
      <c r="P3173">
        <v>-0.12733482342736599</v>
      </c>
      <c r="Q3173">
        <v>0.15938854379249501</v>
      </c>
      <c r="R3173">
        <v>0.974490512267567</v>
      </c>
      <c r="S3173" t="s">
        <v>9458</v>
      </c>
      <c r="T3173" t="s">
        <v>12568</v>
      </c>
      <c r="U3173" t="s">
        <v>12568</v>
      </c>
      <c r="V3173" t="s">
        <v>12568</v>
      </c>
      <c r="W3173" t="s">
        <v>15701</v>
      </c>
      <c r="X3173">
        <v>29</v>
      </c>
      <c r="Y3173" t="s">
        <v>21840</v>
      </c>
      <c r="Z3173" t="s">
        <v>28043</v>
      </c>
      <c r="AA3173">
        <v>0.63212185853913927</v>
      </c>
      <c r="AB3173" t="str">
        <f>HYPERLINK("Melting_Curves/meltCurve_Q15393_SF3B3.pdf", "Melting_Curves/meltCurve_Q15393_SF3B3.pdf")</f>
        <v>Melting_Curves/meltCurve_Q15393_SF3B3.pdf</v>
      </c>
    </row>
    <row r="3174" spans="1:28" x14ac:dyDescent="0.25">
      <c r="A3174" t="s">
        <v>3178</v>
      </c>
      <c r="B3174">
        <v>0.99352677808782597</v>
      </c>
      <c r="C3174">
        <v>0.94962150889762198</v>
      </c>
      <c r="D3174">
        <v>0.82742421714999803</v>
      </c>
      <c r="E3174">
        <v>0.56332377717951199</v>
      </c>
      <c r="F3174">
        <v>0.48230020144277602</v>
      </c>
      <c r="G3174">
        <v>0.36968326643834598</v>
      </c>
      <c r="H3174">
        <v>0.27675712627035798</v>
      </c>
      <c r="I3174">
        <v>0.26647835997198799</v>
      </c>
      <c r="J3174">
        <v>0.255878946011805</v>
      </c>
      <c r="K3174">
        <v>0.22245328093212199</v>
      </c>
      <c r="L3174">
        <v>705.37492126801305</v>
      </c>
      <c r="M3174">
        <v>14.1545859581431</v>
      </c>
      <c r="N3174">
        <v>52.115741934648199</v>
      </c>
      <c r="O3174">
        <v>48.870632516274803</v>
      </c>
      <c r="P3174">
        <v>-5.5690790723115398E-2</v>
      </c>
      <c r="Q3174">
        <v>0.23097738205111101</v>
      </c>
      <c r="R3174">
        <v>0.99463255868038103</v>
      </c>
      <c r="S3174" t="s">
        <v>9459</v>
      </c>
      <c r="T3174" t="s">
        <v>12568</v>
      </c>
      <c r="U3174" t="s">
        <v>12568</v>
      </c>
      <c r="V3174" t="s">
        <v>12568</v>
      </c>
      <c r="W3174" t="s">
        <v>15702</v>
      </c>
      <c r="X3174">
        <v>27</v>
      </c>
      <c r="Y3174" t="s">
        <v>21841</v>
      </c>
      <c r="Z3174" t="s">
        <v>28044</v>
      </c>
      <c r="AA3174">
        <v>0.50348109676187447</v>
      </c>
      <c r="AB3174" t="str">
        <f>HYPERLINK("Melting_Curves/meltCurve_Q15398_3_DLGAP5.pdf", "Melting_Curves/meltCurve_Q15398_3_DLGAP5.pdf")</f>
        <v>Melting_Curves/meltCurve_Q15398_3_DLGAP5.pdf</v>
      </c>
    </row>
    <row r="3175" spans="1:28" x14ac:dyDescent="0.25">
      <c r="A3175" t="s">
        <v>3179</v>
      </c>
      <c r="B3175">
        <v>0.99352677808782597</v>
      </c>
      <c r="C3175">
        <v>0.99714368563072397</v>
      </c>
      <c r="D3175">
        <v>0.95576600124697897</v>
      </c>
      <c r="E3175">
        <v>0.915725455117261</v>
      </c>
      <c r="F3175">
        <v>0.84542430281951197</v>
      </c>
      <c r="G3175">
        <v>0.48161742210328101</v>
      </c>
      <c r="H3175">
        <v>0.28692052344789298</v>
      </c>
      <c r="I3175">
        <v>0.19601334166081399</v>
      </c>
      <c r="J3175">
        <v>0.11079397231150299</v>
      </c>
      <c r="K3175">
        <v>7.5784375637118595E-2</v>
      </c>
      <c r="L3175">
        <v>1031.29239417382</v>
      </c>
      <c r="M3175">
        <v>18.130792793706</v>
      </c>
      <c r="N3175">
        <v>57.285124377839303</v>
      </c>
      <c r="O3175">
        <v>56.202312079796201</v>
      </c>
      <c r="P3175">
        <v>-7.5808548244788707E-2</v>
      </c>
      <c r="Q3175">
        <v>6.0072013196858502E-2</v>
      </c>
      <c r="R3175">
        <v>0.99593590784822805</v>
      </c>
      <c r="S3175" t="s">
        <v>9460</v>
      </c>
      <c r="T3175" t="s">
        <v>12568</v>
      </c>
      <c r="U3175" t="s">
        <v>12568</v>
      </c>
      <c r="V3175" t="s">
        <v>12568</v>
      </c>
      <c r="W3175" t="s">
        <v>15703</v>
      </c>
      <c r="X3175">
        <v>17</v>
      </c>
      <c r="Y3175" t="s">
        <v>21842</v>
      </c>
      <c r="Z3175" t="s">
        <v>28045</v>
      </c>
      <c r="AA3175">
        <v>0.60189160026189292</v>
      </c>
      <c r="AB3175" t="str">
        <f>HYPERLINK("Melting_Curves/meltCurve_Q15404_RSU1.pdf", "Melting_Curves/meltCurve_Q15404_RSU1.pdf")</f>
        <v>Melting_Curves/meltCurve_Q15404_RSU1.pdf</v>
      </c>
    </row>
    <row r="3176" spans="1:28" x14ac:dyDescent="0.25">
      <c r="A3176" t="s">
        <v>3180</v>
      </c>
      <c r="B3176">
        <v>0.99352677808782597</v>
      </c>
      <c r="C3176">
        <v>0.98559072028779404</v>
      </c>
      <c r="D3176">
        <v>1.0124824781695301</v>
      </c>
      <c r="E3176">
        <v>0.80831629555603801</v>
      </c>
      <c r="F3176">
        <v>0.76828202456377104</v>
      </c>
      <c r="G3176">
        <v>0.43464713268168997</v>
      </c>
      <c r="H3176">
        <v>0.24404701534603901</v>
      </c>
      <c r="I3176">
        <v>0.23319611034798499</v>
      </c>
      <c r="J3176">
        <v>0.23338771851901</v>
      </c>
      <c r="K3176">
        <v>0.180651244458261</v>
      </c>
      <c r="L3176">
        <v>1032.4049062807101</v>
      </c>
      <c r="M3176">
        <v>18.8566085689313</v>
      </c>
      <c r="N3176">
        <v>56.044722546823202</v>
      </c>
      <c r="O3176">
        <v>54.145677915603599</v>
      </c>
      <c r="P3176">
        <v>-7.1697262872421605E-2</v>
      </c>
      <c r="Q3176">
        <v>0.17653524398468601</v>
      </c>
      <c r="R3176">
        <v>0.98912440873905305</v>
      </c>
      <c r="S3176" t="s">
        <v>9461</v>
      </c>
      <c r="T3176" t="s">
        <v>12568</v>
      </c>
      <c r="U3176" t="s">
        <v>12568</v>
      </c>
      <c r="V3176" t="s">
        <v>12568</v>
      </c>
      <c r="W3176" t="s">
        <v>15704</v>
      </c>
      <c r="X3176">
        <v>13</v>
      </c>
      <c r="Y3176" t="s">
        <v>21843</v>
      </c>
      <c r="Z3176" t="s">
        <v>28046</v>
      </c>
      <c r="AA3176">
        <v>0.59345564285178709</v>
      </c>
      <c r="AB3176" t="str">
        <f>HYPERLINK("Melting_Curves/meltCurve_Q15417_CNN3.pdf", "Melting_Curves/meltCurve_Q15417_CNN3.pdf")</f>
        <v>Melting_Curves/meltCurve_Q15417_CNN3.pdf</v>
      </c>
    </row>
    <row r="3177" spans="1:28" x14ac:dyDescent="0.25">
      <c r="A3177" t="s">
        <v>3181</v>
      </c>
      <c r="B3177">
        <v>0.99352677808782597</v>
      </c>
      <c r="C3177">
        <v>0.95580771261442699</v>
      </c>
      <c r="D3177">
        <v>0.99140732156964095</v>
      </c>
      <c r="E3177">
        <v>0.91852988047881501</v>
      </c>
      <c r="F3177">
        <v>0.87953231276669996</v>
      </c>
      <c r="G3177">
        <v>0.80986164403528105</v>
      </c>
      <c r="H3177">
        <v>0.777075307967655</v>
      </c>
      <c r="I3177">
        <v>0.79087270804023002</v>
      </c>
      <c r="J3177">
        <v>0.92944634604880005</v>
      </c>
      <c r="K3177">
        <v>0.76101501300970298</v>
      </c>
      <c r="L3177">
        <v>1187.0372733803099</v>
      </c>
      <c r="M3177">
        <v>23.350755411438701</v>
      </c>
      <c r="O3177">
        <v>50.466640664904702</v>
      </c>
      <c r="P3177">
        <v>-2.17770904134412E-2</v>
      </c>
      <c r="Q3177">
        <v>0.81174104112947798</v>
      </c>
      <c r="R3177">
        <v>0.715954532160061</v>
      </c>
      <c r="S3177" t="s">
        <v>9462</v>
      </c>
      <c r="T3177" t="s">
        <v>12568</v>
      </c>
      <c r="U3177" t="s">
        <v>12568</v>
      </c>
      <c r="V3177" t="s">
        <v>12568</v>
      </c>
      <c r="W3177" t="s">
        <v>15705</v>
      </c>
      <c r="X3177">
        <v>13</v>
      </c>
      <c r="Y3177" t="s">
        <v>21844</v>
      </c>
      <c r="Z3177" t="s">
        <v>28047</v>
      </c>
      <c r="AA3177">
        <v>0.88167558137472146</v>
      </c>
      <c r="AB3177" t="str">
        <f>HYPERLINK("Melting_Curves/meltCurve_Q15424_SAFB.pdf", "Melting_Curves/meltCurve_Q15424_SAFB.pdf")</f>
        <v>Melting_Curves/meltCurve_Q15424_SAFB.pdf</v>
      </c>
    </row>
    <row r="3178" spans="1:28" x14ac:dyDescent="0.25">
      <c r="A3178" t="s">
        <v>3182</v>
      </c>
      <c r="B3178">
        <v>0.99352677808782597</v>
      </c>
      <c r="C3178">
        <v>0.98970991213906501</v>
      </c>
      <c r="D3178">
        <v>0.96951805312159201</v>
      </c>
      <c r="E3178">
        <v>1.18252028005064</v>
      </c>
      <c r="F3178">
        <v>1.0267294301055701</v>
      </c>
      <c r="G3178">
        <v>0.70400530386619198</v>
      </c>
      <c r="H3178">
        <v>0.37848944289552899</v>
      </c>
      <c r="I3178">
        <v>0.29495069894449</v>
      </c>
      <c r="J3178">
        <v>0.26222830226069299</v>
      </c>
      <c r="K3178">
        <v>0.186844549761887</v>
      </c>
      <c r="L3178">
        <v>1953.2862324083701</v>
      </c>
      <c r="M3178">
        <v>33.650768922874803</v>
      </c>
      <c r="N3178">
        <v>59.168049985173703</v>
      </c>
      <c r="O3178">
        <v>57.8419715127812</v>
      </c>
      <c r="P3178">
        <v>-0.111134517272828</v>
      </c>
      <c r="Q3178">
        <v>0.23589110321495499</v>
      </c>
      <c r="R3178">
        <v>0.966556551182433</v>
      </c>
      <c r="S3178" t="s">
        <v>9463</v>
      </c>
      <c r="T3178" t="s">
        <v>12568</v>
      </c>
      <c r="U3178" t="s">
        <v>12568</v>
      </c>
      <c r="V3178" t="s">
        <v>12568</v>
      </c>
      <c r="W3178" t="s">
        <v>15706</v>
      </c>
      <c r="X3178">
        <v>4</v>
      </c>
      <c r="Y3178" t="s">
        <v>21845</v>
      </c>
      <c r="Z3178" t="s">
        <v>28048</v>
      </c>
      <c r="AA3178">
        <v>0.69965237057014429</v>
      </c>
      <c r="AB3178" t="str">
        <f>HYPERLINK("Melting_Curves/meltCurve_Q15427_SF3B4.pdf", "Melting_Curves/meltCurve_Q15427_SF3B4.pdf")</f>
        <v>Melting_Curves/meltCurve_Q15427_SF3B4.pdf</v>
      </c>
    </row>
    <row r="3179" spans="1:28" x14ac:dyDescent="0.25">
      <c r="A3179" t="s">
        <v>3183</v>
      </c>
      <c r="B3179">
        <v>0.99352677808782597</v>
      </c>
      <c r="C3179">
        <v>0.92687447525185396</v>
      </c>
      <c r="D3179">
        <v>0.80151584954243804</v>
      </c>
      <c r="E3179">
        <v>0.49287689819219599</v>
      </c>
      <c r="F3179">
        <v>0.42869270800415499</v>
      </c>
      <c r="G3179">
        <v>0.28907109174734602</v>
      </c>
      <c r="H3179">
        <v>0.21174991289282299</v>
      </c>
      <c r="I3179">
        <v>0.168819798340829</v>
      </c>
      <c r="J3179">
        <v>0.15027193134986</v>
      </c>
      <c r="K3179">
        <v>0.119154673301905</v>
      </c>
      <c r="L3179">
        <v>662.78430671574097</v>
      </c>
      <c r="M3179">
        <v>13.290668630924699</v>
      </c>
      <c r="N3179">
        <v>50.978930598485199</v>
      </c>
      <c r="O3179">
        <v>48.779988258552102</v>
      </c>
      <c r="P3179">
        <v>-5.95635356248264E-2</v>
      </c>
      <c r="Q3179">
        <v>0.12569102314216701</v>
      </c>
      <c r="R3179">
        <v>0.99264629127592896</v>
      </c>
      <c r="S3179" t="s">
        <v>9464</v>
      </c>
      <c r="T3179" t="s">
        <v>12568</v>
      </c>
      <c r="U3179" t="s">
        <v>12568</v>
      </c>
      <c r="V3179" t="s">
        <v>12568</v>
      </c>
      <c r="W3179" t="s">
        <v>15707</v>
      </c>
      <c r="X3179">
        <v>5</v>
      </c>
      <c r="Y3179" t="s">
        <v>21846</v>
      </c>
      <c r="Z3179" t="s">
        <v>28049</v>
      </c>
      <c r="AA3179">
        <v>0.43911751079541927</v>
      </c>
      <c r="AB3179" t="str">
        <f>HYPERLINK("Melting_Curves/meltCurve_Q15428_SF3A2.pdf", "Melting_Curves/meltCurve_Q15428_SF3A2.pdf")</f>
        <v>Melting_Curves/meltCurve_Q15428_SF3A2.pdf</v>
      </c>
    </row>
    <row r="3180" spans="1:28" x14ac:dyDescent="0.25">
      <c r="A3180" t="s">
        <v>3184</v>
      </c>
      <c r="B3180">
        <v>0.99352677808782597</v>
      </c>
      <c r="C3180">
        <v>1.30647491940004</v>
      </c>
      <c r="D3180">
        <v>0.52796604761127996</v>
      </c>
      <c r="E3180">
        <v>0.59920206756350203</v>
      </c>
      <c r="F3180">
        <v>0.50322042599626504</v>
      </c>
      <c r="G3180">
        <v>0.29534100199246799</v>
      </c>
      <c r="H3180">
        <v>0.1398929974116</v>
      </c>
      <c r="I3180">
        <v>0.11266278436516999</v>
      </c>
      <c r="J3180">
        <v>9.6707465011122207E-2</v>
      </c>
      <c r="K3180">
        <v>6.9936923803394793E-2</v>
      </c>
      <c r="L3180">
        <v>632.56708485617298</v>
      </c>
      <c r="M3180">
        <v>12.291081579257501</v>
      </c>
      <c r="N3180">
        <v>51.837916755118002</v>
      </c>
      <c r="O3180">
        <v>50.160083255842601</v>
      </c>
      <c r="P3180">
        <v>-5.8683707319287903E-2</v>
      </c>
      <c r="Q3180">
        <v>4.2254157018358399E-2</v>
      </c>
      <c r="R3180">
        <v>0.84772727523306701</v>
      </c>
      <c r="S3180" t="s">
        <v>9465</v>
      </c>
      <c r="T3180" t="s">
        <v>12568</v>
      </c>
      <c r="U3180" t="s">
        <v>12568</v>
      </c>
      <c r="V3180" t="s">
        <v>12568</v>
      </c>
      <c r="W3180" t="s">
        <v>15708</v>
      </c>
      <c r="X3180">
        <v>20</v>
      </c>
      <c r="Y3180" t="s">
        <v>21847</v>
      </c>
      <c r="Z3180" t="s">
        <v>28050</v>
      </c>
      <c r="AA3180">
        <v>0.43765198618751128</v>
      </c>
      <c r="AB3180" t="str">
        <f>HYPERLINK("Melting_Curves/meltCurve_Q15435_PPP1R7.pdf", "Melting_Curves/meltCurve_Q15435_PPP1R7.pdf")</f>
        <v>Melting_Curves/meltCurve_Q15435_PPP1R7.pdf</v>
      </c>
    </row>
    <row r="3181" spans="1:28" x14ac:dyDescent="0.25">
      <c r="A3181" t="s">
        <v>3185</v>
      </c>
      <c r="B3181">
        <v>0.99352677808782597</v>
      </c>
      <c r="C3181">
        <v>0.94925786475382401</v>
      </c>
      <c r="D3181">
        <v>0.88238767263870099</v>
      </c>
      <c r="E3181">
        <v>0.61237364777945802</v>
      </c>
      <c r="F3181">
        <v>0.49474966623237998</v>
      </c>
      <c r="G3181">
        <v>0.366734208610004</v>
      </c>
      <c r="H3181">
        <v>0.14608139351430799</v>
      </c>
      <c r="I3181">
        <v>0.11312861128077401</v>
      </c>
      <c r="J3181">
        <v>9.1288807765649904E-2</v>
      </c>
      <c r="K3181">
        <v>7.4928977852730602E-2</v>
      </c>
      <c r="L3181">
        <v>621.13464986171596</v>
      </c>
      <c r="M3181">
        <v>11.7653339363389</v>
      </c>
      <c r="N3181">
        <v>52.922644833107299</v>
      </c>
      <c r="O3181">
        <v>51.337679173068203</v>
      </c>
      <c r="P3181">
        <v>-5.6498530464184703E-2</v>
      </c>
      <c r="Q3181">
        <v>1.41380230706393E-2</v>
      </c>
      <c r="R3181">
        <v>0.99260305117088399</v>
      </c>
      <c r="S3181" t="s">
        <v>9466</v>
      </c>
      <c r="T3181" t="s">
        <v>12568</v>
      </c>
      <c r="U3181" t="s">
        <v>12568</v>
      </c>
      <c r="V3181" t="s">
        <v>12568</v>
      </c>
      <c r="W3181" t="s">
        <v>15709</v>
      </c>
      <c r="X3181">
        <v>17</v>
      </c>
      <c r="Y3181" t="s">
        <v>21848</v>
      </c>
      <c r="Z3181" t="s">
        <v>28051</v>
      </c>
      <c r="AA3181">
        <v>0.46373007710567837</v>
      </c>
      <c r="AB3181" t="str">
        <f>HYPERLINK("Melting_Curves/meltCurve_Q15437_SEC23B.pdf", "Melting_Curves/meltCurve_Q15437_SEC23B.pdf")</f>
        <v>Melting_Curves/meltCurve_Q15437_SEC23B.pdf</v>
      </c>
    </row>
    <row r="3182" spans="1:28" x14ac:dyDescent="0.25">
      <c r="A3182" t="s">
        <v>3186</v>
      </c>
      <c r="B3182">
        <v>0.99352677808782597</v>
      </c>
      <c r="C3182">
        <v>0.98028432809361699</v>
      </c>
      <c r="D3182">
        <v>0.927845598296962</v>
      </c>
      <c r="E3182">
        <v>0.584013683047374</v>
      </c>
      <c r="F3182">
        <v>0.47781723389552999</v>
      </c>
      <c r="G3182">
        <v>0.22187782003808099</v>
      </c>
      <c r="H3182">
        <v>0.15324051846984499</v>
      </c>
      <c r="I3182">
        <v>0.147494838504484</v>
      </c>
      <c r="J3182">
        <v>0.124389725307329</v>
      </c>
      <c r="K3182">
        <v>8.1596746644738705E-2</v>
      </c>
      <c r="L3182">
        <v>865.23500450174004</v>
      </c>
      <c r="M3182">
        <v>16.869725873974399</v>
      </c>
      <c r="N3182">
        <v>51.957562374491403</v>
      </c>
      <c r="O3182">
        <v>50.5847631998463</v>
      </c>
      <c r="P3182">
        <v>-7.5246600157440793E-2</v>
      </c>
      <c r="Q3182">
        <v>9.7533792183821202E-2</v>
      </c>
      <c r="R3182">
        <v>0.992711919162237</v>
      </c>
      <c r="S3182" t="s">
        <v>9467</v>
      </c>
      <c r="T3182" t="s">
        <v>12568</v>
      </c>
      <c r="U3182" t="s">
        <v>12568</v>
      </c>
      <c r="V3182" t="s">
        <v>12568</v>
      </c>
      <c r="W3182" t="s">
        <v>15710</v>
      </c>
      <c r="X3182">
        <v>6</v>
      </c>
      <c r="Y3182" t="s">
        <v>21849</v>
      </c>
      <c r="Z3182" t="s">
        <v>28052</v>
      </c>
      <c r="AA3182">
        <v>0.45411401646280319</v>
      </c>
      <c r="AB3182" t="str">
        <f>HYPERLINK("Melting_Curves/meltCurve_Q15438_2_CYTH1.pdf", "Melting_Curves/meltCurve_Q15438_2_CYTH1.pdf")</f>
        <v>Melting_Curves/meltCurve_Q15438_2_CYTH1.pdf</v>
      </c>
    </row>
    <row r="3183" spans="1:28" x14ac:dyDescent="0.25">
      <c r="A3183" t="s">
        <v>3187</v>
      </c>
      <c r="B3183">
        <v>0.99352677808782597</v>
      </c>
      <c r="C3183">
        <v>0.95003899365483901</v>
      </c>
      <c r="D3183">
        <v>0.85513081622098497</v>
      </c>
      <c r="E3183">
        <v>0.61311992206412802</v>
      </c>
      <c r="F3183">
        <v>0.46397303127082701</v>
      </c>
      <c r="G3183">
        <v>0.37524284112897799</v>
      </c>
      <c r="H3183">
        <v>0.226665173386698</v>
      </c>
      <c r="I3183">
        <v>0.20110722959792199</v>
      </c>
      <c r="J3183">
        <v>0.17465915993681</v>
      </c>
      <c r="K3183">
        <v>0.13649588758363199</v>
      </c>
      <c r="L3183">
        <v>641.12334095818801</v>
      </c>
      <c r="M3183">
        <v>12.4577886802261</v>
      </c>
      <c r="N3183">
        <v>52.686844631857397</v>
      </c>
      <c r="O3183">
        <v>50.191554165524799</v>
      </c>
      <c r="P3183">
        <v>-5.4270343134397103E-2</v>
      </c>
      <c r="Q3183">
        <v>0.125576939981067</v>
      </c>
      <c r="R3183">
        <v>0.99498205030752696</v>
      </c>
      <c r="S3183" t="s">
        <v>9468</v>
      </c>
      <c r="T3183" t="s">
        <v>12568</v>
      </c>
      <c r="U3183" t="s">
        <v>12568</v>
      </c>
      <c r="V3183" t="s">
        <v>12568</v>
      </c>
      <c r="W3183" t="s">
        <v>15711</v>
      </c>
      <c r="X3183">
        <v>29</v>
      </c>
      <c r="Y3183" t="s">
        <v>21850</v>
      </c>
      <c r="Z3183" t="s">
        <v>28053</v>
      </c>
      <c r="AA3183">
        <v>0.48602367819699682</v>
      </c>
      <c r="AB3183" t="str">
        <f>HYPERLINK("Melting_Curves/meltCurve_Q15459_SF3A1.pdf", "Melting_Curves/meltCurve_Q15459_SF3A1.pdf")</f>
        <v>Melting_Curves/meltCurve_Q15459_SF3A1.pdf</v>
      </c>
    </row>
    <row r="3184" spans="1:28" x14ac:dyDescent="0.25">
      <c r="A3184" t="s">
        <v>3188</v>
      </c>
      <c r="B3184">
        <v>0.99352677808782597</v>
      </c>
      <c r="C3184">
        <v>0.97673318950848398</v>
      </c>
      <c r="D3184">
        <v>0.96512066563338295</v>
      </c>
      <c r="E3184">
        <v>0.67265532136471495</v>
      </c>
      <c r="F3184">
        <v>0.59299401517374595</v>
      </c>
      <c r="G3184">
        <v>0.63510114298981901</v>
      </c>
      <c r="H3184">
        <v>0.48649600495417999</v>
      </c>
      <c r="I3184">
        <v>0.49097088467185002</v>
      </c>
      <c r="J3184">
        <v>0.56608999229860502</v>
      </c>
      <c r="K3184">
        <v>0.41633878769298199</v>
      </c>
      <c r="L3184">
        <v>1157.3227046930101</v>
      </c>
      <c r="M3184">
        <v>23.493994107723999</v>
      </c>
      <c r="O3184">
        <v>48.907649932736099</v>
      </c>
      <c r="P3184">
        <v>-5.8851210419898901E-2</v>
      </c>
      <c r="Q3184">
        <v>0.50996427798645905</v>
      </c>
      <c r="R3184">
        <v>0.935470006742954</v>
      </c>
      <c r="S3184" t="s">
        <v>9469</v>
      </c>
      <c r="T3184" t="s">
        <v>12568</v>
      </c>
      <c r="U3184" t="s">
        <v>12568</v>
      </c>
      <c r="V3184" t="s">
        <v>12568</v>
      </c>
      <c r="W3184" t="s">
        <v>15712</v>
      </c>
      <c r="X3184">
        <v>5</v>
      </c>
      <c r="Y3184" t="s">
        <v>21851</v>
      </c>
      <c r="Z3184" t="s">
        <v>28054</v>
      </c>
      <c r="AA3184">
        <v>0.66616777412290773</v>
      </c>
      <c r="AB3184" t="str">
        <f>HYPERLINK("Melting_Curves/meltCurve_Q15464_SHB.pdf", "Melting_Curves/meltCurve_Q15464_SHB.pdf")</f>
        <v>Melting_Curves/meltCurve_Q15464_SHB.pdf</v>
      </c>
    </row>
    <row r="3185" spans="1:28" x14ac:dyDescent="0.25">
      <c r="A3185" t="s">
        <v>3189</v>
      </c>
      <c r="B3185">
        <v>0.99352677808782597</v>
      </c>
      <c r="C3185">
        <v>0.83044327014322605</v>
      </c>
      <c r="D3185">
        <v>0.571439665507816</v>
      </c>
      <c r="E3185">
        <v>0.25934504185475099</v>
      </c>
      <c r="F3185">
        <v>0.207605653718343</v>
      </c>
      <c r="G3185">
        <v>0.11855195551470001</v>
      </c>
      <c r="H3185">
        <v>8.9619186809099805E-2</v>
      </c>
      <c r="I3185">
        <v>8.4441586510072303E-2</v>
      </c>
      <c r="J3185">
        <v>7.5575310489895006E-2</v>
      </c>
      <c r="K3185">
        <v>6.22450974632252E-2</v>
      </c>
      <c r="L3185">
        <v>848.25606571118794</v>
      </c>
      <c r="M3185">
        <v>18.2637425245067</v>
      </c>
      <c r="N3185">
        <v>46.889604224970199</v>
      </c>
      <c r="O3185">
        <v>45.8987443530985</v>
      </c>
      <c r="P3185">
        <v>-9.1570593860813301E-2</v>
      </c>
      <c r="Q3185">
        <v>7.9536064051236297E-2</v>
      </c>
      <c r="R3185">
        <v>0.99611301620856796</v>
      </c>
      <c r="S3185" t="s">
        <v>9470</v>
      </c>
      <c r="T3185" t="s">
        <v>12568</v>
      </c>
      <c r="U3185" t="s">
        <v>12568</v>
      </c>
      <c r="V3185" t="s">
        <v>12568</v>
      </c>
      <c r="W3185" t="s">
        <v>15713</v>
      </c>
      <c r="X3185">
        <v>13</v>
      </c>
      <c r="Y3185" t="s">
        <v>21852</v>
      </c>
      <c r="Z3185" t="s">
        <v>28055</v>
      </c>
      <c r="AA3185">
        <v>0.29423807303534932</v>
      </c>
      <c r="AB3185" t="str">
        <f>HYPERLINK("Melting_Curves/meltCurve_Q15477_SKIV2L.pdf", "Melting_Curves/meltCurve_Q15477_SKIV2L.pdf")</f>
        <v>Melting_Curves/meltCurve_Q15477_SKIV2L.pdf</v>
      </c>
    </row>
    <row r="3186" spans="1:28" x14ac:dyDescent="0.25">
      <c r="A3186" t="s">
        <v>3190</v>
      </c>
      <c r="B3186">
        <v>0.99352677808782597</v>
      </c>
      <c r="C3186">
        <v>0.96216985603639205</v>
      </c>
      <c r="D3186">
        <v>0.99797757111454999</v>
      </c>
      <c r="E3186">
        <v>0.87590187251652696</v>
      </c>
      <c r="F3186">
        <v>0.81969684478238203</v>
      </c>
      <c r="G3186">
        <v>0.71427296637061999</v>
      </c>
      <c r="H3186">
        <v>0.79354900534575901</v>
      </c>
      <c r="I3186">
        <v>0.81597603022260501</v>
      </c>
      <c r="J3186">
        <v>0.64806681838969005</v>
      </c>
      <c r="K3186">
        <v>0.91209403275243195</v>
      </c>
      <c r="L3186">
        <v>1807.02075118415</v>
      </c>
      <c r="M3186">
        <v>36.294887266954603</v>
      </c>
      <c r="O3186">
        <v>49.636781901138903</v>
      </c>
      <c r="P3186">
        <v>-4.03580324995087E-2</v>
      </c>
      <c r="Q3186">
        <v>0.77922656501158205</v>
      </c>
      <c r="R3186">
        <v>0.65488859674546496</v>
      </c>
      <c r="S3186" t="s">
        <v>9471</v>
      </c>
      <c r="T3186" t="s">
        <v>12568</v>
      </c>
      <c r="U3186" t="s">
        <v>12568</v>
      </c>
      <c r="V3186" t="s">
        <v>12568</v>
      </c>
      <c r="W3186" t="s">
        <v>15714</v>
      </c>
      <c r="X3186">
        <v>1</v>
      </c>
      <c r="Y3186" t="s">
        <v>21853</v>
      </c>
      <c r="Z3186" t="s">
        <v>28056</v>
      </c>
      <c r="AA3186">
        <v>0.85217679296853355</v>
      </c>
      <c r="AB3186" t="str">
        <f>HYPERLINK("Melting_Curves/meltCurve_Q15526_2_SURF1.pdf", "Melting_Curves/meltCurve_Q15526_2_SURF1.pdf")</f>
        <v>Melting_Curves/meltCurve_Q15526_2_SURF1.pdf</v>
      </c>
    </row>
    <row r="3187" spans="1:28" x14ac:dyDescent="0.25">
      <c r="A3187" t="s">
        <v>3191</v>
      </c>
      <c r="B3187">
        <v>0.99352677808782597</v>
      </c>
      <c r="C3187">
        <v>1.0271944874608601</v>
      </c>
      <c r="D3187">
        <v>0.92714106290218301</v>
      </c>
      <c r="E3187">
        <v>0.60440499014590499</v>
      </c>
      <c r="F3187">
        <v>0.53000308560423803</v>
      </c>
      <c r="G3187">
        <v>0.35252674365180497</v>
      </c>
      <c r="H3187">
        <v>0.32022364083466598</v>
      </c>
      <c r="I3187">
        <v>0.27496115316522701</v>
      </c>
      <c r="J3187">
        <v>0.31429316798281198</v>
      </c>
      <c r="K3187">
        <v>0.18674559099743901</v>
      </c>
      <c r="L3187">
        <v>894.95102421434001</v>
      </c>
      <c r="M3187">
        <v>17.673805970675598</v>
      </c>
      <c r="N3187">
        <v>52.8130559458749</v>
      </c>
      <c r="O3187">
        <v>50.002212323189603</v>
      </c>
      <c r="P3187">
        <v>-6.5517096419575802E-2</v>
      </c>
      <c r="Q3187">
        <v>0.25860315994234701</v>
      </c>
      <c r="R3187">
        <v>0.97928095202056198</v>
      </c>
      <c r="S3187" t="s">
        <v>9472</v>
      </c>
      <c r="T3187" t="s">
        <v>12568</v>
      </c>
      <c r="U3187" t="s">
        <v>12568</v>
      </c>
      <c r="V3187" t="s">
        <v>12568</v>
      </c>
      <c r="W3187" t="s">
        <v>15715</v>
      </c>
      <c r="X3187">
        <v>5</v>
      </c>
      <c r="Y3187" t="s">
        <v>21854</v>
      </c>
      <c r="Z3187" t="s">
        <v>28057</v>
      </c>
      <c r="AA3187">
        <v>0.53445377063207899</v>
      </c>
      <c r="AB3187" t="str">
        <f>HYPERLINK("Melting_Curves/meltCurve_Q15527_SURF2.pdf", "Melting_Curves/meltCurve_Q15527_SURF2.pdf")</f>
        <v>Melting_Curves/meltCurve_Q15527_SURF2.pdf</v>
      </c>
    </row>
    <row r="3188" spans="1:28" x14ac:dyDescent="0.25">
      <c r="A3188" t="s">
        <v>3192</v>
      </c>
      <c r="B3188">
        <v>0.99352677808782597</v>
      </c>
      <c r="C3188">
        <v>1.06197959335701</v>
      </c>
      <c r="D3188">
        <v>0.82399743767269396</v>
      </c>
      <c r="E3188">
        <v>0.42352335402420199</v>
      </c>
      <c r="F3188">
        <v>0.37675029466598098</v>
      </c>
      <c r="G3188">
        <v>0.220919182084202</v>
      </c>
      <c r="H3188">
        <v>0.13949646003055099</v>
      </c>
      <c r="I3188">
        <v>0.165610540948783</v>
      </c>
      <c r="J3188">
        <v>0.135882168900786</v>
      </c>
      <c r="K3188">
        <v>5.83323326287307E-2</v>
      </c>
      <c r="L3188">
        <v>959.35007427852895</v>
      </c>
      <c r="M3188">
        <v>19.4768896048855</v>
      </c>
      <c r="N3188">
        <v>50.017865697349897</v>
      </c>
      <c r="O3188">
        <v>48.745368040865898</v>
      </c>
      <c r="P3188">
        <v>-8.7069934226216006E-2</v>
      </c>
      <c r="Q3188">
        <v>0.12838146506581699</v>
      </c>
      <c r="R3188">
        <v>0.97657100261998797</v>
      </c>
      <c r="S3188" t="s">
        <v>9473</v>
      </c>
      <c r="T3188" t="s">
        <v>12568</v>
      </c>
      <c r="U3188" t="s">
        <v>12568</v>
      </c>
      <c r="V3188" t="s">
        <v>12568</v>
      </c>
      <c r="W3188" t="s">
        <v>15716</v>
      </c>
      <c r="X3188">
        <v>2</v>
      </c>
      <c r="Y3188" t="s">
        <v>21855</v>
      </c>
      <c r="Z3188" t="s">
        <v>28058</v>
      </c>
      <c r="AA3188">
        <v>0.41014836356776929</v>
      </c>
      <c r="AB3188" t="str">
        <f>HYPERLINK("Melting_Curves/meltCurve_Q15542_2_TAF5.pdf", "Melting_Curves/meltCurve_Q15542_2_TAF5.pdf")</f>
        <v>Melting_Curves/meltCurve_Q15542_2_TAF5.pdf</v>
      </c>
    </row>
    <row r="3189" spans="1:28" x14ac:dyDescent="0.25">
      <c r="A3189" t="s">
        <v>3193</v>
      </c>
      <c r="B3189">
        <v>0.99352677808782597</v>
      </c>
      <c r="C3189">
        <v>0.96149315764968502</v>
      </c>
      <c r="D3189">
        <v>0.91880491466544101</v>
      </c>
      <c r="E3189">
        <v>0.89060794065608695</v>
      </c>
      <c r="F3189">
        <v>0.78989384026532705</v>
      </c>
      <c r="G3189">
        <v>0.67382652812358301</v>
      </c>
      <c r="H3189">
        <v>0.58069338655930502</v>
      </c>
      <c r="I3189">
        <v>0.59272030123615305</v>
      </c>
      <c r="J3189">
        <v>0.69128443362830505</v>
      </c>
      <c r="K3189">
        <v>0.56377349859834502</v>
      </c>
      <c r="L3189">
        <v>791.22697078739498</v>
      </c>
      <c r="M3189">
        <v>15.092738134418401</v>
      </c>
      <c r="O3189">
        <v>51.529863243070899</v>
      </c>
      <c r="P3189">
        <v>-3.0319036157102901E-2</v>
      </c>
      <c r="Q3189">
        <v>0.58597807084994302</v>
      </c>
      <c r="R3189">
        <v>0.94071408672535295</v>
      </c>
      <c r="S3189" t="s">
        <v>9474</v>
      </c>
      <c r="T3189" t="s">
        <v>12568</v>
      </c>
      <c r="U3189" t="s">
        <v>12568</v>
      </c>
      <c r="V3189" t="s">
        <v>12568</v>
      </c>
      <c r="W3189" t="s">
        <v>15717</v>
      </c>
      <c r="X3189">
        <v>13</v>
      </c>
      <c r="Y3189" t="s">
        <v>21856</v>
      </c>
      <c r="Z3189" t="s">
        <v>28059</v>
      </c>
      <c r="AA3189">
        <v>0.76647593043100393</v>
      </c>
      <c r="AB3189" t="str">
        <f>HYPERLINK("Melting_Curves/meltCurve_Q15545_TAF7.pdf", "Melting_Curves/meltCurve_Q15545_TAF7.pdf")</f>
        <v>Melting_Curves/meltCurve_Q15545_TAF7.pdf</v>
      </c>
    </row>
    <row r="3190" spans="1:28" x14ac:dyDescent="0.25">
      <c r="A3190" t="s">
        <v>3194</v>
      </c>
      <c r="B3190">
        <v>0.99352677808782597</v>
      </c>
      <c r="C3190">
        <v>0.96843541675049305</v>
      </c>
      <c r="D3190">
        <v>0.98692572119339705</v>
      </c>
      <c r="E3190">
        <v>0.61847290689337897</v>
      </c>
      <c r="F3190">
        <v>0.52489814532671097</v>
      </c>
      <c r="G3190">
        <v>0.46616092275433402</v>
      </c>
      <c r="H3190">
        <v>0.37843145675315698</v>
      </c>
      <c r="I3190">
        <v>0.414847379654325</v>
      </c>
      <c r="J3190">
        <v>0.42034430471364598</v>
      </c>
      <c r="K3190">
        <v>0.36060354717325199</v>
      </c>
      <c r="L3190">
        <v>1406.7355170384101</v>
      </c>
      <c r="M3190">
        <v>28.444070162557701</v>
      </c>
      <c r="N3190">
        <v>52.580719293126101</v>
      </c>
      <c r="O3190">
        <v>49.2136816938715</v>
      </c>
      <c r="P3190">
        <v>-8.5574616852076096E-2</v>
      </c>
      <c r="Q3190">
        <v>0.407762949959249</v>
      </c>
      <c r="R3190">
        <v>0.98152212934053396</v>
      </c>
      <c r="S3190" t="s">
        <v>9475</v>
      </c>
      <c r="T3190" t="s">
        <v>12568</v>
      </c>
      <c r="U3190" t="s">
        <v>12568</v>
      </c>
      <c r="V3190" t="s">
        <v>12568</v>
      </c>
      <c r="W3190" t="s">
        <v>15718</v>
      </c>
      <c r="X3190">
        <v>7</v>
      </c>
      <c r="Y3190" t="s">
        <v>21857</v>
      </c>
      <c r="Z3190" t="s">
        <v>28060</v>
      </c>
      <c r="AA3190">
        <v>0.59848788818062171</v>
      </c>
      <c r="AB3190" t="str">
        <f>HYPERLINK("Melting_Curves/meltCurve_Q15554_3_TERF2.pdf", "Melting_Curves/meltCurve_Q15554_3_TERF2.pdf")</f>
        <v>Melting_Curves/meltCurve_Q15554_3_TERF2.pdf</v>
      </c>
    </row>
    <row r="3191" spans="1:28" x14ac:dyDescent="0.25">
      <c r="A3191" t="s">
        <v>3195</v>
      </c>
      <c r="B3191">
        <v>0.99352677808782597</v>
      </c>
      <c r="C3191">
        <v>0.93308256486916696</v>
      </c>
      <c r="D3191">
        <v>1.04814319333001</v>
      </c>
      <c r="E3191">
        <v>0.70490753065251399</v>
      </c>
      <c r="F3191">
        <v>0.59769770024037205</v>
      </c>
      <c r="G3191">
        <v>0.47174329151043598</v>
      </c>
      <c r="H3191">
        <v>0.33386484661521898</v>
      </c>
      <c r="I3191">
        <v>0.33505734834603002</v>
      </c>
      <c r="J3191">
        <v>0.37588207431454401</v>
      </c>
      <c r="K3191">
        <v>0.34628739484961601</v>
      </c>
      <c r="L3191">
        <v>1036.31219252345</v>
      </c>
      <c r="M3191">
        <v>20.134379415938099</v>
      </c>
      <c r="N3191">
        <v>54.651888253666399</v>
      </c>
      <c r="O3191">
        <v>50.970130334671801</v>
      </c>
      <c r="P3191">
        <v>-6.4669681791346204E-2</v>
      </c>
      <c r="Q3191">
        <v>0.345176200632828</v>
      </c>
      <c r="R3191">
        <v>0.96997651932087903</v>
      </c>
      <c r="S3191" t="s">
        <v>9476</v>
      </c>
      <c r="T3191" t="s">
        <v>12568</v>
      </c>
      <c r="U3191" t="s">
        <v>12568</v>
      </c>
      <c r="V3191" t="s">
        <v>12568</v>
      </c>
      <c r="W3191" t="s">
        <v>15719</v>
      </c>
      <c r="X3191">
        <v>3</v>
      </c>
      <c r="Y3191" t="s">
        <v>21858</v>
      </c>
      <c r="Z3191" t="s">
        <v>28061</v>
      </c>
      <c r="AA3191">
        <v>0.60450020716306008</v>
      </c>
      <c r="AB3191" t="str">
        <f>HYPERLINK("Melting_Curves/meltCurve_Q15583_4_TGIF1.pdf", "Melting_Curves/meltCurve_Q15583_4_TGIF1.pdf")</f>
        <v>Melting_Curves/meltCurve_Q15583_4_TGIF1.pdf</v>
      </c>
    </row>
    <row r="3192" spans="1:28" x14ac:dyDescent="0.25">
      <c r="A3192" t="s">
        <v>3196</v>
      </c>
      <c r="B3192">
        <v>0.99352677808782597</v>
      </c>
      <c r="C3192">
        <v>0.95930125703887903</v>
      </c>
      <c r="D3192">
        <v>0.901228971421696</v>
      </c>
      <c r="E3192">
        <v>0.52197146018025498</v>
      </c>
      <c r="F3192">
        <v>0.44289897725189598</v>
      </c>
      <c r="G3192">
        <v>0.34600563979606602</v>
      </c>
      <c r="H3192">
        <v>0.29226715209604098</v>
      </c>
      <c r="I3192">
        <v>0.28339223133938901</v>
      </c>
      <c r="J3192">
        <v>0.30086390907636801</v>
      </c>
      <c r="K3192">
        <v>0.239568340768922</v>
      </c>
      <c r="L3192">
        <v>1055.7087778772</v>
      </c>
      <c r="M3192">
        <v>21.506945463823801</v>
      </c>
      <c r="N3192">
        <v>51.071452052949702</v>
      </c>
      <c r="O3192">
        <v>48.6684044876691</v>
      </c>
      <c r="P3192">
        <v>-7.9189337643875105E-2</v>
      </c>
      <c r="Q3192">
        <v>0.28322232343807702</v>
      </c>
      <c r="R3192">
        <v>0.98968583520537301</v>
      </c>
      <c r="S3192" t="s">
        <v>9477</v>
      </c>
      <c r="T3192" t="s">
        <v>12568</v>
      </c>
      <c r="U3192" t="s">
        <v>12568</v>
      </c>
      <c r="V3192" t="s">
        <v>12568</v>
      </c>
      <c r="W3192" t="s">
        <v>15720</v>
      </c>
      <c r="X3192">
        <v>12</v>
      </c>
      <c r="Y3192" t="s">
        <v>21859</v>
      </c>
      <c r="Z3192" t="s">
        <v>28062</v>
      </c>
      <c r="AA3192">
        <v>0.50898538107505431</v>
      </c>
      <c r="AB3192" t="str">
        <f>HYPERLINK("Melting_Curves/meltCurve_Q15596_NCOA2.pdf", "Melting_Curves/meltCurve_Q15596_NCOA2.pdf")</f>
        <v>Melting_Curves/meltCurve_Q15596_NCOA2.pdf</v>
      </c>
    </row>
    <row r="3193" spans="1:28" x14ac:dyDescent="0.25">
      <c r="A3193" t="s">
        <v>3197</v>
      </c>
      <c r="B3193">
        <v>0.99352677808782597</v>
      </c>
      <c r="C3193">
        <v>0.96231029660899403</v>
      </c>
      <c r="D3193">
        <v>0.93298378618515199</v>
      </c>
      <c r="E3193">
        <v>0.80958481889990996</v>
      </c>
      <c r="F3193">
        <v>0.75319881176717896</v>
      </c>
      <c r="G3193">
        <v>0.65580155820267705</v>
      </c>
      <c r="H3193">
        <v>0.56448370126769498</v>
      </c>
      <c r="I3193">
        <v>0.596056817476319</v>
      </c>
      <c r="J3193">
        <v>0.57585631907750501</v>
      </c>
      <c r="K3193">
        <v>0.48556772254935798</v>
      </c>
      <c r="L3193">
        <v>576.37551283305902</v>
      </c>
      <c r="M3193">
        <v>10.876387266322499</v>
      </c>
      <c r="O3193">
        <v>51.296248477643303</v>
      </c>
      <c r="P3193">
        <v>-2.6825327061615101E-2</v>
      </c>
      <c r="Q3193">
        <v>0.49411366934171302</v>
      </c>
      <c r="R3193">
        <v>0.98198091251442998</v>
      </c>
      <c r="S3193" t="s">
        <v>9478</v>
      </c>
      <c r="T3193" t="s">
        <v>12568</v>
      </c>
      <c r="U3193" t="s">
        <v>12568</v>
      </c>
      <c r="V3193" t="s">
        <v>12568</v>
      </c>
      <c r="W3193" t="s">
        <v>15721</v>
      </c>
      <c r="X3193">
        <v>13</v>
      </c>
      <c r="Y3193" t="s">
        <v>21860</v>
      </c>
      <c r="Z3193" t="s">
        <v>28063</v>
      </c>
      <c r="AA3193">
        <v>0.72920849580173663</v>
      </c>
      <c r="AB3193" t="str">
        <f>HYPERLINK("Melting_Curves/meltCurve_Q15599_SLC9A3R2.pdf", "Melting_Curves/meltCurve_Q15599_SLC9A3R2.pdf")</f>
        <v>Melting_Curves/meltCurve_Q15599_SLC9A3R2.pdf</v>
      </c>
    </row>
    <row r="3194" spans="1:28" x14ac:dyDescent="0.25">
      <c r="A3194" t="s">
        <v>3198</v>
      </c>
      <c r="B3194">
        <v>0.99352677808782597</v>
      </c>
      <c r="C3194">
        <v>1.0131538732533401</v>
      </c>
      <c r="D3194">
        <v>1.02517677495667</v>
      </c>
      <c r="E3194">
        <v>0.88655857041300601</v>
      </c>
      <c r="F3194">
        <v>0.90747750214509704</v>
      </c>
      <c r="G3194">
        <v>0.78468511577115996</v>
      </c>
      <c r="H3194">
        <v>0.72831490961617196</v>
      </c>
      <c r="I3194">
        <v>0.876919527381951</v>
      </c>
      <c r="J3194">
        <v>0.75525322559555896</v>
      </c>
      <c r="K3194">
        <v>0.69424121195174404</v>
      </c>
      <c r="L3194">
        <v>932.73799255285496</v>
      </c>
      <c r="M3194">
        <v>17.671916946513399</v>
      </c>
      <c r="O3194">
        <v>52.118854959115403</v>
      </c>
      <c r="P3194">
        <v>-2.10349179932862E-2</v>
      </c>
      <c r="Q3194">
        <v>0.751864451330715</v>
      </c>
      <c r="R3194">
        <v>0.814225245419263</v>
      </c>
      <c r="S3194" t="s">
        <v>9479</v>
      </c>
      <c r="T3194" t="s">
        <v>12568</v>
      </c>
      <c r="U3194" t="s">
        <v>12568</v>
      </c>
      <c r="V3194" t="s">
        <v>12568</v>
      </c>
      <c r="W3194" t="s">
        <v>15722</v>
      </c>
      <c r="X3194">
        <v>10</v>
      </c>
      <c r="Y3194" t="s">
        <v>21860</v>
      </c>
      <c r="Z3194" t="s">
        <v>28064</v>
      </c>
      <c r="AA3194">
        <v>0.86177921584098749</v>
      </c>
      <c r="AB3194" t="str">
        <f>HYPERLINK("Melting_Curves/meltCurve_Q15599_3_SLC9A3R2.pdf", "Melting_Curves/meltCurve_Q15599_3_SLC9A3R2.pdf")</f>
        <v>Melting_Curves/meltCurve_Q15599_3_SLC9A3R2.pdf</v>
      </c>
    </row>
    <row r="3195" spans="1:28" x14ac:dyDescent="0.25">
      <c r="A3195" t="s">
        <v>3199</v>
      </c>
      <c r="B3195">
        <v>0.99352677808782597</v>
      </c>
      <c r="C3195">
        <v>0.93016778053608895</v>
      </c>
      <c r="D3195">
        <v>0.97749424228429205</v>
      </c>
      <c r="E3195">
        <v>0.43938937710575099</v>
      </c>
      <c r="F3195">
        <v>0.35994174783904898</v>
      </c>
      <c r="G3195">
        <v>0.19222634384735299</v>
      </c>
      <c r="H3195">
        <v>0.13610159913172501</v>
      </c>
      <c r="I3195">
        <v>0.12097495169124101</v>
      </c>
      <c r="J3195">
        <v>9.5755244419680696E-2</v>
      </c>
      <c r="K3195">
        <v>8.5689064535417303E-2</v>
      </c>
      <c r="L3195">
        <v>1135.09691893125</v>
      </c>
      <c r="M3195">
        <v>22.825540146613001</v>
      </c>
      <c r="N3195">
        <v>50.312772939781603</v>
      </c>
      <c r="O3195">
        <v>49.3522668887178</v>
      </c>
      <c r="P3195">
        <v>-0.10218130020317</v>
      </c>
      <c r="Q3195">
        <v>0.116291407023097</v>
      </c>
      <c r="R3195">
        <v>0.97947835737775701</v>
      </c>
      <c r="S3195" t="s">
        <v>9480</v>
      </c>
      <c r="T3195" t="s">
        <v>12568</v>
      </c>
      <c r="U3195" t="s">
        <v>12568</v>
      </c>
      <c r="V3195" t="s">
        <v>12568</v>
      </c>
      <c r="W3195" t="s">
        <v>15723</v>
      </c>
      <c r="X3195">
        <v>5</v>
      </c>
      <c r="Y3195" t="s">
        <v>21861</v>
      </c>
      <c r="Z3195" t="s">
        <v>28065</v>
      </c>
      <c r="AA3195">
        <v>0.41235009148861412</v>
      </c>
      <c r="AB3195" t="str">
        <f>HYPERLINK("Melting_Curves/meltCurve_Q15628_TRADD.pdf", "Melting_Curves/meltCurve_Q15628_TRADD.pdf")</f>
        <v>Melting_Curves/meltCurve_Q15628_TRADD.pdf</v>
      </c>
    </row>
    <row r="3196" spans="1:28" x14ac:dyDescent="0.25">
      <c r="A3196" t="s">
        <v>3200</v>
      </c>
      <c r="B3196">
        <v>0.99352677808782597</v>
      </c>
      <c r="C3196">
        <v>0.91645506024458701</v>
      </c>
      <c r="D3196">
        <v>0.99609930341878405</v>
      </c>
      <c r="E3196">
        <v>0.82543781252450099</v>
      </c>
      <c r="F3196">
        <v>0.72292194368124496</v>
      </c>
      <c r="G3196">
        <v>0.62246588035055705</v>
      </c>
      <c r="H3196">
        <v>0.55843737906142799</v>
      </c>
      <c r="I3196">
        <v>0.60854424433338095</v>
      </c>
      <c r="J3196">
        <v>0.59723663718776399</v>
      </c>
      <c r="K3196">
        <v>0.43454494165750301</v>
      </c>
      <c r="L3196">
        <v>715.71214661361296</v>
      </c>
      <c r="M3196">
        <v>13.662972103231199</v>
      </c>
      <c r="O3196">
        <v>51.299386064520696</v>
      </c>
      <c r="P3196">
        <v>-3.2547228766780401E-2</v>
      </c>
      <c r="Q3196">
        <v>0.51125989107224401</v>
      </c>
      <c r="R3196">
        <v>0.93120489747000301</v>
      </c>
      <c r="S3196" t="s">
        <v>9481</v>
      </c>
      <c r="T3196" t="s">
        <v>12568</v>
      </c>
      <c r="U3196" t="s">
        <v>12568</v>
      </c>
      <c r="V3196" t="s">
        <v>12568</v>
      </c>
      <c r="W3196" t="s">
        <v>15724</v>
      </c>
      <c r="X3196">
        <v>5</v>
      </c>
      <c r="Y3196" t="s">
        <v>21862</v>
      </c>
      <c r="Z3196" t="s">
        <v>28066</v>
      </c>
      <c r="AA3196">
        <v>0.72531132635633833</v>
      </c>
      <c r="AB3196" t="str">
        <f>HYPERLINK("Melting_Curves/meltCurve_Q15633_2_TARBP2.pdf", "Melting_Curves/meltCurve_Q15633_2_TARBP2.pdf")</f>
        <v>Melting_Curves/meltCurve_Q15633_2_TARBP2.pdf</v>
      </c>
    </row>
    <row r="3197" spans="1:28" x14ac:dyDescent="0.25">
      <c r="A3197" t="s">
        <v>3201</v>
      </c>
      <c r="B3197">
        <v>0.99352677808782597</v>
      </c>
      <c r="C3197">
        <v>1.0111509147578299</v>
      </c>
      <c r="D3197">
        <v>1.02803209653812</v>
      </c>
      <c r="E3197">
        <v>0.72998375134673599</v>
      </c>
      <c r="F3197">
        <v>0.97119647189915104</v>
      </c>
      <c r="G3197">
        <v>0.55283002280021698</v>
      </c>
      <c r="H3197">
        <v>0.43776761749425602</v>
      </c>
      <c r="I3197">
        <v>0.39185493193383197</v>
      </c>
      <c r="J3197">
        <v>0.48871286263070102</v>
      </c>
      <c r="K3197">
        <v>0.309555449421133</v>
      </c>
      <c r="L3197">
        <v>956.31108208925502</v>
      </c>
      <c r="M3197">
        <v>17.190439392951799</v>
      </c>
      <c r="N3197">
        <v>59.777397815786998</v>
      </c>
      <c r="O3197">
        <v>54.893956404753602</v>
      </c>
      <c r="P3197">
        <v>-5.1025763981340101E-2</v>
      </c>
      <c r="Q3197">
        <v>0.34827951371158999</v>
      </c>
      <c r="R3197">
        <v>0.88749460366142596</v>
      </c>
      <c r="S3197" t="s">
        <v>9482</v>
      </c>
      <c r="T3197" t="s">
        <v>12568</v>
      </c>
      <c r="U3197" t="s">
        <v>12568</v>
      </c>
      <c r="V3197" t="s">
        <v>12568</v>
      </c>
      <c r="W3197" t="s">
        <v>15725</v>
      </c>
      <c r="X3197">
        <v>19</v>
      </c>
      <c r="Y3197" t="s">
        <v>21863</v>
      </c>
      <c r="Z3197" t="s">
        <v>28067</v>
      </c>
      <c r="AA3197">
        <v>0.69819332104280973</v>
      </c>
      <c r="AB3197" t="str">
        <f>HYPERLINK("Melting_Curves/meltCurve_Q15637_4_SF1.pdf", "Melting_Curves/meltCurve_Q15637_4_SF1.pdf")</f>
        <v>Melting_Curves/meltCurve_Q15637_4_SF1.pdf</v>
      </c>
    </row>
    <row r="3198" spans="1:28" x14ac:dyDescent="0.25">
      <c r="A3198" t="s">
        <v>3202</v>
      </c>
      <c r="B3198">
        <v>0.99352677808782597</v>
      </c>
      <c r="C3198">
        <v>0.98421180740788305</v>
      </c>
      <c r="D3198">
        <v>1.012366935128</v>
      </c>
      <c r="E3198">
        <v>0.95768377746644395</v>
      </c>
      <c r="F3198">
        <v>0.87922638633990002</v>
      </c>
      <c r="G3198">
        <v>0.768487004478147</v>
      </c>
      <c r="H3198">
        <v>0.70929225522905504</v>
      </c>
      <c r="I3198">
        <v>0.75216095231000302</v>
      </c>
      <c r="J3198">
        <v>0.74304934754999497</v>
      </c>
      <c r="K3198">
        <v>0.58217050598159903</v>
      </c>
      <c r="L3198">
        <v>809.18509994045701</v>
      </c>
      <c r="M3198">
        <v>14.5683263112224</v>
      </c>
      <c r="O3198">
        <v>54.529036670268603</v>
      </c>
      <c r="P3198">
        <v>-2.3254479427475001E-2</v>
      </c>
      <c r="Q3198">
        <v>0.65187469718039703</v>
      </c>
      <c r="R3198">
        <v>0.91357847056611896</v>
      </c>
      <c r="S3198" t="s">
        <v>9483</v>
      </c>
      <c r="T3198" t="s">
        <v>12568</v>
      </c>
      <c r="U3198" t="s">
        <v>12568</v>
      </c>
      <c r="V3198" t="s">
        <v>12568</v>
      </c>
      <c r="W3198" t="s">
        <v>15726</v>
      </c>
      <c r="X3198">
        <v>23</v>
      </c>
      <c r="Y3198" t="s">
        <v>21863</v>
      </c>
      <c r="Z3198" t="s">
        <v>28068</v>
      </c>
      <c r="AA3198">
        <v>0.83886372329699321</v>
      </c>
      <c r="AB3198" t="str">
        <f>HYPERLINK("Melting_Curves/meltCurve_Q15637_5_SF1.pdf", "Melting_Curves/meltCurve_Q15637_5_SF1.pdf")</f>
        <v>Melting_Curves/meltCurve_Q15637_5_SF1.pdf</v>
      </c>
    </row>
    <row r="3199" spans="1:28" x14ac:dyDescent="0.25">
      <c r="A3199" t="s">
        <v>3203</v>
      </c>
      <c r="B3199">
        <v>0.99352677808782597</v>
      </c>
      <c r="C3199">
        <v>0.996180895754746</v>
      </c>
      <c r="D3199">
        <v>1.0002115468387001</v>
      </c>
      <c r="E3199">
        <v>0.40317999030088197</v>
      </c>
      <c r="F3199">
        <v>0.40573220301344598</v>
      </c>
      <c r="G3199">
        <v>0.260283902806701</v>
      </c>
      <c r="H3199">
        <v>0.241024632530602</v>
      </c>
      <c r="I3199">
        <v>0.229174859814499</v>
      </c>
      <c r="J3199">
        <v>0.22098682852354301</v>
      </c>
      <c r="K3199">
        <v>0.121928915191256</v>
      </c>
      <c r="L3199">
        <v>2111.4324854899901</v>
      </c>
      <c r="M3199">
        <v>43.232307613614999</v>
      </c>
      <c r="N3199">
        <v>49.576606210610997</v>
      </c>
      <c r="O3199">
        <v>48.735060759836301</v>
      </c>
      <c r="P3199">
        <v>-0.16917959759059101</v>
      </c>
      <c r="Q3199">
        <v>0.237147554003864</v>
      </c>
      <c r="R3199">
        <v>0.967017886411491</v>
      </c>
      <c r="S3199" t="s">
        <v>9484</v>
      </c>
      <c r="T3199" t="s">
        <v>12568</v>
      </c>
      <c r="U3199" t="s">
        <v>12568</v>
      </c>
      <c r="V3199" t="s">
        <v>12568</v>
      </c>
      <c r="W3199" t="s">
        <v>15727</v>
      </c>
      <c r="X3199">
        <v>23</v>
      </c>
      <c r="Y3199" t="s">
        <v>21864</v>
      </c>
      <c r="Z3199" t="s">
        <v>28069</v>
      </c>
      <c r="AA3199">
        <v>0.46411870685513429</v>
      </c>
      <c r="AB3199" t="str">
        <f>HYPERLINK("Melting_Curves/meltCurve_Q15642_TRIP10.pdf", "Melting_Curves/meltCurve_Q15642_TRIP10.pdf")</f>
        <v>Melting_Curves/meltCurve_Q15642_TRIP10.pdf</v>
      </c>
    </row>
    <row r="3200" spans="1:28" x14ac:dyDescent="0.25">
      <c r="A3200" t="s">
        <v>3204</v>
      </c>
      <c r="B3200">
        <v>0.99352677808782597</v>
      </c>
      <c r="C3200">
        <v>0.94202796069754702</v>
      </c>
      <c r="D3200">
        <v>0.95668637677339796</v>
      </c>
      <c r="E3200">
        <v>0.334132724620398</v>
      </c>
      <c r="F3200">
        <v>0.26992223023384398</v>
      </c>
      <c r="G3200">
        <v>0.17444225212365899</v>
      </c>
      <c r="H3200">
        <v>0.12732682200531301</v>
      </c>
      <c r="I3200">
        <v>0.126012391140784</v>
      </c>
      <c r="J3200">
        <v>0.11823988776392801</v>
      </c>
      <c r="K3200">
        <v>0.10108710586148199</v>
      </c>
      <c r="L3200">
        <v>1921.9902720981299</v>
      </c>
      <c r="M3200">
        <v>39.482105334901398</v>
      </c>
      <c r="N3200">
        <v>49.098042325542401</v>
      </c>
      <c r="O3200">
        <v>48.555656729319303</v>
      </c>
      <c r="P3200">
        <v>-0.174266832453256</v>
      </c>
      <c r="Q3200">
        <v>0.14273858497245601</v>
      </c>
      <c r="R3200">
        <v>0.98679319724780401</v>
      </c>
      <c r="S3200" t="s">
        <v>9485</v>
      </c>
      <c r="T3200" t="s">
        <v>12568</v>
      </c>
      <c r="U3200" t="s">
        <v>12568</v>
      </c>
      <c r="V3200" t="s">
        <v>12568</v>
      </c>
      <c r="W3200" t="s">
        <v>15728</v>
      </c>
      <c r="X3200">
        <v>25</v>
      </c>
      <c r="Y3200" t="s">
        <v>21864</v>
      </c>
      <c r="Z3200" t="s">
        <v>28070</v>
      </c>
      <c r="AA3200">
        <v>0.39374008832215712</v>
      </c>
      <c r="AB3200" t="str">
        <f>HYPERLINK("Melting_Curves/meltCurve_Q15642_2_TRIP10.pdf", "Melting_Curves/meltCurve_Q15642_2_TRIP10.pdf")</f>
        <v>Melting_Curves/meltCurve_Q15642_2_TRIP10.pdf</v>
      </c>
    </row>
    <row r="3201" spans="1:28" x14ac:dyDescent="0.25">
      <c r="A3201" t="s">
        <v>3205</v>
      </c>
      <c r="B3201">
        <v>0.99352677808782597</v>
      </c>
      <c r="C3201">
        <v>1.10454933259107</v>
      </c>
      <c r="D3201">
        <v>0.940961360086087</v>
      </c>
      <c r="E3201">
        <v>0.82082256681352905</v>
      </c>
      <c r="F3201">
        <v>0.71956397588840404</v>
      </c>
      <c r="G3201">
        <v>0.57498805241071205</v>
      </c>
      <c r="H3201">
        <v>0.55178564178863199</v>
      </c>
      <c r="I3201">
        <v>0.52933761887011399</v>
      </c>
      <c r="J3201">
        <v>0.533951336752016</v>
      </c>
      <c r="K3201">
        <v>0.60227780404917897</v>
      </c>
      <c r="L3201">
        <v>1151.8280266470799</v>
      </c>
      <c r="M3201">
        <v>22.480033634805999</v>
      </c>
      <c r="O3201">
        <v>50.837540746159</v>
      </c>
      <c r="P3201">
        <v>-4.9895489767498101E-2</v>
      </c>
      <c r="Q3201">
        <v>0.54866408251594201</v>
      </c>
      <c r="R3201">
        <v>0.95703115968470298</v>
      </c>
      <c r="S3201" t="s">
        <v>9486</v>
      </c>
      <c r="T3201" t="s">
        <v>12568</v>
      </c>
      <c r="U3201" t="s">
        <v>12568</v>
      </c>
      <c r="V3201" t="s">
        <v>12568</v>
      </c>
      <c r="W3201" t="s">
        <v>15729</v>
      </c>
      <c r="X3201">
        <v>20</v>
      </c>
      <c r="Y3201" t="s">
        <v>21865</v>
      </c>
      <c r="Z3201" t="s">
        <v>28071</v>
      </c>
      <c r="AA3201">
        <v>0.72275442958052272</v>
      </c>
      <c r="AB3201" t="str">
        <f>HYPERLINK("Melting_Curves/meltCurve_Q15643_TRIP11.pdf", "Melting_Curves/meltCurve_Q15643_TRIP11.pdf")</f>
        <v>Melting_Curves/meltCurve_Q15643_TRIP11.pdf</v>
      </c>
    </row>
    <row r="3202" spans="1:28" x14ac:dyDescent="0.25">
      <c r="A3202" t="s">
        <v>3206</v>
      </c>
      <c r="B3202">
        <v>0.99352677808782597</v>
      </c>
      <c r="C3202">
        <v>0.83737773044688701</v>
      </c>
      <c r="D3202">
        <v>0.550136821883074</v>
      </c>
      <c r="E3202">
        <v>0.23504600086143401</v>
      </c>
      <c r="F3202">
        <v>0.15692708663031599</v>
      </c>
      <c r="G3202">
        <v>9.8022533286050498E-2</v>
      </c>
      <c r="H3202">
        <v>7.2679063782513306E-2</v>
      </c>
      <c r="I3202">
        <v>7.0482267544868096E-2</v>
      </c>
      <c r="J3202">
        <v>6.4127231670016702E-2</v>
      </c>
      <c r="K3202">
        <v>4.9356922455890101E-2</v>
      </c>
      <c r="L3202">
        <v>922.89732619365304</v>
      </c>
      <c r="M3202">
        <v>19.949682157927601</v>
      </c>
      <c r="N3202">
        <v>46.595594150101</v>
      </c>
      <c r="O3202">
        <v>45.8039447559986</v>
      </c>
      <c r="P3202">
        <v>-0.101628380769239</v>
      </c>
      <c r="Q3202">
        <v>6.6686306562140807E-2</v>
      </c>
      <c r="R3202">
        <v>0.99810353504972704</v>
      </c>
      <c r="S3202" t="s">
        <v>9487</v>
      </c>
      <c r="T3202" t="s">
        <v>12568</v>
      </c>
      <c r="U3202" t="s">
        <v>12568</v>
      </c>
      <c r="V3202" t="s">
        <v>12568</v>
      </c>
      <c r="W3202" t="s">
        <v>15730</v>
      </c>
      <c r="X3202">
        <v>12</v>
      </c>
      <c r="Y3202" t="s">
        <v>21866</v>
      </c>
      <c r="Z3202" t="s">
        <v>28072</v>
      </c>
      <c r="AA3202">
        <v>0.27573939620229498</v>
      </c>
      <c r="AB3202" t="str">
        <f>HYPERLINK("Melting_Curves/meltCurve_Q15645_TRIP13.pdf", "Melting_Curves/meltCurve_Q15645_TRIP13.pdf")</f>
        <v>Melting_Curves/meltCurve_Q15645_TRIP13.pdf</v>
      </c>
    </row>
    <row r="3203" spans="1:28" x14ac:dyDescent="0.25">
      <c r="A3203" t="s">
        <v>3207</v>
      </c>
      <c r="B3203">
        <v>0.99352677808782597</v>
      </c>
      <c r="C3203">
        <v>0.97750438357326597</v>
      </c>
      <c r="D3203">
        <v>0.95294588021819604</v>
      </c>
      <c r="E3203">
        <v>0.77536182480295301</v>
      </c>
      <c r="F3203">
        <v>0.64303348103931102</v>
      </c>
      <c r="G3203">
        <v>0.49577901306981598</v>
      </c>
      <c r="H3203">
        <v>0.409090731976888</v>
      </c>
      <c r="I3203">
        <v>0.42028165612731599</v>
      </c>
      <c r="J3203">
        <v>0.41185512614626002</v>
      </c>
      <c r="K3203">
        <v>0.34688261915990398</v>
      </c>
      <c r="L3203">
        <v>855.73753431198304</v>
      </c>
      <c r="M3203">
        <v>16.4415708430748</v>
      </c>
      <c r="N3203">
        <v>56.733626699833998</v>
      </c>
      <c r="O3203">
        <v>51.295515901230303</v>
      </c>
      <c r="P3203">
        <v>-5.0371789344127497E-2</v>
      </c>
      <c r="Q3203">
        <v>0.37143114622797402</v>
      </c>
      <c r="R3203">
        <v>0.995291569898204</v>
      </c>
      <c r="S3203" t="s">
        <v>9488</v>
      </c>
      <c r="T3203" t="s">
        <v>12568</v>
      </c>
      <c r="U3203" t="s">
        <v>12568</v>
      </c>
      <c r="V3203" t="s">
        <v>12568</v>
      </c>
      <c r="W3203" t="s">
        <v>15731</v>
      </c>
      <c r="X3203">
        <v>14</v>
      </c>
      <c r="Y3203" t="s">
        <v>21867</v>
      </c>
      <c r="Z3203" t="s">
        <v>28073</v>
      </c>
      <c r="AA3203">
        <v>0.63599514372012111</v>
      </c>
      <c r="AB3203" t="str">
        <f>HYPERLINK("Melting_Curves/meltCurve_Q15648_MED1.pdf", "Melting_Curves/meltCurve_Q15648_MED1.pdf")</f>
        <v>Melting_Curves/meltCurve_Q15648_MED1.pdf</v>
      </c>
    </row>
    <row r="3204" spans="1:28" x14ac:dyDescent="0.25">
      <c r="A3204" t="s">
        <v>3208</v>
      </c>
      <c r="B3204">
        <v>0.99352677808782597</v>
      </c>
      <c r="C3204">
        <v>1.00006333356084</v>
      </c>
      <c r="D3204">
        <v>0.936774888366953</v>
      </c>
      <c r="E3204">
        <v>1.0095722158384399</v>
      </c>
      <c r="F3204">
        <v>1.1839906077932401</v>
      </c>
      <c r="G3204">
        <v>1.0797647855203201</v>
      </c>
      <c r="H3204">
        <v>0.97615421874064001</v>
      </c>
      <c r="I3204">
        <v>1.00269509353736</v>
      </c>
      <c r="J3204">
        <v>0.932666931190958</v>
      </c>
      <c r="K3204">
        <v>0.88698232724633397</v>
      </c>
      <c r="L3204">
        <v>15000</v>
      </c>
      <c r="M3204">
        <v>224.26835251788501</v>
      </c>
      <c r="O3204">
        <v>66.878839834299797</v>
      </c>
      <c r="P3204">
        <v>-9.4751548730362206E-2</v>
      </c>
      <c r="Q3204">
        <v>0.88697694406191796</v>
      </c>
      <c r="R3204">
        <v>0.27810979479718001</v>
      </c>
      <c r="S3204" t="s">
        <v>9489</v>
      </c>
      <c r="T3204" t="s">
        <v>12568</v>
      </c>
      <c r="U3204" t="s">
        <v>12568</v>
      </c>
      <c r="V3204" t="s">
        <v>12568</v>
      </c>
      <c r="W3204" t="s">
        <v>15732</v>
      </c>
      <c r="X3204">
        <v>4</v>
      </c>
      <c r="Y3204" t="s">
        <v>21868</v>
      </c>
      <c r="Z3204" t="s">
        <v>28074</v>
      </c>
      <c r="AA3204">
        <v>0.98827769765585205</v>
      </c>
      <c r="AB3204" t="str">
        <f>HYPERLINK("Melting_Curves/meltCurve_Q15649_ZNHIT3.pdf", "Melting_Curves/meltCurve_Q15649_ZNHIT3.pdf")</f>
        <v>Melting_Curves/meltCurve_Q15649_ZNHIT3.pdf</v>
      </c>
    </row>
    <row r="3205" spans="1:28" x14ac:dyDescent="0.25">
      <c r="A3205" t="s">
        <v>3209</v>
      </c>
      <c r="B3205">
        <v>0.99352677808782597</v>
      </c>
      <c r="C3205">
        <v>0.97221282756107297</v>
      </c>
      <c r="D3205">
        <v>0.98244976505328296</v>
      </c>
      <c r="E3205">
        <v>0.79737494796865604</v>
      </c>
      <c r="F3205">
        <v>0.74400819290306497</v>
      </c>
      <c r="G3205">
        <v>0.60870073796722401</v>
      </c>
      <c r="H3205">
        <v>0.516187083548864</v>
      </c>
      <c r="I3205">
        <v>0.443271342765856</v>
      </c>
      <c r="J3205">
        <v>0.40207210855770997</v>
      </c>
      <c r="K3205">
        <v>0.33393055195436999</v>
      </c>
      <c r="L3205">
        <v>554.73984150777801</v>
      </c>
      <c r="M3205">
        <v>9.8120723881973309</v>
      </c>
      <c r="N3205">
        <v>61.037948445530397</v>
      </c>
      <c r="O3205">
        <v>54.338238357333303</v>
      </c>
      <c r="P3205">
        <v>-3.35363085639208E-2</v>
      </c>
      <c r="Q3205">
        <v>0.25750589546392799</v>
      </c>
      <c r="R3205">
        <v>0.99041629301249701</v>
      </c>
      <c r="S3205" t="s">
        <v>9490</v>
      </c>
      <c r="T3205" t="s">
        <v>12568</v>
      </c>
      <c r="U3205" t="s">
        <v>12568</v>
      </c>
      <c r="V3205" t="s">
        <v>12568</v>
      </c>
      <c r="W3205" t="s">
        <v>15733</v>
      </c>
      <c r="X3205">
        <v>7</v>
      </c>
      <c r="Y3205" t="s">
        <v>21869</v>
      </c>
      <c r="Z3205" t="s">
        <v>28075</v>
      </c>
      <c r="AA3205">
        <v>0.68029906134646889</v>
      </c>
      <c r="AB3205" t="str">
        <f>HYPERLINK("Melting_Curves/meltCurve_Q15650_TRIP4.pdf", "Melting_Curves/meltCurve_Q15650_TRIP4.pdf")</f>
        <v>Melting_Curves/meltCurve_Q15650_TRIP4.pdf</v>
      </c>
    </row>
    <row r="3206" spans="1:28" x14ac:dyDescent="0.25">
      <c r="A3206" t="s">
        <v>3210</v>
      </c>
      <c r="B3206">
        <v>0.99352677808782597</v>
      </c>
      <c r="C3206">
        <v>0.875530870616546</v>
      </c>
      <c r="D3206">
        <v>1.0272330342078899</v>
      </c>
      <c r="E3206">
        <v>1.1234681656932901</v>
      </c>
      <c r="F3206">
        <v>0.99755595976020095</v>
      </c>
      <c r="G3206">
        <v>1.1662789385153001</v>
      </c>
      <c r="H3206">
        <v>1.0692036455445999</v>
      </c>
      <c r="I3206">
        <v>1.07693017788362</v>
      </c>
      <c r="J3206">
        <v>0.759663411592851</v>
      </c>
      <c r="K3206">
        <v>1.00234126069136</v>
      </c>
      <c r="L3206">
        <v>1570.5976360642501</v>
      </c>
      <c r="M3206">
        <v>23.6018223501571</v>
      </c>
      <c r="O3206">
        <v>66.073386352796902</v>
      </c>
      <c r="P3206">
        <v>-8.8362622330739205E-3</v>
      </c>
      <c r="Q3206">
        <v>0.90105305488717102</v>
      </c>
      <c r="R3206">
        <v>6.8726087362278407E-2</v>
      </c>
      <c r="S3206" t="s">
        <v>9491</v>
      </c>
      <c r="T3206" t="s">
        <v>12568</v>
      </c>
      <c r="U3206" t="s">
        <v>12568</v>
      </c>
      <c r="V3206" t="s">
        <v>12568</v>
      </c>
      <c r="W3206" t="s">
        <v>15734</v>
      </c>
      <c r="X3206">
        <v>3</v>
      </c>
      <c r="Y3206" t="s">
        <v>21870</v>
      </c>
      <c r="Z3206" t="s">
        <v>28076</v>
      </c>
      <c r="AA3206">
        <v>0.98683048064048118</v>
      </c>
      <c r="AB3206" t="str">
        <f>HYPERLINK("Melting_Curves/meltCurve_Q15651_HMGN3.pdf", "Melting_Curves/meltCurve_Q15651_HMGN3.pdf")</f>
        <v>Melting_Curves/meltCurve_Q15651_HMGN3.pdf</v>
      </c>
    </row>
    <row r="3207" spans="1:28" x14ac:dyDescent="0.25">
      <c r="A3207" t="s">
        <v>3211</v>
      </c>
      <c r="B3207">
        <v>0.99352677808782597</v>
      </c>
      <c r="C3207">
        <v>0.94388295749127604</v>
      </c>
      <c r="D3207">
        <v>0.98366771381236195</v>
      </c>
      <c r="E3207">
        <v>0.91245348001346405</v>
      </c>
      <c r="F3207">
        <v>0.83024268777591503</v>
      </c>
      <c r="G3207">
        <v>0.75569293714665897</v>
      </c>
      <c r="H3207">
        <v>0.71448664162521802</v>
      </c>
      <c r="I3207">
        <v>0.75083599164401105</v>
      </c>
      <c r="J3207">
        <v>0.777527962537649</v>
      </c>
      <c r="K3207">
        <v>0.65965637363292595</v>
      </c>
      <c r="L3207">
        <v>906.02387561046305</v>
      </c>
      <c r="M3207">
        <v>17.446398512730401</v>
      </c>
      <c r="O3207">
        <v>51.2639698209938</v>
      </c>
      <c r="P3207">
        <v>-2.4292192146033401E-2</v>
      </c>
      <c r="Q3207">
        <v>0.71449816092289498</v>
      </c>
      <c r="R3207">
        <v>0.91771277190503298</v>
      </c>
      <c r="S3207" t="s">
        <v>9492</v>
      </c>
      <c r="T3207" t="s">
        <v>12568</v>
      </c>
      <c r="U3207" t="s">
        <v>12568</v>
      </c>
      <c r="V3207" t="s">
        <v>12568</v>
      </c>
      <c r="W3207" t="s">
        <v>15735</v>
      </c>
      <c r="X3207">
        <v>19</v>
      </c>
      <c r="Y3207" t="s">
        <v>21871</v>
      </c>
      <c r="Z3207" t="s">
        <v>28077</v>
      </c>
      <c r="AA3207">
        <v>0.83306499643199627</v>
      </c>
      <c r="AB3207" t="str">
        <f>HYPERLINK("Melting_Curves/meltCurve_Q15652_JMJD1C.pdf", "Melting_Curves/meltCurve_Q15652_JMJD1C.pdf")</f>
        <v>Melting_Curves/meltCurve_Q15652_JMJD1C.pdf</v>
      </c>
    </row>
    <row r="3208" spans="1:28" x14ac:dyDescent="0.25">
      <c r="A3208" t="s">
        <v>3212</v>
      </c>
      <c r="B3208">
        <v>0.99352677808782597</v>
      </c>
      <c r="C3208">
        <v>1.0596146068079999</v>
      </c>
      <c r="D3208">
        <v>0.96671726508537403</v>
      </c>
      <c r="E3208">
        <v>0.80006839682112896</v>
      </c>
      <c r="F3208">
        <v>0.69621336453583005</v>
      </c>
      <c r="G3208">
        <v>0.56256341484074301</v>
      </c>
      <c r="H3208">
        <v>0.47551983719013802</v>
      </c>
      <c r="I3208">
        <v>0.45639369763295301</v>
      </c>
      <c r="J3208">
        <v>0.42506154458325801</v>
      </c>
      <c r="K3208">
        <v>0.29082365812614902</v>
      </c>
      <c r="L3208">
        <v>683.62764597020498</v>
      </c>
      <c r="M3208">
        <v>12.5931227090124</v>
      </c>
      <c r="N3208">
        <v>59.323255070662803</v>
      </c>
      <c r="O3208">
        <v>52.9714639681264</v>
      </c>
      <c r="P3208">
        <v>-3.9924461331761203E-2</v>
      </c>
      <c r="Q3208">
        <v>0.32838440359971899</v>
      </c>
      <c r="R3208">
        <v>0.97262100717495903</v>
      </c>
      <c r="S3208" t="s">
        <v>9493</v>
      </c>
      <c r="T3208" t="s">
        <v>12568</v>
      </c>
      <c r="U3208" t="s">
        <v>12568</v>
      </c>
      <c r="V3208" t="s">
        <v>12568</v>
      </c>
      <c r="W3208" t="s">
        <v>15736</v>
      </c>
      <c r="X3208">
        <v>17</v>
      </c>
      <c r="Y3208" t="s">
        <v>21872</v>
      </c>
      <c r="Z3208" t="s">
        <v>28078</v>
      </c>
      <c r="AA3208">
        <v>0.6645339932940576</v>
      </c>
      <c r="AB3208" t="str">
        <f>HYPERLINK("Melting_Curves/meltCurve_Q15654_TRIP6.pdf", "Melting_Curves/meltCurve_Q15654_TRIP6.pdf")</f>
        <v>Melting_Curves/meltCurve_Q15654_TRIP6.pdf</v>
      </c>
    </row>
    <row r="3209" spans="1:28" x14ac:dyDescent="0.25">
      <c r="A3209" t="s">
        <v>3213</v>
      </c>
      <c r="B3209">
        <v>0.99352677808782597</v>
      </c>
      <c r="C3209">
        <v>0.92017114374681197</v>
      </c>
      <c r="D3209">
        <v>1.0031357723604799</v>
      </c>
      <c r="E3209">
        <v>0.82003770639050599</v>
      </c>
      <c r="F3209">
        <v>0.74970084249103397</v>
      </c>
      <c r="G3209">
        <v>0.293526932744063</v>
      </c>
      <c r="H3209">
        <v>0.13355641441975599</v>
      </c>
      <c r="I3209">
        <v>0.114269301203345</v>
      </c>
      <c r="J3209">
        <v>0.10610970132853501</v>
      </c>
      <c r="K3209">
        <v>8.2983437984446504E-2</v>
      </c>
      <c r="L3209">
        <v>1270.4802622265599</v>
      </c>
      <c r="M3209">
        <v>23.306274094429799</v>
      </c>
      <c r="N3209">
        <v>54.912231738825803</v>
      </c>
      <c r="O3209">
        <v>54.115816374064202</v>
      </c>
      <c r="P3209">
        <v>-9.9267223510996594E-2</v>
      </c>
      <c r="Q3209">
        <v>7.8045721730214901E-2</v>
      </c>
      <c r="R3209">
        <v>0.98782608935699401</v>
      </c>
      <c r="S3209" t="s">
        <v>9494</v>
      </c>
      <c r="T3209" t="s">
        <v>12568</v>
      </c>
      <c r="U3209" t="s">
        <v>12568</v>
      </c>
      <c r="V3209" t="s">
        <v>12568</v>
      </c>
      <c r="W3209" t="s">
        <v>15737</v>
      </c>
      <c r="X3209">
        <v>17</v>
      </c>
      <c r="Y3209" t="s">
        <v>21873</v>
      </c>
      <c r="Z3209" t="s">
        <v>28079</v>
      </c>
      <c r="AA3209">
        <v>0.53369379474943202</v>
      </c>
      <c r="AB3209" t="str">
        <f>HYPERLINK("Melting_Curves/meltCurve_Q15691_MAPRE1.pdf", "Melting_Curves/meltCurve_Q15691_MAPRE1.pdf")</f>
        <v>Melting_Curves/meltCurve_Q15691_MAPRE1.pdf</v>
      </c>
    </row>
    <row r="3210" spans="1:28" x14ac:dyDescent="0.25">
      <c r="A3210" t="s">
        <v>3214</v>
      </c>
      <c r="B3210">
        <v>0.99352677808782597</v>
      </c>
      <c r="C3210">
        <v>0.95223065532308904</v>
      </c>
      <c r="D3210">
        <v>0.96383337544797998</v>
      </c>
      <c r="E3210">
        <v>0.74996181891800495</v>
      </c>
      <c r="F3210">
        <v>0.64128163592390097</v>
      </c>
      <c r="G3210">
        <v>0.38073221315314199</v>
      </c>
      <c r="H3210">
        <v>0.26816667431264202</v>
      </c>
      <c r="I3210">
        <v>0.24771000015384001</v>
      </c>
      <c r="J3210">
        <v>0.23006524698765701</v>
      </c>
      <c r="K3210">
        <v>0.202292982106415</v>
      </c>
      <c r="L3210">
        <v>845.41187964518895</v>
      </c>
      <c r="M3210">
        <v>15.898103656184</v>
      </c>
      <c r="N3210">
        <v>54.812264710704</v>
      </c>
      <c r="O3210">
        <v>52.356874055136799</v>
      </c>
      <c r="P3210">
        <v>-6.15811003253562E-2</v>
      </c>
      <c r="Q3210">
        <v>0.18885056543758799</v>
      </c>
      <c r="R3210">
        <v>0.99529646817060902</v>
      </c>
      <c r="S3210" t="s">
        <v>9495</v>
      </c>
      <c r="T3210" t="s">
        <v>12568</v>
      </c>
      <c r="U3210" t="s">
        <v>12568</v>
      </c>
      <c r="V3210" t="s">
        <v>12568</v>
      </c>
      <c r="W3210" t="s">
        <v>15738</v>
      </c>
      <c r="X3210">
        <v>3</v>
      </c>
      <c r="Y3210" t="s">
        <v>21874</v>
      </c>
      <c r="Z3210" t="s">
        <v>28080</v>
      </c>
      <c r="AA3210">
        <v>0.56109801161099138</v>
      </c>
      <c r="AB3210" t="str">
        <f>HYPERLINK("Melting_Curves/meltCurve_Q15697_2_ZNF174.pdf", "Melting_Curves/meltCurve_Q15697_2_ZNF174.pdf")</f>
        <v>Melting_Curves/meltCurve_Q15697_2_ZNF174.pdf</v>
      </c>
    </row>
    <row r="3211" spans="1:28" x14ac:dyDescent="0.25">
      <c r="A3211" t="s">
        <v>3215</v>
      </c>
      <c r="B3211">
        <v>0.99352677808782597</v>
      </c>
      <c r="C3211">
        <v>0.94585829133190802</v>
      </c>
      <c r="D3211">
        <v>0.88154706664911997</v>
      </c>
      <c r="E3211">
        <v>0.71074883360178398</v>
      </c>
      <c r="F3211">
        <v>0.66301228319833405</v>
      </c>
      <c r="G3211">
        <v>0.46105923650515701</v>
      </c>
      <c r="H3211">
        <v>0.37651018158370603</v>
      </c>
      <c r="I3211">
        <v>0.34713397485721098</v>
      </c>
      <c r="J3211">
        <v>0.33767225818062302</v>
      </c>
      <c r="K3211">
        <v>0.29947386353869598</v>
      </c>
      <c r="L3211">
        <v>602.18191170279101</v>
      </c>
      <c r="M3211">
        <v>11.437145097919601</v>
      </c>
      <c r="N3211">
        <v>56.315137843650298</v>
      </c>
      <c r="O3211">
        <v>51.118907153359501</v>
      </c>
      <c r="P3211">
        <v>-4.1268222735162001E-2</v>
      </c>
      <c r="Q3211">
        <v>0.26241236053026901</v>
      </c>
      <c r="R3211">
        <v>0.99407518294983799</v>
      </c>
      <c r="S3211" t="s">
        <v>9496</v>
      </c>
      <c r="T3211" t="s">
        <v>12568</v>
      </c>
      <c r="U3211" t="s">
        <v>12568</v>
      </c>
      <c r="V3211" t="s">
        <v>12568</v>
      </c>
      <c r="W3211" t="s">
        <v>15739</v>
      </c>
      <c r="X3211">
        <v>1</v>
      </c>
      <c r="Y3211" t="s">
        <v>21875</v>
      </c>
      <c r="Z3211" t="s">
        <v>28081</v>
      </c>
      <c r="AA3211">
        <v>0.59625020988943833</v>
      </c>
      <c r="AB3211" t="str">
        <f>HYPERLINK("Melting_Curves/meltCurve_Q15699_ALX1.pdf", "Melting_Curves/meltCurve_Q15699_ALX1.pdf")</f>
        <v>Melting_Curves/meltCurve_Q15699_ALX1.pdf</v>
      </c>
    </row>
    <row r="3212" spans="1:28" x14ac:dyDescent="0.25">
      <c r="A3212" t="s">
        <v>3216</v>
      </c>
      <c r="B3212">
        <v>0.99352677808782597</v>
      </c>
      <c r="C3212">
        <v>1.00758985166877</v>
      </c>
      <c r="D3212">
        <v>1.00148133190695</v>
      </c>
      <c r="E3212">
        <v>1.0035992582970199</v>
      </c>
      <c r="F3212">
        <v>0.86701147933976896</v>
      </c>
      <c r="G3212">
        <v>0.811310089257129</v>
      </c>
      <c r="H3212">
        <v>0.78962984166997696</v>
      </c>
      <c r="I3212">
        <v>0.85528367323741405</v>
      </c>
      <c r="J3212">
        <v>0.94041997357310703</v>
      </c>
      <c r="K3212">
        <v>0.79144407907200898</v>
      </c>
      <c r="L3212">
        <v>13169.997970693201</v>
      </c>
      <c r="M3212">
        <v>250</v>
      </c>
      <c r="O3212">
        <v>52.676620781139697</v>
      </c>
      <c r="P3212">
        <v>-0.19266430719351699</v>
      </c>
      <c r="Q3212">
        <v>0.83761752603176898</v>
      </c>
      <c r="R3212">
        <v>0.79205976465182504</v>
      </c>
      <c r="S3212" t="s">
        <v>9497</v>
      </c>
      <c r="T3212" t="s">
        <v>12568</v>
      </c>
      <c r="U3212" t="s">
        <v>12568</v>
      </c>
      <c r="V3212" t="s">
        <v>12568</v>
      </c>
      <c r="W3212" t="s">
        <v>15740</v>
      </c>
      <c r="X3212">
        <v>14</v>
      </c>
      <c r="Y3212" t="s">
        <v>21876</v>
      </c>
      <c r="Z3212" t="s">
        <v>28082</v>
      </c>
      <c r="AA3212">
        <v>0.90626615376886521</v>
      </c>
      <c r="AB3212" t="str">
        <f>HYPERLINK("Melting_Curves/meltCurve_Q15714_TSC22D1.pdf", "Melting_Curves/meltCurve_Q15714_TSC22D1.pdf")</f>
        <v>Melting_Curves/meltCurve_Q15714_TSC22D1.pdf</v>
      </c>
    </row>
    <row r="3213" spans="1:28" x14ac:dyDescent="0.25">
      <c r="A3213" t="s">
        <v>3217</v>
      </c>
      <c r="B3213">
        <v>0.99352677808782597</v>
      </c>
      <c r="C3213">
        <v>0.97582608878747401</v>
      </c>
      <c r="D3213">
        <v>0.99528255950439304</v>
      </c>
      <c r="E3213">
        <v>0.673940480850312</v>
      </c>
      <c r="F3213">
        <v>0.61298687867973001</v>
      </c>
      <c r="G3213">
        <v>0.37144236489904497</v>
      </c>
      <c r="H3213">
        <v>0.19390902502739699</v>
      </c>
      <c r="I3213">
        <v>0.139988097881308</v>
      </c>
      <c r="J3213">
        <v>0.115802850223322</v>
      </c>
      <c r="K3213">
        <v>8.3643390054121705E-2</v>
      </c>
      <c r="L3213">
        <v>740.34582273470699</v>
      </c>
      <c r="M3213">
        <v>13.7301453053167</v>
      </c>
      <c r="N3213">
        <v>54.311244998425501</v>
      </c>
      <c r="O3213">
        <v>52.815960339120203</v>
      </c>
      <c r="P3213">
        <v>-6.19480548438976E-2</v>
      </c>
      <c r="Q3213">
        <v>4.69499489005984E-2</v>
      </c>
      <c r="R3213">
        <v>0.98886165338426602</v>
      </c>
      <c r="S3213" t="s">
        <v>9498</v>
      </c>
      <c r="T3213" t="s">
        <v>12568</v>
      </c>
      <c r="U3213" t="s">
        <v>12568</v>
      </c>
      <c r="V3213" t="s">
        <v>12568</v>
      </c>
      <c r="W3213" t="s">
        <v>15741</v>
      </c>
      <c r="X3213">
        <v>2</v>
      </c>
      <c r="Y3213" t="s">
        <v>21877</v>
      </c>
      <c r="Z3213" t="s">
        <v>28083</v>
      </c>
      <c r="AA3213">
        <v>0.5110207044921693</v>
      </c>
      <c r="AB3213" t="str">
        <f>HYPERLINK("Melting_Curves/meltCurve_Q15717_ELAVL1.pdf", "Melting_Curves/meltCurve_Q15717_ELAVL1.pdf")</f>
        <v>Melting_Curves/meltCurve_Q15717_ELAVL1.pdf</v>
      </c>
    </row>
    <row r="3214" spans="1:28" x14ac:dyDescent="0.25">
      <c r="A3214" t="s">
        <v>3218</v>
      </c>
      <c r="B3214">
        <v>0.99352677808782597</v>
      </c>
      <c r="C3214">
        <v>1.0041259687957</v>
      </c>
      <c r="D3214">
        <v>0.70871633895546104</v>
      </c>
      <c r="E3214">
        <v>0.35854382902969101</v>
      </c>
      <c r="F3214">
        <v>0.152833527787576</v>
      </c>
      <c r="G3214">
        <v>0.11127117636172</v>
      </c>
      <c r="H3214">
        <v>4.82452988233978E-2</v>
      </c>
      <c r="I3214">
        <v>6.3329220277937498E-2</v>
      </c>
      <c r="J3214">
        <v>4.9563048615201701E-2</v>
      </c>
      <c r="K3214">
        <v>3.5649874994794099E-2</v>
      </c>
      <c r="L3214">
        <v>1053.0219725461</v>
      </c>
      <c r="M3214">
        <v>21.8816959241435</v>
      </c>
      <c r="N3214">
        <v>48.363615755777801</v>
      </c>
      <c r="O3214">
        <v>47.726899204154499</v>
      </c>
      <c r="P3214">
        <v>-0.108720527499166</v>
      </c>
      <c r="Q3214">
        <v>5.1485697854643603E-2</v>
      </c>
      <c r="R3214">
        <v>0.994684063854536</v>
      </c>
      <c r="S3214" t="s">
        <v>9499</v>
      </c>
      <c r="T3214" t="s">
        <v>12568</v>
      </c>
      <c r="U3214" t="s">
        <v>12568</v>
      </c>
      <c r="V3214" t="s">
        <v>12568</v>
      </c>
      <c r="W3214" t="s">
        <v>15742</v>
      </c>
      <c r="X3214">
        <v>1</v>
      </c>
      <c r="Y3214" t="s">
        <v>21878</v>
      </c>
      <c r="Z3214" t="s">
        <v>28084</v>
      </c>
      <c r="AA3214">
        <v>0.31944176865307722</v>
      </c>
      <c r="AB3214" t="str">
        <f>HYPERLINK("Melting_Curves/meltCurve_Q15742_NAB2.pdf", "Melting_Curves/meltCurve_Q15742_NAB2.pdf")</f>
        <v>Melting_Curves/meltCurve_Q15742_NAB2.pdf</v>
      </c>
    </row>
    <row r="3215" spans="1:28" x14ac:dyDescent="0.25">
      <c r="A3215" t="s">
        <v>3219</v>
      </c>
      <c r="B3215">
        <v>0.99352677808782597</v>
      </c>
      <c r="C3215">
        <v>0.96609397240218697</v>
      </c>
      <c r="D3215">
        <v>0.84970648203987698</v>
      </c>
      <c r="E3215">
        <v>0.62429651134424402</v>
      </c>
      <c r="F3215">
        <v>0.55163736841730104</v>
      </c>
      <c r="G3215">
        <v>0.379321685965889</v>
      </c>
      <c r="H3215">
        <v>0.310224634153275</v>
      </c>
      <c r="I3215">
        <v>0.31590506456422901</v>
      </c>
      <c r="J3215">
        <v>0.28238438263758098</v>
      </c>
      <c r="K3215">
        <v>0.224503364533581</v>
      </c>
      <c r="L3215">
        <v>672.73100419606806</v>
      </c>
      <c r="M3215">
        <v>13.230393185350399</v>
      </c>
      <c r="N3215">
        <v>53.487627915165497</v>
      </c>
      <c r="O3215">
        <v>49.727842578255498</v>
      </c>
      <c r="P3215">
        <v>-5.0573740773111199E-2</v>
      </c>
      <c r="Q3215">
        <v>0.239778089506891</v>
      </c>
      <c r="R3215">
        <v>0.99279229114701195</v>
      </c>
      <c r="S3215" t="s">
        <v>9500</v>
      </c>
      <c r="T3215" t="s">
        <v>12568</v>
      </c>
      <c r="U3215" t="s">
        <v>12568</v>
      </c>
      <c r="V3215" t="s">
        <v>12568</v>
      </c>
      <c r="W3215" t="s">
        <v>15743</v>
      </c>
      <c r="X3215">
        <v>14</v>
      </c>
      <c r="Y3215" t="s">
        <v>21879</v>
      </c>
      <c r="Z3215" t="s">
        <v>28085</v>
      </c>
      <c r="AA3215">
        <v>0.53627019843535362</v>
      </c>
      <c r="AB3215" t="str">
        <f>HYPERLINK("Melting_Curves/meltCurve_Q15746_4_MYLK.pdf", "Melting_Curves/meltCurve_Q15746_4_MYLK.pdf")</f>
        <v>Melting_Curves/meltCurve_Q15746_4_MYLK.pdf</v>
      </c>
    </row>
    <row r="3216" spans="1:28" x14ac:dyDescent="0.25">
      <c r="A3216" t="s">
        <v>3220</v>
      </c>
      <c r="B3216">
        <v>0.99352677808782597</v>
      </c>
      <c r="C3216">
        <v>0.97816179849343099</v>
      </c>
      <c r="D3216">
        <v>0.97381427964280098</v>
      </c>
      <c r="E3216">
        <v>0.43779347528938201</v>
      </c>
      <c r="F3216">
        <v>0.36075221115431</v>
      </c>
      <c r="G3216">
        <v>0.18766152337669001</v>
      </c>
      <c r="H3216">
        <v>0.11215422951127101</v>
      </c>
      <c r="I3216">
        <v>9.8448199828628E-2</v>
      </c>
      <c r="J3216">
        <v>8.4604537774652502E-2</v>
      </c>
      <c r="K3216">
        <v>6.7658407926865005E-2</v>
      </c>
      <c r="L3216">
        <v>1124.7604122919499</v>
      </c>
      <c r="M3216">
        <v>22.5550448170907</v>
      </c>
      <c r="N3216">
        <v>50.357997240161097</v>
      </c>
      <c r="O3216">
        <v>49.480323697721197</v>
      </c>
      <c r="P3216">
        <v>-0.102720571981189</v>
      </c>
      <c r="Q3216">
        <v>9.8641681080232899E-2</v>
      </c>
      <c r="R3216">
        <v>0.98170673103184103</v>
      </c>
      <c r="S3216" t="s">
        <v>9501</v>
      </c>
      <c r="T3216" t="s">
        <v>12568</v>
      </c>
      <c r="U3216" t="s">
        <v>12568</v>
      </c>
      <c r="V3216" t="s">
        <v>12568</v>
      </c>
      <c r="W3216" t="s">
        <v>15744</v>
      </c>
      <c r="X3216">
        <v>8</v>
      </c>
      <c r="Y3216" t="s">
        <v>21880</v>
      </c>
      <c r="Z3216" t="s">
        <v>28086</v>
      </c>
      <c r="AA3216">
        <v>0.40500231499072442</v>
      </c>
      <c r="AB3216" t="str">
        <f>HYPERLINK("Melting_Curves/meltCurve_Q15750_2_TAB1.pdf", "Melting_Curves/meltCurve_Q15750_2_TAB1.pdf")</f>
        <v>Melting_Curves/meltCurve_Q15750_2_TAB1.pdf</v>
      </c>
    </row>
    <row r="3217" spans="1:28" x14ac:dyDescent="0.25">
      <c r="A3217" t="s">
        <v>3221</v>
      </c>
      <c r="B3217">
        <v>0.99352677808782597</v>
      </c>
      <c r="C3217">
        <v>0.92633342340935698</v>
      </c>
      <c r="D3217">
        <v>0.76080935539190597</v>
      </c>
      <c r="E3217">
        <v>1.1656667917377299</v>
      </c>
      <c r="F3217">
        <v>1.0910143108106201</v>
      </c>
      <c r="G3217">
        <v>0.69630773086169395</v>
      </c>
      <c r="H3217">
        <v>0.62656576258767405</v>
      </c>
      <c r="I3217">
        <v>0.51091763441944205</v>
      </c>
      <c r="J3217">
        <v>0.42967042281574802</v>
      </c>
      <c r="K3217">
        <v>0.39512950320379803</v>
      </c>
      <c r="L3217">
        <v>1510.60181691454</v>
      </c>
      <c r="M3217">
        <v>25.883239385260801</v>
      </c>
      <c r="N3217">
        <v>62.960054928812497</v>
      </c>
      <c r="O3217">
        <v>58.017129645565099</v>
      </c>
      <c r="P3217">
        <v>-6.41900007687871E-2</v>
      </c>
      <c r="Q3217">
        <v>0.42448069773583402</v>
      </c>
      <c r="R3217">
        <v>0.81524230755168003</v>
      </c>
      <c r="S3217" t="s">
        <v>9502</v>
      </c>
      <c r="T3217" t="s">
        <v>12568</v>
      </c>
      <c r="U3217" t="s">
        <v>12568</v>
      </c>
      <c r="V3217" t="s">
        <v>12568</v>
      </c>
      <c r="W3217" t="s">
        <v>15745</v>
      </c>
      <c r="X3217">
        <v>3</v>
      </c>
      <c r="Y3217" t="s">
        <v>21881</v>
      </c>
      <c r="Z3217" t="s">
        <v>28087</v>
      </c>
      <c r="AA3217">
        <v>0.78143018215088367</v>
      </c>
      <c r="AB3217" t="str">
        <f>HYPERLINK("Melting_Curves/meltCurve_Q15751_HERC1.pdf", "Melting_Curves/meltCurve_Q15751_HERC1.pdf")</f>
        <v>Melting_Curves/meltCurve_Q15751_HERC1.pdf</v>
      </c>
    </row>
    <row r="3218" spans="1:28" x14ac:dyDescent="0.25">
      <c r="A3218" t="s">
        <v>3222</v>
      </c>
      <c r="B3218">
        <v>0.99352677808782597</v>
      </c>
      <c r="C3218">
        <v>0.84377366638190299</v>
      </c>
      <c r="D3218">
        <v>0.96444295959283</v>
      </c>
      <c r="E3218">
        <v>1.1665059313058601</v>
      </c>
      <c r="F3218">
        <v>1.2405822497086401</v>
      </c>
      <c r="G3218">
        <v>1.32339961939884</v>
      </c>
      <c r="H3218">
        <v>1.0574343068774601</v>
      </c>
      <c r="I3218">
        <v>1.20549388282239</v>
      </c>
      <c r="J3218">
        <v>0.84029587580551901</v>
      </c>
      <c r="K3218">
        <v>0.92259021278787501</v>
      </c>
      <c r="L3218">
        <v>7948.59352233152</v>
      </c>
      <c r="M3218">
        <v>120.646470629844</v>
      </c>
      <c r="O3218">
        <v>65.865229373601906</v>
      </c>
      <c r="P3218">
        <v>-5.4751865478249E-2</v>
      </c>
      <c r="Q3218">
        <v>0.88043594467630104</v>
      </c>
      <c r="R3218">
        <v>-2.1926564563461901E-2</v>
      </c>
      <c r="S3218" t="s">
        <v>9503</v>
      </c>
      <c r="T3218" t="s">
        <v>12568</v>
      </c>
      <c r="U3218" t="s">
        <v>12568</v>
      </c>
      <c r="V3218" t="s">
        <v>12568</v>
      </c>
      <c r="W3218" t="s">
        <v>15746</v>
      </c>
      <c r="X3218">
        <v>1</v>
      </c>
      <c r="Y3218" t="s">
        <v>21882</v>
      </c>
      <c r="Z3218" t="s">
        <v>28088</v>
      </c>
      <c r="AA3218">
        <v>0.98365054793946283</v>
      </c>
      <c r="AB3218" t="str">
        <f>HYPERLINK("Melting_Curves/meltCurve_Q15758_3_SLC1A5.pdf", "Melting_Curves/meltCurve_Q15758_3_SLC1A5.pdf")</f>
        <v>Melting_Curves/meltCurve_Q15758_3_SLC1A5.pdf</v>
      </c>
    </row>
    <row r="3219" spans="1:28" x14ac:dyDescent="0.25">
      <c r="A3219" t="s">
        <v>3223</v>
      </c>
      <c r="B3219">
        <v>0.99352677808782597</v>
      </c>
      <c r="C3219">
        <v>0.98000954868546997</v>
      </c>
      <c r="D3219">
        <v>0.942427223127837</v>
      </c>
      <c r="E3219">
        <v>0.32711618263882603</v>
      </c>
      <c r="F3219">
        <v>0.23930628150849401</v>
      </c>
      <c r="G3219">
        <v>0.19320784448292799</v>
      </c>
      <c r="H3219">
        <v>0.119807614368896</v>
      </c>
      <c r="I3219">
        <v>0.132393554945649</v>
      </c>
      <c r="J3219">
        <v>0.122949108165431</v>
      </c>
      <c r="K3219">
        <v>0.120117503080774</v>
      </c>
      <c r="L3219">
        <v>2019.9543250946101</v>
      </c>
      <c r="M3219">
        <v>41.588768576598703</v>
      </c>
      <c r="N3219">
        <v>48.9813470967431</v>
      </c>
      <c r="O3219">
        <v>48.457829299817803</v>
      </c>
      <c r="P3219">
        <v>-0.182917607589764</v>
      </c>
      <c r="Q3219">
        <v>0.14748408725200399</v>
      </c>
      <c r="R3219">
        <v>0.99286289608900202</v>
      </c>
      <c r="S3219" t="s">
        <v>9504</v>
      </c>
      <c r="T3219" t="s">
        <v>12568</v>
      </c>
      <c r="U3219" t="s">
        <v>12568</v>
      </c>
      <c r="V3219" t="s">
        <v>12568</v>
      </c>
      <c r="W3219" t="s">
        <v>15747</v>
      </c>
      <c r="X3219">
        <v>2</v>
      </c>
      <c r="Y3219" t="s">
        <v>21883</v>
      </c>
      <c r="Z3219" t="s">
        <v>28089</v>
      </c>
      <c r="AA3219">
        <v>0.39366048885873273</v>
      </c>
      <c r="AB3219" t="str">
        <f>HYPERLINK("Melting_Curves/meltCurve_Q15759_MAPK11.pdf", "Melting_Curves/meltCurve_Q15759_MAPK11.pdf")</f>
        <v>Melting_Curves/meltCurve_Q15759_MAPK11.pdf</v>
      </c>
    </row>
    <row r="3220" spans="1:28" x14ac:dyDescent="0.25">
      <c r="A3220" t="s">
        <v>3224</v>
      </c>
      <c r="B3220">
        <v>0.99352677808782597</v>
      </c>
      <c r="C3220">
        <v>0.78278109919250205</v>
      </c>
      <c r="D3220">
        <v>0.78292549583406901</v>
      </c>
      <c r="E3220">
        <v>0.57961255483450802</v>
      </c>
      <c r="F3220">
        <v>0.56847876406582099</v>
      </c>
      <c r="G3220">
        <v>0.39733880599218502</v>
      </c>
      <c r="H3220">
        <v>0.31099000413668698</v>
      </c>
      <c r="I3220">
        <v>0.32680963431738602</v>
      </c>
      <c r="J3220">
        <v>0.27609706108644</v>
      </c>
      <c r="K3220">
        <v>0.27613120164223398</v>
      </c>
      <c r="L3220">
        <v>447.53024239484802</v>
      </c>
      <c r="M3220">
        <v>8.9095954329501108</v>
      </c>
      <c r="N3220">
        <v>53.4346804159889</v>
      </c>
      <c r="O3220">
        <v>47.8929722435754</v>
      </c>
      <c r="P3220">
        <v>-3.6910152734335303E-2</v>
      </c>
      <c r="Q3220">
        <v>0.206965493802967</v>
      </c>
      <c r="R3220">
        <v>0.97138709075826102</v>
      </c>
      <c r="S3220" t="s">
        <v>9505</v>
      </c>
      <c r="T3220" t="s">
        <v>12568</v>
      </c>
      <c r="U3220" t="s">
        <v>12568</v>
      </c>
      <c r="V3220" t="s">
        <v>12568</v>
      </c>
      <c r="W3220" t="s">
        <v>15748</v>
      </c>
      <c r="X3220">
        <v>3</v>
      </c>
      <c r="Y3220" t="s">
        <v>21884</v>
      </c>
      <c r="Z3220" t="s">
        <v>28090</v>
      </c>
      <c r="AA3220">
        <v>0.51815438925610258</v>
      </c>
      <c r="AB3220" t="str">
        <f>HYPERLINK("Melting_Curves/meltCurve_Q15773_MLF2.pdf", "Melting_Curves/meltCurve_Q15773_MLF2.pdf")</f>
        <v>Melting_Curves/meltCurve_Q15773_MLF2.pdf</v>
      </c>
    </row>
    <row r="3221" spans="1:28" x14ac:dyDescent="0.25">
      <c r="A3221" t="s">
        <v>3225</v>
      </c>
      <c r="B3221">
        <v>0.99352677808782597</v>
      </c>
      <c r="C3221">
        <v>0.89823255115920897</v>
      </c>
      <c r="D3221">
        <v>0.60964985681462602</v>
      </c>
      <c r="E3221">
        <v>0.22723743680823599</v>
      </c>
      <c r="F3221">
        <v>0.16059837477754299</v>
      </c>
      <c r="G3221">
        <v>9.6628242132026601E-2</v>
      </c>
      <c r="H3221">
        <v>6.9915298721942506E-2</v>
      </c>
      <c r="I3221">
        <v>6.6694630939023003E-2</v>
      </c>
      <c r="J3221">
        <v>6.36269966453923E-2</v>
      </c>
      <c r="K3221">
        <v>5.4607849635480502E-2</v>
      </c>
      <c r="L3221">
        <v>1054.2014007361599</v>
      </c>
      <c r="M3221">
        <v>22.569384889634598</v>
      </c>
      <c r="N3221">
        <v>47.018996385769903</v>
      </c>
      <c r="O3221">
        <v>46.347298686767502</v>
      </c>
      <c r="P3221">
        <v>-0.113335981305748</v>
      </c>
      <c r="Q3221">
        <v>6.9055815791003394E-2</v>
      </c>
      <c r="R3221">
        <v>0.99840525632442401</v>
      </c>
      <c r="S3221" t="s">
        <v>9506</v>
      </c>
      <c r="T3221" t="s">
        <v>12568</v>
      </c>
      <c r="U3221" t="s">
        <v>12568</v>
      </c>
      <c r="V3221" t="s">
        <v>12568</v>
      </c>
      <c r="W3221" t="s">
        <v>15749</v>
      </c>
      <c r="X3221">
        <v>15</v>
      </c>
      <c r="Y3221" t="s">
        <v>21885</v>
      </c>
      <c r="Z3221" t="s">
        <v>28091</v>
      </c>
      <c r="AA3221">
        <v>0.28778191194627722</v>
      </c>
      <c r="AB3221" t="str">
        <f>HYPERLINK("Melting_Curves/meltCurve_Q15785_TOMM34.pdf", "Melting_Curves/meltCurve_Q15785_TOMM34.pdf")</f>
        <v>Melting_Curves/meltCurve_Q15785_TOMM34.pdf</v>
      </c>
    </row>
    <row r="3222" spans="1:28" x14ac:dyDescent="0.25">
      <c r="A3222" t="s">
        <v>3226</v>
      </c>
      <c r="B3222">
        <v>0.99352677808782597</v>
      </c>
      <c r="C3222">
        <v>0.94529987442678698</v>
      </c>
      <c r="D3222">
        <v>0.91218887387403802</v>
      </c>
      <c r="E3222">
        <v>0.85182346867923098</v>
      </c>
      <c r="F3222">
        <v>0.66388350515779804</v>
      </c>
      <c r="G3222">
        <v>0.54555829831508995</v>
      </c>
      <c r="H3222">
        <v>0.44425914408310302</v>
      </c>
      <c r="I3222">
        <v>0.41514409012297698</v>
      </c>
      <c r="J3222">
        <v>0.495841213902873</v>
      </c>
      <c r="K3222">
        <v>0.40743911851466802</v>
      </c>
      <c r="L3222">
        <v>835.73344294245396</v>
      </c>
      <c r="M3222">
        <v>15.9602329936752</v>
      </c>
      <c r="N3222">
        <v>58.856611154772899</v>
      </c>
      <c r="O3222">
        <v>51.562108027099598</v>
      </c>
      <c r="P3222">
        <v>-4.5347083609998E-2</v>
      </c>
      <c r="Q3222">
        <v>0.414042036394626</v>
      </c>
      <c r="R3222">
        <v>0.97999078473114698</v>
      </c>
      <c r="S3222" t="s">
        <v>9507</v>
      </c>
      <c r="T3222" t="s">
        <v>12568</v>
      </c>
      <c r="U3222" t="s">
        <v>12568</v>
      </c>
      <c r="V3222" t="s">
        <v>12568</v>
      </c>
      <c r="W3222" t="s">
        <v>15750</v>
      </c>
      <c r="X3222">
        <v>6</v>
      </c>
      <c r="Y3222" t="s">
        <v>21886</v>
      </c>
      <c r="Z3222" t="s">
        <v>28092</v>
      </c>
      <c r="AA3222">
        <v>0.66729549058330639</v>
      </c>
      <c r="AB3222" t="str">
        <f>HYPERLINK("Melting_Curves/meltCurve_Q15788_2_NCOA1.pdf", "Melting_Curves/meltCurve_Q15788_2_NCOA1.pdf")</f>
        <v>Melting_Curves/meltCurve_Q15788_2_NCOA1.pdf</v>
      </c>
    </row>
    <row r="3223" spans="1:28" x14ac:dyDescent="0.25">
      <c r="A3223" t="s">
        <v>3227</v>
      </c>
      <c r="B3223">
        <v>0.99352677808782597</v>
      </c>
      <c r="C3223">
        <v>0.96364877164851603</v>
      </c>
      <c r="D3223">
        <v>0.94735524129892001</v>
      </c>
      <c r="E3223">
        <v>0.325420062656191</v>
      </c>
      <c r="F3223">
        <v>0.240457218112508</v>
      </c>
      <c r="G3223">
        <v>0.1455524348311</v>
      </c>
      <c r="H3223">
        <v>0.103287722410005</v>
      </c>
      <c r="I3223">
        <v>9.1694340338800598E-2</v>
      </c>
      <c r="J3223">
        <v>8.7220669193460207E-2</v>
      </c>
      <c r="K3223">
        <v>6.6781921446031095E-2</v>
      </c>
      <c r="L3223">
        <v>1808.90820590459</v>
      </c>
      <c r="M3223">
        <v>37.115831622197803</v>
      </c>
      <c r="N3223">
        <v>49.065947186956002</v>
      </c>
      <c r="O3223">
        <v>48.5960038031116</v>
      </c>
      <c r="P3223">
        <v>-0.16990077138190099</v>
      </c>
      <c r="Q3223">
        <v>0.11019367656215399</v>
      </c>
      <c r="R3223">
        <v>0.98976131160509695</v>
      </c>
      <c r="S3223" t="s">
        <v>9508</v>
      </c>
      <c r="T3223" t="s">
        <v>12568</v>
      </c>
      <c r="U3223" t="s">
        <v>12568</v>
      </c>
      <c r="V3223" t="s">
        <v>12568</v>
      </c>
      <c r="W3223" t="s">
        <v>15751</v>
      </c>
      <c r="X3223">
        <v>16</v>
      </c>
      <c r="Y3223" t="s">
        <v>21887</v>
      </c>
      <c r="Z3223" t="s">
        <v>28093</v>
      </c>
      <c r="AA3223">
        <v>0.37282416004186092</v>
      </c>
      <c r="AB3223" t="str">
        <f>HYPERLINK("Melting_Curves/meltCurve_Q15796_2_SMAD2.pdf", "Melting_Curves/meltCurve_Q15796_2_SMAD2.pdf")</f>
        <v>Melting_Curves/meltCurve_Q15796_2_SMAD2.pdf</v>
      </c>
    </row>
    <row r="3224" spans="1:28" x14ac:dyDescent="0.25">
      <c r="A3224" t="s">
        <v>3228</v>
      </c>
      <c r="B3224">
        <v>0.99352677808782597</v>
      </c>
      <c r="C3224">
        <v>1.0102197314270001</v>
      </c>
      <c r="D3224">
        <v>0.99274077271720496</v>
      </c>
      <c r="E3224">
        <v>0.86576443599932795</v>
      </c>
      <c r="F3224">
        <v>0.77567100728159699</v>
      </c>
      <c r="G3224">
        <v>0.45857293056903697</v>
      </c>
      <c r="H3224">
        <v>0.219044968081299</v>
      </c>
      <c r="I3224">
        <v>0.187486353687706</v>
      </c>
      <c r="J3224">
        <v>0.15842165078352399</v>
      </c>
      <c r="K3224">
        <v>0.127735152444615</v>
      </c>
      <c r="L3224">
        <v>1074.3639322963199</v>
      </c>
      <c r="M3224">
        <v>19.3319946686</v>
      </c>
      <c r="N3224">
        <v>56.328536247865998</v>
      </c>
      <c r="O3224">
        <v>54.989979188957498</v>
      </c>
      <c r="P3224">
        <v>-7.7870595948752896E-2</v>
      </c>
      <c r="Q3224">
        <v>0.11401940396726799</v>
      </c>
      <c r="R3224">
        <v>0.99710591662058501</v>
      </c>
      <c r="S3224" t="s">
        <v>9509</v>
      </c>
      <c r="T3224" t="s">
        <v>12568</v>
      </c>
      <c r="U3224" t="s">
        <v>12568</v>
      </c>
      <c r="V3224" t="s">
        <v>12568</v>
      </c>
      <c r="W3224" t="s">
        <v>15752</v>
      </c>
      <c r="X3224">
        <v>8</v>
      </c>
      <c r="Y3224" t="s">
        <v>21888</v>
      </c>
      <c r="Z3224" t="s">
        <v>28094</v>
      </c>
      <c r="AA3224">
        <v>0.58613209452637771</v>
      </c>
      <c r="AB3224" t="str">
        <f>HYPERLINK("Melting_Curves/meltCurve_Q15814_TBCC.pdf", "Melting_Curves/meltCurve_Q15814_TBCC.pdf")</f>
        <v>Melting_Curves/meltCurve_Q15814_TBCC.pdf</v>
      </c>
    </row>
    <row r="3225" spans="1:28" x14ac:dyDescent="0.25">
      <c r="A3225" t="s">
        <v>3229</v>
      </c>
      <c r="B3225">
        <v>0.99352677808782597</v>
      </c>
      <c r="C3225">
        <v>1.09832568344295</v>
      </c>
      <c r="D3225">
        <v>0.94361780644374205</v>
      </c>
      <c r="E3225">
        <v>0.87480413990185302</v>
      </c>
      <c r="F3225">
        <v>1.17594322041917</v>
      </c>
      <c r="G3225">
        <v>0.70728012553806896</v>
      </c>
      <c r="H3225">
        <v>0.64918207684981299</v>
      </c>
      <c r="I3225">
        <v>0.51717420319252005</v>
      </c>
      <c r="J3225">
        <v>0.40290720228243698</v>
      </c>
      <c r="K3225">
        <v>0.35734339420143102</v>
      </c>
      <c r="L3225">
        <v>1164.1908747801599</v>
      </c>
      <c r="M3225">
        <v>19.369559979250202</v>
      </c>
      <c r="N3225">
        <v>63.6784285585831</v>
      </c>
      <c r="O3225">
        <v>59.474514534790998</v>
      </c>
      <c r="P3225">
        <v>-5.4437224096405203E-2</v>
      </c>
      <c r="Q3225">
        <v>0.331423702916533</v>
      </c>
      <c r="R3225">
        <v>0.87858330808403595</v>
      </c>
      <c r="S3225" t="s">
        <v>9510</v>
      </c>
      <c r="T3225" t="s">
        <v>12568</v>
      </c>
      <c r="U3225" t="s">
        <v>12568</v>
      </c>
      <c r="V3225" t="s">
        <v>12568</v>
      </c>
      <c r="W3225" t="s">
        <v>15753</v>
      </c>
      <c r="X3225">
        <v>1</v>
      </c>
      <c r="Y3225" t="s">
        <v>21889</v>
      </c>
      <c r="Z3225" t="s">
        <v>28095</v>
      </c>
      <c r="AA3225">
        <v>0.784910235293511</v>
      </c>
      <c r="AB3225" t="str">
        <f>HYPERLINK("Melting_Curves/meltCurve_Q15818_NPTX1.pdf", "Melting_Curves/meltCurve_Q15818_NPTX1.pdf")</f>
        <v>Melting_Curves/meltCurve_Q15818_NPTX1.pdf</v>
      </c>
    </row>
    <row r="3226" spans="1:28" x14ac:dyDescent="0.25">
      <c r="A3226" t="s">
        <v>3230</v>
      </c>
      <c r="B3226">
        <v>0.99352677808782597</v>
      </c>
      <c r="C3226">
        <v>0.95333082484715304</v>
      </c>
      <c r="D3226">
        <v>1.03609260191541</v>
      </c>
      <c r="E3226">
        <v>0.92321692131032695</v>
      </c>
      <c r="F3226">
        <v>0.81513568591622798</v>
      </c>
      <c r="G3226">
        <v>0.59188923487704703</v>
      </c>
      <c r="H3226">
        <v>0.222956579394192</v>
      </c>
      <c r="I3226">
        <v>0.128323815464572</v>
      </c>
      <c r="J3226">
        <v>8.9368704874103699E-2</v>
      </c>
      <c r="K3226">
        <v>7.5620777352166393E-2</v>
      </c>
      <c r="L3226">
        <v>1146.2158673469</v>
      </c>
      <c r="M3226">
        <v>19.988272700148801</v>
      </c>
      <c r="N3226">
        <v>57.541783283199202</v>
      </c>
      <c r="O3226">
        <v>56.779701463498498</v>
      </c>
      <c r="P3226">
        <v>-8.5095057767297602E-2</v>
      </c>
      <c r="Q3226">
        <v>3.31302137281217E-2</v>
      </c>
      <c r="R3226">
        <v>0.993880529500482</v>
      </c>
      <c r="S3226" t="s">
        <v>9511</v>
      </c>
      <c r="T3226" t="s">
        <v>12568</v>
      </c>
      <c r="U3226" t="s">
        <v>12568</v>
      </c>
      <c r="V3226" t="s">
        <v>12568</v>
      </c>
      <c r="W3226" t="s">
        <v>15754</v>
      </c>
      <c r="X3226">
        <v>12</v>
      </c>
      <c r="Y3226" t="s">
        <v>21890</v>
      </c>
      <c r="Z3226" t="s">
        <v>28096</v>
      </c>
      <c r="AA3226">
        <v>0.60369607851173512</v>
      </c>
      <c r="AB3226" t="str">
        <f>HYPERLINK("Melting_Curves/meltCurve_Q15819_UBE2V2.pdf", "Melting_Curves/meltCurve_Q15819_UBE2V2.pdf")</f>
        <v>Melting_Curves/meltCurve_Q15819_UBE2V2.pdf</v>
      </c>
    </row>
    <row r="3227" spans="1:28" x14ac:dyDescent="0.25">
      <c r="A3227" t="s">
        <v>3231</v>
      </c>
      <c r="B3227">
        <v>0.99352677808782597</v>
      </c>
      <c r="C3227">
        <v>0.85027459435221298</v>
      </c>
      <c r="D3227">
        <v>0.90942333343023596</v>
      </c>
      <c r="E3227">
        <v>0.24907314866696401</v>
      </c>
      <c r="F3227">
        <v>0.188296284676473</v>
      </c>
      <c r="G3227">
        <v>0.11741909201665</v>
      </c>
      <c r="H3227">
        <v>7.91631237961474E-2</v>
      </c>
      <c r="I3227">
        <v>6.81712182277186E-2</v>
      </c>
      <c r="J3227">
        <v>5.6784978776274503E-2</v>
      </c>
      <c r="K3227">
        <v>4.97235212912647E-2</v>
      </c>
      <c r="L3227">
        <v>1794.2199593635801</v>
      </c>
      <c r="M3227">
        <v>37.171932875455603</v>
      </c>
      <c r="N3227">
        <v>48.505768961803803</v>
      </c>
      <c r="O3227">
        <v>48.129077552712097</v>
      </c>
      <c r="P3227">
        <v>-0.17701197802010499</v>
      </c>
      <c r="Q3227">
        <v>8.3243843017496405E-2</v>
      </c>
      <c r="R3227">
        <v>0.97805233856503404</v>
      </c>
      <c r="S3227" t="s">
        <v>9512</v>
      </c>
      <c r="T3227" t="s">
        <v>12568</v>
      </c>
      <c r="U3227" t="s">
        <v>12568</v>
      </c>
      <c r="V3227" t="s">
        <v>12568</v>
      </c>
      <c r="W3227" t="s">
        <v>15755</v>
      </c>
      <c r="X3227">
        <v>19</v>
      </c>
      <c r="Y3227" t="s">
        <v>21891</v>
      </c>
      <c r="Z3227" t="s">
        <v>28097</v>
      </c>
      <c r="AA3227">
        <v>0.33946500797349932</v>
      </c>
      <c r="AB3227" t="str">
        <f>HYPERLINK("Melting_Curves/meltCurve_Q15833_STXBP2.pdf", "Melting_Curves/meltCurve_Q15833_STXBP2.pdf")</f>
        <v>Melting_Curves/meltCurve_Q15833_STXBP2.pdf</v>
      </c>
    </row>
    <row r="3228" spans="1:28" x14ac:dyDescent="0.25">
      <c r="A3228" t="s">
        <v>3232</v>
      </c>
      <c r="B3228">
        <v>0.99352677808782597</v>
      </c>
      <c r="C3228">
        <v>1.0177218193431199</v>
      </c>
      <c r="D3228">
        <v>0.91363200108861997</v>
      </c>
      <c r="E3228">
        <v>0.92164296965610504</v>
      </c>
      <c r="F3228">
        <v>0.779682265223824</v>
      </c>
      <c r="G3228">
        <v>0.64245593070106899</v>
      </c>
      <c r="H3228">
        <v>0.56166383962254196</v>
      </c>
      <c r="I3228">
        <v>0.59580563915107099</v>
      </c>
      <c r="J3228">
        <v>0.51135890571742404</v>
      </c>
      <c r="K3228">
        <v>0.49052434551864199</v>
      </c>
      <c r="L3228">
        <v>787.30390966119205</v>
      </c>
      <c r="M3228">
        <v>14.526636486004699</v>
      </c>
      <c r="O3228">
        <v>53.201261280301402</v>
      </c>
      <c r="P3228">
        <v>-3.4692052411766101E-2</v>
      </c>
      <c r="Q3228">
        <v>0.49184399918893201</v>
      </c>
      <c r="R3228">
        <v>0.97699087392919004</v>
      </c>
      <c r="S3228" t="s">
        <v>9513</v>
      </c>
      <c r="T3228" t="s">
        <v>12568</v>
      </c>
      <c r="U3228" t="s">
        <v>12568</v>
      </c>
      <c r="V3228" t="s">
        <v>12568</v>
      </c>
      <c r="W3228" t="s">
        <v>15756</v>
      </c>
      <c r="X3228">
        <v>4</v>
      </c>
      <c r="Y3228" t="s">
        <v>21892</v>
      </c>
      <c r="Z3228" t="s">
        <v>28098</v>
      </c>
      <c r="AA3228">
        <v>0.74303663547052379</v>
      </c>
      <c r="AB3228" t="str">
        <f>HYPERLINK("Melting_Curves/meltCurve_Q15836_VAMP3.pdf", "Melting_Curves/meltCurve_Q15836_VAMP3.pdf")</f>
        <v>Melting_Curves/meltCurve_Q15836_VAMP3.pdf</v>
      </c>
    </row>
    <row r="3229" spans="1:28" x14ac:dyDescent="0.25">
      <c r="A3229" t="s">
        <v>3233</v>
      </c>
      <c r="B3229">
        <v>0.99352677808782597</v>
      </c>
      <c r="C3229">
        <v>0.94425395413434998</v>
      </c>
      <c r="D3229">
        <v>0.92672526288085599</v>
      </c>
      <c r="E3229">
        <v>0.97425310967873702</v>
      </c>
      <c r="F3229">
        <v>0.96819703894951803</v>
      </c>
      <c r="G3229">
        <v>0.65714243290504004</v>
      </c>
      <c r="H3229">
        <v>0.45705909971658298</v>
      </c>
      <c r="I3229">
        <v>0.42341489948005101</v>
      </c>
      <c r="J3229">
        <v>0.45354904822925801</v>
      </c>
      <c r="K3229">
        <v>0.35974417635560102</v>
      </c>
      <c r="L3229">
        <v>2071.8934605038498</v>
      </c>
      <c r="M3229">
        <v>36.633978969217701</v>
      </c>
      <c r="N3229">
        <v>59.3411016844382</v>
      </c>
      <c r="O3229">
        <v>56.388874021964803</v>
      </c>
      <c r="P3229">
        <v>-9.5764784440648495E-2</v>
      </c>
      <c r="Q3229">
        <v>0.410377778068586</v>
      </c>
      <c r="R3229">
        <v>0.97925426771458202</v>
      </c>
      <c r="S3229" t="s">
        <v>9514</v>
      </c>
      <c r="T3229" t="s">
        <v>12568</v>
      </c>
      <c r="U3229" t="s">
        <v>12568</v>
      </c>
      <c r="V3229" t="s">
        <v>12568</v>
      </c>
      <c r="W3229" t="s">
        <v>15757</v>
      </c>
      <c r="X3229">
        <v>3</v>
      </c>
      <c r="Y3229" t="s">
        <v>21893</v>
      </c>
      <c r="Z3229" t="s">
        <v>28099</v>
      </c>
      <c r="AA3229">
        <v>0.73849214392273865</v>
      </c>
      <c r="AB3229" t="str">
        <f>HYPERLINK("Melting_Curves/meltCurve_Q15853_2_USF2.pdf", "Melting_Curves/meltCurve_Q15853_2_USF2.pdf")</f>
        <v>Melting_Curves/meltCurve_Q15853_2_USF2.pdf</v>
      </c>
    </row>
    <row r="3230" spans="1:28" x14ac:dyDescent="0.25">
      <c r="A3230" t="s">
        <v>3234</v>
      </c>
      <c r="B3230">
        <v>0.99352677808782597</v>
      </c>
      <c r="C3230">
        <v>0.97272470223139396</v>
      </c>
      <c r="D3230">
        <v>0.90811924998127103</v>
      </c>
      <c r="E3230">
        <v>0.76120287784745699</v>
      </c>
      <c r="F3230">
        <v>0.67113628188163599</v>
      </c>
      <c r="G3230">
        <v>0.45930011530870801</v>
      </c>
      <c r="H3230">
        <v>0.39125769958537199</v>
      </c>
      <c r="I3230">
        <v>0.47149089344405798</v>
      </c>
      <c r="J3230">
        <v>0.46614037200661701</v>
      </c>
      <c r="K3230">
        <v>0.367029303719761</v>
      </c>
      <c r="L3230">
        <v>843.73950110914495</v>
      </c>
      <c r="M3230">
        <v>16.410488764300201</v>
      </c>
      <c r="N3230">
        <v>56.9991217231847</v>
      </c>
      <c r="O3230">
        <v>50.669368754104603</v>
      </c>
      <c r="P3230">
        <v>-4.8597703857738102E-2</v>
      </c>
      <c r="Q3230">
        <v>0.39983753185444298</v>
      </c>
      <c r="R3230">
        <v>0.97579976635388599</v>
      </c>
      <c r="S3230" t="s">
        <v>9515</v>
      </c>
      <c r="T3230" t="s">
        <v>12568</v>
      </c>
      <c r="U3230" t="s">
        <v>12568</v>
      </c>
      <c r="V3230" t="s">
        <v>12568</v>
      </c>
      <c r="W3230" t="s">
        <v>15758</v>
      </c>
      <c r="X3230">
        <v>2</v>
      </c>
      <c r="Y3230" t="s">
        <v>21894</v>
      </c>
      <c r="Z3230" t="s">
        <v>28100</v>
      </c>
      <c r="AA3230">
        <v>0.63999565818714366</v>
      </c>
      <c r="AB3230" t="str">
        <f>HYPERLINK("Melting_Curves/meltCurve_Q15906_VPS72.pdf", "Melting_Curves/meltCurve_Q15906_VPS72.pdf")</f>
        <v>Melting_Curves/meltCurve_Q15906_VPS72.pdf</v>
      </c>
    </row>
    <row r="3231" spans="1:28" x14ac:dyDescent="0.25">
      <c r="A3231" t="s">
        <v>3235</v>
      </c>
      <c r="B3231">
        <v>0.99352677808782597</v>
      </c>
      <c r="C3231">
        <v>0.96064840035617605</v>
      </c>
      <c r="D3231">
        <v>0.98601332963880395</v>
      </c>
      <c r="E3231">
        <v>0.77880330036523804</v>
      </c>
      <c r="F3231">
        <v>0.678051773024822</v>
      </c>
      <c r="G3231">
        <v>0.453793772524612</v>
      </c>
      <c r="H3231">
        <v>0.26940319177858202</v>
      </c>
      <c r="I3231">
        <v>0.22949013890849301</v>
      </c>
      <c r="J3231">
        <v>0.154501174039468</v>
      </c>
      <c r="K3231">
        <v>0.107893229622204</v>
      </c>
      <c r="L3231">
        <v>703.50100248759202</v>
      </c>
      <c r="M3231">
        <v>12.667713451595001</v>
      </c>
      <c r="N3231">
        <v>56.059478248923497</v>
      </c>
      <c r="O3231">
        <v>54.205554481316</v>
      </c>
      <c r="P3231">
        <v>-5.51701622202335E-2</v>
      </c>
      <c r="Q3231">
        <v>5.5884836634832701E-2</v>
      </c>
      <c r="R3231">
        <v>0.99559240196012999</v>
      </c>
      <c r="S3231" t="s">
        <v>9516</v>
      </c>
      <c r="T3231" t="s">
        <v>12568</v>
      </c>
      <c r="U3231" t="s">
        <v>12568</v>
      </c>
      <c r="V3231" t="s">
        <v>12568</v>
      </c>
      <c r="W3231" t="s">
        <v>15759</v>
      </c>
      <c r="X3231">
        <v>13</v>
      </c>
      <c r="Y3231" t="s">
        <v>21895</v>
      </c>
      <c r="Z3231" t="s">
        <v>28101</v>
      </c>
      <c r="AA3231">
        <v>0.56477162473290199</v>
      </c>
      <c r="AB3231" t="str">
        <f>HYPERLINK("Melting_Curves/meltCurve_Q15907_RAB11B.pdf", "Melting_Curves/meltCurve_Q15907_RAB11B.pdf")</f>
        <v>Melting_Curves/meltCurve_Q15907_RAB11B.pdf</v>
      </c>
    </row>
    <row r="3232" spans="1:28" x14ac:dyDescent="0.25">
      <c r="A3232" t="s">
        <v>3236</v>
      </c>
      <c r="B3232">
        <v>0.99352677808782597</v>
      </c>
      <c r="C3232">
        <v>0.98390871333730701</v>
      </c>
      <c r="D3232">
        <v>0.891084420873959</v>
      </c>
      <c r="E3232">
        <v>0.85501034332595105</v>
      </c>
      <c r="F3232">
        <v>0.72227213658730105</v>
      </c>
      <c r="G3232">
        <v>0.76151496236198701</v>
      </c>
      <c r="H3232">
        <v>0.69288819533441504</v>
      </c>
      <c r="I3232">
        <v>0.52667811931475506</v>
      </c>
      <c r="J3232">
        <v>0.44207619212462002</v>
      </c>
      <c r="K3232">
        <v>0.32073559337785301</v>
      </c>
      <c r="L3232">
        <v>415.93354297688302</v>
      </c>
      <c r="M3232">
        <v>6.4091037442810403</v>
      </c>
      <c r="N3232">
        <v>64.897302242794794</v>
      </c>
      <c r="O3232">
        <v>59.443327658985098</v>
      </c>
      <c r="P3232">
        <v>-2.70235653693255E-2</v>
      </c>
      <c r="Q3232">
        <v>0</v>
      </c>
      <c r="R3232">
        <v>0.94568391551783604</v>
      </c>
      <c r="S3232" t="s">
        <v>9517</v>
      </c>
      <c r="T3232" t="s">
        <v>12568</v>
      </c>
      <c r="U3232" t="s">
        <v>12568</v>
      </c>
      <c r="V3232" t="s">
        <v>12568</v>
      </c>
      <c r="W3232" t="s">
        <v>15760</v>
      </c>
      <c r="X3232">
        <v>4</v>
      </c>
      <c r="Y3232" t="s">
        <v>21896</v>
      </c>
      <c r="Z3232" t="s">
        <v>28102</v>
      </c>
      <c r="AA3232">
        <v>0.73182159555060677</v>
      </c>
      <c r="AB3232" t="str">
        <f>HYPERLINK("Melting_Curves/meltCurve_Q15911_ZFHX3.pdf", "Melting_Curves/meltCurve_Q15911_ZFHX3.pdf")</f>
        <v>Melting_Curves/meltCurve_Q15911_ZFHX3.pdf</v>
      </c>
    </row>
    <row r="3233" spans="1:28" x14ac:dyDescent="0.25">
      <c r="A3233" t="s">
        <v>3237</v>
      </c>
      <c r="B3233">
        <v>0.99352677808782597</v>
      </c>
      <c r="C3233">
        <v>0.96062060575015495</v>
      </c>
      <c r="D3233">
        <v>0.998052475267731</v>
      </c>
      <c r="E3233">
        <v>0.96359368531990597</v>
      </c>
      <c r="F3233">
        <v>0.92271305565729</v>
      </c>
      <c r="G3233">
        <v>0.86160858363150405</v>
      </c>
      <c r="H3233">
        <v>0.81525235435430798</v>
      </c>
      <c r="I3233">
        <v>0.88491282908438895</v>
      </c>
      <c r="J3233">
        <v>0.97908799477834596</v>
      </c>
      <c r="K3233">
        <v>0.82547440936775296</v>
      </c>
      <c r="L3233">
        <v>1756.8318033032101</v>
      </c>
      <c r="M3233">
        <v>33.954245746534298</v>
      </c>
      <c r="O3233">
        <v>51.562650420878001</v>
      </c>
      <c r="P3233">
        <v>-2.0856287059850799E-2</v>
      </c>
      <c r="Q3233">
        <v>0.87331169309045298</v>
      </c>
      <c r="R3233">
        <v>0.55732360083142596</v>
      </c>
      <c r="S3233" t="s">
        <v>9518</v>
      </c>
      <c r="T3233" t="s">
        <v>12568</v>
      </c>
      <c r="U3233" t="s">
        <v>12568</v>
      </c>
      <c r="V3233" t="s">
        <v>12568</v>
      </c>
      <c r="W3233" t="s">
        <v>15761</v>
      </c>
      <c r="X3233">
        <v>23</v>
      </c>
      <c r="Y3233" t="s">
        <v>21897</v>
      </c>
      <c r="Z3233" t="s">
        <v>28103</v>
      </c>
      <c r="AA3233">
        <v>0.92352345291655036</v>
      </c>
      <c r="AB3233" t="str">
        <f>HYPERLINK("Melting_Curves/meltCurve_Q15942_ZYX.pdf", "Melting_Curves/meltCurve_Q15942_ZYX.pdf")</f>
        <v>Melting_Curves/meltCurve_Q15942_ZYX.pdf</v>
      </c>
    </row>
    <row r="3234" spans="1:28" x14ac:dyDescent="0.25">
      <c r="A3234" t="s">
        <v>3238</v>
      </c>
      <c r="B3234">
        <v>0.99352677808782597</v>
      </c>
      <c r="C3234">
        <v>1.0042188802340299</v>
      </c>
      <c r="D3234">
        <v>1.0509267192748299</v>
      </c>
      <c r="E3234">
        <v>1.00129166771797</v>
      </c>
      <c r="F3234">
        <v>0.86992516092743699</v>
      </c>
      <c r="G3234">
        <v>0.81130981252210099</v>
      </c>
      <c r="H3234">
        <v>0.63268720135488199</v>
      </c>
      <c r="I3234">
        <v>0.59020733779121004</v>
      </c>
      <c r="J3234">
        <v>0.66866225426168902</v>
      </c>
      <c r="K3234">
        <v>0.57463329939300301</v>
      </c>
      <c r="L3234">
        <v>1203.2275108556601</v>
      </c>
      <c r="M3234">
        <v>21.351481122003701</v>
      </c>
      <c r="O3234">
        <v>55.866015926691702</v>
      </c>
      <c r="P3234">
        <v>-3.8935332644100103E-2</v>
      </c>
      <c r="Q3234">
        <v>0.59251406966127496</v>
      </c>
      <c r="R3234">
        <v>0.95772718287608105</v>
      </c>
      <c r="S3234" t="s">
        <v>9519</v>
      </c>
      <c r="T3234" t="s">
        <v>12568</v>
      </c>
      <c r="U3234" t="s">
        <v>12568</v>
      </c>
      <c r="V3234" t="s">
        <v>12568</v>
      </c>
      <c r="W3234" t="s">
        <v>15762</v>
      </c>
      <c r="X3234">
        <v>3</v>
      </c>
      <c r="Y3234" t="s">
        <v>21898</v>
      </c>
      <c r="Z3234" t="s">
        <v>28104</v>
      </c>
      <c r="AA3234">
        <v>0.81936883770945645</v>
      </c>
      <c r="AB3234" t="str">
        <f>HYPERLINK("Melting_Curves/meltCurve_Q16143_SNCB.pdf", "Melting_Curves/meltCurve_Q16143_SNCB.pdf")</f>
        <v>Melting_Curves/meltCurve_Q16143_SNCB.pdf</v>
      </c>
    </row>
    <row r="3235" spans="1:28" x14ac:dyDescent="0.25">
      <c r="A3235" t="s">
        <v>3239</v>
      </c>
      <c r="B3235">
        <v>0.99352677808782597</v>
      </c>
      <c r="C3235">
        <v>0.941687592325547</v>
      </c>
      <c r="D3235">
        <v>0.89454229205546199</v>
      </c>
      <c r="E3235">
        <v>1.06651107318394</v>
      </c>
      <c r="F3235">
        <v>0.896348135072907</v>
      </c>
      <c r="G3235">
        <v>0.28381562066799798</v>
      </c>
      <c r="H3235">
        <v>0.14925350259563</v>
      </c>
      <c r="I3235">
        <v>0.132489183916149</v>
      </c>
      <c r="J3235">
        <v>0.104257805378048</v>
      </c>
      <c r="K3235">
        <v>8.4431000466998501E-2</v>
      </c>
      <c r="L3235">
        <v>2652.9239748448599</v>
      </c>
      <c r="M3235">
        <v>47.974502336687898</v>
      </c>
      <c r="N3235">
        <v>55.599649436911299</v>
      </c>
      <c r="O3235">
        <v>55.2027905865531</v>
      </c>
      <c r="P3235">
        <v>-0.192415460437348</v>
      </c>
      <c r="Q3235">
        <v>0.114374507259057</v>
      </c>
      <c r="R3235">
        <v>0.98707248790068902</v>
      </c>
      <c r="S3235" t="s">
        <v>9520</v>
      </c>
      <c r="T3235" t="s">
        <v>12568</v>
      </c>
      <c r="U3235" t="s">
        <v>12568</v>
      </c>
      <c r="V3235" t="s">
        <v>12568</v>
      </c>
      <c r="W3235" t="s">
        <v>15763</v>
      </c>
      <c r="X3235">
        <v>26</v>
      </c>
      <c r="Y3235" t="s">
        <v>21899</v>
      </c>
      <c r="Z3235" t="s">
        <v>28105</v>
      </c>
      <c r="AA3235">
        <v>0.56834813205224777</v>
      </c>
      <c r="AB3235" t="str">
        <f>HYPERLINK("Melting_Curves/meltCurve_Q16181_SEPT7.pdf", "Melting_Curves/meltCurve_Q16181_SEPT7.pdf")</f>
        <v>Melting_Curves/meltCurve_Q16181_SEPT7.pdf</v>
      </c>
    </row>
    <row r="3236" spans="1:28" x14ac:dyDescent="0.25">
      <c r="A3236" t="s">
        <v>3240</v>
      </c>
      <c r="B3236">
        <v>0.99352677808782597</v>
      </c>
      <c r="C3236">
        <v>0.93280542185694504</v>
      </c>
      <c r="D3236">
        <v>0.88282648785621098</v>
      </c>
      <c r="E3236">
        <v>0.784653693650881</v>
      </c>
      <c r="F3236">
        <v>0.70276222297102298</v>
      </c>
      <c r="G3236">
        <v>0.59990127120648595</v>
      </c>
      <c r="H3236">
        <v>0.42923893116255601</v>
      </c>
      <c r="I3236">
        <v>0.44768132772658298</v>
      </c>
      <c r="J3236">
        <v>0.47786463540794699</v>
      </c>
      <c r="K3236">
        <v>0.45952196172326298</v>
      </c>
      <c r="L3236">
        <v>600.66041438433797</v>
      </c>
      <c r="M3236">
        <v>11.4766953658585</v>
      </c>
      <c r="N3236">
        <v>61.124648285714798</v>
      </c>
      <c r="O3236">
        <v>50.824014007906896</v>
      </c>
      <c r="P3236">
        <v>-3.3657735266757999E-2</v>
      </c>
      <c r="Q3236">
        <v>0.40396384809351199</v>
      </c>
      <c r="R3236">
        <v>0.978090691492426</v>
      </c>
      <c r="S3236" t="s">
        <v>9521</v>
      </c>
      <c r="T3236" t="s">
        <v>12568</v>
      </c>
      <c r="U3236" t="s">
        <v>12568</v>
      </c>
      <c r="V3236" t="s">
        <v>12568</v>
      </c>
      <c r="W3236" t="s">
        <v>15764</v>
      </c>
      <c r="X3236">
        <v>5</v>
      </c>
      <c r="Y3236" t="s">
        <v>21900</v>
      </c>
      <c r="Z3236" t="s">
        <v>28106</v>
      </c>
      <c r="AA3236">
        <v>0.66788794237242932</v>
      </c>
      <c r="AB3236" t="str">
        <f>HYPERLINK("Melting_Curves/meltCurve_Q16186_ADRM1.pdf", "Melting_Curves/meltCurve_Q16186_ADRM1.pdf")</f>
        <v>Melting_Curves/meltCurve_Q16186_ADRM1.pdf</v>
      </c>
    </row>
    <row r="3237" spans="1:28" x14ac:dyDescent="0.25">
      <c r="A3237" t="s">
        <v>3241</v>
      </c>
      <c r="B3237">
        <v>0.99352677808782597</v>
      </c>
      <c r="C3237">
        <v>1.01933663798497</v>
      </c>
      <c r="D3237">
        <v>0.98688513149012103</v>
      </c>
      <c r="E3237">
        <v>0.95199825950665595</v>
      </c>
      <c r="F3237">
        <v>0.888616162739296</v>
      </c>
      <c r="G3237">
        <v>0.73123009004068795</v>
      </c>
      <c r="H3237">
        <v>0.62079876440847004</v>
      </c>
      <c r="I3237">
        <v>0.57212193021698099</v>
      </c>
      <c r="J3237">
        <v>0.638869633300995</v>
      </c>
      <c r="K3237">
        <v>0.48097267913096498</v>
      </c>
      <c r="L3237">
        <v>965.058663759512</v>
      </c>
      <c r="M3237">
        <v>17.131169271591901</v>
      </c>
      <c r="O3237">
        <v>55.582686139638703</v>
      </c>
      <c r="P3237">
        <v>-3.6399230077517497E-2</v>
      </c>
      <c r="Q3237">
        <v>0.52763395268418201</v>
      </c>
      <c r="R3237">
        <v>0.96861717937128999</v>
      </c>
      <c r="S3237" t="s">
        <v>9522</v>
      </c>
      <c r="T3237" t="s">
        <v>12568</v>
      </c>
      <c r="U3237" t="s">
        <v>12568</v>
      </c>
      <c r="V3237" t="s">
        <v>12568</v>
      </c>
      <c r="W3237" t="s">
        <v>15765</v>
      </c>
      <c r="X3237">
        <v>29</v>
      </c>
      <c r="Y3237" t="s">
        <v>21901</v>
      </c>
      <c r="Z3237" t="s">
        <v>28107</v>
      </c>
      <c r="AA3237">
        <v>0.79200165126300637</v>
      </c>
      <c r="AB3237" t="str">
        <f>HYPERLINK("Melting_Curves/meltCurve_Q16204_CCDC6.pdf", "Melting_Curves/meltCurve_Q16204_CCDC6.pdf")</f>
        <v>Melting_Curves/meltCurve_Q16204_CCDC6.pdf</v>
      </c>
    </row>
    <row r="3238" spans="1:28" x14ac:dyDescent="0.25">
      <c r="A3238" t="s">
        <v>3242</v>
      </c>
      <c r="B3238">
        <v>0.99352677808782597</v>
      </c>
      <c r="C3238">
        <v>1.0085731311755199</v>
      </c>
      <c r="D3238">
        <v>0.99713541592969901</v>
      </c>
      <c r="E3238">
        <v>0.33977079131353699</v>
      </c>
      <c r="F3238">
        <v>0.25436182495001503</v>
      </c>
      <c r="G3238">
        <v>0.159961503126586</v>
      </c>
      <c r="H3238">
        <v>9.13718053282606E-2</v>
      </c>
      <c r="I3238">
        <v>7.49904236563462E-2</v>
      </c>
      <c r="J3238">
        <v>7.5723640760774202E-2</v>
      </c>
      <c r="K3238">
        <v>5.3461513058336199E-2</v>
      </c>
      <c r="L3238">
        <v>2074.5512609953098</v>
      </c>
      <c r="M3238">
        <v>42.345662022073299</v>
      </c>
      <c r="N3238">
        <v>49.273530741444397</v>
      </c>
      <c r="O3238">
        <v>48.882000811152203</v>
      </c>
      <c r="P3238">
        <v>-0.19322006372548101</v>
      </c>
      <c r="Q3238">
        <v>0.10782193425243999</v>
      </c>
      <c r="R3238">
        <v>0.98475756862881103</v>
      </c>
      <c r="S3238" t="s">
        <v>9523</v>
      </c>
      <c r="T3238" t="s">
        <v>12568</v>
      </c>
      <c r="U3238" t="s">
        <v>12568</v>
      </c>
      <c r="V3238" t="s">
        <v>12568</v>
      </c>
      <c r="W3238" t="s">
        <v>15766</v>
      </c>
      <c r="X3238">
        <v>7</v>
      </c>
      <c r="Y3238" t="s">
        <v>21902</v>
      </c>
      <c r="Z3238" t="s">
        <v>28108</v>
      </c>
      <c r="AA3238">
        <v>0.37789955047765922</v>
      </c>
      <c r="AB3238" t="str">
        <f>HYPERLINK("Melting_Curves/meltCurve_Q16222_2_UAP1.pdf", "Melting_Curves/meltCurve_Q16222_2_UAP1.pdf")</f>
        <v>Melting_Curves/meltCurve_Q16222_2_UAP1.pdf</v>
      </c>
    </row>
    <row r="3239" spans="1:28" x14ac:dyDescent="0.25">
      <c r="A3239" t="s">
        <v>3243</v>
      </c>
      <c r="B3239">
        <v>0.99352677808782597</v>
      </c>
      <c r="C3239">
        <v>1.0105550463233699</v>
      </c>
      <c r="D3239">
        <v>0.87162968706896504</v>
      </c>
      <c r="E3239">
        <v>0.77765880307479396</v>
      </c>
      <c r="F3239">
        <v>0.69894115122039402</v>
      </c>
      <c r="G3239">
        <v>0.45647714662012501</v>
      </c>
      <c r="H3239">
        <v>0.37167593915656699</v>
      </c>
      <c r="I3239">
        <v>0.34026418098143502</v>
      </c>
      <c r="J3239">
        <v>0.38648894459369698</v>
      </c>
      <c r="K3239">
        <v>0.31050773973450202</v>
      </c>
      <c r="L3239">
        <v>741.92722095412103</v>
      </c>
      <c r="M3239">
        <v>14.0236373025738</v>
      </c>
      <c r="N3239">
        <v>56.609807743577399</v>
      </c>
      <c r="O3239">
        <v>51.864520370310103</v>
      </c>
      <c r="P3239">
        <v>-4.7306021495877801E-2</v>
      </c>
      <c r="Q3239">
        <v>0.30027237454463102</v>
      </c>
      <c r="R3239">
        <v>0.98368573949207105</v>
      </c>
      <c r="S3239" t="s">
        <v>9524</v>
      </c>
      <c r="T3239" t="s">
        <v>12568</v>
      </c>
      <c r="U3239" t="s">
        <v>12568</v>
      </c>
      <c r="V3239" t="s">
        <v>12568</v>
      </c>
      <c r="W3239" t="s">
        <v>15767</v>
      </c>
      <c r="X3239">
        <v>3</v>
      </c>
      <c r="Y3239" t="s">
        <v>21903</v>
      </c>
      <c r="Z3239" t="s">
        <v>28109</v>
      </c>
      <c r="AA3239">
        <v>0.61785419707551381</v>
      </c>
      <c r="AB3239" t="str">
        <f>HYPERLINK("Melting_Curves/meltCurve_Q16254_E2F4.pdf", "Melting_Curves/meltCurve_Q16254_E2F4.pdf")</f>
        <v>Melting_Curves/meltCurve_Q16254_E2F4.pdf</v>
      </c>
    </row>
    <row r="3240" spans="1:28" x14ac:dyDescent="0.25">
      <c r="A3240" t="s">
        <v>3244</v>
      </c>
      <c r="B3240">
        <v>0.99352677808782597</v>
      </c>
      <c r="C3240">
        <v>0.98959274598714897</v>
      </c>
      <c r="D3240">
        <v>1.0285560419308</v>
      </c>
      <c r="E3240">
        <v>0.94063547558915095</v>
      </c>
      <c r="F3240">
        <v>0.85368145168908105</v>
      </c>
      <c r="G3240">
        <v>0.76442646893162502</v>
      </c>
      <c r="H3240">
        <v>0.68892636434412202</v>
      </c>
      <c r="I3240">
        <v>0.74125760737573998</v>
      </c>
      <c r="J3240">
        <v>0.75532954635657801</v>
      </c>
      <c r="K3240">
        <v>0.64051655911625405</v>
      </c>
      <c r="L3240">
        <v>1250.7859640377801</v>
      </c>
      <c r="M3240">
        <v>23.5099103560859</v>
      </c>
      <c r="O3240">
        <v>52.822052925630899</v>
      </c>
      <c r="P3240">
        <v>-3.3099654658515602E-2</v>
      </c>
      <c r="Q3240">
        <v>0.702531966433667</v>
      </c>
      <c r="R3240">
        <v>0.94373702554706995</v>
      </c>
      <c r="S3240" t="s">
        <v>9525</v>
      </c>
      <c r="T3240" t="s">
        <v>12568</v>
      </c>
      <c r="U3240" t="s">
        <v>12568</v>
      </c>
      <c r="V3240" t="s">
        <v>12568</v>
      </c>
      <c r="W3240" t="s">
        <v>15768</v>
      </c>
      <c r="X3240">
        <v>6</v>
      </c>
      <c r="Y3240" t="s">
        <v>21904</v>
      </c>
      <c r="Z3240" t="s">
        <v>28110</v>
      </c>
      <c r="AA3240">
        <v>0.83651484666108511</v>
      </c>
      <c r="AB3240" t="str">
        <f>HYPERLINK("Melting_Curves/meltCurve_Q16270_2_IGFBP7.pdf", "Melting_Curves/meltCurve_Q16270_2_IGFBP7.pdf")</f>
        <v>Melting_Curves/meltCurve_Q16270_2_IGFBP7.pdf</v>
      </c>
    </row>
    <row r="3241" spans="1:28" x14ac:dyDescent="0.25">
      <c r="A3241" t="s">
        <v>3245</v>
      </c>
      <c r="B3241">
        <v>0.99352677808782597</v>
      </c>
      <c r="C3241">
        <v>1.0236425718456801</v>
      </c>
      <c r="D3241">
        <v>1.0244313998507999</v>
      </c>
      <c r="E3241">
        <v>0.95338230777331701</v>
      </c>
      <c r="F3241">
        <v>0.77558164999465795</v>
      </c>
      <c r="G3241">
        <v>0.81887282843335496</v>
      </c>
      <c r="H3241">
        <v>0.73780811512293498</v>
      </c>
      <c r="I3241">
        <v>0.72185594394862695</v>
      </c>
      <c r="J3241">
        <v>0.79946729653834503</v>
      </c>
      <c r="K3241">
        <v>0.67012159546883598</v>
      </c>
      <c r="L3241">
        <v>3072.2548641676599</v>
      </c>
      <c r="M3241">
        <v>59.986113903334001</v>
      </c>
      <c r="O3241">
        <v>51.159273155531899</v>
      </c>
      <c r="P3241">
        <v>-7.3574699865470994E-2</v>
      </c>
      <c r="Q3241">
        <v>0.74900680377891204</v>
      </c>
      <c r="R3241">
        <v>0.90352002517229402</v>
      </c>
      <c r="S3241" t="s">
        <v>9526</v>
      </c>
      <c r="T3241" t="s">
        <v>12568</v>
      </c>
      <c r="U3241" t="s">
        <v>12568</v>
      </c>
      <c r="V3241" t="s">
        <v>12568</v>
      </c>
      <c r="W3241" t="s">
        <v>15769</v>
      </c>
      <c r="X3241">
        <v>3</v>
      </c>
      <c r="Y3241" t="s">
        <v>21905</v>
      </c>
      <c r="Z3241" t="s">
        <v>28111</v>
      </c>
      <c r="AA3241">
        <v>0.84323891798796524</v>
      </c>
      <c r="AB3241" t="str">
        <f>HYPERLINK("Melting_Curves/meltCurve_Q16352_INA.pdf", "Melting_Curves/meltCurve_Q16352_INA.pdf")</f>
        <v>Melting_Curves/meltCurve_Q16352_INA.pdf</v>
      </c>
    </row>
    <row r="3242" spans="1:28" x14ac:dyDescent="0.25">
      <c r="A3242" t="s">
        <v>3246</v>
      </c>
      <c r="B3242">
        <v>0.99352677808782597</v>
      </c>
      <c r="C3242">
        <v>1.0182048560011301</v>
      </c>
      <c r="D3242">
        <v>0.84519754373012601</v>
      </c>
      <c r="E3242">
        <v>0.96531543088127802</v>
      </c>
      <c r="F3242">
        <v>0.87308199801314901</v>
      </c>
      <c r="G3242">
        <v>0.64851376516077697</v>
      </c>
      <c r="H3242">
        <v>0.17392664452676199</v>
      </c>
      <c r="I3242">
        <v>0.172069093259549</v>
      </c>
      <c r="J3242">
        <v>0.13059462608897701</v>
      </c>
      <c r="K3242">
        <v>9.6065592181861198E-2</v>
      </c>
      <c r="L3242">
        <v>1678.13697713735</v>
      </c>
      <c r="M3242">
        <v>29.203492072796099</v>
      </c>
      <c r="N3242">
        <v>57.898852243693803</v>
      </c>
      <c r="O3242">
        <v>57.196144683966097</v>
      </c>
      <c r="P3242">
        <v>-0.115065844499308</v>
      </c>
      <c r="Q3242">
        <v>9.8563279548563407E-2</v>
      </c>
      <c r="R3242">
        <v>0.97539131891365705</v>
      </c>
      <c r="S3242" t="s">
        <v>9527</v>
      </c>
      <c r="T3242" t="s">
        <v>12568</v>
      </c>
      <c r="U3242" t="s">
        <v>12568</v>
      </c>
      <c r="V3242" t="s">
        <v>12568</v>
      </c>
      <c r="W3242" t="s">
        <v>15770</v>
      </c>
      <c r="X3242">
        <v>21</v>
      </c>
      <c r="Y3242" t="s">
        <v>21906</v>
      </c>
      <c r="Z3242" t="s">
        <v>28112</v>
      </c>
      <c r="AA3242">
        <v>0.62956618300874179</v>
      </c>
      <c r="AB3242" t="str">
        <f>HYPERLINK("Melting_Curves/meltCurve_Q16401_2_PSMD5.pdf", "Melting_Curves/meltCurve_Q16401_2_PSMD5.pdf")</f>
        <v>Melting_Curves/meltCurve_Q16401_2_PSMD5.pdf</v>
      </c>
    </row>
    <row r="3243" spans="1:28" x14ac:dyDescent="0.25">
      <c r="A3243" t="s">
        <v>3247</v>
      </c>
      <c r="B3243">
        <v>0.99352677808782597</v>
      </c>
      <c r="C3243">
        <v>0.98222299501037302</v>
      </c>
      <c r="D3243">
        <v>0.90001215561245096</v>
      </c>
      <c r="E3243">
        <v>0.32912293672097997</v>
      </c>
      <c r="F3243">
        <v>0.25499385399051799</v>
      </c>
      <c r="G3243">
        <v>0.161198528805481</v>
      </c>
      <c r="H3243">
        <v>0.121573918821448</v>
      </c>
      <c r="I3243">
        <v>0.13389209691085799</v>
      </c>
      <c r="J3243">
        <v>0.124954877307987</v>
      </c>
      <c r="K3243">
        <v>9.4434516188757603E-2</v>
      </c>
      <c r="L3243">
        <v>1629.49436698207</v>
      </c>
      <c r="M3243">
        <v>33.622213941701801</v>
      </c>
      <c r="N3243">
        <v>48.924495356551098</v>
      </c>
      <c r="O3243">
        <v>48.2943297984067</v>
      </c>
      <c r="P3243">
        <v>-0.15047672091351</v>
      </c>
      <c r="Q3243">
        <v>0.13543557616676699</v>
      </c>
      <c r="R3243">
        <v>0.99289902189454304</v>
      </c>
      <c r="S3243" t="s">
        <v>9528</v>
      </c>
      <c r="T3243" t="s">
        <v>12568</v>
      </c>
      <c r="U3243" t="s">
        <v>12568</v>
      </c>
      <c r="V3243" t="s">
        <v>12568</v>
      </c>
      <c r="W3243" t="s">
        <v>15771</v>
      </c>
      <c r="X3243">
        <v>15</v>
      </c>
      <c r="Y3243" t="s">
        <v>21907</v>
      </c>
      <c r="Z3243" t="s">
        <v>28113</v>
      </c>
      <c r="AA3243">
        <v>0.38351619382523872</v>
      </c>
      <c r="AB3243" t="str">
        <f>HYPERLINK("Melting_Curves/meltCurve_Q16512_PKN1.pdf", "Melting_Curves/meltCurve_Q16512_PKN1.pdf")</f>
        <v>Melting_Curves/meltCurve_Q16512_PKN1.pdf</v>
      </c>
    </row>
    <row r="3244" spans="1:28" x14ac:dyDescent="0.25">
      <c r="A3244" t="s">
        <v>3248</v>
      </c>
      <c r="B3244">
        <v>0.99352677808782597</v>
      </c>
      <c r="C3244">
        <v>0.95752656409794501</v>
      </c>
      <c r="D3244">
        <v>0.82759139435962703</v>
      </c>
      <c r="E3244">
        <v>0.292467538294231</v>
      </c>
      <c r="F3244">
        <v>0.220482228721149</v>
      </c>
      <c r="G3244">
        <v>0.123725913521363</v>
      </c>
      <c r="H3244">
        <v>0.105243760869276</v>
      </c>
      <c r="I3244">
        <v>0.107556903497496</v>
      </c>
      <c r="J3244">
        <v>8.9393873126202797E-2</v>
      </c>
      <c r="K3244">
        <v>6.3511682144542697E-2</v>
      </c>
      <c r="L3244">
        <v>1369.46031033337</v>
      </c>
      <c r="M3244">
        <v>28.473722619096801</v>
      </c>
      <c r="N3244">
        <v>48.481914544670801</v>
      </c>
      <c r="O3244">
        <v>47.860228448051998</v>
      </c>
      <c r="P3244">
        <v>-0.133639289681562</v>
      </c>
      <c r="Q3244">
        <v>0.101493585966462</v>
      </c>
      <c r="R3244">
        <v>0.99464880260783495</v>
      </c>
      <c r="S3244" t="s">
        <v>9529</v>
      </c>
      <c r="T3244" t="s">
        <v>12568</v>
      </c>
      <c r="U3244" t="s">
        <v>12568</v>
      </c>
      <c r="V3244" t="s">
        <v>12568</v>
      </c>
      <c r="W3244" t="s">
        <v>15772</v>
      </c>
      <c r="X3244">
        <v>17</v>
      </c>
      <c r="Y3244" t="s">
        <v>21908</v>
      </c>
      <c r="Z3244" t="s">
        <v>28114</v>
      </c>
      <c r="AA3244">
        <v>0.34999458158001229</v>
      </c>
      <c r="AB3244" t="str">
        <f>HYPERLINK("Melting_Curves/meltCurve_Q16513_PKN2.pdf", "Melting_Curves/meltCurve_Q16513_PKN2.pdf")</f>
        <v>Melting_Curves/meltCurve_Q16513_PKN2.pdf</v>
      </c>
    </row>
    <row r="3245" spans="1:28" x14ac:dyDescent="0.25">
      <c r="A3245" t="s">
        <v>3249</v>
      </c>
      <c r="B3245">
        <v>0.99352677808782597</v>
      </c>
      <c r="C3245">
        <v>0.91059137570565396</v>
      </c>
      <c r="D3245">
        <v>0.80462947807728302</v>
      </c>
      <c r="E3245">
        <v>0.52642291011601405</v>
      </c>
      <c r="F3245">
        <v>0.43239716399044098</v>
      </c>
      <c r="G3245">
        <v>0.325256359295235</v>
      </c>
      <c r="H3245">
        <v>0.210505424668606</v>
      </c>
      <c r="I3245">
        <v>0.18442635375512101</v>
      </c>
      <c r="J3245">
        <v>0.20964521993840499</v>
      </c>
      <c r="K3245">
        <v>0.19673406617855899</v>
      </c>
      <c r="L3245">
        <v>690.55942214741106</v>
      </c>
      <c r="M3245">
        <v>13.936588770392399</v>
      </c>
      <c r="N3245">
        <v>51.148131600801698</v>
      </c>
      <c r="O3245">
        <v>48.563350250920799</v>
      </c>
      <c r="P3245">
        <v>-5.90891630410545E-2</v>
      </c>
      <c r="Q3245">
        <v>0.17650399353292401</v>
      </c>
      <c r="R3245">
        <v>0.99456022068337901</v>
      </c>
      <c r="S3245" t="s">
        <v>9530</v>
      </c>
      <c r="T3245" t="s">
        <v>12568</v>
      </c>
      <c r="U3245" t="s">
        <v>12568</v>
      </c>
      <c r="V3245" t="s">
        <v>12568</v>
      </c>
      <c r="W3245" t="s">
        <v>15773</v>
      </c>
      <c r="X3245">
        <v>1</v>
      </c>
      <c r="Y3245" t="s">
        <v>21909</v>
      </c>
      <c r="Z3245" t="s">
        <v>28115</v>
      </c>
      <c r="AA3245">
        <v>0.4613903939221714</v>
      </c>
      <c r="AB3245" t="str">
        <f>HYPERLINK("Melting_Curves/meltCurve_Q16514_2_TAF12.pdf", "Melting_Curves/meltCurve_Q16514_2_TAF12.pdf")</f>
        <v>Melting_Curves/meltCurve_Q16514_2_TAF12.pdf</v>
      </c>
    </row>
    <row r="3246" spans="1:28" x14ac:dyDescent="0.25">
      <c r="A3246" t="s">
        <v>3250</v>
      </c>
      <c r="B3246">
        <v>0.99352677808782597</v>
      </c>
      <c r="C3246">
        <v>0.97496637546015896</v>
      </c>
      <c r="D3246">
        <v>0.92013966295982297</v>
      </c>
      <c r="E3246">
        <v>0.75283695205321799</v>
      </c>
      <c r="F3246">
        <v>0.68058420192819602</v>
      </c>
      <c r="G3246">
        <v>0.47759805774716502</v>
      </c>
      <c r="H3246">
        <v>0.377261901828993</v>
      </c>
      <c r="I3246">
        <v>0.35918505750275997</v>
      </c>
      <c r="J3246">
        <v>0.26455987194583303</v>
      </c>
      <c r="K3246">
        <v>0.15851967522528099</v>
      </c>
      <c r="L3246">
        <v>524.35279199928596</v>
      </c>
      <c r="M3246">
        <v>9.3134955784255506</v>
      </c>
      <c r="N3246">
        <v>57.314012811465503</v>
      </c>
      <c r="O3246">
        <v>53.887473815735397</v>
      </c>
      <c r="P3246">
        <v>-3.9952479414428997E-2</v>
      </c>
      <c r="Q3246">
        <v>7.5936266947747105E-2</v>
      </c>
      <c r="R3246">
        <v>0.98958691343106797</v>
      </c>
      <c r="S3246" t="s">
        <v>9531</v>
      </c>
      <c r="T3246" t="s">
        <v>12568</v>
      </c>
      <c r="U3246" t="s">
        <v>12568</v>
      </c>
      <c r="V3246" t="s">
        <v>12568</v>
      </c>
      <c r="W3246" t="s">
        <v>15774</v>
      </c>
      <c r="X3246">
        <v>5</v>
      </c>
      <c r="Y3246" t="s">
        <v>21910</v>
      </c>
      <c r="Z3246" t="s">
        <v>28116</v>
      </c>
      <c r="AA3246">
        <v>0.59575417116023999</v>
      </c>
      <c r="AB3246" t="str">
        <f>HYPERLINK("Melting_Curves/meltCurve_Q16526_CRY1.pdf", "Melting_Curves/meltCurve_Q16526_CRY1.pdf")</f>
        <v>Melting_Curves/meltCurve_Q16526_CRY1.pdf</v>
      </c>
    </row>
    <row r="3247" spans="1:28" x14ac:dyDescent="0.25">
      <c r="A3247" t="s">
        <v>3251</v>
      </c>
      <c r="B3247">
        <v>0.99352677808782597</v>
      </c>
      <c r="C3247">
        <v>0.89138641875921598</v>
      </c>
      <c r="D3247">
        <v>1.0241482838571001</v>
      </c>
      <c r="E3247">
        <v>0.96967313351667195</v>
      </c>
      <c r="F3247">
        <v>0.87358872175289703</v>
      </c>
      <c r="G3247">
        <v>0.81622533609074899</v>
      </c>
      <c r="H3247">
        <v>0.71724650976778903</v>
      </c>
      <c r="I3247">
        <v>0.77063759184096903</v>
      </c>
      <c r="J3247">
        <v>0.83588859260727699</v>
      </c>
      <c r="K3247">
        <v>0.69244303065262602</v>
      </c>
      <c r="L3247">
        <v>1377.9837125512199</v>
      </c>
      <c r="M3247">
        <v>25.858894165394702</v>
      </c>
      <c r="O3247">
        <v>52.972933984576002</v>
      </c>
      <c r="P3247">
        <v>-2.99385383601306E-2</v>
      </c>
      <c r="Q3247">
        <v>0.75468183226583996</v>
      </c>
      <c r="R3247">
        <v>0.77818612210810501</v>
      </c>
      <c r="S3247" t="s">
        <v>9532</v>
      </c>
      <c r="T3247" t="s">
        <v>12568</v>
      </c>
      <c r="U3247" t="s">
        <v>12568</v>
      </c>
      <c r="V3247" t="s">
        <v>12568</v>
      </c>
      <c r="W3247" t="s">
        <v>15775</v>
      </c>
      <c r="X3247">
        <v>11</v>
      </c>
      <c r="Y3247" t="s">
        <v>21911</v>
      </c>
      <c r="Z3247" t="s">
        <v>28117</v>
      </c>
      <c r="AA3247">
        <v>0.86547039121238778</v>
      </c>
      <c r="AB3247" t="str">
        <f>HYPERLINK("Melting_Curves/meltCurve_Q16527_CSRP2.pdf", "Melting_Curves/meltCurve_Q16527_CSRP2.pdf")</f>
        <v>Melting_Curves/meltCurve_Q16527_CSRP2.pdf</v>
      </c>
    </row>
    <row r="3248" spans="1:28" x14ac:dyDescent="0.25">
      <c r="A3248" t="s">
        <v>3252</v>
      </c>
      <c r="B3248">
        <v>0.99352677808782597</v>
      </c>
      <c r="C3248">
        <v>1.05862359223202</v>
      </c>
      <c r="D3248">
        <v>0.93148000684750198</v>
      </c>
      <c r="E3248">
        <v>1.0805161496754401</v>
      </c>
      <c r="F3248">
        <v>0.87523433182671895</v>
      </c>
      <c r="G3248">
        <v>0.87589057295320405</v>
      </c>
      <c r="H3248">
        <v>0.79504758845886603</v>
      </c>
      <c r="I3248">
        <v>0.32948895588264798</v>
      </c>
      <c r="J3248">
        <v>0.21306068004467699</v>
      </c>
      <c r="K3248">
        <v>0.12278688464330299</v>
      </c>
      <c r="L3248">
        <v>2590.1978764492601</v>
      </c>
      <c r="M3248">
        <v>41.486569608423601</v>
      </c>
      <c r="N3248">
        <v>62.889899919315397</v>
      </c>
      <c r="O3248">
        <v>62.290060322378501</v>
      </c>
      <c r="P3248">
        <v>-0.14490727022862801</v>
      </c>
      <c r="Q3248">
        <v>0.129716627783896</v>
      </c>
      <c r="R3248">
        <v>0.96172980450136603</v>
      </c>
      <c r="S3248" t="s">
        <v>9533</v>
      </c>
      <c r="T3248" t="s">
        <v>12568</v>
      </c>
      <c r="U3248" t="s">
        <v>12568</v>
      </c>
      <c r="V3248" t="s">
        <v>12568</v>
      </c>
      <c r="W3248" t="s">
        <v>15776</v>
      </c>
      <c r="X3248">
        <v>51</v>
      </c>
      <c r="Y3248" t="s">
        <v>21912</v>
      </c>
      <c r="Z3248" t="s">
        <v>28118</v>
      </c>
      <c r="AA3248">
        <v>0.78336999656524664</v>
      </c>
      <c r="AB3248" t="str">
        <f>HYPERLINK("Melting_Curves/meltCurve_Q16531_DDB1.pdf", "Melting_Curves/meltCurve_Q16531_DDB1.pdf")</f>
        <v>Melting_Curves/meltCurve_Q16531_DDB1.pdf</v>
      </c>
    </row>
    <row r="3249" spans="1:28" x14ac:dyDescent="0.25">
      <c r="A3249" t="s">
        <v>3253</v>
      </c>
      <c r="B3249">
        <v>0.99352677808782597</v>
      </c>
      <c r="C3249">
        <v>0.93846151285853296</v>
      </c>
      <c r="D3249">
        <v>0.77211651962684302</v>
      </c>
      <c r="E3249">
        <v>0.242276405128381</v>
      </c>
      <c r="F3249">
        <v>0.17548776221510901</v>
      </c>
      <c r="G3249">
        <v>0.11958127741296599</v>
      </c>
      <c r="H3249">
        <v>9.1977712692328295E-2</v>
      </c>
      <c r="I3249">
        <v>8.3336552099994105E-2</v>
      </c>
      <c r="J3249">
        <v>7.9518467288619901E-2</v>
      </c>
      <c r="K3249">
        <v>6.1543617291147802E-2</v>
      </c>
      <c r="L3249">
        <v>1374.7359059267401</v>
      </c>
      <c r="M3249">
        <v>28.8855805043823</v>
      </c>
      <c r="N3249">
        <v>47.917988892172602</v>
      </c>
      <c r="O3249">
        <v>47.366110727731702</v>
      </c>
      <c r="P3249">
        <v>-0.13887680840569999</v>
      </c>
      <c r="Q3249">
        <v>8.9095064694286394E-2</v>
      </c>
      <c r="R3249">
        <v>0.99638417397896395</v>
      </c>
      <c r="S3249" t="s">
        <v>9534</v>
      </c>
      <c r="T3249" t="s">
        <v>12568</v>
      </c>
      <c r="U3249" t="s">
        <v>12568</v>
      </c>
      <c r="V3249" t="s">
        <v>12568</v>
      </c>
      <c r="W3249" t="s">
        <v>15777</v>
      </c>
      <c r="X3249">
        <v>9</v>
      </c>
      <c r="Y3249" t="s">
        <v>21913</v>
      </c>
      <c r="Z3249" t="s">
        <v>28119</v>
      </c>
      <c r="AA3249">
        <v>0.32555176828870669</v>
      </c>
      <c r="AB3249" t="str">
        <f>HYPERLINK("Melting_Curves/meltCurve_Q16539_MAPK14.pdf", "Melting_Curves/meltCurve_Q16539_MAPK14.pdf")</f>
        <v>Melting_Curves/meltCurve_Q16539_MAPK14.pdf</v>
      </c>
    </row>
    <row r="3250" spans="1:28" x14ac:dyDescent="0.25">
      <c r="A3250" t="s">
        <v>3254</v>
      </c>
      <c r="B3250">
        <v>0.99352677808782597</v>
      </c>
      <c r="C3250">
        <v>1.0225688866262701</v>
      </c>
      <c r="D3250">
        <v>0.99603110378281701</v>
      </c>
      <c r="E3250">
        <v>1.05331532944522</v>
      </c>
      <c r="F3250">
        <v>0.97146237511574896</v>
      </c>
      <c r="G3250">
        <v>0.89186745795784195</v>
      </c>
      <c r="H3250">
        <v>0.58158662560954</v>
      </c>
      <c r="I3250">
        <v>0.325586306999196</v>
      </c>
      <c r="J3250">
        <v>0.19372180205678899</v>
      </c>
      <c r="K3250">
        <v>0.13584238348312999</v>
      </c>
      <c r="L3250">
        <v>1609.26624723331</v>
      </c>
      <c r="M3250">
        <v>26.251836631792202</v>
      </c>
      <c r="N3250">
        <v>61.852907876890903</v>
      </c>
      <c r="O3250">
        <v>60.948688611887199</v>
      </c>
      <c r="P3250">
        <v>-9.6439220184461105E-2</v>
      </c>
      <c r="Q3250">
        <v>0.10440104406718299</v>
      </c>
      <c r="R3250">
        <v>0.99687137692807604</v>
      </c>
      <c r="S3250" t="s">
        <v>9535</v>
      </c>
      <c r="T3250" t="s">
        <v>12568</v>
      </c>
      <c r="U3250" t="s">
        <v>12568</v>
      </c>
      <c r="V3250" t="s">
        <v>12568</v>
      </c>
      <c r="W3250" t="s">
        <v>15778</v>
      </c>
      <c r="X3250">
        <v>27</v>
      </c>
      <c r="Y3250" t="s">
        <v>21914</v>
      </c>
      <c r="Z3250" t="s">
        <v>28120</v>
      </c>
      <c r="AA3250">
        <v>0.74546424379550791</v>
      </c>
      <c r="AB3250" t="str">
        <f>HYPERLINK("Melting_Curves/meltCurve_Q16543_CDC37.pdf", "Melting_Curves/meltCurve_Q16543_CDC37.pdf")</f>
        <v>Melting_Curves/meltCurve_Q16543_CDC37.pdf</v>
      </c>
    </row>
    <row r="3251" spans="1:28" x14ac:dyDescent="0.25">
      <c r="A3251" t="s">
        <v>3255</v>
      </c>
      <c r="B3251">
        <v>0.99352677808782597</v>
      </c>
      <c r="C3251">
        <v>1.04521672109595</v>
      </c>
      <c r="D3251">
        <v>0.93220282456094905</v>
      </c>
      <c r="E3251">
        <v>0.81299844610840599</v>
      </c>
      <c r="F3251">
        <v>0.65732616385591602</v>
      </c>
      <c r="G3251">
        <v>0.50303617314577598</v>
      </c>
      <c r="H3251">
        <v>0.28094585733053001</v>
      </c>
      <c r="I3251">
        <v>0.13942720656944099</v>
      </c>
      <c r="J3251">
        <v>9.3338237999179896E-2</v>
      </c>
      <c r="K3251">
        <v>7.2371082922291594E-2</v>
      </c>
      <c r="L3251">
        <v>723.39107005648498</v>
      </c>
      <c r="M3251">
        <v>12.871466345196801</v>
      </c>
      <c r="N3251">
        <v>56.2011390614731</v>
      </c>
      <c r="O3251">
        <v>54.896425325353398</v>
      </c>
      <c r="P3251">
        <v>-5.8627816036851702E-2</v>
      </c>
      <c r="Q3251">
        <v>0</v>
      </c>
      <c r="R3251">
        <v>0.99314185763227603</v>
      </c>
      <c r="S3251" t="s">
        <v>9536</v>
      </c>
      <c r="T3251" t="s">
        <v>12568</v>
      </c>
      <c r="U3251" t="s">
        <v>12568</v>
      </c>
      <c r="V3251" t="s">
        <v>12568</v>
      </c>
      <c r="W3251" t="s">
        <v>15779</v>
      </c>
      <c r="X3251">
        <v>28</v>
      </c>
      <c r="Y3251" t="s">
        <v>21915</v>
      </c>
      <c r="Z3251" t="s">
        <v>28121</v>
      </c>
      <c r="AA3251">
        <v>0.55921067651074685</v>
      </c>
      <c r="AB3251" t="str">
        <f>HYPERLINK("Melting_Curves/meltCurve_Q16555_DPYSL2.pdf", "Melting_Curves/meltCurve_Q16555_DPYSL2.pdf")</f>
        <v>Melting_Curves/meltCurve_Q16555_DPYSL2.pdf</v>
      </c>
    </row>
    <row r="3252" spans="1:28" x14ac:dyDescent="0.25">
      <c r="A3252" t="s">
        <v>3256</v>
      </c>
      <c r="B3252">
        <v>0.99352677808782597</v>
      </c>
      <c r="C3252">
        <v>1.0131548145578899</v>
      </c>
      <c r="D3252">
        <v>0.95391863201288496</v>
      </c>
      <c r="E3252">
        <v>0.80256218380993405</v>
      </c>
      <c r="F3252">
        <v>0.72853737742364799</v>
      </c>
      <c r="G3252">
        <v>0.40434579214807898</v>
      </c>
      <c r="H3252">
        <v>0.21796856182150001</v>
      </c>
      <c r="I3252">
        <v>0.160003450905749</v>
      </c>
      <c r="J3252">
        <v>0.137408958346243</v>
      </c>
      <c r="K3252">
        <v>0.10945681999769</v>
      </c>
      <c r="L3252">
        <v>891.66377947056003</v>
      </c>
      <c r="M3252">
        <v>16.192204481515802</v>
      </c>
      <c r="N3252">
        <v>55.6403815409667</v>
      </c>
      <c r="O3252">
        <v>54.248106385720099</v>
      </c>
      <c r="P3252">
        <v>-6.8896524417990199E-2</v>
      </c>
      <c r="Q3252">
        <v>7.6783853349855199E-2</v>
      </c>
      <c r="R3252">
        <v>0.99555447834475996</v>
      </c>
      <c r="S3252" t="s">
        <v>9537</v>
      </c>
      <c r="T3252" t="s">
        <v>12568</v>
      </c>
      <c r="U3252" t="s">
        <v>12568</v>
      </c>
      <c r="V3252" t="s">
        <v>12568</v>
      </c>
      <c r="W3252" t="s">
        <v>15780</v>
      </c>
      <c r="X3252">
        <v>13</v>
      </c>
      <c r="Y3252" t="s">
        <v>21916</v>
      </c>
      <c r="Z3252" t="s">
        <v>28122</v>
      </c>
      <c r="AA3252">
        <v>0.5567389665021264</v>
      </c>
      <c r="AB3252" t="str">
        <f>HYPERLINK("Melting_Curves/meltCurve_Q16576_RBBP7.pdf", "Melting_Curves/meltCurve_Q16576_RBBP7.pdf")</f>
        <v>Melting_Curves/meltCurve_Q16576_RBBP7.pdf</v>
      </c>
    </row>
    <row r="3253" spans="1:28" x14ac:dyDescent="0.25">
      <c r="A3253" t="s">
        <v>3257</v>
      </c>
      <c r="B3253">
        <v>0.99352677808782597</v>
      </c>
      <c r="C3253">
        <v>0.88407976168320901</v>
      </c>
      <c r="D3253">
        <v>1.1114028933775799</v>
      </c>
      <c r="E3253">
        <v>0.82573131109175402</v>
      </c>
      <c r="F3253">
        <v>0.69817554352261402</v>
      </c>
      <c r="G3253">
        <v>0.75308638776407399</v>
      </c>
      <c r="H3253">
        <v>0.63345939855348898</v>
      </c>
      <c r="I3253">
        <v>0.67480070259553404</v>
      </c>
      <c r="J3253">
        <v>0.68123431368501497</v>
      </c>
      <c r="K3253">
        <v>0.506969258721364</v>
      </c>
      <c r="L3253">
        <v>2522.40916514744</v>
      </c>
      <c r="M3253">
        <v>50.329150736039601</v>
      </c>
      <c r="O3253">
        <v>50.039320152931502</v>
      </c>
      <c r="P3253">
        <v>-8.7166112410575397E-2</v>
      </c>
      <c r="Q3253">
        <v>0.65334370701335498</v>
      </c>
      <c r="R3253">
        <v>0.79391609205678904</v>
      </c>
      <c r="S3253" t="s">
        <v>9538</v>
      </c>
      <c r="T3253" t="s">
        <v>12568</v>
      </c>
      <c r="U3253" t="s">
        <v>12568</v>
      </c>
      <c r="V3253" t="s">
        <v>12568</v>
      </c>
      <c r="W3253" t="s">
        <v>15781</v>
      </c>
      <c r="X3253">
        <v>1</v>
      </c>
      <c r="Y3253" t="s">
        <v>21917</v>
      </c>
      <c r="Z3253" t="s">
        <v>28123</v>
      </c>
      <c r="AA3253">
        <v>0.77101858149502245</v>
      </c>
      <c r="AB3253" t="str">
        <f>HYPERLINK("Melting_Curves/meltCurve_Q16587_5_ZNF74.pdf", "Melting_Curves/meltCurve_Q16587_5_ZNF74.pdf")</f>
        <v>Melting_Curves/meltCurve_Q16587_5_ZNF74.pdf</v>
      </c>
    </row>
    <row r="3254" spans="1:28" x14ac:dyDescent="0.25">
      <c r="A3254" t="s">
        <v>3258</v>
      </c>
      <c r="B3254">
        <v>0.99352677808782597</v>
      </c>
      <c r="C3254">
        <v>0.89717143617222905</v>
      </c>
      <c r="D3254">
        <v>0.93245812070503697</v>
      </c>
      <c r="E3254">
        <v>0.66956883946886703</v>
      </c>
      <c r="F3254">
        <v>0.55683184689161902</v>
      </c>
      <c r="G3254">
        <v>0.45263307729435798</v>
      </c>
      <c r="H3254">
        <v>0.37202158766309201</v>
      </c>
      <c r="I3254">
        <v>0.39669084553152301</v>
      </c>
      <c r="J3254">
        <v>0.36173494597595002</v>
      </c>
      <c r="K3254">
        <v>0.29172130940859398</v>
      </c>
      <c r="L3254">
        <v>715.72574720330795</v>
      </c>
      <c r="M3254">
        <v>14.106197993412801</v>
      </c>
      <c r="N3254">
        <v>54.785027961927902</v>
      </c>
      <c r="O3254">
        <v>49.751348053391702</v>
      </c>
      <c r="P3254">
        <v>-4.7950668452426203E-2</v>
      </c>
      <c r="Q3254">
        <v>0.323615355862101</v>
      </c>
      <c r="R3254">
        <v>0.98147281656071395</v>
      </c>
      <c r="S3254" t="s">
        <v>9539</v>
      </c>
      <c r="T3254" t="s">
        <v>12568</v>
      </c>
      <c r="U3254" t="s">
        <v>12568</v>
      </c>
      <c r="V3254" t="s">
        <v>12568</v>
      </c>
      <c r="W3254" t="s">
        <v>15782</v>
      </c>
      <c r="X3254">
        <v>2</v>
      </c>
      <c r="Y3254" t="s">
        <v>21918</v>
      </c>
      <c r="Z3254" t="s">
        <v>28124</v>
      </c>
      <c r="AA3254">
        <v>0.58317035874181045</v>
      </c>
      <c r="AB3254" t="str">
        <f>HYPERLINK("Melting_Curves/meltCurve_Q16623_3_STX1A.pdf", "Melting_Curves/meltCurve_Q16623_3_STX1A.pdf")</f>
        <v>Melting_Curves/meltCurve_Q16623_3_STX1A.pdf</v>
      </c>
    </row>
    <row r="3255" spans="1:28" x14ac:dyDescent="0.25">
      <c r="A3255" t="s">
        <v>3259</v>
      </c>
      <c r="B3255">
        <v>0.99352677808782597</v>
      </c>
      <c r="C3255">
        <v>0.98171950823744403</v>
      </c>
      <c r="D3255">
        <v>0.95397638799130002</v>
      </c>
      <c r="E3255">
        <v>0.87541108702953596</v>
      </c>
      <c r="F3255">
        <v>0.76426631008631696</v>
      </c>
      <c r="G3255">
        <v>0.68768588376587703</v>
      </c>
      <c r="H3255">
        <v>0.60992423856463396</v>
      </c>
      <c r="I3255">
        <v>0.66568331652925905</v>
      </c>
      <c r="J3255">
        <v>0.68557399165494004</v>
      </c>
      <c r="K3255">
        <v>0.60315741334797701</v>
      </c>
      <c r="L3255">
        <v>978.69580419722297</v>
      </c>
      <c r="M3255">
        <v>19.032870487162398</v>
      </c>
      <c r="O3255">
        <v>50.863777976856099</v>
      </c>
      <c r="P3255">
        <v>-3.4209636814585102E-2</v>
      </c>
      <c r="Q3255">
        <v>0.63432473035439296</v>
      </c>
      <c r="R3255">
        <v>0.97241357562754505</v>
      </c>
      <c r="S3255" t="s">
        <v>9540</v>
      </c>
      <c r="T3255" t="s">
        <v>12568</v>
      </c>
      <c r="U3255" t="s">
        <v>12568</v>
      </c>
      <c r="V3255" t="s">
        <v>12568</v>
      </c>
      <c r="W3255" t="s">
        <v>15783</v>
      </c>
      <c r="X3255">
        <v>7</v>
      </c>
      <c r="Y3255" t="s">
        <v>21919</v>
      </c>
      <c r="Z3255" t="s">
        <v>28125</v>
      </c>
      <c r="AA3255">
        <v>0.77909128572371855</v>
      </c>
      <c r="AB3255" t="str">
        <f>HYPERLINK("Melting_Curves/meltCurve_Q16625_5_OCLN.pdf", "Melting_Curves/meltCurve_Q16625_5_OCLN.pdf")</f>
        <v>Melting_Curves/meltCurve_Q16625_5_OCLN.pdf</v>
      </c>
    </row>
    <row r="3256" spans="1:28" x14ac:dyDescent="0.25">
      <c r="A3256" t="s">
        <v>3260</v>
      </c>
      <c r="B3256">
        <v>0.99352677808782597</v>
      </c>
      <c r="C3256">
        <v>1.0769164139253999</v>
      </c>
      <c r="D3256">
        <v>1.0116946598721299</v>
      </c>
      <c r="E3256">
        <v>1.0930712936623801</v>
      </c>
      <c r="F3256">
        <v>0.933998886657469</v>
      </c>
      <c r="G3256">
        <v>0.77573990164887596</v>
      </c>
      <c r="H3256">
        <v>0.82626633022061402</v>
      </c>
      <c r="I3256">
        <v>1.0840456907282501</v>
      </c>
      <c r="J3256">
        <v>1.24221869476362</v>
      </c>
      <c r="K3256">
        <v>1.09052608788251</v>
      </c>
      <c r="L3256">
        <v>15000</v>
      </c>
      <c r="M3256">
        <v>234.39569418740101</v>
      </c>
      <c r="O3256">
        <v>63.989714372341197</v>
      </c>
      <c r="P3256">
        <v>0.152356501489612</v>
      </c>
      <c r="Q3256">
        <v>1.1663724326820799</v>
      </c>
      <c r="R3256">
        <v>0.35364039523282298</v>
      </c>
      <c r="S3256" t="s">
        <v>9541</v>
      </c>
      <c r="T3256" t="s">
        <v>12568</v>
      </c>
      <c r="U3256" t="s">
        <v>12568</v>
      </c>
      <c r="V3256" t="s">
        <v>12568</v>
      </c>
      <c r="W3256" t="s">
        <v>15784</v>
      </c>
      <c r="X3256">
        <v>2</v>
      </c>
      <c r="Y3256" t="s">
        <v>21920</v>
      </c>
      <c r="Z3256" t="s">
        <v>28126</v>
      </c>
      <c r="AA3256">
        <v>1.0332845657729559</v>
      </c>
      <c r="AB3256" t="str">
        <f>HYPERLINK("Melting_Curves/meltCurve_Q16626_MEA1.pdf", "Melting_Curves/meltCurve_Q16626_MEA1.pdf")</f>
        <v>Melting_Curves/meltCurve_Q16626_MEA1.pdf</v>
      </c>
    </row>
    <row r="3257" spans="1:28" x14ac:dyDescent="0.25">
      <c r="A3257" t="s">
        <v>3261</v>
      </c>
      <c r="B3257">
        <v>0.99352677808782597</v>
      </c>
      <c r="C3257">
        <v>0.95481496443858305</v>
      </c>
      <c r="D3257">
        <v>0.98989864045103104</v>
      </c>
      <c r="E3257">
        <v>0.72277621328087205</v>
      </c>
      <c r="F3257">
        <v>0.696551192270638</v>
      </c>
      <c r="G3257">
        <v>0.55535572952002099</v>
      </c>
      <c r="H3257">
        <v>0.53800621528345205</v>
      </c>
      <c r="I3257">
        <v>0.62084392552501</v>
      </c>
      <c r="J3257">
        <v>0.745425850955305</v>
      </c>
      <c r="K3257">
        <v>0.71704680853654901</v>
      </c>
      <c r="L3257">
        <v>2190.7500809091398</v>
      </c>
      <c r="M3257">
        <v>44.920125163401998</v>
      </c>
      <c r="O3257">
        <v>48.673522594264099</v>
      </c>
      <c r="P3257">
        <v>-8.2444002205765601E-2</v>
      </c>
      <c r="Q3257">
        <v>0.64266917830691395</v>
      </c>
      <c r="R3257">
        <v>0.84994299511667604</v>
      </c>
      <c r="S3257" t="s">
        <v>9542</v>
      </c>
      <c r="T3257" t="s">
        <v>12568</v>
      </c>
      <c r="U3257" t="s">
        <v>12568</v>
      </c>
      <c r="V3257" t="s">
        <v>12568</v>
      </c>
      <c r="W3257" t="s">
        <v>15785</v>
      </c>
      <c r="X3257">
        <v>6</v>
      </c>
      <c r="Y3257" t="s">
        <v>21921</v>
      </c>
      <c r="Z3257" t="s">
        <v>28127</v>
      </c>
      <c r="AA3257">
        <v>0.74808181742778879</v>
      </c>
      <c r="AB3257" t="str">
        <f>HYPERLINK("Melting_Curves/meltCurve_Q16629_3_SRSF7.pdf", "Melting_Curves/meltCurve_Q16629_3_SRSF7.pdf")</f>
        <v>Melting_Curves/meltCurve_Q16629_3_SRSF7.pdf</v>
      </c>
    </row>
    <row r="3258" spans="1:28" x14ac:dyDescent="0.25">
      <c r="A3258" t="s">
        <v>3262</v>
      </c>
      <c r="B3258">
        <v>0.99352677808782597</v>
      </c>
      <c r="C3258">
        <v>1.0358212345750699</v>
      </c>
      <c r="D3258">
        <v>1.1374173629478099</v>
      </c>
      <c r="E3258">
        <v>0.90957045824260796</v>
      </c>
      <c r="F3258">
        <v>0.86254765592983595</v>
      </c>
      <c r="G3258">
        <v>0.59872743949389795</v>
      </c>
      <c r="H3258">
        <v>0.43437003941509</v>
      </c>
      <c r="I3258">
        <v>0.49503327205882702</v>
      </c>
      <c r="J3258">
        <v>0.472088763901021</v>
      </c>
      <c r="K3258">
        <v>0.42840007253583101</v>
      </c>
      <c r="L3258">
        <v>1520.5631026225301</v>
      </c>
      <c r="M3258">
        <v>27.721906966483399</v>
      </c>
      <c r="N3258">
        <v>59.718256001996302</v>
      </c>
      <c r="O3258">
        <v>54.567555066466198</v>
      </c>
      <c r="P3258">
        <v>-7.0133390020327896E-2</v>
      </c>
      <c r="Q3258">
        <v>0.44780516420577599</v>
      </c>
      <c r="R3258">
        <v>0.95894940719460198</v>
      </c>
      <c r="S3258" t="s">
        <v>9543</v>
      </c>
      <c r="T3258" t="s">
        <v>12568</v>
      </c>
      <c r="U3258" t="s">
        <v>12568</v>
      </c>
      <c r="V3258" t="s">
        <v>12568</v>
      </c>
      <c r="W3258" t="s">
        <v>15786</v>
      </c>
      <c r="X3258">
        <v>2</v>
      </c>
      <c r="Y3258" t="s">
        <v>21922</v>
      </c>
      <c r="Z3258" t="s">
        <v>28128</v>
      </c>
      <c r="AA3258">
        <v>0.72539355423116525</v>
      </c>
      <c r="AB3258" t="str">
        <f>HYPERLINK("Melting_Curves/meltCurve_Q16637_3_SMN1.pdf", "Melting_Curves/meltCurve_Q16637_3_SMN1.pdf")</f>
        <v>Melting_Curves/meltCurve_Q16637_3_SMN1.pdf</v>
      </c>
    </row>
    <row r="3259" spans="1:28" x14ac:dyDescent="0.25">
      <c r="A3259" t="s">
        <v>3263</v>
      </c>
      <c r="B3259">
        <v>0.99352677808782597</v>
      </c>
      <c r="C3259">
        <v>0.94522580465860095</v>
      </c>
      <c r="D3259">
        <v>1.0030978954253</v>
      </c>
      <c r="E3259">
        <v>0.91881457972820602</v>
      </c>
      <c r="F3259">
        <v>0.90226565305778705</v>
      </c>
      <c r="G3259">
        <v>0.79247336387622802</v>
      </c>
      <c r="H3259">
        <v>0.73893525720096398</v>
      </c>
      <c r="I3259">
        <v>0.85405629663841098</v>
      </c>
      <c r="J3259">
        <v>1.2707422614455299</v>
      </c>
      <c r="K3259">
        <v>1.15755196655313</v>
      </c>
      <c r="L3259">
        <v>10072.6897816193</v>
      </c>
      <c r="M3259">
        <v>250</v>
      </c>
      <c r="O3259">
        <v>40.288174464952299</v>
      </c>
      <c r="P3259">
        <v>-7.1849878526347305E-2</v>
      </c>
      <c r="Q3259">
        <v>0.95368478570908</v>
      </c>
      <c r="R3259">
        <v>6.1600450288804599E-3</v>
      </c>
      <c r="S3259" t="s">
        <v>9544</v>
      </c>
      <c r="T3259" t="s">
        <v>12568</v>
      </c>
      <c r="U3259" t="s">
        <v>12568</v>
      </c>
      <c r="V3259" t="s">
        <v>12568</v>
      </c>
      <c r="W3259" t="s">
        <v>15787</v>
      </c>
      <c r="X3259">
        <v>11</v>
      </c>
      <c r="Y3259" t="s">
        <v>21923</v>
      </c>
      <c r="Z3259" t="s">
        <v>28129</v>
      </c>
      <c r="AA3259">
        <v>0.9541735650768427</v>
      </c>
      <c r="AB3259" t="str">
        <f>HYPERLINK("Melting_Curves/meltCurve_Q16643_DBN1.pdf", "Melting_Curves/meltCurve_Q16643_DBN1.pdf")</f>
        <v>Melting_Curves/meltCurve_Q16643_DBN1.pdf</v>
      </c>
    </row>
    <row r="3260" spans="1:28" x14ac:dyDescent="0.25">
      <c r="A3260" t="s">
        <v>3264</v>
      </c>
      <c r="B3260">
        <v>0.99352677808782597</v>
      </c>
      <c r="C3260">
        <v>0.89275177076869705</v>
      </c>
      <c r="D3260">
        <v>0.79727769577591701</v>
      </c>
      <c r="E3260">
        <v>0.340545110173057</v>
      </c>
      <c r="F3260">
        <v>0.34147706788700899</v>
      </c>
      <c r="G3260">
        <v>0.20115065824143999</v>
      </c>
      <c r="H3260">
        <v>0.166385671007311</v>
      </c>
      <c r="I3260">
        <v>0.16508566959788001</v>
      </c>
      <c r="J3260">
        <v>0.15233402627088999</v>
      </c>
      <c r="K3260">
        <v>0.124723453482846</v>
      </c>
      <c r="L3260">
        <v>941.52379303291696</v>
      </c>
      <c r="M3260">
        <v>19.6155564699217</v>
      </c>
      <c r="N3260">
        <v>48.916657862997099</v>
      </c>
      <c r="O3260">
        <v>47.508321241868401</v>
      </c>
      <c r="P3260">
        <v>-8.7333142697881297E-2</v>
      </c>
      <c r="Q3260">
        <v>0.15395616155827699</v>
      </c>
      <c r="R3260">
        <v>0.98445761176177904</v>
      </c>
      <c r="S3260" t="s">
        <v>9545</v>
      </c>
      <c r="T3260" t="s">
        <v>12568</v>
      </c>
      <c r="U3260" t="s">
        <v>12568</v>
      </c>
      <c r="V3260" t="s">
        <v>12568</v>
      </c>
      <c r="W3260" t="s">
        <v>15788</v>
      </c>
      <c r="X3260">
        <v>7</v>
      </c>
      <c r="Y3260" t="s">
        <v>21924</v>
      </c>
      <c r="Z3260" t="s">
        <v>28130</v>
      </c>
      <c r="AA3260">
        <v>0.39206333608629601</v>
      </c>
      <c r="AB3260" t="str">
        <f>HYPERLINK("Melting_Curves/meltCurve_Q16644_MAPKAPK3.pdf", "Melting_Curves/meltCurve_Q16644_MAPKAPK3.pdf")</f>
        <v>Melting_Curves/meltCurve_Q16644_MAPKAPK3.pdf</v>
      </c>
    </row>
    <row r="3261" spans="1:28" x14ac:dyDescent="0.25">
      <c r="A3261" t="s">
        <v>3265</v>
      </c>
      <c r="B3261">
        <v>0.99352677808782597</v>
      </c>
      <c r="C3261">
        <v>1.02313155426733</v>
      </c>
      <c r="D3261">
        <v>0.96251493932013599</v>
      </c>
      <c r="E3261">
        <v>0.73139297862303398</v>
      </c>
      <c r="F3261">
        <v>0.67766265220302901</v>
      </c>
      <c r="G3261">
        <v>0.46105124639224199</v>
      </c>
      <c r="H3261">
        <v>0.331401284803437</v>
      </c>
      <c r="I3261">
        <v>0.290372462584785</v>
      </c>
      <c r="J3261">
        <v>0.28775103333143498</v>
      </c>
      <c r="K3261">
        <v>0.211599793223855</v>
      </c>
      <c r="L3261">
        <v>734.40822624127895</v>
      </c>
      <c r="M3261">
        <v>13.6422877971031</v>
      </c>
      <c r="N3261">
        <v>56.023999082247698</v>
      </c>
      <c r="O3261">
        <v>52.716000557208702</v>
      </c>
      <c r="P3261">
        <v>-5.1330611576231998E-2</v>
      </c>
      <c r="Q3261">
        <v>0.206716853995491</v>
      </c>
      <c r="R3261">
        <v>0.98921470805235101</v>
      </c>
      <c r="S3261" t="s">
        <v>9546</v>
      </c>
      <c r="T3261" t="s">
        <v>12568</v>
      </c>
      <c r="U3261" t="s">
        <v>12568</v>
      </c>
      <c r="V3261" t="s">
        <v>12568</v>
      </c>
      <c r="W3261" t="s">
        <v>15789</v>
      </c>
      <c r="X3261">
        <v>6</v>
      </c>
      <c r="Y3261" t="s">
        <v>21925</v>
      </c>
      <c r="Z3261" t="s">
        <v>28131</v>
      </c>
      <c r="AA3261">
        <v>0.59090735494407809</v>
      </c>
      <c r="AB3261" t="str">
        <f>HYPERLINK("Melting_Curves/meltCurve_Q16656_NRF1.pdf", "Melting_Curves/meltCurve_Q16656_NRF1.pdf")</f>
        <v>Melting_Curves/meltCurve_Q16656_NRF1.pdf</v>
      </c>
    </row>
    <row r="3262" spans="1:28" x14ac:dyDescent="0.25">
      <c r="A3262" t="s">
        <v>3266</v>
      </c>
      <c r="B3262">
        <v>0.99352677808782597</v>
      </c>
      <c r="C3262">
        <v>0.97156787449425497</v>
      </c>
      <c r="D3262">
        <v>0.97199864151605497</v>
      </c>
      <c r="E3262">
        <v>0.88568861648288499</v>
      </c>
      <c r="F3262">
        <v>0.82766974751309297</v>
      </c>
      <c r="G3262">
        <v>0.60311895203324795</v>
      </c>
      <c r="H3262">
        <v>0.24718236183885001</v>
      </c>
      <c r="I3262">
        <v>0.142745664701074</v>
      </c>
      <c r="J3262">
        <v>8.8638796648168497E-2</v>
      </c>
      <c r="K3262">
        <v>7.0618208958682593E-2</v>
      </c>
      <c r="L3262">
        <v>1016.3786159134499</v>
      </c>
      <c r="M3262">
        <v>17.616426964846099</v>
      </c>
      <c r="N3262">
        <v>57.745932903731102</v>
      </c>
      <c r="O3262">
        <v>56.966886285919699</v>
      </c>
      <c r="P3262">
        <v>-7.6717346450129398E-2</v>
      </c>
      <c r="Q3262">
        <v>7.71850492396797E-3</v>
      </c>
      <c r="R3262">
        <v>0.99456491214879605</v>
      </c>
      <c r="S3262" t="s">
        <v>9547</v>
      </c>
      <c r="T3262" t="s">
        <v>12568</v>
      </c>
      <c r="U3262" t="s">
        <v>12568</v>
      </c>
      <c r="V3262" t="s">
        <v>12568</v>
      </c>
      <c r="W3262" t="s">
        <v>15790</v>
      </c>
      <c r="X3262">
        <v>34</v>
      </c>
      <c r="Y3262" t="s">
        <v>21926</v>
      </c>
      <c r="Z3262" t="s">
        <v>28132</v>
      </c>
      <c r="AA3262">
        <v>0.60593507859606999</v>
      </c>
      <c r="AB3262" t="str">
        <f>HYPERLINK("Melting_Curves/meltCurve_Q16658_FSCN1.pdf", "Melting_Curves/meltCurve_Q16658_FSCN1.pdf")</f>
        <v>Melting_Curves/meltCurve_Q16658_FSCN1.pdf</v>
      </c>
    </row>
    <row r="3263" spans="1:28" x14ac:dyDescent="0.25">
      <c r="A3263" t="s">
        <v>3267</v>
      </c>
      <c r="B3263">
        <v>0.99352677808782597</v>
      </c>
      <c r="C3263">
        <v>0.98011207894277896</v>
      </c>
      <c r="D3263">
        <v>0.88029077196328098</v>
      </c>
      <c r="E3263">
        <v>0.53998762181042903</v>
      </c>
      <c r="F3263">
        <v>0.46954281157414801</v>
      </c>
      <c r="G3263">
        <v>0.25712640010117999</v>
      </c>
      <c r="H3263">
        <v>0.14290336049779101</v>
      </c>
      <c r="I3263">
        <v>0.116252320895053</v>
      </c>
      <c r="J3263">
        <v>8.3575486936759993E-2</v>
      </c>
      <c r="K3263">
        <v>8.5486746142717798E-2</v>
      </c>
      <c r="L3263">
        <v>738.56079958447401</v>
      </c>
      <c r="M3263">
        <v>14.409582682635</v>
      </c>
      <c r="N3263">
        <v>51.755417668764899</v>
      </c>
      <c r="O3263">
        <v>50.298024868707799</v>
      </c>
      <c r="P3263">
        <v>-6.6970219212731205E-2</v>
      </c>
      <c r="Q3263">
        <v>6.5046958497331706E-2</v>
      </c>
      <c r="R3263">
        <v>0.99178466261895304</v>
      </c>
      <c r="S3263" t="s">
        <v>9548</v>
      </c>
      <c r="T3263" t="s">
        <v>12568</v>
      </c>
      <c r="U3263" t="s">
        <v>12568</v>
      </c>
      <c r="V3263" t="s">
        <v>12568</v>
      </c>
      <c r="W3263" t="s">
        <v>15791</v>
      </c>
      <c r="X3263">
        <v>1</v>
      </c>
      <c r="Y3263" t="s">
        <v>21927</v>
      </c>
      <c r="Z3263" t="s">
        <v>28133</v>
      </c>
      <c r="AA3263">
        <v>0.43865748214682232</v>
      </c>
      <c r="AB3263" t="str">
        <f>HYPERLINK("Melting_Curves/meltCurve_Q16666_7_IFI16.pdf", "Melting_Curves/meltCurve_Q16666_7_IFI16.pdf")</f>
        <v>Melting_Curves/meltCurve_Q16666_7_IFI16.pdf</v>
      </c>
    </row>
    <row r="3264" spans="1:28" x14ac:dyDescent="0.25">
      <c r="A3264" t="s">
        <v>3268</v>
      </c>
      <c r="B3264">
        <v>0.99352677808782597</v>
      </c>
      <c r="C3264">
        <v>1.03126860191317</v>
      </c>
      <c r="D3264">
        <v>0.97764475230690995</v>
      </c>
      <c r="E3264">
        <v>0.95016740329001204</v>
      </c>
      <c r="F3264">
        <v>0.79263653620597996</v>
      </c>
      <c r="G3264">
        <v>0.73856404175566803</v>
      </c>
      <c r="H3264">
        <v>0.69789992123584899</v>
      </c>
      <c r="I3264">
        <v>0.50049535107801102</v>
      </c>
      <c r="J3264">
        <v>0.29744175353276803</v>
      </c>
      <c r="K3264">
        <v>0.12872663757035899</v>
      </c>
      <c r="L3264">
        <v>764.53016716011302</v>
      </c>
      <c r="M3264">
        <v>12.1592151591424</v>
      </c>
      <c r="N3264">
        <v>62.876604893807801</v>
      </c>
      <c r="O3264">
        <v>61.248389377415201</v>
      </c>
      <c r="P3264">
        <v>-4.9642110878061897E-2</v>
      </c>
      <c r="Q3264">
        <v>0</v>
      </c>
      <c r="R3264">
        <v>0.95458105217579303</v>
      </c>
      <c r="S3264" t="s">
        <v>9549</v>
      </c>
      <c r="T3264" t="s">
        <v>12568</v>
      </c>
      <c r="U3264" t="s">
        <v>12568</v>
      </c>
      <c r="V3264" t="s">
        <v>12568</v>
      </c>
      <c r="W3264" t="s">
        <v>15792</v>
      </c>
      <c r="X3264">
        <v>25</v>
      </c>
      <c r="Y3264" t="s">
        <v>21928</v>
      </c>
      <c r="Z3264" t="s">
        <v>28134</v>
      </c>
      <c r="AA3264">
        <v>0.7446537268804293</v>
      </c>
      <c r="AB3264" t="str">
        <f>HYPERLINK("Melting_Curves/meltCurve_Q16719_KYNU.pdf", "Melting_Curves/meltCurve_Q16719_KYNU.pdf")</f>
        <v>Melting_Curves/meltCurve_Q16719_KYNU.pdf</v>
      </c>
    </row>
    <row r="3265" spans="1:28" x14ac:dyDescent="0.25">
      <c r="A3265" t="s">
        <v>3269</v>
      </c>
      <c r="B3265">
        <v>0.99352677808782597</v>
      </c>
      <c r="C3265">
        <v>0.90270589089394504</v>
      </c>
      <c r="D3265">
        <v>0.93849507154596101</v>
      </c>
      <c r="E3265">
        <v>1.0995335381256199</v>
      </c>
      <c r="F3265">
        <v>1.078007417499</v>
      </c>
      <c r="G3265">
        <v>1.0234833611629099</v>
      </c>
      <c r="H3265">
        <v>1.11938134621779</v>
      </c>
      <c r="I3265">
        <v>1.1384906130264401</v>
      </c>
      <c r="J3265">
        <v>0.98654415603008705</v>
      </c>
      <c r="K3265">
        <v>0.85258760334774497</v>
      </c>
      <c r="L3265">
        <v>15000</v>
      </c>
      <c r="M3265">
        <v>221.58136854485201</v>
      </c>
      <c r="O3265">
        <v>67.689708886102594</v>
      </c>
      <c r="P3265">
        <v>-0.120720018810137</v>
      </c>
      <c r="Q3265">
        <v>0.85248754704169005</v>
      </c>
      <c r="R3265">
        <v>0.241550482266465</v>
      </c>
      <c r="S3265" t="s">
        <v>9550</v>
      </c>
      <c r="T3265" t="s">
        <v>12568</v>
      </c>
      <c r="U3265" t="s">
        <v>12568</v>
      </c>
      <c r="V3265" t="s">
        <v>12568</v>
      </c>
      <c r="W3265" t="s">
        <v>15793</v>
      </c>
      <c r="X3265">
        <v>2</v>
      </c>
      <c r="Y3265" t="s">
        <v>21929</v>
      </c>
      <c r="Z3265" t="s">
        <v>28135</v>
      </c>
      <c r="AA3265">
        <v>0.98868842982775262</v>
      </c>
      <c r="AB3265" t="str">
        <f>HYPERLINK("Melting_Curves/meltCurve_Q16720_8_ATP2B3.pdf", "Melting_Curves/meltCurve_Q16720_8_ATP2B3.pdf")</f>
        <v>Melting_Curves/meltCurve_Q16720_8_ATP2B3.pdf</v>
      </c>
    </row>
    <row r="3266" spans="1:28" x14ac:dyDescent="0.25">
      <c r="A3266" t="s">
        <v>3270</v>
      </c>
      <c r="B3266">
        <v>0.99352677808782597</v>
      </c>
      <c r="C3266">
        <v>1.0587069961748801</v>
      </c>
      <c r="D3266">
        <v>0.93981669407676405</v>
      </c>
      <c r="E3266">
        <v>0.58546442281737798</v>
      </c>
      <c r="F3266">
        <v>0.47263733331489199</v>
      </c>
      <c r="G3266">
        <v>0.27742937722088601</v>
      </c>
      <c r="H3266">
        <v>0.14584242527556701</v>
      </c>
      <c r="I3266">
        <v>0.110695956055172</v>
      </c>
      <c r="J3266">
        <v>9.18433833311917E-2</v>
      </c>
      <c r="K3266">
        <v>5.8116272069571401E-2</v>
      </c>
      <c r="L3266">
        <v>838.71910044641402</v>
      </c>
      <c r="M3266">
        <v>16.1948226731704</v>
      </c>
      <c r="N3266">
        <v>52.271549122975202</v>
      </c>
      <c r="O3266">
        <v>51.018962739231903</v>
      </c>
      <c r="P3266">
        <v>-7.38559884124807E-2</v>
      </c>
      <c r="Q3266">
        <v>6.9387557489224497E-2</v>
      </c>
      <c r="R3266">
        <v>0.98664270493813599</v>
      </c>
      <c r="S3266" t="s">
        <v>9551</v>
      </c>
      <c r="T3266" t="s">
        <v>12568</v>
      </c>
      <c r="U3266" t="s">
        <v>12568</v>
      </c>
      <c r="V3266" t="s">
        <v>12568</v>
      </c>
      <c r="W3266" t="s">
        <v>15794</v>
      </c>
      <c r="X3266">
        <v>5</v>
      </c>
      <c r="Y3266" t="s">
        <v>21930</v>
      </c>
      <c r="Z3266" t="s">
        <v>28136</v>
      </c>
      <c r="AA3266">
        <v>0.45364469506018501</v>
      </c>
      <c r="AB3266" t="str">
        <f>HYPERLINK("Melting_Curves/meltCurve_Q16740_CLPP.pdf", "Melting_Curves/meltCurve_Q16740_CLPP.pdf")</f>
        <v>Melting_Curves/meltCurve_Q16740_CLPP.pdf</v>
      </c>
    </row>
    <row r="3267" spans="1:28" x14ac:dyDescent="0.25">
      <c r="A3267" t="s">
        <v>3271</v>
      </c>
      <c r="B3267">
        <v>0.99352677808782597</v>
      </c>
      <c r="C3267">
        <v>0.85994922421711495</v>
      </c>
      <c r="D3267">
        <v>0.80777882644498</v>
      </c>
      <c r="E3267">
        <v>0.68490883035945704</v>
      </c>
      <c r="F3267">
        <v>0.68483494962784897</v>
      </c>
      <c r="G3267">
        <v>0.403719574769143</v>
      </c>
      <c r="H3267">
        <v>0.16919274623639999</v>
      </c>
      <c r="I3267">
        <v>0.14788667750783699</v>
      </c>
      <c r="J3267">
        <v>0.102065097661924</v>
      </c>
      <c r="K3267">
        <v>0.121067319096041</v>
      </c>
      <c r="L3267">
        <v>555.86627232108594</v>
      </c>
      <c r="M3267">
        <v>10.228474715548799</v>
      </c>
      <c r="N3267">
        <v>54.3449816976661</v>
      </c>
      <c r="O3267">
        <v>52.390596327756903</v>
      </c>
      <c r="P3267">
        <v>-4.8830508003622902E-2</v>
      </c>
      <c r="Q3267">
        <v>0</v>
      </c>
      <c r="R3267">
        <v>0.96900305129216802</v>
      </c>
      <c r="S3267" t="s">
        <v>9552</v>
      </c>
      <c r="T3267" t="s">
        <v>12568</v>
      </c>
      <c r="U3267" t="s">
        <v>12568</v>
      </c>
      <c r="V3267" t="s">
        <v>12568</v>
      </c>
      <c r="W3267" t="s">
        <v>15795</v>
      </c>
      <c r="X3267">
        <v>4</v>
      </c>
      <c r="Y3267" t="s">
        <v>21931</v>
      </c>
      <c r="Z3267" t="s">
        <v>28137</v>
      </c>
      <c r="AA3267">
        <v>0.50653429403993355</v>
      </c>
      <c r="AB3267" t="str">
        <f>HYPERLINK("Melting_Curves/meltCurve_Q16760_2_DGKD.pdf", "Melting_Curves/meltCurve_Q16760_2_DGKD.pdf")</f>
        <v>Melting_Curves/meltCurve_Q16760_2_DGKD.pdf</v>
      </c>
    </row>
    <row r="3268" spans="1:28" x14ac:dyDescent="0.25">
      <c r="A3268" t="s">
        <v>3272</v>
      </c>
      <c r="B3268">
        <v>0.99352677808782597</v>
      </c>
      <c r="C3268">
        <v>0.93808726087512695</v>
      </c>
      <c r="D3268">
        <v>0.956724365398544</v>
      </c>
      <c r="E3268">
        <v>0.232356968491332</v>
      </c>
      <c r="F3268">
        <v>0.17298734316314601</v>
      </c>
      <c r="G3268">
        <v>0.107665423392539</v>
      </c>
      <c r="H3268">
        <v>7.6155116508971804E-2</v>
      </c>
      <c r="I3268">
        <v>7.7836310100260001E-2</v>
      </c>
      <c r="J3268">
        <v>6.3007619590799105E-2</v>
      </c>
      <c r="K3268">
        <v>5.0957804909087301E-2</v>
      </c>
      <c r="L3268">
        <v>2474.04413845415</v>
      </c>
      <c r="M3268">
        <v>51.0621012081006</v>
      </c>
      <c r="N3268">
        <v>48.635833428812603</v>
      </c>
      <c r="O3268">
        <v>48.377529564115697</v>
      </c>
      <c r="P3268">
        <v>-0.24067768863483999</v>
      </c>
      <c r="Q3268">
        <v>8.7904132829242407E-2</v>
      </c>
      <c r="R3268">
        <v>0.99221481841008696</v>
      </c>
      <c r="S3268" t="s">
        <v>9553</v>
      </c>
      <c r="T3268" t="s">
        <v>12568</v>
      </c>
      <c r="U3268" t="s">
        <v>12568</v>
      </c>
      <c r="V3268" t="s">
        <v>12568</v>
      </c>
      <c r="W3268" t="s">
        <v>15796</v>
      </c>
      <c r="X3268">
        <v>11</v>
      </c>
      <c r="Y3268" t="s">
        <v>21932</v>
      </c>
      <c r="Z3268" t="s">
        <v>28138</v>
      </c>
      <c r="AA3268">
        <v>0.34673099859108519</v>
      </c>
      <c r="AB3268" t="str">
        <f>HYPERLINK("Melting_Curves/meltCurve_Q16762_TST.pdf", "Melting_Curves/meltCurve_Q16762_TST.pdf")</f>
        <v>Melting_Curves/meltCurve_Q16762_TST.pdf</v>
      </c>
    </row>
    <row r="3269" spans="1:28" x14ac:dyDescent="0.25">
      <c r="A3269" t="s">
        <v>3273</v>
      </c>
      <c r="B3269">
        <v>0.99352677808782597</v>
      </c>
      <c r="C3269">
        <v>0.99202356916811696</v>
      </c>
      <c r="D3269">
        <v>1.01649751366626</v>
      </c>
      <c r="E3269">
        <v>0.77795874833069301</v>
      </c>
      <c r="F3269">
        <v>0.66749853047359398</v>
      </c>
      <c r="G3269">
        <v>0.41645190571656898</v>
      </c>
      <c r="H3269">
        <v>0.19984359267247301</v>
      </c>
      <c r="I3269">
        <v>0.14918271432181801</v>
      </c>
      <c r="J3269">
        <v>0.10665360226541699</v>
      </c>
      <c r="K3269">
        <v>7.8157575549215902E-2</v>
      </c>
      <c r="L3269">
        <v>833.58326679511595</v>
      </c>
      <c r="M3269">
        <v>15.1499846814578</v>
      </c>
      <c r="N3269">
        <v>55.349880256761203</v>
      </c>
      <c r="O3269">
        <v>54.090112456998703</v>
      </c>
      <c r="P3269">
        <v>-6.7023758397966496E-2</v>
      </c>
      <c r="Q3269">
        <v>4.2911220535923597E-2</v>
      </c>
      <c r="R3269">
        <v>0.99465298557439197</v>
      </c>
      <c r="S3269" t="s">
        <v>9554</v>
      </c>
      <c r="T3269" t="s">
        <v>12568</v>
      </c>
      <c r="U3269" t="s">
        <v>12568</v>
      </c>
      <c r="V3269" t="s">
        <v>12568</v>
      </c>
      <c r="W3269" t="s">
        <v>15797</v>
      </c>
      <c r="X3269">
        <v>11</v>
      </c>
      <c r="Y3269" t="s">
        <v>21933</v>
      </c>
      <c r="Z3269" t="s">
        <v>28139</v>
      </c>
      <c r="AA3269">
        <v>0.54039068876188379</v>
      </c>
      <c r="AB3269" t="str">
        <f>HYPERLINK("Melting_Curves/meltCurve_Q16763_UBE2S.pdf", "Melting_Curves/meltCurve_Q16763_UBE2S.pdf")</f>
        <v>Melting_Curves/meltCurve_Q16763_UBE2S.pdf</v>
      </c>
    </row>
    <row r="3270" spans="1:28" x14ac:dyDescent="0.25">
      <c r="A3270" t="s">
        <v>3274</v>
      </c>
      <c r="B3270">
        <v>0.99352677808782597</v>
      </c>
      <c r="C3270">
        <v>1.04077814127296</v>
      </c>
      <c r="D3270">
        <v>0.99236826292871105</v>
      </c>
      <c r="E3270">
        <v>0.87690282519612905</v>
      </c>
      <c r="F3270">
        <v>0.69111486662599497</v>
      </c>
      <c r="G3270">
        <v>0.62073645290284196</v>
      </c>
      <c r="H3270">
        <v>0.53139707211981202</v>
      </c>
      <c r="I3270">
        <v>0.432704845690984</v>
      </c>
      <c r="J3270">
        <v>0.283802533544807</v>
      </c>
      <c r="K3270">
        <v>0.15964030095215501</v>
      </c>
      <c r="L3270">
        <v>549.84738979687597</v>
      </c>
      <c r="M3270">
        <v>9.0979978227542997</v>
      </c>
      <c r="N3270">
        <v>60.436081374754998</v>
      </c>
      <c r="O3270">
        <v>57.730899171319102</v>
      </c>
      <c r="P3270">
        <v>-3.9425765147604097E-2</v>
      </c>
      <c r="Q3270">
        <v>0</v>
      </c>
      <c r="R3270">
        <v>0.97152671077601205</v>
      </c>
      <c r="S3270" t="s">
        <v>9555</v>
      </c>
      <c r="T3270" t="s">
        <v>12568</v>
      </c>
      <c r="U3270" t="s">
        <v>12568</v>
      </c>
      <c r="V3270" t="s">
        <v>12568</v>
      </c>
      <c r="W3270" t="s">
        <v>15798</v>
      </c>
      <c r="X3270">
        <v>6</v>
      </c>
      <c r="Y3270" t="s">
        <v>21934</v>
      </c>
      <c r="Z3270" t="s">
        <v>28140</v>
      </c>
      <c r="AA3270">
        <v>0.66905891266617001</v>
      </c>
      <c r="AB3270" t="str">
        <f>HYPERLINK("Melting_Curves/meltCurve_Q16773_CCBL1.pdf", "Melting_Curves/meltCurve_Q16773_CCBL1.pdf")</f>
        <v>Melting_Curves/meltCurve_Q16773_CCBL1.pdf</v>
      </c>
    </row>
    <row r="3271" spans="1:28" x14ac:dyDescent="0.25">
      <c r="A3271" t="s">
        <v>3275</v>
      </c>
      <c r="B3271">
        <v>0.99352677808782597</v>
      </c>
      <c r="C3271">
        <v>0.90021789430002896</v>
      </c>
      <c r="D3271">
        <v>0.95646010559325401</v>
      </c>
      <c r="E3271">
        <v>0.73738875619246602</v>
      </c>
      <c r="F3271">
        <v>0.66758353273791105</v>
      </c>
      <c r="G3271">
        <v>0.56197415543845597</v>
      </c>
      <c r="H3271">
        <v>0.419332004832843</v>
      </c>
      <c r="I3271">
        <v>0.33889022076076702</v>
      </c>
      <c r="J3271">
        <v>0.20906871413731901</v>
      </c>
      <c r="K3271">
        <v>0.12040262043307599</v>
      </c>
      <c r="L3271">
        <v>497.97734292323901</v>
      </c>
      <c r="M3271">
        <v>8.6194296001645903</v>
      </c>
      <c r="N3271">
        <v>57.773817108191402</v>
      </c>
      <c r="O3271">
        <v>54.916415635642302</v>
      </c>
      <c r="P3271">
        <v>-3.9272405731349401E-2</v>
      </c>
      <c r="Q3271">
        <v>0</v>
      </c>
      <c r="R3271">
        <v>0.98052952194563503</v>
      </c>
      <c r="S3271" t="s">
        <v>9556</v>
      </c>
      <c r="T3271" t="s">
        <v>12568</v>
      </c>
      <c r="U3271" t="s">
        <v>12568</v>
      </c>
      <c r="V3271" t="s">
        <v>12568</v>
      </c>
      <c r="W3271" t="s">
        <v>15799</v>
      </c>
      <c r="X3271">
        <v>15</v>
      </c>
      <c r="Y3271" t="s">
        <v>21935</v>
      </c>
      <c r="Z3271" t="s">
        <v>28141</v>
      </c>
      <c r="AA3271">
        <v>0.60026483465348701</v>
      </c>
      <c r="AB3271" t="str">
        <f>HYPERLINK("Melting_Curves/meltCurve_Q16775_HAGH.pdf", "Melting_Curves/meltCurve_Q16775_HAGH.pdf")</f>
        <v>Melting_Curves/meltCurve_Q16775_HAGH.pdf</v>
      </c>
    </row>
    <row r="3272" spans="1:28" x14ac:dyDescent="0.25">
      <c r="A3272" t="s">
        <v>3276</v>
      </c>
      <c r="B3272">
        <v>0.99352677808782597</v>
      </c>
      <c r="C3272">
        <v>0.95857660332531902</v>
      </c>
      <c r="D3272">
        <v>1.0480081340429801</v>
      </c>
      <c r="E3272">
        <v>0.55937445109169603</v>
      </c>
      <c r="F3272">
        <v>0.43719953542058398</v>
      </c>
      <c r="G3272">
        <v>0.25388980855814802</v>
      </c>
      <c r="H3272">
        <v>0.25804340211577498</v>
      </c>
      <c r="I3272">
        <v>0.26211787083813998</v>
      </c>
      <c r="J3272">
        <v>0.22124873450115601</v>
      </c>
      <c r="K3272">
        <v>0.160039066177419</v>
      </c>
      <c r="L3272">
        <v>1398.44065793851</v>
      </c>
      <c r="M3272">
        <v>27.898575115033601</v>
      </c>
      <c r="N3272">
        <v>51.260001203412699</v>
      </c>
      <c r="O3272">
        <v>49.870455059583499</v>
      </c>
      <c r="P3272">
        <v>-0.107649338795708</v>
      </c>
      <c r="Q3272">
        <v>0.230286821567525</v>
      </c>
      <c r="R3272">
        <v>0.97481607760002498</v>
      </c>
      <c r="S3272" t="s">
        <v>9557</v>
      </c>
      <c r="T3272" t="s">
        <v>12568</v>
      </c>
      <c r="U3272" t="s">
        <v>12568</v>
      </c>
      <c r="V3272" t="s">
        <v>12568</v>
      </c>
      <c r="W3272" t="s">
        <v>15800</v>
      </c>
      <c r="X3272">
        <v>5</v>
      </c>
      <c r="Y3272" t="s">
        <v>21936</v>
      </c>
      <c r="Z3272" t="s">
        <v>28142</v>
      </c>
      <c r="AA3272">
        <v>0.49561166130076723</v>
      </c>
      <c r="AB3272" t="str">
        <f>HYPERLINK("Melting_Curves/meltCurve_Q16778_HIST2H2BE.pdf", "Melting_Curves/meltCurve_Q16778_HIST2H2BE.pdf")</f>
        <v>Melting_Curves/meltCurve_Q16778_HIST2H2BE.pdf</v>
      </c>
    </row>
    <row r="3273" spans="1:28" x14ac:dyDescent="0.25">
      <c r="A3273" t="s">
        <v>3277</v>
      </c>
      <c r="B3273">
        <v>0.99352677808782597</v>
      </c>
      <c r="C3273">
        <v>0.91376413156796399</v>
      </c>
      <c r="D3273">
        <v>0.74711862459749301</v>
      </c>
      <c r="E3273">
        <v>0.24028337344683401</v>
      </c>
      <c r="F3273">
        <v>0.17275386247201999</v>
      </c>
      <c r="G3273">
        <v>0.113859516755336</v>
      </c>
      <c r="H3273">
        <v>7.2394798990060905E-2</v>
      </c>
      <c r="I3273">
        <v>6.9339327773795006E-2</v>
      </c>
      <c r="J3273">
        <v>5.45021355442004E-2</v>
      </c>
      <c r="K3273">
        <v>4.5757180582909202E-2</v>
      </c>
      <c r="L3273">
        <v>1202.3589087487101</v>
      </c>
      <c r="M3273">
        <v>25.288135476483099</v>
      </c>
      <c r="N3273">
        <v>47.830222670837003</v>
      </c>
      <c r="O3273">
        <v>47.252025996533199</v>
      </c>
      <c r="P3273">
        <v>-0.124472802134777</v>
      </c>
      <c r="Q3273">
        <v>6.96796823030498E-2</v>
      </c>
      <c r="R3273">
        <v>0.99526890409068103</v>
      </c>
      <c r="S3273" t="s">
        <v>9558</v>
      </c>
      <c r="T3273" t="s">
        <v>12568</v>
      </c>
      <c r="U3273" t="s">
        <v>12568</v>
      </c>
      <c r="V3273" t="s">
        <v>12568</v>
      </c>
      <c r="W3273" t="s">
        <v>15801</v>
      </c>
      <c r="X3273">
        <v>12</v>
      </c>
      <c r="Y3273" t="s">
        <v>21937</v>
      </c>
      <c r="Z3273" t="s">
        <v>28143</v>
      </c>
      <c r="AA3273">
        <v>0.31173926822851261</v>
      </c>
      <c r="AB3273" t="str">
        <f>HYPERLINK("Melting_Curves/meltCurve_Q16822_PCK2.pdf", "Melting_Curves/meltCurve_Q16822_PCK2.pdf")</f>
        <v>Melting_Curves/meltCurve_Q16822_PCK2.pdf</v>
      </c>
    </row>
    <row r="3274" spans="1:28" x14ac:dyDescent="0.25">
      <c r="A3274" t="s">
        <v>3278</v>
      </c>
      <c r="B3274">
        <v>0.99352677808782597</v>
      </c>
      <c r="C3274">
        <v>0.953468068657083</v>
      </c>
      <c r="D3274">
        <v>1.00053478634955</v>
      </c>
      <c r="E3274">
        <v>0.62298341602474705</v>
      </c>
      <c r="F3274">
        <v>0.64359745024755899</v>
      </c>
      <c r="G3274">
        <v>0.56495257151481804</v>
      </c>
      <c r="H3274">
        <v>0.46756879323767297</v>
      </c>
      <c r="I3274">
        <v>0.522788268576865</v>
      </c>
      <c r="J3274">
        <v>0.39015711893886101</v>
      </c>
      <c r="K3274">
        <v>0.35306443059407999</v>
      </c>
      <c r="L3274">
        <v>697.16470198417505</v>
      </c>
      <c r="M3274">
        <v>13.665073101074301</v>
      </c>
      <c r="N3274">
        <v>58.042929723874202</v>
      </c>
      <c r="O3274">
        <v>49.962636434276398</v>
      </c>
      <c r="P3274">
        <v>-4.0734563863510903E-2</v>
      </c>
      <c r="Q3274">
        <v>0.40434712016524699</v>
      </c>
      <c r="R3274">
        <v>0.92377724682510198</v>
      </c>
      <c r="S3274" t="s">
        <v>9559</v>
      </c>
      <c r="T3274" t="s">
        <v>12568</v>
      </c>
      <c r="U3274" t="s">
        <v>12568</v>
      </c>
      <c r="V3274" t="s">
        <v>12568</v>
      </c>
      <c r="W3274" t="s">
        <v>15802</v>
      </c>
      <c r="X3274">
        <v>1</v>
      </c>
      <c r="Y3274" t="s">
        <v>21938</v>
      </c>
      <c r="Z3274" t="s">
        <v>28144</v>
      </c>
      <c r="AA3274">
        <v>0.63908822546508282</v>
      </c>
      <c r="AB3274" t="str">
        <f>HYPERLINK("Melting_Curves/meltCurve_Q16825_PTPN21.pdf", "Melting_Curves/meltCurve_Q16825_PTPN21.pdf")</f>
        <v>Melting_Curves/meltCurve_Q16825_PTPN21.pdf</v>
      </c>
    </row>
    <row r="3275" spans="1:28" x14ac:dyDescent="0.25">
      <c r="A3275" t="s">
        <v>3279</v>
      </c>
      <c r="B3275">
        <v>0.99352677808782597</v>
      </c>
      <c r="C3275">
        <v>0.966313454982765</v>
      </c>
      <c r="D3275">
        <v>0.96035691647108801</v>
      </c>
      <c r="E3275">
        <v>0.76196361884684105</v>
      </c>
      <c r="F3275">
        <v>0.64497606277921904</v>
      </c>
      <c r="G3275">
        <v>0.51139240706788203</v>
      </c>
      <c r="H3275">
        <v>0.31251853158070098</v>
      </c>
      <c r="I3275">
        <v>0.14695565754751999</v>
      </c>
      <c r="J3275">
        <v>8.3602451674061107E-2</v>
      </c>
      <c r="K3275">
        <v>6.8103109262319203E-2</v>
      </c>
      <c r="L3275">
        <v>670.91459713408995</v>
      </c>
      <c r="M3275">
        <v>11.965048917971799</v>
      </c>
      <c r="N3275">
        <v>56.072868354069698</v>
      </c>
      <c r="O3275">
        <v>54.575432157732898</v>
      </c>
      <c r="P3275">
        <v>-5.4823050992514999E-2</v>
      </c>
      <c r="Q3275">
        <v>0</v>
      </c>
      <c r="R3275">
        <v>0.99044768285395801</v>
      </c>
      <c r="S3275" t="s">
        <v>9560</v>
      </c>
      <c r="T3275" t="s">
        <v>12568</v>
      </c>
      <c r="U3275" t="s">
        <v>12568</v>
      </c>
      <c r="V3275" t="s">
        <v>12568</v>
      </c>
      <c r="W3275" t="s">
        <v>15803</v>
      </c>
      <c r="X3275">
        <v>14</v>
      </c>
      <c r="Y3275" t="s">
        <v>21939</v>
      </c>
      <c r="Z3275" t="s">
        <v>28145</v>
      </c>
      <c r="AA3275">
        <v>0.55592644991124518</v>
      </c>
      <c r="AB3275" t="str">
        <f>HYPERLINK("Melting_Curves/meltCurve_Q16831_UPP1.pdf", "Melting_Curves/meltCurve_Q16831_UPP1.pdf")</f>
        <v>Melting_Curves/meltCurve_Q16831_UPP1.pdf</v>
      </c>
    </row>
    <row r="3276" spans="1:28" x14ac:dyDescent="0.25">
      <c r="A3276" t="s">
        <v>3280</v>
      </c>
      <c r="B3276">
        <v>0.99352677808782597</v>
      </c>
      <c r="C3276">
        <v>0.90144972542006896</v>
      </c>
      <c r="D3276">
        <v>0.91543226828371604</v>
      </c>
      <c r="E3276">
        <v>0.26459330325026098</v>
      </c>
      <c r="F3276">
        <v>0.209564468326223</v>
      </c>
      <c r="G3276">
        <v>0.13398418411908899</v>
      </c>
      <c r="H3276">
        <v>0.10365706796117399</v>
      </c>
      <c r="I3276">
        <v>9.9598423153293106E-2</v>
      </c>
      <c r="J3276">
        <v>6.5613406582303996E-2</v>
      </c>
      <c r="K3276">
        <v>4.6944089889838399E-2</v>
      </c>
      <c r="L3276">
        <v>1864.3005523581501</v>
      </c>
      <c r="M3276">
        <v>38.583110155968001</v>
      </c>
      <c r="N3276">
        <v>48.602708456865003</v>
      </c>
      <c r="O3276">
        <v>48.189829674633998</v>
      </c>
      <c r="P3276">
        <v>-0.17998550028465199</v>
      </c>
      <c r="Q3276">
        <v>0.100803446015215</v>
      </c>
      <c r="R3276">
        <v>0.98462135121036598</v>
      </c>
      <c r="S3276" t="s">
        <v>9561</v>
      </c>
      <c r="T3276" t="s">
        <v>12568</v>
      </c>
      <c r="U3276" t="s">
        <v>12568</v>
      </c>
      <c r="V3276" t="s">
        <v>12568</v>
      </c>
      <c r="W3276" t="s">
        <v>15804</v>
      </c>
      <c r="X3276">
        <v>11</v>
      </c>
      <c r="Y3276" t="s">
        <v>21940</v>
      </c>
      <c r="Z3276" t="s">
        <v>28146</v>
      </c>
      <c r="AA3276">
        <v>0.35339169604122261</v>
      </c>
      <c r="AB3276" t="str">
        <f>HYPERLINK("Melting_Curves/meltCurve_Q16836_HADH.pdf", "Melting_Curves/meltCurve_Q16836_HADH.pdf")</f>
        <v>Melting_Curves/meltCurve_Q16836_HADH.pdf</v>
      </c>
    </row>
    <row r="3277" spans="1:28" x14ac:dyDescent="0.25">
      <c r="A3277" t="s">
        <v>3281</v>
      </c>
      <c r="B3277">
        <v>0.99352677808782597</v>
      </c>
      <c r="C3277">
        <v>1.03061788582602</v>
      </c>
      <c r="D3277">
        <v>0.84052158391141896</v>
      </c>
      <c r="E3277">
        <v>1.0364644329899899</v>
      </c>
      <c r="F3277">
        <v>0.87953132160591596</v>
      </c>
      <c r="G3277">
        <v>0.56706395158005996</v>
      </c>
      <c r="H3277">
        <v>0.10414970499806001</v>
      </c>
      <c r="I3277">
        <v>9.4549803940219598E-2</v>
      </c>
      <c r="J3277">
        <v>6.8060610785109596E-2</v>
      </c>
      <c r="K3277">
        <v>5.2571692272690602E-2</v>
      </c>
      <c r="L3277">
        <v>1901.31086221481</v>
      </c>
      <c r="M3277">
        <v>33.296266066950999</v>
      </c>
      <c r="N3277">
        <v>57.282300437794198</v>
      </c>
      <c r="O3277">
        <v>56.898028822186198</v>
      </c>
      <c r="P3277">
        <v>-0.13905228242017101</v>
      </c>
      <c r="Q3277">
        <v>4.9531074990090199E-2</v>
      </c>
      <c r="R3277">
        <v>0.98010106273242903</v>
      </c>
      <c r="S3277" t="s">
        <v>9562</v>
      </c>
      <c r="T3277" t="s">
        <v>12568</v>
      </c>
      <c r="U3277" t="s">
        <v>12568</v>
      </c>
      <c r="V3277" t="s">
        <v>12568</v>
      </c>
      <c r="W3277" t="s">
        <v>15805</v>
      </c>
      <c r="X3277">
        <v>29</v>
      </c>
      <c r="Y3277" t="s">
        <v>21941</v>
      </c>
      <c r="Z3277" t="s">
        <v>28147</v>
      </c>
      <c r="AA3277">
        <v>0.59663398100403897</v>
      </c>
      <c r="AB3277" t="str">
        <f>HYPERLINK("Melting_Curves/meltCurve_Q16851_UGP2.pdf", "Melting_Curves/meltCurve_Q16851_UGP2.pdf")</f>
        <v>Melting_Curves/meltCurve_Q16851_UGP2.pdf</v>
      </c>
    </row>
    <row r="3278" spans="1:28" x14ac:dyDescent="0.25">
      <c r="A3278" t="s">
        <v>3282</v>
      </c>
      <c r="B3278">
        <v>0.99352677808782597</v>
      </c>
      <c r="C3278">
        <v>0.94006188839871896</v>
      </c>
      <c r="D3278">
        <v>0.96324391559839795</v>
      </c>
      <c r="E3278">
        <v>1.02902376337233</v>
      </c>
      <c r="F3278">
        <v>1.0092344921830201</v>
      </c>
      <c r="G3278">
        <v>0.82172159370992404</v>
      </c>
      <c r="H3278">
        <v>0.82025642703979196</v>
      </c>
      <c r="I3278">
        <v>0.92057187194537105</v>
      </c>
      <c r="J3278">
        <v>0.90906750559531202</v>
      </c>
      <c r="K3278">
        <v>0.56147449160687202</v>
      </c>
      <c r="L3278">
        <v>701.15548966066501</v>
      </c>
      <c r="M3278">
        <v>9.2926652590916206</v>
      </c>
      <c r="Q3278">
        <v>0</v>
      </c>
      <c r="R3278">
        <v>0.58531974117610097</v>
      </c>
      <c r="S3278" t="s">
        <v>9563</v>
      </c>
      <c r="T3278" t="s">
        <v>12568</v>
      </c>
      <c r="U3278" t="s">
        <v>12568</v>
      </c>
      <c r="V3278" t="s">
        <v>12568</v>
      </c>
      <c r="W3278" t="s">
        <v>15806</v>
      </c>
      <c r="X3278">
        <v>4</v>
      </c>
      <c r="Y3278" t="s">
        <v>21942</v>
      </c>
      <c r="Z3278" t="s">
        <v>28148</v>
      </c>
      <c r="AA3278">
        <v>0.92359218795303266</v>
      </c>
      <c r="AB3278" t="str">
        <f>HYPERLINK("Melting_Curves/meltCurve_Q16854_DGUOK.pdf", "Melting_Curves/meltCurve_Q16854_DGUOK.pdf")</f>
        <v>Melting_Curves/meltCurve_Q16854_DGUOK.pdf</v>
      </c>
    </row>
    <row r="3279" spans="1:28" x14ac:dyDescent="0.25">
      <c r="A3279" t="s">
        <v>3283</v>
      </c>
      <c r="B3279">
        <v>0.99352677808782597</v>
      </c>
      <c r="C3279">
        <v>1.01334402163559</v>
      </c>
      <c r="D3279">
        <v>0.95526368811114604</v>
      </c>
      <c r="E3279">
        <v>0.89165733563100202</v>
      </c>
      <c r="F3279">
        <v>0.75393236943622599</v>
      </c>
      <c r="G3279">
        <v>0.63482479407459502</v>
      </c>
      <c r="H3279">
        <v>0.58841792164539097</v>
      </c>
      <c r="I3279">
        <v>0.53832125965216704</v>
      </c>
      <c r="J3279">
        <v>0.53538697816789804</v>
      </c>
      <c r="K3279">
        <v>0.406770966825174</v>
      </c>
      <c r="L3279">
        <v>652.65986555675795</v>
      </c>
      <c r="M3279">
        <v>11.8223903163794</v>
      </c>
      <c r="N3279">
        <v>65.699989118124293</v>
      </c>
      <c r="O3279">
        <v>53.6969482541285</v>
      </c>
      <c r="P3279">
        <v>-3.1693304455822899E-2</v>
      </c>
      <c r="Q3279">
        <v>0.42434680566347299</v>
      </c>
      <c r="R3279">
        <v>0.97758781303870901</v>
      </c>
      <c r="S3279" t="s">
        <v>9564</v>
      </c>
      <c r="T3279" t="s">
        <v>12568</v>
      </c>
      <c r="U3279" t="s">
        <v>12568</v>
      </c>
      <c r="V3279" t="s">
        <v>12568</v>
      </c>
      <c r="W3279" t="s">
        <v>15807</v>
      </c>
      <c r="X3279">
        <v>5</v>
      </c>
      <c r="Y3279" t="s">
        <v>21943</v>
      </c>
      <c r="Z3279" t="s">
        <v>28149</v>
      </c>
      <c r="AA3279">
        <v>0.72939503473645217</v>
      </c>
      <c r="AB3279" t="str">
        <f>HYPERLINK("Melting_Curves/meltCurve_Q16864_ATP6V1F.pdf", "Melting_Curves/meltCurve_Q16864_ATP6V1F.pdf")</f>
        <v>Melting_Curves/meltCurve_Q16864_ATP6V1F.pdf</v>
      </c>
    </row>
    <row r="3280" spans="1:28" x14ac:dyDescent="0.25">
      <c r="A3280" t="s">
        <v>3284</v>
      </c>
      <c r="B3280">
        <v>0.99352677808782597</v>
      </c>
      <c r="C3280">
        <v>0.93533130564303602</v>
      </c>
      <c r="D3280">
        <v>0.89886365590672801</v>
      </c>
      <c r="E3280">
        <v>0.80366956830903502</v>
      </c>
      <c r="F3280">
        <v>0.74793355728483102</v>
      </c>
      <c r="G3280">
        <v>0.63070146020343298</v>
      </c>
      <c r="H3280">
        <v>0.50960771819862405</v>
      </c>
      <c r="I3280">
        <v>0.46902842321481503</v>
      </c>
      <c r="J3280">
        <v>0.45927526446786598</v>
      </c>
      <c r="K3280">
        <v>0.25923315518064</v>
      </c>
      <c r="L3280">
        <v>388.58134997695402</v>
      </c>
      <c r="M3280">
        <v>6.2644596923138396</v>
      </c>
      <c r="N3280">
        <v>62.0295137309664</v>
      </c>
      <c r="O3280">
        <v>56.607018331020697</v>
      </c>
      <c r="P3280">
        <v>-2.77432203824894E-2</v>
      </c>
      <c r="Q3280">
        <v>0</v>
      </c>
      <c r="R3280">
        <v>0.97799986324767896</v>
      </c>
      <c r="S3280" t="s">
        <v>9565</v>
      </c>
      <c r="T3280" t="s">
        <v>12568</v>
      </c>
      <c r="U3280" t="s">
        <v>12568</v>
      </c>
      <c r="V3280" t="s">
        <v>12568</v>
      </c>
      <c r="W3280" t="s">
        <v>15808</v>
      </c>
      <c r="X3280">
        <v>3</v>
      </c>
      <c r="Y3280" t="s">
        <v>21944</v>
      </c>
      <c r="Z3280" t="s">
        <v>28150</v>
      </c>
      <c r="AA3280">
        <v>0.67639266624083583</v>
      </c>
      <c r="AB3280" t="str">
        <f>HYPERLINK("Melting_Curves/meltCurve_Q17R31_2_TATDN3.pdf", "Melting_Curves/meltCurve_Q17R31_2_TATDN3.pdf")</f>
        <v>Melting_Curves/meltCurve_Q17R31_2_TATDN3.pdf</v>
      </c>
    </row>
    <row r="3281" spans="1:28" x14ac:dyDescent="0.25">
      <c r="A3281" t="s">
        <v>3285</v>
      </c>
      <c r="B3281">
        <v>0.99352677808782597</v>
      </c>
      <c r="C3281">
        <v>0.95247642510525099</v>
      </c>
      <c r="D3281">
        <v>0.77284401544800796</v>
      </c>
      <c r="E3281">
        <v>0.293117648411715</v>
      </c>
      <c r="F3281">
        <v>0.220450977414792</v>
      </c>
      <c r="G3281">
        <v>0.12977250304336199</v>
      </c>
      <c r="H3281">
        <v>6.4492509402818504E-2</v>
      </c>
      <c r="I3281">
        <v>5.7096660646484797E-2</v>
      </c>
      <c r="J3281">
        <v>4.3213673258554401E-2</v>
      </c>
      <c r="K3281">
        <v>3.30658395593902E-2</v>
      </c>
      <c r="L3281">
        <v>1077.3974847358099</v>
      </c>
      <c r="M3281">
        <v>22.385750491603702</v>
      </c>
      <c r="N3281">
        <v>48.406813900288903</v>
      </c>
      <c r="O3281">
        <v>47.749583754567198</v>
      </c>
      <c r="P3281">
        <v>-0.110134613902231</v>
      </c>
      <c r="Q3281">
        <v>6.03357320218985E-2</v>
      </c>
      <c r="R3281">
        <v>0.99359132104072301</v>
      </c>
      <c r="S3281" t="s">
        <v>9566</v>
      </c>
      <c r="T3281" t="s">
        <v>12568</v>
      </c>
      <c r="U3281" t="s">
        <v>12568</v>
      </c>
      <c r="V3281" t="s">
        <v>12568</v>
      </c>
      <c r="W3281" t="s">
        <v>15809</v>
      </c>
      <c r="X3281">
        <v>6</v>
      </c>
      <c r="Y3281" t="s">
        <v>21945</v>
      </c>
      <c r="Z3281" t="s">
        <v>28151</v>
      </c>
      <c r="AA3281">
        <v>0.32543787930535301</v>
      </c>
      <c r="AB3281" t="str">
        <f>HYPERLINK("Melting_Curves/meltCurve_Q17RN3_FAM98C.pdf", "Melting_Curves/meltCurve_Q17RN3_FAM98C.pdf")</f>
        <v>Melting_Curves/meltCurve_Q17RN3_FAM98C.pdf</v>
      </c>
    </row>
    <row r="3282" spans="1:28" x14ac:dyDescent="0.25">
      <c r="A3282" t="s">
        <v>3286</v>
      </c>
      <c r="B3282">
        <v>0.99352677808782597</v>
      </c>
      <c r="C3282">
        <v>0.91676561505478804</v>
      </c>
      <c r="D3282">
        <v>0.98479030695653902</v>
      </c>
      <c r="E3282">
        <v>0.82035236341182605</v>
      </c>
      <c r="F3282">
        <v>0.80407341848453195</v>
      </c>
      <c r="G3282">
        <v>0.74200807091833698</v>
      </c>
      <c r="H3282">
        <v>0.60393369925197604</v>
      </c>
      <c r="I3282">
        <v>0.61729442045789795</v>
      </c>
      <c r="J3282">
        <v>0.66139725633340696</v>
      </c>
      <c r="K3282">
        <v>0.51070463057558302</v>
      </c>
      <c r="L3282">
        <v>461.000357930978</v>
      </c>
      <c r="M3282">
        <v>8.2301748108380508</v>
      </c>
      <c r="O3282">
        <v>52.998302160642901</v>
      </c>
      <c r="P3282">
        <v>-2.0375239099124101E-2</v>
      </c>
      <c r="Q3282">
        <v>0.475707039892521</v>
      </c>
      <c r="R3282">
        <v>0.92632953935535001</v>
      </c>
      <c r="S3282" t="s">
        <v>9567</v>
      </c>
      <c r="T3282" t="s">
        <v>12568</v>
      </c>
      <c r="U3282" t="s">
        <v>12568</v>
      </c>
      <c r="V3282" t="s">
        <v>12568</v>
      </c>
      <c r="W3282" t="s">
        <v>15810</v>
      </c>
      <c r="X3282">
        <v>6</v>
      </c>
      <c r="Y3282" t="s">
        <v>21946</v>
      </c>
      <c r="Z3282" t="s">
        <v>28152</v>
      </c>
      <c r="AA3282">
        <v>0.76605735104455919</v>
      </c>
      <c r="AB3282" t="str">
        <f>HYPERLINK("Melting_Curves/meltCurve_Q17RS7_GEN1.pdf", "Melting_Curves/meltCurve_Q17RS7_GEN1.pdf")</f>
        <v>Melting_Curves/meltCurve_Q17RS7_GEN1.pdf</v>
      </c>
    </row>
    <row r="3283" spans="1:28" x14ac:dyDescent="0.25">
      <c r="A3283" t="s">
        <v>3287</v>
      </c>
      <c r="B3283">
        <v>0.99352677808782597</v>
      </c>
      <c r="C3283">
        <v>0.76454640597573498</v>
      </c>
      <c r="D3283">
        <v>0.74042833870906899</v>
      </c>
      <c r="E3283">
        <v>0.56561060135708496</v>
      </c>
      <c r="F3283">
        <v>0.50219612437363004</v>
      </c>
      <c r="G3283">
        <v>0.23531399846866</v>
      </c>
      <c r="H3283">
        <v>0.13143322203597699</v>
      </c>
      <c r="I3283">
        <v>0.114580627495444</v>
      </c>
      <c r="J3283">
        <v>0.108064294126102</v>
      </c>
      <c r="K3283">
        <v>8.7584654209068302E-2</v>
      </c>
      <c r="L3283">
        <v>482.65455642990099</v>
      </c>
      <c r="M3283">
        <v>9.4342802302846298</v>
      </c>
      <c r="N3283">
        <v>51.159643479068698</v>
      </c>
      <c r="O3283">
        <v>49.019103157424198</v>
      </c>
      <c r="P3283">
        <v>-4.8144552281656899E-2</v>
      </c>
      <c r="Q3283">
        <v>0</v>
      </c>
      <c r="R3283">
        <v>0.975529605797957</v>
      </c>
      <c r="S3283" t="s">
        <v>9568</v>
      </c>
      <c r="T3283" t="s">
        <v>12568</v>
      </c>
      <c r="U3283" t="s">
        <v>12568</v>
      </c>
      <c r="V3283" t="s">
        <v>12568</v>
      </c>
      <c r="W3283" t="s">
        <v>15811</v>
      </c>
      <c r="X3283">
        <v>10</v>
      </c>
      <c r="Y3283" t="s">
        <v>21947</v>
      </c>
      <c r="Z3283" t="s">
        <v>28153</v>
      </c>
      <c r="AA3283">
        <v>0.41592830438051509</v>
      </c>
      <c r="AB3283" t="str">
        <f>HYPERLINK("Melting_Curves/meltCurve_Q17RU2_REL.pdf", "Melting_Curves/meltCurve_Q17RU2_REL.pdf")</f>
        <v>Melting_Curves/meltCurve_Q17RU2_REL.pdf</v>
      </c>
    </row>
    <row r="3284" spans="1:28" x14ac:dyDescent="0.25">
      <c r="A3284" t="s">
        <v>3288</v>
      </c>
      <c r="B3284">
        <v>0.99352677808782597</v>
      </c>
      <c r="C3284">
        <v>0.84481011240861703</v>
      </c>
      <c r="D3284">
        <v>0.57676080819128805</v>
      </c>
      <c r="E3284">
        <v>0.367834932789182</v>
      </c>
      <c r="F3284">
        <v>0.28666956679539002</v>
      </c>
      <c r="G3284">
        <v>0.23645298297867701</v>
      </c>
      <c r="H3284">
        <v>0.130125103654844</v>
      </c>
      <c r="I3284">
        <v>0.14969577152299801</v>
      </c>
      <c r="J3284">
        <v>6.0381001952955198E-2</v>
      </c>
      <c r="K3284">
        <v>6.6317678799316895E-2</v>
      </c>
      <c r="L3284">
        <v>642.321949116935</v>
      </c>
      <c r="M3284">
        <v>13.582115802851201</v>
      </c>
      <c r="N3284">
        <v>48.006481615239103</v>
      </c>
      <c r="O3284">
        <v>46.301886540826402</v>
      </c>
      <c r="P3284">
        <v>-6.6631412905277396E-2</v>
      </c>
      <c r="Q3284">
        <v>9.1540493118958205E-2</v>
      </c>
      <c r="R3284">
        <v>0.98228052099920304</v>
      </c>
      <c r="S3284" t="s">
        <v>9569</v>
      </c>
      <c r="T3284" t="s">
        <v>12568</v>
      </c>
      <c r="U3284" t="s">
        <v>12568</v>
      </c>
      <c r="V3284" t="s">
        <v>12568</v>
      </c>
      <c r="W3284" t="s">
        <v>15812</v>
      </c>
      <c r="X3284">
        <v>3</v>
      </c>
      <c r="Y3284" t="s">
        <v>21948</v>
      </c>
      <c r="Z3284" t="s">
        <v>28154</v>
      </c>
      <c r="AA3284">
        <v>0.34191500992094359</v>
      </c>
      <c r="AB3284" t="str">
        <f>HYPERLINK("Melting_Curves/meltCurve_Q1L5Z9_LONRF2.pdf", "Melting_Curves/meltCurve_Q1L5Z9_LONRF2.pdf")</f>
        <v>Melting_Curves/meltCurve_Q1L5Z9_LONRF2.pdf</v>
      </c>
    </row>
    <row r="3285" spans="1:28" x14ac:dyDescent="0.25">
      <c r="A3285" t="s">
        <v>3289</v>
      </c>
      <c r="B3285">
        <v>0.99352677808782597</v>
      </c>
      <c r="C3285">
        <v>0.95768840628938001</v>
      </c>
      <c r="D3285">
        <v>0.77585401447175795</v>
      </c>
      <c r="E3285">
        <v>0.60312637884393805</v>
      </c>
      <c r="F3285">
        <v>0.46524831809957301</v>
      </c>
      <c r="G3285">
        <v>0.41284847774304201</v>
      </c>
      <c r="H3285">
        <v>0.34202143528853202</v>
      </c>
      <c r="I3285">
        <v>0.321873170805895</v>
      </c>
      <c r="J3285">
        <v>0.34098997981423801</v>
      </c>
      <c r="K3285">
        <v>0.28971911470172801</v>
      </c>
      <c r="L3285">
        <v>730.24605414855</v>
      </c>
      <c r="M3285">
        <v>14.938835546775101</v>
      </c>
      <c r="N3285">
        <v>52.268383444833198</v>
      </c>
      <c r="O3285">
        <v>48.031527264948501</v>
      </c>
      <c r="P3285">
        <v>-5.3654233294031399E-2</v>
      </c>
      <c r="Q3285">
        <v>0.31003154000823901</v>
      </c>
      <c r="R3285">
        <v>0.99300920637269197</v>
      </c>
      <c r="S3285" t="s">
        <v>9570</v>
      </c>
      <c r="T3285" t="s">
        <v>12568</v>
      </c>
      <c r="U3285" t="s">
        <v>12568</v>
      </c>
      <c r="V3285" t="s">
        <v>12568</v>
      </c>
      <c r="W3285" t="s">
        <v>15813</v>
      </c>
      <c r="X3285">
        <v>2</v>
      </c>
      <c r="Y3285" t="s">
        <v>21949</v>
      </c>
      <c r="Z3285" t="s">
        <v>28155</v>
      </c>
      <c r="AA3285">
        <v>0.53155443442236172</v>
      </c>
      <c r="AB3285" t="str">
        <f>HYPERLINK("Melting_Curves/meltCurve_Q1MSJ5_1_CSPP1.pdf", "Melting_Curves/meltCurve_Q1MSJ5_1_CSPP1.pdf")</f>
        <v>Melting_Curves/meltCurve_Q1MSJ5_1_CSPP1.pdf</v>
      </c>
    </row>
    <row r="3286" spans="1:28" x14ac:dyDescent="0.25">
      <c r="A3286" t="s">
        <v>3290</v>
      </c>
      <c r="B3286">
        <v>0.99352677808782597</v>
      </c>
      <c r="C3286">
        <v>0.97588851310125102</v>
      </c>
      <c r="D3286">
        <v>0.67976105732118597</v>
      </c>
      <c r="E3286">
        <v>0.36840754322276897</v>
      </c>
      <c r="F3286">
        <v>0.28104942375880498</v>
      </c>
      <c r="G3286">
        <v>0.15673310170966201</v>
      </c>
      <c r="H3286">
        <v>0.102190914648562</v>
      </c>
      <c r="I3286">
        <v>8.7983713481183501E-2</v>
      </c>
      <c r="J3286">
        <v>7.5276696050933706E-2</v>
      </c>
      <c r="K3286">
        <v>5.9913062634097701E-2</v>
      </c>
      <c r="L3286">
        <v>847.98166762114499</v>
      </c>
      <c r="M3286">
        <v>17.6070531539442</v>
      </c>
      <c r="N3286">
        <v>48.640670179066603</v>
      </c>
      <c r="O3286">
        <v>47.553095311511697</v>
      </c>
      <c r="P3286">
        <v>-8.51996325442822E-2</v>
      </c>
      <c r="Q3286">
        <v>7.9621524730670301E-2</v>
      </c>
      <c r="R3286">
        <v>0.99099816794284501</v>
      </c>
      <c r="S3286" t="s">
        <v>9571</v>
      </c>
      <c r="T3286" t="s">
        <v>12568</v>
      </c>
      <c r="U3286" t="s">
        <v>12568</v>
      </c>
      <c r="V3286" t="s">
        <v>12568</v>
      </c>
      <c r="W3286" t="s">
        <v>15814</v>
      </c>
      <c r="X3286">
        <v>37</v>
      </c>
      <c r="Y3286" t="s">
        <v>21950</v>
      </c>
      <c r="Z3286" t="s">
        <v>28156</v>
      </c>
      <c r="AA3286">
        <v>0.34702217676601321</v>
      </c>
      <c r="AB3286" t="str">
        <f>HYPERLINK("Melting_Curves/meltCurve_Q27J81_INF2.pdf", "Melting_Curves/meltCurve_Q27J81_INF2.pdf")</f>
        <v>Melting_Curves/meltCurve_Q27J81_INF2.pdf</v>
      </c>
    </row>
    <row r="3287" spans="1:28" x14ac:dyDescent="0.25">
      <c r="A3287" t="s">
        <v>3291</v>
      </c>
      <c r="B3287">
        <v>0.99352677808782597</v>
      </c>
      <c r="C3287">
        <v>0.879875196861023</v>
      </c>
      <c r="D3287">
        <v>0.69134619311107504</v>
      </c>
      <c r="E3287">
        <v>0.35645787923733802</v>
      </c>
      <c r="F3287">
        <v>0.29785892393807301</v>
      </c>
      <c r="G3287">
        <v>0.24283036849445999</v>
      </c>
      <c r="H3287">
        <v>0.20926165107745201</v>
      </c>
      <c r="I3287">
        <v>0.22134772375007</v>
      </c>
      <c r="J3287">
        <v>0.20628747418075899</v>
      </c>
      <c r="K3287">
        <v>0.18912288609575001</v>
      </c>
      <c r="L3287">
        <v>951.38101099211804</v>
      </c>
      <c r="M3287">
        <v>20.304823588144099</v>
      </c>
      <c r="N3287">
        <v>48.1285334528365</v>
      </c>
      <c r="O3287">
        <v>46.407555761477298</v>
      </c>
      <c r="P3287">
        <v>-8.6651228278258594E-2</v>
      </c>
      <c r="Q3287">
        <v>0.207843711873725</v>
      </c>
      <c r="R3287">
        <v>0.99709461905469499</v>
      </c>
      <c r="S3287" t="s">
        <v>9572</v>
      </c>
      <c r="T3287" t="s">
        <v>12568</v>
      </c>
      <c r="U3287" t="s">
        <v>12568</v>
      </c>
      <c r="V3287" t="s">
        <v>12568</v>
      </c>
      <c r="W3287" t="s">
        <v>15815</v>
      </c>
      <c r="X3287">
        <v>34</v>
      </c>
      <c r="Y3287" t="s">
        <v>21951</v>
      </c>
      <c r="Z3287" t="s">
        <v>28157</v>
      </c>
      <c r="AA3287">
        <v>0.40013110140330699</v>
      </c>
      <c r="AB3287" t="str">
        <f>HYPERLINK("Melting_Curves/meltCurve_Q29RF7_PDS5A.pdf", "Melting_Curves/meltCurve_Q29RF7_PDS5A.pdf")</f>
        <v>Melting_Curves/meltCurve_Q29RF7_PDS5A.pdf</v>
      </c>
    </row>
    <row r="3288" spans="1:28" x14ac:dyDescent="0.25">
      <c r="A3288" t="s">
        <v>3292</v>
      </c>
      <c r="B3288">
        <v>0.99352677808782597</v>
      </c>
      <c r="C3288">
        <v>0.96430323644633997</v>
      </c>
      <c r="D3288">
        <v>0.97935872665456103</v>
      </c>
      <c r="E3288">
        <v>0.95070859293979504</v>
      </c>
      <c r="F3288">
        <v>0.80655802008211896</v>
      </c>
      <c r="G3288">
        <v>0.72114591766830505</v>
      </c>
      <c r="H3288">
        <v>0.68331863043760099</v>
      </c>
      <c r="I3288">
        <v>0.71817541170652499</v>
      </c>
      <c r="J3288">
        <v>0.82837354322273404</v>
      </c>
      <c r="K3288">
        <v>0.74044917707206204</v>
      </c>
      <c r="L3288">
        <v>2318.8504570905102</v>
      </c>
      <c r="M3288">
        <v>44.867594559917499</v>
      </c>
      <c r="O3288">
        <v>51.579723928324498</v>
      </c>
      <c r="P3288">
        <v>-5.6973009168547702E-2</v>
      </c>
      <c r="Q3288">
        <v>0.73801597691935705</v>
      </c>
      <c r="R3288">
        <v>0.898519082559041</v>
      </c>
      <c r="S3288" t="s">
        <v>9573</v>
      </c>
      <c r="T3288" t="s">
        <v>12568</v>
      </c>
      <c r="U3288" t="s">
        <v>12568</v>
      </c>
      <c r="V3288" t="s">
        <v>12568</v>
      </c>
      <c r="W3288" t="s">
        <v>15816</v>
      </c>
      <c r="X3288">
        <v>13</v>
      </c>
      <c r="Y3288" t="s">
        <v>21952</v>
      </c>
      <c r="Z3288" t="s">
        <v>28158</v>
      </c>
      <c r="AA3288">
        <v>0.84077579806906544</v>
      </c>
      <c r="AB3288" t="str">
        <f>HYPERLINK("Melting_Curves/meltCurve_Q2KHR3_QSER1.pdf", "Melting_Curves/meltCurve_Q2KHR3_QSER1.pdf")</f>
        <v>Melting_Curves/meltCurve_Q2KHR3_QSER1.pdf</v>
      </c>
    </row>
    <row r="3289" spans="1:28" x14ac:dyDescent="0.25">
      <c r="A3289" t="s">
        <v>3293</v>
      </c>
      <c r="B3289">
        <v>0.99352677808782597</v>
      </c>
      <c r="C3289">
        <v>0.96416099962633695</v>
      </c>
      <c r="D3289">
        <v>0.87476704961752405</v>
      </c>
      <c r="E3289">
        <v>1.1478756877863601</v>
      </c>
      <c r="F3289">
        <v>0.89261646123447003</v>
      </c>
      <c r="G3289">
        <v>0.87775914032566305</v>
      </c>
      <c r="H3289">
        <v>0.92570175925675402</v>
      </c>
      <c r="I3289">
        <v>0.75146850764616901</v>
      </c>
      <c r="J3289">
        <v>1.0346867305499701</v>
      </c>
      <c r="K3289">
        <v>0.97470900872048705</v>
      </c>
      <c r="L3289">
        <v>426.04457078965999</v>
      </c>
      <c r="M3289">
        <v>8.7838111659721996</v>
      </c>
      <c r="O3289">
        <v>46.186529173986301</v>
      </c>
      <c r="P3289">
        <v>-4.1019682303017301E-3</v>
      </c>
      <c r="Q3289">
        <v>0.91379371700350298</v>
      </c>
      <c r="R3289">
        <v>4.4617437030329499E-2</v>
      </c>
      <c r="S3289" t="s">
        <v>9574</v>
      </c>
      <c r="T3289" t="s">
        <v>12568</v>
      </c>
      <c r="U3289" t="s">
        <v>12568</v>
      </c>
      <c r="V3289" t="s">
        <v>12568</v>
      </c>
      <c r="W3289" t="s">
        <v>15817</v>
      </c>
      <c r="X3289">
        <v>6</v>
      </c>
      <c r="Y3289" t="s">
        <v>21953</v>
      </c>
      <c r="Z3289" t="s">
        <v>28159</v>
      </c>
      <c r="AA3289">
        <v>0.94351466556494912</v>
      </c>
      <c r="AB3289" t="str">
        <f>HYPERLINK("Melting_Curves/meltCurve_Q2KHT3_CLEC16A.pdf", "Melting_Curves/meltCurve_Q2KHT3_CLEC16A.pdf")</f>
        <v>Melting_Curves/meltCurve_Q2KHT3_CLEC16A.pdf</v>
      </c>
    </row>
    <row r="3290" spans="1:28" x14ac:dyDescent="0.25">
      <c r="A3290" t="s">
        <v>3294</v>
      </c>
      <c r="B3290">
        <v>0.99352677808782597</v>
      </c>
      <c r="C3290">
        <v>1.0945835910172099</v>
      </c>
      <c r="D3290">
        <v>1.0193274238204599</v>
      </c>
      <c r="E3290">
        <v>0.87071864204756999</v>
      </c>
      <c r="F3290">
        <v>0.65659743601417098</v>
      </c>
      <c r="G3290">
        <v>0.47180311561584298</v>
      </c>
      <c r="H3290">
        <v>0.386384234422398</v>
      </c>
      <c r="I3290">
        <v>0.23847818126503401</v>
      </c>
      <c r="J3290">
        <v>0.18929371918138799</v>
      </c>
      <c r="K3290">
        <v>5.9602236408434303E-2</v>
      </c>
      <c r="L3290">
        <v>709.95306328241702</v>
      </c>
      <c r="M3290">
        <v>12.49717916883</v>
      </c>
      <c r="N3290">
        <v>57.1359546170372</v>
      </c>
      <c r="O3290">
        <v>55.413284825296202</v>
      </c>
      <c r="P3290">
        <v>-5.44476239315368E-2</v>
      </c>
      <c r="Q3290">
        <v>3.4501688864727403E-2</v>
      </c>
      <c r="R3290">
        <v>0.97600215019667003</v>
      </c>
      <c r="S3290" t="s">
        <v>9575</v>
      </c>
      <c r="T3290" t="s">
        <v>12568</v>
      </c>
      <c r="U3290" t="s">
        <v>12568</v>
      </c>
      <c r="V3290" t="s">
        <v>12568</v>
      </c>
      <c r="W3290" t="s">
        <v>15818</v>
      </c>
      <c r="X3290">
        <v>1</v>
      </c>
      <c r="Y3290" t="s">
        <v>21954</v>
      </c>
      <c r="Z3290" t="s">
        <v>28160</v>
      </c>
      <c r="AA3290">
        <v>0.59233901719367854</v>
      </c>
      <c r="AB3290" t="str">
        <f>HYPERLINK("Melting_Curves/meltCurve_Q2M296_4_MTHFSD.pdf", "Melting_Curves/meltCurve_Q2M296_4_MTHFSD.pdf")</f>
        <v>Melting_Curves/meltCurve_Q2M296_4_MTHFSD.pdf</v>
      </c>
    </row>
    <row r="3291" spans="1:28" x14ac:dyDescent="0.25">
      <c r="A3291" t="s">
        <v>3295</v>
      </c>
      <c r="B3291">
        <v>0.99352677808782597</v>
      </c>
      <c r="C3291">
        <v>0.960826809822522</v>
      </c>
      <c r="D3291">
        <v>0.95213766740680394</v>
      </c>
      <c r="E3291">
        <v>0.34792946623489501</v>
      </c>
      <c r="F3291">
        <v>0.24998915745834099</v>
      </c>
      <c r="G3291">
        <v>0.179216621185529</v>
      </c>
      <c r="H3291">
        <v>0.14808753702532301</v>
      </c>
      <c r="I3291">
        <v>0.159750637857139</v>
      </c>
      <c r="J3291">
        <v>0.14658965277477901</v>
      </c>
      <c r="K3291">
        <v>0.124182395364255</v>
      </c>
      <c r="L3291">
        <v>2043.68117342968</v>
      </c>
      <c r="M3291">
        <v>42.003178851886403</v>
      </c>
      <c r="N3291">
        <v>49.1096272619844</v>
      </c>
      <c r="O3291">
        <v>48.545513380092999</v>
      </c>
      <c r="P3291">
        <v>-0.181490622462747</v>
      </c>
      <c r="Q3291">
        <v>0.16096473299661801</v>
      </c>
      <c r="R3291">
        <v>0.993797956171384</v>
      </c>
      <c r="S3291" t="s">
        <v>9576</v>
      </c>
      <c r="T3291" t="s">
        <v>12568</v>
      </c>
      <c r="U3291" t="s">
        <v>12568</v>
      </c>
      <c r="V3291" t="s">
        <v>12568</v>
      </c>
      <c r="W3291" t="s">
        <v>15819</v>
      </c>
      <c r="X3291">
        <v>13</v>
      </c>
      <c r="Y3291" t="s">
        <v>21955</v>
      </c>
      <c r="Z3291" t="s">
        <v>28161</v>
      </c>
      <c r="AA3291">
        <v>0.40559730680573952</v>
      </c>
      <c r="AB3291" t="str">
        <f>HYPERLINK("Melting_Curves/meltCurve_Q2M2I8_AAK1.pdf", "Melting_Curves/meltCurve_Q2M2I8_AAK1.pdf")</f>
        <v>Melting_Curves/meltCurve_Q2M2I8_AAK1.pdf</v>
      </c>
    </row>
    <row r="3292" spans="1:28" x14ac:dyDescent="0.25">
      <c r="A3292" t="s">
        <v>3296</v>
      </c>
      <c r="B3292">
        <v>0.99352677808782597</v>
      </c>
      <c r="C3292">
        <v>0.91782310738014805</v>
      </c>
      <c r="D3292">
        <v>0.91641250120418405</v>
      </c>
      <c r="E3292">
        <v>0.77895037967519598</v>
      </c>
      <c r="F3292">
        <v>0.91172189448048802</v>
      </c>
      <c r="G3292">
        <v>0.65314914970081905</v>
      </c>
      <c r="H3292">
        <v>0.66819031678595198</v>
      </c>
      <c r="I3292">
        <v>0.66676458807299299</v>
      </c>
      <c r="J3292">
        <v>0.58826332503613299</v>
      </c>
      <c r="K3292">
        <v>0.443136895058167</v>
      </c>
      <c r="L3292">
        <v>306.74609925202799</v>
      </c>
      <c r="M3292">
        <v>4.3602293121348996</v>
      </c>
      <c r="O3292">
        <v>59.269498552057598</v>
      </c>
      <c r="P3292">
        <v>-1.8570115938395901E-2</v>
      </c>
      <c r="Q3292">
        <v>0</v>
      </c>
      <c r="R3292">
        <v>0.88160218360950404</v>
      </c>
      <c r="S3292" t="s">
        <v>9577</v>
      </c>
      <c r="T3292" t="s">
        <v>12568</v>
      </c>
      <c r="U3292" t="s">
        <v>12568</v>
      </c>
      <c r="V3292" t="s">
        <v>12568</v>
      </c>
      <c r="W3292" t="s">
        <v>15820</v>
      </c>
      <c r="X3292">
        <v>3</v>
      </c>
      <c r="Y3292" t="s">
        <v>21956</v>
      </c>
      <c r="Z3292" t="s">
        <v>28162</v>
      </c>
      <c r="AA3292">
        <v>0.75915657350888555</v>
      </c>
      <c r="AB3292" t="str">
        <f>HYPERLINK("Melting_Curves/meltCurve_Q2M2Z5_5_PLK1S1.pdf", "Melting_Curves/meltCurve_Q2M2Z5_5_PLK1S1.pdf")</f>
        <v>Melting_Curves/meltCurve_Q2M2Z5_5_PLK1S1.pdf</v>
      </c>
    </row>
    <row r="3293" spans="1:28" x14ac:dyDescent="0.25">
      <c r="A3293" t="s">
        <v>3297</v>
      </c>
      <c r="B3293">
        <v>0.99352677808782597</v>
      </c>
      <c r="C3293">
        <v>0.93009962191796802</v>
      </c>
      <c r="D3293">
        <v>0.86570664231193994</v>
      </c>
      <c r="E3293">
        <v>0.46539088717385102</v>
      </c>
      <c r="F3293">
        <v>0.38907198756789402</v>
      </c>
      <c r="G3293">
        <v>0.18688951357153899</v>
      </c>
      <c r="H3293">
        <v>0.14548037319419899</v>
      </c>
      <c r="I3293">
        <v>0.16522705821122799</v>
      </c>
      <c r="J3293">
        <v>0.11753286309873</v>
      </c>
      <c r="K3293">
        <v>8.2932042413255205E-2</v>
      </c>
      <c r="L3293">
        <v>856.11567567814495</v>
      </c>
      <c r="M3293">
        <v>17.2389018497975</v>
      </c>
      <c r="N3293">
        <v>50.398530600085202</v>
      </c>
      <c r="O3293">
        <v>49.008044890596203</v>
      </c>
      <c r="P3293">
        <v>-7.81498513794502E-2</v>
      </c>
      <c r="Q3293">
        <v>0.111371338439373</v>
      </c>
      <c r="R3293">
        <v>0.98996196921505997</v>
      </c>
      <c r="S3293" t="s">
        <v>9578</v>
      </c>
      <c r="T3293" t="s">
        <v>12568</v>
      </c>
      <c r="U3293" t="s">
        <v>12568</v>
      </c>
      <c r="V3293" t="s">
        <v>12568</v>
      </c>
      <c r="W3293" t="s">
        <v>15821</v>
      </c>
      <c r="X3293">
        <v>21</v>
      </c>
      <c r="Y3293" t="s">
        <v>21957</v>
      </c>
      <c r="Z3293" t="s">
        <v>28163</v>
      </c>
      <c r="AA3293">
        <v>0.41410531721545968</v>
      </c>
      <c r="AB3293" t="str">
        <f>HYPERLINK("Melting_Curves/meltCurve_Q2M389_KIAA1033.pdf", "Melting_Curves/meltCurve_Q2M389_KIAA1033.pdf")</f>
        <v>Melting_Curves/meltCurve_Q2M389_KIAA1033.pdf</v>
      </c>
    </row>
    <row r="3294" spans="1:28" x14ac:dyDescent="0.25">
      <c r="A3294" t="s">
        <v>3298</v>
      </c>
      <c r="B3294">
        <v>0.99352677808782597</v>
      </c>
      <c r="C3294">
        <v>0.87014870454720505</v>
      </c>
      <c r="D3294">
        <v>0.75786780526130804</v>
      </c>
      <c r="E3294">
        <v>0.47829242871140498</v>
      </c>
      <c r="F3294">
        <v>0.35721274182804502</v>
      </c>
      <c r="G3294">
        <v>0.20224158846277099</v>
      </c>
      <c r="H3294">
        <v>0.17196671499496499</v>
      </c>
      <c r="I3294">
        <v>0.189864682611912</v>
      </c>
      <c r="J3294">
        <v>0.19514818630935399</v>
      </c>
      <c r="K3294">
        <v>0.14720740723185399</v>
      </c>
      <c r="L3294">
        <v>744.92945202399301</v>
      </c>
      <c r="M3294">
        <v>15.3488088029248</v>
      </c>
      <c r="N3294">
        <v>49.726226200119299</v>
      </c>
      <c r="O3294">
        <v>47.731911382209603</v>
      </c>
      <c r="P3294">
        <v>-6.8016141233489105E-2</v>
      </c>
      <c r="Q3294">
        <v>0.15400842858348701</v>
      </c>
      <c r="R3294">
        <v>0.99505082056400496</v>
      </c>
      <c r="S3294" t="s">
        <v>9579</v>
      </c>
      <c r="T3294" t="s">
        <v>12568</v>
      </c>
      <c r="U3294" t="s">
        <v>12568</v>
      </c>
      <c r="V3294" t="s">
        <v>12568</v>
      </c>
      <c r="W3294" t="s">
        <v>15822</v>
      </c>
      <c r="X3294">
        <v>1</v>
      </c>
      <c r="Y3294" t="s">
        <v>21958</v>
      </c>
      <c r="Z3294" t="s">
        <v>28164</v>
      </c>
      <c r="AA3294">
        <v>0.41498547542078978</v>
      </c>
      <c r="AB3294" t="str">
        <f>HYPERLINK("Melting_Curves/meltCurve_Q2NKJ3_CTC1.pdf", "Melting_Curves/meltCurve_Q2NKJ3_CTC1.pdf")</f>
        <v>Melting_Curves/meltCurve_Q2NKJ3_CTC1.pdf</v>
      </c>
    </row>
    <row r="3295" spans="1:28" x14ac:dyDescent="0.25">
      <c r="A3295" t="s">
        <v>3299</v>
      </c>
      <c r="B3295">
        <v>0.99352677808782597</v>
      </c>
      <c r="C3295">
        <v>0.88756849725822595</v>
      </c>
      <c r="D3295">
        <v>0.79634404049714502</v>
      </c>
      <c r="E3295">
        <v>0.57952699992277501</v>
      </c>
      <c r="F3295">
        <v>0.49153993071451302</v>
      </c>
      <c r="G3295">
        <v>0.42868699754885897</v>
      </c>
      <c r="H3295">
        <v>0.34993290166402002</v>
      </c>
      <c r="I3295">
        <v>0.35858669088618</v>
      </c>
      <c r="J3295">
        <v>0.37474134977850398</v>
      </c>
      <c r="K3295">
        <v>0.342101638180141</v>
      </c>
      <c r="L3295">
        <v>696.26397767785704</v>
      </c>
      <c r="M3295">
        <v>14.419249030945601</v>
      </c>
      <c r="N3295">
        <v>52.519898868491303</v>
      </c>
      <c r="O3295">
        <v>47.386843310626297</v>
      </c>
      <c r="P3295">
        <v>-4.9940519705702902E-2</v>
      </c>
      <c r="Q3295">
        <v>0.34358696297659502</v>
      </c>
      <c r="R3295">
        <v>0.99473449500612698</v>
      </c>
      <c r="S3295" t="s">
        <v>9580</v>
      </c>
      <c r="T3295" t="s">
        <v>12568</v>
      </c>
      <c r="U3295" t="s">
        <v>12568</v>
      </c>
      <c r="V3295" t="s">
        <v>12568</v>
      </c>
      <c r="W3295" t="s">
        <v>15823</v>
      </c>
      <c r="X3295">
        <v>27</v>
      </c>
      <c r="Y3295" t="s">
        <v>21959</v>
      </c>
      <c r="Z3295" t="s">
        <v>28165</v>
      </c>
      <c r="AA3295">
        <v>0.54291068691691824</v>
      </c>
      <c r="AB3295" t="str">
        <f>HYPERLINK("Melting_Curves/meltCurve_Q2NKX8_ERCC6L.pdf", "Melting_Curves/meltCurve_Q2NKX8_ERCC6L.pdf")</f>
        <v>Melting_Curves/meltCurve_Q2NKX8_ERCC6L.pdf</v>
      </c>
    </row>
    <row r="3296" spans="1:28" x14ac:dyDescent="0.25">
      <c r="A3296" t="s">
        <v>3300</v>
      </c>
      <c r="B3296">
        <v>0.99352677808782597</v>
      </c>
      <c r="C3296">
        <v>0.95732768286446202</v>
      </c>
      <c r="D3296">
        <v>0.90705404345472396</v>
      </c>
      <c r="E3296">
        <v>0.594184167917857</v>
      </c>
      <c r="F3296">
        <v>0.56690194923408199</v>
      </c>
      <c r="G3296">
        <v>0.43256383648806601</v>
      </c>
      <c r="H3296">
        <v>0.52970882154162302</v>
      </c>
      <c r="I3296">
        <v>0.33757339410989301</v>
      </c>
      <c r="J3296">
        <v>0.249063306467637</v>
      </c>
      <c r="K3296">
        <v>0.179296546307778</v>
      </c>
      <c r="L3296">
        <v>460.995757044833</v>
      </c>
      <c r="M3296">
        <v>8.5748313287234001</v>
      </c>
      <c r="N3296">
        <v>55.941609473464801</v>
      </c>
      <c r="O3296">
        <v>51.077055585313502</v>
      </c>
      <c r="P3296">
        <v>-3.6040249786803098E-2</v>
      </c>
      <c r="Q3296">
        <v>0.142034958195802</v>
      </c>
      <c r="R3296">
        <v>0.93038105482422095</v>
      </c>
      <c r="S3296" t="s">
        <v>9581</v>
      </c>
      <c r="T3296" t="s">
        <v>12568</v>
      </c>
      <c r="U3296" t="s">
        <v>12568</v>
      </c>
      <c r="V3296" t="s">
        <v>12568</v>
      </c>
      <c r="W3296" t="s">
        <v>15824</v>
      </c>
      <c r="X3296">
        <v>1</v>
      </c>
      <c r="Y3296" t="s">
        <v>21960</v>
      </c>
      <c r="Z3296" t="s">
        <v>28166</v>
      </c>
      <c r="AA3296">
        <v>0.56514569550543559</v>
      </c>
      <c r="AB3296" t="str">
        <f>HYPERLINK("Melting_Curves/meltCurve_Q2NKX9_3_C2orf68.pdf", "Melting_Curves/meltCurve_Q2NKX9_3_C2orf68.pdf")</f>
        <v>Melting_Curves/meltCurve_Q2NKX9_3_C2orf68.pdf</v>
      </c>
    </row>
    <row r="3297" spans="1:28" x14ac:dyDescent="0.25">
      <c r="A3297" t="s">
        <v>3301</v>
      </c>
      <c r="B3297">
        <v>0.99352677808782597</v>
      </c>
      <c r="C3297">
        <v>0.96685557334211103</v>
      </c>
      <c r="D3297">
        <v>0.71383155912273899</v>
      </c>
      <c r="E3297">
        <v>0.26900039147197902</v>
      </c>
      <c r="F3297">
        <v>0.19252359573321701</v>
      </c>
      <c r="G3297">
        <v>0.115890496831926</v>
      </c>
      <c r="H3297">
        <v>7.4339980087948898E-2</v>
      </c>
      <c r="I3297">
        <v>6.5291073101568203E-2</v>
      </c>
      <c r="J3297">
        <v>5.7725348615430799E-2</v>
      </c>
      <c r="K3297">
        <v>4.1123532540680803E-2</v>
      </c>
      <c r="L3297">
        <v>1131.26406918423</v>
      </c>
      <c r="M3297">
        <v>23.759462809107099</v>
      </c>
      <c r="N3297">
        <v>47.9170868224614</v>
      </c>
      <c r="O3297">
        <v>47.2797528806041</v>
      </c>
      <c r="P3297">
        <v>-0.116847675914956</v>
      </c>
      <c r="Q3297">
        <v>6.9938797335278594E-2</v>
      </c>
      <c r="R3297">
        <v>0.99578278514334995</v>
      </c>
      <c r="S3297" t="s">
        <v>9582</v>
      </c>
      <c r="T3297" t="s">
        <v>12568</v>
      </c>
      <c r="U3297" t="s">
        <v>12568</v>
      </c>
      <c r="V3297" t="s">
        <v>12568</v>
      </c>
      <c r="W3297" t="s">
        <v>15825</v>
      </c>
      <c r="X3297">
        <v>15</v>
      </c>
      <c r="Y3297" t="s">
        <v>21961</v>
      </c>
      <c r="Z3297" t="s">
        <v>28167</v>
      </c>
      <c r="AA3297">
        <v>0.31515530261496272</v>
      </c>
      <c r="AB3297" t="str">
        <f>HYPERLINK("Melting_Curves/meltCurve_Q2NL82_TSR1.pdf", "Melting_Curves/meltCurve_Q2NL82_TSR1.pdf")</f>
        <v>Melting_Curves/meltCurve_Q2NL82_TSR1.pdf</v>
      </c>
    </row>
    <row r="3298" spans="1:28" x14ac:dyDescent="0.25">
      <c r="A3298" t="s">
        <v>3302</v>
      </c>
      <c r="B3298">
        <v>0.99352677808782597</v>
      </c>
      <c r="C3298">
        <v>0.88360864371982395</v>
      </c>
      <c r="D3298">
        <v>0.78347525149782304</v>
      </c>
      <c r="E3298">
        <v>0.33452175953146401</v>
      </c>
      <c r="F3298">
        <v>0.299976995573556</v>
      </c>
      <c r="G3298">
        <v>0.212195933696607</v>
      </c>
      <c r="H3298">
        <v>0.18254349070957901</v>
      </c>
      <c r="I3298">
        <v>0.18973924678104401</v>
      </c>
      <c r="J3298">
        <v>0.20288899523819701</v>
      </c>
      <c r="K3298">
        <v>0.17503197677508101</v>
      </c>
      <c r="L3298">
        <v>1100.90880156511</v>
      </c>
      <c r="M3298">
        <v>23.179263154579601</v>
      </c>
      <c r="N3298">
        <v>48.495067478847297</v>
      </c>
      <c r="O3298">
        <v>47.146157522141401</v>
      </c>
      <c r="P3298">
        <v>-9.95692348060013E-2</v>
      </c>
      <c r="Q3298">
        <v>0.189927609608745</v>
      </c>
      <c r="R3298">
        <v>0.990033040722617</v>
      </c>
      <c r="S3298" t="s">
        <v>9583</v>
      </c>
      <c r="T3298" t="s">
        <v>12568</v>
      </c>
      <c r="U3298" t="s">
        <v>12568</v>
      </c>
      <c r="V3298" t="s">
        <v>12568</v>
      </c>
      <c r="W3298" t="s">
        <v>15826</v>
      </c>
      <c r="X3298">
        <v>7</v>
      </c>
      <c r="Y3298" t="s">
        <v>21962</v>
      </c>
      <c r="Z3298" t="s">
        <v>28168</v>
      </c>
      <c r="AA3298">
        <v>0.40078238292760299</v>
      </c>
      <c r="AB3298" t="str">
        <f>HYPERLINK("Melting_Curves/meltCurve_Q2TAL8_QRICH1.pdf", "Melting_Curves/meltCurve_Q2TAL8_QRICH1.pdf")</f>
        <v>Melting_Curves/meltCurve_Q2TAL8_QRICH1.pdf</v>
      </c>
    </row>
    <row r="3299" spans="1:28" x14ac:dyDescent="0.25">
      <c r="A3299" t="s">
        <v>3303</v>
      </c>
      <c r="B3299">
        <v>0.99352677808782597</v>
      </c>
      <c r="C3299">
        <v>1.01001275315067</v>
      </c>
      <c r="D3299">
        <v>0.96834818359577102</v>
      </c>
      <c r="E3299">
        <v>0.624036229615063</v>
      </c>
      <c r="F3299">
        <v>0.53967607876007695</v>
      </c>
      <c r="G3299">
        <v>0.23482041858695499</v>
      </c>
      <c r="H3299">
        <v>0.14451774205250101</v>
      </c>
      <c r="I3299">
        <v>0.13131229998737301</v>
      </c>
      <c r="J3299">
        <v>0.106740448886081</v>
      </c>
      <c r="K3299">
        <v>8.1626307022946404E-2</v>
      </c>
      <c r="L3299">
        <v>894.99731531071302</v>
      </c>
      <c r="M3299">
        <v>17.161440559423401</v>
      </c>
      <c r="N3299">
        <v>52.695910850723102</v>
      </c>
      <c r="O3299">
        <v>51.458963722106297</v>
      </c>
      <c r="P3299">
        <v>-7.6607687492935297E-2</v>
      </c>
      <c r="Q3299">
        <v>8.1215241089255499E-2</v>
      </c>
      <c r="R3299">
        <v>0.989575566565291</v>
      </c>
      <c r="S3299" t="s">
        <v>9584</v>
      </c>
      <c r="T3299" t="s">
        <v>12568</v>
      </c>
      <c r="U3299" t="s">
        <v>12568</v>
      </c>
      <c r="V3299" t="s">
        <v>12568</v>
      </c>
      <c r="W3299" t="s">
        <v>15827</v>
      </c>
      <c r="X3299">
        <v>17</v>
      </c>
      <c r="Y3299" t="s">
        <v>21963</v>
      </c>
      <c r="Z3299" t="s">
        <v>28169</v>
      </c>
      <c r="AA3299">
        <v>0.4698940369979534</v>
      </c>
      <c r="AB3299" t="str">
        <f>HYPERLINK("Melting_Curves/meltCurve_Q2TAM5_RELA.pdf", "Melting_Curves/meltCurve_Q2TAM5_RELA.pdf")</f>
        <v>Melting_Curves/meltCurve_Q2TAM5_RELA.pdf</v>
      </c>
    </row>
    <row r="3300" spans="1:28" x14ac:dyDescent="0.25">
      <c r="A3300" t="s">
        <v>3304</v>
      </c>
      <c r="B3300">
        <v>0.99352677808782597</v>
      </c>
      <c r="C3300">
        <v>0.99463367059857799</v>
      </c>
      <c r="D3300">
        <v>0.94183751570324503</v>
      </c>
      <c r="E3300">
        <v>0.49360366240785503</v>
      </c>
      <c r="F3300">
        <v>0.410938031455648</v>
      </c>
      <c r="G3300">
        <v>0.195296935359693</v>
      </c>
      <c r="H3300">
        <v>0.12207732350998</v>
      </c>
      <c r="I3300">
        <v>0.11183831446794</v>
      </c>
      <c r="J3300">
        <v>9.4555710812795596E-2</v>
      </c>
      <c r="K3300">
        <v>8.970281380622E-2</v>
      </c>
      <c r="L3300">
        <v>977.71867572846099</v>
      </c>
      <c r="M3300">
        <v>19.407555758150298</v>
      </c>
      <c r="N3300">
        <v>50.946424239058302</v>
      </c>
      <c r="O3300">
        <v>49.852519966452</v>
      </c>
      <c r="P3300">
        <v>-8.78574204256342E-2</v>
      </c>
      <c r="Q3300">
        <v>9.73096611821615E-2</v>
      </c>
      <c r="R3300">
        <v>0.98766819200991296</v>
      </c>
      <c r="S3300" t="s">
        <v>9585</v>
      </c>
      <c r="T3300" t="s">
        <v>12568</v>
      </c>
      <c r="U3300" t="s">
        <v>12568</v>
      </c>
      <c r="V3300" t="s">
        <v>12568</v>
      </c>
      <c r="W3300" t="s">
        <v>15828</v>
      </c>
      <c r="X3300">
        <v>12</v>
      </c>
      <c r="Y3300" t="s">
        <v>21964</v>
      </c>
      <c r="Z3300" t="s">
        <v>28170</v>
      </c>
      <c r="AA3300">
        <v>0.4228819329632556</v>
      </c>
      <c r="AB3300" t="str">
        <f>HYPERLINK("Melting_Curves/meltCurve_Q2TAY7_SMU1.pdf", "Melting_Curves/meltCurve_Q2TAY7_SMU1.pdf")</f>
        <v>Melting_Curves/meltCurve_Q2TAY7_SMU1.pdf</v>
      </c>
    </row>
    <row r="3301" spans="1:28" x14ac:dyDescent="0.25">
      <c r="A3301" t="s">
        <v>3305</v>
      </c>
      <c r="B3301">
        <v>0.99352677808782597</v>
      </c>
      <c r="C3301">
        <v>1.03934031758609</v>
      </c>
      <c r="D3301">
        <v>0.92543711150007502</v>
      </c>
      <c r="E3301">
        <v>0.87339127894271495</v>
      </c>
      <c r="F3301">
        <v>0.74101256737555998</v>
      </c>
      <c r="G3301">
        <v>0.55606586107301703</v>
      </c>
      <c r="H3301">
        <v>0.37031371428040599</v>
      </c>
      <c r="I3301">
        <v>0.30506495639349002</v>
      </c>
      <c r="J3301">
        <v>0.23959556324656001</v>
      </c>
      <c r="K3301">
        <v>0.15986336665658099</v>
      </c>
      <c r="L3301">
        <v>681.04569415204605</v>
      </c>
      <c r="M3301">
        <v>11.885985572696301</v>
      </c>
      <c r="N3301">
        <v>58.198889607054703</v>
      </c>
      <c r="O3301">
        <v>55.748515187989398</v>
      </c>
      <c r="P3301">
        <v>-4.8836132882632201E-2</v>
      </c>
      <c r="Q3301">
        <v>8.4009702617621196E-2</v>
      </c>
      <c r="R3301">
        <v>0.99491225715727105</v>
      </c>
      <c r="S3301" t="s">
        <v>9586</v>
      </c>
      <c r="T3301" t="s">
        <v>12568</v>
      </c>
      <c r="U3301" t="s">
        <v>12568</v>
      </c>
      <c r="V3301" t="s">
        <v>12568</v>
      </c>
      <c r="W3301" t="s">
        <v>15829</v>
      </c>
      <c r="X3301">
        <v>10</v>
      </c>
      <c r="Y3301" t="s">
        <v>21965</v>
      </c>
      <c r="Z3301" t="s">
        <v>28171</v>
      </c>
      <c r="AA3301">
        <v>0.62649334425093073</v>
      </c>
      <c r="AB3301" t="str">
        <f>HYPERLINK("Melting_Curves/meltCurve_Q2TAZ0_ATG2A.pdf", "Melting_Curves/meltCurve_Q2TAZ0_ATG2A.pdf")</f>
        <v>Melting_Curves/meltCurve_Q2TAZ0_ATG2A.pdf</v>
      </c>
    </row>
    <row r="3302" spans="1:28" x14ac:dyDescent="0.25">
      <c r="A3302" t="s">
        <v>3306</v>
      </c>
      <c r="B3302">
        <v>0.99352677808782597</v>
      </c>
      <c r="C3302">
        <v>0.89158498804130104</v>
      </c>
      <c r="D3302">
        <v>0.97378009849048897</v>
      </c>
      <c r="E3302">
        <v>0.93827354653421502</v>
      </c>
      <c r="F3302">
        <v>0.94922384879194199</v>
      </c>
      <c r="G3302">
        <v>0.89829713431172997</v>
      </c>
      <c r="H3302">
        <v>0.75030464797583896</v>
      </c>
      <c r="I3302">
        <v>0.70590218904326296</v>
      </c>
      <c r="J3302">
        <v>0.65149982538934903</v>
      </c>
      <c r="K3302">
        <v>0.60071747085970695</v>
      </c>
      <c r="L3302">
        <v>451.98573922752797</v>
      </c>
      <c r="M3302">
        <v>6.2416032063076203</v>
      </c>
      <c r="O3302">
        <v>66.044684520013206</v>
      </c>
      <c r="P3302">
        <v>-2.1766033664897901E-2</v>
      </c>
      <c r="Q3302">
        <v>8.1325398438780505E-2</v>
      </c>
      <c r="R3302">
        <v>0.92804302452215703</v>
      </c>
      <c r="S3302" t="s">
        <v>9587</v>
      </c>
      <c r="T3302" t="s">
        <v>12568</v>
      </c>
      <c r="U3302" t="s">
        <v>12568</v>
      </c>
      <c r="V3302" t="s">
        <v>12568</v>
      </c>
      <c r="W3302" t="s">
        <v>15830</v>
      </c>
      <c r="X3302">
        <v>4</v>
      </c>
      <c r="Y3302" t="s">
        <v>21966</v>
      </c>
      <c r="Z3302" t="s">
        <v>28172</v>
      </c>
      <c r="AA3302">
        <v>0.85251028975765675</v>
      </c>
      <c r="AB3302" t="str">
        <f>HYPERLINK("Melting_Curves/meltCurve_Q2TB39_TCF3.pdf", "Melting_Curves/meltCurve_Q2TB39_TCF3.pdf")</f>
        <v>Melting_Curves/meltCurve_Q2TB39_TCF3.pdf</v>
      </c>
    </row>
    <row r="3303" spans="1:28" x14ac:dyDescent="0.25">
      <c r="A3303" t="s">
        <v>3307</v>
      </c>
      <c r="B3303">
        <v>0.99352677808782597</v>
      </c>
      <c r="C3303">
        <v>0.92091233911875403</v>
      </c>
      <c r="D3303">
        <v>0.91539177362492596</v>
      </c>
      <c r="E3303">
        <v>0.75994467726970305</v>
      </c>
      <c r="F3303">
        <v>0.54450303183330895</v>
      </c>
      <c r="G3303">
        <v>0.53008653075680501</v>
      </c>
      <c r="H3303">
        <v>0.33466982347644297</v>
      </c>
      <c r="I3303">
        <v>0.31120265741785302</v>
      </c>
      <c r="J3303">
        <v>0.29273540549451299</v>
      </c>
      <c r="K3303">
        <v>0.23739473801438099</v>
      </c>
      <c r="L3303">
        <v>587.08527766572604</v>
      </c>
      <c r="M3303">
        <v>10.997346892433001</v>
      </c>
      <c r="N3303">
        <v>55.955810482110302</v>
      </c>
      <c r="O3303">
        <v>51.710181941521697</v>
      </c>
      <c r="P3303">
        <v>-4.2635707097833701E-2</v>
      </c>
      <c r="Q3303">
        <v>0.19836814399681399</v>
      </c>
      <c r="R3303">
        <v>0.98332916672800097</v>
      </c>
      <c r="S3303" t="s">
        <v>9588</v>
      </c>
      <c r="T3303" t="s">
        <v>12568</v>
      </c>
      <c r="U3303" t="s">
        <v>12568</v>
      </c>
      <c r="V3303" t="s">
        <v>12568</v>
      </c>
      <c r="W3303" t="s">
        <v>15831</v>
      </c>
      <c r="X3303">
        <v>4</v>
      </c>
      <c r="Y3303" t="s">
        <v>21967</v>
      </c>
      <c r="Z3303" t="s">
        <v>28173</v>
      </c>
      <c r="AA3303">
        <v>0.58013047573613841</v>
      </c>
      <c r="AB3303" t="str">
        <f>HYPERLINK("Melting_Curves/meltCurve_Q2TBE0_CWF19L2.pdf", "Melting_Curves/meltCurve_Q2TBE0_CWF19L2.pdf")</f>
        <v>Melting_Curves/meltCurve_Q2TBE0_CWF19L2.pdf</v>
      </c>
    </row>
    <row r="3304" spans="1:28" x14ac:dyDescent="0.25">
      <c r="A3304" t="s">
        <v>3308</v>
      </c>
      <c r="B3304">
        <v>0.99352677808782597</v>
      </c>
      <c r="C3304">
        <v>0.91957306361638502</v>
      </c>
      <c r="D3304">
        <v>0.95985154749177504</v>
      </c>
      <c r="E3304">
        <v>0.32176883670399398</v>
      </c>
      <c r="F3304">
        <v>0.23817780388246099</v>
      </c>
      <c r="G3304">
        <v>0.14675545359247899</v>
      </c>
      <c r="H3304">
        <v>7.9666624148284196E-2</v>
      </c>
      <c r="I3304">
        <v>7.1407358559473402E-2</v>
      </c>
      <c r="J3304">
        <v>6.2675704198156407E-2</v>
      </c>
      <c r="K3304">
        <v>5.0672619797635203E-2</v>
      </c>
      <c r="L3304">
        <v>1745.52929045372</v>
      </c>
      <c r="M3304">
        <v>35.754034739515497</v>
      </c>
      <c r="N3304">
        <v>49.104288614701403</v>
      </c>
      <c r="O3304">
        <v>48.668515359949097</v>
      </c>
      <c r="P3304">
        <v>-0.16651732007533401</v>
      </c>
      <c r="Q3304">
        <v>9.3347136194145197E-2</v>
      </c>
      <c r="R3304">
        <v>0.98330884030165899</v>
      </c>
      <c r="S3304" t="s">
        <v>9589</v>
      </c>
      <c r="T3304" t="s">
        <v>12568</v>
      </c>
      <c r="U3304" t="s">
        <v>12568</v>
      </c>
      <c r="V3304" t="s">
        <v>12568</v>
      </c>
      <c r="W3304" t="s">
        <v>15832</v>
      </c>
      <c r="X3304">
        <v>12</v>
      </c>
      <c r="Y3304" t="s">
        <v>21968</v>
      </c>
      <c r="Z3304" t="s">
        <v>28174</v>
      </c>
      <c r="AA3304">
        <v>0.36376501801883548</v>
      </c>
      <c r="AB3304" t="str">
        <f>HYPERLINK("Melting_Curves/meltCurve_Q2VPK5_CTU2.pdf", "Melting_Curves/meltCurve_Q2VPK5_CTU2.pdf")</f>
        <v>Melting_Curves/meltCurve_Q2VPK5_CTU2.pdf</v>
      </c>
    </row>
    <row r="3305" spans="1:28" x14ac:dyDescent="0.25">
      <c r="A3305" t="s">
        <v>3309</v>
      </c>
      <c r="B3305">
        <v>0.99352677808782597</v>
      </c>
      <c r="C3305">
        <v>0.94020299723432899</v>
      </c>
      <c r="D3305">
        <v>0.91539999743733902</v>
      </c>
      <c r="E3305">
        <v>0.821191336544285</v>
      </c>
      <c r="F3305">
        <v>0.675631221283849</v>
      </c>
      <c r="G3305">
        <v>0.53910659686320705</v>
      </c>
      <c r="H3305">
        <v>0.32683148492103298</v>
      </c>
      <c r="I3305">
        <v>0.14052745402917299</v>
      </c>
      <c r="J3305">
        <v>0.106771233678826</v>
      </c>
      <c r="K3305">
        <v>0.10522318353853501</v>
      </c>
      <c r="L3305">
        <v>675.14142044736604</v>
      </c>
      <c r="M3305">
        <v>11.917692299182001</v>
      </c>
      <c r="N3305">
        <v>56.650348296563301</v>
      </c>
      <c r="O3305">
        <v>55.125950005906702</v>
      </c>
      <c r="P3305">
        <v>-5.4060916910574103E-2</v>
      </c>
      <c r="Q3305">
        <v>0</v>
      </c>
      <c r="R3305">
        <v>0.99028167250402999</v>
      </c>
      <c r="S3305" t="s">
        <v>9590</v>
      </c>
      <c r="T3305" t="s">
        <v>12568</v>
      </c>
      <c r="U3305" t="s">
        <v>12568</v>
      </c>
      <c r="V3305" t="s">
        <v>12568</v>
      </c>
      <c r="W3305" t="s">
        <v>15833</v>
      </c>
      <c r="X3305">
        <v>3</v>
      </c>
      <c r="Y3305" t="s">
        <v>21969</v>
      </c>
      <c r="Z3305" t="s">
        <v>28175</v>
      </c>
      <c r="AA3305">
        <v>0.57316106891293706</v>
      </c>
      <c r="AB3305" t="str">
        <f>HYPERLINK("Melting_Curves/meltCurve_Q32M88_ATHL1.pdf", "Melting_Curves/meltCurve_Q32M88_ATHL1.pdf")</f>
        <v>Melting_Curves/meltCurve_Q32M88_ATHL1.pdf</v>
      </c>
    </row>
    <row r="3306" spans="1:28" x14ac:dyDescent="0.25">
      <c r="A3306" t="s">
        <v>3310</v>
      </c>
      <c r="B3306">
        <v>0.99352677808782597</v>
      </c>
      <c r="C3306">
        <v>1.03559575163644</v>
      </c>
      <c r="D3306">
        <v>0.93897938667272796</v>
      </c>
      <c r="E3306">
        <v>1.0724049950797201</v>
      </c>
      <c r="F3306">
        <v>1.02100881225484</v>
      </c>
      <c r="G3306">
        <v>0.90973665341148002</v>
      </c>
      <c r="H3306">
        <v>1.0321187317613301</v>
      </c>
      <c r="I3306">
        <v>1.1067982930884299</v>
      </c>
      <c r="J3306">
        <v>1.3382030650693799</v>
      </c>
      <c r="K3306">
        <v>1.0449647841187899</v>
      </c>
      <c r="L3306">
        <v>15000</v>
      </c>
      <c r="M3306">
        <v>234.60616650977201</v>
      </c>
      <c r="O3306">
        <v>63.932292318749901</v>
      </c>
      <c r="P3306">
        <v>0.17575614524157601</v>
      </c>
      <c r="Q3306">
        <v>1.1915805266600401</v>
      </c>
      <c r="R3306">
        <v>0.49021040975124702</v>
      </c>
      <c r="S3306" t="s">
        <v>9591</v>
      </c>
      <c r="T3306" t="s">
        <v>12568</v>
      </c>
      <c r="U3306" t="s">
        <v>12568</v>
      </c>
      <c r="V3306" t="s">
        <v>12568</v>
      </c>
      <c r="W3306" t="s">
        <v>15834</v>
      </c>
      <c r="X3306">
        <v>38</v>
      </c>
      <c r="Y3306" t="s">
        <v>21970</v>
      </c>
      <c r="Z3306" t="s">
        <v>28176</v>
      </c>
      <c r="AA3306">
        <v>1.0386944069798609</v>
      </c>
      <c r="AB3306" t="str">
        <f>HYPERLINK("Melting_Curves/meltCurve_Q32MZ4_LRRFIP1.pdf", "Melting_Curves/meltCurve_Q32MZ4_LRRFIP1.pdf")</f>
        <v>Melting_Curves/meltCurve_Q32MZ4_LRRFIP1.pdf</v>
      </c>
    </row>
    <row r="3307" spans="1:28" x14ac:dyDescent="0.25">
      <c r="A3307" t="s">
        <v>3311</v>
      </c>
      <c r="B3307">
        <v>0.99352677808782597</v>
      </c>
      <c r="C3307">
        <v>1.04179415221171</v>
      </c>
      <c r="D3307">
        <v>0.89038131294457401</v>
      </c>
      <c r="E3307">
        <v>1.05540615089401</v>
      </c>
      <c r="F3307">
        <v>0.96416091447033203</v>
      </c>
      <c r="G3307">
        <v>0.82088967460857598</v>
      </c>
      <c r="H3307">
        <v>0.90741829841973198</v>
      </c>
      <c r="I3307">
        <v>0.95364813932320003</v>
      </c>
      <c r="J3307">
        <v>1.2324997907366799</v>
      </c>
      <c r="K3307">
        <v>0.86683023548897997</v>
      </c>
      <c r="L3307">
        <v>11088.4517684041</v>
      </c>
      <c r="M3307">
        <v>250</v>
      </c>
      <c r="O3307">
        <v>44.350950111814598</v>
      </c>
      <c r="P3307">
        <v>-5.4387290901856802E-2</v>
      </c>
      <c r="Q3307">
        <v>0.96140593533444596</v>
      </c>
      <c r="R3307">
        <v>3.54301787575853E-2</v>
      </c>
      <c r="S3307" t="s">
        <v>9592</v>
      </c>
      <c r="T3307" t="s">
        <v>12568</v>
      </c>
      <c r="U3307" t="s">
        <v>12568</v>
      </c>
      <c r="V3307" t="s">
        <v>12568</v>
      </c>
      <c r="W3307" t="s">
        <v>15835</v>
      </c>
      <c r="X3307">
        <v>38</v>
      </c>
      <c r="Y3307" t="s">
        <v>21970</v>
      </c>
      <c r="Z3307" t="s">
        <v>28177</v>
      </c>
      <c r="AA3307">
        <v>0.96700997656376186</v>
      </c>
      <c r="AB3307" t="str">
        <f>HYPERLINK("Melting_Curves/meltCurve_Q32MZ4_2_LRRFIP1.pdf", "Melting_Curves/meltCurve_Q32MZ4_2_LRRFIP1.pdf")</f>
        <v>Melting_Curves/meltCurve_Q32MZ4_2_LRRFIP1.pdf</v>
      </c>
    </row>
    <row r="3308" spans="1:28" x14ac:dyDescent="0.25">
      <c r="A3308" t="s">
        <v>3312</v>
      </c>
      <c r="B3308">
        <v>0.99352677808782597</v>
      </c>
      <c r="C3308">
        <v>0.96873289714089095</v>
      </c>
      <c r="D3308">
        <v>0.95059954240571198</v>
      </c>
      <c r="E3308">
        <v>1.1232038241204301</v>
      </c>
      <c r="F3308">
        <v>1.0770398620233099</v>
      </c>
      <c r="G3308">
        <v>0.89900820703524198</v>
      </c>
      <c r="H3308">
        <v>1.06123924916363</v>
      </c>
      <c r="I3308">
        <v>1.0048335386079901</v>
      </c>
      <c r="J3308">
        <v>1.29998098064079</v>
      </c>
      <c r="K3308">
        <v>1.0093072831855401</v>
      </c>
      <c r="L3308">
        <v>15000</v>
      </c>
      <c r="M3308">
        <v>231.306914228219</v>
      </c>
      <c r="O3308">
        <v>64.844058959367402</v>
      </c>
      <c r="P3308">
        <v>0.137870837309789</v>
      </c>
      <c r="Q3308">
        <v>1.1546015938363099</v>
      </c>
      <c r="R3308">
        <v>0.28878541452270301</v>
      </c>
      <c r="S3308" t="s">
        <v>9593</v>
      </c>
      <c r="T3308" t="s">
        <v>12568</v>
      </c>
      <c r="U3308" t="s">
        <v>12568</v>
      </c>
      <c r="V3308" t="s">
        <v>12568</v>
      </c>
      <c r="W3308" t="s">
        <v>15836</v>
      </c>
      <c r="X3308">
        <v>38</v>
      </c>
      <c r="Y3308" t="s">
        <v>21970</v>
      </c>
      <c r="Z3308" t="s">
        <v>28178</v>
      </c>
      <c r="AA3308">
        <v>1.02652503108749</v>
      </c>
      <c r="AB3308" t="str">
        <f>HYPERLINK("Melting_Curves/meltCurve_Q32MZ4_3_LRRFIP1.pdf", "Melting_Curves/meltCurve_Q32MZ4_3_LRRFIP1.pdf")</f>
        <v>Melting_Curves/meltCurve_Q32MZ4_3_LRRFIP1.pdf</v>
      </c>
    </row>
    <row r="3309" spans="1:28" x14ac:dyDescent="0.25">
      <c r="A3309" t="s">
        <v>3313</v>
      </c>
      <c r="B3309">
        <v>0.99352677808782597</v>
      </c>
      <c r="C3309">
        <v>1.05431796731539</v>
      </c>
      <c r="D3309">
        <v>0.92542557502674905</v>
      </c>
      <c r="E3309">
        <v>0.91476547728675595</v>
      </c>
      <c r="F3309">
        <v>0.89729548189770902</v>
      </c>
      <c r="G3309">
        <v>0.72387095035747895</v>
      </c>
      <c r="H3309">
        <v>0.70373851796918596</v>
      </c>
      <c r="I3309">
        <v>0.74670433210432496</v>
      </c>
      <c r="J3309">
        <v>0.84416210800392</v>
      </c>
      <c r="K3309">
        <v>0.63409930682613302</v>
      </c>
      <c r="L3309">
        <v>1029.9548411037699</v>
      </c>
      <c r="M3309">
        <v>19.580675579104</v>
      </c>
      <c r="O3309">
        <v>52.0611564337717</v>
      </c>
      <c r="P3309">
        <v>-2.6354559971392199E-2</v>
      </c>
      <c r="Q3309">
        <v>0.71972360160505999</v>
      </c>
      <c r="R3309">
        <v>0.79238842889807903</v>
      </c>
      <c r="S3309" t="s">
        <v>9594</v>
      </c>
      <c r="T3309" t="s">
        <v>12568</v>
      </c>
      <c r="U3309" t="s">
        <v>12568</v>
      </c>
      <c r="V3309" t="s">
        <v>12568</v>
      </c>
      <c r="W3309" t="s">
        <v>15837</v>
      </c>
      <c r="X3309">
        <v>13</v>
      </c>
      <c r="Y3309" t="s">
        <v>21970</v>
      </c>
      <c r="Z3309" t="s">
        <v>28179</v>
      </c>
      <c r="AA3309">
        <v>0.84145610154858019</v>
      </c>
      <c r="AB3309" t="str">
        <f>HYPERLINK("Melting_Curves/meltCurve_Q32MZ4_4_LRRFIP1.pdf", "Melting_Curves/meltCurve_Q32MZ4_4_LRRFIP1.pdf")</f>
        <v>Melting_Curves/meltCurve_Q32MZ4_4_LRRFIP1.pdf</v>
      </c>
    </row>
    <row r="3310" spans="1:28" x14ac:dyDescent="0.25">
      <c r="A3310" t="s">
        <v>3314</v>
      </c>
      <c r="B3310">
        <v>0.99352677808782597</v>
      </c>
      <c r="C3310">
        <v>0.98979238415266901</v>
      </c>
      <c r="D3310">
        <v>0.71918877303114603</v>
      </c>
      <c r="E3310">
        <v>0.44050235374404001</v>
      </c>
      <c r="F3310">
        <v>0.33966936541126602</v>
      </c>
      <c r="G3310">
        <v>0.248266833660308</v>
      </c>
      <c r="H3310">
        <v>0.16026941914642701</v>
      </c>
      <c r="I3310">
        <v>0.16134663403623201</v>
      </c>
      <c r="J3310">
        <v>0.14755892497324899</v>
      </c>
      <c r="K3310">
        <v>0.10671315303192699</v>
      </c>
      <c r="L3310">
        <v>813.70827221998195</v>
      </c>
      <c r="M3310">
        <v>16.756740265611199</v>
      </c>
      <c r="N3310">
        <v>49.5358785753508</v>
      </c>
      <c r="O3310">
        <v>47.884278121951198</v>
      </c>
      <c r="P3310">
        <v>-7.5192453663132999E-2</v>
      </c>
      <c r="Q3310">
        <v>0.14057249190418</v>
      </c>
      <c r="R3310">
        <v>0.98867150040473994</v>
      </c>
      <c r="S3310" t="s">
        <v>9595</v>
      </c>
      <c r="T3310" t="s">
        <v>12568</v>
      </c>
      <c r="U3310" t="s">
        <v>12568</v>
      </c>
      <c r="V3310" t="s">
        <v>12568</v>
      </c>
      <c r="W3310" t="s">
        <v>15838</v>
      </c>
      <c r="X3310">
        <v>6</v>
      </c>
      <c r="Y3310" t="s">
        <v>21971</v>
      </c>
      <c r="Z3310" t="s">
        <v>28180</v>
      </c>
      <c r="AA3310">
        <v>0.40315612808681273</v>
      </c>
      <c r="AB3310" t="str">
        <f>HYPERLINK("Melting_Curves/meltCurve_Q32P28_LEPRE1.pdf", "Melting_Curves/meltCurve_Q32P28_LEPRE1.pdf")</f>
        <v>Melting_Curves/meltCurve_Q32P28_LEPRE1.pdf</v>
      </c>
    </row>
    <row r="3311" spans="1:28" x14ac:dyDescent="0.25">
      <c r="A3311" t="s">
        <v>3315</v>
      </c>
      <c r="B3311">
        <v>0.99352677808782597</v>
      </c>
      <c r="C3311">
        <v>0.98743884290040496</v>
      </c>
      <c r="D3311">
        <v>0.70761434801774703</v>
      </c>
      <c r="E3311">
        <v>0.288927940384894</v>
      </c>
      <c r="F3311">
        <v>0.24436116580491299</v>
      </c>
      <c r="G3311">
        <v>0.15317247551268101</v>
      </c>
      <c r="H3311">
        <v>0.13764109377891501</v>
      </c>
      <c r="I3311">
        <v>0.14931630993282199</v>
      </c>
      <c r="J3311">
        <v>0.11419335447265699</v>
      </c>
      <c r="K3311">
        <v>8.8306657611793404E-2</v>
      </c>
      <c r="L3311">
        <v>1213.1176259589899</v>
      </c>
      <c r="M3311">
        <v>25.626526513269202</v>
      </c>
      <c r="N3311">
        <v>47.915945516003703</v>
      </c>
      <c r="O3311">
        <v>47.052926564715101</v>
      </c>
      <c r="P3311">
        <v>-0.118067379370754</v>
      </c>
      <c r="Q3311">
        <v>0.13287556835582401</v>
      </c>
      <c r="R3311">
        <v>0.99270771398715696</v>
      </c>
      <c r="S3311" t="s">
        <v>9596</v>
      </c>
      <c r="T3311" t="s">
        <v>12568</v>
      </c>
      <c r="U3311" t="s">
        <v>12568</v>
      </c>
      <c r="V3311" t="s">
        <v>12568</v>
      </c>
      <c r="W3311" t="s">
        <v>15839</v>
      </c>
      <c r="X3311">
        <v>14</v>
      </c>
      <c r="Y3311" t="s">
        <v>21972</v>
      </c>
      <c r="Z3311" t="s">
        <v>28181</v>
      </c>
      <c r="AA3311">
        <v>0.35228133779744658</v>
      </c>
      <c r="AB3311" t="str">
        <f>HYPERLINK("Melting_Curves/meltCurve_Q32P41_TRMT5.pdf", "Melting_Curves/meltCurve_Q32P41_TRMT5.pdf")</f>
        <v>Melting_Curves/meltCurve_Q32P41_TRMT5.pdf</v>
      </c>
    </row>
    <row r="3312" spans="1:28" x14ac:dyDescent="0.25">
      <c r="A3312" t="s">
        <v>3316</v>
      </c>
      <c r="B3312">
        <v>0.99352677808782597</v>
      </c>
      <c r="C3312">
        <v>0.98014954578562197</v>
      </c>
      <c r="D3312">
        <v>0.94240099062094596</v>
      </c>
      <c r="E3312">
        <v>0.58168589695169504</v>
      </c>
      <c r="F3312">
        <v>0.51482242153786595</v>
      </c>
      <c r="G3312">
        <v>0.28501277310637502</v>
      </c>
      <c r="H3312">
        <v>0.199557456844666</v>
      </c>
      <c r="I3312">
        <v>0.210407286096775</v>
      </c>
      <c r="J3312">
        <v>0.15754183724734</v>
      </c>
      <c r="K3312">
        <v>0.131352272933937</v>
      </c>
      <c r="L3312">
        <v>828.04866459844095</v>
      </c>
      <c r="M3312">
        <v>16.1395568002864</v>
      </c>
      <c r="N3312">
        <v>52.418135675408401</v>
      </c>
      <c r="O3312">
        <v>50.537281132534602</v>
      </c>
      <c r="P3312">
        <v>-6.8266028373422702E-2</v>
      </c>
      <c r="Q3312">
        <v>0.14502783393916499</v>
      </c>
      <c r="R3312">
        <v>0.98772807111041605</v>
      </c>
      <c r="S3312" t="s">
        <v>9597</v>
      </c>
      <c r="T3312" t="s">
        <v>12568</v>
      </c>
      <c r="U3312" t="s">
        <v>12568</v>
      </c>
      <c r="V3312" t="s">
        <v>12568</v>
      </c>
      <c r="W3312" t="s">
        <v>15840</v>
      </c>
      <c r="X3312">
        <v>7</v>
      </c>
      <c r="Y3312" t="s">
        <v>21973</v>
      </c>
      <c r="Z3312" t="s">
        <v>28182</v>
      </c>
      <c r="AA3312">
        <v>0.48456101950826208</v>
      </c>
      <c r="AB3312" t="str">
        <f>HYPERLINK("Melting_Curves/meltCurve_Q32P44_EML3.pdf", "Melting_Curves/meltCurve_Q32P44_EML3.pdf")</f>
        <v>Melting_Curves/meltCurve_Q32P44_EML3.pdf</v>
      </c>
    </row>
    <row r="3313" spans="1:28" x14ac:dyDescent="0.25">
      <c r="A3313" t="s">
        <v>3317</v>
      </c>
      <c r="B3313">
        <v>0.99352677808782597</v>
      </c>
      <c r="C3313">
        <v>0.92078030660376298</v>
      </c>
      <c r="D3313">
        <v>0.92916979867274396</v>
      </c>
      <c r="E3313">
        <v>0.30011711750029402</v>
      </c>
      <c r="F3313">
        <v>0.23473002378212901</v>
      </c>
      <c r="G3313">
        <v>0.14850937025649999</v>
      </c>
      <c r="H3313">
        <v>0.100652417430781</v>
      </c>
      <c r="I3313">
        <v>8.5873750078030303E-2</v>
      </c>
      <c r="J3313">
        <v>8.7210784412819098E-2</v>
      </c>
      <c r="K3313">
        <v>7.6235705492755601E-2</v>
      </c>
      <c r="L3313">
        <v>1776.0107295361199</v>
      </c>
      <c r="M3313">
        <v>36.602443799258999</v>
      </c>
      <c r="N3313">
        <v>48.855117578195802</v>
      </c>
      <c r="O3313">
        <v>48.377489928796798</v>
      </c>
      <c r="P3313">
        <v>-0.16824249255823301</v>
      </c>
      <c r="Q3313">
        <v>0.11053745407967799</v>
      </c>
      <c r="R3313">
        <v>0.98664691754220202</v>
      </c>
      <c r="S3313" t="s">
        <v>9598</v>
      </c>
      <c r="T3313" t="s">
        <v>12568</v>
      </c>
      <c r="U3313" t="s">
        <v>12568</v>
      </c>
      <c r="V3313" t="s">
        <v>12568</v>
      </c>
      <c r="W3313" t="s">
        <v>15841</v>
      </c>
      <c r="X3313">
        <v>3</v>
      </c>
      <c r="Y3313" t="s">
        <v>21974</v>
      </c>
      <c r="Z3313" t="s">
        <v>28183</v>
      </c>
      <c r="AA3313">
        <v>0.36677283399887028</v>
      </c>
      <c r="AB3313" t="str">
        <f>HYPERLINK("Melting_Curves/meltCurve_Q3B726_TWISTNB.pdf", "Melting_Curves/meltCurve_Q3B726_TWISTNB.pdf")</f>
        <v>Melting_Curves/meltCurve_Q3B726_TWISTNB.pdf</v>
      </c>
    </row>
    <row r="3314" spans="1:28" x14ac:dyDescent="0.25">
      <c r="A3314" t="s">
        <v>3318</v>
      </c>
      <c r="B3314">
        <v>0.99352677808782597</v>
      </c>
      <c r="C3314">
        <v>0.96490058954818503</v>
      </c>
      <c r="D3314">
        <v>0.97537476703560999</v>
      </c>
      <c r="E3314">
        <v>1.0424059180483201</v>
      </c>
      <c r="F3314">
        <v>0.82733462644942402</v>
      </c>
      <c r="G3314">
        <v>0.31233232244727099</v>
      </c>
      <c r="H3314">
        <v>0.107184912044893</v>
      </c>
      <c r="I3314">
        <v>7.8973858826833096E-2</v>
      </c>
      <c r="J3314">
        <v>4.3445579633276499E-2</v>
      </c>
      <c r="K3314">
        <v>2.6725931554678398E-2</v>
      </c>
      <c r="L3314">
        <v>1924.3658495736299</v>
      </c>
      <c r="M3314">
        <v>34.714439544245202</v>
      </c>
      <c r="N3314">
        <v>55.605230380570497</v>
      </c>
      <c r="O3314">
        <v>55.251173318049801</v>
      </c>
      <c r="P3314">
        <v>-0.149120184197582</v>
      </c>
      <c r="Q3314">
        <v>5.0650366031422499E-2</v>
      </c>
      <c r="R3314">
        <v>0.99601392344921602</v>
      </c>
      <c r="S3314" t="s">
        <v>9599</v>
      </c>
      <c r="T3314" t="s">
        <v>12568</v>
      </c>
      <c r="U3314" t="s">
        <v>12568</v>
      </c>
      <c r="V3314" t="s">
        <v>12568</v>
      </c>
      <c r="W3314" t="s">
        <v>15842</v>
      </c>
      <c r="X3314">
        <v>2</v>
      </c>
      <c r="Y3314" t="s">
        <v>21975</v>
      </c>
      <c r="Z3314" t="s">
        <v>28184</v>
      </c>
      <c r="AA3314">
        <v>0.54384605211384218</v>
      </c>
      <c r="AB3314" t="str">
        <f>HYPERLINK("Melting_Curves/meltCurve_Q3B7J2_GFOD2.pdf", "Melting_Curves/meltCurve_Q3B7J2_GFOD2.pdf")</f>
        <v>Melting_Curves/meltCurve_Q3B7J2_GFOD2.pdf</v>
      </c>
    </row>
    <row r="3315" spans="1:28" x14ac:dyDescent="0.25">
      <c r="A3315" t="s">
        <v>3319</v>
      </c>
      <c r="B3315">
        <v>0.99352677808782597</v>
      </c>
      <c r="C3315">
        <v>0.95968377879279398</v>
      </c>
      <c r="D3315">
        <v>0.79422817888489705</v>
      </c>
      <c r="E3315">
        <v>0.37538043176330099</v>
      </c>
      <c r="F3315">
        <v>0.38511404489385598</v>
      </c>
      <c r="G3315">
        <v>0.28462580955274802</v>
      </c>
      <c r="H3315">
        <v>0.23261999409748799</v>
      </c>
      <c r="I3315">
        <v>0.19480055615344599</v>
      </c>
      <c r="J3315">
        <v>0.17187584447282001</v>
      </c>
      <c r="K3315">
        <v>0.159916298288414</v>
      </c>
      <c r="L3315">
        <v>964.36839468617995</v>
      </c>
      <c r="M3315">
        <v>20.048960389959099</v>
      </c>
      <c r="N3315">
        <v>49.3691830861748</v>
      </c>
      <c r="O3315">
        <v>47.629798278294899</v>
      </c>
      <c r="P3315">
        <v>-8.4053213320005898E-2</v>
      </c>
      <c r="Q3315">
        <v>0.20129354306878799</v>
      </c>
      <c r="R3315">
        <v>0.98050297885851301</v>
      </c>
      <c r="S3315" t="s">
        <v>9600</v>
      </c>
      <c r="T3315" t="s">
        <v>12568</v>
      </c>
      <c r="U3315" t="s">
        <v>12568</v>
      </c>
      <c r="V3315" t="s">
        <v>12568</v>
      </c>
      <c r="W3315" t="s">
        <v>15843</v>
      </c>
      <c r="X3315">
        <v>4</v>
      </c>
      <c r="Y3315" t="s">
        <v>21976</v>
      </c>
      <c r="Z3315" t="s">
        <v>28185</v>
      </c>
      <c r="AA3315">
        <v>0.42823168458878658</v>
      </c>
      <c r="AB3315" t="str">
        <f>HYPERLINK("Melting_Curves/meltCurve_Q3B7T1_5_EDRF1.pdf", "Melting_Curves/meltCurve_Q3B7T1_5_EDRF1.pdf")</f>
        <v>Melting_Curves/meltCurve_Q3B7T1_5_EDRF1.pdf</v>
      </c>
    </row>
    <row r="3316" spans="1:28" x14ac:dyDescent="0.25">
      <c r="A3316" t="s">
        <v>3320</v>
      </c>
      <c r="B3316">
        <v>0.99352677808782597</v>
      </c>
      <c r="C3316">
        <v>0.97595513268129197</v>
      </c>
      <c r="D3316">
        <v>0.97415318769133896</v>
      </c>
      <c r="E3316">
        <v>0.88471513125331902</v>
      </c>
      <c r="F3316">
        <v>0.77537443494665803</v>
      </c>
      <c r="G3316">
        <v>0.67228710809166803</v>
      </c>
      <c r="H3316">
        <v>0.57194662280362596</v>
      </c>
      <c r="I3316">
        <v>0.55667386318703505</v>
      </c>
      <c r="J3316">
        <v>0.49091265049246702</v>
      </c>
      <c r="K3316">
        <v>0.44014549910956602</v>
      </c>
      <c r="L3316">
        <v>615.29956684687704</v>
      </c>
      <c r="M3316">
        <v>10.9504681196857</v>
      </c>
      <c r="N3316">
        <v>65.832644391016501</v>
      </c>
      <c r="O3316">
        <v>54.4129672536992</v>
      </c>
      <c r="P3316">
        <v>-3.0224680180824599E-2</v>
      </c>
      <c r="Q3316">
        <v>0.39945953012611801</v>
      </c>
      <c r="R3316">
        <v>0.99382562661365104</v>
      </c>
      <c r="S3316" t="s">
        <v>9601</v>
      </c>
      <c r="T3316" t="s">
        <v>12568</v>
      </c>
      <c r="U3316" t="s">
        <v>12568</v>
      </c>
      <c r="V3316" t="s">
        <v>12568</v>
      </c>
      <c r="W3316" t="s">
        <v>15844</v>
      </c>
      <c r="X3316">
        <v>2</v>
      </c>
      <c r="Y3316" t="s">
        <v>21977</v>
      </c>
      <c r="Z3316" t="s">
        <v>28186</v>
      </c>
      <c r="AA3316">
        <v>0.73563527756467306</v>
      </c>
      <c r="AB3316" t="str">
        <f>HYPERLINK("Melting_Curves/meltCurve_Q3B820_FAM161A.pdf", "Melting_Curves/meltCurve_Q3B820_FAM161A.pdf")</f>
        <v>Melting_Curves/meltCurve_Q3B820_FAM161A.pdf</v>
      </c>
    </row>
    <row r="3317" spans="1:28" x14ac:dyDescent="0.25">
      <c r="A3317" t="s">
        <v>3321</v>
      </c>
      <c r="B3317">
        <v>0.99352677808782597</v>
      </c>
      <c r="C3317">
        <v>1.0166724963915801</v>
      </c>
      <c r="D3317">
        <v>1.17365407347871</v>
      </c>
      <c r="E3317">
        <v>0.71984979153210005</v>
      </c>
      <c r="F3317">
        <v>0.58546249190028299</v>
      </c>
      <c r="G3317">
        <v>0.473877890054267</v>
      </c>
      <c r="H3317">
        <v>0.31720168214294597</v>
      </c>
      <c r="I3317">
        <v>0.30207524101000699</v>
      </c>
      <c r="J3317">
        <v>0.28176030292489201</v>
      </c>
      <c r="K3317">
        <v>0.38131895208490202</v>
      </c>
      <c r="L3317">
        <v>1261.2615724367699</v>
      </c>
      <c r="M3317">
        <v>24.353034021913601</v>
      </c>
      <c r="N3317">
        <v>54.190422266034197</v>
      </c>
      <c r="O3317">
        <v>51.445301424615103</v>
      </c>
      <c r="P3317">
        <v>-7.9299966312407599E-2</v>
      </c>
      <c r="Q3317">
        <v>0.32993149879276401</v>
      </c>
      <c r="R3317">
        <v>0.93783629491499099</v>
      </c>
      <c r="S3317" t="s">
        <v>9602</v>
      </c>
      <c r="T3317" t="s">
        <v>12568</v>
      </c>
      <c r="U3317" t="s">
        <v>12568</v>
      </c>
      <c r="V3317" t="s">
        <v>12568</v>
      </c>
      <c r="W3317" t="s">
        <v>15845</v>
      </c>
      <c r="X3317">
        <v>1</v>
      </c>
      <c r="Y3317" t="s">
        <v>21978</v>
      </c>
      <c r="Z3317" t="s">
        <v>28187</v>
      </c>
      <c r="AA3317">
        <v>0.59970580915135063</v>
      </c>
      <c r="AB3317" t="str">
        <f>HYPERLINK("Melting_Curves/meltCurve_Q3KP66_3_C1orf106.pdf", "Melting_Curves/meltCurve_Q3KP66_3_C1orf106.pdf")</f>
        <v>Melting_Curves/meltCurve_Q3KP66_3_C1orf106.pdf</v>
      </c>
    </row>
    <row r="3318" spans="1:28" x14ac:dyDescent="0.25">
      <c r="A3318" t="s">
        <v>3322</v>
      </c>
      <c r="B3318">
        <v>0.99352677808782597</v>
      </c>
      <c r="C3318">
        <v>0.96153221725049998</v>
      </c>
      <c r="D3318">
        <v>1.0569237962767899</v>
      </c>
      <c r="E3318">
        <v>0.92368480515571405</v>
      </c>
      <c r="F3318">
        <v>0.917248278594053</v>
      </c>
      <c r="G3318">
        <v>0.87904137506994395</v>
      </c>
      <c r="H3318">
        <v>0.84111942237978499</v>
      </c>
      <c r="I3318">
        <v>0.89789715995902597</v>
      </c>
      <c r="J3318">
        <v>0.91145229656904503</v>
      </c>
      <c r="K3318">
        <v>0.77153559195200105</v>
      </c>
      <c r="L3318">
        <v>1178.4644013092</v>
      </c>
      <c r="M3318">
        <v>22.841764859569601</v>
      </c>
      <c r="O3318">
        <v>51.201973377902597</v>
      </c>
      <c r="P3318">
        <v>-1.6079399115139299E-2</v>
      </c>
      <c r="Q3318">
        <v>0.85582881060153504</v>
      </c>
      <c r="R3318">
        <v>0.66380573689748901</v>
      </c>
      <c r="S3318" t="s">
        <v>9603</v>
      </c>
      <c r="T3318" t="s">
        <v>12568</v>
      </c>
      <c r="U3318" t="s">
        <v>12568</v>
      </c>
      <c r="V3318" t="s">
        <v>12568</v>
      </c>
      <c r="W3318" t="s">
        <v>15846</v>
      </c>
      <c r="X3318">
        <v>19</v>
      </c>
      <c r="Y3318" t="s">
        <v>21979</v>
      </c>
      <c r="Z3318" t="s">
        <v>28188</v>
      </c>
      <c r="AA3318">
        <v>0.91309844620459013</v>
      </c>
      <c r="AB3318" t="str">
        <f>HYPERLINK("Melting_Curves/meltCurve_Q3KQU3_2_MAP7D1.pdf", "Melting_Curves/meltCurve_Q3KQU3_2_MAP7D1.pdf")</f>
        <v>Melting_Curves/meltCurve_Q3KQU3_2_MAP7D1.pdf</v>
      </c>
    </row>
    <row r="3319" spans="1:28" x14ac:dyDescent="0.25">
      <c r="A3319" t="s">
        <v>3323</v>
      </c>
      <c r="B3319">
        <v>0.99352677808782597</v>
      </c>
      <c r="C3319">
        <v>0.95337483862934802</v>
      </c>
      <c r="D3319">
        <v>0.84585432128556404</v>
      </c>
      <c r="E3319">
        <v>0.33272686469526302</v>
      </c>
      <c r="F3319">
        <v>0.24643839135571499</v>
      </c>
      <c r="G3319">
        <v>0.148513234403084</v>
      </c>
      <c r="H3319">
        <v>0.12042261983750201</v>
      </c>
      <c r="I3319">
        <v>0.123736987197698</v>
      </c>
      <c r="J3319">
        <v>9.7149555641672505E-2</v>
      </c>
      <c r="K3319">
        <v>6.9381344120762106E-2</v>
      </c>
      <c r="L3319">
        <v>1280.39476255556</v>
      </c>
      <c r="M3319">
        <v>26.4772903250764</v>
      </c>
      <c r="N3319">
        <v>48.8281576154736</v>
      </c>
      <c r="O3319">
        <v>48.084913029183703</v>
      </c>
      <c r="P3319">
        <v>-0.12217741852722901</v>
      </c>
      <c r="Q3319">
        <v>0.11247321178832</v>
      </c>
      <c r="R3319">
        <v>0.99352694715850198</v>
      </c>
      <c r="S3319" t="s">
        <v>9604</v>
      </c>
      <c r="T3319" t="s">
        <v>12568</v>
      </c>
      <c r="U3319" t="s">
        <v>12568</v>
      </c>
      <c r="V3319" t="s">
        <v>12568</v>
      </c>
      <c r="W3319" t="s">
        <v>15847</v>
      </c>
      <c r="X3319">
        <v>7</v>
      </c>
      <c r="Y3319" t="s">
        <v>21980</v>
      </c>
      <c r="Z3319" t="s">
        <v>28189</v>
      </c>
      <c r="AA3319">
        <v>0.36669916858501178</v>
      </c>
      <c r="AB3319" t="str">
        <f>HYPERLINK("Melting_Curves/meltCurve_Q3KQV9_UAP1L1.pdf", "Melting_Curves/meltCurve_Q3KQV9_UAP1L1.pdf")</f>
        <v>Melting_Curves/meltCurve_Q3KQV9_UAP1L1.pdf</v>
      </c>
    </row>
    <row r="3320" spans="1:28" x14ac:dyDescent="0.25">
      <c r="A3320" t="s">
        <v>3324</v>
      </c>
      <c r="B3320">
        <v>0.99352677808782597</v>
      </c>
      <c r="C3320">
        <v>0.94831898675874404</v>
      </c>
      <c r="D3320">
        <v>1.0298957581810699</v>
      </c>
      <c r="E3320">
        <v>0.79650143198560097</v>
      </c>
      <c r="F3320">
        <v>0.71425162916636997</v>
      </c>
      <c r="G3320">
        <v>0.46353263411968398</v>
      </c>
      <c r="H3320">
        <v>0.167461580902838</v>
      </c>
      <c r="I3320">
        <v>0.121065240415558</v>
      </c>
      <c r="J3320">
        <v>9.6822708206921806E-2</v>
      </c>
      <c r="K3320">
        <v>8.7528074326126498E-2</v>
      </c>
      <c r="L3320">
        <v>893.26096276109297</v>
      </c>
      <c r="M3320">
        <v>16.0694646889952</v>
      </c>
      <c r="N3320">
        <v>55.805086534777999</v>
      </c>
      <c r="O3320">
        <v>54.748002623024703</v>
      </c>
      <c r="P3320">
        <v>-7.1156187219436506E-2</v>
      </c>
      <c r="Q3320">
        <v>3.0370001900708699E-2</v>
      </c>
      <c r="R3320">
        <v>0.98900924175802896</v>
      </c>
      <c r="S3320" t="s">
        <v>9605</v>
      </c>
      <c r="T3320" t="s">
        <v>12568</v>
      </c>
      <c r="U3320" t="s">
        <v>12568</v>
      </c>
      <c r="V3320" t="s">
        <v>12568</v>
      </c>
      <c r="W3320" t="s">
        <v>15848</v>
      </c>
      <c r="X3320">
        <v>4</v>
      </c>
      <c r="Y3320" t="s">
        <v>21981</v>
      </c>
      <c r="Z3320" t="s">
        <v>28190</v>
      </c>
      <c r="AA3320">
        <v>0.55083925271485124</v>
      </c>
      <c r="AB3320" t="str">
        <f>HYPERLINK("Melting_Curves/meltCurve_Q3KRA6_C2orf76.pdf", "Melting_Curves/meltCurve_Q3KRA6_C2orf76.pdf")</f>
        <v>Melting_Curves/meltCurve_Q3KRA6_C2orf76.pdf</v>
      </c>
    </row>
    <row r="3321" spans="1:28" x14ac:dyDescent="0.25">
      <c r="A3321" t="s">
        <v>3325</v>
      </c>
      <c r="B3321">
        <v>0.99352677808782597</v>
      </c>
      <c r="C3321">
        <v>0.85281663990765399</v>
      </c>
      <c r="D3321">
        <v>1.0273355446828201</v>
      </c>
      <c r="E3321">
        <v>0.70575609021986296</v>
      </c>
      <c r="F3321">
        <v>0.68014652310036405</v>
      </c>
      <c r="G3321">
        <v>0.57763618218787405</v>
      </c>
      <c r="H3321">
        <v>0.51857891617649399</v>
      </c>
      <c r="I3321">
        <v>0.53327837827117597</v>
      </c>
      <c r="J3321">
        <v>0.45383895299721499</v>
      </c>
      <c r="K3321">
        <v>0.27838386500281498</v>
      </c>
      <c r="L3321">
        <v>377.48671253211199</v>
      </c>
      <c r="M3321">
        <v>6.4379940755381702</v>
      </c>
      <c r="N3321">
        <v>61.681451116067798</v>
      </c>
      <c r="O3321">
        <v>53.744836884559298</v>
      </c>
      <c r="P3321">
        <v>-2.5932730419290499E-2</v>
      </c>
      <c r="Q3321">
        <v>0.136218675596391</v>
      </c>
      <c r="R3321">
        <v>0.89573807292054597</v>
      </c>
      <c r="S3321" t="s">
        <v>9606</v>
      </c>
      <c r="T3321" t="s">
        <v>12568</v>
      </c>
      <c r="U3321" t="s">
        <v>12568</v>
      </c>
      <c r="V3321" t="s">
        <v>12568</v>
      </c>
      <c r="W3321" t="s">
        <v>15849</v>
      </c>
      <c r="X3321">
        <v>8</v>
      </c>
      <c r="Y3321" t="s">
        <v>21982</v>
      </c>
      <c r="Z3321" t="s">
        <v>28191</v>
      </c>
      <c r="AA3321">
        <v>0.66192209118185308</v>
      </c>
      <c r="AB3321" t="str">
        <f>HYPERLINK("Melting_Curves/meltCurve_Q3KRA9_ALKBH6.pdf", "Melting_Curves/meltCurve_Q3KRA9_ALKBH6.pdf")</f>
        <v>Melting_Curves/meltCurve_Q3KRA9_ALKBH6.pdf</v>
      </c>
    </row>
    <row r="3322" spans="1:28" x14ac:dyDescent="0.25">
      <c r="A3322" t="s">
        <v>3326</v>
      </c>
      <c r="B3322">
        <v>0.99352677808782597</v>
      </c>
      <c r="C3322">
        <v>0.956687838459922</v>
      </c>
      <c r="D3322">
        <v>1.0622368085954199</v>
      </c>
      <c r="E3322">
        <v>1.13591136710256</v>
      </c>
      <c r="F3322">
        <v>0.91957842142452195</v>
      </c>
      <c r="G3322">
        <v>0.925381796066715</v>
      </c>
      <c r="H3322">
        <v>0.95846983949570796</v>
      </c>
      <c r="I3322">
        <v>0.99662018106870498</v>
      </c>
      <c r="J3322">
        <v>0.81140747895182497</v>
      </c>
      <c r="K3322">
        <v>0.94432955404574603</v>
      </c>
      <c r="L3322">
        <v>12943.336061215399</v>
      </c>
      <c r="M3322">
        <v>250</v>
      </c>
      <c r="O3322">
        <v>51.770048126615301</v>
      </c>
      <c r="P3322">
        <v>-8.94179050402579E-2</v>
      </c>
      <c r="Q3322">
        <v>0.92593331637263199</v>
      </c>
      <c r="R3322">
        <v>0.35510728042286099</v>
      </c>
      <c r="S3322" t="s">
        <v>9607</v>
      </c>
      <c r="T3322" t="s">
        <v>12568</v>
      </c>
      <c r="U3322" t="s">
        <v>12568</v>
      </c>
      <c r="V3322" t="s">
        <v>12568</v>
      </c>
      <c r="W3322" t="s">
        <v>15850</v>
      </c>
      <c r="X3322">
        <v>7</v>
      </c>
      <c r="Y3322" t="s">
        <v>21983</v>
      </c>
      <c r="Z3322" t="s">
        <v>28192</v>
      </c>
      <c r="AA3322">
        <v>0.95500713162353246</v>
      </c>
      <c r="AB3322" t="str">
        <f>HYPERLINK("Melting_Curves/meltCurve_Q3L8U1_2_CHD9.pdf", "Melting_Curves/meltCurve_Q3L8U1_2_CHD9.pdf")</f>
        <v>Melting_Curves/meltCurve_Q3L8U1_2_CHD9.pdf</v>
      </c>
    </row>
    <row r="3323" spans="1:28" x14ac:dyDescent="0.25">
      <c r="A3323" t="s">
        <v>3327</v>
      </c>
      <c r="B3323">
        <v>0.99352677808782597</v>
      </c>
      <c r="C3323">
        <v>0.94924704577126795</v>
      </c>
      <c r="D3323">
        <v>0.84211429342557897</v>
      </c>
      <c r="E3323">
        <v>0.42244427853084499</v>
      </c>
      <c r="F3323">
        <v>0.31384998558219801</v>
      </c>
      <c r="G3323">
        <v>0.19128085048379501</v>
      </c>
      <c r="H3323">
        <v>9.6611402666230195E-2</v>
      </c>
      <c r="I3323">
        <v>8.9748076168610205E-2</v>
      </c>
      <c r="J3323">
        <v>7.4692382592460804E-2</v>
      </c>
      <c r="K3323">
        <v>5.94024383877211E-2</v>
      </c>
      <c r="L3323">
        <v>898.37335256632696</v>
      </c>
      <c r="M3323">
        <v>18.2089833008955</v>
      </c>
      <c r="N3323">
        <v>49.7904348517675</v>
      </c>
      <c r="O3323">
        <v>48.753322326486703</v>
      </c>
      <c r="P3323">
        <v>-8.6240496013355303E-2</v>
      </c>
      <c r="Q3323">
        <v>7.6431140642277698E-2</v>
      </c>
      <c r="R3323">
        <v>0.99355151056760704</v>
      </c>
      <c r="S3323" t="s">
        <v>9608</v>
      </c>
      <c r="T3323" t="s">
        <v>12568</v>
      </c>
      <c r="U3323" t="s">
        <v>12568</v>
      </c>
      <c r="V3323" t="s">
        <v>12568</v>
      </c>
      <c r="W3323" t="s">
        <v>15851</v>
      </c>
      <c r="X3323">
        <v>19</v>
      </c>
      <c r="Y3323" t="s">
        <v>21984</v>
      </c>
      <c r="Z3323" t="s">
        <v>28193</v>
      </c>
      <c r="AA3323">
        <v>0.37941713447708392</v>
      </c>
      <c r="AB3323" t="str">
        <f>HYPERLINK("Melting_Curves/meltCurve_Q3LXA3_DAK.pdf", "Melting_Curves/meltCurve_Q3LXA3_DAK.pdf")</f>
        <v>Melting_Curves/meltCurve_Q3LXA3_DAK.pdf</v>
      </c>
    </row>
    <row r="3324" spans="1:28" x14ac:dyDescent="0.25">
      <c r="A3324" t="s">
        <v>3328</v>
      </c>
      <c r="B3324">
        <v>0.99352677808782597</v>
      </c>
      <c r="C3324">
        <v>1.0880819239408599</v>
      </c>
      <c r="D3324">
        <v>1.0110392927481999</v>
      </c>
      <c r="E3324">
        <v>1.00937488285001</v>
      </c>
      <c r="F3324">
        <v>0.88959697766463497</v>
      </c>
      <c r="G3324">
        <v>0.66552141218507299</v>
      </c>
      <c r="H3324">
        <v>0.34716044632961401</v>
      </c>
      <c r="I3324">
        <v>0.21496017026994901</v>
      </c>
      <c r="J3324">
        <v>0.17487451291657699</v>
      </c>
      <c r="K3324">
        <v>0.12224904802084</v>
      </c>
      <c r="L3324">
        <v>1288.11539095393</v>
      </c>
      <c r="M3324">
        <v>22.123673630139599</v>
      </c>
      <c r="N3324">
        <v>58.902160631422497</v>
      </c>
      <c r="O3324">
        <v>57.753956120981996</v>
      </c>
      <c r="P3324">
        <v>-8.4993354716987296E-2</v>
      </c>
      <c r="Q3324">
        <v>0.11251714363625499</v>
      </c>
      <c r="R3324">
        <v>0.99297564275969596</v>
      </c>
      <c r="S3324" t="s">
        <v>9609</v>
      </c>
      <c r="T3324" t="s">
        <v>12568</v>
      </c>
      <c r="U3324" t="s">
        <v>12568</v>
      </c>
      <c r="V3324" t="s">
        <v>12568</v>
      </c>
      <c r="W3324" t="s">
        <v>15852</v>
      </c>
      <c r="X3324">
        <v>5</v>
      </c>
      <c r="Y3324" t="s">
        <v>21985</v>
      </c>
      <c r="Z3324" t="s">
        <v>28194</v>
      </c>
      <c r="AA3324">
        <v>0.66049853777198986</v>
      </c>
      <c r="AB3324" t="str">
        <f>HYPERLINK("Melting_Curves/meltCurve_Q3MHD2_LSM12.pdf", "Melting_Curves/meltCurve_Q3MHD2_LSM12.pdf")</f>
        <v>Melting_Curves/meltCurve_Q3MHD2_LSM12.pdf</v>
      </c>
    </row>
    <row r="3325" spans="1:28" x14ac:dyDescent="0.25">
      <c r="A3325" t="s">
        <v>3329</v>
      </c>
      <c r="B3325">
        <v>0.99352677808782597</v>
      </c>
      <c r="C3325">
        <v>1.02370846987842</v>
      </c>
      <c r="D3325">
        <v>0.91983011834006201</v>
      </c>
      <c r="E3325">
        <v>0.67916530531881203</v>
      </c>
      <c r="F3325">
        <v>0.56385672307460599</v>
      </c>
      <c r="G3325">
        <v>0.28787352503724101</v>
      </c>
      <c r="H3325">
        <v>0.178911619516676</v>
      </c>
      <c r="I3325">
        <v>0.18959474167222401</v>
      </c>
      <c r="J3325">
        <v>0.15406790770831799</v>
      </c>
      <c r="K3325">
        <v>0.124679663875814</v>
      </c>
      <c r="L3325">
        <v>855.32735869019803</v>
      </c>
      <c r="M3325">
        <v>16.335022447276099</v>
      </c>
      <c r="N3325">
        <v>53.271717785961499</v>
      </c>
      <c r="O3325">
        <v>51.595695647589899</v>
      </c>
      <c r="P3325">
        <v>-6.9516856187224405E-2</v>
      </c>
      <c r="Q3325">
        <v>0.121761537417443</v>
      </c>
      <c r="R3325">
        <v>0.99366777989724198</v>
      </c>
      <c r="S3325" t="s">
        <v>9610</v>
      </c>
      <c r="T3325" t="s">
        <v>12568</v>
      </c>
      <c r="U3325" t="s">
        <v>12568</v>
      </c>
      <c r="V3325" t="s">
        <v>12568</v>
      </c>
      <c r="W3325" t="s">
        <v>15853</v>
      </c>
      <c r="X3325">
        <v>8</v>
      </c>
      <c r="Y3325" t="s">
        <v>21986</v>
      </c>
      <c r="Z3325" t="s">
        <v>28195</v>
      </c>
      <c r="AA3325">
        <v>0.50065725102454439</v>
      </c>
      <c r="AB3325" t="str">
        <f>HYPERLINK("Melting_Curves/meltCurve_Q3MIT2_PUS10.pdf", "Melting_Curves/meltCurve_Q3MIT2_PUS10.pdf")</f>
        <v>Melting_Curves/meltCurve_Q3MIT2_PUS10.pdf</v>
      </c>
    </row>
    <row r="3326" spans="1:28" x14ac:dyDescent="0.25">
      <c r="A3326" t="s">
        <v>3330</v>
      </c>
      <c r="B3326">
        <v>0.99352677808782597</v>
      </c>
      <c r="C3326">
        <v>1.0520338719965201</v>
      </c>
      <c r="D3326">
        <v>1.2203695864039901</v>
      </c>
      <c r="E3326">
        <v>1.1147067269572</v>
      </c>
      <c r="F3326">
        <v>1.26518688940888</v>
      </c>
      <c r="G3326">
        <v>1.2491286620828399</v>
      </c>
      <c r="H3326">
        <v>1.02802417157203</v>
      </c>
      <c r="I3326">
        <v>1.13033798358754</v>
      </c>
      <c r="J3326">
        <v>1.26847515279583</v>
      </c>
      <c r="K3326">
        <v>0.82512181904176096</v>
      </c>
      <c r="L3326">
        <v>10746.372712837399</v>
      </c>
      <c r="M3326">
        <v>250</v>
      </c>
      <c r="O3326">
        <v>42.9827400228206</v>
      </c>
      <c r="P3326">
        <v>0.20018045798324099</v>
      </c>
      <c r="Q3326">
        <v>1.13766887330418</v>
      </c>
      <c r="R3326">
        <v>0.122682502245508</v>
      </c>
      <c r="S3326" t="s">
        <v>9611</v>
      </c>
      <c r="T3326" t="s">
        <v>12568</v>
      </c>
      <c r="U3326" t="s">
        <v>12568</v>
      </c>
      <c r="V3326" t="s">
        <v>12568</v>
      </c>
      <c r="W3326" t="s">
        <v>15854</v>
      </c>
      <c r="X3326">
        <v>2</v>
      </c>
      <c r="Y3326" t="s">
        <v>21987</v>
      </c>
      <c r="Z3326" t="s">
        <v>28196</v>
      </c>
      <c r="AA3326">
        <v>1.12395818232278</v>
      </c>
      <c r="AB3326" t="str">
        <f>HYPERLINK("Melting_Curves/meltCurve_Q3T8J9_3_GON4L.pdf", "Melting_Curves/meltCurve_Q3T8J9_3_GON4L.pdf")</f>
        <v>Melting_Curves/meltCurve_Q3T8J9_3_GON4L.pdf</v>
      </c>
    </row>
    <row r="3327" spans="1:28" x14ac:dyDescent="0.25">
      <c r="A3327" t="s">
        <v>3331</v>
      </c>
      <c r="B3327">
        <v>0.99352677808782597</v>
      </c>
      <c r="C3327">
        <v>0.95332972928874105</v>
      </c>
      <c r="D3327">
        <v>0.86906024639800905</v>
      </c>
      <c r="E3327">
        <v>0.43063957433699201</v>
      </c>
      <c r="F3327">
        <v>0.34696183884734599</v>
      </c>
      <c r="G3327">
        <v>0.246912427932721</v>
      </c>
      <c r="H3327">
        <v>0.171009602696507</v>
      </c>
      <c r="I3327">
        <v>0.17187088099620501</v>
      </c>
      <c r="J3327">
        <v>0.15105002385761701</v>
      </c>
      <c r="K3327">
        <v>0.12973435557787499</v>
      </c>
      <c r="L3327">
        <v>1023.86001371773</v>
      </c>
      <c r="M3327">
        <v>20.909921999652401</v>
      </c>
      <c r="N3327">
        <v>49.899756153580398</v>
      </c>
      <c r="O3327">
        <v>48.524029330656603</v>
      </c>
      <c r="P3327">
        <v>-9.02792119941251E-2</v>
      </c>
      <c r="Q3327">
        <v>0.16200725725694501</v>
      </c>
      <c r="R3327">
        <v>0.99055269056673401</v>
      </c>
      <c r="S3327" t="s">
        <v>9612</v>
      </c>
      <c r="T3327" t="s">
        <v>12568</v>
      </c>
      <c r="U3327" t="s">
        <v>12568</v>
      </c>
      <c r="V3327" t="s">
        <v>12568</v>
      </c>
      <c r="W3327" t="s">
        <v>15855</v>
      </c>
      <c r="X3327">
        <v>28</v>
      </c>
      <c r="Y3327" t="s">
        <v>21988</v>
      </c>
      <c r="Z3327" t="s">
        <v>28197</v>
      </c>
      <c r="AA3327">
        <v>0.42315772681120822</v>
      </c>
      <c r="AB3327" t="str">
        <f>HYPERLINK("Melting_Curves/meltCurve_Q3V6T2_2_CCDC88A.pdf", "Melting_Curves/meltCurve_Q3V6T2_2_CCDC88A.pdf")</f>
        <v>Melting_Curves/meltCurve_Q3V6T2_2_CCDC88A.pdf</v>
      </c>
    </row>
    <row r="3328" spans="1:28" x14ac:dyDescent="0.25">
      <c r="A3328" t="s">
        <v>3332</v>
      </c>
      <c r="B3328">
        <v>0.99352677808782597</v>
      </c>
      <c r="C3328">
        <v>1.09089200039689</v>
      </c>
      <c r="D3328">
        <v>0.89170523316994899</v>
      </c>
      <c r="E3328">
        <v>0.57668410836834205</v>
      </c>
      <c r="F3328">
        <v>0.56178830514705103</v>
      </c>
      <c r="G3328">
        <v>0.370830417247899</v>
      </c>
      <c r="H3328">
        <v>0.320876441356722</v>
      </c>
      <c r="I3328">
        <v>0.33196525442163</v>
      </c>
      <c r="J3328">
        <v>0.270891081654758</v>
      </c>
      <c r="K3328">
        <v>0.23386861838686099</v>
      </c>
      <c r="L3328">
        <v>869.38337106730899</v>
      </c>
      <c r="M3328">
        <v>17.239440960867402</v>
      </c>
      <c r="N3328">
        <v>52.902601429380603</v>
      </c>
      <c r="O3328">
        <v>49.7660166687631</v>
      </c>
      <c r="P3328">
        <v>-6.2649266719860694E-2</v>
      </c>
      <c r="Q3328">
        <v>0.27663044381546897</v>
      </c>
      <c r="R3328">
        <v>0.96516527318113299</v>
      </c>
      <c r="S3328" t="s">
        <v>9613</v>
      </c>
      <c r="T3328" t="s">
        <v>12568</v>
      </c>
      <c r="U3328" t="s">
        <v>12568</v>
      </c>
      <c r="V3328" t="s">
        <v>12568</v>
      </c>
      <c r="W3328" t="s">
        <v>15856</v>
      </c>
      <c r="X3328">
        <v>28</v>
      </c>
      <c r="Y3328" t="s">
        <v>21988</v>
      </c>
      <c r="Z3328" t="s">
        <v>28198</v>
      </c>
      <c r="AA3328">
        <v>0.5414064594893867</v>
      </c>
      <c r="AB3328" t="str">
        <f>HYPERLINK("Melting_Curves/meltCurve_Q3V6T2_4_CCDC88A.pdf", "Melting_Curves/meltCurve_Q3V6T2_4_CCDC88A.pdf")</f>
        <v>Melting_Curves/meltCurve_Q3V6T2_4_CCDC88A.pdf</v>
      </c>
    </row>
    <row r="3329" spans="1:28" x14ac:dyDescent="0.25">
      <c r="A3329" t="s">
        <v>3333</v>
      </c>
      <c r="B3329">
        <v>0.99352677808782597</v>
      </c>
      <c r="C3329">
        <v>0.96449619399877196</v>
      </c>
      <c r="D3329">
        <v>0.93935278029205005</v>
      </c>
      <c r="E3329">
        <v>1.0644045770716299</v>
      </c>
      <c r="F3329">
        <v>0.98745109037385503</v>
      </c>
      <c r="G3329">
        <v>0.71400817958680196</v>
      </c>
      <c r="H3329">
        <v>0.46992551619630002</v>
      </c>
      <c r="I3329">
        <v>0.44953537885251399</v>
      </c>
      <c r="J3329">
        <v>0.42254078123438998</v>
      </c>
      <c r="K3329">
        <v>0.34656587808707601</v>
      </c>
      <c r="L3329">
        <v>2021.3441048552399</v>
      </c>
      <c r="M3329">
        <v>35.291008806162999</v>
      </c>
      <c r="N3329">
        <v>60.021658969271101</v>
      </c>
      <c r="O3329">
        <v>57.093485833868499</v>
      </c>
      <c r="P3329">
        <v>-9.2647490231762303E-2</v>
      </c>
      <c r="Q3329">
        <v>0.40046483550898399</v>
      </c>
      <c r="R3329">
        <v>0.97992114384918005</v>
      </c>
      <c r="S3329" t="s">
        <v>9614</v>
      </c>
      <c r="T3329" t="s">
        <v>12568</v>
      </c>
      <c r="U3329" t="s">
        <v>12568</v>
      </c>
      <c r="V3329" t="s">
        <v>12568</v>
      </c>
      <c r="W3329" t="s">
        <v>15857</v>
      </c>
      <c r="X3329">
        <v>17</v>
      </c>
      <c r="Y3329" t="s">
        <v>21989</v>
      </c>
      <c r="Z3329" t="s">
        <v>28199</v>
      </c>
      <c r="AA3329">
        <v>0.74869895686321375</v>
      </c>
      <c r="AB3329" t="str">
        <f>HYPERLINK("Melting_Curves/meltCurve_Q3YEC7_RABL6.pdf", "Melting_Curves/meltCurve_Q3YEC7_RABL6.pdf")</f>
        <v>Melting_Curves/meltCurve_Q3YEC7_RABL6.pdf</v>
      </c>
    </row>
    <row r="3330" spans="1:28" x14ac:dyDescent="0.25">
      <c r="A3330" t="s">
        <v>3334</v>
      </c>
      <c r="B3330">
        <v>0.99352677808782597</v>
      </c>
      <c r="C3330">
        <v>0.88713579998976899</v>
      </c>
      <c r="D3330">
        <v>0.97940583423763605</v>
      </c>
      <c r="E3330">
        <v>1.04674288655794</v>
      </c>
      <c r="F3330">
        <v>0.94882341032682205</v>
      </c>
      <c r="G3330">
        <v>0.94172731747924399</v>
      </c>
      <c r="H3330">
        <v>0.991017507789966</v>
      </c>
      <c r="I3330">
        <v>1.1579257096178499</v>
      </c>
      <c r="J3330">
        <v>1.0568861822515501</v>
      </c>
      <c r="K3330">
        <v>0.94549741985076696</v>
      </c>
      <c r="L3330">
        <v>15000</v>
      </c>
      <c r="M3330">
        <v>241.34522213045301</v>
      </c>
      <c r="O3330">
        <v>62.147379518083902</v>
      </c>
      <c r="P3330">
        <v>5.1831604057819801E-2</v>
      </c>
      <c r="Q3330">
        <v>1.05338738715712</v>
      </c>
      <c r="R3330">
        <v>0.15815454386123601</v>
      </c>
      <c r="S3330" t="s">
        <v>9615</v>
      </c>
      <c r="T3330" t="s">
        <v>12568</v>
      </c>
      <c r="U3330" t="s">
        <v>12568</v>
      </c>
      <c r="V3330" t="s">
        <v>12568</v>
      </c>
      <c r="W3330" t="s">
        <v>15858</v>
      </c>
      <c r="X3330">
        <v>2</v>
      </c>
      <c r="Y3330" t="s">
        <v>21990</v>
      </c>
      <c r="Z3330" t="s">
        <v>28200</v>
      </c>
      <c r="AA3330">
        <v>1.0139605426925471</v>
      </c>
      <c r="AB3330" t="str">
        <f>HYPERLINK("Melting_Curves/meltCurve_Q3ZCQ8_TIMM50.pdf", "Melting_Curves/meltCurve_Q3ZCQ8_TIMM50.pdf")</f>
        <v>Melting_Curves/meltCurve_Q3ZCQ8_TIMM50.pdf</v>
      </c>
    </row>
    <row r="3331" spans="1:28" x14ac:dyDescent="0.25">
      <c r="A3331" t="s">
        <v>3335</v>
      </c>
      <c r="B3331">
        <v>0.99352677808782597</v>
      </c>
      <c r="C3331">
        <v>0.94526063058740295</v>
      </c>
      <c r="D3331">
        <v>0.97912533449999195</v>
      </c>
      <c r="E3331">
        <v>0.67945578860672795</v>
      </c>
      <c r="F3331">
        <v>0.575581551341248</v>
      </c>
      <c r="G3331">
        <v>0.27004343830882699</v>
      </c>
      <c r="H3331">
        <v>0.13480644383478399</v>
      </c>
      <c r="I3331">
        <v>0.109774428979657</v>
      </c>
      <c r="J3331">
        <v>8.7099020247205894E-2</v>
      </c>
      <c r="K3331">
        <v>7.7763928453150902E-2</v>
      </c>
      <c r="L3331">
        <v>857.81901632279903</v>
      </c>
      <c r="M3331">
        <v>16.185494242250002</v>
      </c>
      <c r="N3331">
        <v>53.360311057385204</v>
      </c>
      <c r="O3331">
        <v>52.210015068455299</v>
      </c>
      <c r="P3331">
        <v>-7.3487536001964102E-2</v>
      </c>
      <c r="Q3331">
        <v>5.1867624216337102E-2</v>
      </c>
      <c r="R3331">
        <v>0.99233109123079999</v>
      </c>
      <c r="S3331" t="s">
        <v>9616</v>
      </c>
      <c r="T3331" t="s">
        <v>12568</v>
      </c>
      <c r="U3331" t="s">
        <v>12568</v>
      </c>
      <c r="V3331" t="s">
        <v>12568</v>
      </c>
      <c r="W3331" t="s">
        <v>15859</v>
      </c>
      <c r="X3331">
        <v>6</v>
      </c>
      <c r="Y3331" t="s">
        <v>21991</v>
      </c>
      <c r="Z3331" t="s">
        <v>28201</v>
      </c>
      <c r="AA3331">
        <v>0.48099121293380681</v>
      </c>
      <c r="AB3331" t="str">
        <f>HYPERLINK("Melting_Curves/meltCurve_Q3ZCW2_LGALSL.pdf", "Melting_Curves/meltCurve_Q3ZCW2_LGALSL.pdf")</f>
        <v>Melting_Curves/meltCurve_Q3ZCW2_LGALSL.pdf</v>
      </c>
    </row>
    <row r="3332" spans="1:28" x14ac:dyDescent="0.25">
      <c r="A3332" t="s">
        <v>3336</v>
      </c>
      <c r="B3332">
        <v>0.99352677808782597</v>
      </c>
      <c r="C3332">
        <v>0.62693292177059101</v>
      </c>
      <c r="D3332">
        <v>0.452781549374627</v>
      </c>
      <c r="E3332">
        <v>0.28543888659820499</v>
      </c>
      <c r="F3332">
        <v>0.320814026029349</v>
      </c>
      <c r="G3332">
        <v>0.13996900789116001</v>
      </c>
      <c r="H3332">
        <v>9.0206598452592907E-2</v>
      </c>
      <c r="I3332">
        <v>0.10239121272933099</v>
      </c>
      <c r="J3332">
        <v>5.7007608160883801E-2</v>
      </c>
      <c r="K3332">
        <v>6.6178890963537698E-2</v>
      </c>
      <c r="L3332">
        <v>579.89378421471201</v>
      </c>
      <c r="M3332">
        <v>12.7699186750827</v>
      </c>
      <c r="N3332">
        <v>45.998868826745102</v>
      </c>
      <c r="O3332">
        <v>44.3405003777535</v>
      </c>
      <c r="P3332">
        <v>-6.6590306016851203E-2</v>
      </c>
      <c r="Q3332">
        <v>7.5298727822588798E-2</v>
      </c>
      <c r="R3332">
        <v>0.95021155345489094</v>
      </c>
      <c r="S3332" t="s">
        <v>9617</v>
      </c>
      <c r="T3332" t="s">
        <v>12568</v>
      </c>
      <c r="U3332" t="s">
        <v>12568</v>
      </c>
      <c r="V3332" t="s">
        <v>12568</v>
      </c>
      <c r="W3332" t="s">
        <v>15860</v>
      </c>
      <c r="X3332">
        <v>2</v>
      </c>
      <c r="Y3332" t="s">
        <v>21992</v>
      </c>
      <c r="Z3332" t="s">
        <v>28202</v>
      </c>
      <c r="AA3332">
        <v>0.28152190594257681</v>
      </c>
      <c r="AB3332" t="str">
        <f>HYPERLINK("Melting_Curves/meltCurve_Q460N5_4_PARP14.pdf", "Melting_Curves/meltCurve_Q460N5_4_PARP14.pdf")</f>
        <v>Melting_Curves/meltCurve_Q460N5_4_PARP14.pdf</v>
      </c>
    </row>
    <row r="3333" spans="1:28" x14ac:dyDescent="0.25">
      <c r="A3333" t="s">
        <v>3337</v>
      </c>
      <c r="B3333">
        <v>0.99352677808782597</v>
      </c>
      <c r="C3333">
        <v>0.91502963307768104</v>
      </c>
      <c r="D3333">
        <v>0.88818299744933804</v>
      </c>
      <c r="E3333">
        <v>0.71988794178825299</v>
      </c>
      <c r="F3333">
        <v>0.60496738070968004</v>
      </c>
      <c r="G3333">
        <v>0.56482056758514299</v>
      </c>
      <c r="H3333">
        <v>0.47267736003866501</v>
      </c>
      <c r="I3333">
        <v>0.53645247352793002</v>
      </c>
      <c r="J3333">
        <v>0.54477684554667505</v>
      </c>
      <c r="K3333">
        <v>0.41594042643208701</v>
      </c>
      <c r="L3333">
        <v>689.73651247051498</v>
      </c>
      <c r="M3333">
        <v>13.9305683873852</v>
      </c>
      <c r="N3333">
        <v>62.866248320193499</v>
      </c>
      <c r="O3333">
        <v>48.525617804192798</v>
      </c>
      <c r="P3333">
        <v>-3.7750881881108998E-2</v>
      </c>
      <c r="Q3333">
        <v>0.47406661154188501</v>
      </c>
      <c r="R3333">
        <v>0.96440759996927095</v>
      </c>
      <c r="S3333" t="s">
        <v>9618</v>
      </c>
      <c r="T3333" t="s">
        <v>12568</v>
      </c>
      <c r="U3333" t="s">
        <v>12568</v>
      </c>
      <c r="V3333" t="s">
        <v>12568</v>
      </c>
      <c r="W3333" t="s">
        <v>15861</v>
      </c>
      <c r="X3333">
        <v>2</v>
      </c>
      <c r="Y3333" t="s">
        <v>21993</v>
      </c>
      <c r="Z3333" t="s">
        <v>28203</v>
      </c>
      <c r="AA3333">
        <v>0.65538598565830297</v>
      </c>
      <c r="AB3333" t="str">
        <f>HYPERLINK("Melting_Curves/meltCurve_Q49AH0_2_CDNF.pdf", "Melting_Curves/meltCurve_Q49AH0_2_CDNF.pdf")</f>
        <v>Melting_Curves/meltCurve_Q49AH0_2_CDNF.pdf</v>
      </c>
    </row>
    <row r="3334" spans="1:28" x14ac:dyDescent="0.25">
      <c r="A3334" t="s">
        <v>3338</v>
      </c>
      <c r="B3334">
        <v>0.99352677808782597</v>
      </c>
      <c r="C3334">
        <v>0.970826911026474</v>
      </c>
      <c r="D3334">
        <v>0.95077186098184796</v>
      </c>
      <c r="E3334">
        <v>0.44707438368716501</v>
      </c>
      <c r="F3334">
        <v>0.38911773089322399</v>
      </c>
      <c r="G3334">
        <v>0.23946077364665699</v>
      </c>
      <c r="H3334">
        <v>0.15783688470319099</v>
      </c>
      <c r="I3334">
        <v>0.13455929826867699</v>
      </c>
      <c r="J3334">
        <v>0.11825566437502801</v>
      </c>
      <c r="K3334">
        <v>8.6899297436125594E-2</v>
      </c>
      <c r="L3334">
        <v>1016.49066864956</v>
      </c>
      <c r="M3334">
        <v>20.401170122359801</v>
      </c>
      <c r="N3334">
        <v>50.562639507220503</v>
      </c>
      <c r="O3334">
        <v>49.353823036050599</v>
      </c>
      <c r="P3334">
        <v>-9.0045006137583497E-2</v>
      </c>
      <c r="Q3334">
        <v>0.12869127526472601</v>
      </c>
      <c r="R3334">
        <v>0.97971087534169699</v>
      </c>
      <c r="S3334" t="s">
        <v>9619</v>
      </c>
      <c r="T3334" t="s">
        <v>12568</v>
      </c>
      <c r="U3334" t="s">
        <v>12568</v>
      </c>
      <c r="V3334" t="s">
        <v>12568</v>
      </c>
      <c r="W3334" t="s">
        <v>15862</v>
      </c>
      <c r="X3334">
        <v>6</v>
      </c>
      <c r="Y3334" t="s">
        <v>21994</v>
      </c>
      <c r="Z3334" t="s">
        <v>28204</v>
      </c>
      <c r="AA3334">
        <v>0.4257214151324914</v>
      </c>
      <c r="AB3334" t="str">
        <f>HYPERLINK("Melting_Curves/meltCurve_Q49AR2_C5orf22.pdf", "Melting_Curves/meltCurve_Q49AR2_C5orf22.pdf")</f>
        <v>Melting_Curves/meltCurve_Q49AR2_C5orf22.pdf</v>
      </c>
    </row>
    <row r="3335" spans="1:28" x14ac:dyDescent="0.25">
      <c r="A3335" t="s">
        <v>3339</v>
      </c>
      <c r="B3335">
        <v>0.99352677808782597</v>
      </c>
      <c r="C3335">
        <v>0.98461526646280095</v>
      </c>
      <c r="D3335">
        <v>0.97829486583646097</v>
      </c>
      <c r="E3335">
        <v>0.90986429461496598</v>
      </c>
      <c r="F3335">
        <v>0.82708325867802501</v>
      </c>
      <c r="G3335">
        <v>0.79784345304128301</v>
      </c>
      <c r="H3335">
        <v>0.63083939196885797</v>
      </c>
      <c r="I3335">
        <v>0.70436543984906097</v>
      </c>
      <c r="J3335">
        <v>0.69615135030317199</v>
      </c>
      <c r="K3335">
        <v>0.61398177678894605</v>
      </c>
      <c r="L3335">
        <v>717.62191450760599</v>
      </c>
      <c r="M3335">
        <v>13.2166699204324</v>
      </c>
      <c r="O3335">
        <v>53.098847276010197</v>
      </c>
      <c r="P3335">
        <v>-2.31547840134513E-2</v>
      </c>
      <c r="Q3335">
        <v>0.627958116191351</v>
      </c>
      <c r="R3335">
        <v>0.94784607487627504</v>
      </c>
      <c r="S3335" t="s">
        <v>9620</v>
      </c>
      <c r="T3335" t="s">
        <v>12568</v>
      </c>
      <c r="U3335" t="s">
        <v>12568</v>
      </c>
      <c r="V3335" t="s">
        <v>12568</v>
      </c>
      <c r="W3335" t="s">
        <v>15863</v>
      </c>
      <c r="X3335">
        <v>6</v>
      </c>
      <c r="Y3335" t="s">
        <v>21995</v>
      </c>
      <c r="Z3335" t="s">
        <v>28205</v>
      </c>
      <c r="AA3335">
        <v>0.81388254538486771</v>
      </c>
      <c r="AB3335" t="str">
        <f>HYPERLINK("Melting_Curves/meltCurve_Q49B96_COX19.pdf", "Melting_Curves/meltCurve_Q49B96_COX19.pdf")</f>
        <v>Melting_Curves/meltCurve_Q49B96_COX19.pdf</v>
      </c>
    </row>
    <row r="3336" spans="1:28" x14ac:dyDescent="0.25">
      <c r="A3336" t="s">
        <v>3340</v>
      </c>
      <c r="B3336">
        <v>0.99352677808782597</v>
      </c>
      <c r="C3336">
        <v>0.986134512513552</v>
      </c>
      <c r="D3336">
        <v>0.87814980484744198</v>
      </c>
      <c r="E3336">
        <v>0.72919399396859097</v>
      </c>
      <c r="F3336">
        <v>0.58812194860530898</v>
      </c>
      <c r="G3336">
        <v>0.44048789502644198</v>
      </c>
      <c r="H3336">
        <v>0.13363340884796299</v>
      </c>
      <c r="I3336">
        <v>0.107517357917906</v>
      </c>
      <c r="J3336">
        <v>8.8444797564295005E-2</v>
      </c>
      <c r="K3336">
        <v>6.5855741779369703E-2</v>
      </c>
      <c r="L3336">
        <v>686.29561267705003</v>
      </c>
      <c r="M3336">
        <v>12.613453641644</v>
      </c>
      <c r="N3336">
        <v>54.409809653504198</v>
      </c>
      <c r="O3336">
        <v>53.096552633072598</v>
      </c>
      <c r="P3336">
        <v>-5.9401030064000999E-2</v>
      </c>
      <c r="Q3336">
        <v>0</v>
      </c>
      <c r="R3336">
        <v>0.98957418330721403</v>
      </c>
      <c r="S3336" t="s">
        <v>9621</v>
      </c>
      <c r="T3336" t="s">
        <v>12568</v>
      </c>
      <c r="U3336" t="s">
        <v>12568</v>
      </c>
      <c r="V3336" t="s">
        <v>12568</v>
      </c>
      <c r="W3336" t="s">
        <v>15864</v>
      </c>
      <c r="X3336">
        <v>10</v>
      </c>
      <c r="Y3336" t="s">
        <v>21996</v>
      </c>
      <c r="Z3336" t="s">
        <v>28206</v>
      </c>
      <c r="AA3336">
        <v>0.50432925709180776</v>
      </c>
      <c r="AB3336" t="str">
        <f>HYPERLINK("Melting_Curves/meltCurve_Q4G0F5_VPS26B.pdf", "Melting_Curves/meltCurve_Q4G0F5_VPS26B.pdf")</f>
        <v>Melting_Curves/meltCurve_Q4G0F5_VPS26B.pdf</v>
      </c>
    </row>
    <row r="3337" spans="1:28" x14ac:dyDescent="0.25">
      <c r="A3337" t="s">
        <v>3341</v>
      </c>
      <c r="B3337">
        <v>0.99352677808782597</v>
      </c>
      <c r="C3337">
        <v>0.96941516816649498</v>
      </c>
      <c r="D3337">
        <v>0.98859798494488205</v>
      </c>
      <c r="E3337">
        <v>0.66043618603523002</v>
      </c>
      <c r="F3337">
        <v>0.59240239250576998</v>
      </c>
      <c r="G3337">
        <v>0.289433588711422</v>
      </c>
      <c r="H3337">
        <v>0.17702234137219799</v>
      </c>
      <c r="I3337">
        <v>0.14929220475916999</v>
      </c>
      <c r="J3337">
        <v>0.115353436220236</v>
      </c>
      <c r="K3337">
        <v>9.48364656387439E-2</v>
      </c>
      <c r="L3337">
        <v>832.97187016593398</v>
      </c>
      <c r="M3337">
        <v>15.7363697687776</v>
      </c>
      <c r="N3337">
        <v>53.5354082037396</v>
      </c>
      <c r="O3337">
        <v>52.100220122077999</v>
      </c>
      <c r="P3337">
        <v>-6.9388117046177797E-2</v>
      </c>
      <c r="Q3337">
        <v>8.1151887881001E-2</v>
      </c>
      <c r="R3337">
        <v>0.98911773268203296</v>
      </c>
      <c r="S3337" t="s">
        <v>9622</v>
      </c>
      <c r="T3337" t="s">
        <v>12568</v>
      </c>
      <c r="U3337" t="s">
        <v>12568</v>
      </c>
      <c r="V3337" t="s">
        <v>12568</v>
      </c>
      <c r="W3337" t="s">
        <v>15865</v>
      </c>
      <c r="X3337">
        <v>8</v>
      </c>
      <c r="Y3337" t="s">
        <v>21997</v>
      </c>
      <c r="Z3337" t="s">
        <v>28207</v>
      </c>
      <c r="AA3337">
        <v>0.49577939021993839</v>
      </c>
      <c r="AB3337" t="str">
        <f>HYPERLINK("Melting_Curves/meltCurve_Q4G0J3_LARP7.pdf", "Melting_Curves/meltCurve_Q4G0J3_LARP7.pdf")</f>
        <v>Melting_Curves/meltCurve_Q4G0J3_LARP7.pdf</v>
      </c>
    </row>
    <row r="3338" spans="1:28" x14ac:dyDescent="0.25">
      <c r="A3338" t="s">
        <v>3342</v>
      </c>
      <c r="B3338">
        <v>0.99352677808782597</v>
      </c>
      <c r="C3338">
        <v>0.98189221946424599</v>
      </c>
      <c r="D3338">
        <v>0.95298775265378399</v>
      </c>
      <c r="E3338">
        <v>0.434929516172949</v>
      </c>
      <c r="F3338">
        <v>0.34460153098367002</v>
      </c>
      <c r="G3338">
        <v>0.17158452206821101</v>
      </c>
      <c r="H3338">
        <v>0.13416327237533399</v>
      </c>
      <c r="I3338">
        <v>0.13247181829788601</v>
      </c>
      <c r="J3338">
        <v>0.11443951888097301</v>
      </c>
      <c r="K3338">
        <v>0.103784298973261</v>
      </c>
      <c r="L3338">
        <v>1253.24445284176</v>
      </c>
      <c r="M3338">
        <v>25.327842367538</v>
      </c>
      <c r="N3338">
        <v>50.073914300315501</v>
      </c>
      <c r="O3338">
        <v>49.175536476056102</v>
      </c>
      <c r="P3338">
        <v>-0.11208030358861</v>
      </c>
      <c r="Q3338">
        <v>0.12956838570896101</v>
      </c>
      <c r="R3338">
        <v>0.98757402108488102</v>
      </c>
      <c r="S3338" t="s">
        <v>9623</v>
      </c>
      <c r="T3338" t="s">
        <v>12568</v>
      </c>
      <c r="U3338" t="s">
        <v>12568</v>
      </c>
      <c r="V3338" t="s">
        <v>12568</v>
      </c>
      <c r="W3338" t="s">
        <v>15866</v>
      </c>
      <c r="X3338">
        <v>11</v>
      </c>
      <c r="Y3338" t="s">
        <v>21998</v>
      </c>
      <c r="Z3338" t="s">
        <v>28208</v>
      </c>
      <c r="AA3338">
        <v>0.41218982773181079</v>
      </c>
      <c r="AB3338" t="str">
        <f>HYPERLINK("Melting_Curves/meltCurve_Q4G0N4_NADKD1.pdf", "Melting_Curves/meltCurve_Q4G0N4_NADKD1.pdf")</f>
        <v>Melting_Curves/meltCurve_Q4G0N4_NADKD1.pdf</v>
      </c>
    </row>
    <row r="3339" spans="1:28" x14ac:dyDescent="0.25">
      <c r="A3339" t="s">
        <v>3343</v>
      </c>
      <c r="B3339">
        <v>0.99352677808782597</v>
      </c>
      <c r="C3339">
        <v>0.974717289005534</v>
      </c>
      <c r="D3339">
        <v>0.93033056318771201</v>
      </c>
      <c r="E3339">
        <v>0.61820975328107497</v>
      </c>
      <c r="F3339">
        <v>0.57043564596913499</v>
      </c>
      <c r="G3339">
        <v>0.28009832141271901</v>
      </c>
      <c r="H3339">
        <v>0.237472143593847</v>
      </c>
      <c r="I3339">
        <v>0.171434679491271</v>
      </c>
      <c r="J3339">
        <v>0.13234284655786299</v>
      </c>
      <c r="K3339">
        <v>0.11066351943746</v>
      </c>
      <c r="L3339">
        <v>734.17624826231201</v>
      </c>
      <c r="M3339">
        <v>14.024546755389601</v>
      </c>
      <c r="N3339">
        <v>53.183569207001</v>
      </c>
      <c r="O3339">
        <v>51.319486194138598</v>
      </c>
      <c r="P3339">
        <v>-6.1582561832846598E-2</v>
      </c>
      <c r="Q3339">
        <v>9.8731582236170595E-2</v>
      </c>
      <c r="R3339">
        <v>0.98835720539125005</v>
      </c>
      <c r="S3339" t="s">
        <v>9624</v>
      </c>
      <c r="T3339" t="s">
        <v>12568</v>
      </c>
      <c r="U3339" t="s">
        <v>12568</v>
      </c>
      <c r="V3339" t="s">
        <v>12568</v>
      </c>
      <c r="W3339" t="s">
        <v>15867</v>
      </c>
      <c r="X3339">
        <v>2</v>
      </c>
      <c r="Y3339" t="s">
        <v>21999</v>
      </c>
      <c r="Z3339" t="s">
        <v>28209</v>
      </c>
      <c r="AA3339">
        <v>0.49166276724188368</v>
      </c>
      <c r="AB3339" t="str">
        <f>HYPERLINK("Melting_Curves/meltCurve_Q4G148_2_GXYLT1.pdf", "Melting_Curves/meltCurve_Q4G148_2_GXYLT1.pdf")</f>
        <v>Melting_Curves/meltCurve_Q4G148_2_GXYLT1.pdf</v>
      </c>
    </row>
    <row r="3340" spans="1:28" x14ac:dyDescent="0.25">
      <c r="A3340" t="s">
        <v>3344</v>
      </c>
      <c r="B3340">
        <v>0.99352677808782597</v>
      </c>
      <c r="C3340">
        <v>0.949335890377069</v>
      </c>
      <c r="D3340">
        <v>0.88318846301349496</v>
      </c>
      <c r="E3340">
        <v>0.21151025333875101</v>
      </c>
      <c r="F3340">
        <v>0.15811244807852801</v>
      </c>
      <c r="G3340">
        <v>0.114108232243437</v>
      </c>
      <c r="H3340">
        <v>9.3650417014769699E-2</v>
      </c>
      <c r="I3340">
        <v>0.103530726314671</v>
      </c>
      <c r="J3340">
        <v>6.6392733362667405E-2</v>
      </c>
      <c r="K3340">
        <v>7.6665171666259593E-2</v>
      </c>
      <c r="L3340">
        <v>2100.8370587435102</v>
      </c>
      <c r="M3340">
        <v>43.8427012397377</v>
      </c>
      <c r="N3340">
        <v>48.157376445182798</v>
      </c>
      <c r="O3340">
        <v>47.818231077625903</v>
      </c>
      <c r="P3340">
        <v>-0.20673851948060001</v>
      </c>
      <c r="Q3340">
        <v>9.8061418175524995E-2</v>
      </c>
      <c r="R3340">
        <v>0.995699862811667</v>
      </c>
      <c r="S3340" t="s">
        <v>9625</v>
      </c>
      <c r="T3340" t="s">
        <v>12568</v>
      </c>
      <c r="U3340" t="s">
        <v>12568</v>
      </c>
      <c r="V3340" t="s">
        <v>12568</v>
      </c>
      <c r="W3340" t="s">
        <v>15868</v>
      </c>
      <c r="X3340">
        <v>9</v>
      </c>
      <c r="Y3340" t="s">
        <v>22000</v>
      </c>
      <c r="Z3340" t="s">
        <v>28210</v>
      </c>
      <c r="AA3340">
        <v>0.33858844723506581</v>
      </c>
      <c r="AB3340" t="str">
        <f>HYPERLINK("Melting_Curves/meltCurve_Q4G176_ACSF3.pdf", "Melting_Curves/meltCurve_Q4G176_ACSF3.pdf")</f>
        <v>Melting_Curves/meltCurve_Q4G176_ACSF3.pdf</v>
      </c>
    </row>
    <row r="3341" spans="1:28" x14ac:dyDescent="0.25">
      <c r="A3341" t="s">
        <v>3345</v>
      </c>
      <c r="B3341">
        <v>0.99352677808782597</v>
      </c>
      <c r="C3341">
        <v>0.98665682399785504</v>
      </c>
      <c r="D3341">
        <v>0.92537492893545603</v>
      </c>
      <c r="E3341">
        <v>0.52999015070724698</v>
      </c>
      <c r="F3341">
        <v>0.438526511220236</v>
      </c>
      <c r="G3341">
        <v>0.21034280124764701</v>
      </c>
      <c r="H3341">
        <v>0.145034290895864</v>
      </c>
      <c r="I3341">
        <v>0.122950762068359</v>
      </c>
      <c r="J3341">
        <v>9.7389952849872605E-2</v>
      </c>
      <c r="K3341">
        <v>8.0209128126355306E-2</v>
      </c>
      <c r="L3341">
        <v>885.22636235682705</v>
      </c>
      <c r="M3341">
        <v>17.431024088103499</v>
      </c>
      <c r="N3341">
        <v>51.377389626948201</v>
      </c>
      <c r="O3341">
        <v>50.130258360198397</v>
      </c>
      <c r="P3341">
        <v>-7.9013706571686798E-2</v>
      </c>
      <c r="Q3341">
        <v>9.1101790033020699E-2</v>
      </c>
      <c r="R3341">
        <v>0.99068528163251401</v>
      </c>
      <c r="S3341" t="s">
        <v>9626</v>
      </c>
      <c r="T3341" t="s">
        <v>12568</v>
      </c>
      <c r="U3341" t="s">
        <v>12568</v>
      </c>
      <c r="V3341" t="s">
        <v>12568</v>
      </c>
      <c r="W3341" t="s">
        <v>15869</v>
      </c>
      <c r="X3341">
        <v>15</v>
      </c>
      <c r="Y3341" t="s">
        <v>22001</v>
      </c>
      <c r="Z3341" t="s">
        <v>28211</v>
      </c>
      <c r="AA3341">
        <v>0.4341099002548508</v>
      </c>
      <c r="AB3341" t="str">
        <f>HYPERLINK("Melting_Curves/meltCurve_Q4J6C6_4_PREPL.pdf", "Melting_Curves/meltCurve_Q4J6C6_4_PREPL.pdf")</f>
        <v>Melting_Curves/meltCurve_Q4J6C6_4_PREPL.pdf</v>
      </c>
    </row>
    <row r="3342" spans="1:28" x14ac:dyDescent="0.25">
      <c r="A3342" t="s">
        <v>3346</v>
      </c>
      <c r="B3342">
        <v>0.99352677808782597</v>
      </c>
      <c r="C3342">
        <v>1.1056762882131901</v>
      </c>
      <c r="D3342">
        <v>0.99098189310481399</v>
      </c>
      <c r="E3342">
        <v>0.71683025083671004</v>
      </c>
      <c r="F3342">
        <v>0.602684725376886</v>
      </c>
      <c r="G3342">
        <v>0.39585669829627801</v>
      </c>
      <c r="H3342">
        <v>0.38879358373728101</v>
      </c>
      <c r="I3342">
        <v>0.38028269897142097</v>
      </c>
      <c r="J3342">
        <v>0.31283476502858298</v>
      </c>
      <c r="K3342">
        <v>0.29786789042734901</v>
      </c>
      <c r="L3342">
        <v>1092.6363132633001</v>
      </c>
      <c r="M3342">
        <v>21.216410576239401</v>
      </c>
      <c r="N3342">
        <v>54.310134143995903</v>
      </c>
      <c r="O3342">
        <v>51.048614074238003</v>
      </c>
      <c r="P3342">
        <v>-6.9281914658899796E-2</v>
      </c>
      <c r="Q3342">
        <v>0.33322284860859502</v>
      </c>
      <c r="R3342">
        <v>0.97356186220567997</v>
      </c>
      <c r="S3342" t="s">
        <v>9627</v>
      </c>
      <c r="T3342" t="s">
        <v>12568</v>
      </c>
      <c r="U3342" t="s">
        <v>12568</v>
      </c>
      <c r="V3342" t="s">
        <v>12568</v>
      </c>
      <c r="W3342" t="s">
        <v>15870</v>
      </c>
      <c r="X3342">
        <v>12</v>
      </c>
      <c r="Y3342" t="s">
        <v>22002</v>
      </c>
      <c r="Z3342" t="s">
        <v>28212</v>
      </c>
      <c r="AA3342">
        <v>0.59709807050942587</v>
      </c>
      <c r="AB3342" t="str">
        <f>HYPERLINK("Melting_Curves/meltCurve_Q4KMP7_TBC1D10B.pdf", "Melting_Curves/meltCurve_Q4KMP7_TBC1D10B.pdf")</f>
        <v>Melting_Curves/meltCurve_Q4KMP7_TBC1D10B.pdf</v>
      </c>
    </row>
    <row r="3343" spans="1:28" x14ac:dyDescent="0.25">
      <c r="A3343" t="s">
        <v>3347</v>
      </c>
      <c r="B3343">
        <v>0.99352677808782597</v>
      </c>
      <c r="C3343">
        <v>0.993698967048533</v>
      </c>
      <c r="D3343">
        <v>0.92831816677372403</v>
      </c>
      <c r="E3343">
        <v>0.86545159587172005</v>
      </c>
      <c r="F3343">
        <v>0.75128452186479</v>
      </c>
      <c r="G3343">
        <v>0.70003224984145895</v>
      </c>
      <c r="H3343">
        <v>0.61203369617271697</v>
      </c>
      <c r="I3343">
        <v>0.62511465803685695</v>
      </c>
      <c r="J3343">
        <v>0.66428560698288097</v>
      </c>
      <c r="K3343">
        <v>0.59017475498489802</v>
      </c>
      <c r="L3343">
        <v>780.22607535818395</v>
      </c>
      <c r="M3343">
        <v>15.1294190536395</v>
      </c>
      <c r="O3343">
        <v>50.694319735143303</v>
      </c>
      <c r="P3343">
        <v>-2.92748591451957E-2</v>
      </c>
      <c r="Q3343">
        <v>0.60767172739528397</v>
      </c>
      <c r="R3343">
        <v>0.97945345041869103</v>
      </c>
      <c r="S3343" t="s">
        <v>9628</v>
      </c>
      <c r="T3343" t="s">
        <v>12568</v>
      </c>
      <c r="U3343" t="s">
        <v>12568</v>
      </c>
      <c r="V3343" t="s">
        <v>12568</v>
      </c>
      <c r="W3343" t="s">
        <v>15871</v>
      </c>
      <c r="X3343">
        <v>4</v>
      </c>
      <c r="Y3343" t="s">
        <v>22003</v>
      </c>
      <c r="Z3343" t="s">
        <v>28213</v>
      </c>
      <c r="AA3343">
        <v>0.767760625139703</v>
      </c>
      <c r="AB3343" t="str">
        <f>HYPERLINK("Melting_Curves/meltCurve_Q4KMQ1_TPRN.pdf", "Melting_Curves/meltCurve_Q4KMQ1_TPRN.pdf")</f>
        <v>Melting_Curves/meltCurve_Q4KMQ1_TPRN.pdf</v>
      </c>
    </row>
    <row r="3344" spans="1:28" x14ac:dyDescent="0.25">
      <c r="A3344" t="s">
        <v>3348</v>
      </c>
      <c r="B3344">
        <v>0.99352677808782597</v>
      </c>
      <c r="C3344">
        <v>1.09593651747578</v>
      </c>
      <c r="D3344">
        <v>1.0272731672437001</v>
      </c>
      <c r="E3344">
        <v>0.71460836920642001</v>
      </c>
      <c r="F3344">
        <v>0.60478604728236496</v>
      </c>
      <c r="G3344">
        <v>0.42268274124553801</v>
      </c>
      <c r="H3344">
        <v>0.34846882434364501</v>
      </c>
      <c r="I3344">
        <v>0.35417641757156498</v>
      </c>
      <c r="J3344">
        <v>0.376279669295777</v>
      </c>
      <c r="K3344">
        <v>0.29625986804117499</v>
      </c>
      <c r="L3344">
        <v>1146.5031466498699</v>
      </c>
      <c r="M3344">
        <v>22.251061491018401</v>
      </c>
      <c r="N3344">
        <v>54.303528723859003</v>
      </c>
      <c r="O3344">
        <v>51.115026705750203</v>
      </c>
      <c r="P3344">
        <v>-7.1849920934543898E-2</v>
      </c>
      <c r="Q3344">
        <v>0.33980112874749602</v>
      </c>
      <c r="R3344">
        <v>0.97274046644255097</v>
      </c>
      <c r="S3344" t="s">
        <v>9629</v>
      </c>
      <c r="T3344" t="s">
        <v>12568</v>
      </c>
      <c r="U3344" t="s">
        <v>12568</v>
      </c>
      <c r="V3344" t="s">
        <v>12568</v>
      </c>
      <c r="W3344" t="s">
        <v>15872</v>
      </c>
      <c r="X3344">
        <v>11</v>
      </c>
      <c r="Y3344" t="s">
        <v>22004</v>
      </c>
      <c r="Z3344" t="s">
        <v>28214</v>
      </c>
      <c r="AA3344">
        <v>0.60094678736571583</v>
      </c>
      <c r="AB3344" t="str">
        <f>HYPERLINK("Melting_Curves/meltCurve_Q4KWH8_2_PLCH1.pdf", "Melting_Curves/meltCurve_Q4KWH8_2_PLCH1.pdf")</f>
        <v>Melting_Curves/meltCurve_Q4KWH8_2_PLCH1.pdf</v>
      </c>
    </row>
    <row r="3345" spans="1:28" x14ac:dyDescent="0.25">
      <c r="A3345" t="s">
        <v>3349</v>
      </c>
      <c r="B3345">
        <v>0.99352677808782597</v>
      </c>
      <c r="C3345">
        <v>1.00065097365555</v>
      </c>
      <c r="D3345">
        <v>1.0357209185115801</v>
      </c>
      <c r="E3345">
        <v>0.46897651314039102</v>
      </c>
      <c r="F3345">
        <v>0.38110095348963502</v>
      </c>
      <c r="G3345">
        <v>0.17872655050248401</v>
      </c>
      <c r="H3345">
        <v>0.122420058835347</v>
      </c>
      <c r="I3345">
        <v>0.10663298235360499</v>
      </c>
      <c r="J3345">
        <v>0.109717113777692</v>
      </c>
      <c r="K3345">
        <v>9.0697401256209106E-2</v>
      </c>
      <c r="L3345">
        <v>1283.0678230728499</v>
      </c>
      <c r="M3345">
        <v>25.6145297800375</v>
      </c>
      <c r="N3345">
        <v>50.622605636603197</v>
      </c>
      <c r="O3345">
        <v>49.789085519512298</v>
      </c>
      <c r="P3345">
        <v>-0.11345943426457999</v>
      </c>
      <c r="Q3345">
        <v>0.1178487082141</v>
      </c>
      <c r="R3345">
        <v>0.97736750868858302</v>
      </c>
      <c r="S3345" t="s">
        <v>9630</v>
      </c>
      <c r="T3345" t="s">
        <v>12568</v>
      </c>
      <c r="U3345" t="s">
        <v>12568</v>
      </c>
      <c r="V3345" t="s">
        <v>12568</v>
      </c>
      <c r="W3345" t="s">
        <v>15873</v>
      </c>
      <c r="X3345">
        <v>6</v>
      </c>
      <c r="Y3345" t="s">
        <v>22005</v>
      </c>
      <c r="Z3345" t="s">
        <v>28215</v>
      </c>
      <c r="AA3345">
        <v>0.4221030819116055</v>
      </c>
      <c r="AB3345" t="str">
        <f>HYPERLINK("Melting_Curves/meltCurve_Q4LDG9_DNAL1.pdf", "Melting_Curves/meltCurve_Q4LDG9_DNAL1.pdf")</f>
        <v>Melting_Curves/meltCurve_Q4LDG9_DNAL1.pdf</v>
      </c>
    </row>
    <row r="3346" spans="1:28" x14ac:dyDescent="0.25">
      <c r="A3346" t="s">
        <v>3350</v>
      </c>
      <c r="B3346">
        <v>0.99352677808782597</v>
      </c>
      <c r="C3346">
        <v>0.93175705459976499</v>
      </c>
      <c r="D3346">
        <v>0.92236028560471195</v>
      </c>
      <c r="E3346">
        <v>0.58157431517493596</v>
      </c>
      <c r="F3346">
        <v>0.51036624599872804</v>
      </c>
      <c r="G3346">
        <v>0.41299924573466801</v>
      </c>
      <c r="H3346">
        <v>0.34654441736492198</v>
      </c>
      <c r="I3346">
        <v>0.406181678340504</v>
      </c>
      <c r="J3346">
        <v>0.36790598214151099</v>
      </c>
      <c r="K3346">
        <v>0.34171686855932898</v>
      </c>
      <c r="L3346">
        <v>1042.33408428946</v>
      </c>
      <c r="M3346">
        <v>21.2237987684248</v>
      </c>
      <c r="N3346">
        <v>52.376094609152901</v>
      </c>
      <c r="O3346">
        <v>48.681805113429498</v>
      </c>
      <c r="P3346">
        <v>-6.9014426961606104E-2</v>
      </c>
      <c r="Q3346">
        <v>0.366812613310041</v>
      </c>
      <c r="R3346">
        <v>0.98489730614077797</v>
      </c>
      <c r="S3346" t="s">
        <v>9631</v>
      </c>
      <c r="T3346" t="s">
        <v>12568</v>
      </c>
      <c r="U3346" t="s">
        <v>12568</v>
      </c>
      <c r="V3346" t="s">
        <v>12568</v>
      </c>
      <c r="W3346" t="s">
        <v>15874</v>
      </c>
      <c r="X3346">
        <v>9</v>
      </c>
      <c r="Y3346" t="s">
        <v>22006</v>
      </c>
      <c r="Z3346" t="s">
        <v>28216</v>
      </c>
      <c r="AA3346">
        <v>0.56697738476256443</v>
      </c>
      <c r="AB3346" t="str">
        <f>HYPERLINK("Melting_Curves/meltCurve_Q4LE39_2_ARID4B.pdf", "Melting_Curves/meltCurve_Q4LE39_2_ARID4B.pdf")</f>
        <v>Melting_Curves/meltCurve_Q4LE39_2_ARID4B.pdf</v>
      </c>
    </row>
    <row r="3347" spans="1:28" x14ac:dyDescent="0.25">
      <c r="A3347" t="s">
        <v>3351</v>
      </c>
      <c r="B3347">
        <v>0.99352677808782597</v>
      </c>
      <c r="C3347">
        <v>0.99470950954377302</v>
      </c>
      <c r="D3347">
        <v>0.95131004283218001</v>
      </c>
      <c r="E3347">
        <v>0.86282283469631205</v>
      </c>
      <c r="F3347">
        <v>0.77553756300219201</v>
      </c>
      <c r="G3347">
        <v>0.61195096694445905</v>
      </c>
      <c r="H3347">
        <v>0.72437645744135803</v>
      </c>
      <c r="I3347">
        <v>0.73131754550000705</v>
      </c>
      <c r="J3347">
        <v>0.95162017150689404</v>
      </c>
      <c r="K3347">
        <v>0.71588601778684802</v>
      </c>
      <c r="L3347">
        <v>1624.2167357815299</v>
      </c>
      <c r="M3347">
        <v>32.9081506311</v>
      </c>
      <c r="O3347">
        <v>49.174873855888897</v>
      </c>
      <c r="P3347">
        <v>-4.2068150623718201E-2</v>
      </c>
      <c r="Q3347">
        <v>0.74855023616777605</v>
      </c>
      <c r="R3347">
        <v>0.62252567525148705</v>
      </c>
      <c r="S3347" t="s">
        <v>9632</v>
      </c>
      <c r="T3347" t="s">
        <v>12568</v>
      </c>
      <c r="U3347" t="s">
        <v>12568</v>
      </c>
      <c r="V3347" t="s">
        <v>12568</v>
      </c>
      <c r="W3347" t="s">
        <v>15875</v>
      </c>
      <c r="X3347">
        <v>49</v>
      </c>
      <c r="Y3347" t="s">
        <v>22007</v>
      </c>
      <c r="Z3347" t="s">
        <v>28217</v>
      </c>
      <c r="AA3347">
        <v>0.82824469278017854</v>
      </c>
      <c r="AB3347" t="str">
        <f>HYPERLINK("Melting_Curves/meltCurve_Q4V328_GRIPAP1.pdf", "Melting_Curves/meltCurve_Q4V328_GRIPAP1.pdf")</f>
        <v>Melting_Curves/meltCurve_Q4V328_GRIPAP1.pdf</v>
      </c>
    </row>
    <row r="3348" spans="1:28" x14ac:dyDescent="0.25">
      <c r="A3348" t="s">
        <v>3352</v>
      </c>
      <c r="B3348">
        <v>0.99352677808782597</v>
      </c>
      <c r="C3348">
        <v>0.98174228404146402</v>
      </c>
      <c r="D3348">
        <v>0.91151819775396903</v>
      </c>
      <c r="E3348">
        <v>0.77479355766237901</v>
      </c>
      <c r="F3348">
        <v>0.607836533934068</v>
      </c>
      <c r="G3348">
        <v>0.46044294680297698</v>
      </c>
      <c r="H3348">
        <v>0.37501787840206402</v>
      </c>
      <c r="I3348">
        <v>0.43706862188684098</v>
      </c>
      <c r="J3348">
        <v>0.52379461827134899</v>
      </c>
      <c r="K3348">
        <v>0.45536250144912599</v>
      </c>
      <c r="L3348">
        <v>1118.69040799759</v>
      </c>
      <c r="M3348">
        <v>22.083836367390202</v>
      </c>
      <c r="N3348">
        <v>56.053026795754398</v>
      </c>
      <c r="O3348">
        <v>50.246640092137298</v>
      </c>
      <c r="P3348">
        <v>-6.14940977691689E-2</v>
      </c>
      <c r="Q3348">
        <v>0.44035016379366698</v>
      </c>
      <c r="R3348">
        <v>0.97101631209721095</v>
      </c>
      <c r="S3348" t="s">
        <v>9633</v>
      </c>
      <c r="T3348" t="s">
        <v>12568</v>
      </c>
      <c r="U3348" t="s">
        <v>12568</v>
      </c>
      <c r="V3348" t="s">
        <v>12568</v>
      </c>
      <c r="W3348" t="s">
        <v>15876</v>
      </c>
      <c r="X3348">
        <v>1</v>
      </c>
      <c r="Y3348" t="s">
        <v>22008</v>
      </c>
      <c r="Z3348" t="s">
        <v>28218</v>
      </c>
      <c r="AA3348">
        <v>0.6455741397559186</v>
      </c>
      <c r="AB3348" t="str">
        <f>HYPERLINK("Melting_Curves/meltCurve_Q4VC05_2_BCL7A.pdf", "Melting_Curves/meltCurve_Q4VC05_2_BCL7A.pdf")</f>
        <v>Melting_Curves/meltCurve_Q4VC05_2_BCL7A.pdf</v>
      </c>
    </row>
    <row r="3349" spans="1:28" x14ac:dyDescent="0.25">
      <c r="A3349" t="s">
        <v>3353</v>
      </c>
      <c r="B3349">
        <v>0.99352677808782597</v>
      </c>
      <c r="C3349">
        <v>1.02164743803727</v>
      </c>
      <c r="D3349">
        <v>0.97824089143348203</v>
      </c>
      <c r="E3349">
        <v>0.76886270080326302</v>
      </c>
      <c r="F3349">
        <v>0.73893278551367003</v>
      </c>
      <c r="G3349">
        <v>0.58718169010105503</v>
      </c>
      <c r="H3349">
        <v>0.49986595560315</v>
      </c>
      <c r="I3349">
        <v>0.51751649883711803</v>
      </c>
      <c r="J3349">
        <v>0.51805704240169903</v>
      </c>
      <c r="K3349">
        <v>0.49629627296971301</v>
      </c>
      <c r="L3349">
        <v>892.15411345771895</v>
      </c>
      <c r="M3349">
        <v>17.2170083794786</v>
      </c>
      <c r="N3349">
        <v>69.970686956561295</v>
      </c>
      <c r="O3349">
        <v>51.134273034614701</v>
      </c>
      <c r="P3349">
        <v>-4.25736714513065E-2</v>
      </c>
      <c r="Q3349">
        <v>0.49425690771435199</v>
      </c>
      <c r="R3349">
        <v>0.98178293858881605</v>
      </c>
      <c r="S3349" t="s">
        <v>9634</v>
      </c>
      <c r="T3349" t="s">
        <v>12568</v>
      </c>
      <c r="U3349" t="s">
        <v>12568</v>
      </c>
      <c r="V3349" t="s">
        <v>12568</v>
      </c>
      <c r="W3349" t="s">
        <v>15877</v>
      </c>
      <c r="X3349">
        <v>3</v>
      </c>
      <c r="Y3349" t="s">
        <v>22009</v>
      </c>
      <c r="Z3349" t="s">
        <v>28219</v>
      </c>
      <c r="AA3349">
        <v>0.70259015282150128</v>
      </c>
      <c r="AB3349" t="str">
        <f>HYPERLINK("Melting_Curves/meltCurve_Q4VC44_2_FLYWCH1.pdf", "Melting_Curves/meltCurve_Q4VC44_2_FLYWCH1.pdf")</f>
        <v>Melting_Curves/meltCurve_Q4VC44_2_FLYWCH1.pdf</v>
      </c>
    </row>
    <row r="3350" spans="1:28" x14ac:dyDescent="0.25">
      <c r="A3350" t="s">
        <v>3354</v>
      </c>
      <c r="B3350">
        <v>0.99352677808782597</v>
      </c>
      <c r="C3350">
        <v>1.08442593383215</v>
      </c>
      <c r="D3350">
        <v>0.93927324565631498</v>
      </c>
      <c r="E3350">
        <v>0.51309401403733401</v>
      </c>
      <c r="F3350">
        <v>0.49691310475015399</v>
      </c>
      <c r="G3350">
        <v>0.355789288785681</v>
      </c>
      <c r="H3350">
        <v>0.26028793942939299</v>
      </c>
      <c r="I3350">
        <v>0.30220297063280799</v>
      </c>
      <c r="J3350">
        <v>0.167752242075832</v>
      </c>
      <c r="K3350">
        <v>0.12681593639063299</v>
      </c>
      <c r="L3350">
        <v>886.68552097486804</v>
      </c>
      <c r="M3350">
        <v>17.567658284771301</v>
      </c>
      <c r="N3350">
        <v>52.052528127288703</v>
      </c>
      <c r="O3350">
        <v>49.832231161016402</v>
      </c>
      <c r="P3350">
        <v>-6.9925451187926202E-2</v>
      </c>
      <c r="Q3350">
        <v>0.20664396179096201</v>
      </c>
      <c r="R3350">
        <v>0.952156689274539</v>
      </c>
      <c r="S3350" t="s">
        <v>9635</v>
      </c>
      <c r="T3350" t="s">
        <v>12568</v>
      </c>
      <c r="U3350" t="s">
        <v>12568</v>
      </c>
      <c r="V3350" t="s">
        <v>12568</v>
      </c>
      <c r="W3350" t="s">
        <v>15878</v>
      </c>
      <c r="X3350">
        <v>1</v>
      </c>
      <c r="Y3350" t="s">
        <v>22010</v>
      </c>
      <c r="Z3350" t="s">
        <v>28220</v>
      </c>
      <c r="AA3350">
        <v>0.49766195693360171</v>
      </c>
      <c r="AB3350" t="str">
        <f>HYPERLINK("Melting_Curves/meltCurve_Q4VXZ8_DECR2.pdf", "Melting_Curves/meltCurve_Q4VXZ8_DECR2.pdf")</f>
        <v>Melting_Curves/meltCurve_Q4VXZ8_DECR2.pdf</v>
      </c>
    </row>
    <row r="3351" spans="1:28" x14ac:dyDescent="0.25">
      <c r="A3351" t="s">
        <v>3355</v>
      </c>
      <c r="B3351">
        <v>0.99352677808782597</v>
      </c>
      <c r="C3351">
        <v>0.95001393468238204</v>
      </c>
      <c r="D3351">
        <v>0.88469164788652699</v>
      </c>
      <c r="E3351">
        <v>0.61060128950186798</v>
      </c>
      <c r="F3351">
        <v>0.467709947938034</v>
      </c>
      <c r="G3351">
        <v>0.30594123046238503</v>
      </c>
      <c r="H3351">
        <v>0.14084556707290899</v>
      </c>
      <c r="I3351">
        <v>0.13389285962123201</v>
      </c>
      <c r="J3351">
        <v>0.144976762277022</v>
      </c>
      <c r="K3351">
        <v>0.105738237798672</v>
      </c>
      <c r="L3351">
        <v>737.03352696032596</v>
      </c>
      <c r="M3351">
        <v>14.299249263035</v>
      </c>
      <c r="N3351">
        <v>52.260891425013</v>
      </c>
      <c r="O3351">
        <v>50.566860439694899</v>
      </c>
      <c r="P3351">
        <v>-6.4402970727023001E-2</v>
      </c>
      <c r="Q3351">
        <v>8.9110414830300896E-2</v>
      </c>
      <c r="R3351">
        <v>0.99587236315906302</v>
      </c>
      <c r="S3351" t="s">
        <v>9636</v>
      </c>
      <c r="T3351" t="s">
        <v>12568</v>
      </c>
      <c r="U3351" t="s">
        <v>12568</v>
      </c>
      <c r="V3351" t="s">
        <v>12568</v>
      </c>
      <c r="W3351" t="s">
        <v>15879</v>
      </c>
      <c r="X3351">
        <v>3</v>
      </c>
      <c r="Y3351" t="s">
        <v>22011</v>
      </c>
      <c r="Z3351" t="s">
        <v>28221</v>
      </c>
      <c r="AA3351">
        <v>0.46189273144640208</v>
      </c>
      <c r="AB3351" t="str">
        <f>HYPERLINK("Melting_Curves/meltCurve_Q504Q3_2_PAN2.pdf", "Melting_Curves/meltCurve_Q504Q3_2_PAN2.pdf")</f>
        <v>Melting_Curves/meltCurve_Q504Q3_2_PAN2.pdf</v>
      </c>
    </row>
    <row r="3352" spans="1:28" x14ac:dyDescent="0.25">
      <c r="A3352" t="s">
        <v>3356</v>
      </c>
      <c r="B3352">
        <v>0.99352677808782597</v>
      </c>
      <c r="C3352">
        <v>0.97616843940553499</v>
      </c>
      <c r="D3352">
        <v>1.0376849236763801</v>
      </c>
      <c r="E3352">
        <v>0.85865119670966406</v>
      </c>
      <c r="F3352">
        <v>0.72439657807488</v>
      </c>
      <c r="G3352">
        <v>0.613454090006195</v>
      </c>
      <c r="H3352">
        <v>0.42748314569586499</v>
      </c>
      <c r="I3352">
        <v>0.418104028840383</v>
      </c>
      <c r="J3352">
        <v>0.53514677244292397</v>
      </c>
      <c r="K3352">
        <v>0.44494150215266898</v>
      </c>
      <c r="L3352">
        <v>1086.1732251618</v>
      </c>
      <c r="M3352">
        <v>20.423908369643101</v>
      </c>
      <c r="N3352">
        <v>59.902565080188701</v>
      </c>
      <c r="O3352">
        <v>52.679493642863697</v>
      </c>
      <c r="P3352">
        <v>-5.3364178321892601E-2</v>
      </c>
      <c r="Q3352">
        <v>0.44944647858734998</v>
      </c>
      <c r="R3352">
        <v>0.96525409749344604</v>
      </c>
      <c r="S3352" t="s">
        <v>9637</v>
      </c>
      <c r="T3352" t="s">
        <v>12568</v>
      </c>
      <c r="U3352" t="s">
        <v>12568</v>
      </c>
      <c r="V3352" t="s">
        <v>12568</v>
      </c>
      <c r="W3352" t="s">
        <v>15880</v>
      </c>
      <c r="X3352">
        <v>2</v>
      </c>
      <c r="Y3352" t="s">
        <v>22012</v>
      </c>
      <c r="Z3352" t="s">
        <v>28222</v>
      </c>
      <c r="AA3352">
        <v>0.69864465008457211</v>
      </c>
      <c r="AB3352" t="str">
        <f>HYPERLINK("Melting_Curves/meltCurve_Q504U0_C4orf46.pdf", "Melting_Curves/meltCurve_Q504U0_C4orf46.pdf")</f>
        <v>Melting_Curves/meltCurve_Q504U0_C4orf46.pdf</v>
      </c>
    </row>
    <row r="3353" spans="1:28" x14ac:dyDescent="0.25">
      <c r="A3353" t="s">
        <v>3357</v>
      </c>
      <c r="B3353">
        <v>0.99352677808782597</v>
      </c>
      <c r="C3353">
        <v>0.95302864337342696</v>
      </c>
      <c r="D3353">
        <v>0.83018543449258897</v>
      </c>
      <c r="E3353">
        <v>0.31262488257222099</v>
      </c>
      <c r="F3353">
        <v>0.23313971408878501</v>
      </c>
      <c r="G3353">
        <v>0.150577344068269</v>
      </c>
      <c r="H3353">
        <v>9.6317196129320895E-2</v>
      </c>
      <c r="I3353">
        <v>8.4423068614676494E-2</v>
      </c>
      <c r="J3353">
        <v>8.2570396183592396E-2</v>
      </c>
      <c r="K3353">
        <v>6.4232393958101E-2</v>
      </c>
      <c r="L3353">
        <v>1245.0609155920299</v>
      </c>
      <c r="M3353">
        <v>25.791493861137099</v>
      </c>
      <c r="N3353">
        <v>48.673475552880198</v>
      </c>
      <c r="O3353">
        <v>47.986684165066201</v>
      </c>
      <c r="P3353">
        <v>-0.12155505790172499</v>
      </c>
      <c r="Q3353">
        <v>9.5367659150502299E-2</v>
      </c>
      <c r="R3353">
        <v>0.99336815643976195</v>
      </c>
      <c r="S3353" t="s">
        <v>9638</v>
      </c>
      <c r="T3353" t="s">
        <v>12568</v>
      </c>
      <c r="U3353" t="s">
        <v>12568</v>
      </c>
      <c r="V3353" t="s">
        <v>12568</v>
      </c>
      <c r="W3353" t="s">
        <v>15881</v>
      </c>
      <c r="X3353">
        <v>9</v>
      </c>
      <c r="Y3353" t="s">
        <v>22013</v>
      </c>
      <c r="Z3353" t="s">
        <v>28223</v>
      </c>
      <c r="AA3353">
        <v>0.3523548641255933</v>
      </c>
      <c r="AB3353" t="str">
        <f>HYPERLINK("Melting_Curves/meltCurve_Q52LJ0_2_FAM98B.pdf", "Melting_Curves/meltCurve_Q52LJ0_2_FAM98B.pdf")</f>
        <v>Melting_Curves/meltCurve_Q52LJ0_2_FAM98B.pdf</v>
      </c>
    </row>
    <row r="3354" spans="1:28" x14ac:dyDescent="0.25">
      <c r="A3354" t="s">
        <v>3358</v>
      </c>
      <c r="B3354">
        <v>0.99352677808782597</v>
      </c>
      <c r="C3354">
        <v>0.872862051272423</v>
      </c>
      <c r="D3354">
        <v>0.86713949788850098</v>
      </c>
      <c r="E3354">
        <v>0.79427884606458798</v>
      </c>
      <c r="F3354">
        <v>0.70879532820953695</v>
      </c>
      <c r="G3354">
        <v>0.56652564869640198</v>
      </c>
      <c r="H3354">
        <v>0.45093307054450099</v>
      </c>
      <c r="I3354">
        <v>0.46253882964842302</v>
      </c>
      <c r="J3354">
        <v>0.437984131199046</v>
      </c>
      <c r="K3354">
        <v>0.430669252597913</v>
      </c>
      <c r="L3354">
        <v>480.59273393582203</v>
      </c>
      <c r="M3354">
        <v>9.0146589348946797</v>
      </c>
      <c r="N3354">
        <v>61.0690136190807</v>
      </c>
      <c r="O3354">
        <v>50.884998584413601</v>
      </c>
      <c r="P3354">
        <v>-2.92127720417928E-2</v>
      </c>
      <c r="Q3354">
        <v>0.34088699290816499</v>
      </c>
      <c r="R3354">
        <v>0.97792909158695596</v>
      </c>
      <c r="S3354" t="s">
        <v>9639</v>
      </c>
      <c r="T3354" t="s">
        <v>12568</v>
      </c>
      <c r="U3354" t="s">
        <v>12568</v>
      </c>
      <c r="V3354" t="s">
        <v>12568</v>
      </c>
      <c r="W3354" t="s">
        <v>15882</v>
      </c>
      <c r="X3354">
        <v>1</v>
      </c>
      <c r="Y3354" t="s">
        <v>22014</v>
      </c>
      <c r="Z3354" t="s">
        <v>28224</v>
      </c>
      <c r="AA3354">
        <v>0.65693534153288347</v>
      </c>
      <c r="AB3354" t="str">
        <f>HYPERLINK("Melting_Curves/meltCurve_Q52LR7_EPC2.pdf", "Melting_Curves/meltCurve_Q52LR7_EPC2.pdf")</f>
        <v>Melting_Curves/meltCurve_Q52LR7_EPC2.pdf</v>
      </c>
    </row>
    <row r="3355" spans="1:28" x14ac:dyDescent="0.25">
      <c r="A3355" t="s">
        <v>3359</v>
      </c>
      <c r="B3355">
        <v>0.99352677808782597</v>
      </c>
      <c r="C3355">
        <v>0.98328425345301695</v>
      </c>
      <c r="D3355">
        <v>0.98072515968313401</v>
      </c>
      <c r="E3355">
        <v>0.76766082226199805</v>
      </c>
      <c r="F3355">
        <v>0.66880645766727598</v>
      </c>
      <c r="G3355">
        <v>0.60160496366744498</v>
      </c>
      <c r="H3355">
        <v>0.49490318202329803</v>
      </c>
      <c r="I3355">
        <v>0.50186898424335002</v>
      </c>
      <c r="J3355">
        <v>0.53754516558765197</v>
      </c>
      <c r="K3355">
        <v>0.43744578792491701</v>
      </c>
      <c r="L3355">
        <v>872.911718240867</v>
      </c>
      <c r="M3355">
        <v>16.9978391542456</v>
      </c>
      <c r="N3355">
        <v>63.8973570520915</v>
      </c>
      <c r="O3355">
        <v>50.659290051084703</v>
      </c>
      <c r="P3355">
        <v>-4.3435466107713899E-2</v>
      </c>
      <c r="Q3355">
        <v>0.482222697536767</v>
      </c>
      <c r="R3355">
        <v>0.97832899994211597</v>
      </c>
      <c r="S3355" t="s">
        <v>9640</v>
      </c>
      <c r="T3355" t="s">
        <v>12568</v>
      </c>
      <c r="U3355" t="s">
        <v>12568</v>
      </c>
      <c r="V3355" t="s">
        <v>12568</v>
      </c>
      <c r="W3355" t="s">
        <v>15883</v>
      </c>
      <c r="X3355">
        <v>13</v>
      </c>
      <c r="Y3355" t="s">
        <v>22015</v>
      </c>
      <c r="Z3355" t="s">
        <v>28225</v>
      </c>
      <c r="AA3355">
        <v>0.68779092650763696</v>
      </c>
      <c r="AB3355" t="str">
        <f>HYPERLINK("Melting_Curves/meltCurve_Q52LW3_ARHGAP29.pdf", "Melting_Curves/meltCurve_Q52LW3_ARHGAP29.pdf")</f>
        <v>Melting_Curves/meltCurve_Q52LW3_ARHGAP29.pdf</v>
      </c>
    </row>
    <row r="3356" spans="1:28" x14ac:dyDescent="0.25">
      <c r="A3356" t="s">
        <v>3360</v>
      </c>
      <c r="B3356">
        <v>0.99352677808782597</v>
      </c>
      <c r="C3356">
        <v>1.0001225908898499</v>
      </c>
      <c r="D3356">
        <v>0.94732357557776303</v>
      </c>
      <c r="E3356">
        <v>0.71160620698907595</v>
      </c>
      <c r="F3356">
        <v>0.61161018491375196</v>
      </c>
      <c r="G3356">
        <v>0.25856319266525601</v>
      </c>
      <c r="H3356">
        <v>0.171446539000049</v>
      </c>
      <c r="I3356">
        <v>0.178579579108126</v>
      </c>
      <c r="J3356">
        <v>0.15335250444944901</v>
      </c>
      <c r="K3356">
        <v>0.11740832482171</v>
      </c>
      <c r="L3356">
        <v>943.31306226538197</v>
      </c>
      <c r="M3356">
        <v>17.8665992217644</v>
      </c>
      <c r="N3356">
        <v>53.5956315435064</v>
      </c>
      <c r="O3356">
        <v>52.149476981717399</v>
      </c>
      <c r="P3356">
        <v>-7.5651104835722002E-2</v>
      </c>
      <c r="Q3356">
        <v>0.11679558455094501</v>
      </c>
      <c r="R3356">
        <v>0.99155292120290295</v>
      </c>
      <c r="S3356" t="s">
        <v>9641</v>
      </c>
      <c r="T3356" t="s">
        <v>12568</v>
      </c>
      <c r="U3356" t="s">
        <v>12568</v>
      </c>
      <c r="V3356" t="s">
        <v>12568</v>
      </c>
      <c r="W3356" t="s">
        <v>15884</v>
      </c>
      <c r="X3356">
        <v>8</v>
      </c>
      <c r="Y3356" t="s">
        <v>22016</v>
      </c>
      <c r="Z3356" t="s">
        <v>28226</v>
      </c>
      <c r="AA3356">
        <v>0.5082494074932038</v>
      </c>
      <c r="AB3356" t="str">
        <f>HYPERLINK("Melting_Curves/meltCurve_Q53EL6_2_PDCD4.pdf", "Melting_Curves/meltCurve_Q53EL6_2_PDCD4.pdf")</f>
        <v>Melting_Curves/meltCurve_Q53EL6_2_PDCD4.pdf</v>
      </c>
    </row>
    <row r="3357" spans="1:28" x14ac:dyDescent="0.25">
      <c r="A3357" t="s">
        <v>3361</v>
      </c>
      <c r="B3357">
        <v>0.99352677808782597</v>
      </c>
      <c r="C3357">
        <v>0.93113232024308001</v>
      </c>
      <c r="D3357">
        <v>0.96632841332632702</v>
      </c>
      <c r="E3357">
        <v>0.68981379792844999</v>
      </c>
      <c r="F3357">
        <v>0.56303996623767905</v>
      </c>
      <c r="G3357">
        <v>0.41226749249933797</v>
      </c>
      <c r="H3357">
        <v>0.29032558874640302</v>
      </c>
      <c r="I3357">
        <v>0.27984320063122298</v>
      </c>
      <c r="J3357">
        <v>0.26995019503575801</v>
      </c>
      <c r="K3357">
        <v>0.22759048073081301</v>
      </c>
      <c r="L3357">
        <v>786.90731384339597</v>
      </c>
      <c r="M3357">
        <v>15.139372242683301</v>
      </c>
      <c r="N3357">
        <v>54.194314646722198</v>
      </c>
      <c r="O3357">
        <v>51.095960171212397</v>
      </c>
      <c r="P3357">
        <v>-5.69804794574921E-2</v>
      </c>
      <c r="Q3357">
        <v>0.230829752805051</v>
      </c>
      <c r="R3357">
        <v>0.99103017374550095</v>
      </c>
      <c r="S3357" t="s">
        <v>9642</v>
      </c>
      <c r="T3357" t="s">
        <v>12568</v>
      </c>
      <c r="U3357" t="s">
        <v>12568</v>
      </c>
      <c r="V3357" t="s">
        <v>12568</v>
      </c>
      <c r="W3357" t="s">
        <v>15885</v>
      </c>
      <c r="X3357">
        <v>15</v>
      </c>
      <c r="Y3357" t="s">
        <v>22017</v>
      </c>
      <c r="Z3357" t="s">
        <v>28227</v>
      </c>
      <c r="AA3357">
        <v>0.554888735095172</v>
      </c>
      <c r="AB3357" t="str">
        <f>HYPERLINK("Melting_Curves/meltCurve_Q53EZ4_CEP55.pdf", "Melting_Curves/meltCurve_Q53EZ4_CEP55.pdf")</f>
        <v>Melting_Curves/meltCurve_Q53EZ4_CEP55.pdf</v>
      </c>
    </row>
    <row r="3358" spans="1:28" x14ac:dyDescent="0.25">
      <c r="A3358" t="s">
        <v>3362</v>
      </c>
      <c r="B3358">
        <v>0.99352677808782597</v>
      </c>
      <c r="C3358">
        <v>1.0109779641296399</v>
      </c>
      <c r="D3358">
        <v>1.0292501519116699</v>
      </c>
      <c r="E3358">
        <v>0.91175520572633095</v>
      </c>
      <c r="F3358">
        <v>0.78333595599860195</v>
      </c>
      <c r="G3358">
        <v>0.64908660602658497</v>
      </c>
      <c r="H3358">
        <v>0.70958440504655795</v>
      </c>
      <c r="I3358">
        <v>0.70084359261656703</v>
      </c>
      <c r="J3358">
        <v>0.58954826509987501</v>
      </c>
      <c r="K3358">
        <v>0.24974272858556101</v>
      </c>
      <c r="L3358">
        <v>464.76527199248102</v>
      </c>
      <c r="M3358">
        <v>6.9687505010983797</v>
      </c>
      <c r="N3358">
        <v>66.692769616387594</v>
      </c>
      <c r="O3358">
        <v>61.851525877865001</v>
      </c>
      <c r="P3358">
        <v>-2.8220337870071499E-2</v>
      </c>
      <c r="Q3358">
        <v>0</v>
      </c>
      <c r="R3358">
        <v>0.84193467796224997</v>
      </c>
      <c r="S3358" t="s">
        <v>9643</v>
      </c>
      <c r="T3358" t="s">
        <v>12568</v>
      </c>
      <c r="U3358" t="s">
        <v>12568</v>
      </c>
      <c r="V3358" t="s">
        <v>12568</v>
      </c>
      <c r="W3358" t="s">
        <v>15886</v>
      </c>
      <c r="X3358">
        <v>19</v>
      </c>
      <c r="Y3358" t="s">
        <v>22018</v>
      </c>
      <c r="Z3358" t="s">
        <v>28228</v>
      </c>
      <c r="AA3358">
        <v>0.77260079982944063</v>
      </c>
      <c r="AB3358" t="str">
        <f>HYPERLINK("Melting_Curves/meltCurve_Q53FA7_TP53I3.pdf", "Melting_Curves/meltCurve_Q53FA7_TP53I3.pdf")</f>
        <v>Melting_Curves/meltCurve_Q53FA7_TP53I3.pdf</v>
      </c>
    </row>
    <row r="3359" spans="1:28" x14ac:dyDescent="0.25">
      <c r="A3359" t="s">
        <v>3363</v>
      </c>
      <c r="B3359">
        <v>0.99352677808782597</v>
      </c>
      <c r="C3359">
        <v>1.03763837699329</v>
      </c>
      <c r="D3359">
        <v>1.0468950220395501</v>
      </c>
      <c r="E3359">
        <v>0.89878169968063304</v>
      </c>
      <c r="F3359">
        <v>0.82185657091507303</v>
      </c>
      <c r="G3359">
        <v>0.55533496728919296</v>
      </c>
      <c r="H3359">
        <v>0.16741108162566701</v>
      </c>
      <c r="I3359">
        <v>8.0702933071811603E-2</v>
      </c>
      <c r="J3359">
        <v>5.3547815557106603E-2</v>
      </c>
      <c r="K3359">
        <v>3.9204719917313599E-2</v>
      </c>
      <c r="L3359">
        <v>1211.3461770063</v>
      </c>
      <c r="M3359">
        <v>21.212588325723299</v>
      </c>
      <c r="N3359">
        <v>57.116110454801102</v>
      </c>
      <c r="O3359">
        <v>56.604827607658699</v>
      </c>
      <c r="P3359">
        <v>-9.3497788553828301E-2</v>
      </c>
      <c r="Q3359">
        <v>2.0473529712094099E-3</v>
      </c>
      <c r="R3359">
        <v>0.99331657218677205</v>
      </c>
      <c r="S3359" t="s">
        <v>9644</v>
      </c>
      <c r="T3359" t="s">
        <v>12568</v>
      </c>
      <c r="U3359" t="s">
        <v>12568</v>
      </c>
      <c r="V3359" t="s">
        <v>12568</v>
      </c>
      <c r="W3359" t="s">
        <v>15887</v>
      </c>
      <c r="X3359">
        <v>2</v>
      </c>
      <c r="Y3359" t="s">
        <v>22019</v>
      </c>
      <c r="Z3359" t="s">
        <v>28229</v>
      </c>
      <c r="AA3359">
        <v>0.58234337088746113</v>
      </c>
      <c r="AB3359" t="str">
        <f>HYPERLINK("Melting_Curves/meltCurve_Q53FT3_C11orf73.pdf", "Melting_Curves/meltCurve_Q53FT3_C11orf73.pdf")</f>
        <v>Melting_Curves/meltCurve_Q53FT3_C11orf73.pdf</v>
      </c>
    </row>
    <row r="3360" spans="1:28" x14ac:dyDescent="0.25">
      <c r="A3360" t="s">
        <v>3364</v>
      </c>
      <c r="B3360">
        <v>0.99352677808782597</v>
      </c>
      <c r="C3360">
        <v>0.90810462279835602</v>
      </c>
      <c r="D3360">
        <v>1.0039722876849999</v>
      </c>
      <c r="E3360">
        <v>1.1377507103583</v>
      </c>
      <c r="F3360">
        <v>1.2636238145541601</v>
      </c>
      <c r="G3360">
        <v>1.20952770827116</v>
      </c>
      <c r="H3360">
        <v>1.02721026729923</v>
      </c>
      <c r="I3360">
        <v>1.3867362255928299</v>
      </c>
      <c r="J3360">
        <v>1.5395601456427199</v>
      </c>
      <c r="K3360">
        <v>1.5614232049529599</v>
      </c>
      <c r="L3360">
        <v>628.46433567032102</v>
      </c>
      <c r="M3360">
        <v>10.8209033700396</v>
      </c>
      <c r="O3360">
        <v>56.200705399868397</v>
      </c>
      <c r="P3360">
        <v>2.4076182780287701E-2</v>
      </c>
      <c r="Q3360">
        <v>1.5</v>
      </c>
      <c r="R3360">
        <v>0.68950283182703598</v>
      </c>
      <c r="S3360" t="s">
        <v>9645</v>
      </c>
      <c r="T3360" t="s">
        <v>12568</v>
      </c>
      <c r="U3360" t="s">
        <v>12568</v>
      </c>
      <c r="V3360" t="s">
        <v>12568</v>
      </c>
      <c r="W3360" t="s">
        <v>15888</v>
      </c>
      <c r="X3360">
        <v>2</v>
      </c>
      <c r="Y3360" t="s">
        <v>22020</v>
      </c>
      <c r="Z3360" t="s">
        <v>28230</v>
      </c>
      <c r="AA3360">
        <v>1.19321072918259</v>
      </c>
      <c r="AB3360" t="str">
        <f>HYPERLINK("Melting_Curves/meltCurve_Q53G59_KLHL12.pdf", "Melting_Curves/meltCurve_Q53G59_KLHL12.pdf")</f>
        <v>Melting_Curves/meltCurve_Q53G59_KLHL12.pdf</v>
      </c>
    </row>
    <row r="3361" spans="1:28" x14ac:dyDescent="0.25">
      <c r="A3361" t="s">
        <v>3365</v>
      </c>
      <c r="B3361">
        <v>0.99352677808782597</v>
      </c>
      <c r="C3361">
        <v>0.69396135266709802</v>
      </c>
      <c r="D3361">
        <v>0.55979045709978503</v>
      </c>
      <c r="E3361">
        <v>0.31215454566001199</v>
      </c>
      <c r="F3361">
        <v>0.23060618648004499</v>
      </c>
      <c r="G3361">
        <v>0.17292316116384199</v>
      </c>
      <c r="H3361">
        <v>7.4477632455684201E-2</v>
      </c>
      <c r="I3361">
        <v>7.1981435752692793E-2</v>
      </c>
      <c r="J3361">
        <v>5.8932084815844998E-2</v>
      </c>
      <c r="K3361">
        <v>5.40327172187587E-2</v>
      </c>
      <c r="L3361">
        <v>604.78577470283801</v>
      </c>
      <c r="M3361">
        <v>13.0134873102872</v>
      </c>
      <c r="N3361">
        <v>46.867912564569302</v>
      </c>
      <c r="O3361">
        <v>45.4174175132515</v>
      </c>
      <c r="P3361">
        <v>-6.7931783436210799E-2</v>
      </c>
      <c r="Q3361">
        <v>5.1831898566828197E-2</v>
      </c>
      <c r="R3361">
        <v>0.98239186050349903</v>
      </c>
      <c r="S3361" t="s">
        <v>9646</v>
      </c>
      <c r="T3361" t="s">
        <v>12568</v>
      </c>
      <c r="U3361" t="s">
        <v>12568</v>
      </c>
      <c r="V3361" t="s">
        <v>12568</v>
      </c>
      <c r="W3361" t="s">
        <v>15889</v>
      </c>
      <c r="X3361">
        <v>2</v>
      </c>
      <c r="Y3361" t="s">
        <v>22021</v>
      </c>
      <c r="Z3361" t="s">
        <v>28231</v>
      </c>
      <c r="AA3361">
        <v>0.29199245739975133</v>
      </c>
      <c r="AB3361" t="str">
        <f>HYPERLINK("Melting_Curves/meltCurve_Q53GA4_PHLDA2.pdf", "Melting_Curves/meltCurve_Q53GA4_PHLDA2.pdf")</f>
        <v>Melting_Curves/meltCurve_Q53GA4_PHLDA2.pdf</v>
      </c>
    </row>
    <row r="3362" spans="1:28" x14ac:dyDescent="0.25">
      <c r="A3362" t="s">
        <v>3366</v>
      </c>
      <c r="B3362">
        <v>0.99352677808782597</v>
      </c>
      <c r="C3362">
        <v>0.90256425764232096</v>
      </c>
      <c r="D3362">
        <v>0.83436741221562105</v>
      </c>
      <c r="E3362">
        <v>0.41329411833923801</v>
      </c>
      <c r="F3362">
        <v>0.35432553737904099</v>
      </c>
      <c r="G3362">
        <v>0.25401608909679901</v>
      </c>
      <c r="H3362">
        <v>0.14594775173770499</v>
      </c>
      <c r="I3362">
        <v>0.12495909429265201</v>
      </c>
      <c r="J3362">
        <v>8.7374288121604804E-2</v>
      </c>
      <c r="K3362">
        <v>8.2606552070036698E-2</v>
      </c>
      <c r="L3362">
        <v>758.72093069309699</v>
      </c>
      <c r="M3362">
        <v>15.392360974555</v>
      </c>
      <c r="N3362">
        <v>49.986620327069403</v>
      </c>
      <c r="O3362">
        <v>48.4825278579059</v>
      </c>
      <c r="P3362">
        <v>-7.1735591155229497E-2</v>
      </c>
      <c r="Q3362">
        <v>9.6277590617707395E-2</v>
      </c>
      <c r="R3362">
        <v>0.98546802007863299</v>
      </c>
      <c r="S3362" t="s">
        <v>9647</v>
      </c>
      <c r="T3362" t="s">
        <v>12568</v>
      </c>
      <c r="U3362" t="s">
        <v>12568</v>
      </c>
      <c r="V3362" t="s">
        <v>12568</v>
      </c>
      <c r="W3362" t="s">
        <v>15890</v>
      </c>
      <c r="X3362">
        <v>3</v>
      </c>
      <c r="Y3362" t="s">
        <v>22022</v>
      </c>
      <c r="Z3362" t="s">
        <v>28232</v>
      </c>
      <c r="AA3362">
        <v>0.39722643671595448</v>
      </c>
      <c r="AB3362" t="str">
        <f>HYPERLINK("Melting_Curves/meltCurve_Q53H54_TRMT12.pdf", "Melting_Curves/meltCurve_Q53H54_TRMT12.pdf")</f>
        <v>Melting_Curves/meltCurve_Q53H54_TRMT12.pdf</v>
      </c>
    </row>
    <row r="3363" spans="1:28" x14ac:dyDescent="0.25">
      <c r="A3363" t="s">
        <v>3367</v>
      </c>
      <c r="B3363">
        <v>0.99352677808782597</v>
      </c>
      <c r="C3363">
        <v>0.94932263597106004</v>
      </c>
      <c r="D3363">
        <v>0.976704470215635</v>
      </c>
      <c r="E3363">
        <v>0.88313020602090297</v>
      </c>
      <c r="F3363">
        <v>0.75795690231869095</v>
      </c>
      <c r="G3363">
        <v>0.71265953458268905</v>
      </c>
      <c r="H3363">
        <v>0.625345067803324</v>
      </c>
      <c r="I3363">
        <v>0.67009599727768299</v>
      </c>
      <c r="J3363">
        <v>0.58809426678782994</v>
      </c>
      <c r="K3363">
        <v>0.38209870713419403</v>
      </c>
      <c r="L3363">
        <v>359.80238919035799</v>
      </c>
      <c r="M3363">
        <v>5.2742870795579497</v>
      </c>
      <c r="N3363">
        <v>68.218217941217006</v>
      </c>
      <c r="O3363">
        <v>60.257614200209098</v>
      </c>
      <c r="P3363">
        <v>-2.1993794655533298E-2</v>
      </c>
      <c r="Q3363">
        <v>0</v>
      </c>
      <c r="R3363">
        <v>0.92533133992558603</v>
      </c>
      <c r="S3363" t="s">
        <v>9648</v>
      </c>
      <c r="T3363" t="s">
        <v>12568</v>
      </c>
      <c r="U3363" t="s">
        <v>12568</v>
      </c>
      <c r="V3363" t="s">
        <v>12568</v>
      </c>
      <c r="W3363" t="s">
        <v>15891</v>
      </c>
      <c r="X3363">
        <v>23</v>
      </c>
      <c r="Y3363" t="s">
        <v>22023</v>
      </c>
      <c r="Z3363" t="s">
        <v>28233</v>
      </c>
      <c r="AA3363">
        <v>0.75931341992329238</v>
      </c>
      <c r="AB3363" t="str">
        <f>HYPERLINK("Melting_Curves/meltCurve_Q53H82_LACTB2.pdf", "Melting_Curves/meltCurve_Q53H82_LACTB2.pdf")</f>
        <v>Melting_Curves/meltCurve_Q53H82_LACTB2.pdf</v>
      </c>
    </row>
    <row r="3364" spans="1:28" x14ac:dyDescent="0.25">
      <c r="A3364" t="s">
        <v>3368</v>
      </c>
      <c r="B3364">
        <v>0.99352677808782597</v>
      </c>
      <c r="C3364">
        <v>0.95962399536379095</v>
      </c>
      <c r="D3364">
        <v>0.92639277392158204</v>
      </c>
      <c r="E3364">
        <v>0.75246766883267602</v>
      </c>
      <c r="F3364">
        <v>0.67222373524111501</v>
      </c>
      <c r="G3364">
        <v>0.303364749698319</v>
      </c>
      <c r="H3364">
        <v>0.15791876878639799</v>
      </c>
      <c r="I3364">
        <v>0.14304747816862201</v>
      </c>
      <c r="J3364">
        <v>0.113801695878639</v>
      </c>
      <c r="K3364">
        <v>9.9081466987101102E-2</v>
      </c>
      <c r="L3364">
        <v>879.40322705326196</v>
      </c>
      <c r="M3364">
        <v>16.315661318705601</v>
      </c>
      <c r="N3364">
        <v>54.376142032148302</v>
      </c>
      <c r="O3364">
        <v>53.109141336819697</v>
      </c>
      <c r="P3364">
        <v>-7.1688843847195496E-2</v>
      </c>
      <c r="Q3364">
        <v>6.6649808405934499E-2</v>
      </c>
      <c r="R3364">
        <v>0.99162026133228698</v>
      </c>
      <c r="S3364" t="s">
        <v>9649</v>
      </c>
      <c r="T3364" t="s">
        <v>12568</v>
      </c>
      <c r="U3364" t="s">
        <v>12568</v>
      </c>
      <c r="V3364" t="s">
        <v>12568</v>
      </c>
      <c r="W3364" t="s">
        <v>15892</v>
      </c>
      <c r="X3364">
        <v>10</v>
      </c>
      <c r="Y3364" t="s">
        <v>22024</v>
      </c>
      <c r="Z3364" t="s">
        <v>28234</v>
      </c>
      <c r="AA3364">
        <v>0.51632148115772336</v>
      </c>
      <c r="AB3364" t="str">
        <f>HYPERLINK("Melting_Curves/meltCurve_Q53HC9_TSSC1.pdf", "Melting_Curves/meltCurve_Q53HC9_TSSC1.pdf")</f>
        <v>Melting_Curves/meltCurve_Q53HC9_TSSC1.pdf</v>
      </c>
    </row>
    <row r="3365" spans="1:28" x14ac:dyDescent="0.25">
      <c r="A3365" t="s">
        <v>3369</v>
      </c>
      <c r="B3365">
        <v>0.99352677808782597</v>
      </c>
      <c r="C3365">
        <v>0.92336623621578595</v>
      </c>
      <c r="D3365">
        <v>0.91207113151871999</v>
      </c>
      <c r="E3365">
        <v>0.30569759564783899</v>
      </c>
      <c r="F3365">
        <v>0.246197224554565</v>
      </c>
      <c r="G3365">
        <v>0.13325272316515199</v>
      </c>
      <c r="H3365">
        <v>8.5536703777021897E-2</v>
      </c>
      <c r="I3365">
        <v>8.0335238739461898E-2</v>
      </c>
      <c r="J3365">
        <v>6.9626067014783993E-2</v>
      </c>
      <c r="K3365">
        <v>5.4562757641631203E-2</v>
      </c>
      <c r="L3365">
        <v>1497.70487842991</v>
      </c>
      <c r="M3365">
        <v>30.824477683109901</v>
      </c>
      <c r="N3365">
        <v>48.912015439524801</v>
      </c>
      <c r="O3365">
        <v>48.385041544779902</v>
      </c>
      <c r="P3365">
        <v>-0.14456621046245099</v>
      </c>
      <c r="Q3365">
        <v>9.2305639314640697E-2</v>
      </c>
      <c r="R3365">
        <v>0.98572273126834298</v>
      </c>
      <c r="S3365" t="s">
        <v>9650</v>
      </c>
      <c r="T3365" t="s">
        <v>12568</v>
      </c>
      <c r="U3365" t="s">
        <v>12568</v>
      </c>
      <c r="V3365" t="s">
        <v>12568</v>
      </c>
      <c r="W3365" t="s">
        <v>15893</v>
      </c>
      <c r="X3365">
        <v>2</v>
      </c>
      <c r="Y3365" t="s">
        <v>22025</v>
      </c>
      <c r="Z3365" t="s">
        <v>28235</v>
      </c>
      <c r="AA3365">
        <v>0.35735235257163661</v>
      </c>
      <c r="AB3365" t="str">
        <f>HYPERLINK("Melting_Curves/meltCurve_Q53HV7_SMUG1.pdf", "Melting_Curves/meltCurve_Q53HV7_SMUG1.pdf")</f>
        <v>Melting_Curves/meltCurve_Q53HV7_SMUG1.pdf</v>
      </c>
    </row>
    <row r="3366" spans="1:28" x14ac:dyDescent="0.25">
      <c r="A3366" t="s">
        <v>3370</v>
      </c>
      <c r="B3366">
        <v>0.99352677808782597</v>
      </c>
      <c r="C3366">
        <v>0.88630986517839605</v>
      </c>
      <c r="D3366">
        <v>0.854159501350505</v>
      </c>
      <c r="E3366">
        <v>0.54768109149808897</v>
      </c>
      <c r="F3366">
        <v>0.56123606098130097</v>
      </c>
      <c r="G3366">
        <v>0.37192614743549601</v>
      </c>
      <c r="H3366">
        <v>0.280147753859112</v>
      </c>
      <c r="I3366">
        <v>0.27180906936302501</v>
      </c>
      <c r="J3366">
        <v>0.248283447897721</v>
      </c>
      <c r="K3366">
        <v>0.22850158983763999</v>
      </c>
      <c r="L3366">
        <v>588.41870050752402</v>
      </c>
      <c r="M3366">
        <v>11.629946805461399</v>
      </c>
      <c r="N3366">
        <v>52.9465033808942</v>
      </c>
      <c r="O3366">
        <v>49.168653431112297</v>
      </c>
      <c r="P3366">
        <v>-4.7219048464113303E-2</v>
      </c>
      <c r="Q3366">
        <v>0.20169355312293399</v>
      </c>
      <c r="R3366">
        <v>0.98140803936739995</v>
      </c>
      <c r="S3366" t="s">
        <v>9651</v>
      </c>
      <c r="T3366" t="s">
        <v>12568</v>
      </c>
      <c r="U3366" t="s">
        <v>12568</v>
      </c>
      <c r="V3366" t="s">
        <v>12568</v>
      </c>
      <c r="W3366" t="s">
        <v>15894</v>
      </c>
      <c r="X3366">
        <v>6</v>
      </c>
      <c r="Y3366" t="s">
        <v>22026</v>
      </c>
      <c r="Z3366" t="s">
        <v>28236</v>
      </c>
      <c r="AA3366">
        <v>0.51156764543695321</v>
      </c>
      <c r="AB3366" t="str">
        <f>HYPERLINK("Melting_Curves/meltCurve_Q53LP3_SOWAHC.pdf", "Melting_Curves/meltCurve_Q53LP3_SOWAHC.pdf")</f>
        <v>Melting_Curves/meltCurve_Q53LP3_SOWAHC.pdf</v>
      </c>
    </row>
    <row r="3367" spans="1:28" x14ac:dyDescent="0.25">
      <c r="A3367" t="s">
        <v>3371</v>
      </c>
      <c r="B3367">
        <v>0.99352677808782597</v>
      </c>
      <c r="C3367">
        <v>0.97317537419809697</v>
      </c>
      <c r="D3367">
        <v>0.90929080361829695</v>
      </c>
      <c r="E3367">
        <v>0.80668457134529603</v>
      </c>
      <c r="F3367">
        <v>0.71460883048929802</v>
      </c>
      <c r="G3367">
        <v>0.56931326092120105</v>
      </c>
      <c r="H3367">
        <v>0.45033838697245798</v>
      </c>
      <c r="I3367">
        <v>0.46706718978626299</v>
      </c>
      <c r="J3367">
        <v>0.46222219773102602</v>
      </c>
      <c r="K3367">
        <v>0.34954716918780998</v>
      </c>
      <c r="L3367">
        <v>614.36611888287496</v>
      </c>
      <c r="M3367">
        <v>11.4198145507577</v>
      </c>
      <c r="N3367">
        <v>60.159383484056399</v>
      </c>
      <c r="O3367">
        <v>52.227836764985398</v>
      </c>
      <c r="P3367">
        <v>-3.5512679607402599E-2</v>
      </c>
      <c r="Q3367">
        <v>0.35052920915311703</v>
      </c>
      <c r="R3367">
        <v>0.987335983372433</v>
      </c>
      <c r="S3367" t="s">
        <v>9652</v>
      </c>
      <c r="T3367" t="s">
        <v>12568</v>
      </c>
      <c r="U3367" t="s">
        <v>12568</v>
      </c>
      <c r="V3367" t="s">
        <v>12568</v>
      </c>
      <c r="W3367" t="s">
        <v>15895</v>
      </c>
      <c r="X3367">
        <v>4</v>
      </c>
      <c r="Y3367" t="s">
        <v>22027</v>
      </c>
      <c r="Z3367" t="s">
        <v>28237</v>
      </c>
      <c r="AA3367">
        <v>0.66735012914971958</v>
      </c>
      <c r="AB3367" t="str">
        <f>HYPERLINK("Melting_Curves/meltCurve_Q53QV2_LBH.pdf", "Melting_Curves/meltCurve_Q53QV2_LBH.pdf")</f>
        <v>Melting_Curves/meltCurve_Q53QV2_LBH.pdf</v>
      </c>
    </row>
    <row r="3368" spans="1:28" x14ac:dyDescent="0.25">
      <c r="A3368" t="s">
        <v>3372</v>
      </c>
      <c r="B3368">
        <v>0.99352677808782597</v>
      </c>
      <c r="C3368">
        <v>0.93302048651588698</v>
      </c>
      <c r="D3368">
        <v>1.0000837579440101</v>
      </c>
      <c r="E3368">
        <v>1.0302555768341799</v>
      </c>
      <c r="F3368">
        <v>1.0003913225730701</v>
      </c>
      <c r="G3368">
        <v>0.97694935649332104</v>
      </c>
      <c r="H3368">
        <v>0.87122068101627204</v>
      </c>
      <c r="I3368">
        <v>0.97054912245964997</v>
      </c>
      <c r="J3368">
        <v>0.88213026647415804</v>
      </c>
      <c r="K3368">
        <v>0.85428717712371105</v>
      </c>
      <c r="L3368">
        <v>740.95240397699899</v>
      </c>
      <c r="M3368">
        <v>11.282706318416301</v>
      </c>
      <c r="O3368">
        <v>63.709934754107898</v>
      </c>
      <c r="P3368">
        <v>-9.1010946179206093E-3</v>
      </c>
      <c r="Q3368">
        <v>0.79449869022514896</v>
      </c>
      <c r="R3368">
        <v>0.59476931243280295</v>
      </c>
      <c r="S3368" t="s">
        <v>9653</v>
      </c>
      <c r="T3368" t="s">
        <v>12568</v>
      </c>
      <c r="U3368" t="s">
        <v>12568</v>
      </c>
      <c r="V3368" t="s">
        <v>12568</v>
      </c>
      <c r="W3368" t="s">
        <v>15896</v>
      </c>
      <c r="X3368">
        <v>7</v>
      </c>
      <c r="Y3368" t="s">
        <v>22028</v>
      </c>
      <c r="Z3368" t="s">
        <v>28238</v>
      </c>
      <c r="AA3368">
        <v>0.95951965723869648</v>
      </c>
      <c r="AB3368" t="str">
        <f>HYPERLINK("Melting_Curves/meltCurve_Q53S33_BOLA3.pdf", "Melting_Curves/meltCurve_Q53S33_BOLA3.pdf")</f>
        <v>Melting_Curves/meltCurve_Q53S33_BOLA3.pdf</v>
      </c>
    </row>
    <row r="3369" spans="1:28" x14ac:dyDescent="0.25">
      <c r="A3369" t="s">
        <v>3373</v>
      </c>
      <c r="B3369">
        <v>0.99352677808782597</v>
      </c>
      <c r="C3369">
        <v>0.94740051102205403</v>
      </c>
      <c r="D3369">
        <v>0.83993721650960396</v>
      </c>
      <c r="E3369">
        <v>0.47966779475716498</v>
      </c>
      <c r="F3369">
        <v>0.393663268678422</v>
      </c>
      <c r="G3369">
        <v>0.32806072255445701</v>
      </c>
      <c r="H3369">
        <v>0.28777348355715499</v>
      </c>
      <c r="I3369">
        <v>0.26540781187446399</v>
      </c>
      <c r="J3369">
        <v>0.24589166748351399</v>
      </c>
      <c r="K3369">
        <v>0.195950551896202</v>
      </c>
      <c r="L3369">
        <v>955.80110710343502</v>
      </c>
      <c r="M3369">
        <v>19.675324756763299</v>
      </c>
      <c r="N3369">
        <v>50.360400577479098</v>
      </c>
      <c r="O3369">
        <v>48.085190668093702</v>
      </c>
      <c r="P3369">
        <v>-7.6647696131304899E-2</v>
      </c>
      <c r="Q3369">
        <v>0.25073838352384498</v>
      </c>
      <c r="R3369">
        <v>0.99013113816780696</v>
      </c>
      <c r="S3369" t="s">
        <v>9654</v>
      </c>
      <c r="T3369" t="s">
        <v>12568</v>
      </c>
      <c r="U3369" t="s">
        <v>12568</v>
      </c>
      <c r="V3369" t="s">
        <v>12568</v>
      </c>
      <c r="W3369" t="s">
        <v>15897</v>
      </c>
      <c r="X3369">
        <v>7</v>
      </c>
      <c r="Y3369" t="s">
        <v>22029</v>
      </c>
      <c r="Z3369" t="s">
        <v>28239</v>
      </c>
      <c r="AA3369">
        <v>0.47590202639705448</v>
      </c>
      <c r="AB3369" t="str">
        <f>HYPERLINK("Melting_Curves/meltCurve_Q53SF7_4_COBLL1.pdf", "Melting_Curves/meltCurve_Q53SF7_4_COBLL1.pdf")</f>
        <v>Melting_Curves/meltCurve_Q53SF7_4_COBLL1.pdf</v>
      </c>
    </row>
    <row r="3370" spans="1:28" x14ac:dyDescent="0.25">
      <c r="A3370" t="s">
        <v>3374</v>
      </c>
      <c r="B3370">
        <v>0.99352677808782597</v>
      </c>
      <c r="C3370">
        <v>0.956489687400225</v>
      </c>
      <c r="D3370">
        <v>1.0667406100816601</v>
      </c>
      <c r="E3370">
        <v>0.75133918849320502</v>
      </c>
      <c r="F3370">
        <v>0.64649935325208496</v>
      </c>
      <c r="G3370">
        <v>0.356311642826873</v>
      </c>
      <c r="H3370">
        <v>0.16599796131903599</v>
      </c>
      <c r="I3370">
        <v>0.150918747772151</v>
      </c>
      <c r="J3370">
        <v>0.12557917952483999</v>
      </c>
      <c r="K3370">
        <v>9.8565967921321399E-2</v>
      </c>
      <c r="L3370">
        <v>957.38470154897595</v>
      </c>
      <c r="M3370">
        <v>17.7310225572745</v>
      </c>
      <c r="N3370">
        <v>54.588464133862402</v>
      </c>
      <c r="O3370">
        <v>53.322133756883801</v>
      </c>
      <c r="P3370">
        <v>-7.58469297573406E-2</v>
      </c>
      <c r="Q3370">
        <v>8.7676210777412902E-2</v>
      </c>
      <c r="R3370">
        <v>0.98617903093952297</v>
      </c>
      <c r="S3370" t="s">
        <v>9655</v>
      </c>
      <c r="T3370" t="s">
        <v>12568</v>
      </c>
      <c r="U3370" t="s">
        <v>12568</v>
      </c>
      <c r="V3370" t="s">
        <v>12568</v>
      </c>
      <c r="W3370" t="s">
        <v>15898</v>
      </c>
      <c r="X3370">
        <v>15</v>
      </c>
      <c r="Y3370" t="s">
        <v>22030</v>
      </c>
      <c r="Z3370" t="s">
        <v>28240</v>
      </c>
      <c r="AA3370">
        <v>0.52819913789822681</v>
      </c>
      <c r="AB3370" t="str">
        <f>HYPERLINK("Melting_Curves/meltCurve_Q53T59_HS1BP3.pdf", "Melting_Curves/meltCurve_Q53T59_HS1BP3.pdf")</f>
        <v>Melting_Curves/meltCurve_Q53T59_HS1BP3.pdf</v>
      </c>
    </row>
    <row r="3371" spans="1:28" x14ac:dyDescent="0.25">
      <c r="A3371" t="s">
        <v>3375</v>
      </c>
      <c r="B3371">
        <v>0.99352677808782597</v>
      </c>
      <c r="C3371">
        <v>0.89879737288519301</v>
      </c>
      <c r="D3371">
        <v>0.77621318304528097</v>
      </c>
      <c r="E3371">
        <v>0.51721972507129399</v>
      </c>
      <c r="F3371">
        <v>0.39412465618461001</v>
      </c>
      <c r="G3371">
        <v>0.24710443951460401</v>
      </c>
      <c r="H3371">
        <v>0.13378483161386201</v>
      </c>
      <c r="I3371">
        <v>0.129561354499554</v>
      </c>
      <c r="J3371">
        <v>0.112380498371579</v>
      </c>
      <c r="K3371">
        <v>0.12103439079685401</v>
      </c>
      <c r="L3371">
        <v>661.48856205169704</v>
      </c>
      <c r="M3371">
        <v>13.2589379867788</v>
      </c>
      <c r="N3371">
        <v>50.611178937154598</v>
      </c>
      <c r="O3371">
        <v>48.796103693792702</v>
      </c>
      <c r="P3371">
        <v>-6.2093207131689698E-2</v>
      </c>
      <c r="Q3371">
        <v>8.6077339499198505E-2</v>
      </c>
      <c r="R3371">
        <v>0.99744598086178005</v>
      </c>
      <c r="S3371" t="s">
        <v>9656</v>
      </c>
      <c r="T3371" t="s">
        <v>12568</v>
      </c>
      <c r="U3371" t="s">
        <v>12568</v>
      </c>
      <c r="V3371" t="s">
        <v>12568</v>
      </c>
      <c r="W3371" t="s">
        <v>15899</v>
      </c>
      <c r="X3371">
        <v>2</v>
      </c>
      <c r="Y3371" t="s">
        <v>22031</v>
      </c>
      <c r="Z3371" t="s">
        <v>28241</v>
      </c>
      <c r="AA3371">
        <v>0.41444423024397831</v>
      </c>
      <c r="AB3371" t="str">
        <f>HYPERLINK("Melting_Curves/meltCurve_Q562E7_WDR81.pdf", "Melting_Curves/meltCurve_Q562E7_WDR81.pdf")</f>
        <v>Melting_Curves/meltCurve_Q562E7_WDR81.pdf</v>
      </c>
    </row>
    <row r="3372" spans="1:28" x14ac:dyDescent="0.25">
      <c r="A3372" t="s">
        <v>3376</v>
      </c>
      <c r="B3372">
        <v>0.99352677808782597</v>
      </c>
      <c r="C3372">
        <v>0.98473938030900099</v>
      </c>
      <c r="D3372">
        <v>0.79358128062329503</v>
      </c>
      <c r="E3372">
        <v>0.90247827840975103</v>
      </c>
      <c r="F3372">
        <v>0.80754341033494803</v>
      </c>
      <c r="G3372">
        <v>0.66672363512052302</v>
      </c>
      <c r="H3372">
        <v>0.55012676751322298</v>
      </c>
      <c r="I3372">
        <v>0.55248141231865799</v>
      </c>
      <c r="J3372">
        <v>0.622321589405887</v>
      </c>
      <c r="K3372">
        <v>0.46466178708761002</v>
      </c>
      <c r="L3372">
        <v>439.63995993759897</v>
      </c>
      <c r="M3372">
        <v>7.8119100182844603</v>
      </c>
      <c r="O3372">
        <v>52.947624529432098</v>
      </c>
      <c r="P3372">
        <v>-2.2276008967117299E-2</v>
      </c>
      <c r="Q3372">
        <v>0.39681558277293</v>
      </c>
      <c r="R3372">
        <v>0.89235823781158097</v>
      </c>
      <c r="S3372" t="s">
        <v>9657</v>
      </c>
      <c r="T3372" t="s">
        <v>12568</v>
      </c>
      <c r="U3372" t="s">
        <v>12568</v>
      </c>
      <c r="V3372" t="s">
        <v>12568</v>
      </c>
      <c r="W3372" t="s">
        <v>15900</v>
      </c>
      <c r="X3372">
        <v>6</v>
      </c>
      <c r="Y3372" t="s">
        <v>22032</v>
      </c>
      <c r="Z3372" t="s">
        <v>28242</v>
      </c>
      <c r="AA3372">
        <v>0.73455947003326716</v>
      </c>
      <c r="AB3372" t="str">
        <f>HYPERLINK("Melting_Curves/meltCurve_Q562F6_2_SGOL2.pdf", "Melting_Curves/meltCurve_Q562F6_2_SGOL2.pdf")</f>
        <v>Melting_Curves/meltCurve_Q562F6_2_SGOL2.pdf</v>
      </c>
    </row>
    <row r="3373" spans="1:28" x14ac:dyDescent="0.25">
      <c r="A3373" t="s">
        <v>3377</v>
      </c>
      <c r="B3373">
        <v>0.99352677808782597</v>
      </c>
      <c r="C3373">
        <v>0.93102502106328</v>
      </c>
      <c r="D3373">
        <v>1.0094201181370499</v>
      </c>
      <c r="E3373">
        <v>0.83570228379364897</v>
      </c>
      <c r="F3373">
        <v>0.79099013487368197</v>
      </c>
      <c r="G3373">
        <v>0.35773750187585801</v>
      </c>
      <c r="H3373">
        <v>0.30634949052665</v>
      </c>
      <c r="I3373">
        <v>0.39543945000921599</v>
      </c>
      <c r="J3373">
        <v>0.45006178399442198</v>
      </c>
      <c r="K3373">
        <v>0.72319685740296502</v>
      </c>
      <c r="L3373">
        <v>2295.1827472055602</v>
      </c>
      <c r="M3373">
        <v>43.208456161019697</v>
      </c>
      <c r="N3373">
        <v>55.987197837742102</v>
      </c>
      <c r="O3373">
        <v>53.005430783766997</v>
      </c>
      <c r="P3373">
        <v>-0.113033519983385</v>
      </c>
      <c r="Q3373">
        <v>0.445351052769073</v>
      </c>
      <c r="R3373">
        <v>0.799336643228024</v>
      </c>
      <c r="S3373" t="s">
        <v>9658</v>
      </c>
      <c r="T3373" t="s">
        <v>12568</v>
      </c>
      <c r="U3373" t="s">
        <v>12568</v>
      </c>
      <c r="V3373" t="s">
        <v>12568</v>
      </c>
      <c r="W3373" t="s">
        <v>15901</v>
      </c>
      <c r="X3373">
        <v>10</v>
      </c>
      <c r="Y3373" t="s">
        <v>22033</v>
      </c>
      <c r="Z3373" t="s">
        <v>28243</v>
      </c>
      <c r="AA3373">
        <v>0.689638281580366</v>
      </c>
      <c r="AB3373" t="str">
        <f>HYPERLINK("Melting_Curves/meltCurve_Q567Q0_PPIA.pdf", "Melting_Curves/meltCurve_Q567Q0_PPIA.pdf")</f>
        <v>Melting_Curves/meltCurve_Q567Q0_PPIA.pdf</v>
      </c>
    </row>
    <row r="3374" spans="1:28" x14ac:dyDescent="0.25">
      <c r="A3374" t="s">
        <v>3378</v>
      </c>
      <c r="B3374">
        <v>0.99352677808782597</v>
      </c>
      <c r="C3374">
        <v>0.99250676990019004</v>
      </c>
      <c r="D3374">
        <v>0.94875776862674799</v>
      </c>
      <c r="E3374">
        <v>0.79736294017920695</v>
      </c>
      <c r="F3374">
        <v>0.69557040443803497</v>
      </c>
      <c r="G3374">
        <v>0.36716782912580898</v>
      </c>
      <c r="H3374">
        <v>0.23648368174244699</v>
      </c>
      <c r="I3374">
        <v>0.22426145177262399</v>
      </c>
      <c r="J3374">
        <v>0.20216482553100601</v>
      </c>
      <c r="K3374">
        <v>0.170289053987836</v>
      </c>
      <c r="L3374">
        <v>957.03889255326999</v>
      </c>
      <c r="M3374">
        <v>17.7502721994803</v>
      </c>
      <c r="N3374">
        <v>55.129886958304198</v>
      </c>
      <c r="O3374">
        <v>53.246493543466002</v>
      </c>
      <c r="P3374">
        <v>-6.9870871900060805E-2</v>
      </c>
      <c r="Q3374">
        <v>0.16166128841251001</v>
      </c>
      <c r="R3374">
        <v>0.99504671345964202</v>
      </c>
      <c r="S3374" t="s">
        <v>9659</v>
      </c>
      <c r="T3374" t="s">
        <v>12568</v>
      </c>
      <c r="U3374" t="s">
        <v>12568</v>
      </c>
      <c r="V3374" t="s">
        <v>12568</v>
      </c>
      <c r="W3374" t="s">
        <v>15902</v>
      </c>
      <c r="X3374">
        <v>2</v>
      </c>
      <c r="Y3374" t="s">
        <v>22034</v>
      </c>
      <c r="Z3374" t="s">
        <v>28244</v>
      </c>
      <c r="AA3374">
        <v>0.56428842477134344</v>
      </c>
      <c r="AB3374" t="str">
        <f>HYPERLINK("Melting_Curves/meltCurve_Q58A45_4_PAN3.pdf", "Melting_Curves/meltCurve_Q58A45_4_PAN3.pdf")</f>
        <v>Melting_Curves/meltCurve_Q58A45_4_PAN3.pdf</v>
      </c>
    </row>
    <row r="3375" spans="1:28" x14ac:dyDescent="0.25">
      <c r="A3375" t="s">
        <v>3379</v>
      </c>
      <c r="B3375">
        <v>0.99352677808782597</v>
      </c>
      <c r="C3375">
        <v>1.12296295016585</v>
      </c>
      <c r="D3375">
        <v>1.0367548992357101</v>
      </c>
      <c r="E3375">
        <v>0.85991965955636296</v>
      </c>
      <c r="F3375">
        <v>0.44810225841106199</v>
      </c>
      <c r="G3375">
        <v>0.312986146224212</v>
      </c>
      <c r="H3375">
        <v>0.17243076036841501</v>
      </c>
      <c r="I3375">
        <v>0.170752718209771</v>
      </c>
      <c r="J3375">
        <v>0.14172037889720901</v>
      </c>
      <c r="K3375">
        <v>0.108741603982816</v>
      </c>
      <c r="L3375">
        <v>1563.0348534729001</v>
      </c>
      <c r="M3375">
        <v>29.881680812152499</v>
      </c>
      <c r="N3375">
        <v>52.984512126439299</v>
      </c>
      <c r="O3375">
        <v>52.074874326713598</v>
      </c>
      <c r="P3375">
        <v>-0.120690197860679</v>
      </c>
      <c r="Q3375">
        <v>0.15869723565292601</v>
      </c>
      <c r="R3375">
        <v>0.97957710754558602</v>
      </c>
      <c r="S3375" t="s">
        <v>9660</v>
      </c>
      <c r="T3375" t="s">
        <v>12568</v>
      </c>
      <c r="U3375" t="s">
        <v>12568</v>
      </c>
      <c r="V3375" t="s">
        <v>12568</v>
      </c>
      <c r="W3375" t="s">
        <v>15903</v>
      </c>
      <c r="X3375">
        <v>17</v>
      </c>
      <c r="Y3375" t="s">
        <v>22035</v>
      </c>
      <c r="Z3375" t="s">
        <v>28245</v>
      </c>
      <c r="AA3375">
        <v>0.50928380247462524</v>
      </c>
      <c r="AB3375" t="str">
        <f>HYPERLINK("Melting_Curves/meltCurve_Q58FF8_HSP90AB2P.pdf", "Melting_Curves/meltCurve_Q58FF8_HSP90AB2P.pdf")</f>
        <v>Melting_Curves/meltCurve_Q58FF8_HSP90AB2P.pdf</v>
      </c>
    </row>
    <row r="3376" spans="1:28" x14ac:dyDescent="0.25">
      <c r="A3376" t="s">
        <v>3380</v>
      </c>
      <c r="B3376">
        <v>0.99352677808782597</v>
      </c>
      <c r="C3376">
        <v>1.0081038521824399</v>
      </c>
      <c r="D3376">
        <v>0.93069130608787398</v>
      </c>
      <c r="E3376">
        <v>0.59731133160636396</v>
      </c>
      <c r="F3376">
        <v>0.42375756237075601</v>
      </c>
      <c r="G3376">
        <v>0.29189015588920703</v>
      </c>
      <c r="H3376">
        <v>0.19938672307887501</v>
      </c>
      <c r="I3376">
        <v>0.168603205909023</v>
      </c>
      <c r="J3376">
        <v>0.16577900651119201</v>
      </c>
      <c r="K3376">
        <v>0.13008257469411</v>
      </c>
      <c r="L3376">
        <v>948.149809401727</v>
      </c>
      <c r="M3376">
        <v>18.675095521415901</v>
      </c>
      <c r="N3376">
        <v>51.805180023064402</v>
      </c>
      <c r="O3376">
        <v>50.199396231510697</v>
      </c>
      <c r="P3376">
        <v>-7.8534395243556904E-2</v>
      </c>
      <c r="Q3376">
        <v>0.155621649395775</v>
      </c>
      <c r="R3376">
        <v>0.994286393236674</v>
      </c>
      <c r="S3376" t="s">
        <v>9661</v>
      </c>
      <c r="T3376" t="s">
        <v>12568</v>
      </c>
      <c r="U3376" t="s">
        <v>12568</v>
      </c>
      <c r="V3376" t="s">
        <v>12568</v>
      </c>
      <c r="W3376" t="s">
        <v>15904</v>
      </c>
      <c r="X3376">
        <v>4</v>
      </c>
      <c r="Y3376" t="s">
        <v>22036</v>
      </c>
      <c r="Z3376" t="s">
        <v>28246</v>
      </c>
      <c r="AA3376">
        <v>0.47210831971753292</v>
      </c>
      <c r="AB3376" t="str">
        <f>HYPERLINK("Melting_Curves/meltCurve_Q58FG1_HSP90AA4P.pdf", "Melting_Curves/meltCurve_Q58FG1_HSP90AA4P.pdf")</f>
        <v>Melting_Curves/meltCurve_Q58FG1_HSP90AA4P.pdf</v>
      </c>
    </row>
    <row r="3377" spans="1:28" x14ac:dyDescent="0.25">
      <c r="A3377" t="s">
        <v>3381</v>
      </c>
      <c r="B3377">
        <v>0.99352677808782597</v>
      </c>
      <c r="C3377">
        <v>1.00826676150005</v>
      </c>
      <c r="D3377">
        <v>0.89207309488569098</v>
      </c>
      <c r="E3377">
        <v>0.76652073409802501</v>
      </c>
      <c r="F3377">
        <v>0.65186338659153797</v>
      </c>
      <c r="G3377">
        <v>0.420621230929143</v>
      </c>
      <c r="H3377">
        <v>0.18981083559911899</v>
      </c>
      <c r="I3377">
        <v>0.15406720812670199</v>
      </c>
      <c r="J3377">
        <v>0.13202391484401299</v>
      </c>
      <c r="K3377">
        <v>9.1085558064731995E-2</v>
      </c>
      <c r="L3377">
        <v>713.939809757229</v>
      </c>
      <c r="M3377">
        <v>13.010479654874899</v>
      </c>
      <c r="N3377">
        <v>55.1274050713454</v>
      </c>
      <c r="O3377">
        <v>53.626376813967497</v>
      </c>
      <c r="P3377">
        <v>-5.8904636778110898E-2</v>
      </c>
      <c r="Q3377">
        <v>2.9002652115503898E-2</v>
      </c>
      <c r="R3377">
        <v>0.99483085630555301</v>
      </c>
      <c r="S3377" t="s">
        <v>9662</v>
      </c>
      <c r="T3377" t="s">
        <v>12568</v>
      </c>
      <c r="U3377" t="s">
        <v>12568</v>
      </c>
      <c r="V3377" t="s">
        <v>12568</v>
      </c>
      <c r="W3377" t="s">
        <v>15905</v>
      </c>
      <c r="X3377">
        <v>10</v>
      </c>
      <c r="Y3377" t="s">
        <v>22037</v>
      </c>
      <c r="Z3377" t="s">
        <v>28247</v>
      </c>
      <c r="AA3377">
        <v>0.5321188278847262</v>
      </c>
      <c r="AB3377" t="str">
        <f>HYPERLINK("Melting_Curves/meltCurve_Q58WW2_DCAF6.pdf", "Melting_Curves/meltCurve_Q58WW2_DCAF6.pdf")</f>
        <v>Melting_Curves/meltCurve_Q58WW2_DCAF6.pdf</v>
      </c>
    </row>
    <row r="3378" spans="1:28" x14ac:dyDescent="0.25">
      <c r="A3378" t="s">
        <v>3382</v>
      </c>
      <c r="B3378">
        <v>0.99352677808782597</v>
      </c>
      <c r="C3378">
        <v>0.97961399150677098</v>
      </c>
      <c r="D3378">
        <v>0.96499316077428599</v>
      </c>
      <c r="E3378">
        <v>0.881856561311959</v>
      </c>
      <c r="F3378">
        <v>0.79741718005551498</v>
      </c>
      <c r="G3378">
        <v>0.69268965788105197</v>
      </c>
      <c r="H3378">
        <v>0.96048065178280695</v>
      </c>
      <c r="I3378">
        <v>0.724926718500013</v>
      </c>
      <c r="J3378">
        <v>0.68911387384887901</v>
      </c>
      <c r="K3378">
        <v>0.60181946093235195</v>
      </c>
      <c r="L3378">
        <v>270.63031702991299</v>
      </c>
      <c r="M3378">
        <v>3.2511748179882498</v>
      </c>
      <c r="O3378">
        <v>63.412252233784898</v>
      </c>
      <c r="P3378">
        <v>-1.3130504575699E-2</v>
      </c>
      <c r="Q3378">
        <v>0</v>
      </c>
      <c r="R3378">
        <v>0.67114923926597003</v>
      </c>
      <c r="S3378" t="s">
        <v>9663</v>
      </c>
      <c r="T3378" t="s">
        <v>12568</v>
      </c>
      <c r="U3378" t="s">
        <v>12568</v>
      </c>
      <c r="V3378" t="s">
        <v>12568</v>
      </c>
      <c r="W3378" t="s">
        <v>15906</v>
      </c>
      <c r="X3378">
        <v>3</v>
      </c>
      <c r="Y3378" t="s">
        <v>22038</v>
      </c>
      <c r="Z3378" t="s">
        <v>28248</v>
      </c>
      <c r="AA3378">
        <v>0.83076851069770208</v>
      </c>
      <c r="AB3378" t="str">
        <f>HYPERLINK("Melting_Curves/meltCurve_Q5BKU9_OXLD1.pdf", "Melting_Curves/meltCurve_Q5BKU9_OXLD1.pdf")</f>
        <v>Melting_Curves/meltCurve_Q5BKU9_OXLD1.pdf</v>
      </c>
    </row>
    <row r="3379" spans="1:28" x14ac:dyDescent="0.25">
      <c r="A3379" t="s">
        <v>3383</v>
      </c>
      <c r="B3379">
        <v>0.99352677808782597</v>
      </c>
      <c r="C3379">
        <v>0.86695960761878599</v>
      </c>
      <c r="D3379">
        <v>0.81228636490204298</v>
      </c>
      <c r="E3379">
        <v>0.60679230516266902</v>
      </c>
      <c r="F3379">
        <v>0.54789236504364702</v>
      </c>
      <c r="G3379">
        <v>0.36811502027082499</v>
      </c>
      <c r="H3379">
        <v>0.241563808827159</v>
      </c>
      <c r="I3379">
        <v>0.25696985813552398</v>
      </c>
      <c r="J3379">
        <v>0.23450613996363101</v>
      </c>
      <c r="K3379">
        <v>0.158837683689074</v>
      </c>
      <c r="L3379">
        <v>509.51766528991197</v>
      </c>
      <c r="M3379">
        <v>9.8423471004911907</v>
      </c>
      <c r="N3379">
        <v>53.236514079195899</v>
      </c>
      <c r="O3379">
        <v>49.766672061962197</v>
      </c>
      <c r="P3379">
        <v>-4.3586835014855801E-2</v>
      </c>
      <c r="Q3379">
        <v>0.118888538336186</v>
      </c>
      <c r="R3379">
        <v>0.98963548801541201</v>
      </c>
      <c r="S3379" t="s">
        <v>9664</v>
      </c>
      <c r="T3379" t="s">
        <v>12568</v>
      </c>
      <c r="U3379" t="s">
        <v>12568</v>
      </c>
      <c r="V3379" t="s">
        <v>12568</v>
      </c>
      <c r="W3379" t="s">
        <v>15907</v>
      </c>
      <c r="X3379">
        <v>5</v>
      </c>
      <c r="Y3379" t="s">
        <v>22039</v>
      </c>
      <c r="Z3379" t="s">
        <v>28249</v>
      </c>
      <c r="AA3379">
        <v>0.49932683497173241</v>
      </c>
      <c r="AB3379" t="str">
        <f>HYPERLINK("Melting_Curves/meltCurve_Q5BKX5_C19orf54.pdf", "Melting_Curves/meltCurve_Q5BKX5_C19orf54.pdf")</f>
        <v>Melting_Curves/meltCurve_Q5BKX5_C19orf54.pdf</v>
      </c>
    </row>
    <row r="3380" spans="1:28" x14ac:dyDescent="0.25">
      <c r="A3380" t="s">
        <v>3384</v>
      </c>
      <c r="B3380">
        <v>0.99352677808782597</v>
      </c>
      <c r="C3380">
        <v>0.85818213174400704</v>
      </c>
      <c r="D3380">
        <v>0.975543222652546</v>
      </c>
      <c r="E3380">
        <v>0.45740368543237198</v>
      </c>
      <c r="F3380">
        <v>0.43149879317123102</v>
      </c>
      <c r="G3380">
        <v>0.244460561671038</v>
      </c>
      <c r="H3380">
        <v>0.140146009658105</v>
      </c>
      <c r="I3380">
        <v>0.160636044892147</v>
      </c>
      <c r="J3380">
        <v>0.151576972015179</v>
      </c>
      <c r="K3380">
        <v>8.2584568880172501E-2</v>
      </c>
      <c r="L3380">
        <v>854.43522507850798</v>
      </c>
      <c r="M3380">
        <v>17.0377452246112</v>
      </c>
      <c r="N3380">
        <v>50.972660940447398</v>
      </c>
      <c r="O3380">
        <v>49.473967335799102</v>
      </c>
      <c r="P3380">
        <v>-7.57452377651857E-2</v>
      </c>
      <c r="Q3380">
        <v>0.120261965193423</v>
      </c>
      <c r="R3380">
        <v>0.96070165913569605</v>
      </c>
      <c r="S3380" t="s">
        <v>9665</v>
      </c>
      <c r="T3380" t="s">
        <v>12568</v>
      </c>
      <c r="U3380" t="s">
        <v>12568</v>
      </c>
      <c r="V3380" t="s">
        <v>12568</v>
      </c>
      <c r="W3380" t="s">
        <v>15908</v>
      </c>
      <c r="X3380">
        <v>3</v>
      </c>
      <c r="Y3380" t="s">
        <v>22040</v>
      </c>
      <c r="Z3380" t="s">
        <v>28250</v>
      </c>
      <c r="AA3380">
        <v>0.4344854335104345</v>
      </c>
      <c r="AB3380" t="str">
        <f>HYPERLINK("Melting_Curves/meltCurve_Q5D1E8_ZC3H12A.pdf", "Melting_Curves/meltCurve_Q5D1E8_ZC3H12A.pdf")</f>
        <v>Melting_Curves/meltCurve_Q5D1E8_ZC3H12A.pdf</v>
      </c>
    </row>
    <row r="3381" spans="1:28" x14ac:dyDescent="0.25">
      <c r="A3381" t="s">
        <v>3385</v>
      </c>
      <c r="B3381">
        <v>0.99352677808782597</v>
      </c>
      <c r="C3381">
        <v>0.99391004877050404</v>
      </c>
      <c r="D3381">
        <v>0.90190827125692896</v>
      </c>
      <c r="E3381">
        <v>0.69128078089524703</v>
      </c>
      <c r="F3381">
        <v>0.59911435902239696</v>
      </c>
      <c r="G3381">
        <v>0.46473822620607702</v>
      </c>
      <c r="H3381">
        <v>0.38490580308244399</v>
      </c>
      <c r="I3381">
        <v>0.365947925912117</v>
      </c>
      <c r="J3381">
        <v>0.41480320290957501</v>
      </c>
      <c r="K3381">
        <v>0.31068523692239602</v>
      </c>
      <c r="L3381">
        <v>775.44820924303997</v>
      </c>
      <c r="M3381">
        <v>15.203349465651799</v>
      </c>
      <c r="N3381">
        <v>55.261254929079897</v>
      </c>
      <c r="O3381">
        <v>50.147064821572897</v>
      </c>
      <c r="P3381">
        <v>-4.9652469625207897E-2</v>
      </c>
      <c r="Q3381">
        <v>0.34496350704999001</v>
      </c>
      <c r="R3381">
        <v>0.98880696685428604</v>
      </c>
      <c r="S3381" t="s">
        <v>9666</v>
      </c>
      <c r="T3381" t="s">
        <v>12568</v>
      </c>
      <c r="U3381" t="s">
        <v>12568</v>
      </c>
      <c r="V3381" t="s">
        <v>12568</v>
      </c>
      <c r="W3381" t="s">
        <v>15909</v>
      </c>
      <c r="X3381">
        <v>8</v>
      </c>
      <c r="Y3381" t="s">
        <v>22041</v>
      </c>
      <c r="Z3381" t="s">
        <v>28251</v>
      </c>
      <c r="AA3381">
        <v>0.60005243670439634</v>
      </c>
      <c r="AB3381" t="str">
        <f>HYPERLINK("Melting_Curves/meltCurve_Q5EBL4_RILPL1.pdf", "Melting_Curves/meltCurve_Q5EBL4_RILPL1.pdf")</f>
        <v>Melting_Curves/meltCurve_Q5EBL4_RILPL1.pdf</v>
      </c>
    </row>
    <row r="3382" spans="1:28" x14ac:dyDescent="0.25">
      <c r="A3382" t="s">
        <v>3386</v>
      </c>
      <c r="B3382">
        <v>0.99352677808782597</v>
      </c>
      <c r="C3382">
        <v>0.98186462329794999</v>
      </c>
      <c r="D3382">
        <v>1.0278243741277699</v>
      </c>
      <c r="E3382">
        <v>0.89178229050065305</v>
      </c>
      <c r="F3382">
        <v>0.80621811114737196</v>
      </c>
      <c r="G3382">
        <v>0.56346848039016695</v>
      </c>
      <c r="H3382">
        <v>0.32779549033118799</v>
      </c>
      <c r="I3382">
        <v>0.28377349804115898</v>
      </c>
      <c r="J3382">
        <v>0.23300350911576001</v>
      </c>
      <c r="K3382">
        <v>0.20660411643561499</v>
      </c>
      <c r="L3382">
        <v>999.34927887844003</v>
      </c>
      <c r="M3382">
        <v>17.735672926948499</v>
      </c>
      <c r="N3382">
        <v>57.841728777923002</v>
      </c>
      <c r="O3382">
        <v>55.645145968169999</v>
      </c>
      <c r="P3382">
        <v>-6.5036557593210906E-2</v>
      </c>
      <c r="Q3382">
        <v>0.18384166638042099</v>
      </c>
      <c r="R3382">
        <v>0.99628894956106895</v>
      </c>
      <c r="S3382" t="s">
        <v>9667</v>
      </c>
      <c r="T3382" t="s">
        <v>12568</v>
      </c>
      <c r="U3382" t="s">
        <v>12568</v>
      </c>
      <c r="V3382" t="s">
        <v>12568</v>
      </c>
      <c r="W3382" t="s">
        <v>15910</v>
      </c>
      <c r="X3382">
        <v>5</v>
      </c>
      <c r="Y3382" t="s">
        <v>22042</v>
      </c>
      <c r="Z3382" t="s">
        <v>28252</v>
      </c>
      <c r="AA3382">
        <v>0.64052145479441458</v>
      </c>
      <c r="AB3382" t="str">
        <f>HYPERLINK("Melting_Curves/meltCurve_Q5EBL8_PDZD11.pdf", "Melting_Curves/meltCurve_Q5EBL8_PDZD11.pdf")</f>
        <v>Melting_Curves/meltCurve_Q5EBL8_PDZD11.pdf</v>
      </c>
    </row>
    <row r="3383" spans="1:28" x14ac:dyDescent="0.25">
      <c r="A3383" t="s">
        <v>3387</v>
      </c>
      <c r="B3383">
        <v>0.99352677808782597</v>
      </c>
      <c r="C3383">
        <v>1.00728444162302</v>
      </c>
      <c r="D3383">
        <v>0.96268519533632202</v>
      </c>
      <c r="E3383">
        <v>0.38846528374783601</v>
      </c>
      <c r="F3383">
        <v>0.31910457937725101</v>
      </c>
      <c r="G3383">
        <v>0.15688014295084701</v>
      </c>
      <c r="H3383">
        <v>8.8064104262484705E-2</v>
      </c>
      <c r="I3383">
        <v>9.0530027704052399E-2</v>
      </c>
      <c r="J3383">
        <v>9.9308336508247705E-2</v>
      </c>
      <c r="K3383">
        <v>8.6992420370059706E-2</v>
      </c>
      <c r="L3383">
        <v>1391.4458933338699</v>
      </c>
      <c r="M3383">
        <v>28.233876013648199</v>
      </c>
      <c r="N3383">
        <v>49.718052186262703</v>
      </c>
      <c r="O3383">
        <v>49.037586483746999</v>
      </c>
      <c r="P3383">
        <v>-0.12818235838029901</v>
      </c>
      <c r="Q3383">
        <v>0.10948059109689599</v>
      </c>
      <c r="R3383">
        <v>0.98394341750644498</v>
      </c>
      <c r="S3383" t="s">
        <v>9668</v>
      </c>
      <c r="T3383" t="s">
        <v>12568</v>
      </c>
      <c r="U3383" t="s">
        <v>12568</v>
      </c>
      <c r="V3383" t="s">
        <v>12568</v>
      </c>
      <c r="W3383" t="s">
        <v>15911</v>
      </c>
      <c r="X3383">
        <v>1</v>
      </c>
      <c r="Y3383" t="s">
        <v>22043</v>
      </c>
      <c r="Z3383" t="s">
        <v>28253</v>
      </c>
      <c r="AA3383">
        <v>0.39119768318028308</v>
      </c>
      <c r="AB3383" t="str">
        <f>HYPERLINK("Melting_Curves/meltCurve_Q5F1R6_DNAJC21.pdf", "Melting_Curves/meltCurve_Q5F1R6_DNAJC21.pdf")</f>
        <v>Melting_Curves/meltCurve_Q5F1R6_DNAJC21.pdf</v>
      </c>
    </row>
    <row r="3384" spans="1:28" x14ac:dyDescent="0.25">
      <c r="A3384" t="s">
        <v>3388</v>
      </c>
      <c r="B3384">
        <v>0.99352677808782597</v>
      </c>
      <c r="C3384">
        <v>1.01810043204306</v>
      </c>
      <c r="D3384">
        <v>0.94378194219198097</v>
      </c>
      <c r="E3384">
        <v>0.86873299541884696</v>
      </c>
      <c r="F3384">
        <v>0.91932348601805502</v>
      </c>
      <c r="G3384">
        <v>0.73795327162559499</v>
      </c>
      <c r="H3384">
        <v>0.83109137802883803</v>
      </c>
      <c r="I3384">
        <v>0.88892787561104203</v>
      </c>
      <c r="J3384">
        <v>1.0081584784364299</v>
      </c>
      <c r="K3384">
        <v>0.79654625378851196</v>
      </c>
      <c r="L3384">
        <v>11515.8769993275</v>
      </c>
      <c r="M3384">
        <v>250</v>
      </c>
      <c r="O3384">
        <v>46.0605602267267</v>
      </c>
      <c r="P3384">
        <v>-0.184009738221105</v>
      </c>
      <c r="Q3384">
        <v>0.86439053405058996</v>
      </c>
      <c r="R3384">
        <v>0.416589574129822</v>
      </c>
      <c r="S3384" t="s">
        <v>9669</v>
      </c>
      <c r="T3384" t="s">
        <v>12568</v>
      </c>
      <c r="U3384" t="s">
        <v>12568</v>
      </c>
      <c r="V3384" t="s">
        <v>12568</v>
      </c>
      <c r="W3384" t="s">
        <v>15912</v>
      </c>
      <c r="X3384">
        <v>1</v>
      </c>
      <c r="Y3384" t="s">
        <v>22044</v>
      </c>
      <c r="Z3384" t="s">
        <v>28254</v>
      </c>
      <c r="AA3384">
        <v>0.89181046619662396</v>
      </c>
      <c r="AB3384" t="str">
        <f>HYPERLINK("Melting_Curves/meltCurve_Q5FWF5_2_ESCO1.pdf", "Melting_Curves/meltCurve_Q5FWF5_2_ESCO1.pdf")</f>
        <v>Melting_Curves/meltCurve_Q5FWF5_2_ESCO1.pdf</v>
      </c>
    </row>
    <row r="3385" spans="1:28" x14ac:dyDescent="0.25">
      <c r="A3385" t="s">
        <v>3389</v>
      </c>
      <c r="B3385">
        <v>0.99352677808782597</v>
      </c>
      <c r="C3385">
        <v>0.96955605616027796</v>
      </c>
      <c r="D3385">
        <v>0.93008638207151695</v>
      </c>
      <c r="E3385">
        <v>0.45693208755481302</v>
      </c>
      <c r="F3385">
        <v>0.36125984004813799</v>
      </c>
      <c r="G3385">
        <v>0.17400591148689801</v>
      </c>
      <c r="H3385">
        <v>0.11222598197146599</v>
      </c>
      <c r="I3385">
        <v>0.122445763320122</v>
      </c>
      <c r="J3385">
        <v>0.1130759069724</v>
      </c>
      <c r="K3385">
        <v>9.49672027494807E-2</v>
      </c>
      <c r="L3385">
        <v>1082.5502069829599</v>
      </c>
      <c r="M3385">
        <v>21.765274674256801</v>
      </c>
      <c r="N3385">
        <v>50.321595281746497</v>
      </c>
      <c r="O3385">
        <v>49.323342015438001</v>
      </c>
      <c r="P3385">
        <v>-9.80073202488881E-2</v>
      </c>
      <c r="Q3385">
        <v>0.11162417155798</v>
      </c>
      <c r="R3385">
        <v>0.98960096308523404</v>
      </c>
      <c r="S3385" t="s">
        <v>9670</v>
      </c>
      <c r="T3385" t="s">
        <v>12568</v>
      </c>
      <c r="U3385" t="s">
        <v>12568</v>
      </c>
      <c r="V3385" t="s">
        <v>12568</v>
      </c>
      <c r="W3385" t="s">
        <v>15913</v>
      </c>
      <c r="X3385">
        <v>22</v>
      </c>
      <c r="Y3385" t="s">
        <v>22045</v>
      </c>
      <c r="Z3385" t="s">
        <v>28255</v>
      </c>
      <c r="AA3385">
        <v>0.41044275027891841</v>
      </c>
      <c r="AB3385" t="str">
        <f>HYPERLINK("Melting_Curves/meltCurve_Q5GLZ8_2_HERC4.pdf", "Melting_Curves/meltCurve_Q5GLZ8_2_HERC4.pdf")</f>
        <v>Melting_Curves/meltCurve_Q5GLZ8_2_HERC4.pdf</v>
      </c>
    </row>
    <row r="3386" spans="1:28" x14ac:dyDescent="0.25">
      <c r="A3386" t="s">
        <v>3390</v>
      </c>
      <c r="B3386">
        <v>0.99352677808782597</v>
      </c>
      <c r="C3386">
        <v>1.05185214002612</v>
      </c>
      <c r="D3386">
        <v>1.0009405797686299</v>
      </c>
      <c r="E3386">
        <v>0.94617662988211804</v>
      </c>
      <c r="F3386">
        <v>0.87690419241519502</v>
      </c>
      <c r="G3386">
        <v>0.84129333239687298</v>
      </c>
      <c r="H3386">
        <v>0.72413617933112995</v>
      </c>
      <c r="I3386">
        <v>0.85282973081299995</v>
      </c>
      <c r="J3386">
        <v>0.77392944954379095</v>
      </c>
      <c r="K3386">
        <v>0.68388363364814597</v>
      </c>
      <c r="L3386">
        <v>848.761909426795</v>
      </c>
      <c r="M3386">
        <v>15.620749552059401</v>
      </c>
      <c r="O3386">
        <v>53.468419477080303</v>
      </c>
      <c r="P3386">
        <v>-1.9010414459182699E-2</v>
      </c>
      <c r="Q3386">
        <v>0.73973867851047204</v>
      </c>
      <c r="R3386">
        <v>0.85592551455297095</v>
      </c>
      <c r="S3386" t="s">
        <v>9671</v>
      </c>
      <c r="T3386" t="s">
        <v>12568</v>
      </c>
      <c r="U3386" t="s">
        <v>12568</v>
      </c>
      <c r="V3386" t="s">
        <v>12568</v>
      </c>
      <c r="W3386" t="s">
        <v>15914</v>
      </c>
      <c r="X3386">
        <v>1</v>
      </c>
      <c r="Y3386" t="s">
        <v>22046</v>
      </c>
      <c r="Z3386" t="s">
        <v>28256</v>
      </c>
      <c r="AA3386">
        <v>0.86909312987686715</v>
      </c>
      <c r="AB3386" t="str">
        <f>HYPERLINK("Melting_Curves/meltCurve_Q5H937_PKIG.pdf", "Melting_Curves/meltCurve_Q5H937_PKIG.pdf")</f>
        <v>Melting_Curves/meltCurve_Q5H937_PKIG.pdf</v>
      </c>
    </row>
    <row r="3387" spans="1:28" x14ac:dyDescent="0.25">
      <c r="A3387" t="s">
        <v>3391</v>
      </c>
      <c r="B3387">
        <v>0.99352677808782597</v>
      </c>
      <c r="C3387">
        <v>0.961255843467126</v>
      </c>
      <c r="D3387">
        <v>0.91517163533888402</v>
      </c>
      <c r="E3387">
        <v>0.86223860149311404</v>
      </c>
      <c r="F3387">
        <v>0.95600872529851699</v>
      </c>
      <c r="G3387">
        <v>0.72585361493561096</v>
      </c>
      <c r="H3387">
        <v>0.48323670131922303</v>
      </c>
      <c r="I3387">
        <v>0.42113680485877403</v>
      </c>
      <c r="J3387">
        <v>0.166502090985781</v>
      </c>
      <c r="K3387">
        <v>0.141023218902562</v>
      </c>
      <c r="L3387">
        <v>844.47505873038699</v>
      </c>
      <c r="M3387">
        <v>13.8224331577934</v>
      </c>
      <c r="N3387">
        <v>61.094530175147902</v>
      </c>
      <c r="O3387">
        <v>59.858387091927199</v>
      </c>
      <c r="P3387">
        <v>-5.77377691047673E-2</v>
      </c>
      <c r="Q3387">
        <v>0</v>
      </c>
      <c r="R3387">
        <v>0.97071122418246403</v>
      </c>
      <c r="S3387" t="s">
        <v>9672</v>
      </c>
      <c r="T3387" t="s">
        <v>12568</v>
      </c>
      <c r="U3387" t="s">
        <v>12568</v>
      </c>
      <c r="V3387" t="s">
        <v>12568</v>
      </c>
      <c r="W3387" t="s">
        <v>15915</v>
      </c>
      <c r="X3387">
        <v>2</v>
      </c>
      <c r="Y3387" t="s">
        <v>22047</v>
      </c>
      <c r="Z3387" t="s">
        <v>28257</v>
      </c>
      <c r="AA3387">
        <v>0.70314467129435798</v>
      </c>
      <c r="AB3387" t="str">
        <f>HYPERLINK("Melting_Curves/meltCurve_Q5H9A7_TIMP1.pdf", "Melting_Curves/meltCurve_Q5H9A7_TIMP1.pdf")</f>
        <v>Melting_Curves/meltCurve_Q5H9A7_TIMP1.pdf</v>
      </c>
    </row>
    <row r="3388" spans="1:28" x14ac:dyDescent="0.25">
      <c r="A3388" t="s">
        <v>3392</v>
      </c>
      <c r="B3388">
        <v>0.99352677808782597</v>
      </c>
      <c r="C3388">
        <v>0.99279916808507795</v>
      </c>
      <c r="D3388">
        <v>1.04383174454061</v>
      </c>
      <c r="E3388">
        <v>0.85517159455343805</v>
      </c>
      <c r="F3388">
        <v>0.69685244961828796</v>
      </c>
      <c r="G3388">
        <v>0.67507811146003005</v>
      </c>
      <c r="H3388">
        <v>0.55673790264837797</v>
      </c>
      <c r="I3388">
        <v>0.51042168868252102</v>
      </c>
      <c r="J3388">
        <v>0.61504920425266196</v>
      </c>
      <c r="K3388">
        <v>0.50835263414246401</v>
      </c>
      <c r="L3388">
        <v>1126.8448790869099</v>
      </c>
      <c r="M3388">
        <v>21.670420365345901</v>
      </c>
      <c r="O3388">
        <v>51.562486369962201</v>
      </c>
      <c r="P3388">
        <v>-4.7289281651754299E-2</v>
      </c>
      <c r="Q3388">
        <v>0.54993117534259806</v>
      </c>
      <c r="R3388">
        <v>0.95329108959027897</v>
      </c>
      <c r="S3388" t="s">
        <v>9673</v>
      </c>
      <c r="T3388" t="s">
        <v>12568</v>
      </c>
      <c r="U3388" t="s">
        <v>12568</v>
      </c>
      <c r="V3388" t="s">
        <v>12568</v>
      </c>
      <c r="W3388" t="s">
        <v>15916</v>
      </c>
      <c r="X3388">
        <v>3</v>
      </c>
      <c r="Y3388" t="s">
        <v>22048</v>
      </c>
      <c r="Z3388" t="s">
        <v>28258</v>
      </c>
      <c r="AA3388">
        <v>0.7353289578700194</v>
      </c>
      <c r="AB3388" t="str">
        <f>HYPERLINK("Melting_Curves/meltCurve_Q5H9F3_2_BCORL1.pdf", "Melting_Curves/meltCurve_Q5H9F3_2_BCORL1.pdf")</f>
        <v>Melting_Curves/meltCurve_Q5H9F3_2_BCORL1.pdf</v>
      </c>
    </row>
    <row r="3389" spans="1:28" x14ac:dyDescent="0.25">
      <c r="A3389" t="s">
        <v>3393</v>
      </c>
      <c r="B3389">
        <v>0.99352677808782597</v>
      </c>
      <c r="C3389">
        <v>1.02310637218998</v>
      </c>
      <c r="D3389">
        <v>0.95225838120406203</v>
      </c>
      <c r="E3389">
        <v>0.72536149503342995</v>
      </c>
      <c r="F3389">
        <v>0.75117785531419601</v>
      </c>
      <c r="G3389">
        <v>0.63269186889701201</v>
      </c>
      <c r="H3389">
        <v>0.193280612782947</v>
      </c>
      <c r="I3389">
        <v>8.1236245918613101E-2</v>
      </c>
      <c r="J3389">
        <v>4.8335022066082402E-2</v>
      </c>
      <c r="K3389">
        <v>5.7852548870534502E-2</v>
      </c>
      <c r="L3389">
        <v>857.74469429470196</v>
      </c>
      <c r="M3389">
        <v>15.1320441544399</v>
      </c>
      <c r="N3389">
        <v>56.683995720872502</v>
      </c>
      <c r="O3389">
        <v>55.721683751424699</v>
      </c>
      <c r="P3389">
        <v>-6.7897809739164594E-2</v>
      </c>
      <c r="Q3389">
        <v>0</v>
      </c>
      <c r="R3389">
        <v>0.95986597268998097</v>
      </c>
      <c r="S3389" t="s">
        <v>9674</v>
      </c>
      <c r="T3389" t="s">
        <v>12568</v>
      </c>
      <c r="U3389" t="s">
        <v>12568</v>
      </c>
      <c r="V3389" t="s">
        <v>12568</v>
      </c>
      <c r="W3389" t="s">
        <v>15917</v>
      </c>
      <c r="X3389">
        <v>3</v>
      </c>
      <c r="Y3389" t="s">
        <v>22049</v>
      </c>
      <c r="Z3389" t="s">
        <v>28259</v>
      </c>
      <c r="AA3389">
        <v>0.57250913709250228</v>
      </c>
      <c r="AB3389" t="str">
        <f>HYPERLINK("Melting_Curves/meltCurve_Q5HY92_FIGN.pdf", "Melting_Curves/meltCurve_Q5HY92_FIGN.pdf")</f>
        <v>Melting_Curves/meltCurve_Q5HY92_FIGN.pdf</v>
      </c>
    </row>
    <row r="3390" spans="1:28" x14ac:dyDescent="0.25">
      <c r="A3390" t="s">
        <v>3394</v>
      </c>
      <c r="B3390">
        <v>0.99352677808782597</v>
      </c>
      <c r="C3390">
        <v>0.93390708688426805</v>
      </c>
      <c r="D3390">
        <v>0.96141552402188302</v>
      </c>
      <c r="E3390">
        <v>0.56422884693700603</v>
      </c>
      <c r="F3390">
        <v>0.48729863318198302</v>
      </c>
      <c r="G3390">
        <v>0.32780622699801498</v>
      </c>
      <c r="H3390">
        <v>0.24867241501281601</v>
      </c>
      <c r="I3390">
        <v>0.24065536577935301</v>
      </c>
      <c r="J3390">
        <v>0.22956833411105701</v>
      </c>
      <c r="K3390">
        <v>0.195685256629685</v>
      </c>
      <c r="L3390">
        <v>901.08617964118503</v>
      </c>
      <c r="M3390">
        <v>17.863478570001401</v>
      </c>
      <c r="N3390">
        <v>52.108262658436999</v>
      </c>
      <c r="O3390">
        <v>49.823522703437199</v>
      </c>
      <c r="P3390">
        <v>-7.0142710616255696E-2</v>
      </c>
      <c r="Q3390">
        <v>0.21749189652083001</v>
      </c>
      <c r="R3390">
        <v>0.98371640809034799</v>
      </c>
      <c r="S3390" t="s">
        <v>9675</v>
      </c>
      <c r="T3390" t="s">
        <v>12568</v>
      </c>
      <c r="U3390" t="s">
        <v>12568</v>
      </c>
      <c r="V3390" t="s">
        <v>12568</v>
      </c>
      <c r="W3390" t="s">
        <v>15918</v>
      </c>
      <c r="X3390">
        <v>14</v>
      </c>
      <c r="Y3390" t="s">
        <v>22050</v>
      </c>
      <c r="Z3390" t="s">
        <v>28260</v>
      </c>
      <c r="AA3390">
        <v>0.5033409399624984</v>
      </c>
      <c r="AB3390" t="str">
        <f>HYPERLINK("Melting_Curves/meltCurve_Q5HYK7_2_SH3D19.pdf", "Melting_Curves/meltCurve_Q5HYK7_2_SH3D19.pdf")</f>
        <v>Melting_Curves/meltCurve_Q5HYK7_2_SH3D19.pdf</v>
      </c>
    </row>
    <row r="3391" spans="1:28" x14ac:dyDescent="0.25">
      <c r="A3391" t="s">
        <v>3395</v>
      </c>
      <c r="B3391">
        <v>0.99352677808782597</v>
      </c>
      <c r="C3391">
        <v>0.94307337817622705</v>
      </c>
      <c r="D3391">
        <v>0.88656774242395697</v>
      </c>
      <c r="E3391">
        <v>0.83191906371646296</v>
      </c>
      <c r="F3391">
        <v>0.75697850975776704</v>
      </c>
      <c r="G3391">
        <v>0.68344290050423095</v>
      </c>
      <c r="H3391">
        <v>0.45061216384602998</v>
      </c>
      <c r="I3391">
        <v>0.36701404088356399</v>
      </c>
      <c r="J3391">
        <v>0.32779739206352598</v>
      </c>
      <c r="K3391">
        <v>0.22401108955896901</v>
      </c>
      <c r="L3391">
        <v>491.67243058437703</v>
      </c>
      <c r="M3391">
        <v>8.1478641204678404</v>
      </c>
      <c r="N3391">
        <v>60.343719496707998</v>
      </c>
      <c r="O3391">
        <v>57.035388779853598</v>
      </c>
      <c r="P3391">
        <v>-3.5751792519781098E-2</v>
      </c>
      <c r="Q3391">
        <v>0</v>
      </c>
      <c r="R3391">
        <v>0.987818114761706</v>
      </c>
      <c r="S3391" t="s">
        <v>9676</v>
      </c>
      <c r="T3391" t="s">
        <v>12568</v>
      </c>
      <c r="U3391" t="s">
        <v>12568</v>
      </c>
      <c r="V3391" t="s">
        <v>12568</v>
      </c>
      <c r="W3391" t="s">
        <v>15919</v>
      </c>
      <c r="X3391">
        <v>1</v>
      </c>
      <c r="Y3391" t="s">
        <v>22051</v>
      </c>
      <c r="Z3391" t="s">
        <v>28261</v>
      </c>
      <c r="AA3391">
        <v>0.66061513989582166</v>
      </c>
      <c r="AB3391" t="str">
        <f>HYPERLINK("Melting_Curves/meltCurve_Q5I0X7_TTC32.pdf", "Melting_Curves/meltCurve_Q5I0X7_TTC32.pdf")</f>
        <v>Melting_Curves/meltCurve_Q5I0X7_TTC32.pdf</v>
      </c>
    </row>
    <row r="3392" spans="1:28" x14ac:dyDescent="0.25">
      <c r="A3392" t="s">
        <v>3396</v>
      </c>
      <c r="B3392">
        <v>0.99352677808782597</v>
      </c>
      <c r="C3392">
        <v>0.87607030589426804</v>
      </c>
      <c r="D3392">
        <v>0.81683684407250001</v>
      </c>
      <c r="E3392">
        <v>0.36706776107364197</v>
      </c>
      <c r="F3392">
        <v>0.28619544308316103</v>
      </c>
      <c r="G3392">
        <v>0.161300075485586</v>
      </c>
      <c r="H3392">
        <v>0.114897033989678</v>
      </c>
      <c r="I3392">
        <v>0.103337038459902</v>
      </c>
      <c r="J3392">
        <v>9.0626735926666396E-2</v>
      </c>
      <c r="K3392">
        <v>6.8969283183729593E-2</v>
      </c>
      <c r="L3392">
        <v>892.08756011250796</v>
      </c>
      <c r="M3392">
        <v>18.369922767335499</v>
      </c>
      <c r="N3392">
        <v>49.085576053239997</v>
      </c>
      <c r="O3392">
        <v>47.997887853839899</v>
      </c>
      <c r="P3392">
        <v>-8.7177934663103002E-2</v>
      </c>
      <c r="Q3392">
        <v>8.8909354100902296E-2</v>
      </c>
      <c r="R3392">
        <v>0.99024437783357999</v>
      </c>
      <c r="S3392" t="s">
        <v>9677</v>
      </c>
      <c r="T3392" t="s">
        <v>12568</v>
      </c>
      <c r="U3392" t="s">
        <v>12568</v>
      </c>
      <c r="V3392" t="s">
        <v>12568</v>
      </c>
      <c r="W3392" t="s">
        <v>15920</v>
      </c>
      <c r="X3392">
        <v>4</v>
      </c>
      <c r="Y3392" t="s">
        <v>22052</v>
      </c>
      <c r="Z3392" t="s">
        <v>28262</v>
      </c>
      <c r="AA3392">
        <v>0.36422512470552182</v>
      </c>
      <c r="AB3392" t="str">
        <f>HYPERLINK("Melting_Curves/meltCurve_Q5I2W7_CYP24.pdf", "Melting_Curves/meltCurve_Q5I2W7_CYP24.pdf")</f>
        <v>Melting_Curves/meltCurve_Q5I2W7_CYP24.pdf</v>
      </c>
    </row>
    <row r="3393" spans="1:28" x14ac:dyDescent="0.25">
      <c r="A3393" t="s">
        <v>3397</v>
      </c>
      <c r="B3393">
        <v>0.99352677808782597</v>
      </c>
      <c r="C3393">
        <v>0.73545998614018304</v>
      </c>
      <c r="D3393">
        <v>0.78049302719582903</v>
      </c>
      <c r="E3393">
        <v>0.402288757091256</v>
      </c>
      <c r="F3393">
        <v>0.31131337549310101</v>
      </c>
      <c r="G3393">
        <v>0.16259702684670299</v>
      </c>
      <c r="H3393">
        <v>7.5960887822341394E-2</v>
      </c>
      <c r="I3393">
        <v>6.8155972728428896E-2</v>
      </c>
      <c r="J3393">
        <v>6.1908126807005498E-2</v>
      </c>
      <c r="K3393">
        <v>5.1339303017303502E-2</v>
      </c>
      <c r="L3393">
        <v>598.558795624754</v>
      </c>
      <c r="M3393">
        <v>12.2377704836376</v>
      </c>
      <c r="N3393">
        <v>49.054608696056803</v>
      </c>
      <c r="O3393">
        <v>47.659744759454597</v>
      </c>
      <c r="P3393">
        <v>-6.3076256761384605E-2</v>
      </c>
      <c r="Q3393">
        <v>1.7622748292348198E-2</v>
      </c>
      <c r="R3393">
        <v>0.97576509965132896</v>
      </c>
      <c r="S3393" t="s">
        <v>9678</v>
      </c>
      <c r="T3393" t="s">
        <v>12568</v>
      </c>
      <c r="U3393" t="s">
        <v>12568</v>
      </c>
      <c r="V3393" t="s">
        <v>12568</v>
      </c>
      <c r="W3393" t="s">
        <v>15921</v>
      </c>
      <c r="X3393">
        <v>24</v>
      </c>
      <c r="Y3393" t="s">
        <v>22053</v>
      </c>
      <c r="Z3393" t="s">
        <v>28263</v>
      </c>
      <c r="AA3393">
        <v>0.34451533396728329</v>
      </c>
      <c r="AB3393" t="str">
        <f>HYPERLINK("Melting_Curves/meltCurve_Q5JP53_TUBB.pdf", "Melting_Curves/meltCurve_Q5JP53_TUBB.pdf")</f>
        <v>Melting_Curves/meltCurve_Q5JP53_TUBB.pdf</v>
      </c>
    </row>
    <row r="3394" spans="1:28" x14ac:dyDescent="0.25">
      <c r="A3394" t="s">
        <v>3398</v>
      </c>
      <c r="B3394">
        <v>0.99352677808782597</v>
      </c>
      <c r="C3394">
        <v>0.97085936296099495</v>
      </c>
      <c r="D3394">
        <v>0.95869212614779498</v>
      </c>
      <c r="E3394">
        <v>0.33400167482423698</v>
      </c>
      <c r="F3394">
        <v>0.26575969177002701</v>
      </c>
      <c r="G3394">
        <v>0.14357533178529</v>
      </c>
      <c r="H3394">
        <v>9.1417446523893206E-2</v>
      </c>
      <c r="I3394">
        <v>8.1510309452757307E-2</v>
      </c>
      <c r="J3394">
        <v>8.5277099291534902E-2</v>
      </c>
      <c r="K3394">
        <v>7.3242777681282706E-2</v>
      </c>
      <c r="L3394">
        <v>1730.0009820611899</v>
      </c>
      <c r="M3394">
        <v>35.413592416616702</v>
      </c>
      <c r="N3394">
        <v>49.188587673854101</v>
      </c>
      <c r="O3394">
        <v>48.696339867190702</v>
      </c>
      <c r="P3394">
        <v>-0.16221127407578401</v>
      </c>
      <c r="Q3394">
        <v>0.10779243774109599</v>
      </c>
      <c r="R3394">
        <v>0.98657593692776901</v>
      </c>
      <c r="S3394" t="s">
        <v>9679</v>
      </c>
      <c r="T3394" t="s">
        <v>12568</v>
      </c>
      <c r="U3394" t="s">
        <v>12568</v>
      </c>
      <c r="V3394" t="s">
        <v>12568</v>
      </c>
      <c r="W3394" t="s">
        <v>15922</v>
      </c>
      <c r="X3394">
        <v>3</v>
      </c>
      <c r="Y3394" t="s">
        <v>22054</v>
      </c>
      <c r="Z3394" t="s">
        <v>28264</v>
      </c>
      <c r="AA3394">
        <v>0.37489571725851478</v>
      </c>
      <c r="AB3394" t="str">
        <f>HYPERLINK("Melting_Curves/meltCurve_Q5JPI9_METTL10.pdf", "Melting_Curves/meltCurve_Q5JPI9_METTL10.pdf")</f>
        <v>Melting_Curves/meltCurve_Q5JPI9_METTL10.pdf</v>
      </c>
    </row>
    <row r="3395" spans="1:28" x14ac:dyDescent="0.25">
      <c r="A3395" t="s">
        <v>3399</v>
      </c>
      <c r="B3395">
        <v>0.99352677808782597</v>
      </c>
      <c r="C3395">
        <v>0.965439151807303</v>
      </c>
      <c r="D3395">
        <v>0.96975680794423402</v>
      </c>
      <c r="E3395">
        <v>0.78664648128104298</v>
      </c>
      <c r="F3395">
        <v>0.57457890271576695</v>
      </c>
      <c r="G3395">
        <v>0.31210725549416501</v>
      </c>
      <c r="H3395">
        <v>0.118939216379895</v>
      </c>
      <c r="I3395">
        <v>9.9491132607431504E-2</v>
      </c>
      <c r="J3395">
        <v>7.3192833071584196E-2</v>
      </c>
      <c r="K3395">
        <v>7.1425645109643707E-2</v>
      </c>
      <c r="L3395">
        <v>954.15515592380996</v>
      </c>
      <c r="M3395">
        <v>17.783786393935301</v>
      </c>
      <c r="N3395">
        <v>53.946426047852398</v>
      </c>
      <c r="O3395">
        <v>52.988470259059397</v>
      </c>
      <c r="P3395">
        <v>-8.0041580369156096E-2</v>
      </c>
      <c r="Q3395">
        <v>4.6083570516250401E-2</v>
      </c>
      <c r="R3395">
        <v>0.99856237529296199</v>
      </c>
      <c r="S3395" t="s">
        <v>9680</v>
      </c>
      <c r="T3395" t="s">
        <v>12568</v>
      </c>
      <c r="U3395" t="s">
        <v>12568</v>
      </c>
      <c r="V3395" t="s">
        <v>12568</v>
      </c>
      <c r="W3395" t="s">
        <v>15923</v>
      </c>
      <c r="X3395">
        <v>2</v>
      </c>
      <c r="Y3395" t="s">
        <v>22055</v>
      </c>
      <c r="Z3395" t="s">
        <v>28265</v>
      </c>
      <c r="AA3395">
        <v>0.49590004103859459</v>
      </c>
      <c r="AB3395" t="str">
        <f>HYPERLINK("Melting_Curves/meltCurve_Q5JR04_MOV10.pdf", "Melting_Curves/meltCurve_Q5JR04_MOV10.pdf")</f>
        <v>Melting_Curves/meltCurve_Q5JR04_MOV10.pdf</v>
      </c>
    </row>
    <row r="3396" spans="1:28" x14ac:dyDescent="0.25">
      <c r="A3396" t="s">
        <v>3400</v>
      </c>
      <c r="B3396">
        <v>0.99352677808782597</v>
      </c>
      <c r="C3396">
        <v>0.63844032918145699</v>
      </c>
      <c r="D3396">
        <v>1.0069836699279699</v>
      </c>
      <c r="E3396">
        <v>0.45623652779898699</v>
      </c>
      <c r="F3396">
        <v>0.37832279549641501</v>
      </c>
      <c r="G3396">
        <v>0.185196425017151</v>
      </c>
      <c r="H3396">
        <v>0.12208395955427501</v>
      </c>
      <c r="I3396">
        <v>0.11242913242749999</v>
      </c>
      <c r="J3396">
        <v>9.1576101573557597E-2</v>
      </c>
      <c r="K3396">
        <v>7.1082867840223204E-2</v>
      </c>
      <c r="L3396">
        <v>653.70776592802997</v>
      </c>
      <c r="M3396">
        <v>13.0316120109753</v>
      </c>
      <c r="N3396">
        <v>50.529452545281401</v>
      </c>
      <c r="O3396">
        <v>49.026071281401002</v>
      </c>
      <c r="P3396">
        <v>-6.3469023290445195E-2</v>
      </c>
      <c r="Q3396">
        <v>4.5062912041606902E-2</v>
      </c>
      <c r="R3396">
        <v>0.88851617271151995</v>
      </c>
      <c r="S3396" t="s">
        <v>9681</v>
      </c>
      <c r="T3396" t="s">
        <v>12568</v>
      </c>
      <c r="U3396" t="s">
        <v>12568</v>
      </c>
      <c r="V3396" t="s">
        <v>12568</v>
      </c>
      <c r="W3396" t="s">
        <v>15924</v>
      </c>
      <c r="X3396">
        <v>11</v>
      </c>
      <c r="Y3396" t="s">
        <v>22056</v>
      </c>
      <c r="Z3396" t="s">
        <v>28266</v>
      </c>
      <c r="AA3396">
        <v>0.39730388851883042</v>
      </c>
      <c r="AB3396" t="str">
        <f>HYPERLINK("Melting_Curves/meltCurve_Q5JR08_RHOC.pdf", "Melting_Curves/meltCurve_Q5JR08_RHOC.pdf")</f>
        <v>Melting_Curves/meltCurve_Q5JR08_RHOC.pdf</v>
      </c>
    </row>
    <row r="3397" spans="1:28" x14ac:dyDescent="0.25">
      <c r="A3397" t="s">
        <v>3401</v>
      </c>
      <c r="B3397">
        <v>0.99352677808782597</v>
      </c>
      <c r="C3397">
        <v>0.98079932592041497</v>
      </c>
      <c r="D3397">
        <v>0.98345765757346604</v>
      </c>
      <c r="E3397">
        <v>0.84060478996366905</v>
      </c>
      <c r="F3397">
        <v>0.72690580998113097</v>
      </c>
      <c r="G3397">
        <v>0.66388788538495502</v>
      </c>
      <c r="H3397">
        <v>0.58162772468910695</v>
      </c>
      <c r="I3397">
        <v>0.60221282984059299</v>
      </c>
      <c r="J3397">
        <v>0.61621501552305102</v>
      </c>
      <c r="K3397">
        <v>0.51657322600480304</v>
      </c>
      <c r="L3397">
        <v>889.59837459688299</v>
      </c>
      <c r="M3397">
        <v>17.170831631671</v>
      </c>
      <c r="O3397">
        <v>51.1213069161007</v>
      </c>
      <c r="P3397">
        <v>-3.6396587766117601E-2</v>
      </c>
      <c r="Q3397">
        <v>0.56658346396501202</v>
      </c>
      <c r="R3397">
        <v>0.97724867124155801</v>
      </c>
      <c r="S3397" t="s">
        <v>9682</v>
      </c>
      <c r="T3397" t="s">
        <v>12568</v>
      </c>
      <c r="U3397" t="s">
        <v>12568</v>
      </c>
      <c r="V3397" t="s">
        <v>12568</v>
      </c>
      <c r="W3397" t="s">
        <v>15925</v>
      </c>
      <c r="X3397">
        <v>7</v>
      </c>
      <c r="Y3397" t="s">
        <v>22057</v>
      </c>
      <c r="Z3397" t="s">
        <v>28267</v>
      </c>
      <c r="AA3397">
        <v>0.74502246352525914</v>
      </c>
      <c r="AB3397" t="str">
        <f>HYPERLINK("Melting_Curves/meltCurve_Q5JRA6_2_MIA3.pdf", "Melting_Curves/meltCurve_Q5JRA6_2_MIA3.pdf")</f>
        <v>Melting_Curves/meltCurve_Q5JRA6_2_MIA3.pdf</v>
      </c>
    </row>
    <row r="3398" spans="1:28" x14ac:dyDescent="0.25">
      <c r="A3398" t="s">
        <v>3402</v>
      </c>
      <c r="B3398">
        <v>0.99352677808782597</v>
      </c>
      <c r="C3398">
        <v>0.90414521045133101</v>
      </c>
      <c r="D3398">
        <v>1.0115705207179599</v>
      </c>
      <c r="E3398">
        <v>1.1050816939344901</v>
      </c>
      <c r="F3398">
        <v>1.1299555042759999</v>
      </c>
      <c r="G3398">
        <v>0.88226151436942002</v>
      </c>
      <c r="H3398">
        <v>0.62147042258491103</v>
      </c>
      <c r="I3398">
        <v>0.44439755640290202</v>
      </c>
      <c r="J3398">
        <v>0.33857998772553699</v>
      </c>
      <c r="K3398">
        <v>0.25878390436087501</v>
      </c>
      <c r="L3398">
        <v>1667.4784362031601</v>
      </c>
      <c r="M3398">
        <v>27.306440285682299</v>
      </c>
      <c r="N3398">
        <v>62.759257437824601</v>
      </c>
      <c r="O3398">
        <v>60.740703687596898</v>
      </c>
      <c r="P3398">
        <v>-8.3087351734280404E-2</v>
      </c>
      <c r="Q3398">
        <v>0.26072584093885598</v>
      </c>
      <c r="R3398">
        <v>0.95517727816768805</v>
      </c>
      <c r="S3398" t="s">
        <v>9683</v>
      </c>
      <c r="T3398" t="s">
        <v>12568</v>
      </c>
      <c r="U3398" t="s">
        <v>12568</v>
      </c>
      <c r="V3398" t="s">
        <v>12568</v>
      </c>
      <c r="W3398" t="s">
        <v>15926</v>
      </c>
      <c r="X3398">
        <v>5</v>
      </c>
      <c r="Y3398" t="s">
        <v>22058</v>
      </c>
      <c r="Z3398" t="s">
        <v>28268</v>
      </c>
      <c r="AA3398">
        <v>0.78419810861387018</v>
      </c>
      <c r="AB3398" t="str">
        <f>HYPERLINK("Melting_Curves/meltCurve_Q5JRG1_NUPL1.pdf", "Melting_Curves/meltCurve_Q5JRG1_NUPL1.pdf")</f>
        <v>Melting_Curves/meltCurve_Q5JRG1_NUPL1.pdf</v>
      </c>
    </row>
    <row r="3399" spans="1:28" x14ac:dyDescent="0.25">
      <c r="A3399" t="s">
        <v>3403</v>
      </c>
      <c r="B3399">
        <v>0.99352677808782597</v>
      </c>
      <c r="C3399">
        <v>0.98585826496897699</v>
      </c>
      <c r="D3399">
        <v>0.952140521494658</v>
      </c>
      <c r="E3399">
        <v>0.83974415926780199</v>
      </c>
      <c r="F3399">
        <v>0.73319475584175098</v>
      </c>
      <c r="G3399">
        <v>0.56553305023025402</v>
      </c>
      <c r="H3399">
        <v>0.54709598713585905</v>
      </c>
      <c r="I3399">
        <v>0.57065253396467397</v>
      </c>
      <c r="J3399">
        <v>0.62135135865347502</v>
      </c>
      <c r="K3399">
        <v>0.58818966449449195</v>
      </c>
      <c r="L3399">
        <v>1215.63141327737</v>
      </c>
      <c r="M3399">
        <v>23.751299777886899</v>
      </c>
      <c r="O3399">
        <v>50.8230000601489</v>
      </c>
      <c r="P3399">
        <v>-4.9910231393947103E-2</v>
      </c>
      <c r="Q3399">
        <v>0.57281564909695004</v>
      </c>
      <c r="R3399">
        <v>0.97807827878700104</v>
      </c>
      <c r="S3399" t="s">
        <v>9684</v>
      </c>
      <c r="T3399" t="s">
        <v>12568</v>
      </c>
      <c r="U3399" t="s">
        <v>12568</v>
      </c>
      <c r="V3399" t="s">
        <v>12568</v>
      </c>
      <c r="W3399" t="s">
        <v>15927</v>
      </c>
      <c r="X3399">
        <v>3</v>
      </c>
      <c r="Y3399" t="s">
        <v>22059</v>
      </c>
      <c r="Z3399" t="s">
        <v>28269</v>
      </c>
      <c r="AA3399">
        <v>0.73631031757608889</v>
      </c>
      <c r="AB3399" t="str">
        <f>HYPERLINK("Melting_Curves/meltCurve_Q5JRJ0_TSC22D3.pdf", "Melting_Curves/meltCurve_Q5JRJ0_TSC22D3.pdf")</f>
        <v>Melting_Curves/meltCurve_Q5JRJ0_TSC22D3.pdf</v>
      </c>
    </row>
    <row r="3400" spans="1:28" x14ac:dyDescent="0.25">
      <c r="A3400" t="s">
        <v>3404</v>
      </c>
      <c r="B3400">
        <v>0.99352677808782597</v>
      </c>
      <c r="C3400">
        <v>0.97542801617886599</v>
      </c>
      <c r="D3400">
        <v>0.83853019670642803</v>
      </c>
      <c r="E3400">
        <v>0.64689610158018596</v>
      </c>
      <c r="F3400">
        <v>0.49296545327527902</v>
      </c>
      <c r="G3400">
        <v>0.25861423597553901</v>
      </c>
      <c r="H3400">
        <v>0.15634832963151399</v>
      </c>
      <c r="I3400">
        <v>0.14058877559602201</v>
      </c>
      <c r="J3400">
        <v>9.9452419244154405E-2</v>
      </c>
      <c r="K3400">
        <v>7.3253181094252398E-2</v>
      </c>
      <c r="L3400">
        <v>701.268555215486</v>
      </c>
      <c r="M3400">
        <v>13.473587042046599</v>
      </c>
      <c r="N3400">
        <v>52.470570275010303</v>
      </c>
      <c r="O3400">
        <v>50.941242771134299</v>
      </c>
      <c r="P3400">
        <v>-6.2730456836715506E-2</v>
      </c>
      <c r="Q3400">
        <v>5.1454849858326698E-2</v>
      </c>
      <c r="R3400">
        <v>0.99776556561943197</v>
      </c>
      <c r="S3400" t="s">
        <v>9685</v>
      </c>
      <c r="T3400" t="s">
        <v>12568</v>
      </c>
      <c r="U3400" t="s">
        <v>12568</v>
      </c>
      <c r="V3400" t="s">
        <v>12568</v>
      </c>
      <c r="W3400" t="s">
        <v>15928</v>
      </c>
      <c r="X3400">
        <v>28</v>
      </c>
      <c r="Y3400" t="s">
        <v>22060</v>
      </c>
      <c r="Z3400" t="s">
        <v>28270</v>
      </c>
      <c r="AA3400">
        <v>0.45715263413066592</v>
      </c>
      <c r="AB3400" t="str">
        <f>HYPERLINK("Melting_Curves/meltCurve_Q5JRX3_PITRM1.pdf", "Melting_Curves/meltCurve_Q5JRX3_PITRM1.pdf")</f>
        <v>Melting_Curves/meltCurve_Q5JRX3_PITRM1.pdf</v>
      </c>
    </row>
    <row r="3401" spans="1:28" x14ac:dyDescent="0.25">
      <c r="A3401" t="s">
        <v>3405</v>
      </c>
      <c r="B3401">
        <v>0.99352677808782597</v>
      </c>
      <c r="C3401">
        <v>1.0811990808388801</v>
      </c>
      <c r="D3401">
        <v>1.0397390097527801</v>
      </c>
      <c r="E3401">
        <v>1.00815421976518</v>
      </c>
      <c r="F3401">
        <v>0.87315364561990205</v>
      </c>
      <c r="G3401">
        <v>0.76124977579456199</v>
      </c>
      <c r="H3401">
        <v>0.71720985367897805</v>
      </c>
      <c r="I3401">
        <v>0.67727150076068099</v>
      </c>
      <c r="J3401">
        <v>0.76529390188702495</v>
      </c>
      <c r="K3401">
        <v>0.65075440425624898</v>
      </c>
      <c r="L3401">
        <v>1763.2525301512501</v>
      </c>
      <c r="M3401">
        <v>32.718228284642201</v>
      </c>
      <c r="O3401">
        <v>53.6919074401168</v>
      </c>
      <c r="P3401">
        <v>-4.5288655780232702E-2</v>
      </c>
      <c r="Q3401">
        <v>0.70271937109527005</v>
      </c>
      <c r="R3401">
        <v>0.92775948786001095</v>
      </c>
      <c r="S3401" t="s">
        <v>9686</v>
      </c>
      <c r="T3401" t="s">
        <v>12568</v>
      </c>
      <c r="U3401" t="s">
        <v>12568</v>
      </c>
      <c r="V3401" t="s">
        <v>12568</v>
      </c>
      <c r="W3401" t="s">
        <v>15929</v>
      </c>
      <c r="X3401">
        <v>1</v>
      </c>
      <c r="Y3401" t="s">
        <v>22061</v>
      </c>
      <c r="Z3401" t="s">
        <v>28271</v>
      </c>
      <c r="AA3401">
        <v>0.84202768863488309</v>
      </c>
      <c r="AB3401" t="str">
        <f>HYPERLINK("Melting_Curves/meltCurve_Q5JS37_2_NHLRC3.pdf", "Melting_Curves/meltCurve_Q5JS37_2_NHLRC3.pdf")</f>
        <v>Melting_Curves/meltCurve_Q5JS37_2_NHLRC3.pdf</v>
      </c>
    </row>
    <row r="3402" spans="1:28" x14ac:dyDescent="0.25">
      <c r="A3402" t="s">
        <v>3406</v>
      </c>
      <c r="B3402">
        <v>0.99352677808782597</v>
      </c>
      <c r="C3402">
        <v>0.99079732060113501</v>
      </c>
      <c r="D3402">
        <v>1.0619878802028899</v>
      </c>
      <c r="E3402">
        <v>0.96704835183756899</v>
      </c>
      <c r="F3402">
        <v>0.86951061203112301</v>
      </c>
      <c r="G3402">
        <v>0.82231601126661302</v>
      </c>
      <c r="H3402">
        <v>0.649995639532291</v>
      </c>
      <c r="I3402">
        <v>0.66849417769855302</v>
      </c>
      <c r="J3402">
        <v>0.55659771415574399</v>
      </c>
      <c r="K3402">
        <v>0.303864937713059</v>
      </c>
      <c r="L3402">
        <v>627.03557764105699</v>
      </c>
      <c r="M3402">
        <v>9.4103692439499795</v>
      </c>
      <c r="N3402">
        <v>66.632408226742797</v>
      </c>
      <c r="O3402">
        <v>63.831241998338299</v>
      </c>
      <c r="P3402">
        <v>-3.68790401489539E-2</v>
      </c>
      <c r="Q3402">
        <v>0</v>
      </c>
      <c r="R3402">
        <v>0.94468923840611596</v>
      </c>
      <c r="S3402" t="s">
        <v>9687</v>
      </c>
      <c r="T3402" t="s">
        <v>12568</v>
      </c>
      <c r="U3402" t="s">
        <v>12568</v>
      </c>
      <c r="V3402" t="s">
        <v>12568</v>
      </c>
      <c r="W3402" t="s">
        <v>15930</v>
      </c>
      <c r="X3402">
        <v>3</v>
      </c>
      <c r="Y3402" t="s">
        <v>22062</v>
      </c>
      <c r="Z3402" t="s">
        <v>28272</v>
      </c>
      <c r="AA3402">
        <v>0.80511143187579726</v>
      </c>
      <c r="AB3402" t="str">
        <f>HYPERLINK("Melting_Curves/meltCurve_Q5JS54_PSMG4.pdf", "Melting_Curves/meltCurve_Q5JS54_PSMG4.pdf")</f>
        <v>Melting_Curves/meltCurve_Q5JS54_PSMG4.pdf</v>
      </c>
    </row>
    <row r="3403" spans="1:28" x14ac:dyDescent="0.25">
      <c r="A3403" t="s">
        <v>3407</v>
      </c>
      <c r="B3403">
        <v>0.99352677808782597</v>
      </c>
      <c r="C3403">
        <v>1.01347537955136</v>
      </c>
      <c r="D3403">
        <v>1.01296843867271</v>
      </c>
      <c r="E3403">
        <v>0.89799557900339</v>
      </c>
      <c r="F3403">
        <v>0.75744994990338199</v>
      </c>
      <c r="G3403">
        <v>0.66493701084575696</v>
      </c>
      <c r="H3403">
        <v>0.57910634289191698</v>
      </c>
      <c r="I3403">
        <v>0.54029382503571</v>
      </c>
      <c r="J3403">
        <v>0.55374703111766599</v>
      </c>
      <c r="K3403">
        <v>0.45287544358993798</v>
      </c>
      <c r="L3403">
        <v>842.53505184358801</v>
      </c>
      <c r="M3403">
        <v>15.525104782383499</v>
      </c>
      <c r="O3403">
        <v>53.392719129328199</v>
      </c>
      <c r="P3403">
        <v>-3.7111714914111901E-2</v>
      </c>
      <c r="Q3403">
        <v>0.48951829881588099</v>
      </c>
      <c r="R3403">
        <v>0.98130691505391998</v>
      </c>
      <c r="S3403" t="s">
        <v>9688</v>
      </c>
      <c r="T3403" t="s">
        <v>12568</v>
      </c>
      <c r="U3403" t="s">
        <v>12568</v>
      </c>
      <c r="V3403" t="s">
        <v>12568</v>
      </c>
      <c r="W3403" t="s">
        <v>15931</v>
      </c>
      <c r="X3403">
        <v>2</v>
      </c>
      <c r="Y3403" t="s">
        <v>22063</v>
      </c>
      <c r="Z3403" t="s">
        <v>28273</v>
      </c>
      <c r="AA3403">
        <v>0.74221710312177891</v>
      </c>
      <c r="AB3403" t="str">
        <f>HYPERLINK("Melting_Curves/meltCurve_Q5JSB6_TFDP1.pdf", "Melting_Curves/meltCurve_Q5JSB6_TFDP1.pdf")</f>
        <v>Melting_Curves/meltCurve_Q5JSB6_TFDP1.pdf</v>
      </c>
    </row>
    <row r="3404" spans="1:28" x14ac:dyDescent="0.25">
      <c r="A3404" t="s">
        <v>3408</v>
      </c>
      <c r="B3404">
        <v>0.99352677808782597</v>
      </c>
      <c r="C3404">
        <v>0.98936981614252895</v>
      </c>
      <c r="D3404">
        <v>0.99857568164069699</v>
      </c>
      <c r="E3404">
        <v>0.93900988397144403</v>
      </c>
      <c r="F3404">
        <v>0.82212147887978804</v>
      </c>
      <c r="G3404">
        <v>0.68440122230822298</v>
      </c>
      <c r="H3404">
        <v>0.46553639906143701</v>
      </c>
      <c r="I3404">
        <v>0.46809293152850201</v>
      </c>
      <c r="J3404">
        <v>0.49740439695650401</v>
      </c>
      <c r="K3404">
        <v>0.43823024368263103</v>
      </c>
      <c r="L3404">
        <v>1106.19132332965</v>
      </c>
      <c r="M3404">
        <v>19.9554694439964</v>
      </c>
      <c r="N3404">
        <v>61.9569200617345</v>
      </c>
      <c r="O3404">
        <v>54.885328281174601</v>
      </c>
      <c r="P3404">
        <v>-5.1008110794841799E-2</v>
      </c>
      <c r="Q3404">
        <v>0.43884959068538298</v>
      </c>
      <c r="R3404">
        <v>0.98781891812017897</v>
      </c>
      <c r="S3404" t="s">
        <v>9689</v>
      </c>
      <c r="T3404" t="s">
        <v>12568</v>
      </c>
      <c r="U3404" t="s">
        <v>12568</v>
      </c>
      <c r="V3404" t="s">
        <v>12568</v>
      </c>
      <c r="W3404" t="s">
        <v>15932</v>
      </c>
      <c r="X3404">
        <v>32</v>
      </c>
      <c r="Y3404" t="s">
        <v>22064</v>
      </c>
      <c r="Z3404" t="s">
        <v>28274</v>
      </c>
      <c r="AA3404">
        <v>0.73492615435089781</v>
      </c>
      <c r="AB3404" t="str">
        <f>HYPERLINK("Melting_Curves/meltCurve_Q5JSH3_2_WDR44.pdf", "Melting_Curves/meltCurve_Q5JSH3_2_WDR44.pdf")</f>
        <v>Melting_Curves/meltCurve_Q5JSH3_2_WDR44.pdf</v>
      </c>
    </row>
    <row r="3405" spans="1:28" x14ac:dyDescent="0.25">
      <c r="A3405" t="s">
        <v>3409</v>
      </c>
      <c r="B3405">
        <v>0.99352677808782597</v>
      </c>
      <c r="C3405">
        <v>1.0279272117898099</v>
      </c>
      <c r="D3405">
        <v>0.79110773582090799</v>
      </c>
      <c r="E3405">
        <v>0.72992931237681902</v>
      </c>
      <c r="F3405">
        <v>0.96402082717770599</v>
      </c>
      <c r="G3405">
        <v>0.86114973507722803</v>
      </c>
      <c r="H3405">
        <v>1.1908866250427099</v>
      </c>
      <c r="I3405">
        <v>0.92695877534286497</v>
      </c>
      <c r="J3405">
        <v>1.37781111102216</v>
      </c>
      <c r="K3405">
        <v>0.85973797954035203</v>
      </c>
      <c r="L3405">
        <v>2206.8606000611098</v>
      </c>
      <c r="M3405">
        <v>37.037542930169302</v>
      </c>
      <c r="O3405">
        <v>59.411518595343999</v>
      </c>
      <c r="P3405">
        <v>1.28716867361881E-2</v>
      </c>
      <c r="Q3405">
        <v>1.0825890966604099</v>
      </c>
      <c r="R3405">
        <v>4.5211687851883203E-2</v>
      </c>
      <c r="S3405" t="s">
        <v>9690</v>
      </c>
      <c r="T3405" t="s">
        <v>12568</v>
      </c>
      <c r="U3405" t="s">
        <v>12568</v>
      </c>
      <c r="V3405" t="s">
        <v>12568</v>
      </c>
      <c r="W3405" t="s">
        <v>15933</v>
      </c>
      <c r="X3405">
        <v>3</v>
      </c>
      <c r="Y3405" t="s">
        <v>22065</v>
      </c>
      <c r="Z3405" t="s">
        <v>28275</v>
      </c>
      <c r="AA3405">
        <v>1.0283027164678089</v>
      </c>
      <c r="AB3405" t="str">
        <f>HYPERLINK("Melting_Curves/meltCurve_Q5JSL0_HMGN5.pdf", "Melting_Curves/meltCurve_Q5JSL0_HMGN5.pdf")</f>
        <v>Melting_Curves/meltCurve_Q5JSL0_HMGN5.pdf</v>
      </c>
    </row>
    <row r="3406" spans="1:28" x14ac:dyDescent="0.25">
      <c r="A3406" t="s">
        <v>3410</v>
      </c>
      <c r="B3406">
        <v>0.99352677808782597</v>
      </c>
      <c r="C3406">
        <v>0.96939921673253504</v>
      </c>
      <c r="D3406">
        <v>0.99453780227462796</v>
      </c>
      <c r="E3406">
        <v>0.95731969002987105</v>
      </c>
      <c r="F3406">
        <v>0.86209891908282998</v>
      </c>
      <c r="G3406">
        <v>0.78862882726735795</v>
      </c>
      <c r="H3406">
        <v>0.71060334265306901</v>
      </c>
      <c r="I3406">
        <v>0.73332762307829003</v>
      </c>
      <c r="J3406">
        <v>0.76367179759781101</v>
      </c>
      <c r="K3406">
        <v>0.68418198527788598</v>
      </c>
      <c r="L3406">
        <v>1164.8701126405099</v>
      </c>
      <c r="M3406">
        <v>21.791750111112101</v>
      </c>
      <c r="O3406">
        <v>53.010600894898197</v>
      </c>
      <c r="P3406">
        <v>-2.9035816869797101E-2</v>
      </c>
      <c r="Q3406">
        <v>0.71747649298581695</v>
      </c>
      <c r="R3406">
        <v>0.96416935026599304</v>
      </c>
      <c r="S3406" t="s">
        <v>9691</v>
      </c>
      <c r="T3406" t="s">
        <v>12568</v>
      </c>
      <c r="U3406" t="s">
        <v>12568</v>
      </c>
      <c r="V3406" t="s">
        <v>12568</v>
      </c>
      <c r="W3406" t="s">
        <v>15934</v>
      </c>
      <c r="X3406">
        <v>35</v>
      </c>
      <c r="Y3406" t="s">
        <v>19394</v>
      </c>
      <c r="Z3406" t="s">
        <v>28276</v>
      </c>
      <c r="AA3406">
        <v>0.84752625043550822</v>
      </c>
      <c r="AB3406" t="str">
        <f>HYPERLINK("Melting_Curves/meltCurve_Q5JSZ5_PRRC2B.pdf", "Melting_Curves/meltCurve_Q5JSZ5_PRRC2B.pdf")</f>
        <v>Melting_Curves/meltCurve_Q5JSZ5_PRRC2B.pdf</v>
      </c>
    </row>
    <row r="3407" spans="1:28" x14ac:dyDescent="0.25">
      <c r="A3407" t="s">
        <v>3411</v>
      </c>
      <c r="B3407">
        <v>0.99352677808782597</v>
      </c>
      <c r="C3407">
        <v>0.88930911296237103</v>
      </c>
      <c r="D3407">
        <v>0.82081020235283197</v>
      </c>
      <c r="E3407">
        <v>0.77982130070976696</v>
      </c>
      <c r="F3407">
        <v>0.27103630081030899</v>
      </c>
      <c r="G3407">
        <v>0.65418173183425399</v>
      </c>
      <c r="H3407">
        <v>0.61383862916438903</v>
      </c>
      <c r="I3407">
        <v>0.68150935311708105</v>
      </c>
      <c r="J3407">
        <v>0.62753864296358697</v>
      </c>
      <c r="K3407">
        <v>0.60236898426606</v>
      </c>
      <c r="L3407">
        <v>1103.1068529056699</v>
      </c>
      <c r="M3407">
        <v>23.902127974299798</v>
      </c>
      <c r="O3407">
        <v>45.831573423172003</v>
      </c>
      <c r="P3407">
        <v>-5.3143105423618997E-2</v>
      </c>
      <c r="Q3407">
        <v>0.59240554359276199</v>
      </c>
      <c r="R3407">
        <v>0.57760682961896603</v>
      </c>
      <c r="S3407" t="s">
        <v>9692</v>
      </c>
      <c r="T3407" t="s">
        <v>12568</v>
      </c>
      <c r="U3407" t="s">
        <v>12568</v>
      </c>
      <c r="V3407" t="s">
        <v>12568</v>
      </c>
      <c r="W3407" t="s">
        <v>15935</v>
      </c>
      <c r="X3407">
        <v>3</v>
      </c>
      <c r="Y3407" t="s">
        <v>22066</v>
      </c>
      <c r="Z3407" t="s">
        <v>28277</v>
      </c>
      <c r="AA3407">
        <v>0.6801194002130998</v>
      </c>
      <c r="AB3407" t="str">
        <f>HYPERLINK("Melting_Curves/meltCurve_Q5JTC6_2_AMER1.pdf", "Melting_Curves/meltCurve_Q5JTC6_2_AMER1.pdf")</f>
        <v>Melting_Curves/meltCurve_Q5JTC6_2_AMER1.pdf</v>
      </c>
    </row>
    <row r="3408" spans="1:28" x14ac:dyDescent="0.25">
      <c r="A3408" t="s">
        <v>3412</v>
      </c>
      <c r="B3408">
        <v>0.99352677808782597</v>
      </c>
      <c r="C3408">
        <v>0.99127596896977999</v>
      </c>
      <c r="D3408">
        <v>0.96551319438805405</v>
      </c>
      <c r="E3408">
        <v>0.826412992044952</v>
      </c>
      <c r="F3408">
        <v>0.73223912341976705</v>
      </c>
      <c r="G3408">
        <v>0.62740598998359898</v>
      </c>
      <c r="H3408">
        <v>0.60642336519499596</v>
      </c>
      <c r="I3408">
        <v>0.66762816832722105</v>
      </c>
      <c r="J3408">
        <v>0.69669850166065495</v>
      </c>
      <c r="K3408">
        <v>0.54733366688200502</v>
      </c>
      <c r="L3408">
        <v>1161.64557456954</v>
      </c>
      <c r="M3408">
        <v>23.014593820226899</v>
      </c>
      <c r="O3408">
        <v>50.097858645681903</v>
      </c>
      <c r="P3408">
        <v>-4.3223341401884302E-2</v>
      </c>
      <c r="Q3408">
        <v>0.62365508044189999</v>
      </c>
      <c r="R3408">
        <v>0.94457581359717702</v>
      </c>
      <c r="S3408" t="s">
        <v>9693</v>
      </c>
      <c r="T3408" t="s">
        <v>12568</v>
      </c>
      <c r="U3408" t="s">
        <v>12568</v>
      </c>
      <c r="V3408" t="s">
        <v>12568</v>
      </c>
      <c r="W3408" t="s">
        <v>15936</v>
      </c>
      <c r="X3408">
        <v>11</v>
      </c>
      <c r="Y3408" t="s">
        <v>22067</v>
      </c>
      <c r="Z3408" t="s">
        <v>28278</v>
      </c>
      <c r="AA3408">
        <v>0.75903568372743491</v>
      </c>
      <c r="AB3408" t="str">
        <f>HYPERLINK("Melting_Curves/meltCurve_Q5JTD0_2_TJAP1.pdf", "Melting_Curves/meltCurve_Q5JTD0_2_TJAP1.pdf")</f>
        <v>Melting_Curves/meltCurve_Q5JTD0_2_TJAP1.pdf</v>
      </c>
    </row>
    <row r="3409" spans="1:28" x14ac:dyDescent="0.25">
      <c r="A3409" t="s">
        <v>3413</v>
      </c>
      <c r="B3409">
        <v>0.99352677808782597</v>
      </c>
      <c r="C3409">
        <v>0.91579341511720802</v>
      </c>
      <c r="D3409">
        <v>1.02339016712706</v>
      </c>
      <c r="E3409">
        <v>0.500274361682159</v>
      </c>
      <c r="F3409">
        <v>0.42497955599106202</v>
      </c>
      <c r="G3409">
        <v>0.24441622052831299</v>
      </c>
      <c r="H3409">
        <v>0.18319201928803899</v>
      </c>
      <c r="I3409">
        <v>0.14697509268567799</v>
      </c>
      <c r="J3409">
        <v>0.113119628067853</v>
      </c>
      <c r="K3409">
        <v>6.2343462978308201E-2</v>
      </c>
      <c r="L3409">
        <v>962.67933475711698</v>
      </c>
      <c r="M3409">
        <v>19.019376365011802</v>
      </c>
      <c r="N3409">
        <v>51.339205087337</v>
      </c>
      <c r="O3409">
        <v>50.066119074605297</v>
      </c>
      <c r="P3409">
        <v>-8.3810169839553805E-2</v>
      </c>
      <c r="Q3409">
        <v>0.117556059119933</v>
      </c>
      <c r="R3409">
        <v>0.96789461725880499</v>
      </c>
      <c r="S3409" t="s">
        <v>9694</v>
      </c>
      <c r="T3409" t="s">
        <v>12568</v>
      </c>
      <c r="U3409" t="s">
        <v>12568</v>
      </c>
      <c r="V3409" t="s">
        <v>12568</v>
      </c>
      <c r="W3409" t="s">
        <v>15937</v>
      </c>
      <c r="X3409">
        <v>4</v>
      </c>
      <c r="Y3409" t="s">
        <v>22068</v>
      </c>
      <c r="Z3409" t="s">
        <v>28279</v>
      </c>
      <c r="AA3409">
        <v>0.4432977482251535</v>
      </c>
      <c r="AB3409" t="str">
        <f>HYPERLINK("Melting_Curves/meltCurve_Q5JTH9_RRP12.pdf", "Melting_Curves/meltCurve_Q5JTH9_RRP12.pdf")</f>
        <v>Melting_Curves/meltCurve_Q5JTH9_RRP12.pdf</v>
      </c>
    </row>
    <row r="3410" spans="1:28" x14ac:dyDescent="0.25">
      <c r="A3410" t="s">
        <v>3414</v>
      </c>
      <c r="B3410">
        <v>0.99352677808782597</v>
      </c>
      <c r="C3410">
        <v>0.95293181755175504</v>
      </c>
      <c r="D3410">
        <v>1.0211533364047201</v>
      </c>
      <c r="E3410">
        <v>1.0311697136362099</v>
      </c>
      <c r="F3410">
        <v>0.93376760351721</v>
      </c>
      <c r="G3410">
        <v>0.90631050296073801</v>
      </c>
      <c r="H3410">
        <v>0.81174483246048001</v>
      </c>
      <c r="I3410">
        <v>0.92977363823144399</v>
      </c>
      <c r="J3410">
        <v>0.94198686454749703</v>
      </c>
      <c r="K3410">
        <v>0.835131348165156</v>
      </c>
      <c r="L3410">
        <v>13233.7881092478</v>
      </c>
      <c r="M3410">
        <v>250</v>
      </c>
      <c r="O3410">
        <v>52.931766430925997</v>
      </c>
      <c r="P3410">
        <v>-0.13580050611025399</v>
      </c>
      <c r="Q3410">
        <v>0.88498943264641605</v>
      </c>
      <c r="R3410">
        <v>0.62916617130567598</v>
      </c>
      <c r="S3410" t="s">
        <v>9695</v>
      </c>
      <c r="T3410" t="s">
        <v>12568</v>
      </c>
      <c r="U3410" t="s">
        <v>12568</v>
      </c>
      <c r="V3410" t="s">
        <v>12568</v>
      </c>
      <c r="W3410" t="s">
        <v>15938</v>
      </c>
      <c r="X3410">
        <v>9</v>
      </c>
      <c r="Y3410" t="s">
        <v>22069</v>
      </c>
      <c r="Z3410" t="s">
        <v>28280</v>
      </c>
      <c r="AA3410">
        <v>0.93458942452330651</v>
      </c>
      <c r="AB3410" t="str">
        <f>HYPERLINK("Melting_Curves/meltCurve_Q5JTJ3_3_COA6.pdf", "Melting_Curves/meltCurve_Q5JTJ3_3_COA6.pdf")</f>
        <v>Melting_Curves/meltCurve_Q5JTJ3_3_COA6.pdf</v>
      </c>
    </row>
    <row r="3411" spans="1:28" x14ac:dyDescent="0.25">
      <c r="A3411" t="s">
        <v>3415</v>
      </c>
      <c r="B3411">
        <v>0.99352677808782597</v>
      </c>
      <c r="C3411">
        <v>0.99214666867359202</v>
      </c>
      <c r="D3411">
        <v>0.93612939916375804</v>
      </c>
      <c r="E3411">
        <v>0.68695014305031699</v>
      </c>
      <c r="F3411">
        <v>0.57876665536795902</v>
      </c>
      <c r="G3411">
        <v>0.41156625895092203</v>
      </c>
      <c r="H3411">
        <v>0.26797749236451102</v>
      </c>
      <c r="I3411">
        <v>0.22392157638202601</v>
      </c>
      <c r="J3411">
        <v>0.21514722887376</v>
      </c>
      <c r="K3411">
        <v>0.17139732763326099</v>
      </c>
      <c r="L3411">
        <v>715.65444763689902</v>
      </c>
      <c r="M3411">
        <v>13.5319420698833</v>
      </c>
      <c r="N3411">
        <v>54.384416381477699</v>
      </c>
      <c r="O3411">
        <v>51.771410584334497</v>
      </c>
      <c r="P3411">
        <v>-5.5186406102436698E-2</v>
      </c>
      <c r="Q3411">
        <v>0.15558420419683</v>
      </c>
      <c r="R3411">
        <v>0.99476127985995499</v>
      </c>
      <c r="S3411" t="s">
        <v>9696</v>
      </c>
      <c r="T3411" t="s">
        <v>12568</v>
      </c>
      <c r="U3411" t="s">
        <v>12568</v>
      </c>
      <c r="V3411" t="s">
        <v>12568</v>
      </c>
      <c r="W3411" t="s">
        <v>15939</v>
      </c>
      <c r="X3411">
        <v>5</v>
      </c>
      <c r="Y3411" t="s">
        <v>22070</v>
      </c>
      <c r="Z3411" t="s">
        <v>28281</v>
      </c>
      <c r="AA3411">
        <v>0.53926957420797239</v>
      </c>
      <c r="AB3411" t="str">
        <f>HYPERLINK("Melting_Curves/meltCurve_Q5JTV1_GMEB2.pdf", "Melting_Curves/meltCurve_Q5JTV1_GMEB2.pdf")</f>
        <v>Melting_Curves/meltCurve_Q5JTV1_GMEB2.pdf</v>
      </c>
    </row>
    <row r="3412" spans="1:28" x14ac:dyDescent="0.25">
      <c r="A3412" t="s">
        <v>3416</v>
      </c>
      <c r="B3412">
        <v>0.99352677808782597</v>
      </c>
      <c r="C3412">
        <v>1.0094537283476701</v>
      </c>
      <c r="D3412">
        <v>1.02177226983004</v>
      </c>
      <c r="E3412">
        <v>0.83603696660688698</v>
      </c>
      <c r="F3412">
        <v>0.78142323096757005</v>
      </c>
      <c r="G3412">
        <v>0.69700052473018703</v>
      </c>
      <c r="H3412">
        <v>0.63435366204725996</v>
      </c>
      <c r="I3412">
        <v>0.67307328565275104</v>
      </c>
      <c r="J3412">
        <v>0.68794021615462497</v>
      </c>
      <c r="K3412">
        <v>0.5795148286831</v>
      </c>
      <c r="L3412">
        <v>1074.60869510099</v>
      </c>
      <c r="M3412">
        <v>20.894922467655</v>
      </c>
      <c r="O3412">
        <v>50.965067370361801</v>
      </c>
      <c r="P3412">
        <v>-3.6760197432484397E-2</v>
      </c>
      <c r="Q3412">
        <v>0.64136078280337405</v>
      </c>
      <c r="R3412">
        <v>0.953412116125959</v>
      </c>
      <c r="S3412" t="s">
        <v>9697</v>
      </c>
      <c r="T3412" t="s">
        <v>12568</v>
      </c>
      <c r="U3412" t="s">
        <v>12568</v>
      </c>
      <c r="V3412" t="s">
        <v>12568</v>
      </c>
      <c r="W3412" t="s">
        <v>15940</v>
      </c>
      <c r="X3412">
        <v>4</v>
      </c>
      <c r="Y3412" t="s">
        <v>19198</v>
      </c>
      <c r="Z3412" t="s">
        <v>28282</v>
      </c>
      <c r="AA3412">
        <v>0.78257819043930732</v>
      </c>
      <c r="AB3412" t="str">
        <f>HYPERLINK("Melting_Curves/meltCurve_Q5JTV8_TOR1AIP1.pdf", "Melting_Curves/meltCurve_Q5JTV8_TOR1AIP1.pdf")</f>
        <v>Melting_Curves/meltCurve_Q5JTV8_TOR1AIP1.pdf</v>
      </c>
    </row>
    <row r="3413" spans="1:28" x14ac:dyDescent="0.25">
      <c r="A3413" t="s">
        <v>3417</v>
      </c>
      <c r="B3413">
        <v>0.99352677808782597</v>
      </c>
      <c r="C3413">
        <v>0.89291332313761895</v>
      </c>
      <c r="D3413">
        <v>0.97156207306266296</v>
      </c>
      <c r="E3413">
        <v>0.81079740019705904</v>
      </c>
      <c r="F3413">
        <v>0.66215306484808301</v>
      </c>
      <c r="G3413">
        <v>0.66485937285125796</v>
      </c>
      <c r="H3413">
        <v>0.53679971176960095</v>
      </c>
      <c r="I3413">
        <v>0.49998410967786699</v>
      </c>
      <c r="J3413">
        <v>0.45126029962373998</v>
      </c>
      <c r="K3413">
        <v>0.37246377423153498</v>
      </c>
      <c r="L3413">
        <v>427.48139140558197</v>
      </c>
      <c r="M3413">
        <v>7.4434958931833997</v>
      </c>
      <c r="N3413">
        <v>62.987130314834502</v>
      </c>
      <c r="O3413">
        <v>53.722642279796098</v>
      </c>
      <c r="P3413">
        <v>-2.6339318807590301E-2</v>
      </c>
      <c r="Q3413">
        <v>0.240717674077847</v>
      </c>
      <c r="R3413">
        <v>0.96339090403191696</v>
      </c>
      <c r="S3413" t="s">
        <v>9698</v>
      </c>
      <c r="T3413" t="s">
        <v>12568</v>
      </c>
      <c r="U3413" t="s">
        <v>12568</v>
      </c>
      <c r="V3413" t="s">
        <v>12568</v>
      </c>
      <c r="W3413" t="s">
        <v>15941</v>
      </c>
      <c r="X3413">
        <v>1</v>
      </c>
      <c r="Y3413" t="s">
        <v>22071</v>
      </c>
      <c r="Z3413" t="s">
        <v>28283</v>
      </c>
      <c r="AA3413">
        <v>0.68661604993240366</v>
      </c>
      <c r="AB3413" t="str">
        <f>HYPERLINK("Melting_Curves/meltCurve_Q5JTW2_CEP78.pdf", "Melting_Curves/meltCurve_Q5JTW2_CEP78.pdf")</f>
        <v>Melting_Curves/meltCurve_Q5JTW2_CEP78.pdf</v>
      </c>
    </row>
    <row r="3414" spans="1:28" x14ac:dyDescent="0.25">
      <c r="A3414" t="s">
        <v>3418</v>
      </c>
      <c r="B3414">
        <v>0.99352677808782597</v>
      </c>
      <c r="C3414">
        <v>0.73635374916599505</v>
      </c>
      <c r="D3414">
        <v>0.49051065348470302</v>
      </c>
      <c r="E3414">
        <v>0.27846637657638901</v>
      </c>
      <c r="F3414">
        <v>0.30854136373327301</v>
      </c>
      <c r="G3414">
        <v>0.20180440814788</v>
      </c>
      <c r="H3414">
        <v>0.202048654482233</v>
      </c>
      <c r="I3414">
        <v>0.13434775511962599</v>
      </c>
      <c r="J3414">
        <v>0.114012212327481</v>
      </c>
      <c r="K3414">
        <v>0.156911160691249</v>
      </c>
      <c r="L3414">
        <v>791.15979258610605</v>
      </c>
      <c r="M3414">
        <v>17.534837531044101</v>
      </c>
      <c r="N3414">
        <v>46.1744144205027</v>
      </c>
      <c r="O3414">
        <v>44.544754483411403</v>
      </c>
      <c r="P3414">
        <v>-8.2171373861347805E-2</v>
      </c>
      <c r="Q3414">
        <v>0.16506704000139</v>
      </c>
      <c r="R3414">
        <v>0.97487800185439899</v>
      </c>
      <c r="S3414" t="s">
        <v>9699</v>
      </c>
      <c r="T3414" t="s">
        <v>12568</v>
      </c>
      <c r="U3414" t="s">
        <v>12568</v>
      </c>
      <c r="V3414" t="s">
        <v>12568</v>
      </c>
      <c r="W3414" t="s">
        <v>15942</v>
      </c>
      <c r="X3414">
        <v>4</v>
      </c>
      <c r="Y3414" t="s">
        <v>22072</v>
      </c>
      <c r="Z3414" t="s">
        <v>28284</v>
      </c>
      <c r="AA3414">
        <v>0.32639475188068628</v>
      </c>
      <c r="AB3414" t="str">
        <f>HYPERLINK("Melting_Curves/meltCurve_Q5JTZ9_AARS2.pdf", "Melting_Curves/meltCurve_Q5JTZ9_AARS2.pdf")</f>
        <v>Melting_Curves/meltCurve_Q5JTZ9_AARS2.pdf</v>
      </c>
    </row>
    <row r="3415" spans="1:28" x14ac:dyDescent="0.25">
      <c r="A3415" t="s">
        <v>3419</v>
      </c>
      <c r="B3415">
        <v>0.99352677808782597</v>
      </c>
      <c r="C3415">
        <v>0.89877220033335903</v>
      </c>
      <c r="D3415">
        <v>0.77480683985643295</v>
      </c>
      <c r="E3415">
        <v>0.62763346804284703</v>
      </c>
      <c r="F3415">
        <v>0.77904569786811295</v>
      </c>
      <c r="G3415">
        <v>0.60459741049578997</v>
      </c>
      <c r="H3415">
        <v>0.58986813980641695</v>
      </c>
      <c r="I3415">
        <v>0.54329646255243003</v>
      </c>
      <c r="J3415">
        <v>0.40760706542424302</v>
      </c>
      <c r="K3415">
        <v>0.38197477393900298</v>
      </c>
      <c r="L3415">
        <v>260.280501032757</v>
      </c>
      <c r="M3415">
        <v>4.0921028331796903</v>
      </c>
      <c r="N3415">
        <v>63.605563444006698</v>
      </c>
      <c r="O3415">
        <v>52.590462114138397</v>
      </c>
      <c r="P3415">
        <v>-1.9685053931279999E-2</v>
      </c>
      <c r="Q3415">
        <v>0</v>
      </c>
      <c r="R3415">
        <v>0.89188762912743502</v>
      </c>
      <c r="S3415" t="s">
        <v>9700</v>
      </c>
      <c r="T3415" t="s">
        <v>12568</v>
      </c>
      <c r="U3415" t="s">
        <v>12568</v>
      </c>
      <c r="V3415" t="s">
        <v>12568</v>
      </c>
      <c r="W3415" t="s">
        <v>15943</v>
      </c>
      <c r="X3415">
        <v>6</v>
      </c>
      <c r="Y3415" t="s">
        <v>22073</v>
      </c>
      <c r="Z3415" t="s">
        <v>28285</v>
      </c>
      <c r="AA3415">
        <v>0.65905492887002837</v>
      </c>
      <c r="AB3415" t="str">
        <f>HYPERLINK("Melting_Curves/meltCurve_Q5JU85_IQSEC2.pdf", "Melting_Curves/meltCurve_Q5JU85_IQSEC2.pdf")</f>
        <v>Melting_Curves/meltCurve_Q5JU85_IQSEC2.pdf</v>
      </c>
    </row>
    <row r="3416" spans="1:28" x14ac:dyDescent="0.25">
      <c r="A3416" t="s">
        <v>3420</v>
      </c>
      <c r="B3416">
        <v>0.99352677808782597</v>
      </c>
      <c r="C3416">
        <v>0.92452128968688596</v>
      </c>
      <c r="D3416">
        <v>0.857092924736231</v>
      </c>
      <c r="E3416">
        <v>0.519245338079103</v>
      </c>
      <c r="F3416">
        <v>0.49238548695922302</v>
      </c>
      <c r="G3416">
        <v>0.33822828060565402</v>
      </c>
      <c r="H3416">
        <v>0.27399255157790198</v>
      </c>
      <c r="I3416">
        <v>0.244774726672569</v>
      </c>
      <c r="J3416">
        <v>0.21446541861608601</v>
      </c>
      <c r="K3416">
        <v>0.15095132982602</v>
      </c>
      <c r="L3416">
        <v>654.798678989785</v>
      </c>
      <c r="M3416">
        <v>13.027542819794199</v>
      </c>
      <c r="N3416">
        <v>52.031573539353197</v>
      </c>
      <c r="O3416">
        <v>49.122540106623397</v>
      </c>
      <c r="P3416">
        <v>-5.4448552100413598E-2</v>
      </c>
      <c r="Q3416">
        <v>0.17891419475925099</v>
      </c>
      <c r="R3416">
        <v>0.98405944741277596</v>
      </c>
      <c r="S3416" t="s">
        <v>9701</v>
      </c>
      <c r="T3416" t="s">
        <v>12568</v>
      </c>
      <c r="U3416" t="s">
        <v>12568</v>
      </c>
      <c r="V3416" t="s">
        <v>12568</v>
      </c>
      <c r="W3416" t="s">
        <v>15944</v>
      </c>
      <c r="X3416">
        <v>6</v>
      </c>
      <c r="Y3416" t="s">
        <v>22074</v>
      </c>
      <c r="Z3416" t="s">
        <v>28286</v>
      </c>
      <c r="AA3416">
        <v>0.48439621594395188</v>
      </c>
      <c r="AB3416" t="str">
        <f>HYPERLINK("Melting_Curves/meltCurve_Q5JUE6_RAPGEF1.pdf", "Melting_Curves/meltCurve_Q5JUE6_RAPGEF1.pdf")</f>
        <v>Melting_Curves/meltCurve_Q5JUE6_RAPGEF1.pdf</v>
      </c>
    </row>
    <row r="3417" spans="1:28" x14ac:dyDescent="0.25">
      <c r="A3417" t="s">
        <v>3421</v>
      </c>
      <c r="B3417">
        <v>0.99352677808782597</v>
      </c>
      <c r="C3417">
        <v>0.80777595383101797</v>
      </c>
      <c r="D3417">
        <v>0.66329931451650104</v>
      </c>
      <c r="E3417">
        <v>0.14908759209046199</v>
      </c>
      <c r="F3417">
        <v>9.5766657621948706E-2</v>
      </c>
      <c r="G3417">
        <v>4.96527997765343E-2</v>
      </c>
      <c r="H3417">
        <v>8.2470446203811207E-2</v>
      </c>
      <c r="I3417">
        <v>3.0996818433217201E-2</v>
      </c>
      <c r="J3417">
        <v>2.2525990396979698E-2</v>
      </c>
      <c r="K3417">
        <v>2.18790667995367E-2</v>
      </c>
      <c r="L3417">
        <v>1080.3253454437299</v>
      </c>
      <c r="M3417">
        <v>23.138788284587999</v>
      </c>
      <c r="N3417">
        <v>46.824966085008498</v>
      </c>
      <c r="O3417">
        <v>46.3444106663135</v>
      </c>
      <c r="P3417">
        <v>-0.120764598955102</v>
      </c>
      <c r="Q3417">
        <v>3.2505799636252601E-2</v>
      </c>
      <c r="R3417">
        <v>0.98716247708173299</v>
      </c>
      <c r="S3417" t="s">
        <v>9702</v>
      </c>
      <c r="T3417" t="s">
        <v>12568</v>
      </c>
      <c r="U3417" t="s">
        <v>12568</v>
      </c>
      <c r="V3417" t="s">
        <v>12568</v>
      </c>
      <c r="W3417" t="s">
        <v>15945</v>
      </c>
      <c r="X3417">
        <v>1</v>
      </c>
      <c r="Y3417" t="s">
        <v>22075</v>
      </c>
      <c r="Z3417" t="s">
        <v>28287</v>
      </c>
      <c r="AA3417">
        <v>0.25857281422141842</v>
      </c>
      <c r="AB3417" t="str">
        <f>HYPERLINK("Melting_Curves/meltCurve_Q5JUR7_TEX30.pdf", "Melting_Curves/meltCurve_Q5JUR7_TEX30.pdf")</f>
        <v>Melting_Curves/meltCurve_Q5JUR7_TEX30.pdf</v>
      </c>
    </row>
    <row r="3418" spans="1:28" x14ac:dyDescent="0.25">
      <c r="A3418" t="s">
        <v>3422</v>
      </c>
      <c r="B3418">
        <v>0.99352677808782597</v>
      </c>
      <c r="C3418">
        <v>0.83405557282421505</v>
      </c>
      <c r="D3418">
        <v>0.86532697914884404</v>
      </c>
      <c r="E3418">
        <v>1.21844903281685</v>
      </c>
      <c r="F3418">
        <v>1.20345794101774</v>
      </c>
      <c r="G3418">
        <v>0.97442379872179996</v>
      </c>
      <c r="H3418">
        <v>0.72452466991699305</v>
      </c>
      <c r="I3418">
        <v>0.77476458593263697</v>
      </c>
      <c r="J3418">
        <v>0.79204802519776696</v>
      </c>
      <c r="K3418">
        <v>0.79657687972119595</v>
      </c>
      <c r="L3418">
        <v>14367.9214349105</v>
      </c>
      <c r="M3418">
        <v>250</v>
      </c>
      <c r="O3418">
        <v>57.4680183469196</v>
      </c>
      <c r="P3418">
        <v>-0.24798740776584</v>
      </c>
      <c r="Q3418">
        <v>0.77197852308234105</v>
      </c>
      <c r="R3418">
        <v>0.50505852678349406</v>
      </c>
      <c r="S3418" t="s">
        <v>9703</v>
      </c>
      <c r="T3418" t="s">
        <v>12568</v>
      </c>
      <c r="U3418" t="s">
        <v>12568</v>
      </c>
      <c r="V3418" t="s">
        <v>12568</v>
      </c>
      <c r="W3418" t="s">
        <v>15946</v>
      </c>
      <c r="X3418">
        <v>2</v>
      </c>
      <c r="Y3418" t="s">
        <v>22076</v>
      </c>
      <c r="Z3418" t="s">
        <v>28288</v>
      </c>
      <c r="AA3418">
        <v>0.9047988413180853</v>
      </c>
      <c r="AB3418" t="str">
        <f>HYPERLINK("Melting_Curves/meltCurve_Q5JV73_FRMPD3.pdf", "Melting_Curves/meltCurve_Q5JV73_FRMPD3.pdf")</f>
        <v>Melting_Curves/meltCurve_Q5JV73_FRMPD3.pdf</v>
      </c>
    </row>
    <row r="3419" spans="1:28" x14ac:dyDescent="0.25">
      <c r="A3419" t="s">
        <v>3423</v>
      </c>
      <c r="B3419">
        <v>0.99352677808782597</v>
      </c>
      <c r="C3419">
        <v>0.96484261294371398</v>
      </c>
      <c r="D3419">
        <v>0.95710127971874703</v>
      </c>
      <c r="E3419">
        <v>0.255157383238098</v>
      </c>
      <c r="F3419">
        <v>0.17795882814403899</v>
      </c>
      <c r="G3419">
        <v>9.88905265860687E-2</v>
      </c>
      <c r="H3419">
        <v>7.0926393061319495E-2</v>
      </c>
      <c r="I3419">
        <v>6.7992592408051E-2</v>
      </c>
      <c r="J3419">
        <v>5.5493881621268899E-2</v>
      </c>
      <c r="K3419">
        <v>3.7713869957766002E-2</v>
      </c>
      <c r="L3419">
        <v>2286.3635172590598</v>
      </c>
      <c r="M3419">
        <v>47.0635541378768</v>
      </c>
      <c r="N3419">
        <v>48.759803295558598</v>
      </c>
      <c r="O3419">
        <v>48.492873741988703</v>
      </c>
      <c r="P3419">
        <v>-0.22333615345933699</v>
      </c>
      <c r="Q3419">
        <v>7.9525517112444793E-2</v>
      </c>
      <c r="R3419">
        <v>0.99305353963403398</v>
      </c>
      <c r="S3419" t="s">
        <v>9704</v>
      </c>
      <c r="T3419" t="s">
        <v>12568</v>
      </c>
      <c r="U3419" t="s">
        <v>12568</v>
      </c>
      <c r="V3419" t="s">
        <v>12568</v>
      </c>
      <c r="W3419" t="s">
        <v>15947</v>
      </c>
      <c r="X3419">
        <v>8</v>
      </c>
      <c r="Y3419" t="s">
        <v>22077</v>
      </c>
      <c r="Z3419" t="s">
        <v>28289</v>
      </c>
      <c r="AA3419">
        <v>0.3450204263297299</v>
      </c>
      <c r="AB3419" t="str">
        <f>HYPERLINK("Melting_Curves/meltCurve_Q5JVF3_3_PCID2.pdf", "Melting_Curves/meltCurve_Q5JVF3_3_PCID2.pdf")</f>
        <v>Melting_Curves/meltCurve_Q5JVF3_3_PCID2.pdf</v>
      </c>
    </row>
    <row r="3420" spans="1:28" x14ac:dyDescent="0.25">
      <c r="A3420" t="s">
        <v>3424</v>
      </c>
      <c r="B3420">
        <v>0.99352677808782597</v>
      </c>
      <c r="C3420">
        <v>1.03457860947756</v>
      </c>
      <c r="D3420">
        <v>0.98270528358874498</v>
      </c>
      <c r="E3420">
        <v>0.386742762320541</v>
      </c>
      <c r="F3420">
        <v>0.385462834213604</v>
      </c>
      <c r="G3420">
        <v>0.17861492486075001</v>
      </c>
      <c r="H3420">
        <v>0.152894165221893</v>
      </c>
      <c r="I3420">
        <v>0.14938734913371901</v>
      </c>
      <c r="J3420">
        <v>0.122036111762145</v>
      </c>
      <c r="K3420">
        <v>0.111989536621747</v>
      </c>
      <c r="L3420">
        <v>1460.8892817329099</v>
      </c>
      <c r="M3420">
        <v>29.692769838377501</v>
      </c>
      <c r="N3420">
        <v>49.822448781356599</v>
      </c>
      <c r="O3420">
        <v>48.9786259664995</v>
      </c>
      <c r="P3420">
        <v>-0.12807899523126401</v>
      </c>
      <c r="Q3420">
        <v>0.15493358736840501</v>
      </c>
      <c r="R3420">
        <v>0.97183040281424604</v>
      </c>
      <c r="S3420" t="s">
        <v>9705</v>
      </c>
      <c r="T3420" t="s">
        <v>12568</v>
      </c>
      <c r="U3420" t="s">
        <v>12568</v>
      </c>
      <c r="V3420" t="s">
        <v>12568</v>
      </c>
      <c r="W3420" t="s">
        <v>15948</v>
      </c>
      <c r="X3420">
        <v>2</v>
      </c>
      <c r="Y3420" t="s">
        <v>22078</v>
      </c>
      <c r="Z3420" t="s">
        <v>28290</v>
      </c>
      <c r="AA3420">
        <v>0.41936378297591098</v>
      </c>
      <c r="AB3420" t="str">
        <f>HYPERLINK("Melting_Curves/meltCurve_Q5JVM0_MYO6.pdf", "Melting_Curves/meltCurve_Q5JVM0_MYO6.pdf")</f>
        <v>Melting_Curves/meltCurve_Q5JVM0_MYO6.pdf</v>
      </c>
    </row>
    <row r="3421" spans="1:28" x14ac:dyDescent="0.25">
      <c r="A3421" t="s">
        <v>3425</v>
      </c>
      <c r="B3421">
        <v>0.99352677808782597</v>
      </c>
      <c r="C3421">
        <v>1.0161050568630601</v>
      </c>
      <c r="D3421">
        <v>1.0336397887381701</v>
      </c>
      <c r="E3421">
        <v>1.05934448162103</v>
      </c>
      <c r="F3421">
        <v>0.95790907603909603</v>
      </c>
      <c r="G3421">
        <v>0.92025393430034697</v>
      </c>
      <c r="H3421">
        <v>0.81443828283276998</v>
      </c>
      <c r="I3421">
        <v>0.90295296669550695</v>
      </c>
      <c r="J3421">
        <v>0.87769571807922697</v>
      </c>
      <c r="K3421">
        <v>0.75284693549862103</v>
      </c>
      <c r="L3421">
        <v>1578.95667493169</v>
      </c>
      <c r="M3421">
        <v>27.791697250702502</v>
      </c>
      <c r="O3421">
        <v>56.522256936963998</v>
      </c>
      <c r="P3421">
        <v>-2.0870304585659302E-2</v>
      </c>
      <c r="Q3421">
        <v>0.83021889077378697</v>
      </c>
      <c r="R3421">
        <v>0.77403180552453699</v>
      </c>
      <c r="S3421" t="s">
        <v>9706</v>
      </c>
      <c r="T3421" t="s">
        <v>12568</v>
      </c>
      <c r="U3421" t="s">
        <v>12568</v>
      </c>
      <c r="V3421" t="s">
        <v>12568</v>
      </c>
      <c r="W3421" t="s">
        <v>15949</v>
      </c>
      <c r="X3421">
        <v>6</v>
      </c>
      <c r="Y3421" t="s">
        <v>22079</v>
      </c>
      <c r="Z3421" t="s">
        <v>28291</v>
      </c>
      <c r="AA3421">
        <v>0.92666759669946375</v>
      </c>
      <c r="AB3421" t="str">
        <f>HYPERLINK("Melting_Curves/meltCurve_Q5JVS0_HABP4.pdf", "Melting_Curves/meltCurve_Q5JVS0_HABP4.pdf")</f>
        <v>Melting_Curves/meltCurve_Q5JVS0_HABP4.pdf</v>
      </c>
    </row>
    <row r="3422" spans="1:28" x14ac:dyDescent="0.25">
      <c r="A3422" t="s">
        <v>3426</v>
      </c>
      <c r="B3422">
        <v>0.99352677808782597</v>
      </c>
      <c r="C3422">
        <v>0.994627009531864</v>
      </c>
      <c r="D3422">
        <v>0.90191054187034403</v>
      </c>
      <c r="E3422">
        <v>0.43195577778917099</v>
      </c>
      <c r="F3422">
        <v>0.37188814195168102</v>
      </c>
      <c r="G3422">
        <v>0.20823037883986101</v>
      </c>
      <c r="H3422">
        <v>0.13003568773795199</v>
      </c>
      <c r="I3422">
        <v>0.12555047494500499</v>
      </c>
      <c r="J3422">
        <v>9.6925631122582803E-2</v>
      </c>
      <c r="K3422">
        <v>8.0532446236718694E-2</v>
      </c>
      <c r="L3422">
        <v>991.511461909893</v>
      </c>
      <c r="M3422">
        <v>19.977873370688801</v>
      </c>
      <c r="N3422">
        <v>50.257996369282502</v>
      </c>
      <c r="O3422">
        <v>49.141214734749298</v>
      </c>
      <c r="P3422">
        <v>-9.0419333282065806E-2</v>
      </c>
      <c r="Q3422">
        <v>0.110381427709556</v>
      </c>
      <c r="R3422">
        <v>0.98551208246664801</v>
      </c>
      <c r="S3422" t="s">
        <v>9707</v>
      </c>
      <c r="T3422" t="s">
        <v>12568</v>
      </c>
      <c r="U3422" t="s">
        <v>12568</v>
      </c>
      <c r="V3422" t="s">
        <v>12568</v>
      </c>
      <c r="W3422" t="s">
        <v>15950</v>
      </c>
      <c r="X3422">
        <v>11</v>
      </c>
      <c r="Y3422" t="s">
        <v>22080</v>
      </c>
      <c r="Z3422" t="s">
        <v>28292</v>
      </c>
      <c r="AA3422">
        <v>0.40839588349018541</v>
      </c>
      <c r="AB3422" t="str">
        <f>HYPERLINK("Melting_Curves/meltCurve_Q5JVZ5_ELMO2.pdf", "Melting_Curves/meltCurve_Q5JVZ5_ELMO2.pdf")</f>
        <v>Melting_Curves/meltCurve_Q5JVZ5_ELMO2.pdf</v>
      </c>
    </row>
    <row r="3423" spans="1:28" x14ac:dyDescent="0.25">
      <c r="A3423" t="s">
        <v>3427</v>
      </c>
      <c r="B3423">
        <v>0.99352677808782597</v>
      </c>
      <c r="C3423">
        <v>0.98752454147749102</v>
      </c>
      <c r="D3423">
        <v>1.0756975395067301</v>
      </c>
      <c r="E3423">
        <v>0.942048203804284</v>
      </c>
      <c r="F3423">
        <v>0.869042696810572</v>
      </c>
      <c r="G3423">
        <v>0.74969456368797804</v>
      </c>
      <c r="H3423">
        <v>0.61299248540025597</v>
      </c>
      <c r="I3423">
        <v>0.64895841924577202</v>
      </c>
      <c r="J3423">
        <v>0.70308665651388502</v>
      </c>
      <c r="K3423">
        <v>0.61807220560637299</v>
      </c>
      <c r="L3423">
        <v>1356.87709249511</v>
      </c>
      <c r="M3423">
        <v>25.004108682299599</v>
      </c>
      <c r="O3423">
        <v>53.9226117686542</v>
      </c>
      <c r="P3423">
        <v>-4.1485525993523398E-2</v>
      </c>
      <c r="Q3423">
        <v>0.64214221489218304</v>
      </c>
      <c r="R3423">
        <v>0.94824301391353905</v>
      </c>
      <c r="S3423" t="s">
        <v>9708</v>
      </c>
      <c r="T3423" t="s">
        <v>12568</v>
      </c>
      <c r="U3423" t="s">
        <v>12568</v>
      </c>
      <c r="V3423" t="s">
        <v>12568</v>
      </c>
      <c r="W3423" t="s">
        <v>15951</v>
      </c>
      <c r="X3423">
        <v>9</v>
      </c>
      <c r="Y3423" t="s">
        <v>22081</v>
      </c>
      <c r="Z3423" t="s">
        <v>28293</v>
      </c>
      <c r="AA3423">
        <v>0.81562981484734842</v>
      </c>
      <c r="AB3423" t="str">
        <f>HYPERLINK("Melting_Curves/meltCurve_Q5JW30_STAU1.pdf", "Melting_Curves/meltCurve_Q5JW30_STAU1.pdf")</f>
        <v>Melting_Curves/meltCurve_Q5JW30_STAU1.pdf</v>
      </c>
    </row>
    <row r="3424" spans="1:28" x14ac:dyDescent="0.25">
      <c r="A3424" t="s">
        <v>3428</v>
      </c>
      <c r="B3424">
        <v>0.99352677808782597</v>
      </c>
      <c r="C3424">
        <v>0.90143370258355504</v>
      </c>
      <c r="D3424">
        <v>0.85172573350071201</v>
      </c>
      <c r="E3424">
        <v>0.24232199147818601</v>
      </c>
      <c r="F3424">
        <v>0.19292162996595599</v>
      </c>
      <c r="G3424">
        <v>0.10775544362830899</v>
      </c>
      <c r="H3424">
        <v>7.8029126724226197E-2</v>
      </c>
      <c r="I3424">
        <v>7.6112622141023295E-2</v>
      </c>
      <c r="J3424">
        <v>8.3531723676157799E-2</v>
      </c>
      <c r="K3424">
        <v>6.6990974006244694E-2</v>
      </c>
      <c r="L3424">
        <v>1580.2618309194299</v>
      </c>
      <c r="M3424">
        <v>32.943423784674302</v>
      </c>
      <c r="N3424">
        <v>48.256126551105503</v>
      </c>
      <c r="O3424">
        <v>47.7932457537364</v>
      </c>
      <c r="P3424">
        <v>-0.15698474019896899</v>
      </c>
      <c r="Q3424">
        <v>8.9010819540889796E-2</v>
      </c>
      <c r="R3424">
        <v>0.98970790214621795</v>
      </c>
      <c r="S3424" t="s">
        <v>9709</v>
      </c>
      <c r="T3424" t="s">
        <v>12568</v>
      </c>
      <c r="U3424" t="s">
        <v>12568</v>
      </c>
      <c r="V3424" t="s">
        <v>12568</v>
      </c>
      <c r="W3424" t="s">
        <v>15952</v>
      </c>
      <c r="X3424">
        <v>1</v>
      </c>
      <c r="Y3424" t="s">
        <v>22082</v>
      </c>
      <c r="Z3424" t="s">
        <v>28294</v>
      </c>
      <c r="AA3424">
        <v>0.33551037042280918</v>
      </c>
      <c r="AB3424" t="str">
        <f>HYPERLINK("Melting_Curves/meltCurve_Q5JYJ5_MCF2.pdf", "Melting_Curves/meltCurve_Q5JYJ5_MCF2.pdf")</f>
        <v>Melting_Curves/meltCurve_Q5JYJ5_MCF2.pdf</v>
      </c>
    </row>
    <row r="3425" spans="1:28" x14ac:dyDescent="0.25">
      <c r="A3425" t="s">
        <v>3429</v>
      </c>
      <c r="B3425">
        <v>0.99352677808782597</v>
      </c>
      <c r="C3425">
        <v>0.65329171244478401</v>
      </c>
      <c r="D3425">
        <v>0.66326675902423204</v>
      </c>
      <c r="E3425">
        <v>0.77471815657187704</v>
      </c>
      <c r="F3425">
        <v>0.69247916191888903</v>
      </c>
      <c r="G3425">
        <v>0.72443462837085304</v>
      </c>
      <c r="H3425">
        <v>0.85038435170913496</v>
      </c>
      <c r="I3425">
        <v>0.96142062835874398</v>
      </c>
      <c r="J3425">
        <v>0.68758413343088898</v>
      </c>
      <c r="K3425">
        <v>0.64178489549460704</v>
      </c>
      <c r="L3425">
        <v>10146.8685170263</v>
      </c>
      <c r="M3425">
        <v>250</v>
      </c>
      <c r="O3425">
        <v>40.584876806110202</v>
      </c>
      <c r="P3425">
        <v>-0.40221531740198302</v>
      </c>
      <c r="Q3425">
        <v>0.73881825503753396</v>
      </c>
      <c r="R3425">
        <v>0.39162400174198098</v>
      </c>
      <c r="S3425" t="s">
        <v>9710</v>
      </c>
      <c r="T3425" t="s">
        <v>12568</v>
      </c>
      <c r="U3425" t="s">
        <v>12568</v>
      </c>
      <c r="V3425" t="s">
        <v>12568</v>
      </c>
      <c r="W3425" t="s">
        <v>15953</v>
      </c>
      <c r="X3425">
        <v>1</v>
      </c>
      <c r="Y3425" t="s">
        <v>22083</v>
      </c>
      <c r="Z3425" t="s">
        <v>28295</v>
      </c>
      <c r="AA3425">
        <v>0.74398564999644023</v>
      </c>
      <c r="AB3425" t="str">
        <f>HYPERLINK("Melting_Curves/meltCurve_Q5JZB7_SPIN2B.pdf", "Melting_Curves/meltCurve_Q5JZB7_SPIN2B.pdf")</f>
        <v>Melting_Curves/meltCurve_Q5JZB7_SPIN2B.pdf</v>
      </c>
    </row>
    <row r="3426" spans="1:28" x14ac:dyDescent="0.25">
      <c r="A3426" t="s">
        <v>3430</v>
      </c>
      <c r="B3426">
        <v>0.99352677808782597</v>
      </c>
      <c r="C3426">
        <v>0.87339514944959695</v>
      </c>
      <c r="D3426">
        <v>0.66222442159775796</v>
      </c>
      <c r="E3426">
        <v>0.40062739467381198</v>
      </c>
      <c r="F3426">
        <v>0.37874331291177599</v>
      </c>
      <c r="G3426">
        <v>0.26400678288881402</v>
      </c>
      <c r="H3426">
        <v>0.15556359607846901</v>
      </c>
      <c r="I3426">
        <v>0.20036783019097801</v>
      </c>
      <c r="J3426">
        <v>0.177453183699844</v>
      </c>
      <c r="K3426">
        <v>0.168890514995127</v>
      </c>
      <c r="L3426">
        <v>700.56778673015003</v>
      </c>
      <c r="M3426">
        <v>14.743840986070801</v>
      </c>
      <c r="N3426">
        <v>48.8983700763415</v>
      </c>
      <c r="O3426">
        <v>46.6675386707511</v>
      </c>
      <c r="P3426">
        <v>-6.5529226485166903E-2</v>
      </c>
      <c r="Q3426">
        <v>0.17043150360030501</v>
      </c>
      <c r="R3426">
        <v>0.98753156787712104</v>
      </c>
      <c r="S3426" t="s">
        <v>9711</v>
      </c>
      <c r="T3426" t="s">
        <v>12568</v>
      </c>
      <c r="U3426" t="s">
        <v>12568</v>
      </c>
      <c r="V3426" t="s">
        <v>12568</v>
      </c>
      <c r="W3426" t="s">
        <v>15954</v>
      </c>
      <c r="X3426">
        <v>6</v>
      </c>
      <c r="Y3426" t="s">
        <v>22084</v>
      </c>
      <c r="Z3426" t="s">
        <v>28296</v>
      </c>
      <c r="AA3426">
        <v>0.40091157225763818</v>
      </c>
      <c r="AB3426" t="str">
        <f>HYPERLINK("Melting_Curves/meltCurve_Q5K651_SAMD9.pdf", "Melting_Curves/meltCurve_Q5K651_SAMD9.pdf")</f>
        <v>Melting_Curves/meltCurve_Q5K651_SAMD9.pdf</v>
      </c>
    </row>
    <row r="3427" spans="1:28" x14ac:dyDescent="0.25">
      <c r="A3427" t="s">
        <v>3431</v>
      </c>
      <c r="B3427">
        <v>0.99352677808782597</v>
      </c>
      <c r="C3427">
        <v>0.98079901018704996</v>
      </c>
      <c r="D3427">
        <v>0.82682169917581105</v>
      </c>
      <c r="E3427">
        <v>0.68535075555856595</v>
      </c>
      <c r="F3427">
        <v>0.79083083681520305</v>
      </c>
      <c r="G3427">
        <v>0.51803155454810801</v>
      </c>
      <c r="H3427">
        <v>0.60673100126637103</v>
      </c>
      <c r="I3427">
        <v>0.50918145683605398</v>
      </c>
      <c r="J3427">
        <v>0.53816660786734305</v>
      </c>
      <c r="K3427">
        <v>0.44638927996646999</v>
      </c>
      <c r="L3427">
        <v>506.61750213468099</v>
      </c>
      <c r="M3427">
        <v>9.9067735918543498</v>
      </c>
      <c r="N3427">
        <v>67.692383115594694</v>
      </c>
      <c r="O3427">
        <v>49.185632607982498</v>
      </c>
      <c r="P3427">
        <v>-2.74236548274891E-2</v>
      </c>
      <c r="Q3427">
        <v>0.45565728422021501</v>
      </c>
      <c r="R3427">
        <v>0.89973930913008504</v>
      </c>
      <c r="S3427" t="s">
        <v>9712</v>
      </c>
      <c r="T3427" t="s">
        <v>12568</v>
      </c>
      <c r="U3427" t="s">
        <v>12568</v>
      </c>
      <c r="V3427" t="s">
        <v>12568</v>
      </c>
      <c r="W3427" t="s">
        <v>15955</v>
      </c>
      <c r="X3427">
        <v>1</v>
      </c>
      <c r="Y3427" t="s">
        <v>22085</v>
      </c>
      <c r="Z3427" t="s">
        <v>28297</v>
      </c>
      <c r="AA3427">
        <v>0.68038641738864802</v>
      </c>
      <c r="AB3427" t="str">
        <f>HYPERLINK("Melting_Curves/meltCurve_Q5KSL6_DGKK.pdf", "Melting_Curves/meltCurve_Q5KSL6_DGKK.pdf")</f>
        <v>Melting_Curves/meltCurve_Q5KSL6_DGKK.pdf</v>
      </c>
    </row>
    <row r="3428" spans="1:28" x14ac:dyDescent="0.25">
      <c r="A3428" t="s">
        <v>3432</v>
      </c>
      <c r="B3428">
        <v>0.99352677808782597</v>
      </c>
      <c r="C3428">
        <v>0.95158001225108102</v>
      </c>
      <c r="D3428">
        <v>0.96267787183533304</v>
      </c>
      <c r="E3428">
        <v>0.77330416538935898</v>
      </c>
      <c r="F3428">
        <v>0.68715694933113602</v>
      </c>
      <c r="G3428">
        <v>0.57615213250453801</v>
      </c>
      <c r="H3428">
        <v>0.57779166870987697</v>
      </c>
      <c r="I3428">
        <v>0.57149798851484002</v>
      </c>
      <c r="J3428">
        <v>0.70865556338796898</v>
      </c>
      <c r="K3428">
        <v>0.56629317419109604</v>
      </c>
      <c r="L3428">
        <v>1251.4078984129701</v>
      </c>
      <c r="M3428">
        <v>25.217727220644498</v>
      </c>
      <c r="O3428">
        <v>49.315236002776999</v>
      </c>
      <c r="P3428">
        <v>-5.1252347631188397E-2</v>
      </c>
      <c r="Q3428">
        <v>0.59909334180629903</v>
      </c>
      <c r="R3428">
        <v>0.93395062484238001</v>
      </c>
      <c r="S3428" t="s">
        <v>9713</v>
      </c>
      <c r="T3428" t="s">
        <v>12568</v>
      </c>
      <c r="U3428" t="s">
        <v>12568</v>
      </c>
      <c r="V3428" t="s">
        <v>12568</v>
      </c>
      <c r="W3428" t="s">
        <v>15956</v>
      </c>
      <c r="X3428">
        <v>25</v>
      </c>
      <c r="Y3428" t="s">
        <v>22086</v>
      </c>
      <c r="Z3428" t="s">
        <v>28298</v>
      </c>
      <c r="AA3428">
        <v>0.73121393239420485</v>
      </c>
      <c r="AB3428" t="str">
        <f>HYPERLINK("Melting_Curves/meltCurve_Q5M775_SPECC1.pdf", "Melting_Curves/meltCurve_Q5M775_SPECC1.pdf")</f>
        <v>Melting_Curves/meltCurve_Q5M775_SPECC1.pdf</v>
      </c>
    </row>
    <row r="3429" spans="1:28" x14ac:dyDescent="0.25">
      <c r="A3429" t="s">
        <v>3433</v>
      </c>
      <c r="B3429">
        <v>0.99352677808782597</v>
      </c>
      <c r="C3429">
        <v>0.988943930821228</v>
      </c>
      <c r="D3429">
        <v>0.84758422426591795</v>
      </c>
      <c r="E3429">
        <v>0.43125018788999397</v>
      </c>
      <c r="F3429">
        <v>0.33433628917708003</v>
      </c>
      <c r="G3429">
        <v>0.26833442928106799</v>
      </c>
      <c r="H3429">
        <v>0.17800772447449401</v>
      </c>
      <c r="I3429">
        <v>0.18298080312635301</v>
      </c>
      <c r="J3429">
        <v>0.17084010635961</v>
      </c>
      <c r="K3429">
        <v>0.14273799862112099</v>
      </c>
      <c r="L3429">
        <v>1087.0041416848001</v>
      </c>
      <c r="M3429">
        <v>22.3023764597846</v>
      </c>
      <c r="N3429">
        <v>49.7363538366941</v>
      </c>
      <c r="O3429">
        <v>48.352611856579003</v>
      </c>
      <c r="P3429">
        <v>-9.4528909486318799E-2</v>
      </c>
      <c r="Q3429">
        <v>0.180244808518391</v>
      </c>
      <c r="R3429">
        <v>0.99133481488346398</v>
      </c>
      <c r="S3429" t="s">
        <v>9714</v>
      </c>
      <c r="T3429" t="s">
        <v>12568</v>
      </c>
      <c r="U3429" t="s">
        <v>12568</v>
      </c>
      <c r="V3429" t="s">
        <v>12568</v>
      </c>
      <c r="W3429" t="s">
        <v>15957</v>
      </c>
      <c r="X3429">
        <v>13</v>
      </c>
      <c r="Y3429" t="s">
        <v>22087</v>
      </c>
      <c r="Z3429" t="s">
        <v>28299</v>
      </c>
      <c r="AA3429">
        <v>0.42824354695973982</v>
      </c>
      <c r="AB3429" t="str">
        <f>HYPERLINK("Melting_Curves/meltCurve_Q5MIZ7_2_SMEK2.pdf", "Melting_Curves/meltCurve_Q5MIZ7_2_SMEK2.pdf")</f>
        <v>Melting_Curves/meltCurve_Q5MIZ7_2_SMEK2.pdf</v>
      </c>
    </row>
    <row r="3430" spans="1:28" x14ac:dyDescent="0.25">
      <c r="A3430" t="s">
        <v>3434</v>
      </c>
      <c r="B3430">
        <v>0.99352677808782597</v>
      </c>
      <c r="C3430">
        <v>0.97956671189873301</v>
      </c>
      <c r="D3430">
        <v>1.0305392160888001</v>
      </c>
      <c r="E3430">
        <v>0.93982143098202597</v>
      </c>
      <c r="F3430">
        <v>0.81592919794963303</v>
      </c>
      <c r="G3430">
        <v>0.69282042805460198</v>
      </c>
      <c r="H3430">
        <v>0.51545419662151704</v>
      </c>
      <c r="I3430">
        <v>0.44074467169093501</v>
      </c>
      <c r="J3430">
        <v>0.287811166395398</v>
      </c>
      <c r="K3430">
        <v>0.15555706803114</v>
      </c>
      <c r="L3430">
        <v>684.13544987662101</v>
      </c>
      <c r="M3430">
        <v>11.141218274370701</v>
      </c>
      <c r="N3430">
        <v>61.405802606914399</v>
      </c>
      <c r="O3430">
        <v>59.527103190397398</v>
      </c>
      <c r="P3430">
        <v>-4.68055568475369E-2</v>
      </c>
      <c r="Q3430">
        <v>0</v>
      </c>
      <c r="R3430">
        <v>0.98927498952404203</v>
      </c>
      <c r="S3430" t="s">
        <v>9715</v>
      </c>
      <c r="T3430" t="s">
        <v>12568</v>
      </c>
      <c r="U3430" t="s">
        <v>12568</v>
      </c>
      <c r="V3430" t="s">
        <v>12568</v>
      </c>
      <c r="W3430" t="s">
        <v>15958</v>
      </c>
      <c r="X3430">
        <v>8</v>
      </c>
      <c r="Y3430" t="s">
        <v>22088</v>
      </c>
      <c r="Z3430" t="s">
        <v>28300</v>
      </c>
      <c r="AA3430">
        <v>0.70336927192616838</v>
      </c>
      <c r="AB3430" t="str">
        <f>HYPERLINK("Melting_Curves/meltCurve_Q5MNZ6_WDR45B.pdf", "Melting_Curves/meltCurve_Q5MNZ6_WDR45B.pdf")</f>
        <v>Melting_Curves/meltCurve_Q5MNZ6_WDR45B.pdf</v>
      </c>
    </row>
    <row r="3431" spans="1:28" x14ac:dyDescent="0.25">
      <c r="A3431" t="s">
        <v>3435</v>
      </c>
      <c r="B3431">
        <v>0.99352677808782597</v>
      </c>
      <c r="C3431">
        <v>0.98453787956539796</v>
      </c>
      <c r="D3431">
        <v>0.95757294142418004</v>
      </c>
      <c r="E3431">
        <v>0.52122257433313501</v>
      </c>
      <c r="F3431">
        <v>0.42508665067496598</v>
      </c>
      <c r="G3431">
        <v>0.20778342737065</v>
      </c>
      <c r="H3431">
        <v>0.14159423351709299</v>
      </c>
      <c r="I3431">
        <v>0.138354500797608</v>
      </c>
      <c r="J3431">
        <v>0.103883405713542</v>
      </c>
      <c r="K3431">
        <v>7.0871109875074598E-2</v>
      </c>
      <c r="L3431">
        <v>958.74252529610703</v>
      </c>
      <c r="M3431">
        <v>18.9289099373615</v>
      </c>
      <c r="N3431">
        <v>51.264820792714303</v>
      </c>
      <c r="O3431">
        <v>50.094504655323597</v>
      </c>
      <c r="P3431">
        <v>-8.4871884184736304E-2</v>
      </c>
      <c r="Q3431">
        <v>0.101597923558037</v>
      </c>
      <c r="R3431">
        <v>0.98732897905426098</v>
      </c>
      <c r="S3431" t="s">
        <v>9716</v>
      </c>
      <c r="T3431" t="s">
        <v>12568</v>
      </c>
      <c r="U3431" t="s">
        <v>12568</v>
      </c>
      <c r="V3431" t="s">
        <v>12568</v>
      </c>
      <c r="W3431" t="s">
        <v>15959</v>
      </c>
      <c r="X3431">
        <v>8</v>
      </c>
      <c r="Y3431" t="s">
        <v>22089</v>
      </c>
      <c r="Z3431" t="s">
        <v>28301</v>
      </c>
      <c r="AA3431">
        <v>0.43436613513487082</v>
      </c>
      <c r="AB3431" t="str">
        <f>HYPERLINK("Melting_Curves/meltCurve_Q5NDL2_EOGT.pdf", "Melting_Curves/meltCurve_Q5NDL2_EOGT.pdf")</f>
        <v>Melting_Curves/meltCurve_Q5NDL2_EOGT.pdf</v>
      </c>
    </row>
    <row r="3432" spans="1:28" x14ac:dyDescent="0.25">
      <c r="A3432" t="s">
        <v>3436</v>
      </c>
      <c r="B3432">
        <v>0.99352677808782597</v>
      </c>
      <c r="C3432">
        <v>0.88747576830899699</v>
      </c>
      <c r="D3432">
        <v>0.88949947751648994</v>
      </c>
      <c r="E3432">
        <v>0.239266084174484</v>
      </c>
      <c r="F3432">
        <v>0.19496762716945701</v>
      </c>
      <c r="G3432">
        <v>0.13004414785715299</v>
      </c>
      <c r="H3432">
        <v>7.2140362101743002E-2</v>
      </c>
      <c r="I3432">
        <v>7.8277045541748497E-2</v>
      </c>
      <c r="J3432">
        <v>4.7958015760668798E-2</v>
      </c>
      <c r="K3432">
        <v>5.0682508598392101E-2</v>
      </c>
      <c r="L3432">
        <v>1748.91834039946</v>
      </c>
      <c r="M3432">
        <v>36.325531647013399</v>
      </c>
      <c r="N3432">
        <v>48.394912698013798</v>
      </c>
      <c r="O3432">
        <v>48.000491971199899</v>
      </c>
      <c r="P3432">
        <v>-0.17305554484664101</v>
      </c>
      <c r="Q3432">
        <v>8.5301644191705606E-2</v>
      </c>
      <c r="R3432">
        <v>0.98351159578867597</v>
      </c>
      <c r="S3432" t="s">
        <v>9717</v>
      </c>
      <c r="T3432" t="s">
        <v>12568</v>
      </c>
      <c r="U3432" t="s">
        <v>12568</v>
      </c>
      <c r="V3432" t="s">
        <v>12568</v>
      </c>
      <c r="W3432" t="s">
        <v>15960</v>
      </c>
      <c r="X3432">
        <v>4</v>
      </c>
      <c r="Y3432" t="s">
        <v>22090</v>
      </c>
      <c r="Z3432" t="s">
        <v>28302</v>
      </c>
      <c r="AA3432">
        <v>0.33737816883704291</v>
      </c>
      <c r="AB3432" t="str">
        <f>HYPERLINK("Melting_Curves/meltCurve_Q5QJ74_TBCEL.pdf", "Melting_Curves/meltCurve_Q5QJ74_TBCEL.pdf")</f>
        <v>Melting_Curves/meltCurve_Q5QJ74_TBCEL.pdf</v>
      </c>
    </row>
    <row r="3433" spans="1:28" x14ac:dyDescent="0.25">
      <c r="A3433" t="s">
        <v>3437</v>
      </c>
      <c r="B3433">
        <v>0.99352677808782597</v>
      </c>
      <c r="C3433">
        <v>0.96997418377272804</v>
      </c>
      <c r="D3433">
        <v>1.00624615006159</v>
      </c>
      <c r="E3433">
        <v>0.80573091834295096</v>
      </c>
      <c r="F3433">
        <v>0.717739410006347</v>
      </c>
      <c r="G3433">
        <v>0.67676084487295396</v>
      </c>
      <c r="H3433">
        <v>0.64166137165719594</v>
      </c>
      <c r="I3433">
        <v>0.729251187630236</v>
      </c>
      <c r="J3433">
        <v>0.68496406833930701</v>
      </c>
      <c r="K3433">
        <v>0.65418121098223003</v>
      </c>
      <c r="L3433">
        <v>2026.60444378175</v>
      </c>
      <c r="M3433">
        <v>40.872933196699201</v>
      </c>
      <c r="O3433">
        <v>49.4648038178495</v>
      </c>
      <c r="P3433">
        <v>-6.6211119992860099E-2</v>
      </c>
      <c r="Q3433">
        <v>0.67948340602767199</v>
      </c>
      <c r="R3433">
        <v>0.96800671937355498</v>
      </c>
      <c r="S3433" t="s">
        <v>9718</v>
      </c>
      <c r="T3433" t="s">
        <v>12568</v>
      </c>
      <c r="U3433" t="s">
        <v>12568</v>
      </c>
      <c r="V3433" t="s">
        <v>12568</v>
      </c>
      <c r="W3433" t="s">
        <v>15961</v>
      </c>
      <c r="X3433">
        <v>6</v>
      </c>
      <c r="Y3433" t="s">
        <v>22091</v>
      </c>
      <c r="Z3433" t="s">
        <v>28303</v>
      </c>
      <c r="AA3433">
        <v>0.78291982813604344</v>
      </c>
      <c r="AB3433" t="str">
        <f>HYPERLINK("Melting_Curves/meltCurve_Q5QJE6_DNTTIP2.pdf", "Melting_Curves/meltCurve_Q5QJE6_DNTTIP2.pdf")</f>
        <v>Melting_Curves/meltCurve_Q5QJE6_DNTTIP2.pdf</v>
      </c>
    </row>
    <row r="3434" spans="1:28" x14ac:dyDescent="0.25">
      <c r="A3434" t="s">
        <v>3438</v>
      </c>
      <c r="B3434">
        <v>0.99352677808782597</v>
      </c>
      <c r="C3434">
        <v>0.86766550919969598</v>
      </c>
      <c r="D3434">
        <v>0.86163354536413095</v>
      </c>
      <c r="E3434">
        <v>0.93953332078573304</v>
      </c>
      <c r="F3434">
        <v>0.82991243854054897</v>
      </c>
      <c r="G3434">
        <v>0.71748532874235904</v>
      </c>
      <c r="H3434">
        <v>0.605163368950281</v>
      </c>
      <c r="I3434">
        <v>0.61182638018947699</v>
      </c>
      <c r="J3434">
        <v>0.66229425583463597</v>
      </c>
      <c r="K3434">
        <v>0.55440487742756295</v>
      </c>
      <c r="L3434">
        <v>338.24544705745501</v>
      </c>
      <c r="M3434">
        <v>5.6222546411082099</v>
      </c>
      <c r="O3434">
        <v>53.844214286580197</v>
      </c>
      <c r="P3434">
        <v>-1.6520104499297601E-2</v>
      </c>
      <c r="Q3434">
        <v>0.369719225023738</v>
      </c>
      <c r="R3434">
        <v>0.87277473072070899</v>
      </c>
      <c r="S3434" t="s">
        <v>9719</v>
      </c>
      <c r="T3434" t="s">
        <v>12568</v>
      </c>
      <c r="U3434" t="s">
        <v>12568</v>
      </c>
      <c r="V3434" t="s">
        <v>12568</v>
      </c>
      <c r="W3434" t="s">
        <v>15962</v>
      </c>
      <c r="X3434">
        <v>12</v>
      </c>
      <c r="Y3434" t="s">
        <v>22092</v>
      </c>
      <c r="Z3434" t="s">
        <v>28304</v>
      </c>
      <c r="AA3434">
        <v>0.76752013488293735</v>
      </c>
      <c r="AB3434" t="str">
        <f>HYPERLINK("Melting_Curves/meltCurve_Q5QNY5_PEX19.pdf", "Melting_Curves/meltCurve_Q5QNY5_PEX19.pdf")</f>
        <v>Melting_Curves/meltCurve_Q5QNY5_PEX19.pdf</v>
      </c>
    </row>
    <row r="3435" spans="1:28" x14ac:dyDescent="0.25">
      <c r="A3435" t="s">
        <v>3439</v>
      </c>
      <c r="B3435">
        <v>0.99352677808782597</v>
      </c>
      <c r="C3435">
        <v>1.00413797947624</v>
      </c>
      <c r="D3435">
        <v>0.980360624530077</v>
      </c>
      <c r="E3435">
        <v>0.80477897554356204</v>
      </c>
      <c r="F3435">
        <v>0.67582032081105303</v>
      </c>
      <c r="G3435">
        <v>0.58380694994135895</v>
      </c>
      <c r="H3435">
        <v>0.45729484932910602</v>
      </c>
      <c r="I3435">
        <v>0.41587765343008198</v>
      </c>
      <c r="J3435">
        <v>0.36817921285254501</v>
      </c>
      <c r="K3435">
        <v>0.27871066239560399</v>
      </c>
      <c r="L3435">
        <v>615.01563941222696</v>
      </c>
      <c r="M3435">
        <v>11.1116478197705</v>
      </c>
      <c r="N3435">
        <v>59.127989046247201</v>
      </c>
      <c r="O3435">
        <v>53.646779956116298</v>
      </c>
      <c r="P3435">
        <v>-3.8629575226310602E-2</v>
      </c>
      <c r="Q3435">
        <v>0.254231207369842</v>
      </c>
      <c r="R3435">
        <v>0.98704713806703404</v>
      </c>
      <c r="S3435" t="s">
        <v>9720</v>
      </c>
      <c r="T3435" t="s">
        <v>12568</v>
      </c>
      <c r="U3435" t="s">
        <v>12568</v>
      </c>
      <c r="V3435" t="s">
        <v>12568</v>
      </c>
      <c r="W3435" t="s">
        <v>15963</v>
      </c>
      <c r="X3435">
        <v>4</v>
      </c>
      <c r="Y3435" t="s">
        <v>22093</v>
      </c>
      <c r="Z3435" t="s">
        <v>28305</v>
      </c>
      <c r="AA3435">
        <v>0.65320294386737721</v>
      </c>
      <c r="AB3435" t="str">
        <f>HYPERLINK("Melting_Curves/meltCurve_Q5QP56_BCL2L1.pdf", "Melting_Curves/meltCurve_Q5QP56_BCL2L1.pdf")</f>
        <v>Melting_Curves/meltCurve_Q5QP56_BCL2L1.pdf</v>
      </c>
    </row>
    <row r="3436" spans="1:28" x14ac:dyDescent="0.25">
      <c r="A3436" t="s">
        <v>3440</v>
      </c>
      <c r="B3436">
        <v>0.99352677808782597</v>
      </c>
      <c r="C3436">
        <v>0.92184624742320098</v>
      </c>
      <c r="D3436">
        <v>0.86127072657433101</v>
      </c>
      <c r="E3436">
        <v>0.69711921436740198</v>
      </c>
      <c r="F3436">
        <v>0.68586704975226198</v>
      </c>
      <c r="G3436">
        <v>0.43688007632766801</v>
      </c>
      <c r="H3436">
        <v>0.34801429294820002</v>
      </c>
      <c r="I3436">
        <v>0.31738132426740101</v>
      </c>
      <c r="J3436">
        <v>0.273591250199747</v>
      </c>
      <c r="K3436">
        <v>0.249354882258955</v>
      </c>
      <c r="L3436">
        <v>527.25968921911397</v>
      </c>
      <c r="M3436">
        <v>9.7967507426544405</v>
      </c>
      <c r="N3436">
        <v>56.109472069426999</v>
      </c>
      <c r="O3436">
        <v>51.721121566724896</v>
      </c>
      <c r="P3436">
        <v>-3.9572411636796499E-2</v>
      </c>
      <c r="Q3436">
        <v>0.16476247417508499</v>
      </c>
      <c r="R3436">
        <v>0.98834546810522195</v>
      </c>
      <c r="S3436" t="s">
        <v>9721</v>
      </c>
      <c r="T3436" t="s">
        <v>12568</v>
      </c>
      <c r="U3436" t="s">
        <v>12568</v>
      </c>
      <c r="V3436" t="s">
        <v>12568</v>
      </c>
      <c r="W3436" t="s">
        <v>15964</v>
      </c>
      <c r="X3436">
        <v>5</v>
      </c>
      <c r="Y3436" t="s">
        <v>22094</v>
      </c>
      <c r="Z3436" t="s">
        <v>28306</v>
      </c>
      <c r="AA3436">
        <v>0.57575715975289754</v>
      </c>
      <c r="AB3436" t="str">
        <f>HYPERLINK("Melting_Curves/meltCurve_Q5QP82_DCAF10.pdf", "Melting_Curves/meltCurve_Q5QP82_DCAF10.pdf")</f>
        <v>Melting_Curves/meltCurve_Q5QP82_DCAF10.pdf</v>
      </c>
    </row>
    <row r="3437" spans="1:28" x14ac:dyDescent="0.25">
      <c r="A3437" t="s">
        <v>3441</v>
      </c>
      <c r="B3437">
        <v>0.99352677808782597</v>
      </c>
      <c r="C3437">
        <v>1.00602089532199</v>
      </c>
      <c r="D3437">
        <v>1.0729821595124001</v>
      </c>
      <c r="E3437">
        <v>0.77831209175788796</v>
      </c>
      <c r="F3437">
        <v>0.68501224380053205</v>
      </c>
      <c r="G3437">
        <v>0.478181414203038</v>
      </c>
      <c r="H3437">
        <v>0.34885013956044297</v>
      </c>
      <c r="I3437">
        <v>0.35769914688044802</v>
      </c>
      <c r="J3437">
        <v>0.37598941302916999</v>
      </c>
      <c r="K3437">
        <v>0.298856818449594</v>
      </c>
      <c r="L3437">
        <v>1044.7290988468401</v>
      </c>
      <c r="M3437">
        <v>19.710730843811401</v>
      </c>
      <c r="N3437">
        <v>56.029062589036499</v>
      </c>
      <c r="O3437">
        <v>52.466542674099003</v>
      </c>
      <c r="P3437">
        <v>-6.3158515077853E-2</v>
      </c>
      <c r="Q3437">
        <v>0.32755518126059802</v>
      </c>
      <c r="R3437">
        <v>0.97713709126586701</v>
      </c>
      <c r="S3437" t="s">
        <v>9722</v>
      </c>
      <c r="T3437" t="s">
        <v>12568</v>
      </c>
      <c r="U3437" t="s">
        <v>12568</v>
      </c>
      <c r="V3437" t="s">
        <v>12568</v>
      </c>
      <c r="W3437" t="s">
        <v>15965</v>
      </c>
      <c r="X3437">
        <v>2</v>
      </c>
      <c r="Y3437" t="s">
        <v>22095</v>
      </c>
      <c r="Z3437" t="s">
        <v>28307</v>
      </c>
      <c r="AA3437">
        <v>0.62849688724874142</v>
      </c>
      <c r="AB3437" t="str">
        <f>HYPERLINK("Melting_Curves/meltCurve_Q5QPL9_RALY.pdf", "Melting_Curves/meltCurve_Q5QPL9_RALY.pdf")</f>
        <v>Melting_Curves/meltCurve_Q5QPL9_RALY.pdf</v>
      </c>
    </row>
    <row r="3438" spans="1:28" x14ac:dyDescent="0.25">
      <c r="A3438" t="s">
        <v>3442</v>
      </c>
      <c r="B3438">
        <v>0.99352677808782597</v>
      </c>
      <c r="C3438">
        <v>0.99645186327166602</v>
      </c>
      <c r="D3438">
        <v>0.98293965090354696</v>
      </c>
      <c r="E3438">
        <v>1.0427861582548099</v>
      </c>
      <c r="F3438">
        <v>1.0405343615548199</v>
      </c>
      <c r="G3438">
        <v>0.88357244486398501</v>
      </c>
      <c r="H3438">
        <v>0.46943606146460698</v>
      </c>
      <c r="I3438">
        <v>0.27426700421480898</v>
      </c>
      <c r="J3438">
        <v>0.181429478772447</v>
      </c>
      <c r="K3438">
        <v>0.156503492118687</v>
      </c>
      <c r="L3438">
        <v>2028.5253521135301</v>
      </c>
      <c r="M3438">
        <v>33.7424597602609</v>
      </c>
      <c r="N3438">
        <v>60.805652279018602</v>
      </c>
      <c r="O3438">
        <v>59.907904436685101</v>
      </c>
      <c r="P3438">
        <v>-0.118472349594827</v>
      </c>
      <c r="Q3438">
        <v>0.15863851706858001</v>
      </c>
      <c r="R3438">
        <v>0.99601430058464202</v>
      </c>
      <c r="S3438" t="s">
        <v>9723</v>
      </c>
      <c r="T3438" t="s">
        <v>12568</v>
      </c>
      <c r="U3438" t="s">
        <v>12568</v>
      </c>
      <c r="V3438" t="s">
        <v>12568</v>
      </c>
      <c r="W3438" t="s">
        <v>15966</v>
      </c>
      <c r="X3438">
        <v>9</v>
      </c>
      <c r="Y3438" t="s">
        <v>22096</v>
      </c>
      <c r="Z3438" t="s">
        <v>28308</v>
      </c>
      <c r="AA3438">
        <v>0.72716454847903489</v>
      </c>
      <c r="AB3438" t="str">
        <f>HYPERLINK("Melting_Curves/meltCurve_Q5QPM7_PSMF1.pdf", "Melting_Curves/meltCurve_Q5QPM7_PSMF1.pdf")</f>
        <v>Melting_Curves/meltCurve_Q5QPM7_PSMF1.pdf</v>
      </c>
    </row>
    <row r="3439" spans="1:28" x14ac:dyDescent="0.25">
      <c r="A3439" t="s">
        <v>3443</v>
      </c>
      <c r="B3439">
        <v>0.99352677808782597</v>
      </c>
      <c r="C3439">
        <v>0.95341530929087204</v>
      </c>
      <c r="D3439">
        <v>0.95024839604253697</v>
      </c>
      <c r="E3439">
        <v>0.73714944135346705</v>
      </c>
      <c r="F3439">
        <v>0.66236401663094602</v>
      </c>
      <c r="G3439">
        <v>0.395726930261183</v>
      </c>
      <c r="H3439">
        <v>0.28575055239948199</v>
      </c>
      <c r="I3439">
        <v>0.26333710063927601</v>
      </c>
      <c r="J3439">
        <v>0.25120755199190298</v>
      </c>
      <c r="K3439">
        <v>0.18915271042821</v>
      </c>
      <c r="L3439">
        <v>760.73272030462999</v>
      </c>
      <c r="M3439">
        <v>14.2322191480788</v>
      </c>
      <c r="N3439">
        <v>55.191108273483202</v>
      </c>
      <c r="O3439">
        <v>52.429383682115599</v>
      </c>
      <c r="P3439">
        <v>-5.5604865019682002E-2</v>
      </c>
      <c r="Q3439">
        <v>0.18074137287925701</v>
      </c>
      <c r="R3439">
        <v>0.99277808341127205</v>
      </c>
      <c r="S3439" t="s">
        <v>9724</v>
      </c>
      <c r="T3439" t="s">
        <v>12568</v>
      </c>
      <c r="U3439" t="s">
        <v>12568</v>
      </c>
      <c r="V3439" t="s">
        <v>12568</v>
      </c>
      <c r="W3439" t="s">
        <v>15967</v>
      </c>
      <c r="X3439">
        <v>10</v>
      </c>
      <c r="Y3439" t="s">
        <v>22097</v>
      </c>
      <c r="Z3439" t="s">
        <v>28309</v>
      </c>
      <c r="AA3439">
        <v>0.56657412796551399</v>
      </c>
      <c r="AB3439" t="str">
        <f>HYPERLINK("Melting_Curves/meltCurve_Q5R372_4_RABGAP1L.pdf", "Melting_Curves/meltCurve_Q5R372_4_RABGAP1L.pdf")</f>
        <v>Melting_Curves/meltCurve_Q5R372_4_RABGAP1L.pdf</v>
      </c>
    </row>
    <row r="3440" spans="1:28" x14ac:dyDescent="0.25">
      <c r="A3440" t="s">
        <v>3444</v>
      </c>
      <c r="B3440">
        <v>0.99352677808782597</v>
      </c>
      <c r="C3440">
        <v>0.98014667876778405</v>
      </c>
      <c r="D3440">
        <v>1.0525297106375699</v>
      </c>
      <c r="E3440">
        <v>0.881203883733089</v>
      </c>
      <c r="F3440">
        <v>0.68164450313848401</v>
      </c>
      <c r="G3440">
        <v>0.63597671068398798</v>
      </c>
      <c r="H3440">
        <v>0.56631339672485503</v>
      </c>
      <c r="I3440">
        <v>0.51044859342679505</v>
      </c>
      <c r="J3440">
        <v>0.62373601626636699</v>
      </c>
      <c r="K3440">
        <v>0.51601754342721196</v>
      </c>
      <c r="L3440">
        <v>1629.7866684371299</v>
      </c>
      <c r="M3440">
        <v>31.579550504908699</v>
      </c>
      <c r="O3440">
        <v>51.403300445925197</v>
      </c>
      <c r="P3440">
        <v>-6.7116491083522897E-2</v>
      </c>
      <c r="Q3440">
        <v>0.56300953290150402</v>
      </c>
      <c r="R3440">
        <v>0.96039327912113004</v>
      </c>
      <c r="S3440" t="s">
        <v>9725</v>
      </c>
      <c r="T3440" t="s">
        <v>12568</v>
      </c>
      <c r="U3440" t="s">
        <v>12568</v>
      </c>
      <c r="V3440" t="s">
        <v>12568</v>
      </c>
      <c r="W3440" t="s">
        <v>15968</v>
      </c>
      <c r="X3440">
        <v>2</v>
      </c>
      <c r="Y3440" t="s">
        <v>22098</v>
      </c>
      <c r="Z3440" t="s">
        <v>28310</v>
      </c>
      <c r="AA3440">
        <v>0.73461406659417294</v>
      </c>
      <c r="AB3440" t="str">
        <f>HYPERLINK("Melting_Curves/meltCurve_Q5RHP9_3_C1orf173.pdf", "Melting_Curves/meltCurve_Q5RHP9_3_C1orf173.pdf")</f>
        <v>Melting_Curves/meltCurve_Q5RHP9_3_C1orf173.pdf</v>
      </c>
    </row>
    <row r="3441" spans="1:28" x14ac:dyDescent="0.25">
      <c r="A3441" t="s">
        <v>3445</v>
      </c>
      <c r="B3441">
        <v>0.99352677808782597</v>
      </c>
      <c r="C3441">
        <v>1.0051111321633599</v>
      </c>
      <c r="D3441">
        <v>1.1325439712466201</v>
      </c>
      <c r="E3441">
        <v>1.33004601746774</v>
      </c>
      <c r="F3441">
        <v>1.1863494180856899</v>
      </c>
      <c r="G3441">
        <v>0.75562564761263096</v>
      </c>
      <c r="H3441">
        <v>0.52499928019226605</v>
      </c>
      <c r="I3441">
        <v>0.36225636914068998</v>
      </c>
      <c r="J3441">
        <v>0.22218699000471201</v>
      </c>
      <c r="K3441">
        <v>0.195886513506139</v>
      </c>
      <c r="L3441">
        <v>1635.86957329796</v>
      </c>
      <c r="M3441">
        <v>27.2513666065819</v>
      </c>
      <c r="N3441">
        <v>61.141837213445797</v>
      </c>
      <c r="O3441">
        <v>59.7084450033894</v>
      </c>
      <c r="P3441">
        <v>-9.1792084184870198E-2</v>
      </c>
      <c r="Q3441">
        <v>0.1955324137085</v>
      </c>
      <c r="R3441">
        <v>0.88435274135665298</v>
      </c>
      <c r="S3441" t="s">
        <v>9726</v>
      </c>
      <c r="T3441" t="s">
        <v>12568</v>
      </c>
      <c r="U3441" t="s">
        <v>12568</v>
      </c>
      <c r="V3441" t="s">
        <v>12568</v>
      </c>
      <c r="W3441" t="s">
        <v>15969</v>
      </c>
      <c r="X3441">
        <v>7</v>
      </c>
      <c r="Y3441" t="s">
        <v>22099</v>
      </c>
      <c r="Z3441" t="s">
        <v>28311</v>
      </c>
      <c r="AA3441">
        <v>0.73808683804793418</v>
      </c>
      <c r="AB3441" t="str">
        <f>HYPERLINK("Melting_Curves/meltCurve_Q5RKV6_EXOSC6.pdf", "Melting_Curves/meltCurve_Q5RKV6_EXOSC6.pdf")</f>
        <v>Melting_Curves/meltCurve_Q5RKV6_EXOSC6.pdf</v>
      </c>
    </row>
    <row r="3442" spans="1:28" x14ac:dyDescent="0.25">
      <c r="A3442" t="s">
        <v>3446</v>
      </c>
      <c r="B3442">
        <v>0.99352677808782597</v>
      </c>
      <c r="C3442">
        <v>0.83576076473287597</v>
      </c>
      <c r="D3442">
        <v>0.807854998080765</v>
      </c>
      <c r="E3442">
        <v>0.70428382633928299</v>
      </c>
      <c r="F3442">
        <v>0.66537837153042101</v>
      </c>
      <c r="G3442">
        <v>0.41102996547538501</v>
      </c>
      <c r="H3442">
        <v>0.27758029790456801</v>
      </c>
      <c r="I3442">
        <v>0.21763843568951699</v>
      </c>
      <c r="J3442">
        <v>0.22186507002462399</v>
      </c>
      <c r="K3442">
        <v>0.218539425033979</v>
      </c>
      <c r="L3442">
        <v>455.87165574687498</v>
      </c>
      <c r="M3442">
        <v>8.3715544231405605</v>
      </c>
      <c r="N3442">
        <v>55.102290586623099</v>
      </c>
      <c r="O3442">
        <v>51.613453571091298</v>
      </c>
      <c r="P3442">
        <v>-3.8686781298434003E-2</v>
      </c>
      <c r="Q3442">
        <v>4.6841260055358699E-2</v>
      </c>
      <c r="R3442">
        <v>0.97313416637309302</v>
      </c>
      <c r="S3442" t="s">
        <v>9727</v>
      </c>
      <c r="T3442" t="s">
        <v>12568</v>
      </c>
      <c r="U3442" t="s">
        <v>12568</v>
      </c>
      <c r="V3442" t="s">
        <v>12568</v>
      </c>
      <c r="W3442" t="s">
        <v>15970</v>
      </c>
      <c r="X3442">
        <v>24</v>
      </c>
      <c r="Y3442" t="s">
        <v>22100</v>
      </c>
      <c r="Z3442" t="s">
        <v>28312</v>
      </c>
      <c r="AA3442">
        <v>0.53524255238702978</v>
      </c>
      <c r="AB3442" t="str">
        <f>HYPERLINK("Melting_Curves/meltCurve_Q5SNT6_FAM21B.pdf", "Melting_Curves/meltCurve_Q5SNT6_FAM21B.pdf")</f>
        <v>Melting_Curves/meltCurve_Q5SNT6_FAM21B.pdf</v>
      </c>
    </row>
    <row r="3443" spans="1:28" x14ac:dyDescent="0.25">
      <c r="A3443" t="s">
        <v>3447</v>
      </c>
      <c r="B3443">
        <v>0.99352677808782597</v>
      </c>
      <c r="C3443">
        <v>0.835689320836279</v>
      </c>
      <c r="D3443">
        <v>0.61469086883297397</v>
      </c>
      <c r="E3443">
        <v>0.39655314227283101</v>
      </c>
      <c r="F3443">
        <v>0.38257173027292901</v>
      </c>
      <c r="G3443">
        <v>0.28218829102297399</v>
      </c>
      <c r="H3443">
        <v>0.23841438361933301</v>
      </c>
      <c r="I3443">
        <v>0.242895456956252</v>
      </c>
      <c r="J3443">
        <v>0.15915370752215899</v>
      </c>
      <c r="K3443">
        <v>0.149914599111453</v>
      </c>
      <c r="L3443">
        <v>644.43796780977902</v>
      </c>
      <c r="M3443">
        <v>13.725054968014501</v>
      </c>
      <c r="N3443">
        <v>48.622011348032103</v>
      </c>
      <c r="O3443">
        <v>45.990299786093097</v>
      </c>
      <c r="P3443">
        <v>-6.06044266685202E-2</v>
      </c>
      <c r="Q3443">
        <v>0.18781615131122201</v>
      </c>
      <c r="R3443">
        <v>0.97933414871464997</v>
      </c>
      <c r="S3443" t="s">
        <v>9728</v>
      </c>
      <c r="T3443" t="s">
        <v>12568</v>
      </c>
      <c r="U3443" t="s">
        <v>12568</v>
      </c>
      <c r="V3443" t="s">
        <v>12568</v>
      </c>
      <c r="W3443" t="s">
        <v>15971</v>
      </c>
      <c r="X3443">
        <v>2</v>
      </c>
      <c r="Y3443" t="s">
        <v>22101</v>
      </c>
      <c r="Z3443" t="s">
        <v>28313</v>
      </c>
      <c r="AA3443">
        <v>0.4025469908325382</v>
      </c>
      <c r="AB3443" t="str">
        <f>HYPERLINK("Melting_Curves/meltCurve_Q5SQI0_5_ATAT1.pdf", "Melting_Curves/meltCurve_Q5SQI0_5_ATAT1.pdf")</f>
        <v>Melting_Curves/meltCurve_Q5SQI0_5_ATAT1.pdf</v>
      </c>
    </row>
    <row r="3444" spans="1:28" x14ac:dyDescent="0.25">
      <c r="A3444" t="s">
        <v>3448</v>
      </c>
      <c r="B3444">
        <v>0.99352677808782597</v>
      </c>
      <c r="C3444">
        <v>0.95362640968071799</v>
      </c>
      <c r="D3444">
        <v>0.83069473342739397</v>
      </c>
      <c r="E3444">
        <v>0.44999971908062297</v>
      </c>
      <c r="F3444">
        <v>0.41384229623602298</v>
      </c>
      <c r="G3444">
        <v>0.190953392878281</v>
      </c>
      <c r="H3444">
        <v>9.8539602517800404E-2</v>
      </c>
      <c r="I3444">
        <v>9.2040704233719295E-2</v>
      </c>
      <c r="J3444">
        <v>7.2100607604941996E-2</v>
      </c>
      <c r="K3444">
        <v>6.5382821506699398E-2</v>
      </c>
      <c r="L3444">
        <v>754.60290172431701</v>
      </c>
      <c r="M3444">
        <v>15.065673283900299</v>
      </c>
      <c r="N3444">
        <v>50.480667776757699</v>
      </c>
      <c r="O3444">
        <v>49.229946845158899</v>
      </c>
      <c r="P3444">
        <v>-7.2279239434498196E-2</v>
      </c>
      <c r="Q3444">
        <v>5.5349296077209599E-2</v>
      </c>
      <c r="R3444">
        <v>0.98923164133577401</v>
      </c>
      <c r="S3444" t="s">
        <v>9729</v>
      </c>
      <c r="T3444" t="s">
        <v>12568</v>
      </c>
      <c r="U3444" t="s">
        <v>12568</v>
      </c>
      <c r="V3444" t="s">
        <v>12568</v>
      </c>
      <c r="W3444" t="s">
        <v>15972</v>
      </c>
      <c r="X3444">
        <v>15</v>
      </c>
      <c r="Y3444" t="s">
        <v>22102</v>
      </c>
      <c r="Z3444" t="s">
        <v>28314</v>
      </c>
      <c r="AA3444">
        <v>0.39528089673778699</v>
      </c>
      <c r="AB3444" t="str">
        <f>HYPERLINK("Melting_Curves/meltCurve_Q5SRE5_NUP188.pdf", "Melting_Curves/meltCurve_Q5SRE5_NUP188.pdf")</f>
        <v>Melting_Curves/meltCurve_Q5SRE5_NUP188.pdf</v>
      </c>
    </row>
    <row r="3445" spans="1:28" x14ac:dyDescent="0.25">
      <c r="A3445" t="s">
        <v>3449</v>
      </c>
      <c r="B3445">
        <v>0.99352677808782597</v>
      </c>
      <c r="C3445">
        <v>0.93570882071393602</v>
      </c>
      <c r="D3445">
        <v>1.02094365222126</v>
      </c>
      <c r="E3445">
        <v>0.60991980915572697</v>
      </c>
      <c r="F3445">
        <v>0.53601543808372798</v>
      </c>
      <c r="G3445">
        <v>0.38544425909591401</v>
      </c>
      <c r="H3445">
        <v>0.29611699692027899</v>
      </c>
      <c r="I3445">
        <v>0.282299177054113</v>
      </c>
      <c r="J3445">
        <v>0.26636389482661499</v>
      </c>
      <c r="K3445">
        <v>0.23588535569834501</v>
      </c>
      <c r="L3445">
        <v>939.98443954397101</v>
      </c>
      <c r="M3445">
        <v>18.442243231187199</v>
      </c>
      <c r="N3445">
        <v>53.088944052427699</v>
      </c>
      <c r="O3445">
        <v>50.381157238598</v>
      </c>
      <c r="P3445">
        <v>-6.7669756172244105E-2</v>
      </c>
      <c r="Q3445">
        <v>0.26058289279525099</v>
      </c>
      <c r="R3445">
        <v>0.973590917868565</v>
      </c>
      <c r="S3445" t="s">
        <v>9730</v>
      </c>
      <c r="T3445" t="s">
        <v>12568</v>
      </c>
      <c r="U3445" t="s">
        <v>12568</v>
      </c>
      <c r="V3445" t="s">
        <v>12568</v>
      </c>
      <c r="W3445" t="s">
        <v>15973</v>
      </c>
      <c r="X3445">
        <v>10</v>
      </c>
      <c r="Y3445" t="s">
        <v>22103</v>
      </c>
      <c r="Z3445" t="s">
        <v>28315</v>
      </c>
      <c r="AA3445">
        <v>0.54286680305937696</v>
      </c>
      <c r="AB3445" t="str">
        <f>HYPERLINK("Melting_Curves/meltCurve_Q5SSJ5_HP1BP3.pdf", "Melting_Curves/meltCurve_Q5SSJ5_HP1BP3.pdf")</f>
        <v>Melting_Curves/meltCurve_Q5SSJ5_HP1BP3.pdf</v>
      </c>
    </row>
    <row r="3446" spans="1:28" x14ac:dyDescent="0.25">
      <c r="A3446" t="s">
        <v>3450</v>
      </c>
      <c r="B3446">
        <v>0.99352677808782597</v>
      </c>
      <c r="C3446">
        <v>1.11422894632576</v>
      </c>
      <c r="D3446">
        <v>0.97204760971570603</v>
      </c>
      <c r="E3446">
        <v>0.45937953701821399</v>
      </c>
      <c r="F3446">
        <v>0.39936958630813901</v>
      </c>
      <c r="G3446">
        <v>0.227590629143026</v>
      </c>
      <c r="H3446">
        <v>0.18129013659618501</v>
      </c>
      <c r="I3446">
        <v>0.25143052045112402</v>
      </c>
      <c r="J3446">
        <v>0.14153879507054901</v>
      </c>
      <c r="K3446">
        <v>6.7134470300765803E-2</v>
      </c>
      <c r="L3446">
        <v>1324.6976312531799</v>
      </c>
      <c r="M3446">
        <v>26.6971093335954</v>
      </c>
      <c r="N3446">
        <v>50.435641104357899</v>
      </c>
      <c r="O3446">
        <v>49.343637709318102</v>
      </c>
      <c r="P3446">
        <v>-0.111538183925428</v>
      </c>
      <c r="Q3446">
        <v>0.17539527429391499</v>
      </c>
      <c r="R3446">
        <v>0.96015557474753399</v>
      </c>
      <c r="S3446" t="s">
        <v>9731</v>
      </c>
      <c r="T3446" t="s">
        <v>12568</v>
      </c>
      <c r="U3446" t="s">
        <v>12568</v>
      </c>
      <c r="V3446" t="s">
        <v>12568</v>
      </c>
      <c r="W3446" t="s">
        <v>15974</v>
      </c>
      <c r="X3446">
        <v>3</v>
      </c>
      <c r="Y3446" t="s">
        <v>22104</v>
      </c>
      <c r="Z3446" t="s">
        <v>28316</v>
      </c>
      <c r="AA3446">
        <v>0.44623130646601961</v>
      </c>
      <c r="AB3446" t="str">
        <f>HYPERLINK("Melting_Curves/meltCurve_Q5ST30_VARS2.pdf", "Melting_Curves/meltCurve_Q5ST30_VARS2.pdf")</f>
        <v>Melting_Curves/meltCurve_Q5ST30_VARS2.pdf</v>
      </c>
    </row>
    <row r="3447" spans="1:28" x14ac:dyDescent="0.25">
      <c r="A3447" t="s">
        <v>3451</v>
      </c>
      <c r="B3447">
        <v>0.99352677808782597</v>
      </c>
      <c r="C3447">
        <v>0.97389625585734296</v>
      </c>
      <c r="D3447">
        <v>1.0080886342298101</v>
      </c>
      <c r="E3447">
        <v>0.97598857681850903</v>
      </c>
      <c r="F3447">
        <v>0.87294884797361305</v>
      </c>
      <c r="G3447">
        <v>0.73277207731095395</v>
      </c>
      <c r="H3447">
        <v>0.66464380061558004</v>
      </c>
      <c r="I3447">
        <v>0.68800402709501596</v>
      </c>
      <c r="J3447">
        <v>0.72588489361339403</v>
      </c>
      <c r="K3447">
        <v>0.60250376848178</v>
      </c>
      <c r="L3447">
        <v>1532.0675680018101</v>
      </c>
      <c r="M3447">
        <v>28.357568719762199</v>
      </c>
      <c r="O3447">
        <v>53.760245083404499</v>
      </c>
      <c r="P3447">
        <v>-4.39997530722585E-2</v>
      </c>
      <c r="Q3447">
        <v>0.66634410683204304</v>
      </c>
      <c r="R3447">
        <v>0.95957370599735803</v>
      </c>
      <c r="S3447" t="s">
        <v>9732</v>
      </c>
      <c r="T3447" t="s">
        <v>12568</v>
      </c>
      <c r="U3447" t="s">
        <v>12568</v>
      </c>
      <c r="V3447" t="s">
        <v>12568</v>
      </c>
      <c r="W3447" t="s">
        <v>15975</v>
      </c>
      <c r="X3447">
        <v>46</v>
      </c>
      <c r="Y3447" t="s">
        <v>22105</v>
      </c>
      <c r="Z3447" t="s">
        <v>28317</v>
      </c>
      <c r="AA3447">
        <v>0.82478970937496443</v>
      </c>
      <c r="AB3447" t="str">
        <f>HYPERLINK("Melting_Curves/meltCurve_Q5SW79_CEP170.pdf", "Melting_Curves/meltCurve_Q5SW79_CEP170.pdf")</f>
        <v>Melting_Curves/meltCurve_Q5SW79_CEP170.pdf</v>
      </c>
    </row>
    <row r="3448" spans="1:28" x14ac:dyDescent="0.25">
      <c r="A3448" t="s">
        <v>3452</v>
      </c>
      <c r="B3448">
        <v>0.99352677808782597</v>
      </c>
      <c r="C3448">
        <v>0.95077900073861399</v>
      </c>
      <c r="D3448">
        <v>0.91230575835001904</v>
      </c>
      <c r="E3448">
        <v>0.820773215192238</v>
      </c>
      <c r="F3448">
        <v>0.75077747790562399</v>
      </c>
      <c r="G3448">
        <v>0.51990807654537696</v>
      </c>
      <c r="H3448">
        <v>0.52272014657914201</v>
      </c>
      <c r="I3448">
        <v>0.55500610668614003</v>
      </c>
      <c r="J3448">
        <v>0.59331713686370102</v>
      </c>
      <c r="K3448">
        <v>0.38538683416096597</v>
      </c>
      <c r="L3448">
        <v>703.02198877900196</v>
      </c>
      <c r="M3448">
        <v>13.463399845506901</v>
      </c>
      <c r="N3448">
        <v>65.405567141037494</v>
      </c>
      <c r="O3448">
        <v>51.105634999947803</v>
      </c>
      <c r="P3448">
        <v>-3.5116449778537603E-2</v>
      </c>
      <c r="Q3448">
        <v>0.46688892532855703</v>
      </c>
      <c r="R3448">
        <v>0.92441498284969503</v>
      </c>
      <c r="S3448" t="s">
        <v>9733</v>
      </c>
      <c r="T3448" t="s">
        <v>12568</v>
      </c>
      <c r="U3448" t="s">
        <v>12568</v>
      </c>
      <c r="V3448" t="s">
        <v>12568</v>
      </c>
      <c r="W3448" t="s">
        <v>15976</v>
      </c>
      <c r="X3448">
        <v>45</v>
      </c>
      <c r="Y3448" t="s">
        <v>22105</v>
      </c>
      <c r="Z3448" t="s">
        <v>28318</v>
      </c>
      <c r="AA3448">
        <v>0.69781302450785576</v>
      </c>
      <c r="AB3448" t="str">
        <f>HYPERLINK("Melting_Curves/meltCurve_Q5SW79_3_CEP170.pdf", "Melting_Curves/meltCurve_Q5SW79_3_CEP170.pdf")</f>
        <v>Melting_Curves/meltCurve_Q5SW79_3_CEP170.pdf</v>
      </c>
    </row>
    <row r="3449" spans="1:28" x14ac:dyDescent="0.25">
      <c r="A3449" t="s">
        <v>3453</v>
      </c>
      <c r="B3449">
        <v>0.99352677808782597</v>
      </c>
      <c r="C3449">
        <v>0.95099110079226201</v>
      </c>
      <c r="D3449">
        <v>0.98282363017991803</v>
      </c>
      <c r="E3449">
        <v>0.33526065983946401</v>
      </c>
      <c r="F3449">
        <v>0.27066250821286503</v>
      </c>
      <c r="G3449">
        <v>0.12569107135585</v>
      </c>
      <c r="H3449">
        <v>8.63315350760821E-2</v>
      </c>
      <c r="I3449">
        <v>6.6450637502649706E-2</v>
      </c>
      <c r="J3449">
        <v>7.3963022719984395E-2</v>
      </c>
      <c r="K3449">
        <v>5.0064715919835398E-2</v>
      </c>
      <c r="L3449">
        <v>1746.5270657752601</v>
      </c>
      <c r="M3449">
        <v>35.654655717742102</v>
      </c>
      <c r="N3449">
        <v>49.2756957126252</v>
      </c>
      <c r="O3449">
        <v>48.831219407457198</v>
      </c>
      <c r="P3449">
        <v>-0.16520286243221899</v>
      </c>
      <c r="Q3449">
        <v>9.4981520847295303E-2</v>
      </c>
      <c r="R3449">
        <v>0.98222685047667202</v>
      </c>
      <c r="S3449" t="s">
        <v>9734</v>
      </c>
      <c r="T3449" t="s">
        <v>12568</v>
      </c>
      <c r="U3449" t="s">
        <v>12568</v>
      </c>
      <c r="V3449" t="s">
        <v>12568</v>
      </c>
      <c r="W3449" t="s">
        <v>15977</v>
      </c>
      <c r="X3449">
        <v>1</v>
      </c>
      <c r="Y3449" t="s">
        <v>22106</v>
      </c>
      <c r="Z3449" t="s">
        <v>28319</v>
      </c>
      <c r="AA3449">
        <v>0.36989437444102152</v>
      </c>
      <c r="AB3449" t="str">
        <f>HYPERLINK("Melting_Curves/meltCurve_Q5SW96_LDLRAP1.pdf", "Melting_Curves/meltCurve_Q5SW96_LDLRAP1.pdf")</f>
        <v>Melting_Curves/meltCurve_Q5SW96_LDLRAP1.pdf</v>
      </c>
    </row>
    <row r="3450" spans="1:28" x14ac:dyDescent="0.25">
      <c r="A3450" t="s">
        <v>3454</v>
      </c>
      <c r="B3450">
        <v>0.99352677808782597</v>
      </c>
      <c r="C3450">
        <v>0.99953533873059397</v>
      </c>
      <c r="D3450">
        <v>0.68147966212090205</v>
      </c>
      <c r="E3450">
        <v>0.45247076989518598</v>
      </c>
      <c r="F3450">
        <v>0.35936610808122699</v>
      </c>
      <c r="G3450">
        <v>0.24833064319664899</v>
      </c>
      <c r="H3450">
        <v>0.14542256514329199</v>
      </c>
      <c r="I3450">
        <v>0.114398765402368</v>
      </c>
      <c r="J3450">
        <v>0.121751644713867</v>
      </c>
      <c r="K3450">
        <v>0.120553337748199</v>
      </c>
      <c r="L3450">
        <v>738.27161667554105</v>
      </c>
      <c r="M3450">
        <v>15.1260551119256</v>
      </c>
      <c r="N3450">
        <v>49.667688340038701</v>
      </c>
      <c r="O3450">
        <v>47.9787235215029</v>
      </c>
      <c r="P3450">
        <v>-6.9745262402429301E-2</v>
      </c>
      <c r="Q3450">
        <v>0.11517969037728901</v>
      </c>
      <c r="R3450">
        <v>0.98260007618217804</v>
      </c>
      <c r="S3450" t="s">
        <v>9735</v>
      </c>
      <c r="T3450" t="s">
        <v>12568</v>
      </c>
      <c r="U3450" t="s">
        <v>12568</v>
      </c>
      <c r="V3450" t="s">
        <v>12568</v>
      </c>
      <c r="W3450" t="s">
        <v>15978</v>
      </c>
      <c r="X3450">
        <v>2</v>
      </c>
      <c r="Y3450" t="s">
        <v>22107</v>
      </c>
      <c r="Z3450" t="s">
        <v>28320</v>
      </c>
      <c r="AA3450">
        <v>0.39661124238744122</v>
      </c>
      <c r="AB3450" t="str">
        <f>HYPERLINK("Melting_Curves/meltCurve_Q5SXM2_SNAPC4.pdf", "Melting_Curves/meltCurve_Q5SXM2_SNAPC4.pdf")</f>
        <v>Melting_Curves/meltCurve_Q5SXM2_SNAPC4.pdf</v>
      </c>
    </row>
    <row r="3451" spans="1:28" x14ac:dyDescent="0.25">
      <c r="A3451" t="s">
        <v>3455</v>
      </c>
      <c r="B3451">
        <v>0.99352677808782597</v>
      </c>
      <c r="C3451">
        <v>0.97915425906367504</v>
      </c>
      <c r="D3451">
        <v>1.0147009128861599</v>
      </c>
      <c r="E3451">
        <v>0.83861018070618498</v>
      </c>
      <c r="F3451">
        <v>0.84563880549403703</v>
      </c>
      <c r="G3451">
        <v>0.67902251446116402</v>
      </c>
      <c r="H3451">
        <v>0.61733780897134305</v>
      </c>
      <c r="I3451">
        <v>0.69172571232761204</v>
      </c>
      <c r="J3451">
        <v>0.61290547179463195</v>
      </c>
      <c r="K3451">
        <v>0.53063710680688203</v>
      </c>
      <c r="L3451">
        <v>728.65534673154502</v>
      </c>
      <c r="M3451">
        <v>13.518562842996401</v>
      </c>
      <c r="O3451">
        <v>52.761898159696898</v>
      </c>
      <c r="P3451">
        <v>-2.7687713882039298E-2</v>
      </c>
      <c r="Q3451">
        <v>0.56781349996531205</v>
      </c>
      <c r="R3451">
        <v>0.93749285873805699</v>
      </c>
      <c r="S3451" t="s">
        <v>9736</v>
      </c>
      <c r="T3451" t="s">
        <v>12568</v>
      </c>
      <c r="U3451" t="s">
        <v>12568</v>
      </c>
      <c r="V3451" t="s">
        <v>12568</v>
      </c>
      <c r="W3451" t="s">
        <v>15979</v>
      </c>
      <c r="X3451">
        <v>2</v>
      </c>
      <c r="Y3451" t="s">
        <v>22108</v>
      </c>
      <c r="Z3451" t="s">
        <v>28321</v>
      </c>
      <c r="AA3451">
        <v>0.77814685910768921</v>
      </c>
      <c r="AB3451" t="str">
        <f>HYPERLINK("Melting_Curves/meltCurve_Q5SXM8_DNLZ.pdf", "Melting_Curves/meltCurve_Q5SXM8_DNLZ.pdf")</f>
        <v>Melting_Curves/meltCurve_Q5SXM8_DNLZ.pdf</v>
      </c>
    </row>
    <row r="3452" spans="1:28" x14ac:dyDescent="0.25">
      <c r="A3452" t="s">
        <v>3456</v>
      </c>
      <c r="B3452">
        <v>0.99352677808782597</v>
      </c>
      <c r="C3452">
        <v>0.93057307186597205</v>
      </c>
      <c r="D3452">
        <v>0.92346748816132795</v>
      </c>
      <c r="E3452">
        <v>0.92384597544317104</v>
      </c>
      <c r="F3452">
        <v>0.83266305328524204</v>
      </c>
      <c r="G3452">
        <v>0.67897585290874596</v>
      </c>
      <c r="H3452">
        <v>0.61728529089083894</v>
      </c>
      <c r="I3452">
        <v>0.63095070626884397</v>
      </c>
      <c r="J3452">
        <v>0.65491524680218705</v>
      </c>
      <c r="K3452">
        <v>0.54388983213810704</v>
      </c>
      <c r="L3452">
        <v>657.32071727606501</v>
      </c>
      <c r="M3452">
        <v>12.11025210445</v>
      </c>
      <c r="O3452">
        <v>52.861599157036601</v>
      </c>
      <c r="P3452">
        <v>-2.5513437324084499E-2</v>
      </c>
      <c r="Q3452">
        <v>0.55463607193433195</v>
      </c>
      <c r="R3452">
        <v>0.945005626997384</v>
      </c>
      <c r="S3452" t="s">
        <v>9737</v>
      </c>
      <c r="T3452" t="s">
        <v>12568</v>
      </c>
      <c r="U3452" t="s">
        <v>12568</v>
      </c>
      <c r="V3452" t="s">
        <v>12568</v>
      </c>
      <c r="W3452" t="s">
        <v>15980</v>
      </c>
      <c r="X3452">
        <v>9</v>
      </c>
      <c r="Y3452" t="s">
        <v>22109</v>
      </c>
      <c r="Z3452" t="s">
        <v>28322</v>
      </c>
      <c r="AA3452">
        <v>0.77782780100550797</v>
      </c>
      <c r="AB3452" t="str">
        <f>HYPERLINK("Melting_Curves/meltCurve_Q5SYE7_2_NHSL1.pdf", "Melting_Curves/meltCurve_Q5SYE7_2_NHSL1.pdf")</f>
        <v>Melting_Curves/meltCurve_Q5SYE7_2_NHSL1.pdf</v>
      </c>
    </row>
    <row r="3453" spans="1:28" x14ac:dyDescent="0.25">
      <c r="A3453" t="s">
        <v>3457</v>
      </c>
      <c r="B3453">
        <v>0.99352677808782597</v>
      </c>
      <c r="C3453">
        <v>0.92204539026922405</v>
      </c>
      <c r="D3453">
        <v>0.74724748054105705</v>
      </c>
      <c r="E3453">
        <v>0.31435068091407198</v>
      </c>
      <c r="F3453">
        <v>0.22442239708915099</v>
      </c>
      <c r="G3453">
        <v>0.15771560309816199</v>
      </c>
      <c r="H3453">
        <v>8.7950243837946196E-2</v>
      </c>
      <c r="I3453">
        <v>7.7090343844432196E-2</v>
      </c>
      <c r="J3453">
        <v>7.4638156746235307E-2</v>
      </c>
      <c r="K3453">
        <v>5.4401912662107199E-2</v>
      </c>
      <c r="L3453">
        <v>987.48518928299802</v>
      </c>
      <c r="M3453">
        <v>20.598616583572799</v>
      </c>
      <c r="N3453">
        <v>48.349354333835997</v>
      </c>
      <c r="O3453">
        <v>47.494433073818598</v>
      </c>
      <c r="P3453">
        <v>-9.9741275801431994E-2</v>
      </c>
      <c r="Q3453">
        <v>8.0128882628213896E-2</v>
      </c>
      <c r="R3453">
        <v>0.995250209979746</v>
      </c>
      <c r="S3453" t="s">
        <v>9738</v>
      </c>
      <c r="T3453" t="s">
        <v>12568</v>
      </c>
      <c r="U3453" t="s">
        <v>12568</v>
      </c>
      <c r="V3453" t="s">
        <v>12568</v>
      </c>
      <c r="W3453" t="s">
        <v>15981</v>
      </c>
      <c r="X3453">
        <v>1</v>
      </c>
      <c r="Y3453" t="s">
        <v>22110</v>
      </c>
      <c r="Z3453" t="s">
        <v>28323</v>
      </c>
      <c r="AA3453">
        <v>0.33586247479562609</v>
      </c>
      <c r="AB3453" t="str">
        <f>HYPERLINK("Melting_Curves/meltCurve_Q5T011_5_SZT2.pdf", "Melting_Curves/meltCurve_Q5T011_5_SZT2.pdf")</f>
        <v>Melting_Curves/meltCurve_Q5T011_5_SZT2.pdf</v>
      </c>
    </row>
    <row r="3454" spans="1:28" x14ac:dyDescent="0.25">
      <c r="A3454" t="s">
        <v>3458</v>
      </c>
      <c r="B3454">
        <v>0.99352677808782597</v>
      </c>
      <c r="C3454">
        <v>0.96393267294005003</v>
      </c>
      <c r="D3454">
        <v>0.89906356687782296</v>
      </c>
      <c r="E3454">
        <v>0.432221191165993</v>
      </c>
      <c r="F3454">
        <v>0.38894218219908799</v>
      </c>
      <c r="G3454">
        <v>0.25493936527849498</v>
      </c>
      <c r="H3454">
        <v>0.19736010948985999</v>
      </c>
      <c r="I3454">
        <v>0.19315739838740001</v>
      </c>
      <c r="J3454">
        <v>0.17372300860408199</v>
      </c>
      <c r="K3454">
        <v>0.14591494564225199</v>
      </c>
      <c r="L3454">
        <v>1071.79005491066</v>
      </c>
      <c r="M3454">
        <v>21.843063160428802</v>
      </c>
      <c r="N3454">
        <v>50.131225231840702</v>
      </c>
      <c r="O3454">
        <v>48.662044552817697</v>
      </c>
      <c r="P3454">
        <v>-9.1412766346047697E-2</v>
      </c>
      <c r="Q3454">
        <v>0.18542011855961901</v>
      </c>
      <c r="R3454">
        <v>0.98483965085393299</v>
      </c>
      <c r="S3454" t="s">
        <v>9739</v>
      </c>
      <c r="T3454" t="s">
        <v>12568</v>
      </c>
      <c r="U3454" t="s">
        <v>12568</v>
      </c>
      <c r="V3454" t="s">
        <v>12568</v>
      </c>
      <c r="W3454" t="s">
        <v>15982</v>
      </c>
      <c r="X3454">
        <v>20</v>
      </c>
      <c r="Y3454" t="s">
        <v>22111</v>
      </c>
      <c r="Z3454" t="s">
        <v>28324</v>
      </c>
      <c r="AA3454">
        <v>0.4411621412079661</v>
      </c>
      <c r="AB3454" t="str">
        <f>HYPERLINK("Melting_Curves/meltCurve_Q5T0N5_3_FNBP1L.pdf", "Melting_Curves/meltCurve_Q5T0N5_3_FNBP1L.pdf")</f>
        <v>Melting_Curves/meltCurve_Q5T0N5_3_FNBP1L.pdf</v>
      </c>
    </row>
    <row r="3455" spans="1:28" x14ac:dyDescent="0.25">
      <c r="A3455" t="s">
        <v>3459</v>
      </c>
      <c r="B3455">
        <v>0.99352677808782597</v>
      </c>
      <c r="C3455">
        <v>0.873257083626227</v>
      </c>
      <c r="D3455">
        <v>0.64706135588702596</v>
      </c>
      <c r="E3455">
        <v>1.74734659216976</v>
      </c>
      <c r="F3455">
        <v>1.2976014992968199</v>
      </c>
      <c r="G3455">
        <v>1.5694033502411699</v>
      </c>
      <c r="H3455">
        <v>1.62365205269393</v>
      </c>
      <c r="I3455">
        <v>0.73689087860312397</v>
      </c>
      <c r="J3455">
        <v>0.114110262095379</v>
      </c>
      <c r="K3455">
        <v>0.10815434297971201</v>
      </c>
      <c r="L3455">
        <v>15000</v>
      </c>
      <c r="M3455">
        <v>233.50848416339599</v>
      </c>
      <c r="N3455">
        <v>64.3066985675637</v>
      </c>
      <c r="O3455">
        <v>64.232775262429399</v>
      </c>
      <c r="P3455">
        <v>-0.80786304412714405</v>
      </c>
      <c r="Q3455">
        <v>0.111102253059703</v>
      </c>
      <c r="R3455">
        <v>0.52229364953400703</v>
      </c>
      <c r="S3455" t="s">
        <v>9740</v>
      </c>
      <c r="T3455" t="s">
        <v>12568</v>
      </c>
      <c r="U3455" t="s">
        <v>12568</v>
      </c>
      <c r="V3455" t="s">
        <v>12568</v>
      </c>
      <c r="W3455" t="s">
        <v>15983</v>
      </c>
      <c r="X3455">
        <v>2</v>
      </c>
      <c r="Y3455" t="s">
        <v>22112</v>
      </c>
      <c r="Z3455" t="s">
        <v>28325</v>
      </c>
      <c r="AA3455">
        <v>0.82937226782140872</v>
      </c>
      <c r="AB3455" t="str">
        <f>HYPERLINK("Melting_Curves/meltCurve_Q5T114_C9orf156.pdf", "Melting_Curves/meltCurve_Q5T114_C9orf156.pdf")</f>
        <v>Melting_Curves/meltCurve_Q5T114_C9orf156.pdf</v>
      </c>
    </row>
    <row r="3456" spans="1:28" x14ac:dyDescent="0.25">
      <c r="A3456" t="s">
        <v>3460</v>
      </c>
      <c r="B3456">
        <v>0.99352677808782597</v>
      </c>
      <c r="C3456">
        <v>0.95776707710050302</v>
      </c>
      <c r="D3456">
        <v>0.99414668527598604</v>
      </c>
      <c r="E3456">
        <v>0.94407429814503596</v>
      </c>
      <c r="F3456">
        <v>0.89362570887631398</v>
      </c>
      <c r="G3456">
        <v>0.82842510596950103</v>
      </c>
      <c r="H3456">
        <v>0.78056609916310804</v>
      </c>
      <c r="I3456">
        <v>0.89328964877273798</v>
      </c>
      <c r="J3456">
        <v>0.76641536103448205</v>
      </c>
      <c r="K3456">
        <v>0.70088537909350102</v>
      </c>
      <c r="L3456">
        <v>297.14477756481301</v>
      </c>
      <c r="M3456">
        <v>3.5787017862567199</v>
      </c>
      <c r="O3456">
        <v>65.631136349226907</v>
      </c>
      <c r="P3456">
        <v>-1.10399486154244E-2</v>
      </c>
      <c r="Q3456">
        <v>0.20465046133103601</v>
      </c>
      <c r="R3456">
        <v>0.82511029387240997</v>
      </c>
      <c r="S3456" t="s">
        <v>9741</v>
      </c>
      <c r="T3456" t="s">
        <v>12568</v>
      </c>
      <c r="U3456" t="s">
        <v>12568</v>
      </c>
      <c r="V3456" t="s">
        <v>12568</v>
      </c>
      <c r="W3456" t="s">
        <v>15984</v>
      </c>
      <c r="X3456">
        <v>4</v>
      </c>
      <c r="Y3456" t="s">
        <v>22113</v>
      </c>
      <c r="Z3456" t="s">
        <v>28326</v>
      </c>
      <c r="AA3456">
        <v>0.87809647177470551</v>
      </c>
      <c r="AB3456" t="str">
        <f>HYPERLINK("Melting_Curves/meltCurve_Q5T123_SH3BGRL3.pdf", "Melting_Curves/meltCurve_Q5T123_SH3BGRL3.pdf")</f>
        <v>Melting_Curves/meltCurve_Q5T123_SH3BGRL3.pdf</v>
      </c>
    </row>
    <row r="3457" spans="1:28" x14ac:dyDescent="0.25">
      <c r="A3457" t="s">
        <v>3461</v>
      </c>
      <c r="B3457">
        <v>0.99352677808782597</v>
      </c>
      <c r="C3457">
        <v>0.98316179343899202</v>
      </c>
      <c r="D3457">
        <v>0.90765233433576797</v>
      </c>
      <c r="E3457">
        <v>0.32483329288023199</v>
      </c>
      <c r="F3457">
        <v>0.25754810512736898</v>
      </c>
      <c r="G3457">
        <v>0.15231622233001599</v>
      </c>
      <c r="H3457">
        <v>0.103647684321309</v>
      </c>
      <c r="I3457">
        <v>9.3409942127518603E-2</v>
      </c>
      <c r="J3457">
        <v>9.1530709553384396E-2</v>
      </c>
      <c r="K3457">
        <v>6.6254291960157502E-2</v>
      </c>
      <c r="L3457">
        <v>1535.91246899881</v>
      </c>
      <c r="M3457">
        <v>31.588824530235801</v>
      </c>
      <c r="N3457">
        <v>49.006155368226899</v>
      </c>
      <c r="O3457">
        <v>48.428407156804496</v>
      </c>
      <c r="P3457">
        <v>-0.145187000161869</v>
      </c>
      <c r="Q3457">
        <v>0.10966769792384</v>
      </c>
      <c r="R3457">
        <v>0.98966818807049095</v>
      </c>
      <c r="S3457" t="s">
        <v>9742</v>
      </c>
      <c r="T3457" t="s">
        <v>12568</v>
      </c>
      <c r="U3457" t="s">
        <v>12568</v>
      </c>
      <c r="V3457" t="s">
        <v>12568</v>
      </c>
      <c r="W3457" t="s">
        <v>15985</v>
      </c>
      <c r="X3457">
        <v>6</v>
      </c>
      <c r="Y3457" t="s">
        <v>22114</v>
      </c>
      <c r="Z3457" t="s">
        <v>28327</v>
      </c>
      <c r="AA3457">
        <v>0.37040102317886958</v>
      </c>
      <c r="AB3457" t="str">
        <f>HYPERLINK("Melting_Curves/meltCurve_Q5T160_RARS2.pdf", "Melting_Curves/meltCurve_Q5T160_RARS2.pdf")</f>
        <v>Melting_Curves/meltCurve_Q5T160_RARS2.pdf</v>
      </c>
    </row>
    <row r="3458" spans="1:28" x14ac:dyDescent="0.25">
      <c r="A3458" t="s">
        <v>3462</v>
      </c>
      <c r="B3458">
        <v>0.99352677808782597</v>
      </c>
      <c r="C3458">
        <v>0.99671305801871302</v>
      </c>
      <c r="D3458">
        <v>1.0288483708451699</v>
      </c>
      <c r="E3458">
        <v>1.0176916965501599</v>
      </c>
      <c r="F3458">
        <v>0.92348090565897301</v>
      </c>
      <c r="G3458">
        <v>0.86164373587349397</v>
      </c>
      <c r="H3458">
        <v>0.840448282488646</v>
      </c>
      <c r="I3458">
        <v>0.86406021352361895</v>
      </c>
      <c r="J3458">
        <v>0.93692495976476997</v>
      </c>
      <c r="K3458">
        <v>0.78621305034232103</v>
      </c>
      <c r="L3458">
        <v>13241.8583823516</v>
      </c>
      <c r="M3458">
        <v>250</v>
      </c>
      <c r="O3458">
        <v>52.964057113992901</v>
      </c>
      <c r="P3458">
        <v>-0.167734022105863</v>
      </c>
      <c r="Q3458">
        <v>0.85785804609009497</v>
      </c>
      <c r="R3458">
        <v>0.79623869639978595</v>
      </c>
      <c r="S3458" t="s">
        <v>9743</v>
      </c>
      <c r="T3458" t="s">
        <v>12568</v>
      </c>
      <c r="U3458" t="s">
        <v>12568</v>
      </c>
      <c r="V3458" t="s">
        <v>12568</v>
      </c>
      <c r="W3458" t="s">
        <v>15986</v>
      </c>
      <c r="X3458">
        <v>5</v>
      </c>
      <c r="Y3458" t="s">
        <v>22115</v>
      </c>
      <c r="Z3458" t="s">
        <v>28328</v>
      </c>
      <c r="AA3458">
        <v>0.91931180381831379</v>
      </c>
      <c r="AB3458" t="str">
        <f>HYPERLINK("Melting_Curves/meltCurve_Q5T171_PYGO2.pdf", "Melting_Curves/meltCurve_Q5T171_PYGO2.pdf")</f>
        <v>Melting_Curves/meltCurve_Q5T171_PYGO2.pdf</v>
      </c>
    </row>
    <row r="3459" spans="1:28" x14ac:dyDescent="0.25">
      <c r="A3459" t="s">
        <v>3463</v>
      </c>
      <c r="B3459">
        <v>0.99352677808782597</v>
      </c>
      <c r="C3459">
        <v>0.97752407479890802</v>
      </c>
      <c r="D3459">
        <v>1.0283456178930599</v>
      </c>
      <c r="E3459">
        <v>0.908962548897436</v>
      </c>
      <c r="F3459">
        <v>0.82956669807397498</v>
      </c>
      <c r="G3459">
        <v>0.51323767215570004</v>
      </c>
      <c r="H3459">
        <v>0.26323136746769399</v>
      </c>
      <c r="I3459">
        <v>0.20347496233144</v>
      </c>
      <c r="J3459">
        <v>0.15760444780055799</v>
      </c>
      <c r="K3459">
        <v>0.107466451544866</v>
      </c>
      <c r="L3459">
        <v>1122.0464220942299</v>
      </c>
      <c r="M3459">
        <v>19.845965096090701</v>
      </c>
      <c r="N3459">
        <v>57.225644948597399</v>
      </c>
      <c r="O3459">
        <v>55.9731057870301</v>
      </c>
      <c r="P3459">
        <v>-7.9236832347478206E-2</v>
      </c>
      <c r="Q3459">
        <v>0.106119005407664</v>
      </c>
      <c r="R3459">
        <v>0.99704229175109504</v>
      </c>
      <c r="S3459" t="s">
        <v>9744</v>
      </c>
      <c r="T3459" t="s">
        <v>12568</v>
      </c>
      <c r="U3459" t="s">
        <v>12568</v>
      </c>
      <c r="V3459" t="s">
        <v>12568</v>
      </c>
      <c r="W3459" t="s">
        <v>15987</v>
      </c>
      <c r="X3459">
        <v>3</v>
      </c>
      <c r="Y3459" t="s">
        <v>22116</v>
      </c>
      <c r="Z3459" t="s">
        <v>28329</v>
      </c>
      <c r="AA3459">
        <v>0.61022201729655723</v>
      </c>
      <c r="AB3459" t="str">
        <f>HYPERLINK("Melting_Curves/meltCurve_Q5T1C6_THEM4.pdf", "Melting_Curves/meltCurve_Q5T1C6_THEM4.pdf")</f>
        <v>Melting_Curves/meltCurve_Q5T1C6_THEM4.pdf</v>
      </c>
    </row>
    <row r="3460" spans="1:28" x14ac:dyDescent="0.25">
      <c r="A3460" t="s">
        <v>3464</v>
      </c>
      <c r="B3460">
        <v>0.99352677808782597</v>
      </c>
      <c r="C3460">
        <v>1.02668083548591</v>
      </c>
      <c r="D3460">
        <v>0.97363280888955706</v>
      </c>
      <c r="E3460">
        <v>0.75158338067093</v>
      </c>
      <c r="F3460">
        <v>0.63365695798200505</v>
      </c>
      <c r="G3460">
        <v>0.43126640524903898</v>
      </c>
      <c r="H3460">
        <v>0.32423675306128702</v>
      </c>
      <c r="I3460">
        <v>0.30049497184877499</v>
      </c>
      <c r="J3460">
        <v>0.32571472173948401</v>
      </c>
      <c r="K3460">
        <v>0.245094688421017</v>
      </c>
      <c r="L3460">
        <v>898.54912282877694</v>
      </c>
      <c r="M3460">
        <v>17.0552538003606</v>
      </c>
      <c r="N3460">
        <v>55.171571019581002</v>
      </c>
      <c r="O3460">
        <v>51.976281130404402</v>
      </c>
      <c r="P3460">
        <v>-6.0034697484372498E-2</v>
      </c>
      <c r="Q3460">
        <v>0.26821599146274799</v>
      </c>
      <c r="R3460">
        <v>0.99189045667538001</v>
      </c>
      <c r="S3460" t="s">
        <v>9745</v>
      </c>
      <c r="T3460" t="s">
        <v>12568</v>
      </c>
      <c r="U3460" t="s">
        <v>12568</v>
      </c>
      <c r="V3460" t="s">
        <v>12568</v>
      </c>
      <c r="W3460" t="s">
        <v>15988</v>
      </c>
      <c r="X3460">
        <v>18</v>
      </c>
      <c r="Y3460" t="s">
        <v>22117</v>
      </c>
      <c r="Z3460" t="s">
        <v>28330</v>
      </c>
      <c r="AA3460">
        <v>0.59077027902372536</v>
      </c>
      <c r="AB3460" t="str">
        <f>HYPERLINK("Melting_Curves/meltCurve_Q5T1M5_FKBP15.pdf", "Melting_Curves/meltCurve_Q5T1M5_FKBP15.pdf")</f>
        <v>Melting_Curves/meltCurve_Q5T1M5_FKBP15.pdf</v>
      </c>
    </row>
    <row r="3461" spans="1:28" x14ac:dyDescent="0.25">
      <c r="A3461" t="s">
        <v>3465</v>
      </c>
      <c r="B3461">
        <v>0.99352677808782597</v>
      </c>
      <c r="C3461">
        <v>0.98975562758801106</v>
      </c>
      <c r="D3461">
        <v>0.99384907165999803</v>
      </c>
      <c r="E3461">
        <v>0.33257594640516203</v>
      </c>
      <c r="F3461">
        <v>0.25029786103877</v>
      </c>
      <c r="G3461">
        <v>0.15175428617989201</v>
      </c>
      <c r="H3461">
        <v>0.11117263502474201</v>
      </c>
      <c r="I3461">
        <v>0.102497016252485</v>
      </c>
      <c r="J3461">
        <v>9.9717799001923305E-2</v>
      </c>
      <c r="K3461">
        <v>8.0038880027598805E-2</v>
      </c>
      <c r="L3461">
        <v>2298.33383052412</v>
      </c>
      <c r="M3461">
        <v>47.002534365647797</v>
      </c>
      <c r="N3461">
        <v>49.2014033965145</v>
      </c>
      <c r="O3461">
        <v>48.809815834790797</v>
      </c>
      <c r="P3461">
        <v>-0.210464232774174</v>
      </c>
      <c r="Q3461">
        <v>0.12577401793666201</v>
      </c>
      <c r="R3461">
        <v>0.98900118260431302</v>
      </c>
      <c r="S3461" t="s">
        <v>9746</v>
      </c>
      <c r="T3461" t="s">
        <v>12568</v>
      </c>
      <c r="U3461" t="s">
        <v>12568</v>
      </c>
      <c r="V3461" t="s">
        <v>12568</v>
      </c>
      <c r="W3461" t="s">
        <v>15989</v>
      </c>
      <c r="X3461">
        <v>7</v>
      </c>
      <c r="Y3461" t="s">
        <v>22118</v>
      </c>
      <c r="Z3461" t="s">
        <v>28331</v>
      </c>
      <c r="AA3461">
        <v>0.38720777318762961</v>
      </c>
      <c r="AB3461" t="str">
        <f>HYPERLINK("Melting_Curves/meltCurve_Q5T1V6_DDX59.pdf", "Melting_Curves/meltCurve_Q5T1V6_DDX59.pdf")</f>
        <v>Melting_Curves/meltCurve_Q5T1V6_DDX59.pdf</v>
      </c>
    </row>
    <row r="3462" spans="1:28" x14ac:dyDescent="0.25">
      <c r="A3462" t="s">
        <v>3466</v>
      </c>
      <c r="B3462">
        <v>0.99352677808782597</v>
      </c>
      <c r="C3462">
        <v>1.02099929351237</v>
      </c>
      <c r="D3462">
        <v>0.92756766178441297</v>
      </c>
      <c r="E3462">
        <v>0.69783055244025505</v>
      </c>
      <c r="F3462">
        <v>0.59760815718976401</v>
      </c>
      <c r="G3462">
        <v>0.44935216286954699</v>
      </c>
      <c r="H3462">
        <v>0.35215284197924601</v>
      </c>
      <c r="I3462">
        <v>0.36904870649648802</v>
      </c>
      <c r="J3462">
        <v>0.34955447389417499</v>
      </c>
      <c r="K3462">
        <v>0.30905900049958601</v>
      </c>
      <c r="L3462">
        <v>848.08642833927399</v>
      </c>
      <c r="M3462">
        <v>16.51583162483</v>
      </c>
      <c r="N3462">
        <v>54.836914313888997</v>
      </c>
      <c r="O3462">
        <v>50.614784914315997</v>
      </c>
      <c r="P3462">
        <v>-5.5061973816711497E-2</v>
      </c>
      <c r="Q3462">
        <v>0.32506990772918298</v>
      </c>
      <c r="R3462">
        <v>0.99202803332888001</v>
      </c>
      <c r="S3462" t="s">
        <v>9747</v>
      </c>
      <c r="T3462" t="s">
        <v>12568</v>
      </c>
      <c r="U3462" t="s">
        <v>12568</v>
      </c>
      <c r="V3462" t="s">
        <v>12568</v>
      </c>
      <c r="W3462" t="s">
        <v>15990</v>
      </c>
      <c r="X3462">
        <v>16</v>
      </c>
      <c r="Y3462" t="s">
        <v>22119</v>
      </c>
      <c r="Z3462" t="s">
        <v>28332</v>
      </c>
      <c r="AA3462">
        <v>0.5935654041697277</v>
      </c>
      <c r="AB3462" t="str">
        <f>HYPERLINK("Melting_Curves/meltCurve_Q5T200_ZC3H13.pdf", "Melting_Curves/meltCurve_Q5T200_ZC3H13.pdf")</f>
        <v>Melting_Curves/meltCurve_Q5T200_ZC3H13.pdf</v>
      </c>
    </row>
    <row r="3463" spans="1:28" x14ac:dyDescent="0.25">
      <c r="A3463" t="s">
        <v>3467</v>
      </c>
      <c r="B3463">
        <v>0.99352677808782597</v>
      </c>
      <c r="C3463">
        <v>0.96480408828195796</v>
      </c>
      <c r="D3463">
        <v>1.0169705655452299</v>
      </c>
      <c r="E3463">
        <v>0.88187973765314698</v>
      </c>
      <c r="F3463">
        <v>0.71854236121887205</v>
      </c>
      <c r="G3463">
        <v>0.649673372265542</v>
      </c>
      <c r="H3463">
        <v>0.51413948049414104</v>
      </c>
      <c r="I3463">
        <v>0.312857852083749</v>
      </c>
      <c r="J3463">
        <v>0.17782813283816801</v>
      </c>
      <c r="K3463">
        <v>0.12812159803662099</v>
      </c>
      <c r="L3463">
        <v>664.54790951997199</v>
      </c>
      <c r="M3463">
        <v>11.155853371801699</v>
      </c>
      <c r="N3463">
        <v>59.569437455506801</v>
      </c>
      <c r="O3463">
        <v>57.751460743950503</v>
      </c>
      <c r="P3463">
        <v>-4.8307949392362597E-2</v>
      </c>
      <c r="Q3463">
        <v>0</v>
      </c>
      <c r="R3463">
        <v>0.98052089021051803</v>
      </c>
      <c r="S3463" t="s">
        <v>9748</v>
      </c>
      <c r="T3463" t="s">
        <v>12568</v>
      </c>
      <c r="U3463" t="s">
        <v>12568</v>
      </c>
      <c r="V3463" t="s">
        <v>12568</v>
      </c>
      <c r="W3463" t="s">
        <v>15991</v>
      </c>
      <c r="X3463">
        <v>7</v>
      </c>
      <c r="Y3463" t="s">
        <v>22120</v>
      </c>
      <c r="Z3463" t="s">
        <v>28333</v>
      </c>
      <c r="AA3463">
        <v>0.6552260487778343</v>
      </c>
      <c r="AB3463" t="str">
        <f>HYPERLINK("Melting_Curves/meltCurve_Q5T2E6_C10orf76.pdf", "Melting_Curves/meltCurve_Q5T2E6_C10orf76.pdf")</f>
        <v>Melting_Curves/meltCurve_Q5T2E6_C10orf76.pdf</v>
      </c>
    </row>
    <row r="3464" spans="1:28" x14ac:dyDescent="0.25">
      <c r="A3464" t="s">
        <v>3468</v>
      </c>
      <c r="B3464">
        <v>0.99352677808782597</v>
      </c>
      <c r="C3464">
        <v>0.91682231727506303</v>
      </c>
      <c r="D3464">
        <v>0.88342237827113002</v>
      </c>
      <c r="E3464">
        <v>0.69236392229917099</v>
      </c>
      <c r="F3464">
        <v>0.65717991555109201</v>
      </c>
      <c r="G3464">
        <v>0.480233658455884</v>
      </c>
      <c r="H3464">
        <v>0.394296223992332</v>
      </c>
      <c r="I3464">
        <v>0.37920272572288499</v>
      </c>
      <c r="J3464">
        <v>0.38772517592011302</v>
      </c>
      <c r="K3464">
        <v>0.28890730509093099</v>
      </c>
      <c r="L3464">
        <v>544.34697171946698</v>
      </c>
      <c r="M3464">
        <v>10.368472851670701</v>
      </c>
      <c r="N3464">
        <v>56.831959398698302</v>
      </c>
      <c r="O3464">
        <v>50.659922673304699</v>
      </c>
      <c r="P3464">
        <v>-3.7206880010472197E-2</v>
      </c>
      <c r="Q3464">
        <v>0.27314310983069601</v>
      </c>
      <c r="R3464">
        <v>0.98686996702624996</v>
      </c>
      <c r="S3464" t="s">
        <v>9749</v>
      </c>
      <c r="T3464" t="s">
        <v>12568</v>
      </c>
      <c r="U3464" t="s">
        <v>12568</v>
      </c>
      <c r="V3464" t="s">
        <v>12568</v>
      </c>
      <c r="W3464" t="s">
        <v>15992</v>
      </c>
      <c r="X3464">
        <v>6</v>
      </c>
      <c r="Y3464" t="s">
        <v>22121</v>
      </c>
      <c r="Z3464" t="s">
        <v>28334</v>
      </c>
      <c r="AA3464">
        <v>0.60130551761610884</v>
      </c>
      <c r="AB3464" t="str">
        <f>HYPERLINK("Melting_Curves/meltCurve_Q5T2W1_PDZK1.pdf", "Melting_Curves/meltCurve_Q5T2W1_PDZK1.pdf")</f>
        <v>Melting_Curves/meltCurve_Q5T2W1_PDZK1.pdf</v>
      </c>
    </row>
    <row r="3465" spans="1:28" x14ac:dyDescent="0.25">
      <c r="A3465" t="s">
        <v>3469</v>
      </c>
      <c r="B3465">
        <v>0.99352677808782597</v>
      </c>
      <c r="C3465">
        <v>1.0058929958345999</v>
      </c>
      <c r="D3465">
        <v>0.87256745333723895</v>
      </c>
      <c r="E3465">
        <v>0.92161806736940899</v>
      </c>
      <c r="F3465">
        <v>0.78352968263015599</v>
      </c>
      <c r="G3465">
        <v>0.60047935723124102</v>
      </c>
      <c r="H3465">
        <v>0.32900295409021002</v>
      </c>
      <c r="I3465">
        <v>0.229022708475769</v>
      </c>
      <c r="J3465">
        <v>0.18184979107872101</v>
      </c>
      <c r="K3465">
        <v>0.148153253167953</v>
      </c>
      <c r="L3465">
        <v>810.33466541235998</v>
      </c>
      <c r="M3465">
        <v>14.062821684542699</v>
      </c>
      <c r="N3465">
        <v>58.161730005551497</v>
      </c>
      <c r="O3465">
        <v>56.4948183860092</v>
      </c>
      <c r="P3465">
        <v>-5.8434635712206903E-2</v>
      </c>
      <c r="Q3465">
        <v>6.1120171043398099E-2</v>
      </c>
      <c r="R3465">
        <v>0.98808671088047295</v>
      </c>
      <c r="S3465" t="s">
        <v>9750</v>
      </c>
      <c r="T3465" t="s">
        <v>12568</v>
      </c>
      <c r="U3465" t="s">
        <v>12568</v>
      </c>
      <c r="V3465" t="s">
        <v>12568</v>
      </c>
      <c r="W3465" t="s">
        <v>15993</v>
      </c>
      <c r="X3465">
        <v>28</v>
      </c>
      <c r="Y3465" t="s">
        <v>22122</v>
      </c>
      <c r="Z3465" t="s">
        <v>28335</v>
      </c>
      <c r="AA3465">
        <v>0.6263645594239643</v>
      </c>
      <c r="AB3465" t="str">
        <f>HYPERLINK("Melting_Curves/meltCurve_Q5T321_NBEA.pdf", "Melting_Curves/meltCurve_Q5T321_NBEA.pdf")</f>
        <v>Melting_Curves/meltCurve_Q5T321_NBEA.pdf</v>
      </c>
    </row>
    <row r="3466" spans="1:28" x14ac:dyDescent="0.25">
      <c r="A3466" t="s">
        <v>3470</v>
      </c>
      <c r="B3466">
        <v>0.99352677808782597</v>
      </c>
      <c r="C3466">
        <v>1.1534279642545699</v>
      </c>
      <c r="D3466">
        <v>1.1564444476948501</v>
      </c>
      <c r="E3466">
        <v>0.68824870169458296</v>
      </c>
      <c r="F3466">
        <v>0.52890892381950105</v>
      </c>
      <c r="G3466">
        <v>0.26193199674894502</v>
      </c>
      <c r="H3466">
        <v>0.23172681912540799</v>
      </c>
      <c r="I3466">
        <v>0.32995402853196398</v>
      </c>
      <c r="J3466">
        <v>0.153890267077221</v>
      </c>
      <c r="K3466">
        <v>6.3086233912689305E-2</v>
      </c>
      <c r="L3466">
        <v>1305.8701542065301</v>
      </c>
      <c r="M3466">
        <v>25.154802916638801</v>
      </c>
      <c r="N3466">
        <v>52.904137115123703</v>
      </c>
      <c r="O3466">
        <v>51.588597023248496</v>
      </c>
      <c r="P3466">
        <v>-9.9003825168349893E-2</v>
      </c>
      <c r="Q3466">
        <v>0.18784468575162599</v>
      </c>
      <c r="R3466">
        <v>0.93326965372899395</v>
      </c>
      <c r="S3466" t="s">
        <v>9751</v>
      </c>
      <c r="T3466" t="s">
        <v>12568</v>
      </c>
      <c r="U3466" t="s">
        <v>12568</v>
      </c>
      <c r="V3466" t="s">
        <v>12568</v>
      </c>
      <c r="W3466" t="s">
        <v>15994</v>
      </c>
      <c r="X3466">
        <v>2</v>
      </c>
      <c r="Y3466" t="s">
        <v>22123</v>
      </c>
      <c r="Z3466" t="s">
        <v>28336</v>
      </c>
      <c r="AA3466">
        <v>0.51768124063430443</v>
      </c>
      <c r="AB3466" t="str">
        <f>HYPERLINK("Melting_Curves/meltCurve_Q5T370_ARRDC1.pdf", "Melting_Curves/meltCurve_Q5T370_ARRDC1.pdf")</f>
        <v>Melting_Curves/meltCurve_Q5T370_ARRDC1.pdf</v>
      </c>
    </row>
    <row r="3467" spans="1:28" x14ac:dyDescent="0.25">
      <c r="A3467" t="s">
        <v>3471</v>
      </c>
      <c r="B3467">
        <v>0.99352677808782597</v>
      </c>
      <c r="C3467">
        <v>1.0496283559552999</v>
      </c>
      <c r="D3467">
        <v>0.987980609699731</v>
      </c>
      <c r="E3467">
        <v>0.812288934683701</v>
      </c>
      <c r="F3467">
        <v>0.70036727823266198</v>
      </c>
      <c r="G3467">
        <v>0.50268939552213698</v>
      </c>
      <c r="H3467">
        <v>0.27806038139656802</v>
      </c>
      <c r="I3467">
        <v>0.27107162082418501</v>
      </c>
      <c r="J3467">
        <v>0.24085344412943799</v>
      </c>
      <c r="K3467">
        <v>0.22818902904657401</v>
      </c>
      <c r="L3467">
        <v>883.96364358339201</v>
      </c>
      <c r="M3467">
        <v>16.189773755278502</v>
      </c>
      <c r="N3467">
        <v>56.353972862695798</v>
      </c>
      <c r="O3467">
        <v>53.787470643812597</v>
      </c>
      <c r="P3467">
        <v>-6.0361427779993398E-2</v>
      </c>
      <c r="Q3467">
        <v>0.19790221172736999</v>
      </c>
      <c r="R3467">
        <v>0.99135658288666595</v>
      </c>
      <c r="S3467" t="s">
        <v>9752</v>
      </c>
      <c r="T3467" t="s">
        <v>12568</v>
      </c>
      <c r="U3467" t="s">
        <v>12568</v>
      </c>
      <c r="V3467" t="s">
        <v>12568</v>
      </c>
      <c r="W3467" t="s">
        <v>15995</v>
      </c>
      <c r="X3467">
        <v>4</v>
      </c>
      <c r="Y3467" t="s">
        <v>22124</v>
      </c>
      <c r="Z3467" t="s">
        <v>28337</v>
      </c>
      <c r="AA3467">
        <v>0.60276299382281928</v>
      </c>
      <c r="AB3467" t="str">
        <f>HYPERLINK("Melting_Curves/meltCurve_Q5T3J3_LRIF1.pdf", "Melting_Curves/meltCurve_Q5T3J3_LRIF1.pdf")</f>
        <v>Melting_Curves/meltCurve_Q5T3J3_LRIF1.pdf</v>
      </c>
    </row>
    <row r="3468" spans="1:28" x14ac:dyDescent="0.25">
      <c r="A3468" t="s">
        <v>3472</v>
      </c>
      <c r="B3468">
        <v>0.99352677808782597</v>
      </c>
      <c r="C3468">
        <v>0.89664825141133697</v>
      </c>
      <c r="D3468">
        <v>0.99051212968907199</v>
      </c>
      <c r="E3468">
        <v>0.95399178735450796</v>
      </c>
      <c r="F3468">
        <v>0.90008826590873303</v>
      </c>
      <c r="G3468">
        <v>0.73833224525799301</v>
      </c>
      <c r="H3468">
        <v>0.764587002018835</v>
      </c>
      <c r="I3468">
        <v>0.66597919278783102</v>
      </c>
      <c r="J3468">
        <v>0.61431975643301795</v>
      </c>
      <c r="K3468">
        <v>0.59635042164827901</v>
      </c>
      <c r="L3468">
        <v>511.96068719202498</v>
      </c>
      <c r="M3468">
        <v>8.4357573310901195</v>
      </c>
      <c r="O3468">
        <v>57.566656756932304</v>
      </c>
      <c r="P3468">
        <v>-1.9889470449812499E-2</v>
      </c>
      <c r="Q3468">
        <v>0.457589887814151</v>
      </c>
      <c r="R3468">
        <v>0.92721202652886103</v>
      </c>
      <c r="S3468" t="s">
        <v>9753</v>
      </c>
      <c r="T3468" t="s">
        <v>12568</v>
      </c>
      <c r="U3468" t="s">
        <v>12568</v>
      </c>
      <c r="V3468" t="s">
        <v>12568</v>
      </c>
      <c r="W3468" t="s">
        <v>15996</v>
      </c>
      <c r="X3468">
        <v>1</v>
      </c>
      <c r="Y3468" t="s">
        <v>22125</v>
      </c>
      <c r="Z3468" t="s">
        <v>28338</v>
      </c>
      <c r="AA3468">
        <v>0.8214161300043159</v>
      </c>
      <c r="AB3468" t="str">
        <f>HYPERLINK("Melting_Curves/meltCurve_Q5T427_ZNF438.pdf", "Melting_Curves/meltCurve_Q5T427_ZNF438.pdf")</f>
        <v>Melting_Curves/meltCurve_Q5T427_ZNF438.pdf</v>
      </c>
    </row>
    <row r="3469" spans="1:28" x14ac:dyDescent="0.25">
      <c r="A3469" t="s">
        <v>3473</v>
      </c>
      <c r="B3469">
        <v>0.99352677808782597</v>
      </c>
      <c r="C3469">
        <v>0.96679446751841103</v>
      </c>
      <c r="D3469">
        <v>0.96609533094543298</v>
      </c>
      <c r="E3469">
        <v>0.486574751908329</v>
      </c>
      <c r="F3469">
        <v>0.44335755988810299</v>
      </c>
      <c r="G3469">
        <v>0.166438514702101</v>
      </c>
      <c r="H3469">
        <v>0.103782313088099</v>
      </c>
      <c r="I3469">
        <v>9.5969460235321005E-2</v>
      </c>
      <c r="J3469">
        <v>8.4094136473580397E-2</v>
      </c>
      <c r="K3469">
        <v>7.0941016613059502E-2</v>
      </c>
      <c r="L3469">
        <v>947.17722276504503</v>
      </c>
      <c r="M3469">
        <v>18.6936366215783</v>
      </c>
      <c r="N3469">
        <v>51.109821087982198</v>
      </c>
      <c r="O3469">
        <v>50.099281325899803</v>
      </c>
      <c r="P3469">
        <v>-8.6333181826804606E-2</v>
      </c>
      <c r="Q3469">
        <v>7.4541434782851398E-2</v>
      </c>
      <c r="R3469">
        <v>0.98115584714439497</v>
      </c>
      <c r="S3469" t="s">
        <v>9754</v>
      </c>
      <c r="T3469" t="s">
        <v>12568</v>
      </c>
      <c r="U3469" t="s">
        <v>12568</v>
      </c>
      <c r="V3469" t="s">
        <v>12568</v>
      </c>
      <c r="W3469" t="s">
        <v>15997</v>
      </c>
      <c r="X3469">
        <v>7</v>
      </c>
      <c r="Y3469" t="s">
        <v>22126</v>
      </c>
      <c r="Z3469" t="s">
        <v>28339</v>
      </c>
      <c r="AA3469">
        <v>0.41824529028001162</v>
      </c>
      <c r="AB3469" t="str">
        <f>HYPERLINK("Melting_Curves/meltCurve_Q5T440_IBA57.pdf", "Melting_Curves/meltCurve_Q5T440_IBA57.pdf")</f>
        <v>Melting_Curves/meltCurve_Q5T440_IBA57.pdf</v>
      </c>
    </row>
    <row r="3470" spans="1:28" x14ac:dyDescent="0.25">
      <c r="A3470" t="s">
        <v>3474</v>
      </c>
      <c r="B3470">
        <v>0.99352677808782597</v>
      </c>
      <c r="C3470">
        <v>0.78183313637256402</v>
      </c>
      <c r="D3470">
        <v>0.64444934897816797</v>
      </c>
      <c r="E3470">
        <v>1.55491754139451</v>
      </c>
      <c r="F3470">
        <v>1.1889851784460099</v>
      </c>
      <c r="G3470">
        <v>0.48783127796162901</v>
      </c>
      <c r="H3470">
        <v>0.185018666006977</v>
      </c>
      <c r="I3470">
        <v>0.15854691553235101</v>
      </c>
      <c r="J3470">
        <v>0.14092948438834299</v>
      </c>
      <c r="K3470">
        <v>0.11075754646403201</v>
      </c>
      <c r="L3470">
        <v>14226.4817750808</v>
      </c>
      <c r="M3470">
        <v>250</v>
      </c>
      <c r="N3470">
        <v>56.986455211480802</v>
      </c>
      <c r="O3470">
        <v>56.902285284480001</v>
      </c>
      <c r="P3470">
        <v>-0.93492164605210404</v>
      </c>
      <c r="Q3470">
        <v>0.14881314624028599</v>
      </c>
      <c r="R3470">
        <v>0.77089013313635202</v>
      </c>
      <c r="S3470" t="s">
        <v>9755</v>
      </c>
      <c r="T3470" t="s">
        <v>12568</v>
      </c>
      <c r="U3470" t="s">
        <v>12568</v>
      </c>
      <c r="V3470" t="s">
        <v>12568</v>
      </c>
      <c r="W3470" t="s">
        <v>15998</v>
      </c>
      <c r="X3470">
        <v>5</v>
      </c>
      <c r="Y3470" t="s">
        <v>22127</v>
      </c>
      <c r="Z3470" t="s">
        <v>28340</v>
      </c>
      <c r="AA3470">
        <v>0.62856825004799111</v>
      </c>
      <c r="AB3470" t="str">
        <f>HYPERLINK("Melting_Curves/meltCurve_Q5T447_HECTD3.pdf", "Melting_Curves/meltCurve_Q5T447_HECTD3.pdf")</f>
        <v>Melting_Curves/meltCurve_Q5T447_HECTD3.pdf</v>
      </c>
    </row>
    <row r="3471" spans="1:28" x14ac:dyDescent="0.25">
      <c r="A3471" t="s">
        <v>3475</v>
      </c>
      <c r="B3471">
        <v>0.99352677808782597</v>
      </c>
      <c r="C3471">
        <v>0.82938829575888395</v>
      </c>
      <c r="D3471">
        <v>1.08712846232904</v>
      </c>
      <c r="E3471">
        <v>0.91368885254226395</v>
      </c>
      <c r="F3471">
        <v>1.1524841397366301</v>
      </c>
      <c r="G3471">
        <v>0.99127776979654403</v>
      </c>
      <c r="H3471">
        <v>0.93676667514600498</v>
      </c>
      <c r="I3471">
        <v>0.92607645433540597</v>
      </c>
      <c r="J3471">
        <v>0.80432585659228195</v>
      </c>
      <c r="K3471">
        <v>0.67754767601421195</v>
      </c>
      <c r="L3471">
        <v>1396.86693042262</v>
      </c>
      <c r="M3471">
        <v>20.066976523235098</v>
      </c>
      <c r="O3471">
        <v>68.930005276692597</v>
      </c>
      <c r="P3471">
        <v>-4.4510936006253998E-2</v>
      </c>
      <c r="Q3471">
        <v>0.388439918874528</v>
      </c>
      <c r="R3471">
        <v>0.59941682229764903</v>
      </c>
      <c r="S3471" t="s">
        <v>9756</v>
      </c>
      <c r="T3471" t="s">
        <v>12568</v>
      </c>
      <c r="U3471" t="s">
        <v>12568</v>
      </c>
      <c r="V3471" t="s">
        <v>12568</v>
      </c>
      <c r="W3471" t="s">
        <v>15999</v>
      </c>
      <c r="X3471">
        <v>2</v>
      </c>
      <c r="Y3471" t="s">
        <v>22128</v>
      </c>
      <c r="Z3471" t="s">
        <v>28341</v>
      </c>
      <c r="AA3471">
        <v>0.95190677448110894</v>
      </c>
      <c r="AB3471" t="str">
        <f>HYPERLINK("Melting_Curves/meltCurve_Q5T4F4_6_ZFYVE27.pdf", "Melting_Curves/meltCurve_Q5T4F4_6_ZFYVE27.pdf")</f>
        <v>Melting_Curves/meltCurve_Q5T4F4_6_ZFYVE27.pdf</v>
      </c>
    </row>
    <row r="3472" spans="1:28" x14ac:dyDescent="0.25">
      <c r="A3472" t="s">
        <v>3476</v>
      </c>
      <c r="B3472">
        <v>0.99352677808782597</v>
      </c>
      <c r="C3472">
        <v>0.94030394876468404</v>
      </c>
      <c r="D3472">
        <v>0.74925260676163397</v>
      </c>
      <c r="E3472">
        <v>0.988992147523025</v>
      </c>
      <c r="F3472">
        <v>0.73723284254104104</v>
      </c>
      <c r="G3472">
        <v>0.39284494213078103</v>
      </c>
      <c r="H3472">
        <v>0.19201643968057699</v>
      </c>
      <c r="I3472">
        <v>0.16754894597810199</v>
      </c>
      <c r="J3472">
        <v>0.14504290144274001</v>
      </c>
      <c r="K3472">
        <v>0.113141287025551</v>
      </c>
      <c r="L3472">
        <v>1267.7035912774099</v>
      </c>
      <c r="M3472">
        <v>23.020567015488901</v>
      </c>
      <c r="N3472">
        <v>55.728379602241702</v>
      </c>
      <c r="O3472">
        <v>54.657807736086198</v>
      </c>
      <c r="P3472">
        <v>-9.2731722685597401E-2</v>
      </c>
      <c r="Q3472">
        <v>0.119323508749136</v>
      </c>
      <c r="R3472">
        <v>0.94730302661194998</v>
      </c>
      <c r="S3472" t="s">
        <v>9757</v>
      </c>
      <c r="T3472" t="s">
        <v>12568</v>
      </c>
      <c r="U3472" t="s">
        <v>12568</v>
      </c>
      <c r="V3472" t="s">
        <v>12568</v>
      </c>
      <c r="W3472" t="s">
        <v>16000</v>
      </c>
      <c r="X3472">
        <v>56</v>
      </c>
      <c r="Y3472" t="s">
        <v>22129</v>
      </c>
      <c r="Z3472" t="s">
        <v>28342</v>
      </c>
      <c r="AA3472">
        <v>0.57104223568956358</v>
      </c>
      <c r="AB3472" t="str">
        <f>HYPERLINK("Melting_Curves/meltCurve_Q5T4S7_3_UBR4.pdf", "Melting_Curves/meltCurve_Q5T4S7_3_UBR4.pdf")</f>
        <v>Melting_Curves/meltCurve_Q5T4S7_3_UBR4.pdf</v>
      </c>
    </row>
    <row r="3473" spans="1:28" x14ac:dyDescent="0.25">
      <c r="A3473" t="s">
        <v>3477</v>
      </c>
      <c r="B3473">
        <v>0.99352677808782597</v>
      </c>
      <c r="C3473">
        <v>0.95438952502485397</v>
      </c>
      <c r="D3473">
        <v>0.91028947548744998</v>
      </c>
      <c r="E3473">
        <v>0.77178500358394297</v>
      </c>
      <c r="F3473">
        <v>0.67787493192690296</v>
      </c>
      <c r="G3473">
        <v>0.45504825040554597</v>
      </c>
      <c r="H3473">
        <v>0.38267392790534399</v>
      </c>
      <c r="I3473">
        <v>0.45816841788687801</v>
      </c>
      <c r="J3473">
        <v>0.465090472672269</v>
      </c>
      <c r="K3473">
        <v>0.38788283244211003</v>
      </c>
      <c r="L3473">
        <v>867.02782100213597</v>
      </c>
      <c r="M3473">
        <v>16.834768797572998</v>
      </c>
      <c r="N3473">
        <v>56.971735476945199</v>
      </c>
      <c r="O3473">
        <v>50.7919591342052</v>
      </c>
      <c r="P3473">
        <v>-4.9664101285158503E-2</v>
      </c>
      <c r="Q3473">
        <v>0.40067479643019699</v>
      </c>
      <c r="R3473">
        <v>0.97581757441276396</v>
      </c>
      <c r="S3473" t="s">
        <v>9758</v>
      </c>
      <c r="T3473" t="s">
        <v>12568</v>
      </c>
      <c r="U3473" t="s">
        <v>12568</v>
      </c>
      <c r="V3473" t="s">
        <v>12568</v>
      </c>
      <c r="W3473" t="s">
        <v>16001</v>
      </c>
      <c r="X3473">
        <v>5</v>
      </c>
      <c r="Y3473" t="s">
        <v>22130</v>
      </c>
      <c r="Z3473" t="s">
        <v>28343</v>
      </c>
      <c r="AA3473">
        <v>0.64172851081924542</v>
      </c>
      <c r="AB3473" t="str">
        <f>HYPERLINK("Melting_Curves/meltCurve_Q5T5C0_3_STXBP5.pdf", "Melting_Curves/meltCurve_Q5T5C0_3_STXBP5.pdf")</f>
        <v>Melting_Curves/meltCurve_Q5T5C0_3_STXBP5.pdf</v>
      </c>
    </row>
    <row r="3474" spans="1:28" x14ac:dyDescent="0.25">
      <c r="A3474" t="s">
        <v>3478</v>
      </c>
      <c r="B3474">
        <v>0.99352677808782597</v>
      </c>
      <c r="C3474">
        <v>0.96887592845786896</v>
      </c>
      <c r="D3474">
        <v>0.95121797206215297</v>
      </c>
      <c r="E3474">
        <v>0.78504536269143699</v>
      </c>
      <c r="F3474">
        <v>0.66996632533202605</v>
      </c>
      <c r="G3474">
        <v>0.56653645441540301</v>
      </c>
      <c r="H3474">
        <v>0.49070800440283602</v>
      </c>
      <c r="I3474">
        <v>0.50197451996410303</v>
      </c>
      <c r="J3474">
        <v>0.56782813442138402</v>
      </c>
      <c r="K3474">
        <v>0.46181780163677699</v>
      </c>
      <c r="L3474">
        <v>935.40007860490505</v>
      </c>
      <c r="M3474">
        <v>18.3472382860237</v>
      </c>
      <c r="N3474">
        <v>69.830641997971696</v>
      </c>
      <c r="O3474">
        <v>50.389065699599101</v>
      </c>
      <c r="P3474">
        <v>-4.5837796168108E-2</v>
      </c>
      <c r="Q3474">
        <v>0.49646527443023503</v>
      </c>
      <c r="R3474">
        <v>0.98233758611661304</v>
      </c>
      <c r="S3474" t="s">
        <v>9759</v>
      </c>
      <c r="T3474" t="s">
        <v>12568</v>
      </c>
      <c r="U3474" t="s">
        <v>12568</v>
      </c>
      <c r="V3474" t="s">
        <v>12568</v>
      </c>
      <c r="W3474" t="s">
        <v>16002</v>
      </c>
      <c r="X3474">
        <v>18</v>
      </c>
      <c r="Y3474" t="s">
        <v>22131</v>
      </c>
      <c r="Z3474" t="s">
        <v>28344</v>
      </c>
      <c r="AA3474">
        <v>0.68900906135922968</v>
      </c>
      <c r="AB3474" t="str">
        <f>HYPERLINK("Melting_Curves/meltCurve_Q5T5P2_3_KIAA1217.pdf", "Melting_Curves/meltCurve_Q5T5P2_3_KIAA1217.pdf")</f>
        <v>Melting_Curves/meltCurve_Q5T5P2_3_KIAA1217.pdf</v>
      </c>
    </row>
    <row r="3475" spans="1:28" x14ac:dyDescent="0.25">
      <c r="A3475" t="s">
        <v>3479</v>
      </c>
      <c r="B3475">
        <v>0.99352677808782597</v>
      </c>
      <c r="C3475">
        <v>0.96728825483348901</v>
      </c>
      <c r="D3475">
        <v>0.92098623960388004</v>
      </c>
      <c r="E3475">
        <v>0.796367234265416</v>
      </c>
      <c r="F3475">
        <v>0.70848980267158901</v>
      </c>
      <c r="G3475">
        <v>0.57740243114368905</v>
      </c>
      <c r="H3475">
        <v>0.50870420845968101</v>
      </c>
      <c r="I3475">
        <v>0.45606560384251299</v>
      </c>
      <c r="J3475">
        <v>0.38464506232673501</v>
      </c>
      <c r="K3475">
        <v>0.291553632585353</v>
      </c>
      <c r="L3475">
        <v>458.844261901366</v>
      </c>
      <c r="M3475">
        <v>7.9445439583012902</v>
      </c>
      <c r="N3475">
        <v>60.6716433612035</v>
      </c>
      <c r="O3475">
        <v>54.440555075063202</v>
      </c>
      <c r="P3475">
        <v>-3.0729092560788498E-2</v>
      </c>
      <c r="Q3475">
        <v>0.158683330369702</v>
      </c>
      <c r="R3475">
        <v>0.99182211598155701</v>
      </c>
      <c r="S3475" t="s">
        <v>9760</v>
      </c>
      <c r="T3475" t="s">
        <v>12568</v>
      </c>
      <c r="U3475" t="s">
        <v>12568</v>
      </c>
      <c r="V3475" t="s">
        <v>12568</v>
      </c>
      <c r="W3475" t="s">
        <v>16003</v>
      </c>
      <c r="X3475">
        <v>20</v>
      </c>
      <c r="Y3475" t="s">
        <v>22132</v>
      </c>
      <c r="Z3475" t="s">
        <v>28345</v>
      </c>
      <c r="AA3475">
        <v>0.66122796032608189</v>
      </c>
      <c r="AB3475" t="str">
        <f>HYPERLINK("Melting_Curves/meltCurve_Q5T5U3_ARHGAP21.pdf", "Melting_Curves/meltCurve_Q5T5U3_ARHGAP21.pdf")</f>
        <v>Melting_Curves/meltCurve_Q5T5U3_ARHGAP21.pdf</v>
      </c>
    </row>
    <row r="3476" spans="1:28" x14ac:dyDescent="0.25">
      <c r="A3476" t="s">
        <v>3480</v>
      </c>
      <c r="B3476">
        <v>0.99352677808782597</v>
      </c>
      <c r="C3476">
        <v>0.95510129014892498</v>
      </c>
      <c r="D3476">
        <v>0.972819070891074</v>
      </c>
      <c r="E3476">
        <v>0.76541052730175996</v>
      </c>
      <c r="F3476">
        <v>0.682509230128302</v>
      </c>
      <c r="G3476">
        <v>0.51783137802273005</v>
      </c>
      <c r="H3476">
        <v>0.450090504323022</v>
      </c>
      <c r="I3476">
        <v>0.45955202014632002</v>
      </c>
      <c r="J3476">
        <v>0.46138891204177401</v>
      </c>
      <c r="K3476">
        <v>0.39668501794158301</v>
      </c>
      <c r="L3476">
        <v>852.37311032711898</v>
      </c>
      <c r="M3476">
        <v>16.431945497293899</v>
      </c>
      <c r="N3476">
        <v>58.314263154688902</v>
      </c>
      <c r="O3476">
        <v>51.122938193446799</v>
      </c>
      <c r="P3476">
        <v>-4.6722902908554298E-2</v>
      </c>
      <c r="Q3476">
        <v>0.41858564447004298</v>
      </c>
      <c r="R3476">
        <v>0.988829143403403</v>
      </c>
      <c r="S3476" t="s">
        <v>9761</v>
      </c>
      <c r="T3476" t="s">
        <v>12568</v>
      </c>
      <c r="U3476" t="s">
        <v>12568</v>
      </c>
      <c r="V3476" t="s">
        <v>12568</v>
      </c>
      <c r="W3476" t="s">
        <v>16004</v>
      </c>
      <c r="X3476">
        <v>23</v>
      </c>
      <c r="Y3476" t="s">
        <v>22133</v>
      </c>
      <c r="Z3476" t="s">
        <v>28346</v>
      </c>
      <c r="AA3476">
        <v>0.65998186446834561</v>
      </c>
      <c r="AB3476" t="str">
        <f>HYPERLINK("Melting_Curves/meltCurve_Q5T5Y3_CAMSAP1.pdf", "Melting_Curves/meltCurve_Q5T5Y3_CAMSAP1.pdf")</f>
        <v>Melting_Curves/meltCurve_Q5T5Y3_CAMSAP1.pdf</v>
      </c>
    </row>
    <row r="3477" spans="1:28" x14ac:dyDescent="0.25">
      <c r="A3477" t="s">
        <v>3481</v>
      </c>
      <c r="B3477">
        <v>0.99352677808782597</v>
      </c>
      <c r="C3477">
        <v>0.94655629628453197</v>
      </c>
      <c r="D3477">
        <v>0.76513881113720705</v>
      </c>
      <c r="E3477">
        <v>0.36171010145224702</v>
      </c>
      <c r="F3477">
        <v>0.38032214010661802</v>
      </c>
      <c r="G3477">
        <v>0.19544300697429801</v>
      </c>
      <c r="H3477">
        <v>0.15124843702121299</v>
      </c>
      <c r="I3477">
        <v>0.15473474130321399</v>
      </c>
      <c r="J3477">
        <v>0.12863614208854901</v>
      </c>
      <c r="K3477">
        <v>0.12409468042875001</v>
      </c>
      <c r="L3477">
        <v>863.76451853969604</v>
      </c>
      <c r="M3477">
        <v>17.874448393014401</v>
      </c>
      <c r="N3477">
        <v>49.2171656959678</v>
      </c>
      <c r="O3477">
        <v>47.731307211559702</v>
      </c>
      <c r="P3477">
        <v>-8.0656628585458495E-2</v>
      </c>
      <c r="Q3477">
        <v>0.13851303856382299</v>
      </c>
      <c r="R3477">
        <v>0.98404193883250002</v>
      </c>
      <c r="S3477" t="s">
        <v>9762</v>
      </c>
      <c r="T3477" t="s">
        <v>12568</v>
      </c>
      <c r="U3477" t="s">
        <v>12568</v>
      </c>
      <c r="V3477" t="s">
        <v>12568</v>
      </c>
      <c r="W3477" t="s">
        <v>16005</v>
      </c>
      <c r="X3477">
        <v>1</v>
      </c>
      <c r="Y3477" t="s">
        <v>22134</v>
      </c>
      <c r="Z3477" t="s">
        <v>28347</v>
      </c>
      <c r="AA3477">
        <v>0.39291270600889039</v>
      </c>
      <c r="AB3477" t="str">
        <f>HYPERLINK("Melting_Curves/meltCurve_Q5T6F0_DCAF12.pdf", "Melting_Curves/meltCurve_Q5T6F0_DCAF12.pdf")</f>
        <v>Melting_Curves/meltCurve_Q5T6F0_DCAF12.pdf</v>
      </c>
    </row>
    <row r="3478" spans="1:28" x14ac:dyDescent="0.25">
      <c r="A3478" t="s">
        <v>3482</v>
      </c>
      <c r="B3478">
        <v>0.99352677808782597</v>
      </c>
      <c r="C3478">
        <v>1.00053614706873</v>
      </c>
      <c r="D3478">
        <v>1.0467083032139199</v>
      </c>
      <c r="E3478">
        <v>1.0296996937915099</v>
      </c>
      <c r="F3478">
        <v>0.93956006148778204</v>
      </c>
      <c r="G3478">
        <v>0.86941740193398498</v>
      </c>
      <c r="H3478">
        <v>0.838090193970074</v>
      </c>
      <c r="I3478">
        <v>0.85320696242873395</v>
      </c>
      <c r="J3478">
        <v>0.93094154101348803</v>
      </c>
      <c r="K3478">
        <v>0.80631499573761201</v>
      </c>
      <c r="L3478">
        <v>13264.837369294401</v>
      </c>
      <c r="M3478">
        <v>250</v>
      </c>
      <c r="O3478">
        <v>53.055953890442503</v>
      </c>
      <c r="P3478">
        <v>-0.165398240776162</v>
      </c>
      <c r="Q3478">
        <v>0.85959421681437698</v>
      </c>
      <c r="R3478">
        <v>0.82363705490494599</v>
      </c>
      <c r="S3478" t="s">
        <v>9763</v>
      </c>
      <c r="T3478" t="s">
        <v>12568</v>
      </c>
      <c r="U3478" t="s">
        <v>12568</v>
      </c>
      <c r="V3478" t="s">
        <v>12568</v>
      </c>
      <c r="W3478" t="s">
        <v>16006</v>
      </c>
      <c r="X3478">
        <v>16</v>
      </c>
      <c r="Y3478" t="s">
        <v>22135</v>
      </c>
      <c r="Z3478" t="s">
        <v>28348</v>
      </c>
      <c r="AA3478">
        <v>0.92072756420804969</v>
      </c>
      <c r="AB3478" t="str">
        <f>HYPERLINK("Melting_Curves/meltCurve_Q5T6F2_UBAP2.pdf", "Melting_Curves/meltCurve_Q5T6F2_UBAP2.pdf")</f>
        <v>Melting_Curves/meltCurve_Q5T6F2_UBAP2.pdf</v>
      </c>
    </row>
    <row r="3479" spans="1:28" x14ac:dyDescent="0.25">
      <c r="A3479" t="s">
        <v>3483</v>
      </c>
      <c r="B3479">
        <v>0.99352677808782597</v>
      </c>
      <c r="C3479">
        <v>0.85537931845559001</v>
      </c>
      <c r="D3479">
        <v>0.90902736048946198</v>
      </c>
      <c r="E3479">
        <v>0.246564563679353</v>
      </c>
      <c r="F3479">
        <v>0.235831996760205</v>
      </c>
      <c r="G3479">
        <v>0.145044996320598</v>
      </c>
      <c r="H3479">
        <v>0.10656115711057899</v>
      </c>
      <c r="I3479">
        <v>0.122230850370212</v>
      </c>
      <c r="J3479">
        <v>9.4823416947786301E-2</v>
      </c>
      <c r="K3479">
        <v>7.9717184493164506E-2</v>
      </c>
      <c r="L3479">
        <v>1955.10904151045</v>
      </c>
      <c r="M3479">
        <v>40.650150106094301</v>
      </c>
      <c r="N3479">
        <v>48.4325191568701</v>
      </c>
      <c r="O3479">
        <v>47.9800288214769</v>
      </c>
      <c r="P3479">
        <v>-0.18574772308450799</v>
      </c>
      <c r="Q3479">
        <v>0.123037551417886</v>
      </c>
      <c r="R3479">
        <v>0.97450667135715097</v>
      </c>
      <c r="S3479" t="s">
        <v>9764</v>
      </c>
      <c r="T3479" t="s">
        <v>12568</v>
      </c>
      <c r="U3479" t="s">
        <v>12568</v>
      </c>
      <c r="V3479" t="s">
        <v>12568</v>
      </c>
      <c r="W3479" t="s">
        <v>16007</v>
      </c>
      <c r="X3479">
        <v>5</v>
      </c>
      <c r="Y3479" t="s">
        <v>22136</v>
      </c>
      <c r="Z3479" t="s">
        <v>28349</v>
      </c>
      <c r="AA3479">
        <v>0.36252896820120323</v>
      </c>
      <c r="AB3479" t="str">
        <f>HYPERLINK("Melting_Curves/meltCurve_Q5T6J7_IDNK.pdf", "Melting_Curves/meltCurve_Q5T6J7_IDNK.pdf")</f>
        <v>Melting_Curves/meltCurve_Q5T6J7_IDNK.pdf</v>
      </c>
    </row>
    <row r="3480" spans="1:28" x14ac:dyDescent="0.25">
      <c r="A3480" t="s">
        <v>3484</v>
      </c>
      <c r="B3480">
        <v>0.99352677808782597</v>
      </c>
      <c r="C3480">
        <v>0.81626869097263099</v>
      </c>
      <c r="D3480">
        <v>0.94477379260883698</v>
      </c>
      <c r="E3480">
        <v>0.26575037384027</v>
      </c>
      <c r="F3480">
        <v>0.19685572700919499</v>
      </c>
      <c r="G3480">
        <v>8.0501398432032606E-2</v>
      </c>
      <c r="H3480">
        <v>5.1164115669336603E-2</v>
      </c>
      <c r="I3480">
        <v>4.6612566118522103E-2</v>
      </c>
      <c r="J3480">
        <v>3.8517668827050301E-2</v>
      </c>
      <c r="K3480">
        <v>2.8527912953544E-2</v>
      </c>
      <c r="L3480">
        <v>1758.5810119236801</v>
      </c>
      <c r="M3480">
        <v>36.198040637640702</v>
      </c>
      <c r="N3480">
        <v>48.755515840614898</v>
      </c>
      <c r="O3480">
        <v>48.434673884146399</v>
      </c>
      <c r="P3480">
        <v>-0.17556134147745101</v>
      </c>
      <c r="Q3480">
        <v>6.0366035917932097E-2</v>
      </c>
      <c r="R3480">
        <v>0.96849259435151802</v>
      </c>
      <c r="S3480" t="s">
        <v>9765</v>
      </c>
      <c r="T3480" t="s">
        <v>12568</v>
      </c>
      <c r="U3480" t="s">
        <v>12568</v>
      </c>
      <c r="V3480" t="s">
        <v>12568</v>
      </c>
      <c r="W3480" t="s">
        <v>16008</v>
      </c>
      <c r="X3480">
        <v>17</v>
      </c>
      <c r="Y3480" t="s">
        <v>22137</v>
      </c>
      <c r="Z3480" t="s">
        <v>28350</v>
      </c>
      <c r="AA3480">
        <v>0.33304264334630379</v>
      </c>
      <c r="AB3480" t="str">
        <f>HYPERLINK("Melting_Curves/meltCurve_Q5T6V5_C9orf64.pdf", "Melting_Curves/meltCurve_Q5T6V5_C9orf64.pdf")</f>
        <v>Melting_Curves/meltCurve_Q5T6V5_C9orf64.pdf</v>
      </c>
    </row>
    <row r="3481" spans="1:28" x14ac:dyDescent="0.25">
      <c r="A3481" t="s">
        <v>3485</v>
      </c>
      <c r="B3481">
        <v>0.99352677808782597</v>
      </c>
      <c r="C3481">
        <v>0.93310656887764398</v>
      </c>
      <c r="D3481">
        <v>0.88986644746006005</v>
      </c>
      <c r="E3481">
        <v>0.83004642379795002</v>
      </c>
      <c r="F3481">
        <v>0.76149650914978895</v>
      </c>
      <c r="G3481">
        <v>0.60683561754168602</v>
      </c>
      <c r="H3481">
        <v>0.63794138054952099</v>
      </c>
      <c r="I3481">
        <v>0.52649292401611703</v>
      </c>
      <c r="J3481">
        <v>0.423006746044018</v>
      </c>
      <c r="K3481">
        <v>0.20094230317544401</v>
      </c>
      <c r="L3481">
        <v>417.446835801247</v>
      </c>
      <c r="M3481">
        <v>6.6678059235749698</v>
      </c>
      <c r="N3481">
        <v>62.606326646209901</v>
      </c>
      <c r="O3481">
        <v>57.6950112328743</v>
      </c>
      <c r="P3481">
        <v>-2.8956442603905001E-2</v>
      </c>
      <c r="Q3481">
        <v>0</v>
      </c>
      <c r="R3481">
        <v>0.93766349409084604</v>
      </c>
      <c r="S3481" t="s">
        <v>9766</v>
      </c>
      <c r="T3481" t="s">
        <v>12568</v>
      </c>
      <c r="U3481" t="s">
        <v>12568</v>
      </c>
      <c r="V3481" t="s">
        <v>12568</v>
      </c>
      <c r="W3481" t="s">
        <v>16009</v>
      </c>
      <c r="X3481">
        <v>7</v>
      </c>
      <c r="Y3481" t="s">
        <v>22138</v>
      </c>
      <c r="Z3481" t="s">
        <v>28351</v>
      </c>
      <c r="AA3481">
        <v>0.69340244308645638</v>
      </c>
      <c r="AB3481" t="str">
        <f>HYPERLINK("Melting_Curves/meltCurve_Q5T7W0_ZNF618.pdf", "Melting_Curves/meltCurve_Q5T7W0_ZNF618.pdf")</f>
        <v>Melting_Curves/meltCurve_Q5T7W0_ZNF618.pdf</v>
      </c>
    </row>
    <row r="3482" spans="1:28" x14ac:dyDescent="0.25">
      <c r="A3482" t="s">
        <v>3486</v>
      </c>
      <c r="B3482">
        <v>0.99352677808782597</v>
      </c>
      <c r="C3482">
        <v>0.83603215080266902</v>
      </c>
      <c r="D3482">
        <v>0.99477870282038405</v>
      </c>
      <c r="E3482">
        <v>0.83112383532822898</v>
      </c>
      <c r="F3482">
        <v>0.69264147707965296</v>
      </c>
      <c r="G3482">
        <v>0.64115608517903699</v>
      </c>
      <c r="H3482">
        <v>0.553591418913991</v>
      </c>
      <c r="I3482">
        <v>0.63565431740424505</v>
      </c>
      <c r="J3482">
        <v>0.45922308095093201</v>
      </c>
      <c r="K3482">
        <v>0.41526998431928303</v>
      </c>
      <c r="L3482">
        <v>371.25256202455</v>
      </c>
      <c r="M3482">
        <v>6.2817786544788099</v>
      </c>
      <c r="N3482">
        <v>65.746591851677493</v>
      </c>
      <c r="O3482">
        <v>53.957991191309603</v>
      </c>
      <c r="P3482">
        <v>-2.2325057605420199E-2</v>
      </c>
      <c r="Q3482">
        <v>0.23504773353813499</v>
      </c>
      <c r="R3482">
        <v>0.89567591996369</v>
      </c>
      <c r="S3482" t="s">
        <v>9767</v>
      </c>
      <c r="T3482" t="s">
        <v>12568</v>
      </c>
      <c r="U3482" t="s">
        <v>12568</v>
      </c>
      <c r="V3482" t="s">
        <v>12568</v>
      </c>
      <c r="W3482" t="s">
        <v>16010</v>
      </c>
      <c r="X3482">
        <v>7</v>
      </c>
      <c r="Y3482" t="s">
        <v>22138</v>
      </c>
      <c r="Z3482" t="s">
        <v>28352</v>
      </c>
      <c r="AA3482">
        <v>0.70716938227130377</v>
      </c>
      <c r="AB3482" t="str">
        <f>HYPERLINK("Melting_Curves/meltCurve_Q5T7W0_2_ZNF618.pdf", "Melting_Curves/meltCurve_Q5T7W0_2_ZNF618.pdf")</f>
        <v>Melting_Curves/meltCurve_Q5T7W0_2_ZNF618.pdf</v>
      </c>
    </row>
    <row r="3483" spans="1:28" x14ac:dyDescent="0.25">
      <c r="A3483" t="s">
        <v>3487</v>
      </c>
      <c r="B3483">
        <v>0.99352677808782597</v>
      </c>
      <c r="C3483">
        <v>0.60588485085654997</v>
      </c>
      <c r="D3483">
        <v>0.57810073109349802</v>
      </c>
      <c r="E3483">
        <v>0.64907058570560805</v>
      </c>
      <c r="F3483">
        <v>0.769233742841676</v>
      </c>
      <c r="G3483">
        <v>1.1350553206440199</v>
      </c>
      <c r="H3483">
        <v>0.66417126779381597</v>
      </c>
      <c r="I3483">
        <v>1.0168196440878099</v>
      </c>
      <c r="J3483">
        <v>0.27806480730580002</v>
      </c>
      <c r="K3483">
        <v>0.822869534221914</v>
      </c>
      <c r="L3483">
        <v>10149.0608227375</v>
      </c>
      <c r="M3483">
        <v>250</v>
      </c>
      <c r="O3483">
        <v>40.593644852351403</v>
      </c>
      <c r="P3483">
        <v>-0.42438388079289302</v>
      </c>
      <c r="Q3483">
        <v>0.72436337999175204</v>
      </c>
      <c r="R3483">
        <v>0.11339346106352401</v>
      </c>
      <c r="S3483" t="s">
        <v>9768</v>
      </c>
      <c r="T3483" t="s">
        <v>12568</v>
      </c>
      <c r="U3483" t="s">
        <v>12568</v>
      </c>
      <c r="V3483" t="s">
        <v>12568</v>
      </c>
      <c r="W3483" t="s">
        <v>16011</v>
      </c>
      <c r="X3483">
        <v>1</v>
      </c>
      <c r="Y3483" t="s">
        <v>22139</v>
      </c>
      <c r="Z3483" t="s">
        <v>28353</v>
      </c>
      <c r="AA3483">
        <v>0.72989542490365267</v>
      </c>
      <c r="AB3483" t="str">
        <f>HYPERLINK("Melting_Curves/meltCurve_Q5T8A7_PPP1R26.pdf", "Melting_Curves/meltCurve_Q5T8A7_PPP1R26.pdf")</f>
        <v>Melting_Curves/meltCurve_Q5T8A7_PPP1R26.pdf</v>
      </c>
    </row>
    <row r="3484" spans="1:28" x14ac:dyDescent="0.25">
      <c r="A3484" t="s">
        <v>3488</v>
      </c>
      <c r="B3484">
        <v>0.99352677808782597</v>
      </c>
      <c r="C3484">
        <v>0.99561709919817698</v>
      </c>
      <c r="D3484">
        <v>1.00396075083937</v>
      </c>
      <c r="E3484">
        <v>0.90017992852277995</v>
      </c>
      <c r="F3484">
        <v>0.81140793906889497</v>
      </c>
      <c r="G3484">
        <v>0.66133811525428399</v>
      </c>
      <c r="H3484">
        <v>0.60618201916220904</v>
      </c>
      <c r="I3484">
        <v>0.67617652191668198</v>
      </c>
      <c r="J3484">
        <v>0.68006236754764804</v>
      </c>
      <c r="K3484">
        <v>0.57793932123387004</v>
      </c>
      <c r="L3484">
        <v>1318.36365765082</v>
      </c>
      <c r="M3484">
        <v>25.1103356496413</v>
      </c>
      <c r="O3484">
        <v>52.173237841487399</v>
      </c>
      <c r="P3484">
        <v>-4.4560621045996E-2</v>
      </c>
      <c r="Q3484">
        <v>0.62965989192994098</v>
      </c>
      <c r="R3484">
        <v>0.96496944858435496</v>
      </c>
      <c r="S3484" t="s">
        <v>9769</v>
      </c>
      <c r="T3484" t="s">
        <v>12568</v>
      </c>
      <c r="U3484" t="s">
        <v>12568</v>
      </c>
      <c r="V3484" t="s">
        <v>12568</v>
      </c>
      <c r="W3484" t="s">
        <v>16012</v>
      </c>
      <c r="X3484">
        <v>7</v>
      </c>
      <c r="Y3484" t="s">
        <v>22140</v>
      </c>
      <c r="Z3484" t="s">
        <v>28354</v>
      </c>
      <c r="AA3484">
        <v>0.78737136460589119</v>
      </c>
      <c r="AB3484" t="str">
        <f>HYPERLINK("Melting_Curves/meltCurve_Q5T8D3_2_ACBD5.pdf", "Melting_Curves/meltCurve_Q5T8D3_2_ACBD5.pdf")</f>
        <v>Melting_Curves/meltCurve_Q5T8D3_2_ACBD5.pdf</v>
      </c>
    </row>
    <row r="3485" spans="1:28" x14ac:dyDescent="0.25">
      <c r="A3485" t="s">
        <v>3489</v>
      </c>
      <c r="B3485">
        <v>0.99352677808782597</v>
      </c>
      <c r="C3485">
        <v>0.95811025796004501</v>
      </c>
      <c r="D3485">
        <v>0.95324654032318201</v>
      </c>
      <c r="E3485">
        <v>0.57493508644188696</v>
      </c>
      <c r="F3485">
        <v>0.49792195327703997</v>
      </c>
      <c r="G3485">
        <v>0.33771492645798401</v>
      </c>
      <c r="H3485">
        <v>0.246117869295752</v>
      </c>
      <c r="I3485">
        <v>0.23469468942746799</v>
      </c>
      <c r="J3485">
        <v>0.21482612970627299</v>
      </c>
      <c r="K3485">
        <v>0.16425585767633999</v>
      </c>
      <c r="L3485">
        <v>835.37686556794097</v>
      </c>
      <c r="M3485">
        <v>16.425369235285501</v>
      </c>
      <c r="N3485">
        <v>52.432259293613903</v>
      </c>
      <c r="O3485">
        <v>50.123013517442601</v>
      </c>
      <c r="P3485">
        <v>-6.5990159648188093E-2</v>
      </c>
      <c r="Q3485">
        <v>0.19456504157283999</v>
      </c>
      <c r="R3485">
        <v>0.985227632401102</v>
      </c>
      <c r="S3485" t="s">
        <v>9770</v>
      </c>
      <c r="T3485" t="s">
        <v>12568</v>
      </c>
      <c r="U3485" t="s">
        <v>12568</v>
      </c>
      <c r="V3485" t="s">
        <v>12568</v>
      </c>
      <c r="W3485" t="s">
        <v>16013</v>
      </c>
      <c r="X3485">
        <v>23</v>
      </c>
      <c r="Y3485" t="s">
        <v>22141</v>
      </c>
      <c r="Z3485" t="s">
        <v>28355</v>
      </c>
      <c r="AA3485">
        <v>0.50210841291726493</v>
      </c>
      <c r="AB3485" t="str">
        <f>HYPERLINK("Melting_Curves/meltCurve_Q5T8P6_2_RBM26.pdf", "Melting_Curves/meltCurve_Q5T8P6_2_RBM26.pdf")</f>
        <v>Melting_Curves/meltCurve_Q5T8P6_2_RBM26.pdf</v>
      </c>
    </row>
    <row r="3486" spans="1:28" x14ac:dyDescent="0.25">
      <c r="A3486" t="s">
        <v>3490</v>
      </c>
      <c r="B3486">
        <v>0.99352677808782597</v>
      </c>
      <c r="C3486">
        <v>1.0482115180914799</v>
      </c>
      <c r="D3486">
        <v>0.90694298429860498</v>
      </c>
      <c r="E3486">
        <v>0.87685421037261602</v>
      </c>
      <c r="F3486">
        <v>0.72823067847753398</v>
      </c>
      <c r="G3486">
        <v>0.59252967574942395</v>
      </c>
      <c r="H3486">
        <v>0.529935181201872</v>
      </c>
      <c r="I3486">
        <v>0.319562272522249</v>
      </c>
      <c r="J3486">
        <v>0.30921507934435999</v>
      </c>
      <c r="K3486">
        <v>0.19384591682831101</v>
      </c>
      <c r="L3486">
        <v>536.34413354091998</v>
      </c>
      <c r="M3486">
        <v>8.9447526228971608</v>
      </c>
      <c r="N3486">
        <v>59.961871854516197</v>
      </c>
      <c r="O3486">
        <v>57.192122664874098</v>
      </c>
      <c r="P3486">
        <v>-3.9128637662837903E-2</v>
      </c>
      <c r="Q3486">
        <v>0</v>
      </c>
      <c r="R3486">
        <v>0.98034561325415503</v>
      </c>
      <c r="S3486" t="s">
        <v>9771</v>
      </c>
      <c r="T3486" t="s">
        <v>12568</v>
      </c>
      <c r="U3486" t="s">
        <v>12568</v>
      </c>
      <c r="V3486" t="s">
        <v>12568</v>
      </c>
      <c r="W3486" t="s">
        <v>16014</v>
      </c>
      <c r="X3486">
        <v>3</v>
      </c>
      <c r="Y3486" t="s">
        <v>22142</v>
      </c>
      <c r="Z3486" t="s">
        <v>28356</v>
      </c>
      <c r="AA3486">
        <v>0.65662239031818648</v>
      </c>
      <c r="AB3486" t="str">
        <f>HYPERLINK("Melting_Curves/meltCurve_Q5T985_ITIH2.pdf", "Melting_Curves/meltCurve_Q5T985_ITIH2.pdf")</f>
        <v>Melting_Curves/meltCurve_Q5T985_ITIH2.pdf</v>
      </c>
    </row>
    <row r="3487" spans="1:28" x14ac:dyDescent="0.25">
      <c r="A3487" t="s">
        <v>3491</v>
      </c>
      <c r="B3487">
        <v>0.99352677808782597</v>
      </c>
      <c r="C3487">
        <v>0.81410998936032497</v>
      </c>
      <c r="D3487">
        <v>0.859667203510874</v>
      </c>
      <c r="E3487">
        <v>0.43680270486258999</v>
      </c>
      <c r="F3487">
        <v>0.35627699799750501</v>
      </c>
      <c r="G3487">
        <v>0.18118279948966201</v>
      </c>
      <c r="H3487">
        <v>8.6480866851413998E-2</v>
      </c>
      <c r="I3487">
        <v>8.7901686821991495E-2</v>
      </c>
      <c r="J3487">
        <v>7.5590284242024103E-2</v>
      </c>
      <c r="K3487">
        <v>8.1968442727274299E-2</v>
      </c>
      <c r="L3487">
        <v>719.60690419067805</v>
      </c>
      <c r="M3487">
        <v>14.511924595884601</v>
      </c>
      <c r="N3487">
        <v>49.9776089621691</v>
      </c>
      <c r="O3487">
        <v>48.674207787616197</v>
      </c>
      <c r="P3487">
        <v>-7.0550798358883796E-2</v>
      </c>
      <c r="Q3487">
        <v>5.35758097235026E-2</v>
      </c>
      <c r="R3487">
        <v>0.97981768705190497</v>
      </c>
      <c r="S3487" t="s">
        <v>9772</v>
      </c>
      <c r="T3487" t="s">
        <v>12568</v>
      </c>
      <c r="U3487" t="s">
        <v>12568</v>
      </c>
      <c r="V3487" t="s">
        <v>12568</v>
      </c>
      <c r="W3487" t="s">
        <v>16015</v>
      </c>
      <c r="X3487">
        <v>1</v>
      </c>
      <c r="Y3487" t="s">
        <v>22143</v>
      </c>
      <c r="Z3487" t="s">
        <v>28357</v>
      </c>
      <c r="AA3487">
        <v>0.38031504127063598</v>
      </c>
      <c r="AB3487" t="str">
        <f>HYPERLINK("Melting_Curves/meltCurve_Q5T9C2_2_FAM102A.pdf", "Melting_Curves/meltCurve_Q5T9C2_2_FAM102A.pdf")</f>
        <v>Melting_Curves/meltCurve_Q5T9C2_2_FAM102A.pdf</v>
      </c>
    </row>
    <row r="3488" spans="1:28" x14ac:dyDescent="0.25">
      <c r="A3488" t="s">
        <v>3492</v>
      </c>
      <c r="B3488">
        <v>0.99352677808782597</v>
      </c>
      <c r="C3488">
        <v>0.89624623953544302</v>
      </c>
      <c r="D3488">
        <v>0.79771364700964098</v>
      </c>
      <c r="E3488">
        <v>0.63078262031378796</v>
      </c>
      <c r="F3488">
        <v>0.52847448367215</v>
      </c>
      <c r="G3488">
        <v>0.53859239355406496</v>
      </c>
      <c r="H3488">
        <v>0.44578725578599598</v>
      </c>
      <c r="I3488">
        <v>0.46075208649072602</v>
      </c>
      <c r="J3488">
        <v>0.36902865176780603</v>
      </c>
      <c r="K3488">
        <v>0.35805524390834398</v>
      </c>
      <c r="L3488">
        <v>554.48947325148902</v>
      </c>
      <c r="M3488">
        <v>11.318119986962</v>
      </c>
      <c r="N3488">
        <v>55.812076963327897</v>
      </c>
      <c r="O3488">
        <v>47.5366482090365</v>
      </c>
      <c r="P3488">
        <v>-3.7236398077107297E-2</v>
      </c>
      <c r="Q3488">
        <v>0.37461038121278301</v>
      </c>
      <c r="R3488">
        <v>0.97524672781377497</v>
      </c>
      <c r="S3488" t="s">
        <v>9773</v>
      </c>
      <c r="T3488" t="s">
        <v>12568</v>
      </c>
      <c r="U3488" t="s">
        <v>12568</v>
      </c>
      <c r="V3488" t="s">
        <v>12568</v>
      </c>
      <c r="W3488" t="s">
        <v>16016</v>
      </c>
      <c r="X3488">
        <v>1</v>
      </c>
      <c r="Y3488" t="s">
        <v>22144</v>
      </c>
      <c r="Z3488" t="s">
        <v>28358</v>
      </c>
      <c r="AA3488">
        <v>0.58735361678172926</v>
      </c>
      <c r="AB3488" t="str">
        <f>HYPERLINK("Melting_Curves/meltCurve_Q5T9S5_2_CCDC18.pdf", "Melting_Curves/meltCurve_Q5T9S5_2_CCDC18.pdf")</f>
        <v>Melting_Curves/meltCurve_Q5T9S5_2_CCDC18.pdf</v>
      </c>
    </row>
    <row r="3489" spans="1:28" x14ac:dyDescent="0.25">
      <c r="A3489" t="s">
        <v>3493</v>
      </c>
      <c r="B3489">
        <v>0.99352677808782597</v>
      </c>
      <c r="C3489">
        <v>0.95274866168031003</v>
      </c>
      <c r="D3489">
        <v>0.82010292723039602</v>
      </c>
      <c r="E3489">
        <v>0.95534238269476002</v>
      </c>
      <c r="F3489">
        <v>0.94541952547241204</v>
      </c>
      <c r="G3489">
        <v>0.79548172058699795</v>
      </c>
      <c r="H3489">
        <v>1.13354160289751</v>
      </c>
      <c r="I3489">
        <v>0.89082161230312795</v>
      </c>
      <c r="J3489">
        <v>0.63426283574653797</v>
      </c>
      <c r="K3489">
        <v>0.26113144286794798</v>
      </c>
      <c r="L3489">
        <v>2955.1033657897901</v>
      </c>
      <c r="M3489">
        <v>43.770720097355202</v>
      </c>
      <c r="N3489">
        <v>67.885736767678097</v>
      </c>
      <c r="O3489">
        <v>67.372779621331105</v>
      </c>
      <c r="P3489">
        <v>-0.145082164480418</v>
      </c>
      <c r="Q3489">
        <v>0.10674767214148</v>
      </c>
      <c r="R3489">
        <v>0.80591903726866798</v>
      </c>
      <c r="S3489" t="s">
        <v>9774</v>
      </c>
      <c r="T3489" t="s">
        <v>12568</v>
      </c>
      <c r="U3489" t="s">
        <v>12568</v>
      </c>
      <c r="V3489" t="s">
        <v>12568</v>
      </c>
      <c r="W3489" t="s">
        <v>16017</v>
      </c>
      <c r="X3489">
        <v>19</v>
      </c>
      <c r="Y3489" t="s">
        <v>21336</v>
      </c>
      <c r="Z3489" t="s">
        <v>28359</v>
      </c>
      <c r="AA3489">
        <v>0.9194656988143568</v>
      </c>
      <c r="AB3489" t="str">
        <f>HYPERLINK("Melting_Curves/meltCurve_Q5TA02_GSTO1.pdf", "Melting_Curves/meltCurve_Q5TA02_GSTO1.pdf")</f>
        <v>Melting_Curves/meltCurve_Q5TA02_GSTO1.pdf</v>
      </c>
    </row>
    <row r="3490" spans="1:28" x14ac:dyDescent="0.25">
      <c r="A3490" t="s">
        <v>3494</v>
      </c>
      <c r="B3490">
        <v>0.99352677808782597</v>
      </c>
      <c r="C3490">
        <v>1.0275805282397401</v>
      </c>
      <c r="D3490">
        <v>0.94261141872457899</v>
      </c>
      <c r="E3490">
        <v>0.81680354809841105</v>
      </c>
      <c r="F3490">
        <v>0.74494252471198996</v>
      </c>
      <c r="G3490">
        <v>0.48782400085582101</v>
      </c>
      <c r="H3490">
        <v>0.24125712817414299</v>
      </c>
      <c r="I3490">
        <v>0.109914486221708</v>
      </c>
      <c r="J3490">
        <v>8.5721529336583502E-2</v>
      </c>
      <c r="K3490">
        <v>4.6529249765690998E-2</v>
      </c>
      <c r="L3490">
        <v>840.68287934562704</v>
      </c>
      <c r="M3490">
        <v>14.9103924852555</v>
      </c>
      <c r="N3490">
        <v>56.382332420934503</v>
      </c>
      <c r="O3490">
        <v>55.3973020452665</v>
      </c>
      <c r="P3490">
        <v>-6.7295387019703196E-2</v>
      </c>
      <c r="Q3490">
        <v>0</v>
      </c>
      <c r="R3490">
        <v>0.99488761661795799</v>
      </c>
      <c r="S3490" t="s">
        <v>9775</v>
      </c>
      <c r="T3490" t="s">
        <v>12568</v>
      </c>
      <c r="U3490" t="s">
        <v>12568</v>
      </c>
      <c r="V3490" t="s">
        <v>12568</v>
      </c>
      <c r="W3490" t="s">
        <v>16018</v>
      </c>
      <c r="X3490">
        <v>1</v>
      </c>
      <c r="Y3490" t="s">
        <v>22145</v>
      </c>
      <c r="Z3490" t="s">
        <v>28360</v>
      </c>
      <c r="AA3490">
        <v>0.56321105183542841</v>
      </c>
      <c r="AB3490" t="str">
        <f>HYPERLINK("Melting_Curves/meltCurve_Q5TA04_WDR96.pdf", "Melting_Curves/meltCurve_Q5TA04_WDR96.pdf")</f>
        <v>Melting_Curves/meltCurve_Q5TA04_WDR96.pdf</v>
      </c>
    </row>
    <row r="3491" spans="1:28" x14ac:dyDescent="0.25">
      <c r="A3491" t="s">
        <v>3495</v>
      </c>
      <c r="B3491">
        <v>0.99352677808782597</v>
      </c>
      <c r="C3491">
        <v>0.99233179403580296</v>
      </c>
      <c r="D3491">
        <v>0.84741946045078098</v>
      </c>
      <c r="E3491">
        <v>0.84162389589811504</v>
      </c>
      <c r="F3491">
        <v>0.74706072820848801</v>
      </c>
      <c r="G3491">
        <v>0.54753985951559803</v>
      </c>
      <c r="H3491">
        <v>0.48826687356072102</v>
      </c>
      <c r="I3491">
        <v>0.54397364372451595</v>
      </c>
      <c r="J3491">
        <v>0.54232617277788797</v>
      </c>
      <c r="K3491">
        <v>0.436513917491684</v>
      </c>
      <c r="L3491">
        <v>660.67145304171504</v>
      </c>
      <c r="M3491">
        <v>12.6145317224222</v>
      </c>
      <c r="N3491">
        <v>64.606576007911698</v>
      </c>
      <c r="O3491">
        <v>51.109924276137399</v>
      </c>
      <c r="P3491">
        <v>-3.3689433594925003E-2</v>
      </c>
      <c r="Q3491">
        <v>0.454114437267018</v>
      </c>
      <c r="R3491">
        <v>0.95186945885871799</v>
      </c>
      <c r="S3491" t="s">
        <v>9776</v>
      </c>
      <c r="T3491" t="s">
        <v>12568</v>
      </c>
      <c r="U3491" t="s">
        <v>12568</v>
      </c>
      <c r="V3491" t="s">
        <v>12568</v>
      </c>
      <c r="W3491" t="s">
        <v>16019</v>
      </c>
      <c r="X3491">
        <v>4</v>
      </c>
      <c r="Y3491" t="s">
        <v>22146</v>
      </c>
      <c r="Z3491" t="s">
        <v>28361</v>
      </c>
      <c r="AA3491">
        <v>0.69456532052397135</v>
      </c>
      <c r="AB3491" t="str">
        <f>HYPERLINK("Melting_Curves/meltCurve_Q5TA31_RNF187.pdf", "Melting_Curves/meltCurve_Q5TA31_RNF187.pdf")</f>
        <v>Melting_Curves/meltCurve_Q5TA31_RNF187.pdf</v>
      </c>
    </row>
    <row r="3492" spans="1:28" x14ac:dyDescent="0.25">
      <c r="A3492" t="s">
        <v>3496</v>
      </c>
      <c r="B3492">
        <v>0.99352677808782597</v>
      </c>
      <c r="C3492">
        <v>0.91441948518833305</v>
      </c>
      <c r="D3492">
        <v>0.82249801107590104</v>
      </c>
      <c r="E3492">
        <v>0.46408670394503798</v>
      </c>
      <c r="F3492">
        <v>0.39599867187405302</v>
      </c>
      <c r="G3492">
        <v>0.23265908060240501</v>
      </c>
      <c r="H3492">
        <v>0.130432049454377</v>
      </c>
      <c r="I3492">
        <v>0.112212885981401</v>
      </c>
      <c r="J3492">
        <v>8.0979521980387006E-2</v>
      </c>
      <c r="K3492">
        <v>6.2909422604379706E-2</v>
      </c>
      <c r="L3492">
        <v>689.237202334725</v>
      </c>
      <c r="M3492">
        <v>13.763912664224399</v>
      </c>
      <c r="N3492">
        <v>50.546697985325302</v>
      </c>
      <c r="O3492">
        <v>49.054123827083103</v>
      </c>
      <c r="P3492">
        <v>-6.5933918811997796E-2</v>
      </c>
      <c r="Q3492">
        <v>6.0187790441812598E-2</v>
      </c>
      <c r="R3492">
        <v>0.99237356789036801</v>
      </c>
      <c r="S3492" t="s">
        <v>9777</v>
      </c>
      <c r="T3492" t="s">
        <v>12568</v>
      </c>
      <c r="U3492" t="s">
        <v>12568</v>
      </c>
      <c r="V3492" t="s">
        <v>12568</v>
      </c>
      <c r="W3492" t="s">
        <v>16020</v>
      </c>
      <c r="X3492">
        <v>1</v>
      </c>
      <c r="Y3492" t="s">
        <v>22147</v>
      </c>
      <c r="Z3492" t="s">
        <v>28362</v>
      </c>
      <c r="AA3492">
        <v>0.40176210268725082</v>
      </c>
      <c r="AB3492" t="str">
        <f>HYPERLINK("Melting_Curves/meltCurve_Q5TA45_2_CPSF3L.pdf", "Melting_Curves/meltCurve_Q5TA45_2_CPSF3L.pdf")</f>
        <v>Melting_Curves/meltCurve_Q5TA45_2_CPSF3L.pdf</v>
      </c>
    </row>
    <row r="3493" spans="1:28" x14ac:dyDescent="0.25">
      <c r="A3493" t="s">
        <v>3497</v>
      </c>
      <c r="B3493">
        <v>0.99352677808782597</v>
      </c>
      <c r="C3493">
        <v>0.97400686805908498</v>
      </c>
      <c r="D3493">
        <v>0.95445393981237703</v>
      </c>
      <c r="E3493">
        <v>0.237632678526778</v>
      </c>
      <c r="F3493">
        <v>0.18016272638644101</v>
      </c>
      <c r="G3493">
        <v>0.13471985102812301</v>
      </c>
      <c r="H3493">
        <v>9.5994072538343994E-2</v>
      </c>
      <c r="I3493">
        <v>9.8542379443592495E-2</v>
      </c>
      <c r="J3493">
        <v>9.5943009353834804E-2</v>
      </c>
      <c r="K3493">
        <v>7.7190134588847797E-2</v>
      </c>
      <c r="L3493">
        <v>2576.1734305558698</v>
      </c>
      <c r="M3493">
        <v>53.250915417642602</v>
      </c>
      <c r="N3493">
        <v>48.607585111825998</v>
      </c>
      <c r="O3493">
        <v>48.309929944144301</v>
      </c>
      <c r="P3493">
        <v>-0.244930310186738</v>
      </c>
      <c r="Q3493">
        <v>0.111184611884603</v>
      </c>
      <c r="R3493">
        <v>0.99552384617454104</v>
      </c>
      <c r="S3493" t="s">
        <v>9778</v>
      </c>
      <c r="T3493" t="s">
        <v>12568</v>
      </c>
      <c r="U3493" t="s">
        <v>12568</v>
      </c>
      <c r="V3493" t="s">
        <v>12568</v>
      </c>
      <c r="W3493" t="s">
        <v>16021</v>
      </c>
      <c r="X3493">
        <v>1</v>
      </c>
      <c r="Y3493" t="s">
        <v>22148</v>
      </c>
      <c r="Z3493" t="s">
        <v>28363</v>
      </c>
      <c r="AA3493">
        <v>0.36107281325733531</v>
      </c>
      <c r="AB3493" t="str">
        <f>HYPERLINK("Melting_Curves/meltCurve_Q5TA50_GLTPD1.pdf", "Melting_Curves/meltCurve_Q5TA50_GLTPD1.pdf")</f>
        <v>Melting_Curves/meltCurve_Q5TA50_GLTPD1.pdf</v>
      </c>
    </row>
    <row r="3494" spans="1:28" x14ac:dyDescent="0.25">
      <c r="A3494" t="s">
        <v>3498</v>
      </c>
      <c r="B3494">
        <v>0.99352677808782597</v>
      </c>
      <c r="C3494">
        <v>0.87436675796423202</v>
      </c>
      <c r="D3494">
        <v>0.815849957873655</v>
      </c>
      <c r="E3494">
        <v>0.74279264089910402</v>
      </c>
      <c r="F3494">
        <v>0.64220550197682902</v>
      </c>
      <c r="G3494">
        <v>0.51255257217482497</v>
      </c>
      <c r="H3494">
        <v>0.53902046420926897</v>
      </c>
      <c r="I3494">
        <v>0.51833493895188099</v>
      </c>
      <c r="J3494">
        <v>0.60031375842615597</v>
      </c>
      <c r="K3494">
        <v>0.37160945451570498</v>
      </c>
      <c r="L3494">
        <v>490.01173523048402</v>
      </c>
      <c r="M3494">
        <v>9.8689169509423493</v>
      </c>
      <c r="N3494">
        <v>64.357411216392094</v>
      </c>
      <c r="O3494">
        <v>47.742264611735202</v>
      </c>
      <c r="P3494">
        <v>-2.85634731923349E-2</v>
      </c>
      <c r="Q3494">
        <v>0.447563423902609</v>
      </c>
      <c r="R3494">
        <v>0.90672146280380395</v>
      </c>
      <c r="S3494" t="s">
        <v>9779</v>
      </c>
      <c r="T3494" t="s">
        <v>12568</v>
      </c>
      <c r="U3494" t="s">
        <v>12568</v>
      </c>
      <c r="V3494" t="s">
        <v>12568</v>
      </c>
      <c r="W3494" t="s">
        <v>16022</v>
      </c>
      <c r="X3494">
        <v>12</v>
      </c>
      <c r="Y3494" t="s">
        <v>22149</v>
      </c>
      <c r="Z3494" t="s">
        <v>28364</v>
      </c>
      <c r="AA3494">
        <v>0.65145923300672004</v>
      </c>
      <c r="AB3494" t="str">
        <f>HYPERLINK("Melting_Curves/meltCurve_Q5TA58_AGO1.pdf", "Melting_Curves/meltCurve_Q5TA58_AGO1.pdf")</f>
        <v>Melting_Curves/meltCurve_Q5TA58_AGO1.pdf</v>
      </c>
    </row>
    <row r="3495" spans="1:28" x14ac:dyDescent="0.25">
      <c r="A3495" t="s">
        <v>3499</v>
      </c>
      <c r="B3495">
        <v>0.99352677808782597</v>
      </c>
      <c r="C3495">
        <v>0.96453315123940297</v>
      </c>
      <c r="D3495">
        <v>0.98567838918773598</v>
      </c>
      <c r="E3495">
        <v>0.93072758460257199</v>
      </c>
      <c r="F3495">
        <v>0.88209925330139305</v>
      </c>
      <c r="G3495">
        <v>0.73252655568942304</v>
      </c>
      <c r="H3495">
        <v>0.49804334370109699</v>
      </c>
      <c r="I3495">
        <v>0.43991818473591199</v>
      </c>
      <c r="J3495">
        <v>0.45892507185461401</v>
      </c>
      <c r="K3495">
        <v>0.49585497334351702</v>
      </c>
      <c r="L3495">
        <v>1259.85023349063</v>
      </c>
      <c r="M3495">
        <v>22.3182960355104</v>
      </c>
      <c r="N3495">
        <v>62.491133061448302</v>
      </c>
      <c r="O3495">
        <v>56.001885288869303</v>
      </c>
      <c r="P3495">
        <v>-5.5574641256516302E-2</v>
      </c>
      <c r="Q3495">
        <v>0.44221215031827499</v>
      </c>
      <c r="R3495">
        <v>0.981471826996137</v>
      </c>
      <c r="S3495" t="s">
        <v>9780</v>
      </c>
      <c r="T3495" t="s">
        <v>12568</v>
      </c>
      <c r="U3495" t="s">
        <v>12568</v>
      </c>
      <c r="V3495" t="s">
        <v>12568</v>
      </c>
      <c r="W3495" t="s">
        <v>16023</v>
      </c>
      <c r="X3495">
        <v>1</v>
      </c>
      <c r="Y3495" t="s">
        <v>22150</v>
      </c>
      <c r="Z3495" t="s">
        <v>28365</v>
      </c>
      <c r="AA3495">
        <v>0.75410662658988981</v>
      </c>
      <c r="AB3495" t="str">
        <f>HYPERLINK("Melting_Curves/meltCurve_Q5TAQ0_MNF1.pdf", "Melting_Curves/meltCurve_Q5TAQ0_MNF1.pdf")</f>
        <v>Melting_Curves/meltCurve_Q5TAQ0_MNF1.pdf</v>
      </c>
    </row>
    <row r="3496" spans="1:28" x14ac:dyDescent="0.25">
      <c r="A3496" t="s">
        <v>3500</v>
      </c>
      <c r="B3496">
        <v>0.99352677808782597</v>
      </c>
      <c r="C3496">
        <v>0.89957252813660804</v>
      </c>
      <c r="D3496">
        <v>0.84900703924267595</v>
      </c>
      <c r="E3496">
        <v>0.72757119034792395</v>
      </c>
      <c r="F3496">
        <v>0.66583666753475601</v>
      </c>
      <c r="G3496">
        <v>0.63906942065747596</v>
      </c>
      <c r="H3496">
        <v>0.565273879005185</v>
      </c>
      <c r="I3496">
        <v>0.62974204136003298</v>
      </c>
      <c r="J3496">
        <v>0.60078598588475296</v>
      </c>
      <c r="K3496">
        <v>0.55091974729874904</v>
      </c>
      <c r="L3496">
        <v>611.76088075657105</v>
      </c>
      <c r="M3496">
        <v>12.782350138362601</v>
      </c>
      <c r="O3496">
        <v>46.733798849969901</v>
      </c>
      <c r="P3496">
        <v>-2.9105141421976299E-2</v>
      </c>
      <c r="Q3496">
        <v>0.57443279455977003</v>
      </c>
      <c r="R3496">
        <v>0.97411950558466098</v>
      </c>
      <c r="S3496" t="s">
        <v>9781</v>
      </c>
      <c r="T3496" t="s">
        <v>12568</v>
      </c>
      <c r="U3496" t="s">
        <v>12568</v>
      </c>
      <c r="V3496" t="s">
        <v>12568</v>
      </c>
      <c r="W3496" t="s">
        <v>16024</v>
      </c>
      <c r="X3496">
        <v>9</v>
      </c>
      <c r="Y3496" t="s">
        <v>22151</v>
      </c>
      <c r="Z3496" t="s">
        <v>28366</v>
      </c>
      <c r="AA3496">
        <v>0.70092188685545265</v>
      </c>
      <c r="AB3496" t="str">
        <f>HYPERLINK("Melting_Curves/meltCurve_Q5TAX3_ZCCHC11.pdf", "Melting_Curves/meltCurve_Q5TAX3_ZCCHC11.pdf")</f>
        <v>Melting_Curves/meltCurve_Q5TAX3_ZCCHC11.pdf</v>
      </c>
    </row>
    <row r="3497" spans="1:28" x14ac:dyDescent="0.25">
      <c r="A3497" t="s">
        <v>3501</v>
      </c>
      <c r="B3497">
        <v>0.99352677808782597</v>
      </c>
      <c r="C3497">
        <v>0.79081699997288601</v>
      </c>
      <c r="D3497">
        <v>0.45744551719700999</v>
      </c>
      <c r="E3497">
        <v>0.20636454448798</v>
      </c>
      <c r="F3497">
        <v>0.152138355133843</v>
      </c>
      <c r="G3497">
        <v>0.100108318479267</v>
      </c>
      <c r="H3497">
        <v>7.5030380611079805E-2</v>
      </c>
      <c r="I3497">
        <v>7.3145609866537495E-2</v>
      </c>
      <c r="J3497">
        <v>5.99784125501929E-2</v>
      </c>
      <c r="K3497">
        <v>5.5066555481646601E-2</v>
      </c>
      <c r="L3497">
        <v>953.00555428213499</v>
      </c>
      <c r="M3497">
        <v>20.976038959691301</v>
      </c>
      <c r="N3497">
        <v>45.787947768861599</v>
      </c>
      <c r="O3497">
        <v>45.026190341255003</v>
      </c>
      <c r="P3497">
        <v>-0.107730736153917</v>
      </c>
      <c r="Q3497">
        <v>7.5026112217235E-2</v>
      </c>
      <c r="R3497">
        <v>0.99566783838726602</v>
      </c>
      <c r="S3497" t="s">
        <v>9782</v>
      </c>
      <c r="T3497" t="s">
        <v>12568</v>
      </c>
      <c r="U3497" t="s">
        <v>12568</v>
      </c>
      <c r="V3497" t="s">
        <v>12568</v>
      </c>
      <c r="W3497" t="s">
        <v>16025</v>
      </c>
      <c r="X3497">
        <v>6</v>
      </c>
      <c r="Y3497" t="s">
        <v>22152</v>
      </c>
      <c r="Z3497" t="s">
        <v>28367</v>
      </c>
      <c r="AA3497">
        <v>0.25594288459698178</v>
      </c>
      <c r="AB3497" t="str">
        <f>HYPERLINK("Melting_Curves/meltCurve_Q5TBB1_RNASEH2B.pdf", "Melting_Curves/meltCurve_Q5TBB1_RNASEH2B.pdf")</f>
        <v>Melting_Curves/meltCurve_Q5TBB1_RNASEH2B.pdf</v>
      </c>
    </row>
    <row r="3498" spans="1:28" x14ac:dyDescent="0.25">
      <c r="A3498" t="s">
        <v>3502</v>
      </c>
      <c r="B3498">
        <v>0.99352677808782597</v>
      </c>
      <c r="C3498">
        <v>0.98548947339096105</v>
      </c>
      <c r="D3498">
        <v>1.0279940517762201</v>
      </c>
      <c r="E3498">
        <v>0.905452265735745</v>
      </c>
      <c r="F3498">
        <v>0.86948439621042095</v>
      </c>
      <c r="G3498">
        <v>0.76288527103202197</v>
      </c>
      <c r="H3498">
        <v>0.63561064231752495</v>
      </c>
      <c r="I3498">
        <v>0.60572624292546695</v>
      </c>
      <c r="J3498">
        <v>0.46843709399025502</v>
      </c>
      <c r="K3498">
        <v>0.33033042069556601</v>
      </c>
      <c r="L3498">
        <v>549.84811132909704</v>
      </c>
      <c r="M3498">
        <v>8.3873262880742008</v>
      </c>
      <c r="N3498">
        <v>65.557017898464395</v>
      </c>
      <c r="O3498">
        <v>62.148119265416199</v>
      </c>
      <c r="P3498">
        <v>-3.3771233628898799E-2</v>
      </c>
      <c r="Q3498">
        <v>0</v>
      </c>
      <c r="R3498">
        <v>0.98238379859548697</v>
      </c>
      <c r="S3498" t="s">
        <v>9783</v>
      </c>
      <c r="T3498" t="s">
        <v>12568</v>
      </c>
      <c r="U3498" t="s">
        <v>12568</v>
      </c>
      <c r="V3498" t="s">
        <v>12568</v>
      </c>
      <c r="W3498" t="s">
        <v>16026</v>
      </c>
      <c r="X3498">
        <v>1</v>
      </c>
      <c r="Y3498" t="s">
        <v>22153</v>
      </c>
      <c r="Z3498" t="s">
        <v>28368</v>
      </c>
      <c r="AA3498">
        <v>0.7732519185918646</v>
      </c>
      <c r="AB3498" t="str">
        <f>HYPERLINK("Melting_Curves/meltCurve_Q5TBC7_BCL2L15.pdf", "Melting_Curves/meltCurve_Q5TBC7_BCL2L15.pdf")</f>
        <v>Melting_Curves/meltCurve_Q5TBC7_BCL2L15.pdf</v>
      </c>
    </row>
    <row r="3499" spans="1:28" x14ac:dyDescent="0.25">
      <c r="A3499" t="s">
        <v>3503</v>
      </c>
      <c r="B3499">
        <v>0.99352677808782597</v>
      </c>
      <c r="C3499">
        <v>0.92770338254361995</v>
      </c>
      <c r="D3499">
        <v>1.01757813589747</v>
      </c>
      <c r="E3499">
        <v>0.76602982390337604</v>
      </c>
      <c r="F3499">
        <v>0.81708467677628804</v>
      </c>
      <c r="G3499">
        <v>0.701106150483923</v>
      </c>
      <c r="H3499">
        <v>0.59885187465392098</v>
      </c>
      <c r="I3499">
        <v>0.75906372724890503</v>
      </c>
      <c r="J3499">
        <v>0.66638543792109295</v>
      </c>
      <c r="K3499">
        <v>0.65216569157250204</v>
      </c>
      <c r="L3499">
        <v>918.42477955300296</v>
      </c>
      <c r="M3499">
        <v>18.3367058072728</v>
      </c>
      <c r="O3499">
        <v>49.502386867929097</v>
      </c>
      <c r="P3499">
        <v>-3.0708998399700201E-2</v>
      </c>
      <c r="Q3499">
        <v>0.66840307628390705</v>
      </c>
      <c r="R3499">
        <v>0.83802306235961899</v>
      </c>
      <c r="S3499" t="s">
        <v>9784</v>
      </c>
      <c r="T3499" t="s">
        <v>12568</v>
      </c>
      <c r="U3499" t="s">
        <v>12568</v>
      </c>
      <c r="V3499" t="s">
        <v>12568</v>
      </c>
      <c r="W3499" t="s">
        <v>16027</v>
      </c>
      <c r="X3499">
        <v>2</v>
      </c>
      <c r="Y3499" t="s">
        <v>22154</v>
      </c>
      <c r="Z3499" t="s">
        <v>28369</v>
      </c>
      <c r="AA3499">
        <v>0.7853470595064036</v>
      </c>
      <c r="AB3499" t="str">
        <f>HYPERLINK("Melting_Curves/meltCurve_Q5TBI2_C1orf131.pdf", "Melting_Curves/meltCurve_Q5TBI2_C1orf131.pdf")</f>
        <v>Melting_Curves/meltCurve_Q5TBI2_C1orf131.pdf</v>
      </c>
    </row>
    <row r="3500" spans="1:28" x14ac:dyDescent="0.25">
      <c r="A3500" t="s">
        <v>3504</v>
      </c>
      <c r="B3500">
        <v>0.99352677808782597</v>
      </c>
      <c r="C3500">
        <v>1.01580178516062</v>
      </c>
      <c r="D3500">
        <v>0.98544253992421205</v>
      </c>
      <c r="E3500">
        <v>0.92583719732018199</v>
      </c>
      <c r="F3500">
        <v>0.826423426482779</v>
      </c>
      <c r="G3500">
        <v>0.70529054852267403</v>
      </c>
      <c r="H3500">
        <v>0.41471626252780103</v>
      </c>
      <c r="I3500">
        <v>0.205807637110931</v>
      </c>
      <c r="J3500">
        <v>8.0738978766445604E-2</v>
      </c>
      <c r="K3500">
        <v>5.8866431671835799E-2</v>
      </c>
      <c r="L3500">
        <v>1016.73119642162</v>
      </c>
      <c r="M3500">
        <v>17.137957266323699</v>
      </c>
      <c r="N3500">
        <v>59.326277118322302</v>
      </c>
      <c r="O3500">
        <v>58.536190627425199</v>
      </c>
      <c r="P3500">
        <v>-7.3198233855914493E-2</v>
      </c>
      <c r="Q3500">
        <v>0</v>
      </c>
      <c r="R3500">
        <v>0.99313467594877602</v>
      </c>
      <c r="S3500" t="s">
        <v>9785</v>
      </c>
      <c r="T3500" t="s">
        <v>12568</v>
      </c>
      <c r="U3500" t="s">
        <v>12568</v>
      </c>
      <c r="V3500" t="s">
        <v>12568</v>
      </c>
      <c r="W3500" t="s">
        <v>16028</v>
      </c>
      <c r="X3500">
        <v>5</v>
      </c>
      <c r="Y3500" t="s">
        <v>22155</v>
      </c>
      <c r="Z3500" t="s">
        <v>28370</v>
      </c>
      <c r="AA3500">
        <v>0.65411779431929373</v>
      </c>
      <c r="AB3500" t="str">
        <f>HYPERLINK("Melting_Curves/meltCurve_Q5TC12_ATPAF1.pdf", "Melting_Curves/meltCurve_Q5TC12_ATPAF1.pdf")</f>
        <v>Melting_Curves/meltCurve_Q5TC12_ATPAF1.pdf</v>
      </c>
    </row>
    <row r="3501" spans="1:28" x14ac:dyDescent="0.25">
      <c r="A3501" t="s">
        <v>3505</v>
      </c>
      <c r="B3501">
        <v>0.99352677808782597</v>
      </c>
      <c r="C3501">
        <v>1.10064004459495</v>
      </c>
      <c r="D3501">
        <v>0.86475901582749004</v>
      </c>
      <c r="E3501">
        <v>0.78169171316411401</v>
      </c>
      <c r="F3501">
        <v>0.37937974879902497</v>
      </c>
      <c r="G3501">
        <v>0.220128702433595</v>
      </c>
      <c r="H3501">
        <v>0.42341903235231498</v>
      </c>
      <c r="I3501">
        <v>0.551905377960906</v>
      </c>
      <c r="J3501">
        <v>0.43254490944164198</v>
      </c>
      <c r="K3501">
        <v>0.37115271437014202</v>
      </c>
      <c r="L3501">
        <v>12528.4017880832</v>
      </c>
      <c r="M3501">
        <v>250</v>
      </c>
      <c r="N3501">
        <v>50.431178240849498</v>
      </c>
      <c r="O3501">
        <v>50.110399693585002</v>
      </c>
      <c r="P3501">
        <v>-0.75281075103050699</v>
      </c>
      <c r="Q3501">
        <v>0.39642163239532302</v>
      </c>
      <c r="R3501">
        <v>0.89352633594362896</v>
      </c>
      <c r="S3501" t="s">
        <v>9786</v>
      </c>
      <c r="T3501" t="s">
        <v>12568</v>
      </c>
      <c r="U3501" t="s">
        <v>12568</v>
      </c>
      <c r="V3501" t="s">
        <v>12568</v>
      </c>
      <c r="W3501" t="s">
        <v>16029</v>
      </c>
      <c r="X3501">
        <v>2</v>
      </c>
      <c r="Y3501" t="s">
        <v>22156</v>
      </c>
      <c r="Z3501" t="s">
        <v>28371</v>
      </c>
      <c r="AA3501">
        <v>0.59995319945478098</v>
      </c>
      <c r="AB3501" t="str">
        <f>HYPERLINK("Melting_Curves/meltCurve_Q5TC82_RC3H1.pdf", "Melting_Curves/meltCurve_Q5TC82_RC3H1.pdf")</f>
        <v>Melting_Curves/meltCurve_Q5TC82_RC3H1.pdf</v>
      </c>
    </row>
    <row r="3502" spans="1:28" x14ac:dyDescent="0.25">
      <c r="A3502" t="s">
        <v>3506</v>
      </c>
      <c r="B3502">
        <v>0.99352677808782597</v>
      </c>
      <c r="C3502">
        <v>0.74722586083685605</v>
      </c>
      <c r="D3502">
        <v>0.83759495456805799</v>
      </c>
      <c r="E3502">
        <v>0.76160186760006698</v>
      </c>
      <c r="F3502">
        <v>0.73412022608793404</v>
      </c>
      <c r="G3502">
        <v>0.85303881547439897</v>
      </c>
      <c r="H3502">
        <v>0.767109860557185</v>
      </c>
      <c r="I3502">
        <v>0.94007899989565302</v>
      </c>
      <c r="J3502">
        <v>0.77870631340033003</v>
      </c>
      <c r="K3502">
        <v>0.78897169657363098</v>
      </c>
      <c r="L3502">
        <v>10135.7041810066</v>
      </c>
      <c r="M3502">
        <v>250</v>
      </c>
      <c r="O3502">
        <v>40.540222267798399</v>
      </c>
      <c r="P3502">
        <v>-0.30688854745083899</v>
      </c>
      <c r="Q3502">
        <v>0.80093872150602596</v>
      </c>
      <c r="R3502">
        <v>0.49469403418661401</v>
      </c>
      <c r="S3502" t="s">
        <v>9787</v>
      </c>
      <c r="T3502" t="s">
        <v>12568</v>
      </c>
      <c r="U3502" t="s">
        <v>12568</v>
      </c>
      <c r="V3502" t="s">
        <v>12568</v>
      </c>
      <c r="W3502" t="s">
        <v>16030</v>
      </c>
      <c r="X3502">
        <v>1</v>
      </c>
      <c r="Y3502" t="s">
        <v>22157</v>
      </c>
      <c r="Z3502" t="s">
        <v>28372</v>
      </c>
      <c r="AA3502">
        <v>0.80458904283869859</v>
      </c>
      <c r="AB3502" t="str">
        <f>HYPERLINK("Melting_Curves/meltCurve_Q5TC84_OGFRL1.pdf", "Melting_Curves/meltCurve_Q5TC84_OGFRL1.pdf")</f>
        <v>Melting_Curves/meltCurve_Q5TC84_OGFRL1.pdf</v>
      </c>
    </row>
    <row r="3503" spans="1:28" x14ac:dyDescent="0.25">
      <c r="A3503" t="s">
        <v>3507</v>
      </c>
      <c r="B3503">
        <v>0.99352677808782597</v>
      </c>
      <c r="C3503">
        <v>0.95502265060727898</v>
      </c>
      <c r="D3503">
        <v>0.93902086249518701</v>
      </c>
      <c r="E3503">
        <v>0.57319397700349195</v>
      </c>
      <c r="F3503">
        <v>0.50619854335565895</v>
      </c>
      <c r="G3503">
        <v>0.38584286023210002</v>
      </c>
      <c r="H3503">
        <v>0.30805554410235603</v>
      </c>
      <c r="I3503">
        <v>0.302941816220483</v>
      </c>
      <c r="J3503">
        <v>0.28908524562532301</v>
      </c>
      <c r="K3503">
        <v>0.238982518990385</v>
      </c>
      <c r="L3503">
        <v>886.02298753534205</v>
      </c>
      <c r="M3503">
        <v>17.688554133293199</v>
      </c>
      <c r="N3503">
        <v>52.4881782816461</v>
      </c>
      <c r="O3503">
        <v>49.4631379933166</v>
      </c>
      <c r="P3503">
        <v>-6.46278562647188E-2</v>
      </c>
      <c r="Q3503">
        <v>0.277153417914139</v>
      </c>
      <c r="R3503">
        <v>0.98409987767437102</v>
      </c>
      <c r="S3503" t="s">
        <v>9788</v>
      </c>
      <c r="T3503" t="s">
        <v>12568</v>
      </c>
      <c r="U3503" t="s">
        <v>12568</v>
      </c>
      <c r="V3503" t="s">
        <v>12568</v>
      </c>
      <c r="W3503" t="s">
        <v>16031</v>
      </c>
      <c r="X3503">
        <v>17</v>
      </c>
      <c r="Y3503" t="s">
        <v>22158</v>
      </c>
      <c r="Z3503" t="s">
        <v>28373</v>
      </c>
      <c r="AA3503">
        <v>0.53299993198994555</v>
      </c>
      <c r="AB3503" t="str">
        <f>HYPERLINK("Melting_Curves/meltCurve_Q5TCQ9_4_MAGI3.pdf", "Melting_Curves/meltCurve_Q5TCQ9_4_MAGI3.pdf")</f>
        <v>Melting_Curves/meltCurve_Q5TCQ9_4_MAGI3.pdf</v>
      </c>
    </row>
    <row r="3504" spans="1:28" x14ac:dyDescent="0.25">
      <c r="A3504" t="s">
        <v>3508</v>
      </c>
      <c r="B3504">
        <v>0.99352677808782597</v>
      </c>
      <c r="C3504">
        <v>1.0299765679983399</v>
      </c>
      <c r="D3504">
        <v>1.06048234880734</v>
      </c>
      <c r="E3504">
        <v>1.0580071617059299</v>
      </c>
      <c r="F3504">
        <v>1.01253139619837</v>
      </c>
      <c r="G3504">
        <v>0.87657280980722296</v>
      </c>
      <c r="H3504">
        <v>0.88103406277092799</v>
      </c>
      <c r="I3504">
        <v>1.0188643762595999</v>
      </c>
      <c r="J3504">
        <v>1.2130345396544799</v>
      </c>
      <c r="K3504">
        <v>1.0041328587361</v>
      </c>
      <c r="L3504">
        <v>15000</v>
      </c>
      <c r="M3504">
        <v>232.821642264817</v>
      </c>
      <c r="O3504">
        <v>64.422249902166001</v>
      </c>
      <c r="P3504">
        <v>9.8098006615995006E-2</v>
      </c>
      <c r="Q3504">
        <v>1.1085757131162799</v>
      </c>
      <c r="R3504">
        <v>0.26814721542853698</v>
      </c>
      <c r="S3504" t="s">
        <v>9789</v>
      </c>
      <c r="T3504" t="s">
        <v>12568</v>
      </c>
      <c r="U3504" t="s">
        <v>12568</v>
      </c>
      <c r="V3504" t="s">
        <v>12568</v>
      </c>
      <c r="W3504" t="s">
        <v>14095</v>
      </c>
      <c r="X3504">
        <v>50</v>
      </c>
      <c r="Y3504" t="s">
        <v>20300</v>
      </c>
      <c r="Z3504" t="s">
        <v>28374</v>
      </c>
      <c r="AA3504">
        <v>1.020155592089006</v>
      </c>
      <c r="AB3504" t="str">
        <f>HYPERLINK("Melting_Curves/meltCurve_Q5TCU3_TPM2.pdf", "Melting_Curves/meltCurve_Q5TCU3_TPM2.pdf")</f>
        <v>Melting_Curves/meltCurve_Q5TCU3_TPM2.pdf</v>
      </c>
    </row>
    <row r="3505" spans="1:28" x14ac:dyDescent="0.25">
      <c r="A3505" t="s">
        <v>3509</v>
      </c>
      <c r="B3505">
        <v>0.99352677808782597</v>
      </c>
      <c r="C3505">
        <v>0.87129795857570702</v>
      </c>
      <c r="D3505">
        <v>0.86197316753471398</v>
      </c>
      <c r="E3505">
        <v>0.77812165234396202</v>
      </c>
      <c r="F3505">
        <v>0.73823183067252596</v>
      </c>
      <c r="G3505">
        <v>0.64107315182682401</v>
      </c>
      <c r="H3505">
        <v>0.53846181802563498</v>
      </c>
      <c r="I3505">
        <v>0.56950659475873</v>
      </c>
      <c r="J3505">
        <v>0.48174476238841202</v>
      </c>
      <c r="K3505">
        <v>0.43991322657995702</v>
      </c>
      <c r="L3505">
        <v>329.416347872578</v>
      </c>
      <c r="M3505">
        <v>5.6600511499383996</v>
      </c>
      <c r="N3505">
        <v>65.829444509618199</v>
      </c>
      <c r="O3505">
        <v>52.156569955050898</v>
      </c>
      <c r="P3505">
        <v>-2.0686587381792899E-2</v>
      </c>
      <c r="Q3505">
        <v>0.240528730310894</v>
      </c>
      <c r="R3505">
        <v>0.97650984202895597</v>
      </c>
      <c r="S3505" t="s">
        <v>9790</v>
      </c>
      <c r="T3505" t="s">
        <v>12568</v>
      </c>
      <c r="U3505" t="s">
        <v>12568</v>
      </c>
      <c r="V3505" t="s">
        <v>12568</v>
      </c>
      <c r="W3505" t="s">
        <v>16032</v>
      </c>
      <c r="X3505">
        <v>5</v>
      </c>
      <c r="Y3505" t="s">
        <v>22159</v>
      </c>
      <c r="Z3505" t="s">
        <v>28375</v>
      </c>
      <c r="AA3505">
        <v>0.69064907959756527</v>
      </c>
      <c r="AB3505" t="str">
        <f>HYPERLINK("Melting_Curves/meltCurve_Q5TCX8_MLK4.pdf", "Melting_Curves/meltCurve_Q5TCX8_MLK4.pdf")</f>
        <v>Melting_Curves/meltCurve_Q5TCX8_MLK4.pdf</v>
      </c>
    </row>
    <row r="3506" spans="1:28" x14ac:dyDescent="0.25">
      <c r="A3506" t="s">
        <v>3510</v>
      </c>
      <c r="B3506">
        <v>0.99352677808782597</v>
      </c>
      <c r="C3506">
        <v>1.02307077861386</v>
      </c>
      <c r="D3506">
        <v>0.98714988171773899</v>
      </c>
      <c r="E3506">
        <v>0.89063347853360797</v>
      </c>
      <c r="F3506">
        <v>0.79271325982060903</v>
      </c>
      <c r="G3506">
        <v>0.55564330874446599</v>
      </c>
      <c r="H3506">
        <v>0.27699798504165202</v>
      </c>
      <c r="I3506">
        <v>0.22080818369696401</v>
      </c>
      <c r="J3506">
        <v>0.18085654066293999</v>
      </c>
      <c r="K3506">
        <v>0.12175992062595201</v>
      </c>
      <c r="L3506">
        <v>950.340101712256</v>
      </c>
      <c r="M3506">
        <v>16.7379540484994</v>
      </c>
      <c r="N3506">
        <v>57.501293341036501</v>
      </c>
      <c r="O3506">
        <v>55.985692623145603</v>
      </c>
      <c r="P3506">
        <v>-6.7647682459181499E-2</v>
      </c>
      <c r="Q3506">
        <v>9.4978284091970899E-2</v>
      </c>
      <c r="R3506">
        <v>0.997088470936629</v>
      </c>
      <c r="S3506" t="s">
        <v>9791</v>
      </c>
      <c r="T3506" t="s">
        <v>12568</v>
      </c>
      <c r="U3506" t="s">
        <v>12568</v>
      </c>
      <c r="V3506" t="s">
        <v>12568</v>
      </c>
      <c r="W3506" t="s">
        <v>16033</v>
      </c>
      <c r="X3506">
        <v>13</v>
      </c>
      <c r="Y3506" t="s">
        <v>22160</v>
      </c>
      <c r="Z3506" t="s">
        <v>28376</v>
      </c>
      <c r="AA3506">
        <v>0.61467000564253671</v>
      </c>
      <c r="AB3506" t="str">
        <f>HYPERLINK("Melting_Curves/meltCurve_Q5TDH0_DDI2.pdf", "Melting_Curves/meltCurve_Q5TDH0_DDI2.pdf")</f>
        <v>Melting_Curves/meltCurve_Q5TDH0_DDI2.pdf</v>
      </c>
    </row>
    <row r="3507" spans="1:28" x14ac:dyDescent="0.25">
      <c r="A3507" t="s">
        <v>3511</v>
      </c>
      <c r="B3507">
        <v>0.99352677808782597</v>
      </c>
      <c r="C3507">
        <v>0.90253112833207705</v>
      </c>
      <c r="D3507">
        <v>0.57077413785322695</v>
      </c>
      <c r="E3507">
        <v>0.22657053846901101</v>
      </c>
      <c r="F3507">
        <v>0.17119179039615101</v>
      </c>
      <c r="G3507">
        <v>0.118966514853101</v>
      </c>
      <c r="H3507">
        <v>7.8843093320303995E-2</v>
      </c>
      <c r="I3507">
        <v>8.05601898994079E-2</v>
      </c>
      <c r="J3507">
        <v>6.8173679070639995E-2</v>
      </c>
      <c r="K3507">
        <v>7.9032928899371802E-2</v>
      </c>
      <c r="L3507">
        <v>1080.7743666669801</v>
      </c>
      <c r="M3507">
        <v>23.297835918966101</v>
      </c>
      <c r="N3507">
        <v>46.773125632711803</v>
      </c>
      <c r="O3507">
        <v>46.051731976638898</v>
      </c>
      <c r="P3507">
        <v>-0.115478566281738</v>
      </c>
      <c r="Q3507">
        <v>8.6971673890339399E-2</v>
      </c>
      <c r="R3507">
        <v>0.99704318629247901</v>
      </c>
      <c r="S3507" t="s">
        <v>9792</v>
      </c>
      <c r="T3507" t="s">
        <v>12568</v>
      </c>
      <c r="U3507" t="s">
        <v>12568</v>
      </c>
      <c r="V3507" t="s">
        <v>12568</v>
      </c>
      <c r="W3507" t="s">
        <v>16034</v>
      </c>
      <c r="X3507">
        <v>4</v>
      </c>
      <c r="Y3507" t="s">
        <v>22161</v>
      </c>
      <c r="Z3507" t="s">
        <v>28377</v>
      </c>
      <c r="AA3507">
        <v>0.29116254648947287</v>
      </c>
      <c r="AB3507" t="str">
        <f>HYPERLINK("Melting_Curves/meltCurve_Q5TEU4_NDUFAF5.pdf", "Melting_Curves/meltCurve_Q5TEU4_NDUFAF5.pdf")</f>
        <v>Melting_Curves/meltCurve_Q5TEU4_NDUFAF5.pdf</v>
      </c>
    </row>
    <row r="3508" spans="1:28" x14ac:dyDescent="0.25">
      <c r="A3508" t="s">
        <v>3512</v>
      </c>
      <c r="B3508">
        <v>0.99352677808782597</v>
      </c>
      <c r="C3508">
        <v>0.91618743694996296</v>
      </c>
      <c r="D3508">
        <v>0.99242177139436905</v>
      </c>
      <c r="E3508">
        <v>0.78683449350463197</v>
      </c>
      <c r="F3508">
        <v>0.70159741811816001</v>
      </c>
      <c r="G3508">
        <v>0.34969455127882099</v>
      </c>
      <c r="H3508">
        <v>0.13270088482287401</v>
      </c>
      <c r="I3508">
        <v>0.123545341290223</v>
      </c>
      <c r="J3508">
        <v>0.10496711373586</v>
      </c>
      <c r="K3508">
        <v>8.1508048923164406E-2</v>
      </c>
      <c r="L3508">
        <v>980.82123555467001</v>
      </c>
      <c r="M3508">
        <v>17.9843649605615</v>
      </c>
      <c r="N3508">
        <v>54.896529404163303</v>
      </c>
      <c r="O3508">
        <v>53.876547697808398</v>
      </c>
      <c r="P3508">
        <v>-7.8824782774547394E-2</v>
      </c>
      <c r="Q3508">
        <v>5.5491379555805201E-2</v>
      </c>
      <c r="R3508">
        <v>0.98916101038108395</v>
      </c>
      <c r="S3508" t="s">
        <v>9793</v>
      </c>
      <c r="T3508" t="s">
        <v>12568</v>
      </c>
      <c r="U3508" t="s">
        <v>12568</v>
      </c>
      <c r="V3508" t="s">
        <v>12568</v>
      </c>
      <c r="W3508" t="s">
        <v>16035</v>
      </c>
      <c r="X3508">
        <v>16</v>
      </c>
      <c r="Y3508" t="s">
        <v>22162</v>
      </c>
      <c r="Z3508" t="s">
        <v>28378</v>
      </c>
      <c r="AA3508">
        <v>0.52806536190883469</v>
      </c>
      <c r="AB3508" t="str">
        <f>HYPERLINK("Melting_Curves/meltCurve_Q5TFE4_NT5DC1.pdf", "Melting_Curves/meltCurve_Q5TFE4_NT5DC1.pdf")</f>
        <v>Melting_Curves/meltCurve_Q5TFE4_NT5DC1.pdf</v>
      </c>
    </row>
    <row r="3509" spans="1:28" x14ac:dyDescent="0.25">
      <c r="A3509" t="s">
        <v>3513</v>
      </c>
      <c r="B3509">
        <v>0.99352677808782597</v>
      </c>
      <c r="C3509">
        <v>0.93601893644046197</v>
      </c>
      <c r="D3509">
        <v>0.84110041347055198</v>
      </c>
      <c r="E3509">
        <v>0.81346532324943499</v>
      </c>
      <c r="F3509">
        <v>0.61544949967195195</v>
      </c>
      <c r="G3509">
        <v>0.50542617174648397</v>
      </c>
      <c r="H3509">
        <v>0.41987605918573601</v>
      </c>
      <c r="I3509">
        <v>0.41566862502221802</v>
      </c>
      <c r="J3509">
        <v>0.47912295082283302</v>
      </c>
      <c r="K3509">
        <v>0.236129077882755</v>
      </c>
      <c r="L3509">
        <v>515.24348178499201</v>
      </c>
      <c r="M3509">
        <v>9.6391497540616005</v>
      </c>
      <c r="N3509">
        <v>58.1221228898536</v>
      </c>
      <c r="O3509">
        <v>51.304555237634503</v>
      </c>
      <c r="P3509">
        <v>-3.4331463251034602E-2</v>
      </c>
      <c r="Q3509">
        <v>0.26948917294256802</v>
      </c>
      <c r="R3509">
        <v>0.94527409222947101</v>
      </c>
      <c r="S3509" t="s">
        <v>9794</v>
      </c>
      <c r="T3509" t="s">
        <v>12568</v>
      </c>
      <c r="U3509" t="s">
        <v>12568</v>
      </c>
      <c r="V3509" t="s">
        <v>12568</v>
      </c>
      <c r="W3509" t="s">
        <v>16036</v>
      </c>
      <c r="X3509">
        <v>3</v>
      </c>
      <c r="Y3509" t="s">
        <v>22163</v>
      </c>
      <c r="Z3509" t="s">
        <v>28379</v>
      </c>
      <c r="AA3509">
        <v>0.62146507815335761</v>
      </c>
      <c r="AB3509" t="str">
        <f>HYPERLINK("Melting_Curves/meltCurve_Q5TGY1_TMCO4.pdf", "Melting_Curves/meltCurve_Q5TGY1_TMCO4.pdf")</f>
        <v>Melting_Curves/meltCurve_Q5TGY1_TMCO4.pdf</v>
      </c>
    </row>
    <row r="3510" spans="1:28" x14ac:dyDescent="0.25">
      <c r="A3510" t="s">
        <v>3514</v>
      </c>
      <c r="B3510">
        <v>0.99352677808782597</v>
      </c>
      <c r="C3510">
        <v>0.83494420487931997</v>
      </c>
      <c r="D3510">
        <v>0.77839747037826401</v>
      </c>
      <c r="E3510">
        <v>0.49578175419163101</v>
      </c>
      <c r="F3510">
        <v>0.43977700982538598</v>
      </c>
      <c r="G3510">
        <v>0.16211968128193799</v>
      </c>
      <c r="H3510">
        <v>0.130928835785034</v>
      </c>
      <c r="I3510">
        <v>0.107561523779916</v>
      </c>
      <c r="J3510">
        <v>0.12561069349364801</v>
      </c>
      <c r="K3510">
        <v>0</v>
      </c>
      <c r="L3510">
        <v>570.823854670733</v>
      </c>
      <c r="M3510">
        <v>11.3061436351844</v>
      </c>
      <c r="N3510">
        <v>50.568605284252399</v>
      </c>
      <c r="O3510">
        <v>48.985818398144403</v>
      </c>
      <c r="P3510">
        <v>-5.7202847877170698E-2</v>
      </c>
      <c r="Q3510">
        <v>8.9359543620539592E-3</v>
      </c>
      <c r="R3510">
        <v>0.98254354967096202</v>
      </c>
      <c r="S3510" t="s">
        <v>9795</v>
      </c>
      <c r="T3510" t="s">
        <v>12568</v>
      </c>
      <c r="U3510" t="s">
        <v>12568</v>
      </c>
      <c r="V3510" t="s">
        <v>12568</v>
      </c>
      <c r="W3510" t="s">
        <v>16037</v>
      </c>
      <c r="X3510">
        <v>3</v>
      </c>
      <c r="Y3510" t="s">
        <v>22164</v>
      </c>
      <c r="Z3510" t="s">
        <v>28380</v>
      </c>
      <c r="AA3510">
        <v>0.39178894534376157</v>
      </c>
      <c r="AB3510" t="str">
        <f>HYPERLINK("Melting_Curves/meltCurve_Q5TH69_ARFGEF3.pdf", "Melting_Curves/meltCurve_Q5TH69_ARFGEF3.pdf")</f>
        <v>Melting_Curves/meltCurve_Q5TH69_ARFGEF3.pdf</v>
      </c>
    </row>
    <row r="3511" spans="1:28" x14ac:dyDescent="0.25">
      <c r="A3511" t="s">
        <v>3515</v>
      </c>
      <c r="B3511">
        <v>0.99352677808782597</v>
      </c>
      <c r="C3511">
        <v>0.99994736269753104</v>
      </c>
      <c r="D3511">
        <v>0.98019756391244806</v>
      </c>
      <c r="E3511">
        <v>0.868371672998969</v>
      </c>
      <c r="F3511">
        <v>0.85087862605682196</v>
      </c>
      <c r="G3511">
        <v>0.68753127277514003</v>
      </c>
      <c r="H3511">
        <v>0.73003154546673998</v>
      </c>
      <c r="I3511">
        <v>0.78124953450183598</v>
      </c>
      <c r="J3511">
        <v>0.78043347853072897</v>
      </c>
      <c r="K3511">
        <v>0.63538707462446897</v>
      </c>
      <c r="L3511">
        <v>1067.68837429571</v>
      </c>
      <c r="M3511">
        <v>20.909167642677701</v>
      </c>
      <c r="O3511">
        <v>50.602978677037903</v>
      </c>
      <c r="P3511">
        <v>-2.9003316285618402E-2</v>
      </c>
      <c r="Q3511">
        <v>0.71924005929750701</v>
      </c>
      <c r="R3511">
        <v>0.86884307588544196</v>
      </c>
      <c r="S3511" t="s">
        <v>9796</v>
      </c>
      <c r="T3511" t="s">
        <v>12568</v>
      </c>
      <c r="U3511" t="s">
        <v>12568</v>
      </c>
      <c r="V3511" t="s">
        <v>12568</v>
      </c>
      <c r="W3511" t="s">
        <v>16038</v>
      </c>
      <c r="X3511">
        <v>9</v>
      </c>
      <c r="Y3511" t="s">
        <v>22165</v>
      </c>
      <c r="Z3511" t="s">
        <v>28381</v>
      </c>
      <c r="AA3511">
        <v>0.82636097286965393</v>
      </c>
      <c r="AB3511" t="str">
        <f>HYPERLINK("Melting_Curves/meltCurve_Q5THK1_PRR14L.pdf", "Melting_Curves/meltCurve_Q5THK1_PRR14L.pdf")</f>
        <v>Melting_Curves/meltCurve_Q5THK1_PRR14L.pdf</v>
      </c>
    </row>
    <row r="3512" spans="1:28" x14ac:dyDescent="0.25">
      <c r="A3512" t="s">
        <v>3516</v>
      </c>
      <c r="B3512">
        <v>0.99352677808782597</v>
      </c>
      <c r="C3512">
        <v>0.94891853842097096</v>
      </c>
      <c r="D3512">
        <v>0.87590333030999601</v>
      </c>
      <c r="E3512">
        <v>0.76173002764781605</v>
      </c>
      <c r="F3512">
        <v>0.71670155486616505</v>
      </c>
      <c r="G3512">
        <v>0.47582528777800998</v>
      </c>
      <c r="H3512">
        <v>0.45517307919776601</v>
      </c>
      <c r="I3512">
        <v>0.44706718569480403</v>
      </c>
      <c r="J3512">
        <v>0.36959420134486598</v>
      </c>
      <c r="K3512">
        <v>0.36463959773424198</v>
      </c>
      <c r="L3512">
        <v>584.94081391369696</v>
      </c>
      <c r="M3512">
        <v>11.0370143236676</v>
      </c>
      <c r="N3512">
        <v>58.497495884085303</v>
      </c>
      <c r="O3512">
        <v>51.347454679258298</v>
      </c>
      <c r="P3512">
        <v>-3.6400201010290401E-2</v>
      </c>
      <c r="Q3512">
        <v>0.32284765307735003</v>
      </c>
      <c r="R3512">
        <v>0.98385809030101901</v>
      </c>
      <c r="S3512" t="s">
        <v>9797</v>
      </c>
      <c r="T3512" t="s">
        <v>12568</v>
      </c>
      <c r="U3512" t="s">
        <v>12568</v>
      </c>
      <c r="V3512" t="s">
        <v>12568</v>
      </c>
      <c r="W3512" t="s">
        <v>16039</v>
      </c>
      <c r="X3512">
        <v>2</v>
      </c>
      <c r="Y3512" t="s">
        <v>22166</v>
      </c>
      <c r="Z3512" t="s">
        <v>28382</v>
      </c>
      <c r="AA3512">
        <v>0.63731824368148238</v>
      </c>
      <c r="AB3512" t="str">
        <f>HYPERLINK("Melting_Curves/meltCurve_Q5TKA1_LIN9.pdf", "Melting_Curves/meltCurve_Q5TKA1_LIN9.pdf")</f>
        <v>Melting_Curves/meltCurve_Q5TKA1_LIN9.pdf</v>
      </c>
    </row>
    <row r="3513" spans="1:28" x14ac:dyDescent="0.25">
      <c r="A3513" t="s">
        <v>3517</v>
      </c>
      <c r="B3513">
        <v>0.99352677808782597</v>
      </c>
      <c r="C3513">
        <v>1.0242348321892201</v>
      </c>
      <c r="D3513">
        <v>0.98841340723883897</v>
      </c>
      <c r="E3513">
        <v>0.91325444295048697</v>
      </c>
      <c r="F3513">
        <v>0.83575649811206099</v>
      </c>
      <c r="G3513">
        <v>0.29351459169361499</v>
      </c>
      <c r="H3513">
        <v>0.20356737313929199</v>
      </c>
      <c r="I3513">
        <v>0.194153657835888</v>
      </c>
      <c r="J3513">
        <v>0.18183437736064101</v>
      </c>
      <c r="K3513">
        <v>0.173852392271509</v>
      </c>
      <c r="L3513">
        <v>2260.3926406491701</v>
      </c>
      <c r="M3513">
        <v>41.390868665627998</v>
      </c>
      <c r="N3513">
        <v>55.219123273007902</v>
      </c>
      <c r="O3513">
        <v>54.483890265058001</v>
      </c>
      <c r="P3513">
        <v>-0.15515483260801</v>
      </c>
      <c r="Q3513">
        <v>0.183063924862893</v>
      </c>
      <c r="R3513">
        <v>0.99557314600777502</v>
      </c>
      <c r="S3513" t="s">
        <v>9798</v>
      </c>
      <c r="T3513" t="s">
        <v>12568</v>
      </c>
      <c r="U3513" t="s">
        <v>12568</v>
      </c>
      <c r="V3513" t="s">
        <v>12568</v>
      </c>
      <c r="W3513" t="s">
        <v>16040</v>
      </c>
      <c r="X3513">
        <v>12</v>
      </c>
      <c r="Y3513" t="s">
        <v>22167</v>
      </c>
      <c r="Z3513" t="s">
        <v>28383</v>
      </c>
      <c r="AA3513">
        <v>0.58380848001320207</v>
      </c>
      <c r="AB3513" t="str">
        <f>HYPERLINK("Melting_Curves/meltCurve_Q5TZA2_CROCC.pdf", "Melting_Curves/meltCurve_Q5TZA2_CROCC.pdf")</f>
        <v>Melting_Curves/meltCurve_Q5TZA2_CROCC.pdf</v>
      </c>
    </row>
    <row r="3514" spans="1:28" x14ac:dyDescent="0.25">
      <c r="A3514" t="s">
        <v>3518</v>
      </c>
      <c r="B3514">
        <v>0.99352677808782597</v>
      </c>
      <c r="C3514">
        <v>1.06841068677919</v>
      </c>
      <c r="D3514">
        <v>0.89794155745528703</v>
      </c>
      <c r="E3514">
        <v>0.68016913027213799</v>
      </c>
      <c r="F3514">
        <v>0.56174597304657903</v>
      </c>
      <c r="G3514">
        <v>0.55590710691700795</v>
      </c>
      <c r="H3514">
        <v>0.74884433459861499</v>
      </c>
      <c r="I3514">
        <v>0.60378064705972601</v>
      </c>
      <c r="J3514">
        <v>0.47206679606649798</v>
      </c>
      <c r="K3514">
        <v>0.50279674935477303</v>
      </c>
      <c r="L3514">
        <v>1598.86984846622</v>
      </c>
      <c r="M3514">
        <v>33.305875097087998</v>
      </c>
      <c r="O3514">
        <v>47.833560217572703</v>
      </c>
      <c r="P3514">
        <v>-7.4347582025598796E-2</v>
      </c>
      <c r="Q3514">
        <v>0.57289279298597295</v>
      </c>
      <c r="R3514">
        <v>0.86429462459702</v>
      </c>
      <c r="S3514" t="s">
        <v>9799</v>
      </c>
      <c r="T3514" t="s">
        <v>12568</v>
      </c>
      <c r="U3514" t="s">
        <v>12568</v>
      </c>
      <c r="V3514" t="s">
        <v>12568</v>
      </c>
      <c r="W3514" t="s">
        <v>16041</v>
      </c>
      <c r="X3514">
        <v>2</v>
      </c>
      <c r="Y3514" t="s">
        <v>22168</v>
      </c>
      <c r="Z3514" t="s">
        <v>28384</v>
      </c>
      <c r="AA3514">
        <v>0.68893721756698956</v>
      </c>
      <c r="AB3514" t="str">
        <f>HYPERLINK("Melting_Curves/meltCurve_Q5U5Q3_MEX3C.pdf", "Melting_Curves/meltCurve_Q5U5Q3_MEX3C.pdf")</f>
        <v>Melting_Curves/meltCurve_Q5U5Q3_MEX3C.pdf</v>
      </c>
    </row>
    <row r="3515" spans="1:28" x14ac:dyDescent="0.25">
      <c r="A3515" t="s">
        <v>3519</v>
      </c>
      <c r="B3515">
        <v>0.99352677808782597</v>
      </c>
      <c r="C3515">
        <v>0.94364667880050701</v>
      </c>
      <c r="D3515">
        <v>1.01670071310682</v>
      </c>
      <c r="E3515">
        <v>0.71790721926835199</v>
      </c>
      <c r="F3515">
        <v>0.598877039464775</v>
      </c>
      <c r="G3515">
        <v>0.41973259590916101</v>
      </c>
      <c r="H3515">
        <v>0.24509362022049699</v>
      </c>
      <c r="I3515">
        <v>0.190482764471639</v>
      </c>
      <c r="J3515">
        <v>0.16857093072034701</v>
      </c>
      <c r="K3515">
        <v>0.136062952402486</v>
      </c>
      <c r="L3515">
        <v>754.14789100112296</v>
      </c>
      <c r="M3515">
        <v>14.011084051797299</v>
      </c>
      <c r="N3515">
        <v>54.7881464922853</v>
      </c>
      <c r="O3515">
        <v>52.7642044682541</v>
      </c>
      <c r="P3515">
        <v>-5.9147215933667098E-2</v>
      </c>
      <c r="Q3515">
        <v>0.10914983482894999</v>
      </c>
      <c r="R3515">
        <v>0.98822174375486704</v>
      </c>
      <c r="S3515" t="s">
        <v>9800</v>
      </c>
      <c r="T3515" t="s">
        <v>12568</v>
      </c>
      <c r="U3515" t="s">
        <v>12568</v>
      </c>
      <c r="V3515" t="s">
        <v>12568</v>
      </c>
      <c r="W3515" t="s">
        <v>16042</v>
      </c>
      <c r="X3515">
        <v>5</v>
      </c>
      <c r="Y3515" t="s">
        <v>22169</v>
      </c>
      <c r="Z3515" t="s">
        <v>28385</v>
      </c>
      <c r="AA3515">
        <v>0.53973510091351462</v>
      </c>
      <c r="AB3515" t="str">
        <f>HYPERLINK("Melting_Curves/meltCurve_Q5U5X0_LYRM7.pdf", "Melting_Curves/meltCurve_Q5U5X0_LYRM7.pdf")</f>
        <v>Melting_Curves/meltCurve_Q5U5X0_LYRM7.pdf</v>
      </c>
    </row>
    <row r="3516" spans="1:28" x14ac:dyDescent="0.25">
      <c r="A3516" t="s">
        <v>3520</v>
      </c>
      <c r="B3516">
        <v>0.99352677808782597</v>
      </c>
      <c r="C3516">
        <v>1.10653420261251</v>
      </c>
      <c r="D3516">
        <v>1.0670118245840601</v>
      </c>
      <c r="E3516">
        <v>0.73804203974950799</v>
      </c>
      <c r="F3516">
        <v>0.67440594573547896</v>
      </c>
      <c r="G3516">
        <v>0.29992846738569301</v>
      </c>
      <c r="H3516">
        <v>0.17077321439133999</v>
      </c>
      <c r="I3516">
        <v>0.183252840093659</v>
      </c>
      <c r="J3516">
        <v>0.11595411505266801</v>
      </c>
      <c r="K3516">
        <v>0.204331532260697</v>
      </c>
      <c r="L3516">
        <v>1157.34614482079</v>
      </c>
      <c r="M3516">
        <v>21.679012410248198</v>
      </c>
      <c r="N3516">
        <v>54.251311140496298</v>
      </c>
      <c r="O3516">
        <v>52.937533470617304</v>
      </c>
      <c r="P3516">
        <v>-8.7411383882098195E-2</v>
      </c>
      <c r="Q3516">
        <v>0.146227978230446</v>
      </c>
      <c r="R3516">
        <v>0.97167299307799404</v>
      </c>
      <c r="S3516" t="s">
        <v>9801</v>
      </c>
      <c r="T3516" t="s">
        <v>12568</v>
      </c>
      <c r="U3516" t="s">
        <v>12568</v>
      </c>
      <c r="V3516" t="s">
        <v>12568</v>
      </c>
      <c r="W3516" t="s">
        <v>16043</v>
      </c>
      <c r="X3516">
        <v>1</v>
      </c>
      <c r="Y3516" t="s">
        <v>22170</v>
      </c>
      <c r="Z3516" t="s">
        <v>28386</v>
      </c>
      <c r="AA3516">
        <v>0.53736059485507737</v>
      </c>
      <c r="AB3516" t="str">
        <f>HYPERLINK("Melting_Curves/meltCurve_Q5U649_C12orf60.pdf", "Melting_Curves/meltCurve_Q5U649_C12orf60.pdf")</f>
        <v>Melting_Curves/meltCurve_Q5U649_C12orf60.pdf</v>
      </c>
    </row>
    <row r="3517" spans="1:28" x14ac:dyDescent="0.25">
      <c r="A3517" t="s">
        <v>3521</v>
      </c>
      <c r="B3517">
        <v>0.99352677808782597</v>
      </c>
      <c r="C3517">
        <v>0.97844858885164399</v>
      </c>
      <c r="D3517">
        <v>0.91331619130916397</v>
      </c>
      <c r="E3517">
        <v>0.67021164967047098</v>
      </c>
      <c r="F3517">
        <v>0.581979164749856</v>
      </c>
      <c r="G3517">
        <v>0.51355775152003902</v>
      </c>
      <c r="H3517">
        <v>0.50087734057644095</v>
      </c>
      <c r="I3517">
        <v>0.52017191446480604</v>
      </c>
      <c r="J3517">
        <v>0.57410131043991197</v>
      </c>
      <c r="K3517">
        <v>0.48952296538552798</v>
      </c>
      <c r="L3517">
        <v>1254.3961702623899</v>
      </c>
      <c r="M3517">
        <v>25.8105876835263</v>
      </c>
      <c r="O3517">
        <v>48.311135641854598</v>
      </c>
      <c r="P3517">
        <v>-6.4314345583484298E-2</v>
      </c>
      <c r="Q3517">
        <v>0.51848249240286204</v>
      </c>
      <c r="R3517">
        <v>0.98744448850285305</v>
      </c>
      <c r="S3517" t="s">
        <v>9802</v>
      </c>
      <c r="T3517" t="s">
        <v>12568</v>
      </c>
      <c r="U3517" t="s">
        <v>12568</v>
      </c>
      <c r="V3517" t="s">
        <v>12568</v>
      </c>
      <c r="W3517" t="s">
        <v>16044</v>
      </c>
      <c r="X3517">
        <v>53</v>
      </c>
      <c r="Y3517" t="s">
        <v>22171</v>
      </c>
      <c r="Z3517" t="s">
        <v>28387</v>
      </c>
      <c r="AA3517">
        <v>0.66050292999289129</v>
      </c>
      <c r="AB3517" t="str">
        <f>HYPERLINK("Melting_Curves/meltCurve_Q5UIP0_RIF1.pdf", "Melting_Curves/meltCurve_Q5UIP0_RIF1.pdf")</f>
        <v>Melting_Curves/meltCurve_Q5UIP0_RIF1.pdf</v>
      </c>
    </row>
    <row r="3518" spans="1:28" x14ac:dyDescent="0.25">
      <c r="A3518" t="s">
        <v>3522</v>
      </c>
      <c r="B3518">
        <v>0.99352677808782597</v>
      </c>
      <c r="C3518">
        <v>0.97631929847878496</v>
      </c>
      <c r="D3518">
        <v>0.89479296981697798</v>
      </c>
      <c r="E3518">
        <v>0.32273825132171802</v>
      </c>
      <c r="F3518">
        <v>0.22340895315527901</v>
      </c>
      <c r="G3518">
        <v>0.13323466555844099</v>
      </c>
      <c r="H3518">
        <v>7.9751959853699095E-2</v>
      </c>
      <c r="I3518">
        <v>6.9549064965613597E-2</v>
      </c>
      <c r="J3518">
        <v>5.3444303748180599E-2</v>
      </c>
      <c r="K3518">
        <v>3.96475597372416E-2</v>
      </c>
      <c r="L3518">
        <v>1442.0768969584301</v>
      </c>
      <c r="M3518">
        <v>29.621842282013599</v>
      </c>
      <c r="N3518">
        <v>48.967957612775201</v>
      </c>
      <c r="O3518">
        <v>48.462633744533697</v>
      </c>
      <c r="P3518">
        <v>-0.14070663406196199</v>
      </c>
      <c r="Q3518">
        <v>7.9197400283316399E-2</v>
      </c>
      <c r="R3518">
        <v>0.99188362161763499</v>
      </c>
      <c r="S3518" t="s">
        <v>9803</v>
      </c>
      <c r="T3518" t="s">
        <v>12568</v>
      </c>
      <c r="U3518" t="s">
        <v>12568</v>
      </c>
      <c r="V3518" t="s">
        <v>12568</v>
      </c>
      <c r="W3518" t="s">
        <v>16045</v>
      </c>
      <c r="X3518">
        <v>11</v>
      </c>
      <c r="Y3518" t="s">
        <v>22172</v>
      </c>
      <c r="Z3518" t="s">
        <v>28388</v>
      </c>
      <c r="AA3518">
        <v>0.35143700295334912</v>
      </c>
      <c r="AB3518" t="str">
        <f>HYPERLINK("Melting_Curves/meltCurve_Q5VIR6_4_VPS53.pdf", "Melting_Curves/meltCurve_Q5VIR6_4_VPS53.pdf")</f>
        <v>Melting_Curves/meltCurve_Q5VIR6_4_VPS53.pdf</v>
      </c>
    </row>
    <row r="3519" spans="1:28" x14ac:dyDescent="0.25">
      <c r="A3519" t="s">
        <v>3523</v>
      </c>
      <c r="B3519">
        <v>0.99352677808782597</v>
      </c>
      <c r="C3519">
        <v>0.96863867882268395</v>
      </c>
      <c r="D3519">
        <v>0.84980786750438997</v>
      </c>
      <c r="E3519">
        <v>0.56200233792940801</v>
      </c>
      <c r="F3519">
        <v>0.455924735322284</v>
      </c>
      <c r="G3519">
        <v>0.24331490973940501</v>
      </c>
      <c r="H3519">
        <v>0.184443123245663</v>
      </c>
      <c r="I3519">
        <v>0.143650524473905</v>
      </c>
      <c r="J3519">
        <v>0.12368150694291601</v>
      </c>
      <c r="K3519">
        <v>7.7656077526812306E-2</v>
      </c>
      <c r="L3519">
        <v>723.27689896447805</v>
      </c>
      <c r="M3519">
        <v>14.1848874906175</v>
      </c>
      <c r="N3519">
        <v>51.681875270681502</v>
      </c>
      <c r="O3519">
        <v>50.007964586098801</v>
      </c>
      <c r="P3519">
        <v>-6.4782940965831995E-2</v>
      </c>
      <c r="Q3519">
        <v>8.6561445255223302E-2</v>
      </c>
      <c r="R3519">
        <v>0.99544973753108401</v>
      </c>
      <c r="S3519" t="s">
        <v>9804</v>
      </c>
      <c r="T3519" t="s">
        <v>12568</v>
      </c>
      <c r="U3519" t="s">
        <v>12568</v>
      </c>
      <c r="V3519" t="s">
        <v>12568</v>
      </c>
      <c r="W3519" t="s">
        <v>16046</v>
      </c>
      <c r="X3519">
        <v>10</v>
      </c>
      <c r="Y3519" t="s">
        <v>22173</v>
      </c>
      <c r="Z3519" t="s">
        <v>28389</v>
      </c>
      <c r="AA3519">
        <v>0.44428541912042069</v>
      </c>
      <c r="AB3519" t="str">
        <f>HYPERLINK("Melting_Curves/meltCurve_Q5VSL9_STRIP1.pdf", "Melting_Curves/meltCurve_Q5VSL9_STRIP1.pdf")</f>
        <v>Melting_Curves/meltCurve_Q5VSL9_STRIP1.pdf</v>
      </c>
    </row>
    <row r="3520" spans="1:28" x14ac:dyDescent="0.25">
      <c r="A3520" t="s">
        <v>3524</v>
      </c>
      <c r="B3520">
        <v>0.99352677808782597</v>
      </c>
      <c r="C3520">
        <v>0.94868744994874099</v>
      </c>
      <c r="D3520">
        <v>0.99905161618280802</v>
      </c>
      <c r="E3520">
        <v>0.83491610817050799</v>
      </c>
      <c r="F3520">
        <v>0.78009971157110503</v>
      </c>
      <c r="G3520">
        <v>0.59538079050876702</v>
      </c>
      <c r="H3520">
        <v>0.413174313455207</v>
      </c>
      <c r="I3520">
        <v>0.39370878910026702</v>
      </c>
      <c r="J3520">
        <v>0.39587959608509599</v>
      </c>
      <c r="K3520">
        <v>0.336118620771028</v>
      </c>
      <c r="L3520">
        <v>799.70903442955205</v>
      </c>
      <c r="M3520">
        <v>14.499568436411099</v>
      </c>
      <c r="N3520">
        <v>59.219732501160799</v>
      </c>
      <c r="O3520">
        <v>54.136729801866501</v>
      </c>
      <c r="P3520">
        <v>-4.5856495865148998E-2</v>
      </c>
      <c r="Q3520">
        <v>0.31522533463687902</v>
      </c>
      <c r="R3520">
        <v>0.98804551806475305</v>
      </c>
      <c r="S3520" t="s">
        <v>9805</v>
      </c>
      <c r="T3520" t="s">
        <v>12568</v>
      </c>
      <c r="U3520" t="s">
        <v>12568</v>
      </c>
      <c r="V3520" t="s">
        <v>12568</v>
      </c>
      <c r="W3520" t="s">
        <v>16047</v>
      </c>
      <c r="X3520">
        <v>4</v>
      </c>
      <c r="Y3520" t="s">
        <v>22174</v>
      </c>
      <c r="Z3520" t="s">
        <v>28390</v>
      </c>
      <c r="AA3520">
        <v>0.67463681700002787</v>
      </c>
      <c r="AB3520" t="str">
        <f>HYPERLINK("Melting_Curves/meltCurve_Q5VSY0_2_GKAP1.pdf", "Melting_Curves/meltCurve_Q5VSY0_2_GKAP1.pdf")</f>
        <v>Melting_Curves/meltCurve_Q5VSY0_2_GKAP1.pdf</v>
      </c>
    </row>
    <row r="3521" spans="1:28" x14ac:dyDescent="0.25">
      <c r="A3521" t="s">
        <v>3525</v>
      </c>
      <c r="B3521">
        <v>0.99352677808782597</v>
      </c>
      <c r="C3521">
        <v>0.96580316883539397</v>
      </c>
      <c r="D3521">
        <v>0.93431998872747402</v>
      </c>
      <c r="E3521">
        <v>0.78006421210072396</v>
      </c>
      <c r="F3521">
        <v>0.73840369528807803</v>
      </c>
      <c r="G3521">
        <v>0.59494298071589102</v>
      </c>
      <c r="H3521">
        <v>0.49417094512510001</v>
      </c>
      <c r="I3521">
        <v>0.49585230104182498</v>
      </c>
      <c r="J3521">
        <v>0.468932823861612</v>
      </c>
      <c r="K3521">
        <v>0.395884506246377</v>
      </c>
      <c r="L3521">
        <v>583.924599387086</v>
      </c>
      <c r="M3521">
        <v>10.836932396017501</v>
      </c>
      <c r="N3521">
        <v>61.908906163083003</v>
      </c>
      <c r="O3521">
        <v>52.145384247022399</v>
      </c>
      <c r="P3521">
        <v>-3.2363728727204701E-2</v>
      </c>
      <c r="Q3521">
        <v>0.37730857709416499</v>
      </c>
      <c r="R3521">
        <v>0.99049914619346502</v>
      </c>
      <c r="S3521" t="s">
        <v>9806</v>
      </c>
      <c r="T3521" t="s">
        <v>12568</v>
      </c>
      <c r="U3521" t="s">
        <v>12568</v>
      </c>
      <c r="V3521" t="s">
        <v>12568</v>
      </c>
      <c r="W3521" t="s">
        <v>16048</v>
      </c>
      <c r="X3521">
        <v>17</v>
      </c>
      <c r="Y3521" t="s">
        <v>22175</v>
      </c>
      <c r="Z3521" t="s">
        <v>28391</v>
      </c>
      <c r="AA3521">
        <v>0.6834502845074526</v>
      </c>
      <c r="AB3521" t="str">
        <f>HYPERLINK("Melting_Curves/meltCurve_Q5VT06_CEP350.pdf", "Melting_Curves/meltCurve_Q5VT06_CEP350.pdf")</f>
        <v>Melting_Curves/meltCurve_Q5VT06_CEP350.pdf</v>
      </c>
    </row>
    <row r="3522" spans="1:28" x14ac:dyDescent="0.25">
      <c r="A3522" t="s">
        <v>3526</v>
      </c>
      <c r="B3522">
        <v>0.99352677808782597</v>
      </c>
      <c r="C3522">
        <v>0.86306576708638605</v>
      </c>
      <c r="D3522">
        <v>0.72421822026244698</v>
      </c>
      <c r="E3522">
        <v>0.50002543947926703</v>
      </c>
      <c r="F3522">
        <v>0.42208222180567101</v>
      </c>
      <c r="G3522">
        <v>0.26956419676672599</v>
      </c>
      <c r="H3522">
        <v>0.16677384124201999</v>
      </c>
      <c r="I3522">
        <v>0.164021142902435</v>
      </c>
      <c r="J3522">
        <v>0.119892033388003</v>
      </c>
      <c r="K3522">
        <v>9.6548345770862298E-2</v>
      </c>
      <c r="L3522">
        <v>548.20699672193803</v>
      </c>
      <c r="M3522">
        <v>10.986054029634699</v>
      </c>
      <c r="N3522">
        <v>50.602039177255001</v>
      </c>
      <c r="O3522">
        <v>48.3323851912536</v>
      </c>
      <c r="P3522">
        <v>-5.2828115062248097E-2</v>
      </c>
      <c r="Q3522">
        <v>7.0660551228338406E-2</v>
      </c>
      <c r="R3522">
        <v>0.99436332960571305</v>
      </c>
      <c r="S3522" t="s">
        <v>9807</v>
      </c>
      <c r="T3522" t="s">
        <v>12568</v>
      </c>
      <c r="U3522" t="s">
        <v>12568</v>
      </c>
      <c r="V3522" t="s">
        <v>12568</v>
      </c>
      <c r="W3522" t="s">
        <v>16049</v>
      </c>
      <c r="X3522">
        <v>18</v>
      </c>
      <c r="Y3522" t="s">
        <v>22176</v>
      </c>
      <c r="Z3522" t="s">
        <v>28392</v>
      </c>
      <c r="AA3522">
        <v>0.41437951011890678</v>
      </c>
      <c r="AB3522" t="str">
        <f>HYPERLINK("Melting_Curves/meltCurve_Q5VT25_4_CDC42BPA.pdf", "Melting_Curves/meltCurve_Q5VT25_4_CDC42BPA.pdf")</f>
        <v>Melting_Curves/meltCurve_Q5VT25_4_CDC42BPA.pdf</v>
      </c>
    </row>
    <row r="3523" spans="1:28" x14ac:dyDescent="0.25">
      <c r="A3523" t="s">
        <v>3527</v>
      </c>
      <c r="B3523">
        <v>0.99352677808782597</v>
      </c>
      <c r="C3523">
        <v>0.98884529487033601</v>
      </c>
      <c r="D3523">
        <v>0.949630943711673</v>
      </c>
      <c r="E3523">
        <v>0.82802107896538901</v>
      </c>
      <c r="F3523">
        <v>0.68753595209239904</v>
      </c>
      <c r="G3523">
        <v>0.60437250495540396</v>
      </c>
      <c r="H3523">
        <v>0.58978774915000198</v>
      </c>
      <c r="I3523">
        <v>0.64266447797077897</v>
      </c>
      <c r="J3523">
        <v>0.62108504192399605</v>
      </c>
      <c r="K3523">
        <v>0.55401501401812903</v>
      </c>
      <c r="L3523">
        <v>1210.96581790507</v>
      </c>
      <c r="M3523">
        <v>24.025115155828399</v>
      </c>
      <c r="O3523">
        <v>50.058848402057201</v>
      </c>
      <c r="P3523">
        <v>-4.84823669189242E-2</v>
      </c>
      <c r="Q3523">
        <v>0.595933979857587</v>
      </c>
      <c r="R3523">
        <v>0.98179404417998095</v>
      </c>
      <c r="S3523" t="s">
        <v>9808</v>
      </c>
      <c r="T3523" t="s">
        <v>12568</v>
      </c>
      <c r="U3523" t="s">
        <v>12568</v>
      </c>
      <c r="V3523" t="s">
        <v>12568</v>
      </c>
      <c r="W3523" t="s">
        <v>16050</v>
      </c>
      <c r="X3523">
        <v>18</v>
      </c>
      <c r="Y3523" t="s">
        <v>22177</v>
      </c>
      <c r="Z3523" t="s">
        <v>28393</v>
      </c>
      <c r="AA3523">
        <v>0.73999153447006616</v>
      </c>
      <c r="AB3523" t="str">
        <f>HYPERLINK("Melting_Curves/meltCurve_Q5VT52_RPRD2.pdf", "Melting_Curves/meltCurve_Q5VT52_RPRD2.pdf")</f>
        <v>Melting_Curves/meltCurve_Q5VT52_RPRD2.pdf</v>
      </c>
    </row>
    <row r="3524" spans="1:28" x14ac:dyDescent="0.25">
      <c r="A3524" t="s">
        <v>3528</v>
      </c>
      <c r="B3524">
        <v>0.99352677808782597</v>
      </c>
      <c r="C3524">
        <v>0.32582139220877898</v>
      </c>
      <c r="D3524">
        <v>1.2766864741620401</v>
      </c>
      <c r="E3524">
        <v>0.21152927622724699</v>
      </c>
      <c r="F3524">
        <v>0.15268103572486599</v>
      </c>
      <c r="G3524">
        <v>8.5167047328964504E-2</v>
      </c>
      <c r="H3524">
        <v>5.6390693705342103E-2</v>
      </c>
      <c r="I3524">
        <v>5.4557564022424801E-2</v>
      </c>
      <c r="J3524">
        <v>4.41899149047775E-2</v>
      </c>
      <c r="K3524">
        <v>3.8258065880341002E-2</v>
      </c>
      <c r="L3524">
        <v>12413.454122758299</v>
      </c>
      <c r="M3524">
        <v>250</v>
      </c>
      <c r="N3524">
        <v>49.684661360118497</v>
      </c>
      <c r="O3524">
        <v>49.650649946682499</v>
      </c>
      <c r="P3524">
        <v>-1.1683207996170599</v>
      </c>
      <c r="Q3524">
        <v>7.1874012699699993E-2</v>
      </c>
      <c r="R3524">
        <v>0.69287512169524901</v>
      </c>
      <c r="S3524" t="s">
        <v>9809</v>
      </c>
      <c r="T3524" t="s">
        <v>12568</v>
      </c>
      <c r="U3524" t="s">
        <v>12568</v>
      </c>
      <c r="V3524" t="s">
        <v>12568</v>
      </c>
      <c r="W3524" t="s">
        <v>16051</v>
      </c>
      <c r="X3524">
        <v>17</v>
      </c>
      <c r="Y3524" t="s">
        <v>22178</v>
      </c>
      <c r="Z3524" t="s">
        <v>28394</v>
      </c>
      <c r="AA3524">
        <v>0.37062015655152752</v>
      </c>
      <c r="AB3524" t="str">
        <f>HYPERLINK("Melting_Curves/meltCurve_Q5VT79_ANXA8L2.pdf", "Melting_Curves/meltCurve_Q5VT79_ANXA8L2.pdf")</f>
        <v>Melting_Curves/meltCurve_Q5VT79_ANXA8L2.pdf</v>
      </c>
    </row>
    <row r="3525" spans="1:28" x14ac:dyDescent="0.25">
      <c r="A3525" t="s">
        <v>3529</v>
      </c>
      <c r="B3525">
        <v>0.99352677808782597</v>
      </c>
      <c r="C3525">
        <v>0.79661773186320695</v>
      </c>
      <c r="D3525">
        <v>0.85195104871457705</v>
      </c>
      <c r="E3525">
        <v>0.72595800722648296</v>
      </c>
      <c r="F3525">
        <v>0.69801788678325405</v>
      </c>
      <c r="G3525">
        <v>0.356251853377761</v>
      </c>
      <c r="H3525">
        <v>0.23797395641580599</v>
      </c>
      <c r="I3525">
        <v>0.19369139100563901</v>
      </c>
      <c r="J3525">
        <v>0.15132210880208</v>
      </c>
      <c r="K3525">
        <v>0.14146668682560401</v>
      </c>
      <c r="L3525">
        <v>517.35954147431801</v>
      </c>
      <c r="M3525">
        <v>9.4298540170286191</v>
      </c>
      <c r="N3525">
        <v>54.864003223840697</v>
      </c>
      <c r="O3525">
        <v>52.566440260730701</v>
      </c>
      <c r="P3525">
        <v>-4.4874596496328398E-2</v>
      </c>
      <c r="Q3525">
        <v>0</v>
      </c>
      <c r="R3525">
        <v>0.96068649979842202</v>
      </c>
      <c r="S3525" t="s">
        <v>9810</v>
      </c>
      <c r="T3525" t="s">
        <v>12568</v>
      </c>
      <c r="U3525" t="s">
        <v>12568</v>
      </c>
      <c r="V3525" t="s">
        <v>12568</v>
      </c>
      <c r="W3525" t="s">
        <v>16052</v>
      </c>
      <c r="X3525">
        <v>3</v>
      </c>
      <c r="Y3525" t="s">
        <v>22179</v>
      </c>
      <c r="Z3525" t="s">
        <v>28395</v>
      </c>
      <c r="AA3525">
        <v>0.52256450605577476</v>
      </c>
      <c r="AB3525" t="str">
        <f>HYPERLINK("Melting_Curves/meltCurve_Q5VTL8_PRPF38B.pdf", "Melting_Curves/meltCurve_Q5VTL8_PRPF38B.pdf")</f>
        <v>Melting_Curves/meltCurve_Q5VTL8_PRPF38B.pdf</v>
      </c>
    </row>
    <row r="3526" spans="1:28" x14ac:dyDescent="0.25">
      <c r="A3526" t="s">
        <v>3530</v>
      </c>
      <c r="B3526">
        <v>0.99352677808782597</v>
      </c>
      <c r="C3526">
        <v>0.96044743212803696</v>
      </c>
      <c r="D3526">
        <v>0.98478611514144698</v>
      </c>
      <c r="E3526">
        <v>0.822222892458914</v>
      </c>
      <c r="F3526">
        <v>0.74220504465629</v>
      </c>
      <c r="G3526">
        <v>0.46198381853144399</v>
      </c>
      <c r="H3526">
        <v>0.23760152428482301</v>
      </c>
      <c r="I3526">
        <v>0.18542171731417401</v>
      </c>
      <c r="J3526">
        <v>0.134382130991963</v>
      </c>
      <c r="K3526">
        <v>0.11705672715139601</v>
      </c>
      <c r="L3526">
        <v>860.14245171346795</v>
      </c>
      <c r="M3526">
        <v>15.4343011377096</v>
      </c>
      <c r="N3526">
        <v>56.275933911025099</v>
      </c>
      <c r="O3526">
        <v>54.818878727088801</v>
      </c>
      <c r="P3526">
        <v>-6.5493492312055507E-2</v>
      </c>
      <c r="Q3526">
        <v>6.9616309128454498E-2</v>
      </c>
      <c r="R3526">
        <v>0.99610544216531705</v>
      </c>
      <c r="S3526" t="s">
        <v>9811</v>
      </c>
      <c r="T3526" t="s">
        <v>12568</v>
      </c>
      <c r="U3526" t="s">
        <v>12568</v>
      </c>
      <c r="V3526" t="s">
        <v>12568</v>
      </c>
      <c r="W3526" t="s">
        <v>16053</v>
      </c>
      <c r="X3526">
        <v>2</v>
      </c>
      <c r="Y3526" t="s">
        <v>22180</v>
      </c>
      <c r="Z3526" t="s">
        <v>28396</v>
      </c>
      <c r="AA3526">
        <v>0.57390516051824458</v>
      </c>
      <c r="AB3526" t="str">
        <f>HYPERLINK("Melting_Curves/meltCurve_Q5VTQ0_5_TTC39B.pdf", "Melting_Curves/meltCurve_Q5VTQ0_5_TTC39B.pdf")</f>
        <v>Melting_Curves/meltCurve_Q5VTQ0_5_TTC39B.pdf</v>
      </c>
    </row>
    <row r="3527" spans="1:28" x14ac:dyDescent="0.25">
      <c r="A3527" t="s">
        <v>3531</v>
      </c>
      <c r="B3527">
        <v>0.99352677808782597</v>
      </c>
      <c r="C3527">
        <v>0.85731829481854904</v>
      </c>
      <c r="D3527">
        <v>0.96500023709819904</v>
      </c>
      <c r="E3527">
        <v>0.71960269815261402</v>
      </c>
      <c r="F3527">
        <v>0.63198460840423898</v>
      </c>
      <c r="G3527">
        <v>0.32432530712268298</v>
      </c>
      <c r="H3527">
        <v>0.164662700242306</v>
      </c>
      <c r="I3527">
        <v>0.143066280247376</v>
      </c>
      <c r="J3527">
        <v>0.1248400494652</v>
      </c>
      <c r="K3527">
        <v>9.6204741270409996E-2</v>
      </c>
      <c r="L3527">
        <v>762.56170298432005</v>
      </c>
      <c r="M3527">
        <v>14.188053092440001</v>
      </c>
      <c r="N3527">
        <v>54.174611811014998</v>
      </c>
      <c r="O3527">
        <v>52.712829581003398</v>
      </c>
      <c r="P3527">
        <v>-6.3730952265511495E-2</v>
      </c>
      <c r="Q3527">
        <v>5.30012777611975E-2</v>
      </c>
      <c r="R3527">
        <v>0.98155653696593703</v>
      </c>
      <c r="S3527" t="s">
        <v>9812</v>
      </c>
      <c r="T3527" t="s">
        <v>12568</v>
      </c>
      <c r="U3527" t="s">
        <v>12568</v>
      </c>
      <c r="V3527" t="s">
        <v>12568</v>
      </c>
      <c r="W3527" t="s">
        <v>16054</v>
      </c>
      <c r="X3527">
        <v>35</v>
      </c>
      <c r="Y3527" t="s">
        <v>22181</v>
      </c>
      <c r="Z3527" t="s">
        <v>28397</v>
      </c>
      <c r="AA3527">
        <v>0.5080375006856882</v>
      </c>
      <c r="AB3527" t="str">
        <f>HYPERLINK("Melting_Curves/meltCurve_Q5VTR2_RNF20.pdf", "Melting_Curves/meltCurve_Q5VTR2_RNF20.pdf")</f>
        <v>Melting_Curves/meltCurve_Q5VTR2_RNF20.pdf</v>
      </c>
    </row>
    <row r="3528" spans="1:28" x14ac:dyDescent="0.25">
      <c r="A3528" t="s">
        <v>3532</v>
      </c>
      <c r="B3528">
        <v>0.99352677808782597</v>
      </c>
      <c r="C3528">
        <v>0.966572940862513</v>
      </c>
      <c r="D3528">
        <v>1.0804816848938801</v>
      </c>
      <c r="E3528">
        <v>0.91924217399626895</v>
      </c>
      <c r="F3528">
        <v>0.79353393759867197</v>
      </c>
      <c r="G3528">
        <v>0.42401222867067101</v>
      </c>
      <c r="H3528">
        <v>0.310248876051335</v>
      </c>
      <c r="I3528">
        <v>0.27137710866619902</v>
      </c>
      <c r="J3528">
        <v>0.27342180147677397</v>
      </c>
      <c r="K3528">
        <v>0.1725320325809</v>
      </c>
      <c r="L3528">
        <v>1402.6003218485</v>
      </c>
      <c r="M3528">
        <v>25.562853271051001</v>
      </c>
      <c r="N3528">
        <v>56.242000871944498</v>
      </c>
      <c r="O3528">
        <v>54.536191192205202</v>
      </c>
      <c r="P3528">
        <v>-8.9979738750507798E-2</v>
      </c>
      <c r="Q3528">
        <v>0.23215241619709001</v>
      </c>
      <c r="R3528">
        <v>0.98655565071124196</v>
      </c>
      <c r="S3528" t="s">
        <v>9813</v>
      </c>
      <c r="T3528" t="s">
        <v>12568</v>
      </c>
      <c r="U3528" t="s">
        <v>12568</v>
      </c>
      <c r="V3528" t="s">
        <v>12568</v>
      </c>
      <c r="W3528" t="s">
        <v>16055</v>
      </c>
      <c r="X3528">
        <v>1</v>
      </c>
      <c r="Y3528" t="s">
        <v>22182</v>
      </c>
      <c r="Z3528" t="s">
        <v>28398</v>
      </c>
      <c r="AA3528">
        <v>0.61954740359503968</v>
      </c>
      <c r="AB3528" t="str">
        <f>HYPERLINK("Melting_Curves/meltCurve_Q5VTU3_DYNLT1.pdf", "Melting_Curves/meltCurve_Q5VTU3_DYNLT1.pdf")</f>
        <v>Melting_Curves/meltCurve_Q5VTU3_DYNLT1.pdf</v>
      </c>
    </row>
    <row r="3529" spans="1:28" x14ac:dyDescent="0.25">
      <c r="A3529" t="s">
        <v>3533</v>
      </c>
      <c r="B3529">
        <v>0.99352677808782597</v>
      </c>
      <c r="C3529">
        <v>0.81032351315294704</v>
      </c>
      <c r="D3529">
        <v>0.92103974559082002</v>
      </c>
      <c r="E3529">
        <v>0.60061216364596104</v>
      </c>
      <c r="F3529">
        <v>0.51967816010471901</v>
      </c>
      <c r="G3529">
        <v>0.42445161938131099</v>
      </c>
      <c r="H3529">
        <v>0.32401765002259297</v>
      </c>
      <c r="I3529">
        <v>0.327757112655991</v>
      </c>
      <c r="J3529">
        <v>0.31863747366314299</v>
      </c>
      <c r="K3529">
        <v>0.30089732949588399</v>
      </c>
      <c r="L3529">
        <v>627.49558611850205</v>
      </c>
      <c r="M3529">
        <v>12.542247683200699</v>
      </c>
      <c r="N3529">
        <v>53.537691886882101</v>
      </c>
      <c r="O3529">
        <v>48.809797397187097</v>
      </c>
      <c r="P3529">
        <v>-4.6253522182517902E-2</v>
      </c>
      <c r="Q3529">
        <v>0.280139675089634</v>
      </c>
      <c r="R3529">
        <v>0.95999168399698098</v>
      </c>
      <c r="S3529" t="s">
        <v>9814</v>
      </c>
      <c r="T3529" t="s">
        <v>12568</v>
      </c>
      <c r="U3529" t="s">
        <v>12568</v>
      </c>
      <c r="V3529" t="s">
        <v>12568</v>
      </c>
      <c r="W3529" t="s">
        <v>16056</v>
      </c>
      <c r="X3529">
        <v>1</v>
      </c>
      <c r="Y3529" t="s">
        <v>22183</v>
      </c>
      <c r="Z3529" t="s">
        <v>28399</v>
      </c>
      <c r="AA3529">
        <v>0.54402248420210586</v>
      </c>
      <c r="AB3529" t="str">
        <f>HYPERLINK("Melting_Curves/meltCurve_Q5VTU8_ATP5EP2.pdf", "Melting_Curves/meltCurve_Q5VTU8_ATP5EP2.pdf")</f>
        <v>Melting_Curves/meltCurve_Q5VTU8_ATP5EP2.pdf</v>
      </c>
    </row>
    <row r="3530" spans="1:28" x14ac:dyDescent="0.25">
      <c r="A3530" t="s">
        <v>3534</v>
      </c>
      <c r="B3530">
        <v>0.99352677808782597</v>
      </c>
      <c r="C3530">
        <v>1.07605950006266</v>
      </c>
      <c r="D3530">
        <v>1.01859115799193</v>
      </c>
      <c r="E3530">
        <v>1.02327417716168</v>
      </c>
      <c r="F3530">
        <v>0.94879666201324997</v>
      </c>
      <c r="G3530">
        <v>0.73061128861337898</v>
      </c>
      <c r="H3530">
        <v>0.81062568349080899</v>
      </c>
      <c r="I3530">
        <v>0.96555298813623402</v>
      </c>
      <c r="J3530">
        <v>0.91879297980015595</v>
      </c>
      <c r="K3530">
        <v>0.622453262381232</v>
      </c>
      <c r="L3530">
        <v>13303.0016311195</v>
      </c>
      <c r="M3530">
        <v>250</v>
      </c>
      <c r="O3530">
        <v>53.208598220216899</v>
      </c>
      <c r="P3530">
        <v>-0.223639547356903</v>
      </c>
      <c r="Q3530">
        <v>0.80960724001722595</v>
      </c>
      <c r="R3530">
        <v>0.55337437356818497</v>
      </c>
      <c r="S3530" t="s">
        <v>9815</v>
      </c>
      <c r="T3530" t="s">
        <v>12568</v>
      </c>
      <c r="U3530" t="s">
        <v>12568</v>
      </c>
      <c r="V3530" t="s">
        <v>12568</v>
      </c>
      <c r="W3530" t="s">
        <v>16057</v>
      </c>
      <c r="X3530">
        <v>47</v>
      </c>
      <c r="Y3530" t="s">
        <v>20274</v>
      </c>
      <c r="Z3530" t="s">
        <v>28400</v>
      </c>
      <c r="AA3530">
        <v>0.89347403298535621</v>
      </c>
      <c r="AB3530" t="str">
        <f>HYPERLINK("Melting_Curves/meltCurve_Q5VU58_TPM3.pdf", "Melting_Curves/meltCurve_Q5VU58_TPM3.pdf")</f>
        <v>Melting_Curves/meltCurve_Q5VU58_TPM3.pdf</v>
      </c>
    </row>
    <row r="3531" spans="1:28" x14ac:dyDescent="0.25">
      <c r="A3531" t="s">
        <v>3535</v>
      </c>
      <c r="B3531">
        <v>0.99352677808782597</v>
      </c>
      <c r="C3531">
        <v>1.0029671780982601</v>
      </c>
      <c r="D3531">
        <v>0.968409597781275</v>
      </c>
      <c r="E3531">
        <v>0.864474745486983</v>
      </c>
      <c r="F3531">
        <v>0.76951077618647301</v>
      </c>
      <c r="G3531">
        <v>0.67285565239732203</v>
      </c>
      <c r="H3531">
        <v>0.60496095606617795</v>
      </c>
      <c r="I3531">
        <v>0.60892403108996995</v>
      </c>
      <c r="J3531">
        <v>0.73689059832183601</v>
      </c>
      <c r="K3531">
        <v>0.62867748079736796</v>
      </c>
      <c r="L3531">
        <v>1182.09756083504</v>
      </c>
      <c r="M3531">
        <v>23.0780610264577</v>
      </c>
      <c r="O3531">
        <v>50.841729848394102</v>
      </c>
      <c r="P3531">
        <v>-4.05209985793945E-2</v>
      </c>
      <c r="Q3531">
        <v>0.64293003212094102</v>
      </c>
      <c r="R3531">
        <v>0.94565454889984202</v>
      </c>
      <c r="S3531" t="s">
        <v>9816</v>
      </c>
      <c r="T3531" t="s">
        <v>12568</v>
      </c>
      <c r="U3531" t="s">
        <v>12568</v>
      </c>
      <c r="V3531" t="s">
        <v>12568</v>
      </c>
      <c r="W3531" t="s">
        <v>16058</v>
      </c>
      <c r="X3531">
        <v>12</v>
      </c>
      <c r="Y3531" t="s">
        <v>22184</v>
      </c>
      <c r="Z3531" t="s">
        <v>28401</v>
      </c>
      <c r="AA3531">
        <v>0.78027204087556545</v>
      </c>
      <c r="AB3531" t="str">
        <f>HYPERLINK("Melting_Curves/meltCurve_Q5VUA4_ZNF318.pdf", "Melting_Curves/meltCurve_Q5VUA4_ZNF318.pdf")</f>
        <v>Melting_Curves/meltCurve_Q5VUA4_ZNF318.pdf</v>
      </c>
    </row>
    <row r="3532" spans="1:28" x14ac:dyDescent="0.25">
      <c r="A3532" t="s">
        <v>3536</v>
      </c>
      <c r="B3532">
        <v>0.99352677808782597</v>
      </c>
      <c r="C3532">
        <v>0.95830287903203504</v>
      </c>
      <c r="D3532">
        <v>0.92365647751575097</v>
      </c>
      <c r="E3532">
        <v>0.88757156653430902</v>
      </c>
      <c r="F3532">
        <v>0.74780777072216098</v>
      </c>
      <c r="G3532">
        <v>0.786580372664342</v>
      </c>
      <c r="H3532">
        <v>0.58998518525836696</v>
      </c>
      <c r="I3532">
        <v>0.62011086432950202</v>
      </c>
      <c r="J3532">
        <v>0.64298226084238597</v>
      </c>
      <c r="K3532">
        <v>0.63109113604360401</v>
      </c>
      <c r="L3532">
        <v>608.10311822597498</v>
      </c>
      <c r="M3532">
        <v>11.532828138828499</v>
      </c>
      <c r="O3532">
        <v>51.217415580154501</v>
      </c>
      <c r="P3532">
        <v>-2.3062918045383199E-2</v>
      </c>
      <c r="Q3532">
        <v>0.59042425451127201</v>
      </c>
      <c r="R3532">
        <v>0.93099729227048</v>
      </c>
      <c r="S3532" t="s">
        <v>9817</v>
      </c>
      <c r="T3532" t="s">
        <v>12568</v>
      </c>
      <c r="U3532" t="s">
        <v>12568</v>
      </c>
      <c r="V3532" t="s">
        <v>12568</v>
      </c>
      <c r="W3532" t="s">
        <v>16059</v>
      </c>
      <c r="X3532">
        <v>1</v>
      </c>
      <c r="Y3532" t="s">
        <v>22185</v>
      </c>
      <c r="Z3532" t="s">
        <v>28402</v>
      </c>
      <c r="AA3532">
        <v>0.77665138348895257</v>
      </c>
      <c r="AB3532" t="str">
        <f>HYPERLINK("Melting_Curves/meltCurve_Q5VUE5_C1orf53.pdf", "Melting_Curves/meltCurve_Q5VUE5_C1orf53.pdf")</f>
        <v>Melting_Curves/meltCurve_Q5VUE5_C1orf53.pdf</v>
      </c>
    </row>
    <row r="3533" spans="1:28" x14ac:dyDescent="0.25">
      <c r="A3533" t="s">
        <v>3537</v>
      </c>
      <c r="B3533">
        <v>0.99352677808782597</v>
      </c>
      <c r="C3533">
        <v>0.95063632263139897</v>
      </c>
      <c r="D3533">
        <v>0.91787497602762003</v>
      </c>
      <c r="E3533">
        <v>0.57755803840754905</v>
      </c>
      <c r="F3533">
        <v>0.512340520748365</v>
      </c>
      <c r="G3533">
        <v>0.37679367459754498</v>
      </c>
      <c r="H3533">
        <v>0.336160587142394</v>
      </c>
      <c r="I3533">
        <v>0.32650153201544302</v>
      </c>
      <c r="J3533">
        <v>0.29271213545026697</v>
      </c>
      <c r="K3533">
        <v>0.24932692934769701</v>
      </c>
      <c r="L3533">
        <v>855.75077638142795</v>
      </c>
      <c r="M3533">
        <v>17.139837294529901</v>
      </c>
      <c r="N3533">
        <v>52.569930187695299</v>
      </c>
      <c r="O3533">
        <v>49.262815610735103</v>
      </c>
      <c r="P3533">
        <v>-6.1870491916197E-2</v>
      </c>
      <c r="Q3533">
        <v>0.28873717690733403</v>
      </c>
      <c r="R3533">
        <v>0.98641219119244905</v>
      </c>
      <c r="S3533" t="s">
        <v>9818</v>
      </c>
      <c r="T3533" t="s">
        <v>12568</v>
      </c>
      <c r="U3533" t="s">
        <v>12568</v>
      </c>
      <c r="V3533" t="s">
        <v>12568</v>
      </c>
      <c r="W3533" t="s">
        <v>16060</v>
      </c>
      <c r="X3533">
        <v>5</v>
      </c>
      <c r="Y3533" t="s">
        <v>22186</v>
      </c>
      <c r="Z3533" t="s">
        <v>28403</v>
      </c>
      <c r="AA3533">
        <v>0.53742735704727984</v>
      </c>
      <c r="AB3533" t="str">
        <f>HYPERLINK("Melting_Curves/meltCurve_Q5VV41_ARHGEF16.pdf", "Melting_Curves/meltCurve_Q5VV41_ARHGEF16.pdf")</f>
        <v>Melting_Curves/meltCurve_Q5VV41_ARHGEF16.pdf</v>
      </c>
    </row>
    <row r="3534" spans="1:28" x14ac:dyDescent="0.25">
      <c r="A3534" t="s">
        <v>3538</v>
      </c>
      <c r="B3534">
        <v>0.99352677808782597</v>
      </c>
      <c r="C3534">
        <v>0.94142974578514504</v>
      </c>
      <c r="D3534">
        <v>0.91778769029422003</v>
      </c>
      <c r="E3534">
        <v>0.783453297734374</v>
      </c>
      <c r="F3534">
        <v>0.73998616641595605</v>
      </c>
      <c r="G3534">
        <v>0.61034757304359699</v>
      </c>
      <c r="H3534">
        <v>0.58940658123449297</v>
      </c>
      <c r="I3534">
        <v>0.60508334090580596</v>
      </c>
      <c r="J3534">
        <v>0.66270242920225497</v>
      </c>
      <c r="K3534">
        <v>0.54877636317871104</v>
      </c>
      <c r="L3534">
        <v>722.64781231419295</v>
      </c>
      <c r="M3534">
        <v>14.453201525096601</v>
      </c>
      <c r="O3534">
        <v>49.071207393492301</v>
      </c>
      <c r="P3534">
        <v>-3.0707789783502502E-2</v>
      </c>
      <c r="Q3534">
        <v>0.58301480799523098</v>
      </c>
      <c r="R3534">
        <v>0.95936756711277804</v>
      </c>
      <c r="S3534" t="s">
        <v>9819</v>
      </c>
      <c r="T3534" t="s">
        <v>12568</v>
      </c>
      <c r="U3534" t="s">
        <v>12568</v>
      </c>
      <c r="V3534" t="s">
        <v>12568</v>
      </c>
      <c r="W3534" t="s">
        <v>16061</v>
      </c>
      <c r="X3534">
        <v>2</v>
      </c>
      <c r="Y3534" t="s">
        <v>22187</v>
      </c>
      <c r="Z3534" t="s">
        <v>28404</v>
      </c>
      <c r="AA3534">
        <v>0.73261182744259912</v>
      </c>
      <c r="AB3534" t="str">
        <f>HYPERLINK("Melting_Curves/meltCurve_Q5VV52_2_ZNF691.pdf", "Melting_Curves/meltCurve_Q5VV52_2_ZNF691.pdf")</f>
        <v>Melting_Curves/meltCurve_Q5VV52_2_ZNF691.pdf</v>
      </c>
    </row>
    <row r="3535" spans="1:28" x14ac:dyDescent="0.25">
      <c r="A3535" t="s">
        <v>3539</v>
      </c>
      <c r="B3535">
        <v>0.99352677808782597</v>
      </c>
      <c r="C3535">
        <v>0.62146061252595797</v>
      </c>
      <c r="D3535">
        <v>0.64682791343008605</v>
      </c>
      <c r="E3535">
        <v>0.30405704479555601</v>
      </c>
      <c r="F3535">
        <v>0.247594459721803</v>
      </c>
      <c r="G3535">
        <v>0.13949360635527799</v>
      </c>
      <c r="H3535">
        <v>9.0434405727237405E-2</v>
      </c>
      <c r="I3535">
        <v>8.7030932740056605E-2</v>
      </c>
      <c r="J3535">
        <v>7.4154391892001306E-2</v>
      </c>
      <c r="K3535">
        <v>5.9799778338493398E-2</v>
      </c>
      <c r="L3535">
        <v>571.25926053875696</v>
      </c>
      <c r="M3535">
        <v>12.2441350763808</v>
      </c>
      <c r="N3535">
        <v>47.0477840270092</v>
      </c>
      <c r="O3535">
        <v>45.463586454635603</v>
      </c>
      <c r="P3535">
        <v>-6.4078323968360301E-2</v>
      </c>
      <c r="Q3535">
        <v>4.8497586491123401E-2</v>
      </c>
      <c r="R3535">
        <v>0.95937640480780095</v>
      </c>
      <c r="S3535" t="s">
        <v>9820</v>
      </c>
      <c r="T3535" t="s">
        <v>12568</v>
      </c>
      <c r="U3535" t="s">
        <v>12568</v>
      </c>
      <c r="V3535" t="s">
        <v>12568</v>
      </c>
      <c r="W3535" t="s">
        <v>16062</v>
      </c>
      <c r="X3535">
        <v>3</v>
      </c>
      <c r="Y3535" t="s">
        <v>22188</v>
      </c>
      <c r="Z3535" t="s">
        <v>28405</v>
      </c>
      <c r="AA3535">
        <v>0.29910628039127979</v>
      </c>
      <c r="AB3535" t="str">
        <f>HYPERLINK("Melting_Curves/meltCurve_Q5VVC8_RPL11.pdf", "Melting_Curves/meltCurve_Q5VVC8_RPL11.pdf")</f>
        <v>Melting_Curves/meltCurve_Q5VVC8_RPL11.pdf</v>
      </c>
    </row>
    <row r="3536" spans="1:28" x14ac:dyDescent="0.25">
      <c r="A3536" t="s">
        <v>3540</v>
      </c>
      <c r="B3536">
        <v>0.99352677808782597</v>
      </c>
      <c r="C3536">
        <v>0.96401304725260495</v>
      </c>
      <c r="D3536">
        <v>0.87398106397575204</v>
      </c>
      <c r="E3536">
        <v>0.62592230398146098</v>
      </c>
      <c r="F3536">
        <v>0.56696968217762</v>
      </c>
      <c r="G3536">
        <v>0.31186640163911</v>
      </c>
      <c r="H3536">
        <v>0.21061987859529999</v>
      </c>
      <c r="I3536">
        <v>0.231115308035232</v>
      </c>
      <c r="J3536">
        <v>0.148112221940774</v>
      </c>
      <c r="K3536">
        <v>0.13567974752398601</v>
      </c>
      <c r="L3536">
        <v>669.02975142273795</v>
      </c>
      <c r="M3536">
        <v>12.823182197146901</v>
      </c>
      <c r="N3536">
        <v>53.216828351873197</v>
      </c>
      <c r="O3536">
        <v>50.953459486347903</v>
      </c>
      <c r="P3536">
        <v>-5.5933516721629599E-2</v>
      </c>
      <c r="Q3536">
        <v>0.111148798909377</v>
      </c>
      <c r="R3536">
        <v>0.99133199962827101</v>
      </c>
      <c r="S3536" t="s">
        <v>9821</v>
      </c>
      <c r="T3536" t="s">
        <v>12568</v>
      </c>
      <c r="U3536" t="s">
        <v>12568</v>
      </c>
      <c r="V3536" t="s">
        <v>12568</v>
      </c>
      <c r="W3536" t="s">
        <v>16063</v>
      </c>
      <c r="X3536">
        <v>1</v>
      </c>
      <c r="Y3536" t="s">
        <v>22189</v>
      </c>
      <c r="Z3536" t="s">
        <v>28406</v>
      </c>
      <c r="AA3536">
        <v>0.49650053368009428</v>
      </c>
      <c r="AB3536" t="str">
        <f>HYPERLINK("Melting_Curves/meltCurve_Q5VVD7_PLEKHM2.pdf", "Melting_Curves/meltCurve_Q5VVD7_PLEKHM2.pdf")</f>
        <v>Melting_Curves/meltCurve_Q5VVD7_PLEKHM2.pdf</v>
      </c>
    </row>
    <row r="3537" spans="1:28" x14ac:dyDescent="0.25">
      <c r="A3537" t="s">
        <v>3541</v>
      </c>
      <c r="B3537">
        <v>0.99352677808782597</v>
      </c>
      <c r="C3537">
        <v>0.94141895451025903</v>
      </c>
      <c r="D3537">
        <v>1.06522851262339</v>
      </c>
      <c r="E3537">
        <v>0.53029262759171902</v>
      </c>
      <c r="F3537">
        <v>0.47873087644614598</v>
      </c>
      <c r="G3537">
        <v>0.21589939022414401</v>
      </c>
      <c r="H3537">
        <v>0.155857608997063</v>
      </c>
      <c r="I3537">
        <v>0.15570706592959899</v>
      </c>
      <c r="J3537">
        <v>0.13730416373346499</v>
      </c>
      <c r="K3537">
        <v>0.103984421753305</v>
      </c>
      <c r="L3537">
        <v>1070.07582420012</v>
      </c>
      <c r="M3537">
        <v>21.004856515810101</v>
      </c>
      <c r="N3537">
        <v>51.696543413730403</v>
      </c>
      <c r="O3537">
        <v>50.489192549959803</v>
      </c>
      <c r="P3537">
        <v>-9.0312706655664404E-2</v>
      </c>
      <c r="Q3537">
        <v>0.131687581301453</v>
      </c>
      <c r="R3537">
        <v>0.96645863134790699</v>
      </c>
      <c r="S3537" t="s">
        <v>9822</v>
      </c>
      <c r="T3537" t="s">
        <v>12568</v>
      </c>
      <c r="U3537" t="s">
        <v>12568</v>
      </c>
      <c r="V3537" t="s">
        <v>12568</v>
      </c>
      <c r="W3537" t="s">
        <v>16064</v>
      </c>
      <c r="X3537">
        <v>5</v>
      </c>
      <c r="Y3537" t="s">
        <v>22190</v>
      </c>
      <c r="Z3537" t="s">
        <v>28407</v>
      </c>
      <c r="AA3537">
        <v>0.45944270175187191</v>
      </c>
      <c r="AB3537" t="str">
        <f>HYPERLINK("Melting_Curves/meltCurve_Q5VVQ6_2_YOD1.pdf", "Melting_Curves/meltCurve_Q5VVQ6_2_YOD1.pdf")</f>
        <v>Melting_Curves/meltCurve_Q5VVQ6_2_YOD1.pdf</v>
      </c>
    </row>
    <row r="3538" spans="1:28" x14ac:dyDescent="0.25">
      <c r="A3538" t="s">
        <v>3542</v>
      </c>
      <c r="B3538">
        <v>0.99352677808782597</v>
      </c>
      <c r="C3538">
        <v>0.776387623223176</v>
      </c>
      <c r="D3538">
        <v>0.96405466635334802</v>
      </c>
      <c r="E3538">
        <v>0.297697718463244</v>
      </c>
      <c r="F3538">
        <v>0.226758439407207</v>
      </c>
      <c r="G3538">
        <v>0.12883269981890599</v>
      </c>
      <c r="H3538">
        <v>9.35306361972464E-2</v>
      </c>
      <c r="I3538">
        <v>9.7852054805029301E-2</v>
      </c>
      <c r="J3538">
        <v>7.0644686830375406E-2</v>
      </c>
      <c r="K3538">
        <v>5.3952437659986599E-2</v>
      </c>
      <c r="L3538">
        <v>1865.93684788205</v>
      </c>
      <c r="M3538">
        <v>38.363387314144603</v>
      </c>
      <c r="N3538">
        <v>48.925228481225602</v>
      </c>
      <c r="O3538">
        <v>48.506884558421298</v>
      </c>
      <c r="P3538">
        <v>-0.17781498298595799</v>
      </c>
      <c r="Q3538">
        <v>0.100681127654627</v>
      </c>
      <c r="R3538">
        <v>0.952111430766998</v>
      </c>
      <c r="S3538" t="s">
        <v>9823</v>
      </c>
      <c r="T3538" t="s">
        <v>12568</v>
      </c>
      <c r="U3538" t="s">
        <v>12568</v>
      </c>
      <c r="V3538" t="s">
        <v>12568</v>
      </c>
      <c r="W3538" t="s">
        <v>16065</v>
      </c>
      <c r="X3538">
        <v>10</v>
      </c>
      <c r="Y3538" t="s">
        <v>22191</v>
      </c>
      <c r="Z3538" t="s">
        <v>28408</v>
      </c>
      <c r="AA3538">
        <v>0.36293543740276479</v>
      </c>
      <c r="AB3538" t="str">
        <f>HYPERLINK("Melting_Curves/meltCurve_Q5VW32_BROX.pdf", "Melting_Curves/meltCurve_Q5VW32_BROX.pdf")</f>
        <v>Melting_Curves/meltCurve_Q5VW32_BROX.pdf</v>
      </c>
    </row>
    <row r="3539" spans="1:28" x14ac:dyDescent="0.25">
      <c r="A3539" t="s">
        <v>3543</v>
      </c>
      <c r="B3539">
        <v>0.99352677808782597</v>
      </c>
      <c r="C3539">
        <v>1.0573497329257</v>
      </c>
      <c r="D3539">
        <v>0.97489678749767705</v>
      </c>
      <c r="E3539">
        <v>0.60881140911321197</v>
      </c>
      <c r="F3539">
        <v>0.45527271914552703</v>
      </c>
      <c r="G3539">
        <v>0.13606067440505501</v>
      </c>
      <c r="H3539">
        <v>8.0318186472414094E-2</v>
      </c>
      <c r="I3539">
        <v>6.9090642146948794E-2</v>
      </c>
      <c r="J3539">
        <v>5.2768269690406003E-2</v>
      </c>
      <c r="K3539">
        <v>4.6398294231618002E-2</v>
      </c>
      <c r="L3539">
        <v>1068.3528602956701</v>
      </c>
      <c r="M3539">
        <v>20.698116092133599</v>
      </c>
      <c r="N3539">
        <v>51.847744268245201</v>
      </c>
      <c r="O3539">
        <v>51.141386418766501</v>
      </c>
      <c r="P3539">
        <v>-9.6712267093981494E-2</v>
      </c>
      <c r="Q3539">
        <v>4.4191495998491301E-2</v>
      </c>
      <c r="R3539">
        <v>0.99037557680992205</v>
      </c>
      <c r="S3539" t="s">
        <v>9824</v>
      </c>
      <c r="T3539" t="s">
        <v>12568</v>
      </c>
      <c r="U3539" t="s">
        <v>12568</v>
      </c>
      <c r="V3539" t="s">
        <v>12568</v>
      </c>
      <c r="W3539" t="s">
        <v>16066</v>
      </c>
      <c r="X3539">
        <v>12</v>
      </c>
      <c r="Y3539" t="s">
        <v>22192</v>
      </c>
      <c r="Z3539" t="s">
        <v>28409</v>
      </c>
      <c r="AA3539">
        <v>0.42671656288777299</v>
      </c>
      <c r="AB3539" t="str">
        <f>HYPERLINK("Melting_Curves/meltCurve_Q5VW36_FOCAD.pdf", "Melting_Curves/meltCurve_Q5VW36_FOCAD.pdf")</f>
        <v>Melting_Curves/meltCurve_Q5VW36_FOCAD.pdf</v>
      </c>
    </row>
    <row r="3540" spans="1:28" x14ac:dyDescent="0.25">
      <c r="A3540" t="s">
        <v>3544</v>
      </c>
      <c r="B3540">
        <v>0.99352677808782597</v>
      </c>
      <c r="C3540">
        <v>0.98805390780906999</v>
      </c>
      <c r="D3540">
        <v>0.95198867320638103</v>
      </c>
      <c r="E3540">
        <v>1.38849459879411</v>
      </c>
      <c r="F3540">
        <v>1.1796836243372399</v>
      </c>
      <c r="G3540">
        <v>1.0888267180129201</v>
      </c>
      <c r="H3540">
        <v>0.74976032016307503</v>
      </c>
      <c r="I3540">
        <v>0.70395627011473205</v>
      </c>
      <c r="J3540">
        <v>0.75490285735665097</v>
      </c>
      <c r="K3540">
        <v>0.57517108927122695</v>
      </c>
      <c r="L3540">
        <v>10809.8950157705</v>
      </c>
      <c r="M3540">
        <v>178.46013147689999</v>
      </c>
      <c r="O3540">
        <v>60.565559029989103</v>
      </c>
      <c r="P3540">
        <v>-0.23719989798421201</v>
      </c>
      <c r="Q3540">
        <v>0.67799767461694804</v>
      </c>
      <c r="R3540">
        <v>0.61348179946374704</v>
      </c>
      <c r="S3540" t="s">
        <v>9825</v>
      </c>
      <c r="T3540" t="s">
        <v>12568</v>
      </c>
      <c r="U3540" t="s">
        <v>12568</v>
      </c>
      <c r="V3540" t="s">
        <v>12568</v>
      </c>
      <c r="W3540" t="s">
        <v>14974</v>
      </c>
      <c r="X3540">
        <v>11</v>
      </c>
      <c r="Y3540" t="s">
        <v>21146</v>
      </c>
      <c r="Z3540" t="s">
        <v>28410</v>
      </c>
      <c r="AA3540">
        <v>0.89888509821750384</v>
      </c>
      <c r="AB3540" t="str">
        <f>HYPERLINK("Melting_Curves/meltCurve_Q5VWC4_PSMD4.pdf", "Melting_Curves/meltCurve_Q5VWC4_PSMD4.pdf")</f>
        <v>Melting_Curves/meltCurve_Q5VWC4_PSMD4.pdf</v>
      </c>
    </row>
    <row r="3541" spans="1:28" x14ac:dyDescent="0.25">
      <c r="A3541" t="s">
        <v>3545</v>
      </c>
      <c r="B3541">
        <v>0.99352677808782597</v>
      </c>
      <c r="C3541">
        <v>0.93976974583458295</v>
      </c>
      <c r="D3541">
        <v>0.93064255660519202</v>
      </c>
      <c r="E3541">
        <v>0.65116130833154695</v>
      </c>
      <c r="F3541">
        <v>0.60299386433616498</v>
      </c>
      <c r="G3541">
        <v>0.44245463166901799</v>
      </c>
      <c r="H3541">
        <v>0.35940259148852299</v>
      </c>
      <c r="I3541">
        <v>0.282454443765563</v>
      </c>
      <c r="J3541">
        <v>0.28563319352054001</v>
      </c>
      <c r="K3541">
        <v>0.38830177609613897</v>
      </c>
      <c r="L3541">
        <v>758.49844377302497</v>
      </c>
      <c r="M3541">
        <v>14.8389422672783</v>
      </c>
      <c r="N3541">
        <v>54.551172666048899</v>
      </c>
      <c r="O3541">
        <v>50.213993295477998</v>
      </c>
      <c r="P3541">
        <v>-5.1452337001453297E-2</v>
      </c>
      <c r="Q3541">
        <v>0.30362795368179102</v>
      </c>
      <c r="R3541">
        <v>0.97567783220216697</v>
      </c>
      <c r="S3541" t="s">
        <v>9826</v>
      </c>
      <c r="T3541" t="s">
        <v>12568</v>
      </c>
      <c r="U3541" t="s">
        <v>12568</v>
      </c>
      <c r="V3541" t="s">
        <v>12568</v>
      </c>
      <c r="W3541" t="s">
        <v>16067</v>
      </c>
      <c r="X3541">
        <v>1</v>
      </c>
      <c r="Y3541" t="s">
        <v>22193</v>
      </c>
      <c r="Z3541" t="s">
        <v>28411</v>
      </c>
      <c r="AA3541">
        <v>0.57795926645481965</v>
      </c>
      <c r="AB3541" t="str">
        <f>HYPERLINK("Melting_Curves/meltCurve_Q5VWG9_TAF3.pdf", "Melting_Curves/meltCurve_Q5VWG9_TAF3.pdf")</f>
        <v>Melting_Curves/meltCurve_Q5VWG9_TAF3.pdf</v>
      </c>
    </row>
    <row r="3542" spans="1:28" x14ac:dyDescent="0.25">
      <c r="A3542" t="s">
        <v>3546</v>
      </c>
      <c r="B3542">
        <v>0.99352677808782597</v>
      </c>
      <c r="C3542">
        <v>0.85746780691566005</v>
      </c>
      <c r="D3542">
        <v>0.83721072999739499</v>
      </c>
      <c r="E3542">
        <v>0.33725020845103798</v>
      </c>
      <c r="F3542">
        <v>0.32192207569987102</v>
      </c>
      <c r="G3542">
        <v>0.20321860219596399</v>
      </c>
      <c r="H3542">
        <v>0.14738377495492999</v>
      </c>
      <c r="I3542">
        <v>0.160572600386203</v>
      </c>
      <c r="J3542">
        <v>0.12871178159692701</v>
      </c>
      <c r="K3542">
        <v>0.121087733700835</v>
      </c>
      <c r="L3542">
        <v>959.23819375550397</v>
      </c>
      <c r="M3542">
        <v>19.911467771776099</v>
      </c>
      <c r="N3542">
        <v>48.995994911771497</v>
      </c>
      <c r="O3542">
        <v>47.697135549749802</v>
      </c>
      <c r="P3542">
        <v>-8.9565917852610005E-2</v>
      </c>
      <c r="Q3542">
        <v>0.14182194558963099</v>
      </c>
      <c r="R3542">
        <v>0.97774859843533601</v>
      </c>
      <c r="S3542" t="s">
        <v>9827</v>
      </c>
      <c r="T3542" t="s">
        <v>12568</v>
      </c>
      <c r="U3542" t="s">
        <v>12568</v>
      </c>
      <c r="V3542" t="s">
        <v>12568</v>
      </c>
      <c r="W3542" t="s">
        <v>16068</v>
      </c>
      <c r="X3542">
        <v>3</v>
      </c>
      <c r="Y3542" t="s">
        <v>22194</v>
      </c>
      <c r="Z3542" t="s">
        <v>28412</v>
      </c>
      <c r="AA3542">
        <v>0.3879485958972525</v>
      </c>
      <c r="AB3542" t="str">
        <f>HYPERLINK("Melting_Curves/meltCurve_Q5VWJ9_SNX30.pdf", "Melting_Curves/meltCurve_Q5VWJ9_SNX30.pdf")</f>
        <v>Melting_Curves/meltCurve_Q5VWJ9_SNX30.pdf</v>
      </c>
    </row>
    <row r="3543" spans="1:28" x14ac:dyDescent="0.25">
      <c r="A3543" t="s">
        <v>3547</v>
      </c>
      <c r="B3543">
        <v>0.99352677808782597</v>
      </c>
      <c r="C3543">
        <v>1.07913643639669</v>
      </c>
      <c r="D3543">
        <v>1.0100903511211199</v>
      </c>
      <c r="E3543">
        <v>0.89362243545256004</v>
      </c>
      <c r="F3543">
        <v>0.76182685115058901</v>
      </c>
      <c r="G3543">
        <v>0.76893477916880304</v>
      </c>
      <c r="H3543">
        <v>0.66321219524004205</v>
      </c>
      <c r="I3543">
        <v>0.62777928241661596</v>
      </c>
      <c r="J3543">
        <v>0.70753638056290602</v>
      </c>
      <c r="K3543">
        <v>0.57657152196004602</v>
      </c>
      <c r="L3543">
        <v>944.61772219197496</v>
      </c>
      <c r="M3543">
        <v>17.931361802637401</v>
      </c>
      <c r="O3543">
        <v>52.037555305007203</v>
      </c>
      <c r="P3543">
        <v>-3.1353073654647901E-2</v>
      </c>
      <c r="Q3543">
        <v>0.63606652366962702</v>
      </c>
      <c r="R3543">
        <v>0.91774415133681597</v>
      </c>
      <c r="S3543" t="s">
        <v>9828</v>
      </c>
      <c r="T3543" t="s">
        <v>12568</v>
      </c>
      <c r="U3543" t="s">
        <v>12568</v>
      </c>
      <c r="V3543" t="s">
        <v>12568</v>
      </c>
      <c r="W3543" t="s">
        <v>16069</v>
      </c>
      <c r="X3543">
        <v>3</v>
      </c>
      <c r="Y3543" t="s">
        <v>22195</v>
      </c>
      <c r="Z3543" t="s">
        <v>28413</v>
      </c>
      <c r="AA3543">
        <v>0.79591581098492914</v>
      </c>
      <c r="AB3543" t="str">
        <f>HYPERLINK("Melting_Curves/meltCurve_Q5VWN6_FAM208B.pdf", "Melting_Curves/meltCurve_Q5VWN6_FAM208B.pdf")</f>
        <v>Melting_Curves/meltCurve_Q5VWN6_FAM208B.pdf</v>
      </c>
    </row>
    <row r="3544" spans="1:28" x14ac:dyDescent="0.25">
      <c r="A3544" t="s">
        <v>3548</v>
      </c>
      <c r="B3544">
        <v>0.99352677808782597</v>
      </c>
      <c r="C3544">
        <v>0.99517908599365001</v>
      </c>
      <c r="D3544">
        <v>0.92886545436586199</v>
      </c>
      <c r="E3544">
        <v>1.0177712211866801</v>
      </c>
      <c r="F3544">
        <v>0.84417944304044501</v>
      </c>
      <c r="G3544">
        <v>0.66152394122914004</v>
      </c>
      <c r="H3544">
        <v>0.561314568882057</v>
      </c>
      <c r="I3544">
        <v>0.52346347282335803</v>
      </c>
      <c r="J3544">
        <v>0.42700074103061297</v>
      </c>
      <c r="K3544">
        <v>0.35283775607684997</v>
      </c>
      <c r="L3544">
        <v>782.11901819620095</v>
      </c>
      <c r="M3544">
        <v>13.4412441904016</v>
      </c>
      <c r="N3544">
        <v>63.0066733090962</v>
      </c>
      <c r="O3544">
        <v>56.945305554538699</v>
      </c>
      <c r="P3544">
        <v>-4.0065717362082899E-2</v>
      </c>
      <c r="Q3544">
        <v>0.32113408310221803</v>
      </c>
      <c r="R3544">
        <v>0.97315302129893599</v>
      </c>
      <c r="S3544" t="s">
        <v>9829</v>
      </c>
      <c r="T3544" t="s">
        <v>12568</v>
      </c>
      <c r="U3544" t="s">
        <v>12568</v>
      </c>
      <c r="V3544" t="s">
        <v>12568</v>
      </c>
      <c r="W3544" t="s">
        <v>16070</v>
      </c>
      <c r="X3544">
        <v>5</v>
      </c>
      <c r="Y3544" t="s">
        <v>22196</v>
      </c>
      <c r="Z3544" t="s">
        <v>28414</v>
      </c>
      <c r="AA3544">
        <v>0.74135774680800492</v>
      </c>
      <c r="AB3544" t="str">
        <f>HYPERLINK("Melting_Curves/meltCurve_Q5VWQ0_RSBN1.pdf", "Melting_Curves/meltCurve_Q5VWQ0_RSBN1.pdf")</f>
        <v>Melting_Curves/meltCurve_Q5VWQ0_RSBN1.pdf</v>
      </c>
    </row>
    <row r="3545" spans="1:28" x14ac:dyDescent="0.25">
      <c r="A3545" t="s">
        <v>3549</v>
      </c>
      <c r="B3545">
        <v>0.99352677808782597</v>
      </c>
      <c r="C3545">
        <v>0.89561481924664099</v>
      </c>
      <c r="D3545">
        <v>0.88557692024059098</v>
      </c>
      <c r="E3545">
        <v>0.56496274297373295</v>
      </c>
      <c r="F3545">
        <v>0.56391532003225597</v>
      </c>
      <c r="G3545">
        <v>0.377560856226963</v>
      </c>
      <c r="H3545">
        <v>0.39971245936051603</v>
      </c>
      <c r="I3545">
        <v>0.34445066293276</v>
      </c>
      <c r="J3545">
        <v>0.39158289218595199</v>
      </c>
      <c r="K3545">
        <v>0.33026623185697301</v>
      </c>
      <c r="L3545">
        <v>774.88094637371205</v>
      </c>
      <c r="M3545">
        <v>15.7866034769638</v>
      </c>
      <c r="N3545">
        <v>53.097631850299997</v>
      </c>
      <c r="O3545">
        <v>48.317337137705003</v>
      </c>
      <c r="P3545">
        <v>-5.3231675417018599E-2</v>
      </c>
      <c r="Q3545">
        <v>0.348358817243198</v>
      </c>
      <c r="R3545">
        <v>0.97220907790003397</v>
      </c>
      <c r="S3545" t="s">
        <v>9830</v>
      </c>
      <c r="T3545" t="s">
        <v>12568</v>
      </c>
      <c r="U3545" t="s">
        <v>12568</v>
      </c>
      <c r="V3545" t="s">
        <v>12568</v>
      </c>
      <c r="W3545" t="s">
        <v>16071</v>
      </c>
      <c r="X3545">
        <v>9</v>
      </c>
      <c r="Y3545" t="s">
        <v>22197</v>
      </c>
      <c r="Z3545" t="s">
        <v>28415</v>
      </c>
      <c r="AA3545">
        <v>0.56024671671346771</v>
      </c>
      <c r="AB3545" t="str">
        <f>HYPERLINK("Melting_Curves/meltCurve_Q5VWQ8_2_DAB2IP.pdf", "Melting_Curves/meltCurve_Q5VWQ8_2_DAB2IP.pdf")</f>
        <v>Melting_Curves/meltCurve_Q5VWQ8_2_DAB2IP.pdf</v>
      </c>
    </row>
    <row r="3546" spans="1:28" x14ac:dyDescent="0.25">
      <c r="A3546" t="s">
        <v>3550</v>
      </c>
      <c r="B3546">
        <v>0.99352677808782597</v>
      </c>
      <c r="C3546">
        <v>0.95694215252945203</v>
      </c>
      <c r="D3546">
        <v>1.06603882520459</v>
      </c>
      <c r="E3546">
        <v>0.71407326628947598</v>
      </c>
      <c r="F3546">
        <v>0.68770103068277999</v>
      </c>
      <c r="G3546">
        <v>0.21463614453586299</v>
      </c>
      <c r="H3546">
        <v>0.119939101639567</v>
      </c>
      <c r="I3546">
        <v>0.10465977673059</v>
      </c>
      <c r="J3546">
        <v>8.1063052430802196E-2</v>
      </c>
      <c r="K3546">
        <v>8.5402672668805593E-2</v>
      </c>
      <c r="L3546">
        <v>1133.0214874625101</v>
      </c>
      <c r="M3546">
        <v>21.1410834677935</v>
      </c>
      <c r="N3546">
        <v>53.945230486228198</v>
      </c>
      <c r="O3546">
        <v>53.120734118905098</v>
      </c>
      <c r="P3546">
        <v>-9.3089577685592798E-2</v>
      </c>
      <c r="Q3546">
        <v>6.4407789614043406E-2</v>
      </c>
      <c r="R3546">
        <v>0.97608256242046398</v>
      </c>
      <c r="S3546" t="s">
        <v>9831</v>
      </c>
      <c r="T3546" t="s">
        <v>12568</v>
      </c>
      <c r="U3546" t="s">
        <v>12568</v>
      </c>
      <c r="V3546" t="s">
        <v>12568</v>
      </c>
      <c r="W3546" t="s">
        <v>16072</v>
      </c>
      <c r="X3546">
        <v>5</v>
      </c>
      <c r="Y3546" t="s">
        <v>22198</v>
      </c>
      <c r="Z3546" t="s">
        <v>28416</v>
      </c>
      <c r="AA3546">
        <v>0.49998633912402057</v>
      </c>
      <c r="AB3546" t="str">
        <f>HYPERLINK("Melting_Curves/meltCurve_Q5VWZ2_LYPLAL1.pdf", "Melting_Curves/meltCurve_Q5VWZ2_LYPLAL1.pdf")</f>
        <v>Melting_Curves/meltCurve_Q5VWZ2_LYPLAL1.pdf</v>
      </c>
    </row>
    <row r="3547" spans="1:28" x14ac:dyDescent="0.25">
      <c r="A3547" t="s">
        <v>3551</v>
      </c>
      <c r="B3547">
        <v>0.99352677808782597</v>
      </c>
      <c r="C3547">
        <v>0.90743747097106398</v>
      </c>
      <c r="D3547">
        <v>0.93130823017726905</v>
      </c>
      <c r="E3547">
        <v>0.50124040370470702</v>
      </c>
      <c r="F3547">
        <v>0.40492424624869899</v>
      </c>
      <c r="G3547">
        <v>0.25724474656844998</v>
      </c>
      <c r="H3547">
        <v>0.17295964397910099</v>
      </c>
      <c r="I3547">
        <v>0.21819340482003</v>
      </c>
      <c r="J3547">
        <v>0.17772089509284</v>
      </c>
      <c r="K3547">
        <v>0.12657447354642301</v>
      </c>
      <c r="L3547">
        <v>946.71251608999205</v>
      </c>
      <c r="M3547">
        <v>19.014618895658099</v>
      </c>
      <c r="N3547">
        <v>50.885238498090899</v>
      </c>
      <c r="O3547">
        <v>49.247775936506301</v>
      </c>
      <c r="P3547">
        <v>-8.0303157528639396E-2</v>
      </c>
      <c r="Q3547">
        <v>0.168093666423275</v>
      </c>
      <c r="R3547">
        <v>0.98275462767941102</v>
      </c>
      <c r="S3547" t="s">
        <v>9832</v>
      </c>
      <c r="T3547" t="s">
        <v>12568</v>
      </c>
      <c r="U3547" t="s">
        <v>12568</v>
      </c>
      <c r="V3547" t="s">
        <v>12568</v>
      </c>
      <c r="W3547" t="s">
        <v>16073</v>
      </c>
      <c r="X3547">
        <v>2</v>
      </c>
      <c r="Y3547" t="s">
        <v>22199</v>
      </c>
      <c r="Z3547" t="s">
        <v>28417</v>
      </c>
      <c r="AA3547">
        <v>0.45233191452701421</v>
      </c>
      <c r="AB3547" t="str">
        <f>HYPERLINK("Melting_Curves/meltCurve_Q5VX52_SPATA1.pdf", "Melting_Curves/meltCurve_Q5VX52_SPATA1.pdf")</f>
        <v>Melting_Curves/meltCurve_Q5VX52_SPATA1.pdf</v>
      </c>
    </row>
    <row r="3548" spans="1:28" x14ac:dyDescent="0.25">
      <c r="A3548" t="s">
        <v>3552</v>
      </c>
      <c r="B3548">
        <v>0.99352677808782597</v>
      </c>
      <c r="C3548">
        <v>1.02774418318454</v>
      </c>
      <c r="D3548">
        <v>1.0302271038397901</v>
      </c>
      <c r="E3548">
        <v>0.945949974325758</v>
      </c>
      <c r="F3548">
        <v>0.74664340233562099</v>
      </c>
      <c r="G3548">
        <v>0.69633300590038105</v>
      </c>
      <c r="H3548">
        <v>0.56578961904359903</v>
      </c>
      <c r="I3548">
        <v>0.70761478221291896</v>
      </c>
      <c r="J3548">
        <v>0.68513138775617299</v>
      </c>
      <c r="K3548">
        <v>0.56072279998553098</v>
      </c>
      <c r="L3548">
        <v>2078.9615524926598</v>
      </c>
      <c r="M3548">
        <v>39.960534317403798</v>
      </c>
      <c r="O3548">
        <v>51.895590433307497</v>
      </c>
      <c r="P3548">
        <v>-6.9417152868239906E-2</v>
      </c>
      <c r="Q3548">
        <v>0.63940055426015396</v>
      </c>
      <c r="R3548">
        <v>0.92736303025511502</v>
      </c>
      <c r="S3548" t="s">
        <v>9833</v>
      </c>
      <c r="T3548" t="s">
        <v>12568</v>
      </c>
      <c r="U3548" t="s">
        <v>12568</v>
      </c>
      <c r="V3548" t="s">
        <v>12568</v>
      </c>
      <c r="W3548" t="s">
        <v>16074</v>
      </c>
      <c r="X3548">
        <v>1</v>
      </c>
      <c r="Y3548" t="s">
        <v>22200</v>
      </c>
      <c r="Z3548" t="s">
        <v>28418</v>
      </c>
      <c r="AA3548">
        <v>0.78524398636885828</v>
      </c>
      <c r="AB3548" t="str">
        <f>HYPERLINK("Melting_Curves/meltCurve_Q5VXD3_3_SAMD13.pdf", "Melting_Curves/meltCurve_Q5VXD3_3_SAMD13.pdf")</f>
        <v>Melting_Curves/meltCurve_Q5VXD3_3_SAMD13.pdf</v>
      </c>
    </row>
    <row r="3549" spans="1:28" x14ac:dyDescent="0.25">
      <c r="A3549" t="s">
        <v>3553</v>
      </c>
      <c r="B3549">
        <v>0.99352677808782597</v>
      </c>
      <c r="C3549">
        <v>0.966499011291854</v>
      </c>
      <c r="D3549">
        <v>0.86010440876907202</v>
      </c>
      <c r="E3549">
        <v>0.283739630282555</v>
      </c>
      <c r="F3549">
        <v>0.21085840303108899</v>
      </c>
      <c r="G3549">
        <v>0.114702128511844</v>
      </c>
      <c r="H3549">
        <v>8.0372559529321194E-2</v>
      </c>
      <c r="I3549">
        <v>7.6370236542819006E-2</v>
      </c>
      <c r="J3549">
        <v>5.8136826654717602E-2</v>
      </c>
      <c r="K3549">
        <v>4.8453003833265097E-2</v>
      </c>
      <c r="L3549">
        <v>1465.7676183123399</v>
      </c>
      <c r="M3549">
        <v>30.3419963589505</v>
      </c>
      <c r="N3549">
        <v>48.593071516197902</v>
      </c>
      <c r="O3549">
        <v>48.099829949178499</v>
      </c>
      <c r="P3549">
        <v>-0.14485546107186201</v>
      </c>
      <c r="Q3549">
        <v>8.1473804031302804E-2</v>
      </c>
      <c r="R3549">
        <v>0.99331969209323201</v>
      </c>
      <c r="S3549" t="s">
        <v>9834</v>
      </c>
      <c r="T3549" t="s">
        <v>12568</v>
      </c>
      <c r="U3549" t="s">
        <v>12568</v>
      </c>
      <c r="V3549" t="s">
        <v>12568</v>
      </c>
      <c r="W3549" t="s">
        <v>16075</v>
      </c>
      <c r="X3549">
        <v>41</v>
      </c>
      <c r="Y3549" t="s">
        <v>22201</v>
      </c>
      <c r="Z3549" t="s">
        <v>28419</v>
      </c>
      <c r="AA3549">
        <v>0.34126717737355589</v>
      </c>
      <c r="AB3549" t="str">
        <f>HYPERLINK("Melting_Curves/meltCurve_Q5VYK3_ECM29.pdf", "Melting_Curves/meltCurve_Q5VYK3_ECM29.pdf")</f>
        <v>Melting_Curves/meltCurve_Q5VYK3_ECM29.pdf</v>
      </c>
    </row>
    <row r="3550" spans="1:28" x14ac:dyDescent="0.25">
      <c r="A3550" t="s">
        <v>3554</v>
      </c>
      <c r="B3550">
        <v>0.99352677808782597</v>
      </c>
      <c r="C3550">
        <v>0</v>
      </c>
      <c r="D3550">
        <v>0.936952496909913</v>
      </c>
      <c r="E3550">
        <v>1.1457408655894501</v>
      </c>
      <c r="F3550">
        <v>1.05417364188262</v>
      </c>
      <c r="G3550">
        <v>1.09116154973312</v>
      </c>
      <c r="H3550">
        <v>0.83385334438165204</v>
      </c>
      <c r="I3550">
        <v>0.945725389610375</v>
      </c>
      <c r="J3550">
        <v>0.78250785780805399</v>
      </c>
      <c r="K3550">
        <v>0.88831427276203401</v>
      </c>
      <c r="L3550">
        <v>1.0000000000000001E-5</v>
      </c>
      <c r="M3550">
        <v>1.0000000000000001E-5</v>
      </c>
      <c r="Q3550">
        <v>0.73439254663965503</v>
      </c>
      <c r="R3550">
        <v>-3.9031944343292902E-9</v>
      </c>
      <c r="S3550" t="s">
        <v>9835</v>
      </c>
      <c r="T3550" t="s">
        <v>12568</v>
      </c>
      <c r="U3550" t="s">
        <v>12568</v>
      </c>
      <c r="V3550" t="s">
        <v>12568</v>
      </c>
      <c r="W3550" t="s">
        <v>16076</v>
      </c>
      <c r="X3550">
        <v>3</v>
      </c>
      <c r="Y3550" t="s">
        <v>22202</v>
      </c>
      <c r="Z3550" t="s">
        <v>28420</v>
      </c>
      <c r="AA3550">
        <v>0.86719562168770437</v>
      </c>
      <c r="AB3550" t="str">
        <f>HYPERLINK("Melting_Curves/meltCurve_Q5VYV7_SLX4IP.pdf", "Melting_Curves/meltCurve_Q5VYV7_SLX4IP.pdf")</f>
        <v>Melting_Curves/meltCurve_Q5VYV7_SLX4IP.pdf</v>
      </c>
    </row>
    <row r="3551" spans="1:28" x14ac:dyDescent="0.25">
      <c r="A3551" t="s">
        <v>3555</v>
      </c>
      <c r="B3551">
        <v>0.99352677808782597</v>
      </c>
      <c r="C3551">
        <v>1.0210717874952699</v>
      </c>
      <c r="D3551">
        <v>1.10169300524253</v>
      </c>
      <c r="E3551">
        <v>0.74424925665113895</v>
      </c>
      <c r="F3551">
        <v>0.64073544861600196</v>
      </c>
      <c r="G3551">
        <v>0.43155810185257798</v>
      </c>
      <c r="H3551">
        <v>0.16590456707133</v>
      </c>
      <c r="I3551">
        <v>0.115841604507731</v>
      </c>
      <c r="J3551">
        <v>9.5418626035176896E-2</v>
      </c>
      <c r="K3551">
        <v>8.9518907503640596E-2</v>
      </c>
      <c r="L3551">
        <v>890.22202757393904</v>
      </c>
      <c r="M3551">
        <v>16.270144465132098</v>
      </c>
      <c r="N3551">
        <v>55.0619985461543</v>
      </c>
      <c r="O3551">
        <v>53.908555346186297</v>
      </c>
      <c r="P3551">
        <v>-7.1781972370079994E-2</v>
      </c>
      <c r="Q3551">
        <v>4.8717326251382101E-2</v>
      </c>
      <c r="R3551">
        <v>0.97791003335078797</v>
      </c>
      <c r="S3551" t="s">
        <v>9836</v>
      </c>
      <c r="T3551" t="s">
        <v>12568</v>
      </c>
      <c r="U3551" t="s">
        <v>12568</v>
      </c>
      <c r="V3551" t="s">
        <v>12568</v>
      </c>
      <c r="W3551" t="s">
        <v>16077</v>
      </c>
      <c r="X3551">
        <v>2</v>
      </c>
      <c r="Y3551" t="s">
        <v>22203</v>
      </c>
      <c r="Z3551" t="s">
        <v>28421</v>
      </c>
      <c r="AA3551">
        <v>0.53231827379158492</v>
      </c>
      <c r="AB3551" t="str">
        <f>HYPERLINK("Melting_Curves/meltCurve_Q5VYX0_2_RNLS.pdf", "Melting_Curves/meltCurve_Q5VYX0_2_RNLS.pdf")</f>
        <v>Melting_Curves/meltCurve_Q5VYX0_2_RNLS.pdf</v>
      </c>
    </row>
    <row r="3552" spans="1:28" x14ac:dyDescent="0.25">
      <c r="A3552" t="s">
        <v>3556</v>
      </c>
      <c r="B3552">
        <v>0.99352677808782597</v>
      </c>
      <c r="C3552">
        <v>1.0263813477561301</v>
      </c>
      <c r="D3552">
        <v>0.80925661303295304</v>
      </c>
      <c r="E3552">
        <v>0.33694134311313501</v>
      </c>
      <c r="F3552">
        <v>0.25566338934969701</v>
      </c>
      <c r="G3552">
        <v>0.15826861026188299</v>
      </c>
      <c r="H3552">
        <v>0.122066806746044</v>
      </c>
      <c r="I3552">
        <v>0.124335442763379</v>
      </c>
      <c r="J3552">
        <v>0.111257465463873</v>
      </c>
      <c r="K3552">
        <v>8.9731508920342401E-2</v>
      </c>
      <c r="L3552">
        <v>1288.3500249467299</v>
      </c>
      <c r="M3552">
        <v>26.714998468768002</v>
      </c>
      <c r="N3552">
        <v>48.745111263442801</v>
      </c>
      <c r="O3552">
        <v>47.957928569091202</v>
      </c>
      <c r="P3552">
        <v>-0.12201437828448999</v>
      </c>
      <c r="Q3552">
        <v>0.123863490862268</v>
      </c>
      <c r="R3552">
        <v>0.99278677362993195</v>
      </c>
      <c r="S3552" t="s">
        <v>9837</v>
      </c>
      <c r="T3552" t="s">
        <v>12568</v>
      </c>
      <c r="U3552" t="s">
        <v>12568</v>
      </c>
      <c r="V3552" t="s">
        <v>12568</v>
      </c>
      <c r="W3552" t="s">
        <v>16078</v>
      </c>
      <c r="X3552">
        <v>9</v>
      </c>
      <c r="Y3552" t="s">
        <v>22204</v>
      </c>
      <c r="Z3552" t="s">
        <v>28422</v>
      </c>
      <c r="AA3552">
        <v>0.37082534751542567</v>
      </c>
      <c r="AB3552" t="str">
        <f>HYPERLINK("Melting_Curves/meltCurve_Q5VZE5_NAA35.pdf", "Melting_Curves/meltCurve_Q5VZE5_NAA35.pdf")</f>
        <v>Melting_Curves/meltCurve_Q5VZE5_NAA35.pdf</v>
      </c>
    </row>
    <row r="3553" spans="1:28" x14ac:dyDescent="0.25">
      <c r="A3553" t="s">
        <v>3557</v>
      </c>
      <c r="B3553">
        <v>0.99352677808782597</v>
      </c>
      <c r="C3553">
        <v>0.99361971299593699</v>
      </c>
      <c r="D3553">
        <v>0.91743284240289602</v>
      </c>
      <c r="E3553">
        <v>0.94683238095563405</v>
      </c>
      <c r="F3553">
        <v>0.83605710716385695</v>
      </c>
      <c r="G3553">
        <v>0.61701036404784704</v>
      </c>
      <c r="H3553">
        <v>0.35845733760652798</v>
      </c>
      <c r="I3553">
        <v>0.33881858196240999</v>
      </c>
      <c r="J3553">
        <v>0.30612907071069101</v>
      </c>
      <c r="K3553">
        <v>0.25974483133577297</v>
      </c>
      <c r="L3553">
        <v>1084.0344937743901</v>
      </c>
      <c r="M3553">
        <v>19.177694472664299</v>
      </c>
      <c r="N3553">
        <v>58.6660999650653</v>
      </c>
      <c r="O3553">
        <v>55.921942807740002</v>
      </c>
      <c r="P3553">
        <v>-6.4164088457021595E-2</v>
      </c>
      <c r="Q3553">
        <v>0.25162169525274303</v>
      </c>
      <c r="R3553">
        <v>0.99069100199317695</v>
      </c>
      <c r="S3553" t="s">
        <v>9838</v>
      </c>
      <c r="T3553" t="s">
        <v>12568</v>
      </c>
      <c r="U3553" t="s">
        <v>12568</v>
      </c>
      <c r="V3553" t="s">
        <v>12568</v>
      </c>
      <c r="W3553" t="s">
        <v>16079</v>
      </c>
      <c r="X3553">
        <v>42</v>
      </c>
      <c r="Y3553" t="s">
        <v>22205</v>
      </c>
      <c r="Z3553" t="s">
        <v>28423</v>
      </c>
      <c r="AA3553">
        <v>0.673785147051154</v>
      </c>
      <c r="AB3553" t="str">
        <f>HYPERLINK("Melting_Curves/meltCurve_Q5VZK9_LRRC16A.pdf", "Melting_Curves/meltCurve_Q5VZK9_LRRC16A.pdf")</f>
        <v>Melting_Curves/meltCurve_Q5VZK9_LRRC16A.pdf</v>
      </c>
    </row>
    <row r="3554" spans="1:28" x14ac:dyDescent="0.25">
      <c r="A3554" t="s">
        <v>3558</v>
      </c>
      <c r="B3554">
        <v>0.99352677808782597</v>
      </c>
      <c r="C3554">
        <v>0.95923573768862003</v>
      </c>
      <c r="D3554">
        <v>0.97107853060891203</v>
      </c>
      <c r="E3554">
        <v>0.91404039891062105</v>
      </c>
      <c r="F3554">
        <v>0.86541707414982405</v>
      </c>
      <c r="G3554">
        <v>0.73562577232248805</v>
      </c>
      <c r="H3554">
        <v>0.62872977449275202</v>
      </c>
      <c r="I3554">
        <v>0.71410034446814996</v>
      </c>
      <c r="J3554">
        <v>0.70177310243495605</v>
      </c>
      <c r="K3554">
        <v>0.62747760076706505</v>
      </c>
      <c r="L3554">
        <v>969.04520075475796</v>
      </c>
      <c r="M3554">
        <v>18.117957608467801</v>
      </c>
      <c r="O3554">
        <v>52.8465111509379</v>
      </c>
      <c r="P3554">
        <v>-2.96481117622691E-2</v>
      </c>
      <c r="Q3554">
        <v>0.65410568040920203</v>
      </c>
      <c r="R3554">
        <v>0.946644249435031</v>
      </c>
      <c r="S3554" t="s">
        <v>9839</v>
      </c>
      <c r="T3554" t="s">
        <v>12568</v>
      </c>
      <c r="U3554" t="s">
        <v>12568</v>
      </c>
      <c r="V3554" t="s">
        <v>12568</v>
      </c>
      <c r="W3554" t="s">
        <v>16080</v>
      </c>
      <c r="X3554">
        <v>8</v>
      </c>
      <c r="Y3554" t="s">
        <v>22206</v>
      </c>
      <c r="Z3554" t="s">
        <v>28424</v>
      </c>
      <c r="AA3554">
        <v>0.81513917504148148</v>
      </c>
      <c r="AB3554" t="str">
        <f>HYPERLINK("Melting_Curves/meltCurve_Q5VZL5_4_ZMYM4.pdf", "Melting_Curves/meltCurve_Q5VZL5_4_ZMYM4.pdf")</f>
        <v>Melting_Curves/meltCurve_Q5VZL5_4_ZMYM4.pdf</v>
      </c>
    </row>
    <row r="3555" spans="1:28" x14ac:dyDescent="0.25">
      <c r="A3555" t="s">
        <v>3559</v>
      </c>
      <c r="B3555">
        <v>0.99352677808782597</v>
      </c>
      <c r="C3555">
        <v>0.93935724532574305</v>
      </c>
      <c r="D3555">
        <v>0.86929458968600304</v>
      </c>
      <c r="E3555">
        <v>0.56060387145912804</v>
      </c>
      <c r="F3555">
        <v>0.47464374103692097</v>
      </c>
      <c r="G3555">
        <v>0.28841785125713398</v>
      </c>
      <c r="H3555">
        <v>0.20910681601762701</v>
      </c>
      <c r="I3555">
        <v>0.16020751243638801</v>
      </c>
      <c r="J3555">
        <v>0.10086302586200099</v>
      </c>
      <c r="K3555">
        <v>7.1637692818804596E-2</v>
      </c>
      <c r="L3555">
        <v>637.23268558784696</v>
      </c>
      <c r="M3555">
        <v>12.345907756867</v>
      </c>
      <c r="N3555">
        <v>52.172806511577697</v>
      </c>
      <c r="O3555">
        <v>50.316793471362899</v>
      </c>
      <c r="P3555">
        <v>-5.7560068059210497E-2</v>
      </c>
      <c r="Q3555">
        <v>6.1839215450127501E-2</v>
      </c>
      <c r="R3555">
        <v>0.992952249647712</v>
      </c>
      <c r="S3555" t="s">
        <v>9840</v>
      </c>
      <c r="T3555" t="s">
        <v>12568</v>
      </c>
      <c r="U3555" t="s">
        <v>12568</v>
      </c>
      <c r="V3555" t="s">
        <v>12568</v>
      </c>
      <c r="W3555" t="s">
        <v>16081</v>
      </c>
      <c r="X3555">
        <v>26</v>
      </c>
      <c r="Y3555" t="s">
        <v>22207</v>
      </c>
      <c r="Z3555" t="s">
        <v>28425</v>
      </c>
      <c r="AA3555">
        <v>0.45339137899210602</v>
      </c>
      <c r="AB3555" t="str">
        <f>HYPERLINK("Melting_Curves/meltCurve_Q5W015_PFKFB3.pdf", "Melting_Curves/meltCurve_Q5W015_PFKFB3.pdf")</f>
        <v>Melting_Curves/meltCurve_Q5W015_PFKFB3.pdf</v>
      </c>
    </row>
    <row r="3556" spans="1:28" x14ac:dyDescent="0.25">
      <c r="A3556" t="s">
        <v>3560</v>
      </c>
      <c r="B3556">
        <v>0.99352677808782597</v>
      </c>
      <c r="C3556">
        <v>0.99601912831063499</v>
      </c>
      <c r="D3556">
        <v>0.90607329690420702</v>
      </c>
      <c r="E3556">
        <v>0.85570992030691795</v>
      </c>
      <c r="F3556">
        <v>0.66854287228389397</v>
      </c>
      <c r="G3556">
        <v>0.56686321782990401</v>
      </c>
      <c r="H3556">
        <v>0.60233651742432104</v>
      </c>
      <c r="I3556">
        <v>0.60774842326184697</v>
      </c>
      <c r="J3556">
        <v>0.79106367727673199</v>
      </c>
      <c r="K3556">
        <v>0.59476708905403897</v>
      </c>
      <c r="L3556">
        <v>1625.94720107423</v>
      </c>
      <c r="M3556">
        <v>32.397675730088501</v>
      </c>
      <c r="O3556">
        <v>49.997090579302302</v>
      </c>
      <c r="P3556">
        <v>-5.9934663453135799E-2</v>
      </c>
      <c r="Q3556">
        <v>0.63002962272066698</v>
      </c>
      <c r="R3556">
        <v>0.84612492193952704</v>
      </c>
      <c r="S3556" t="s">
        <v>9841</v>
      </c>
      <c r="T3556" t="s">
        <v>12568</v>
      </c>
      <c r="U3556" t="s">
        <v>12568</v>
      </c>
      <c r="V3556" t="s">
        <v>12568</v>
      </c>
      <c r="W3556" t="s">
        <v>16082</v>
      </c>
      <c r="X3556">
        <v>3</v>
      </c>
      <c r="Y3556" t="s">
        <v>22208</v>
      </c>
      <c r="Z3556" t="s">
        <v>28426</v>
      </c>
      <c r="AA3556">
        <v>0.75762620458318941</v>
      </c>
      <c r="AB3556" t="str">
        <f>HYPERLINK("Melting_Curves/meltCurve_Q5W0B1_RNF219.pdf", "Melting_Curves/meltCurve_Q5W0B1_RNF219.pdf")</f>
        <v>Melting_Curves/meltCurve_Q5W0B1_RNF219.pdf</v>
      </c>
    </row>
    <row r="3557" spans="1:28" x14ac:dyDescent="0.25">
      <c r="A3557" t="s">
        <v>3561</v>
      </c>
      <c r="B3557">
        <v>0.99352677808782597</v>
      </c>
      <c r="C3557">
        <v>1.02352903047835</v>
      </c>
      <c r="D3557">
        <v>0.94376116414504196</v>
      </c>
      <c r="E3557">
        <v>0.85457846425276096</v>
      </c>
      <c r="F3557">
        <v>0.69264570852563501</v>
      </c>
      <c r="G3557">
        <v>0.46067843423060201</v>
      </c>
      <c r="H3557">
        <v>0.21304858506273699</v>
      </c>
      <c r="I3557">
        <v>0.16833010475391499</v>
      </c>
      <c r="J3557">
        <v>0.13619492565396199</v>
      </c>
      <c r="K3557">
        <v>8.9364919767308496E-2</v>
      </c>
      <c r="L3557">
        <v>861.39550396048901</v>
      </c>
      <c r="M3557">
        <v>15.5057608730132</v>
      </c>
      <c r="N3557">
        <v>55.990853255750601</v>
      </c>
      <c r="O3557">
        <v>54.653851262779597</v>
      </c>
      <c r="P3557">
        <v>-6.6885415615560995E-2</v>
      </c>
      <c r="Q3557">
        <v>5.7067481573280503E-2</v>
      </c>
      <c r="R3557">
        <v>0.99738388378342602</v>
      </c>
      <c r="S3557" t="s">
        <v>9842</v>
      </c>
      <c r="T3557" t="s">
        <v>12568</v>
      </c>
      <c r="U3557" t="s">
        <v>12568</v>
      </c>
      <c r="V3557" t="s">
        <v>12568</v>
      </c>
      <c r="W3557" t="s">
        <v>16083</v>
      </c>
      <c r="X3557">
        <v>9</v>
      </c>
      <c r="Y3557" t="s">
        <v>22209</v>
      </c>
      <c r="Z3557" t="s">
        <v>28427</v>
      </c>
      <c r="AA3557">
        <v>0.56278501434414596</v>
      </c>
      <c r="AB3557" t="str">
        <f>HYPERLINK("Melting_Curves/meltCurve_Q5W0V3_FAM160B1.pdf", "Melting_Curves/meltCurve_Q5W0V3_FAM160B1.pdf")</f>
        <v>Melting_Curves/meltCurve_Q5W0V3_FAM160B1.pdf</v>
      </c>
    </row>
    <row r="3558" spans="1:28" x14ac:dyDescent="0.25">
      <c r="A3558" t="s">
        <v>3562</v>
      </c>
      <c r="B3558">
        <v>0.99352677808782597</v>
      </c>
      <c r="C3558">
        <v>1.0209265824088101</v>
      </c>
      <c r="D3558">
        <v>0.97671130508027504</v>
      </c>
      <c r="E3558">
        <v>0.64989055687229802</v>
      </c>
      <c r="F3558">
        <v>0.55475133004339605</v>
      </c>
      <c r="G3558">
        <v>0.22767332691147599</v>
      </c>
      <c r="H3558">
        <v>0.16637986070074401</v>
      </c>
      <c r="I3558">
        <v>0.134205650747376</v>
      </c>
      <c r="J3558">
        <v>0.12775001900933899</v>
      </c>
      <c r="K3558">
        <v>8.9000075948406199E-2</v>
      </c>
      <c r="L3558">
        <v>944.94887919490702</v>
      </c>
      <c r="M3558">
        <v>18.0829542446068</v>
      </c>
      <c r="N3558">
        <v>52.8851673610218</v>
      </c>
      <c r="O3558">
        <v>51.6298325392832</v>
      </c>
      <c r="P3558">
        <v>-7.9094206387004498E-2</v>
      </c>
      <c r="Q3558">
        <v>9.6735474029394003E-2</v>
      </c>
      <c r="R3558">
        <v>0.98938938623387995</v>
      </c>
      <c r="S3558" t="s">
        <v>9843</v>
      </c>
      <c r="T3558" t="s">
        <v>12568</v>
      </c>
      <c r="U3558" t="s">
        <v>12568</v>
      </c>
      <c r="V3558" t="s">
        <v>12568</v>
      </c>
      <c r="W3558" t="s">
        <v>16084</v>
      </c>
      <c r="X3558">
        <v>2</v>
      </c>
      <c r="Y3558" t="s">
        <v>22210</v>
      </c>
      <c r="Z3558" t="s">
        <v>28428</v>
      </c>
      <c r="AA3558">
        <v>0.48061993224361438</v>
      </c>
      <c r="AB3558" t="str">
        <f>HYPERLINK("Melting_Curves/meltCurve_Q5W111_2_SPRYD7.pdf", "Melting_Curves/meltCurve_Q5W111_2_SPRYD7.pdf")</f>
        <v>Melting_Curves/meltCurve_Q5W111_2_SPRYD7.pdf</v>
      </c>
    </row>
    <row r="3559" spans="1:28" x14ac:dyDescent="0.25">
      <c r="A3559" t="s">
        <v>3563</v>
      </c>
      <c r="B3559">
        <v>0.99352677808782597</v>
      </c>
      <c r="C3559">
        <v>1.00775208130282</v>
      </c>
      <c r="D3559">
        <v>0.88547854750875798</v>
      </c>
      <c r="E3559">
        <v>0.42194962849094098</v>
      </c>
      <c r="F3559">
        <v>0.35017895230700702</v>
      </c>
      <c r="G3559">
        <v>0.28316807982974201</v>
      </c>
      <c r="H3559">
        <v>0.20695626578430901</v>
      </c>
      <c r="I3559">
        <v>0.17880419652069701</v>
      </c>
      <c r="J3559">
        <v>0.18271329006136799</v>
      </c>
      <c r="K3559">
        <v>0.12967911056522699</v>
      </c>
      <c r="L3559">
        <v>1212.25212375258</v>
      </c>
      <c r="M3559">
        <v>24.836763205572701</v>
      </c>
      <c r="N3559">
        <v>49.789593514617003</v>
      </c>
      <c r="O3559">
        <v>48.495674461714998</v>
      </c>
      <c r="P3559">
        <v>-0.103267436025249</v>
      </c>
      <c r="Q3559">
        <v>0.19346113875844401</v>
      </c>
      <c r="R3559">
        <v>0.98420253372899502</v>
      </c>
      <c r="S3559" t="s">
        <v>9844</v>
      </c>
      <c r="T3559" t="s">
        <v>12568</v>
      </c>
      <c r="U3559" t="s">
        <v>12568</v>
      </c>
      <c r="V3559" t="s">
        <v>12568</v>
      </c>
      <c r="W3559" t="s">
        <v>16085</v>
      </c>
      <c r="X3559">
        <v>4</v>
      </c>
      <c r="Y3559" t="s">
        <v>22211</v>
      </c>
      <c r="Z3559" t="s">
        <v>28429</v>
      </c>
      <c r="AA3559">
        <v>0.43751859894930789</v>
      </c>
      <c r="AB3559" t="str">
        <f>HYPERLINK("Melting_Curves/meltCurve_Q5XPI4_RNF123.pdf", "Melting_Curves/meltCurve_Q5XPI4_RNF123.pdf")</f>
        <v>Melting_Curves/meltCurve_Q5XPI4_RNF123.pdf</v>
      </c>
    </row>
    <row r="3560" spans="1:28" x14ac:dyDescent="0.25">
      <c r="A3560" t="s">
        <v>3564</v>
      </c>
      <c r="B3560">
        <v>0.99352677808782597</v>
      </c>
      <c r="C3560">
        <v>0.97138246247377003</v>
      </c>
      <c r="D3560">
        <v>0.93558979220580296</v>
      </c>
      <c r="E3560">
        <v>0.60160428548374301</v>
      </c>
      <c r="F3560">
        <v>0.56640506433354099</v>
      </c>
      <c r="G3560">
        <v>0.25295620413672298</v>
      </c>
      <c r="H3560">
        <v>0.102116741548109</v>
      </c>
      <c r="I3560">
        <v>0.108803109915692</v>
      </c>
      <c r="J3560">
        <v>9.8536783485112397E-2</v>
      </c>
      <c r="K3560">
        <v>0.120818212474101</v>
      </c>
      <c r="L3560">
        <v>817.22663560999001</v>
      </c>
      <c r="M3560">
        <v>15.6552014899572</v>
      </c>
      <c r="N3560">
        <v>52.684153973352103</v>
      </c>
      <c r="O3560">
        <v>51.372102625829399</v>
      </c>
      <c r="P3560">
        <v>-7.1102819249563007E-2</v>
      </c>
      <c r="Q3560">
        <v>6.6792142911203806E-2</v>
      </c>
      <c r="R3560">
        <v>0.98443333495728602</v>
      </c>
      <c r="S3560" t="s">
        <v>9845</v>
      </c>
      <c r="T3560" t="s">
        <v>12568</v>
      </c>
      <c r="U3560" t="s">
        <v>12568</v>
      </c>
      <c r="V3560" t="s">
        <v>12568</v>
      </c>
      <c r="W3560" t="s">
        <v>16086</v>
      </c>
      <c r="X3560">
        <v>3</v>
      </c>
      <c r="Y3560" t="s">
        <v>22212</v>
      </c>
      <c r="Z3560" t="s">
        <v>28430</v>
      </c>
      <c r="AA3560">
        <v>0.46575424440781532</v>
      </c>
      <c r="AB3560" t="str">
        <f>HYPERLINK("Melting_Curves/meltCurve_Q5XUX1_3_FBXW9.pdf", "Melting_Curves/meltCurve_Q5XUX1_3_FBXW9.pdf")</f>
        <v>Melting_Curves/meltCurve_Q5XUX1_3_FBXW9.pdf</v>
      </c>
    </row>
    <row r="3561" spans="1:28" x14ac:dyDescent="0.25">
      <c r="A3561" t="s">
        <v>3565</v>
      </c>
      <c r="B3561">
        <v>0.99352677808782597</v>
      </c>
      <c r="C3561">
        <v>0.99663939672041901</v>
      </c>
      <c r="D3561">
        <v>0.93630725530487902</v>
      </c>
      <c r="E3561">
        <v>0.567074203432132</v>
      </c>
      <c r="F3561">
        <v>0.441175525997337</v>
      </c>
      <c r="G3561">
        <v>0.249957504067787</v>
      </c>
      <c r="H3561">
        <v>0.25467827705261598</v>
      </c>
      <c r="I3561">
        <v>0.26047925405556999</v>
      </c>
      <c r="J3561">
        <v>0.17752791921153699</v>
      </c>
      <c r="K3561">
        <v>9.6040788954745604E-2</v>
      </c>
      <c r="L3561">
        <v>981.35989269776496</v>
      </c>
      <c r="M3561">
        <v>19.4782878307354</v>
      </c>
      <c r="N3561">
        <v>51.591267126456998</v>
      </c>
      <c r="O3561">
        <v>49.860221551283203</v>
      </c>
      <c r="P3561">
        <v>-7.9771242420671004E-2</v>
      </c>
      <c r="Q3561">
        <v>0.18324071330616601</v>
      </c>
      <c r="R3561">
        <v>0.98114945997166403</v>
      </c>
      <c r="S3561" t="s">
        <v>9846</v>
      </c>
      <c r="T3561" t="s">
        <v>12568</v>
      </c>
      <c r="U3561" t="s">
        <v>12568</v>
      </c>
      <c r="V3561" t="s">
        <v>12568</v>
      </c>
      <c r="W3561" t="s">
        <v>16087</v>
      </c>
      <c r="X3561">
        <v>2</v>
      </c>
      <c r="Y3561" t="s">
        <v>22213</v>
      </c>
      <c r="Z3561" t="s">
        <v>28431</v>
      </c>
      <c r="AA3561">
        <v>0.47784576991227629</v>
      </c>
      <c r="AB3561" t="str">
        <f>HYPERLINK("Melting_Curves/meltCurve_Q63HM9_PLCXD3.pdf", "Melting_Curves/meltCurve_Q63HM9_PLCXD3.pdf")</f>
        <v>Melting_Curves/meltCurve_Q63HM9_PLCXD3.pdf</v>
      </c>
    </row>
    <row r="3562" spans="1:28" x14ac:dyDescent="0.25">
      <c r="A3562" t="s">
        <v>3566</v>
      </c>
      <c r="B3562">
        <v>0.99352677808782597</v>
      </c>
      <c r="C3562">
        <v>0.90085197643237502</v>
      </c>
      <c r="D3562">
        <v>1.0156179377524599</v>
      </c>
      <c r="E3562">
        <v>0.83272907502025395</v>
      </c>
      <c r="F3562">
        <v>0.77662870374813398</v>
      </c>
      <c r="G3562">
        <v>0.75120833258382103</v>
      </c>
      <c r="H3562">
        <v>0.70308208515496895</v>
      </c>
      <c r="I3562">
        <v>0.86311607298960502</v>
      </c>
      <c r="J3562">
        <v>0.72650501593308903</v>
      </c>
      <c r="K3562">
        <v>0.77244506071205399</v>
      </c>
      <c r="L3562">
        <v>4356.5068779938802</v>
      </c>
      <c r="M3562">
        <v>88.034325484440103</v>
      </c>
      <c r="O3562">
        <v>49.460938178872603</v>
      </c>
      <c r="P3562">
        <v>-0.10441095665356299</v>
      </c>
      <c r="Q3562">
        <v>0.76535228261406196</v>
      </c>
      <c r="R3562">
        <v>0.76092742080850895</v>
      </c>
      <c r="S3562" t="s">
        <v>9847</v>
      </c>
      <c r="T3562" t="s">
        <v>12568</v>
      </c>
      <c r="U3562" t="s">
        <v>12568</v>
      </c>
      <c r="V3562" t="s">
        <v>12568</v>
      </c>
      <c r="W3562" t="s">
        <v>16088</v>
      </c>
      <c r="X3562">
        <v>78</v>
      </c>
      <c r="Y3562" t="s">
        <v>22214</v>
      </c>
      <c r="Z3562" t="s">
        <v>28432</v>
      </c>
      <c r="AA3562">
        <v>0.83971606773545937</v>
      </c>
      <c r="AB3562" t="str">
        <f>HYPERLINK("Melting_Curves/meltCurve_Q63HN8_RNF213.pdf", "Melting_Curves/meltCurve_Q63HN8_RNF213.pdf")</f>
        <v>Melting_Curves/meltCurve_Q63HN8_RNF213.pdf</v>
      </c>
    </row>
    <row r="3563" spans="1:28" x14ac:dyDescent="0.25">
      <c r="A3563" t="s">
        <v>3567</v>
      </c>
      <c r="B3563">
        <v>0.99352677808782597</v>
      </c>
      <c r="C3563">
        <v>0.90180924921528005</v>
      </c>
      <c r="D3563">
        <v>0.80745429288784798</v>
      </c>
      <c r="E3563">
        <v>0.35396288473313098</v>
      </c>
      <c r="F3563">
        <v>0.29276188260390001</v>
      </c>
      <c r="G3563">
        <v>0.17862518251494999</v>
      </c>
      <c r="H3563">
        <v>0.13948811038589301</v>
      </c>
      <c r="I3563">
        <v>0.140981577134802</v>
      </c>
      <c r="J3563">
        <v>0.12819909655407599</v>
      </c>
      <c r="K3563">
        <v>0.104137215252634</v>
      </c>
      <c r="L3563">
        <v>998.35666844468597</v>
      </c>
      <c r="M3563">
        <v>20.712698074098</v>
      </c>
      <c r="N3563">
        <v>48.909729367507197</v>
      </c>
      <c r="O3563">
        <v>47.757680838416398</v>
      </c>
      <c r="P3563">
        <v>-9.4358880339924497E-2</v>
      </c>
      <c r="Q3563">
        <v>0.12976405214473</v>
      </c>
      <c r="R3563">
        <v>0.99156232830500701</v>
      </c>
      <c r="S3563" t="s">
        <v>9848</v>
      </c>
      <c r="T3563" t="s">
        <v>12568</v>
      </c>
      <c r="U3563" t="s">
        <v>12568</v>
      </c>
      <c r="V3563" t="s">
        <v>12568</v>
      </c>
      <c r="W3563" t="s">
        <v>16089</v>
      </c>
      <c r="X3563">
        <v>76</v>
      </c>
      <c r="Y3563" t="s">
        <v>22214</v>
      </c>
      <c r="Z3563" t="s">
        <v>28433</v>
      </c>
      <c r="AA3563">
        <v>0.37907900953963641</v>
      </c>
      <c r="AB3563" t="str">
        <f>HYPERLINK("Melting_Curves/meltCurve_Q63HN8_4_RNF213.pdf", "Melting_Curves/meltCurve_Q63HN8_4_RNF213.pdf")</f>
        <v>Melting_Curves/meltCurve_Q63HN8_4_RNF213.pdf</v>
      </c>
    </row>
    <row r="3564" spans="1:28" x14ac:dyDescent="0.25">
      <c r="A3564" t="s">
        <v>3568</v>
      </c>
      <c r="B3564">
        <v>0.99352677808782597</v>
      </c>
      <c r="C3564">
        <v>0.91226854835361504</v>
      </c>
      <c r="D3564">
        <v>1.0008746236956501</v>
      </c>
      <c r="E3564">
        <v>0.65555218192947595</v>
      </c>
      <c r="F3564">
        <v>0.602045210728683</v>
      </c>
      <c r="G3564">
        <v>0.42298501841098002</v>
      </c>
      <c r="H3564">
        <v>0.375227179908593</v>
      </c>
      <c r="I3564">
        <v>0.33707593594969798</v>
      </c>
      <c r="J3564">
        <v>0.32966017693982802</v>
      </c>
      <c r="K3564">
        <v>0.27395116112034601</v>
      </c>
      <c r="L3564">
        <v>798.68759918708304</v>
      </c>
      <c r="M3564">
        <v>15.516024218320201</v>
      </c>
      <c r="N3564">
        <v>54.674260172131497</v>
      </c>
      <c r="O3564">
        <v>50.642713433656603</v>
      </c>
      <c r="P3564">
        <v>-5.3750434749882503E-2</v>
      </c>
      <c r="Q3564">
        <v>0.29831842834856898</v>
      </c>
      <c r="R3564">
        <v>0.97229786188335898</v>
      </c>
      <c r="S3564" t="s">
        <v>9849</v>
      </c>
      <c r="T3564" t="s">
        <v>12568</v>
      </c>
      <c r="U3564" t="s">
        <v>12568</v>
      </c>
      <c r="V3564" t="s">
        <v>12568</v>
      </c>
      <c r="W3564" t="s">
        <v>16090</v>
      </c>
      <c r="X3564">
        <v>9</v>
      </c>
      <c r="Y3564" t="s">
        <v>22215</v>
      </c>
      <c r="Z3564" t="s">
        <v>28434</v>
      </c>
      <c r="AA3564">
        <v>0.58183220570293193</v>
      </c>
      <c r="AB3564" t="str">
        <f>HYPERLINK("Melting_Curves/meltCurve_Q63ZY3_3_KANK2.pdf", "Melting_Curves/meltCurve_Q63ZY3_3_KANK2.pdf")</f>
        <v>Melting_Curves/meltCurve_Q63ZY3_3_KANK2.pdf</v>
      </c>
    </row>
    <row r="3565" spans="1:28" x14ac:dyDescent="0.25">
      <c r="A3565" t="s">
        <v>3569</v>
      </c>
      <c r="B3565">
        <v>0.99352677808782597</v>
      </c>
      <c r="C3565">
        <v>0.97962119508138801</v>
      </c>
      <c r="D3565">
        <v>0.94065328657636504</v>
      </c>
      <c r="E3565">
        <v>1.16695304821874</v>
      </c>
      <c r="F3565">
        <v>1.1283462358379399</v>
      </c>
      <c r="G3565">
        <v>0.98609375265039501</v>
      </c>
      <c r="H3565">
        <v>1.2142501305997</v>
      </c>
      <c r="I3565">
        <v>1.2790230464651799</v>
      </c>
      <c r="J3565">
        <v>1.4334246153548</v>
      </c>
      <c r="K3565">
        <v>1.1535522372143601</v>
      </c>
      <c r="L3565">
        <v>653.06214233780702</v>
      </c>
      <c r="M3565">
        <v>11.104796585622401</v>
      </c>
      <c r="O3565">
        <v>56.998538657716097</v>
      </c>
      <c r="P3565">
        <v>1.66645286863163E-2</v>
      </c>
      <c r="Q3565">
        <v>1.34203054746339</v>
      </c>
      <c r="R3565">
        <v>0.56992948595965298</v>
      </c>
      <c r="S3565" t="s">
        <v>9850</v>
      </c>
      <c r="T3565" t="s">
        <v>12568</v>
      </c>
      <c r="U3565" t="s">
        <v>12568</v>
      </c>
      <c r="V3565" t="s">
        <v>12568</v>
      </c>
      <c r="W3565" t="s">
        <v>16091</v>
      </c>
      <c r="X3565">
        <v>25</v>
      </c>
      <c r="Y3565" t="s">
        <v>22216</v>
      </c>
      <c r="Z3565" t="s">
        <v>28435</v>
      </c>
      <c r="AA3565">
        <v>1.1250690365972731</v>
      </c>
      <c r="AB3565" t="str">
        <f>HYPERLINK("Melting_Curves/meltCurve_Q641Q2_FAM21A.pdf", "Melting_Curves/meltCurve_Q641Q2_FAM21A.pdf")</f>
        <v>Melting_Curves/meltCurve_Q641Q2_FAM21A.pdf</v>
      </c>
    </row>
    <row r="3566" spans="1:28" x14ac:dyDescent="0.25">
      <c r="A3566" t="s">
        <v>3570</v>
      </c>
      <c r="B3566">
        <v>0.99352677808782597</v>
      </c>
      <c r="C3566">
        <v>1.32118444212896</v>
      </c>
      <c r="D3566">
        <v>1.2982811264049401</v>
      </c>
      <c r="E3566">
        <v>0.800967972646631</v>
      </c>
      <c r="F3566">
        <v>0.73172130338345598</v>
      </c>
      <c r="G3566">
        <v>0.58945156928982401</v>
      </c>
      <c r="H3566">
        <v>0.44385167584549201</v>
      </c>
      <c r="I3566">
        <v>0.47853778108067302</v>
      </c>
      <c r="J3566">
        <v>0.48159402335443502</v>
      </c>
      <c r="K3566">
        <v>0.39104029630786802</v>
      </c>
      <c r="L3566">
        <v>1291.9801194111601</v>
      </c>
      <c r="M3566">
        <v>24.334984649496501</v>
      </c>
      <c r="N3566">
        <v>58.578427679071403</v>
      </c>
      <c r="O3566">
        <v>52.736846265713801</v>
      </c>
      <c r="P3566">
        <v>-6.3584366435890702E-2</v>
      </c>
      <c r="Q3566">
        <v>0.448828294896083</v>
      </c>
      <c r="R3566">
        <v>0.79766084750784605</v>
      </c>
      <c r="S3566" t="s">
        <v>9851</v>
      </c>
      <c r="T3566" t="s">
        <v>12568</v>
      </c>
      <c r="U3566" t="s">
        <v>12568</v>
      </c>
      <c r="V3566" t="s">
        <v>12568</v>
      </c>
      <c r="W3566" t="s">
        <v>16092</v>
      </c>
      <c r="X3566">
        <v>4</v>
      </c>
      <c r="Y3566" t="s">
        <v>22217</v>
      </c>
      <c r="Z3566" t="s">
        <v>28436</v>
      </c>
      <c r="AA3566">
        <v>0.69468961677665331</v>
      </c>
      <c r="AB3566" t="str">
        <f>HYPERLINK("Melting_Curves/meltCurve_Q659A1_NARG2.pdf", "Melting_Curves/meltCurve_Q659A1_NARG2.pdf")</f>
        <v>Melting_Curves/meltCurve_Q659A1_NARG2.pdf</v>
      </c>
    </row>
    <row r="3567" spans="1:28" x14ac:dyDescent="0.25">
      <c r="A3567" t="s">
        <v>3571</v>
      </c>
      <c r="B3567">
        <v>0.99352677808782597</v>
      </c>
      <c r="C3567">
        <v>0.95598843515222398</v>
      </c>
      <c r="D3567">
        <v>0.91004641736782799</v>
      </c>
      <c r="E3567">
        <v>0.61586986438187297</v>
      </c>
      <c r="F3567">
        <v>0.51457819574223795</v>
      </c>
      <c r="G3567">
        <v>0.37155889613766602</v>
      </c>
      <c r="H3567">
        <v>0.21632832723255799</v>
      </c>
      <c r="I3567">
        <v>0.20944849201070101</v>
      </c>
      <c r="J3567">
        <v>0.164242566563535</v>
      </c>
      <c r="K3567">
        <v>0.15687522447570201</v>
      </c>
      <c r="L3567">
        <v>692.76388235563695</v>
      </c>
      <c r="M3567">
        <v>13.358518692235799</v>
      </c>
      <c r="N3567">
        <v>53.099488551429097</v>
      </c>
      <c r="O3567">
        <v>50.738534822731197</v>
      </c>
      <c r="P3567">
        <v>-5.7009126230064398E-2</v>
      </c>
      <c r="Q3567">
        <v>0.134005786970985</v>
      </c>
      <c r="R3567">
        <v>0.99287931696401599</v>
      </c>
      <c r="S3567" t="s">
        <v>9852</v>
      </c>
      <c r="T3567" t="s">
        <v>12568</v>
      </c>
      <c r="U3567" t="s">
        <v>12568</v>
      </c>
      <c r="V3567" t="s">
        <v>12568</v>
      </c>
      <c r="W3567" t="s">
        <v>16093</v>
      </c>
      <c r="X3567">
        <v>2</v>
      </c>
      <c r="Y3567" t="s">
        <v>22218</v>
      </c>
      <c r="Z3567" t="s">
        <v>28437</v>
      </c>
      <c r="AA3567">
        <v>0.49945263784629712</v>
      </c>
      <c r="AB3567" t="str">
        <f>HYPERLINK("Melting_Curves/meltCurve_Q66GS9_CEP135.pdf", "Melting_Curves/meltCurve_Q66GS9_CEP135.pdf")</f>
        <v>Melting_Curves/meltCurve_Q66GS9_CEP135.pdf</v>
      </c>
    </row>
    <row r="3568" spans="1:28" x14ac:dyDescent="0.25">
      <c r="A3568" t="s">
        <v>3572</v>
      </c>
      <c r="B3568">
        <v>0.99352677808782597</v>
      </c>
      <c r="C3568">
        <v>0.99227025365288002</v>
      </c>
      <c r="D3568">
        <v>0.85989883052537197</v>
      </c>
      <c r="E3568">
        <v>0.39290957932640402</v>
      </c>
      <c r="F3568">
        <v>0.301003900176327</v>
      </c>
      <c r="G3568">
        <v>0.16926030192353</v>
      </c>
      <c r="H3568">
        <v>0.101227772947975</v>
      </c>
      <c r="I3568">
        <v>9.8064941433507094E-2</v>
      </c>
      <c r="J3568">
        <v>8.5022553178182803E-2</v>
      </c>
      <c r="K3568">
        <v>6.3020302327252697E-2</v>
      </c>
      <c r="L3568">
        <v>1074.8851842989</v>
      </c>
      <c r="M3568">
        <v>21.9056843217694</v>
      </c>
      <c r="N3568">
        <v>49.539833620705998</v>
      </c>
      <c r="O3568">
        <v>48.665336855902702</v>
      </c>
      <c r="P3568">
        <v>-0.101954857142246</v>
      </c>
      <c r="Q3568">
        <v>9.4014937110829894E-2</v>
      </c>
      <c r="R3568">
        <v>0.99161682109618199</v>
      </c>
      <c r="S3568" t="s">
        <v>9853</v>
      </c>
      <c r="T3568" t="s">
        <v>12568</v>
      </c>
      <c r="U3568" t="s">
        <v>12568</v>
      </c>
      <c r="V3568" t="s">
        <v>12568</v>
      </c>
      <c r="W3568" t="s">
        <v>16094</v>
      </c>
      <c r="X3568">
        <v>15</v>
      </c>
      <c r="Y3568" t="s">
        <v>22219</v>
      </c>
      <c r="Z3568" t="s">
        <v>28438</v>
      </c>
      <c r="AA3568">
        <v>0.37842315563698942</v>
      </c>
      <c r="AB3568" t="str">
        <f>HYPERLINK("Melting_Curves/meltCurve_Q66K14_2_TBC1D9B.pdf", "Melting_Curves/meltCurve_Q66K14_2_TBC1D9B.pdf")</f>
        <v>Melting_Curves/meltCurve_Q66K14_2_TBC1D9B.pdf</v>
      </c>
    </row>
    <row r="3569" spans="1:28" x14ac:dyDescent="0.25">
      <c r="A3569" t="s">
        <v>3573</v>
      </c>
      <c r="B3569">
        <v>0.99352677808782597</v>
      </c>
      <c r="C3569">
        <v>0.85321966527556004</v>
      </c>
      <c r="D3569">
        <v>0.882098379034295</v>
      </c>
      <c r="E3569">
        <v>0.76879042796833497</v>
      </c>
      <c r="F3569">
        <v>0.86457556906417499</v>
      </c>
      <c r="G3569">
        <v>0.487872607141839</v>
      </c>
      <c r="H3569">
        <v>0.440145173905367</v>
      </c>
      <c r="I3569">
        <v>0.47073296773583201</v>
      </c>
      <c r="J3569">
        <v>0.369806181989208</v>
      </c>
      <c r="K3569">
        <v>0.33349344532665598</v>
      </c>
      <c r="L3569">
        <v>425.016559007029</v>
      </c>
      <c r="M3569">
        <v>7.3704510146832698</v>
      </c>
      <c r="N3569">
        <v>60.486590621315401</v>
      </c>
      <c r="O3569">
        <v>53.875913176260397</v>
      </c>
      <c r="P3569">
        <v>-2.9270489851038799E-2</v>
      </c>
      <c r="Q3569">
        <v>0.14547403970001799</v>
      </c>
      <c r="R3569">
        <v>0.91276278859763305</v>
      </c>
      <c r="S3569" t="s">
        <v>9854</v>
      </c>
      <c r="T3569" t="s">
        <v>12568</v>
      </c>
      <c r="U3569" t="s">
        <v>12568</v>
      </c>
      <c r="V3569" t="s">
        <v>12568</v>
      </c>
      <c r="W3569" t="s">
        <v>16095</v>
      </c>
      <c r="X3569">
        <v>1</v>
      </c>
      <c r="Y3569" t="s">
        <v>22220</v>
      </c>
      <c r="Z3569" t="s">
        <v>28439</v>
      </c>
      <c r="AA3569">
        <v>0.65183258455627902</v>
      </c>
      <c r="AB3569" t="str">
        <f>HYPERLINK("Melting_Curves/meltCurve_Q66K64_DCAF15.pdf", "Melting_Curves/meltCurve_Q66K64_DCAF15.pdf")</f>
        <v>Melting_Curves/meltCurve_Q66K64_DCAF15.pdf</v>
      </c>
    </row>
    <row r="3570" spans="1:28" x14ac:dyDescent="0.25">
      <c r="A3570" t="s">
        <v>3574</v>
      </c>
      <c r="B3570">
        <v>0.99352677808782597</v>
      </c>
      <c r="C3570">
        <v>1.0349903177514499</v>
      </c>
      <c r="D3570">
        <v>0.86568040691383596</v>
      </c>
      <c r="E3570">
        <v>0.36986624670596502</v>
      </c>
      <c r="F3570">
        <v>0.30558056777207299</v>
      </c>
      <c r="G3570">
        <v>0.16601095478049499</v>
      </c>
      <c r="H3570">
        <v>0.116243641369645</v>
      </c>
      <c r="I3570">
        <v>0.10852166529596501</v>
      </c>
      <c r="J3570">
        <v>8.3546322916467797E-2</v>
      </c>
      <c r="K3570">
        <v>6.6773167065059202E-2</v>
      </c>
      <c r="L3570">
        <v>1191.9948205502501</v>
      </c>
      <c r="M3570">
        <v>24.3762489933994</v>
      </c>
      <c r="N3570">
        <v>49.388434845532601</v>
      </c>
      <c r="O3570">
        <v>48.574312008175298</v>
      </c>
      <c r="P3570">
        <v>-0.11201892517680299</v>
      </c>
      <c r="Q3570">
        <v>0.10713722551086199</v>
      </c>
      <c r="R3570">
        <v>0.98661048943639296</v>
      </c>
      <c r="S3570" t="s">
        <v>9855</v>
      </c>
      <c r="T3570" t="s">
        <v>12568</v>
      </c>
      <c r="U3570" t="s">
        <v>12568</v>
      </c>
      <c r="V3570" t="s">
        <v>12568</v>
      </c>
      <c r="W3570" t="s">
        <v>16096</v>
      </c>
      <c r="X3570">
        <v>5</v>
      </c>
      <c r="Y3570" t="s">
        <v>22221</v>
      </c>
      <c r="Z3570" t="s">
        <v>28440</v>
      </c>
      <c r="AA3570">
        <v>0.38034624816636259</v>
      </c>
      <c r="AB3570" t="str">
        <f>HYPERLINK("Melting_Curves/meltCurve_Q66LE6_PPP2R2D.pdf", "Melting_Curves/meltCurve_Q66LE6_PPP2R2D.pdf")</f>
        <v>Melting_Curves/meltCurve_Q66LE6_PPP2R2D.pdf</v>
      </c>
    </row>
    <row r="3571" spans="1:28" x14ac:dyDescent="0.25">
      <c r="A3571" t="s">
        <v>3575</v>
      </c>
      <c r="B3571">
        <v>0.99352677808782597</v>
      </c>
      <c r="C3571">
        <v>0.96603829068618896</v>
      </c>
      <c r="D3571">
        <v>0.97103077213858402</v>
      </c>
      <c r="E3571">
        <v>0.91190009431032304</v>
      </c>
      <c r="F3571">
        <v>0.85001249301056803</v>
      </c>
      <c r="G3571">
        <v>0.75295584553247297</v>
      </c>
      <c r="H3571">
        <v>0.66216251804153903</v>
      </c>
      <c r="I3571">
        <v>0.74315771777896</v>
      </c>
      <c r="J3571">
        <v>0.772899983701545</v>
      </c>
      <c r="K3571">
        <v>0.61796402964508101</v>
      </c>
      <c r="L3571">
        <v>844.40424338540595</v>
      </c>
      <c r="M3571">
        <v>15.9721526458009</v>
      </c>
      <c r="O3571">
        <v>52.059380261340202</v>
      </c>
      <c r="P3571">
        <v>-2.4338581529326001E-2</v>
      </c>
      <c r="Q3571">
        <v>0.68270994841862198</v>
      </c>
      <c r="R3571">
        <v>0.89504065368285002</v>
      </c>
      <c r="S3571" t="s">
        <v>9856</v>
      </c>
      <c r="T3571" t="s">
        <v>12568</v>
      </c>
      <c r="U3571" t="s">
        <v>12568</v>
      </c>
      <c r="V3571" t="s">
        <v>12568</v>
      </c>
      <c r="W3571" t="s">
        <v>12664</v>
      </c>
      <c r="X3571">
        <v>12</v>
      </c>
      <c r="Y3571" t="s">
        <v>18892</v>
      </c>
      <c r="Z3571" t="s">
        <v>28441</v>
      </c>
      <c r="AA3571">
        <v>0.82506747082622922</v>
      </c>
      <c r="AB3571" t="str">
        <f>HYPERLINK("Melting_Curves/meltCurve_Q66PJ3_ARL6IP4.pdf", "Melting_Curves/meltCurve_Q66PJ3_ARL6IP4.pdf")</f>
        <v>Melting_Curves/meltCurve_Q66PJ3_ARL6IP4.pdf</v>
      </c>
    </row>
    <row r="3572" spans="1:28" x14ac:dyDescent="0.25">
      <c r="A3572" t="s">
        <v>3576</v>
      </c>
      <c r="B3572">
        <v>0.99352677808782597</v>
      </c>
      <c r="C3572">
        <v>1.0047225311267201</v>
      </c>
      <c r="D3572">
        <v>1.0239680028787199</v>
      </c>
      <c r="E3572">
        <v>0.92112914226165798</v>
      </c>
      <c r="F3572">
        <v>0.75964309952729503</v>
      </c>
      <c r="G3572">
        <v>0.587827315237621</v>
      </c>
      <c r="H3572">
        <v>0.557114646139799</v>
      </c>
      <c r="I3572">
        <v>0.52955570687851905</v>
      </c>
      <c r="J3572">
        <v>0.58412752634290499</v>
      </c>
      <c r="K3572">
        <v>0.46040473930641201</v>
      </c>
      <c r="L3572">
        <v>1438.47997301756</v>
      </c>
      <c r="M3572">
        <v>27.146631453321302</v>
      </c>
      <c r="O3572">
        <v>52.704219384868701</v>
      </c>
      <c r="P3572">
        <v>-6.08670354021566E-2</v>
      </c>
      <c r="Q3572">
        <v>0.52731984513846497</v>
      </c>
      <c r="R3572">
        <v>0.98012691990046796</v>
      </c>
      <c r="S3572" t="s">
        <v>9857</v>
      </c>
      <c r="T3572" t="s">
        <v>12568</v>
      </c>
      <c r="U3572" t="s">
        <v>12568</v>
      </c>
      <c r="V3572" t="s">
        <v>12568</v>
      </c>
      <c r="W3572" t="s">
        <v>16097</v>
      </c>
      <c r="X3572">
        <v>3</v>
      </c>
      <c r="Y3572" t="s">
        <v>22222</v>
      </c>
      <c r="Z3572" t="s">
        <v>28442</v>
      </c>
      <c r="AA3572">
        <v>0.73569985568158036</v>
      </c>
      <c r="AB3572" t="str">
        <f>HYPERLINK("Melting_Curves/meltCurve_Q674X7_3_KAZN.pdf", "Melting_Curves/meltCurve_Q674X7_3_KAZN.pdf")</f>
        <v>Melting_Curves/meltCurve_Q674X7_3_KAZN.pdf</v>
      </c>
    </row>
    <row r="3573" spans="1:28" x14ac:dyDescent="0.25">
      <c r="A3573" t="s">
        <v>3577</v>
      </c>
      <c r="B3573">
        <v>0.99352677808782597</v>
      </c>
      <c r="C3573">
        <v>0.98070147906430105</v>
      </c>
      <c r="D3573">
        <v>0.96724768241226</v>
      </c>
      <c r="E3573">
        <v>0.93333403288280203</v>
      </c>
      <c r="F3573">
        <v>0.84564850081348497</v>
      </c>
      <c r="G3573">
        <v>0.63014533896705704</v>
      </c>
      <c r="H3573">
        <v>0.48719039474947101</v>
      </c>
      <c r="I3573">
        <v>0.38529377521457597</v>
      </c>
      <c r="J3573">
        <v>0.24903099905435599</v>
      </c>
      <c r="K3573">
        <v>0.163200210328388</v>
      </c>
      <c r="L3573">
        <v>679.46846276854603</v>
      </c>
      <c r="M3573">
        <v>11.2185754469178</v>
      </c>
      <c r="N3573">
        <v>60.566376389549497</v>
      </c>
      <c r="O3573">
        <v>58.737563744034098</v>
      </c>
      <c r="P3573">
        <v>-4.7763659577732799E-2</v>
      </c>
      <c r="Q3573">
        <v>0</v>
      </c>
      <c r="R3573">
        <v>0.99627122568367599</v>
      </c>
      <c r="S3573" t="s">
        <v>9858</v>
      </c>
      <c r="T3573" t="s">
        <v>12568</v>
      </c>
      <c r="U3573" t="s">
        <v>12568</v>
      </c>
      <c r="V3573" t="s">
        <v>12568</v>
      </c>
      <c r="W3573" t="s">
        <v>16098</v>
      </c>
      <c r="X3573">
        <v>18</v>
      </c>
      <c r="Y3573" t="s">
        <v>22223</v>
      </c>
      <c r="Z3573" t="s">
        <v>28443</v>
      </c>
      <c r="AA3573">
        <v>0.68198561930909463</v>
      </c>
      <c r="AB3573" t="str">
        <f>HYPERLINK("Melting_Curves/meltCurve_Q676U5_2_ATG16L1.pdf", "Melting_Curves/meltCurve_Q676U5_2_ATG16L1.pdf")</f>
        <v>Melting_Curves/meltCurve_Q676U5_2_ATG16L1.pdf</v>
      </c>
    </row>
    <row r="3574" spans="1:28" x14ac:dyDescent="0.25">
      <c r="A3574" t="s">
        <v>3578</v>
      </c>
      <c r="B3574">
        <v>0.99352677808782597</v>
      </c>
      <c r="C3574">
        <v>1.03564096488391</v>
      </c>
      <c r="D3574">
        <v>0.88560182103646401</v>
      </c>
      <c r="E3574">
        <v>0.54696492738789804</v>
      </c>
      <c r="F3574">
        <v>0.44116307144012701</v>
      </c>
      <c r="G3574">
        <v>0.239589717134289</v>
      </c>
      <c r="H3574">
        <v>9.9220520400162701E-2</v>
      </c>
      <c r="I3574">
        <v>8.3617941046409697E-2</v>
      </c>
      <c r="J3574">
        <v>6.6203946840911299E-2</v>
      </c>
      <c r="K3574">
        <v>5.0400852042036197E-2</v>
      </c>
      <c r="L3574">
        <v>806.42710935592402</v>
      </c>
      <c r="M3574">
        <v>15.7170046252037</v>
      </c>
      <c r="N3574">
        <v>51.611383614794697</v>
      </c>
      <c r="O3574">
        <v>50.500122424790099</v>
      </c>
      <c r="P3574">
        <v>-7.4392936835786405E-2</v>
      </c>
      <c r="Q3574">
        <v>4.3956156813027697E-2</v>
      </c>
      <c r="R3574">
        <v>0.99012795242040297</v>
      </c>
      <c r="S3574" t="s">
        <v>9859</v>
      </c>
      <c r="T3574" t="s">
        <v>12568</v>
      </c>
      <c r="U3574" t="s">
        <v>12568</v>
      </c>
      <c r="V3574" t="s">
        <v>12568</v>
      </c>
      <c r="W3574" t="s">
        <v>16099</v>
      </c>
      <c r="X3574">
        <v>4</v>
      </c>
      <c r="Y3574" t="s">
        <v>22224</v>
      </c>
      <c r="Z3574" t="s">
        <v>28444</v>
      </c>
      <c r="AA3574">
        <v>0.42462192653012187</v>
      </c>
      <c r="AB3574" t="str">
        <f>HYPERLINK("Melting_Curves/meltCurve_Q684P5_3_RAP1GAP2.pdf", "Melting_Curves/meltCurve_Q684P5_3_RAP1GAP2.pdf")</f>
        <v>Melting_Curves/meltCurve_Q684P5_3_RAP1GAP2.pdf</v>
      </c>
    </row>
    <row r="3575" spans="1:28" x14ac:dyDescent="0.25">
      <c r="A3575" t="s">
        <v>3579</v>
      </c>
      <c r="B3575">
        <v>0.99352677808782597</v>
      </c>
      <c r="C3575">
        <v>0.93408350918660099</v>
      </c>
      <c r="D3575">
        <v>0.80237926171709895</v>
      </c>
      <c r="E3575">
        <v>0.61254762669722496</v>
      </c>
      <c r="F3575">
        <v>0.54191699352181</v>
      </c>
      <c r="G3575">
        <v>0.43280546131921499</v>
      </c>
      <c r="H3575">
        <v>0.39213508900101002</v>
      </c>
      <c r="I3575">
        <v>0.38098900184989798</v>
      </c>
      <c r="J3575">
        <v>0.40532255793486599</v>
      </c>
      <c r="K3575">
        <v>0.31361979157144598</v>
      </c>
      <c r="L3575">
        <v>675.17523879519297</v>
      </c>
      <c r="M3575">
        <v>13.776074321880801</v>
      </c>
      <c r="N3575">
        <v>53.735224663094101</v>
      </c>
      <c r="O3575">
        <v>48.012569607891002</v>
      </c>
      <c r="P3575">
        <v>-4.6554377225437503E-2</v>
      </c>
      <c r="Q3575">
        <v>0.35108321249515501</v>
      </c>
      <c r="R3575">
        <v>0.99019679307572706</v>
      </c>
      <c r="S3575" t="s">
        <v>9860</v>
      </c>
      <c r="T3575" t="s">
        <v>12568</v>
      </c>
      <c r="U3575" t="s">
        <v>12568</v>
      </c>
      <c r="V3575" t="s">
        <v>12568</v>
      </c>
      <c r="W3575" t="s">
        <v>16100</v>
      </c>
      <c r="X3575">
        <v>14</v>
      </c>
      <c r="Y3575" t="s">
        <v>22225</v>
      </c>
      <c r="Z3575" t="s">
        <v>28445</v>
      </c>
      <c r="AA3575">
        <v>0.56472146887340857</v>
      </c>
      <c r="AB3575" t="str">
        <f>HYPERLINK("Melting_Curves/meltCurve_Q68CP9_ARID2.pdf", "Melting_Curves/meltCurve_Q68CP9_ARID2.pdf")</f>
        <v>Melting_Curves/meltCurve_Q68CP9_ARID2.pdf</v>
      </c>
    </row>
    <row r="3576" spans="1:28" x14ac:dyDescent="0.25">
      <c r="A3576" t="s">
        <v>3580</v>
      </c>
      <c r="B3576">
        <v>0.99352677808782597</v>
      </c>
      <c r="C3576">
        <v>0.79702164352002303</v>
      </c>
      <c r="D3576">
        <v>0.61846291002769505</v>
      </c>
      <c r="E3576">
        <v>0.23577656240108799</v>
      </c>
      <c r="F3576">
        <v>0.19724780040974099</v>
      </c>
      <c r="G3576">
        <v>0.118862394759518</v>
      </c>
      <c r="H3576">
        <v>8.3824235108085093E-2</v>
      </c>
      <c r="I3576">
        <v>8.3868649960510799E-2</v>
      </c>
      <c r="J3576">
        <v>7.6206168178583805E-2</v>
      </c>
      <c r="K3576">
        <v>5.7270312973338101E-2</v>
      </c>
      <c r="L3576">
        <v>845.18462979817195</v>
      </c>
      <c r="M3576">
        <v>18.161370893199901</v>
      </c>
      <c r="N3576">
        <v>46.949681791373102</v>
      </c>
      <c r="O3576">
        <v>45.984266809937402</v>
      </c>
      <c r="P3576">
        <v>-9.1465098708051307E-2</v>
      </c>
      <c r="Q3576">
        <v>7.3692145457445499E-2</v>
      </c>
      <c r="R3576">
        <v>0.99295064756301998</v>
      </c>
      <c r="S3576" t="s">
        <v>9861</v>
      </c>
      <c r="T3576" t="s">
        <v>12568</v>
      </c>
      <c r="U3576" t="s">
        <v>12568</v>
      </c>
      <c r="V3576" t="s">
        <v>12568</v>
      </c>
      <c r="W3576" t="s">
        <v>16101</v>
      </c>
      <c r="X3576">
        <v>11</v>
      </c>
      <c r="Y3576" t="s">
        <v>22226</v>
      </c>
      <c r="Z3576" t="s">
        <v>28446</v>
      </c>
      <c r="AA3576">
        <v>0.29273546513238718</v>
      </c>
      <c r="AB3576" t="str">
        <f>HYPERLINK("Melting_Curves/meltCurve_Q68CQ4_DIEXF.pdf", "Melting_Curves/meltCurve_Q68CQ4_DIEXF.pdf")</f>
        <v>Melting_Curves/meltCurve_Q68CQ4_DIEXF.pdf</v>
      </c>
    </row>
    <row r="3577" spans="1:28" x14ac:dyDescent="0.25">
      <c r="A3577" t="s">
        <v>3581</v>
      </c>
      <c r="B3577">
        <v>0.99352677808782597</v>
      </c>
      <c r="C3577">
        <v>0.97552405411628196</v>
      </c>
      <c r="D3577">
        <v>1.0874764275132101</v>
      </c>
      <c r="E3577">
        <v>1.0534565251408801</v>
      </c>
      <c r="F3577">
        <v>0.89653558599647598</v>
      </c>
      <c r="G3577">
        <v>0.88104013805225301</v>
      </c>
      <c r="H3577">
        <v>0.65532993849284304</v>
      </c>
      <c r="I3577">
        <v>0.84199363459255205</v>
      </c>
      <c r="J3577">
        <v>0.80312831371111304</v>
      </c>
      <c r="K3577">
        <v>0.76050871926691699</v>
      </c>
      <c r="L3577">
        <v>1716.54654913741</v>
      </c>
      <c r="M3577">
        <v>31.2681619492473</v>
      </c>
      <c r="O3577">
        <v>54.674504084105699</v>
      </c>
      <c r="P3577">
        <v>-3.2698999553387398E-2</v>
      </c>
      <c r="Q3577">
        <v>0.771295579783699</v>
      </c>
      <c r="R3577">
        <v>0.76313155691017798</v>
      </c>
      <c r="S3577" t="s">
        <v>9862</v>
      </c>
      <c r="T3577" t="s">
        <v>12568</v>
      </c>
      <c r="U3577" t="s">
        <v>12568</v>
      </c>
      <c r="V3577" t="s">
        <v>12568</v>
      </c>
      <c r="W3577" t="s">
        <v>16102</v>
      </c>
      <c r="X3577">
        <v>1</v>
      </c>
      <c r="Y3577" t="s">
        <v>22227</v>
      </c>
      <c r="Z3577" t="s">
        <v>28447</v>
      </c>
      <c r="AA3577">
        <v>0.88626795413993575</v>
      </c>
      <c r="AB3577" t="str">
        <f>HYPERLINK("Melting_Curves/meltCurve_Q68CZ1_2_RPGRIP1L.pdf", "Melting_Curves/meltCurve_Q68CZ1_2_RPGRIP1L.pdf")</f>
        <v>Melting_Curves/meltCurve_Q68CZ1_2_RPGRIP1L.pdf</v>
      </c>
    </row>
    <row r="3578" spans="1:28" x14ac:dyDescent="0.25">
      <c r="A3578" t="s">
        <v>3582</v>
      </c>
      <c r="B3578">
        <v>0.99352677808782597</v>
      </c>
      <c r="C3578">
        <v>0.78470498689828605</v>
      </c>
      <c r="D3578">
        <v>0.93387007164935298</v>
      </c>
      <c r="E3578">
        <v>0.35983924600443501</v>
      </c>
      <c r="F3578">
        <v>0.28643508234262699</v>
      </c>
      <c r="G3578">
        <v>0.205215654146996</v>
      </c>
      <c r="H3578">
        <v>0.15849324093224099</v>
      </c>
      <c r="I3578">
        <v>0.15501238116574401</v>
      </c>
      <c r="J3578">
        <v>0.15882220917044901</v>
      </c>
      <c r="K3578">
        <v>0.1373146156834</v>
      </c>
      <c r="L3578">
        <v>1355.2526484999701</v>
      </c>
      <c r="M3578">
        <v>27.939045475965699</v>
      </c>
      <c r="N3578">
        <v>49.202532753942101</v>
      </c>
      <c r="O3578">
        <v>48.26103106235</v>
      </c>
      <c r="P3578">
        <v>-0.121131655387649</v>
      </c>
      <c r="Q3578">
        <v>0.16305146474372301</v>
      </c>
      <c r="R3578">
        <v>0.95160224977712005</v>
      </c>
      <c r="S3578" t="s">
        <v>9863</v>
      </c>
      <c r="T3578" t="s">
        <v>12568</v>
      </c>
      <c r="U3578" t="s">
        <v>12568</v>
      </c>
      <c r="V3578" t="s">
        <v>12568</v>
      </c>
      <c r="W3578" t="s">
        <v>16103</v>
      </c>
      <c r="X3578">
        <v>37</v>
      </c>
      <c r="Y3578" t="s">
        <v>19161</v>
      </c>
      <c r="Z3578" t="s">
        <v>28448</v>
      </c>
      <c r="AA3578">
        <v>0.40626470950167681</v>
      </c>
      <c r="AB3578" t="str">
        <f>HYPERLINK("Melting_Curves/meltCurve_Q68CZ2_TNS3.pdf", "Melting_Curves/meltCurve_Q68CZ2_TNS3.pdf")</f>
        <v>Melting_Curves/meltCurve_Q68CZ2_TNS3.pdf</v>
      </c>
    </row>
    <row r="3579" spans="1:28" x14ac:dyDescent="0.25">
      <c r="A3579" t="s">
        <v>3583</v>
      </c>
      <c r="B3579">
        <v>0.99352677808782597</v>
      </c>
      <c r="C3579">
        <v>1.0081810748768201</v>
      </c>
      <c r="D3579">
        <v>0.65857362004579001</v>
      </c>
      <c r="E3579">
        <v>0.247998801696246</v>
      </c>
      <c r="F3579">
        <v>0.19412487029694001</v>
      </c>
      <c r="G3579">
        <v>0.115076182392486</v>
      </c>
      <c r="H3579">
        <v>7.4677301332825699E-2</v>
      </c>
      <c r="I3579">
        <v>6.9963803834877797E-2</v>
      </c>
      <c r="J3579">
        <v>6.1655230933384E-2</v>
      </c>
      <c r="K3579">
        <v>4.6056730294453098E-2</v>
      </c>
      <c r="L3579">
        <v>1204.3903172309399</v>
      </c>
      <c r="M3579">
        <v>25.506928102392202</v>
      </c>
      <c r="N3579">
        <v>47.538947291314599</v>
      </c>
      <c r="O3579">
        <v>46.930819694926598</v>
      </c>
      <c r="P3579">
        <v>-0.125134592832642</v>
      </c>
      <c r="Q3579">
        <v>7.9059046457062798E-2</v>
      </c>
      <c r="R3579">
        <v>0.99084396658818497</v>
      </c>
      <c r="S3579" t="s">
        <v>9864</v>
      </c>
      <c r="T3579" t="s">
        <v>12568</v>
      </c>
      <c r="U3579" t="s">
        <v>12568</v>
      </c>
      <c r="V3579" t="s">
        <v>12568</v>
      </c>
      <c r="W3579" t="s">
        <v>16104</v>
      </c>
      <c r="X3579">
        <v>3</v>
      </c>
      <c r="Y3579" t="s">
        <v>22228</v>
      </c>
      <c r="Z3579" t="s">
        <v>28449</v>
      </c>
      <c r="AA3579">
        <v>0.30848261123653647</v>
      </c>
      <c r="AB3579" t="str">
        <f>HYPERLINK("Melting_Curves/meltCurve_Q68CZ6_HAUS3.pdf", "Melting_Curves/meltCurve_Q68CZ6_HAUS3.pdf")</f>
        <v>Melting_Curves/meltCurve_Q68CZ6_HAUS3.pdf</v>
      </c>
    </row>
    <row r="3580" spans="1:28" x14ac:dyDescent="0.25">
      <c r="A3580" t="s">
        <v>3584</v>
      </c>
      <c r="B3580">
        <v>0.99352677808782597</v>
      </c>
      <c r="C3580">
        <v>0.92711416462876794</v>
      </c>
      <c r="D3580">
        <v>0.86016042712831398</v>
      </c>
      <c r="E3580">
        <v>0.58095050328234599</v>
      </c>
      <c r="F3580">
        <v>0.450810612832517</v>
      </c>
      <c r="G3580">
        <v>0.15379829051295599</v>
      </c>
      <c r="H3580">
        <v>0.13643913935530799</v>
      </c>
      <c r="I3580">
        <v>0.11076883232528199</v>
      </c>
      <c r="J3580">
        <v>9.2255905066676899E-2</v>
      </c>
      <c r="K3580">
        <v>7.3586748863552501E-2</v>
      </c>
      <c r="L3580">
        <v>788.87316623548202</v>
      </c>
      <c r="M3580">
        <v>15.469763087619601</v>
      </c>
      <c r="N3580">
        <v>51.424478499884401</v>
      </c>
      <c r="O3580">
        <v>50.165182460566797</v>
      </c>
      <c r="P3580">
        <v>-7.2423831277307102E-2</v>
      </c>
      <c r="Q3580">
        <v>6.06631894372495E-2</v>
      </c>
      <c r="R3580">
        <v>0.99370618338808703</v>
      </c>
      <c r="S3580" t="s">
        <v>9865</v>
      </c>
      <c r="T3580" t="s">
        <v>12568</v>
      </c>
      <c r="U3580" t="s">
        <v>12568</v>
      </c>
      <c r="V3580" t="s">
        <v>12568</v>
      </c>
      <c r="W3580" t="s">
        <v>16105</v>
      </c>
      <c r="X3580">
        <v>3</v>
      </c>
      <c r="Y3580" t="s">
        <v>22229</v>
      </c>
      <c r="Z3580" t="s">
        <v>28450</v>
      </c>
      <c r="AA3580">
        <v>0.42553362566955583</v>
      </c>
      <c r="AB3580" t="str">
        <f>HYPERLINK("Melting_Curves/meltCurve_Q68D06_SLFN13.pdf", "Melting_Curves/meltCurve_Q68D06_SLFN13.pdf")</f>
        <v>Melting_Curves/meltCurve_Q68D06_SLFN13.pdf</v>
      </c>
    </row>
    <row r="3581" spans="1:28" x14ac:dyDescent="0.25">
      <c r="A3581" t="s">
        <v>3585</v>
      </c>
      <c r="B3581">
        <v>0.99352677808782597</v>
      </c>
      <c r="C3581">
        <v>0.98331777722805802</v>
      </c>
      <c r="D3581">
        <v>0.96708962106250396</v>
      </c>
      <c r="E3581">
        <v>0.86661473865141503</v>
      </c>
      <c r="F3581">
        <v>0.80831087156241399</v>
      </c>
      <c r="G3581">
        <v>0.70787209491456904</v>
      </c>
      <c r="H3581">
        <v>0.59899809803874604</v>
      </c>
      <c r="I3581">
        <v>0.68436344319959896</v>
      </c>
      <c r="J3581">
        <v>0.61555561157429695</v>
      </c>
      <c r="K3581">
        <v>0.50118846280795804</v>
      </c>
      <c r="L3581">
        <v>573.402859107616</v>
      </c>
      <c r="M3581">
        <v>10.3828785764311</v>
      </c>
      <c r="O3581">
        <v>53.2950202729998</v>
      </c>
      <c r="P3581">
        <v>-2.3762810783591201E-2</v>
      </c>
      <c r="Q3581">
        <v>0.51231009293778196</v>
      </c>
      <c r="R3581">
        <v>0.95140163444814896</v>
      </c>
      <c r="S3581" t="s">
        <v>9866</v>
      </c>
      <c r="T3581" t="s">
        <v>12568</v>
      </c>
      <c r="U3581" t="s">
        <v>12568</v>
      </c>
      <c r="V3581" t="s">
        <v>12568</v>
      </c>
      <c r="W3581" t="s">
        <v>16106</v>
      </c>
      <c r="X3581">
        <v>11</v>
      </c>
      <c r="Y3581" t="s">
        <v>22230</v>
      </c>
      <c r="Z3581" t="s">
        <v>28451</v>
      </c>
      <c r="AA3581">
        <v>0.77178206244779446</v>
      </c>
      <c r="AB3581" t="str">
        <f>HYPERLINK("Melting_Curves/meltCurve_Q68D10_2_SPTY2D1.pdf", "Melting_Curves/meltCurve_Q68D10_2_SPTY2D1.pdf")</f>
        <v>Melting_Curves/meltCurve_Q68D10_2_SPTY2D1.pdf</v>
      </c>
    </row>
    <row r="3582" spans="1:28" x14ac:dyDescent="0.25">
      <c r="A3582" t="s">
        <v>3586</v>
      </c>
      <c r="B3582">
        <v>0.99352677808782597</v>
      </c>
      <c r="C3582">
        <v>0.93223310353803002</v>
      </c>
      <c r="D3582">
        <v>0.89218429673477595</v>
      </c>
      <c r="E3582">
        <v>0.88052242500727296</v>
      </c>
      <c r="F3582">
        <v>0.91077525211345201</v>
      </c>
      <c r="G3582">
        <v>0.86445490729062802</v>
      </c>
      <c r="H3582">
        <v>0.70257558364911099</v>
      </c>
      <c r="I3582">
        <v>0.78122969772302697</v>
      </c>
      <c r="J3582">
        <v>0.77718070571275699</v>
      </c>
      <c r="K3582">
        <v>0.6362669372616</v>
      </c>
      <c r="L3582">
        <v>243.31385207063201</v>
      </c>
      <c r="M3582">
        <v>2.70204774143938</v>
      </c>
      <c r="O3582">
        <v>63.158817812145998</v>
      </c>
      <c r="P3582">
        <v>-1.11389919282706E-2</v>
      </c>
      <c r="Q3582">
        <v>0</v>
      </c>
      <c r="R3582">
        <v>0.82340543177907</v>
      </c>
      <c r="S3582" t="s">
        <v>9867</v>
      </c>
      <c r="T3582" t="s">
        <v>12568</v>
      </c>
      <c r="U3582" t="s">
        <v>12568</v>
      </c>
      <c r="V3582" t="s">
        <v>12568</v>
      </c>
      <c r="W3582" t="s">
        <v>16107</v>
      </c>
      <c r="X3582">
        <v>2</v>
      </c>
      <c r="Y3582" t="s">
        <v>22231</v>
      </c>
      <c r="Z3582" t="s">
        <v>28452</v>
      </c>
      <c r="AA3582">
        <v>0.84076607232145095</v>
      </c>
      <c r="AB3582" t="str">
        <f>HYPERLINK("Melting_Curves/meltCurve_Q68D20_PMS2CL.pdf", "Melting_Curves/meltCurve_Q68D20_PMS2CL.pdf")</f>
        <v>Melting_Curves/meltCurve_Q68D20_PMS2CL.pdf</v>
      </c>
    </row>
    <row r="3583" spans="1:28" x14ac:dyDescent="0.25">
      <c r="A3583" t="s">
        <v>3587</v>
      </c>
      <c r="B3583">
        <v>0.99352677808782597</v>
      </c>
      <c r="C3583">
        <v>0.98197162835535801</v>
      </c>
      <c r="D3583">
        <v>0.89290436163159903</v>
      </c>
      <c r="E3583">
        <v>0.73604688089210102</v>
      </c>
      <c r="F3583">
        <v>0.66893911004557705</v>
      </c>
      <c r="G3583">
        <v>0.54046808475068897</v>
      </c>
      <c r="H3583">
        <v>0.45643994279532202</v>
      </c>
      <c r="I3583">
        <v>0.45749288265750498</v>
      </c>
      <c r="J3583">
        <v>0.489333847009084</v>
      </c>
      <c r="K3583">
        <v>0.406728306408564</v>
      </c>
      <c r="L3583">
        <v>696.52678713294802</v>
      </c>
      <c r="M3583">
        <v>13.6016936272199</v>
      </c>
      <c r="N3583">
        <v>59.3049544971663</v>
      </c>
      <c r="O3583">
        <v>50.139971581233397</v>
      </c>
      <c r="P3583">
        <v>-3.9210475315496103E-2</v>
      </c>
      <c r="Q3583">
        <v>0.42191892605018899</v>
      </c>
      <c r="R3583">
        <v>0.98923801711007098</v>
      </c>
      <c r="S3583" t="s">
        <v>9868</v>
      </c>
      <c r="T3583" t="s">
        <v>12568</v>
      </c>
      <c r="U3583" t="s">
        <v>12568</v>
      </c>
      <c r="V3583" t="s">
        <v>12568</v>
      </c>
      <c r="W3583" t="s">
        <v>16108</v>
      </c>
      <c r="X3583">
        <v>5</v>
      </c>
      <c r="Y3583" t="s">
        <v>22232</v>
      </c>
      <c r="Z3583" t="s">
        <v>28453</v>
      </c>
      <c r="AA3583">
        <v>0.65339378026550388</v>
      </c>
      <c r="AB3583" t="str">
        <f>HYPERLINK("Melting_Curves/meltCurve_Q68DA7_5_FMN1.pdf", "Melting_Curves/meltCurve_Q68DA7_5_FMN1.pdf")</f>
        <v>Melting_Curves/meltCurve_Q68DA7_5_FMN1.pdf</v>
      </c>
    </row>
    <row r="3584" spans="1:28" x14ac:dyDescent="0.25">
      <c r="A3584" t="s">
        <v>3588</v>
      </c>
      <c r="B3584">
        <v>0.99352677808782597</v>
      </c>
      <c r="C3584">
        <v>0.92895124080110403</v>
      </c>
      <c r="D3584">
        <v>0.77903808704347299</v>
      </c>
      <c r="E3584">
        <v>0.44223032068103202</v>
      </c>
      <c r="F3584">
        <v>0.37972248136338899</v>
      </c>
      <c r="G3584">
        <v>0.28818918906500202</v>
      </c>
      <c r="H3584">
        <v>0.21764374381635199</v>
      </c>
      <c r="I3584">
        <v>0.23311092712460699</v>
      </c>
      <c r="J3584">
        <v>0.21978621522012201</v>
      </c>
      <c r="K3584">
        <v>0.30716150716802598</v>
      </c>
      <c r="L3584">
        <v>959.40190606999499</v>
      </c>
      <c r="M3584">
        <v>20.0438573855293</v>
      </c>
      <c r="N3584">
        <v>49.548086677035798</v>
      </c>
      <c r="O3584">
        <v>47.396334157882798</v>
      </c>
      <c r="P3584">
        <v>-7.9624352051357206E-2</v>
      </c>
      <c r="Q3584">
        <v>0.24689533739126601</v>
      </c>
      <c r="R3584">
        <v>0.98929736370438803</v>
      </c>
      <c r="S3584" t="s">
        <v>9869</v>
      </c>
      <c r="T3584" t="s">
        <v>12568</v>
      </c>
      <c r="U3584" t="s">
        <v>12568</v>
      </c>
      <c r="V3584" t="s">
        <v>12568</v>
      </c>
      <c r="W3584" t="s">
        <v>16109</v>
      </c>
      <c r="X3584">
        <v>5</v>
      </c>
      <c r="Y3584" t="s">
        <v>18912</v>
      </c>
      <c r="Z3584" t="s">
        <v>28454</v>
      </c>
      <c r="AA3584">
        <v>0.45502162936725338</v>
      </c>
      <c r="AB3584" t="str">
        <f>HYPERLINK("Melting_Curves/meltCurve_Q68DQ2_CRYBG3.pdf", "Melting_Curves/meltCurve_Q68DQ2_CRYBG3.pdf")</f>
        <v>Melting_Curves/meltCurve_Q68DQ2_CRYBG3.pdf</v>
      </c>
    </row>
    <row r="3585" spans="1:28" x14ac:dyDescent="0.25">
      <c r="A3585" t="s">
        <v>3589</v>
      </c>
      <c r="B3585">
        <v>0.99352677808782597</v>
      </c>
      <c r="C3585">
        <v>0.85112612552977396</v>
      </c>
      <c r="D3585">
        <v>0.59026908747469098</v>
      </c>
      <c r="E3585">
        <v>0.34680937409653401</v>
      </c>
      <c r="F3585">
        <v>0.269291496049885</v>
      </c>
      <c r="G3585">
        <v>0.18041366262747299</v>
      </c>
      <c r="H3585">
        <v>0.10203424468279</v>
      </c>
      <c r="I3585">
        <v>8.7937985145543004E-2</v>
      </c>
      <c r="J3585">
        <v>8.8796213344047401E-2</v>
      </c>
      <c r="K3585">
        <v>6.8259345149132802E-2</v>
      </c>
      <c r="L3585">
        <v>702.98246856082596</v>
      </c>
      <c r="M3585">
        <v>14.8864224720446</v>
      </c>
      <c r="N3585">
        <v>47.788952370146497</v>
      </c>
      <c r="O3585">
        <v>46.3954782333361</v>
      </c>
      <c r="P3585">
        <v>-7.3740819753928502E-2</v>
      </c>
      <c r="Q3585">
        <v>8.0804317470235601E-2</v>
      </c>
      <c r="R3585">
        <v>0.99234105862308197</v>
      </c>
      <c r="S3585" t="s">
        <v>9870</v>
      </c>
      <c r="T3585" t="s">
        <v>12568</v>
      </c>
      <c r="U3585" t="s">
        <v>12568</v>
      </c>
      <c r="V3585" t="s">
        <v>12568</v>
      </c>
      <c r="W3585" t="s">
        <v>16110</v>
      </c>
      <c r="X3585">
        <v>10</v>
      </c>
      <c r="Y3585" t="s">
        <v>22233</v>
      </c>
      <c r="Z3585" t="s">
        <v>28455</v>
      </c>
      <c r="AA3585">
        <v>0.32714263354777667</v>
      </c>
      <c r="AB3585" t="str">
        <f>HYPERLINK("Melting_Curves/meltCurve_Q68E01_2_INTS3.pdf", "Melting_Curves/meltCurve_Q68E01_2_INTS3.pdf")</f>
        <v>Melting_Curves/meltCurve_Q68E01_2_INTS3.pdf</v>
      </c>
    </row>
    <row r="3586" spans="1:28" x14ac:dyDescent="0.25">
      <c r="A3586" t="s">
        <v>3590</v>
      </c>
      <c r="B3586">
        <v>0.99352677808782597</v>
      </c>
      <c r="C3586">
        <v>0.97547487111545195</v>
      </c>
      <c r="D3586">
        <v>0.88439577288531102</v>
      </c>
      <c r="E3586">
        <v>0.41338363509975501</v>
      </c>
      <c r="F3586">
        <v>0.28972442753712402</v>
      </c>
      <c r="G3586">
        <v>0.194989823030954</v>
      </c>
      <c r="H3586">
        <v>0.15360412773360901</v>
      </c>
      <c r="I3586">
        <v>0.14213590293359701</v>
      </c>
      <c r="J3586">
        <v>0.12543361103841499</v>
      </c>
      <c r="K3586">
        <v>0.118568264106007</v>
      </c>
      <c r="L3586">
        <v>1247.8441852460801</v>
      </c>
      <c r="M3586">
        <v>25.5281697922204</v>
      </c>
      <c r="N3586">
        <v>49.540200854816199</v>
      </c>
      <c r="O3586">
        <v>48.584072985300097</v>
      </c>
      <c r="P3586">
        <v>-0.11244732866405401</v>
      </c>
      <c r="Q3586">
        <v>0.143991649210401</v>
      </c>
      <c r="R3586">
        <v>0.99511560763784601</v>
      </c>
      <c r="S3586" t="s">
        <v>9871</v>
      </c>
      <c r="T3586" t="s">
        <v>12568</v>
      </c>
      <c r="U3586" t="s">
        <v>12568</v>
      </c>
      <c r="V3586" t="s">
        <v>12568</v>
      </c>
      <c r="W3586" t="s">
        <v>16111</v>
      </c>
      <c r="X3586">
        <v>11</v>
      </c>
      <c r="Y3586" t="s">
        <v>22234</v>
      </c>
      <c r="Z3586" t="s">
        <v>28456</v>
      </c>
      <c r="AA3586">
        <v>0.40465998420254762</v>
      </c>
      <c r="AB3586" t="str">
        <f>HYPERLINK("Melting_Curves/meltCurve_Q68EM7_6_ARHGAP17.pdf", "Melting_Curves/meltCurve_Q68EM7_6_ARHGAP17.pdf")</f>
        <v>Melting_Curves/meltCurve_Q68EM7_6_ARHGAP17.pdf</v>
      </c>
    </row>
    <row r="3587" spans="1:28" x14ac:dyDescent="0.25">
      <c r="A3587" t="s">
        <v>3591</v>
      </c>
      <c r="B3587">
        <v>0.99352677808782597</v>
      </c>
      <c r="C3587">
        <v>0.95510123076726094</v>
      </c>
      <c r="D3587">
        <v>0.97799046366512798</v>
      </c>
      <c r="E3587">
        <v>0.92548987704360197</v>
      </c>
      <c r="F3587">
        <v>0.774929187193651</v>
      </c>
      <c r="G3587">
        <v>0.66722092974309999</v>
      </c>
      <c r="H3587">
        <v>0.55900686251896803</v>
      </c>
      <c r="I3587">
        <v>0.63395772337204603</v>
      </c>
      <c r="J3587">
        <v>0.65938600720551399</v>
      </c>
      <c r="K3587">
        <v>0.57850905673406805</v>
      </c>
      <c r="L3587">
        <v>1404.0597659679399</v>
      </c>
      <c r="M3587">
        <v>26.735367804029401</v>
      </c>
      <c r="O3587">
        <v>52.225745365600702</v>
      </c>
      <c r="P3587">
        <v>-5.0207792282161101E-2</v>
      </c>
      <c r="Q3587">
        <v>0.60769371079728196</v>
      </c>
      <c r="R3587">
        <v>0.96416561360158204</v>
      </c>
      <c r="S3587" t="s">
        <v>9872</v>
      </c>
      <c r="T3587" t="s">
        <v>12568</v>
      </c>
      <c r="U3587" t="s">
        <v>12568</v>
      </c>
      <c r="V3587" t="s">
        <v>12568</v>
      </c>
      <c r="W3587" t="s">
        <v>16112</v>
      </c>
      <c r="X3587">
        <v>9</v>
      </c>
      <c r="Y3587" t="s">
        <v>22235</v>
      </c>
      <c r="Z3587" t="s">
        <v>28457</v>
      </c>
      <c r="AA3587">
        <v>0.77454016546065063</v>
      </c>
      <c r="AB3587" t="str">
        <f>HYPERLINK("Melting_Curves/meltCurve_Q69YH5_CDCA2.pdf", "Melting_Curves/meltCurve_Q69YH5_CDCA2.pdf")</f>
        <v>Melting_Curves/meltCurve_Q69YH5_CDCA2.pdf</v>
      </c>
    </row>
    <row r="3588" spans="1:28" x14ac:dyDescent="0.25">
      <c r="A3588" t="s">
        <v>3592</v>
      </c>
      <c r="B3588">
        <v>0.99352677808782597</v>
      </c>
      <c r="C3588">
        <v>0.97105193362624698</v>
      </c>
      <c r="D3588">
        <v>0.94847875051165598</v>
      </c>
      <c r="E3588">
        <v>0.34540546293312202</v>
      </c>
      <c r="F3588">
        <v>0.32989304209852799</v>
      </c>
      <c r="G3588">
        <v>0.125037844417168</v>
      </c>
      <c r="H3588">
        <v>0.15809565432063699</v>
      </c>
      <c r="I3588">
        <v>0.27921208052241703</v>
      </c>
      <c r="J3588">
        <v>7.1750722587339902E-2</v>
      </c>
      <c r="K3588">
        <v>5.3318171496790599E-2</v>
      </c>
      <c r="L3588">
        <v>1691.7823301138999</v>
      </c>
      <c r="M3588">
        <v>34.731266807394498</v>
      </c>
      <c r="N3588">
        <v>49.231563452991999</v>
      </c>
      <c r="O3588">
        <v>48.550003787770102</v>
      </c>
      <c r="P3588">
        <v>-0.151343395890007</v>
      </c>
      <c r="Q3588">
        <v>0.153765883432399</v>
      </c>
      <c r="R3588">
        <v>0.95905038411078303</v>
      </c>
      <c r="S3588" t="s">
        <v>9873</v>
      </c>
      <c r="T3588" t="s">
        <v>12568</v>
      </c>
      <c r="U3588" t="s">
        <v>12568</v>
      </c>
      <c r="V3588" t="s">
        <v>12568</v>
      </c>
      <c r="W3588" t="s">
        <v>16113</v>
      </c>
      <c r="X3588">
        <v>11</v>
      </c>
      <c r="Y3588" t="s">
        <v>22236</v>
      </c>
      <c r="Z3588" t="s">
        <v>28458</v>
      </c>
      <c r="AA3588">
        <v>0.40327640266485248</v>
      </c>
      <c r="AB3588" t="str">
        <f>HYPERLINK("Melting_Curves/meltCurve_Q69YN2_CWF19L1.pdf", "Melting_Curves/meltCurve_Q69YN2_CWF19L1.pdf")</f>
        <v>Melting_Curves/meltCurve_Q69YN2_CWF19L1.pdf</v>
      </c>
    </row>
    <row r="3589" spans="1:28" x14ac:dyDescent="0.25">
      <c r="A3589" t="s">
        <v>3593</v>
      </c>
      <c r="B3589">
        <v>0.99352677808782597</v>
      </c>
      <c r="C3589">
        <v>0.98043173934851302</v>
      </c>
      <c r="D3589">
        <v>0.81310754261137497</v>
      </c>
      <c r="E3589">
        <v>0.34995506397633902</v>
      </c>
      <c r="F3589">
        <v>0.27574819698154202</v>
      </c>
      <c r="G3589">
        <v>0.182362857334708</v>
      </c>
      <c r="H3589">
        <v>0.119991016210511</v>
      </c>
      <c r="I3589">
        <v>0.113192844472326</v>
      </c>
      <c r="J3589">
        <v>9.6146025823311193E-2</v>
      </c>
      <c r="K3589">
        <v>7.0684511216992499E-2</v>
      </c>
      <c r="L3589">
        <v>1106.2196426869</v>
      </c>
      <c r="M3589">
        <v>22.8442043084478</v>
      </c>
      <c r="N3589">
        <v>48.966492367536603</v>
      </c>
      <c r="O3589">
        <v>48.058046059153803</v>
      </c>
      <c r="P3589">
        <v>-0.10556388131488501</v>
      </c>
      <c r="Q3589">
        <v>0.111705736672743</v>
      </c>
      <c r="R3589">
        <v>0.99168887158853603</v>
      </c>
      <c r="S3589" t="s">
        <v>9874</v>
      </c>
      <c r="T3589" t="s">
        <v>12568</v>
      </c>
      <c r="U3589" t="s">
        <v>12568</v>
      </c>
      <c r="V3589" t="s">
        <v>12568</v>
      </c>
      <c r="W3589" t="s">
        <v>16114</v>
      </c>
      <c r="X3589">
        <v>13</v>
      </c>
      <c r="Y3589" t="s">
        <v>22237</v>
      </c>
      <c r="Z3589" t="s">
        <v>28459</v>
      </c>
      <c r="AA3589">
        <v>0.3706401354925204</v>
      </c>
      <c r="AB3589" t="str">
        <f>HYPERLINK("Melting_Curves/meltCurve_Q69YN4_KIAA1429.pdf", "Melting_Curves/meltCurve_Q69YN4_KIAA1429.pdf")</f>
        <v>Melting_Curves/meltCurve_Q69YN4_KIAA1429.pdf</v>
      </c>
    </row>
    <row r="3590" spans="1:28" x14ac:dyDescent="0.25">
      <c r="A3590" t="s">
        <v>3594</v>
      </c>
      <c r="B3590">
        <v>0.99352677808782597</v>
      </c>
      <c r="C3590">
        <v>0.99602573220680102</v>
      </c>
      <c r="D3590">
        <v>1.0110600777757499</v>
      </c>
      <c r="E3590">
        <v>0.91590912577129302</v>
      </c>
      <c r="F3590">
        <v>0.82321473459691497</v>
      </c>
      <c r="G3590">
        <v>0.71489864817066295</v>
      </c>
      <c r="H3590">
        <v>0.65742843392153705</v>
      </c>
      <c r="I3590">
        <v>0.68180610064397196</v>
      </c>
      <c r="J3590">
        <v>0.72337296112131799</v>
      </c>
      <c r="K3590">
        <v>0.59806292749699597</v>
      </c>
      <c r="L3590">
        <v>1200.1811287758501</v>
      </c>
      <c r="M3590">
        <v>22.749656579705501</v>
      </c>
      <c r="O3590">
        <v>52.353446606287399</v>
      </c>
      <c r="P3590">
        <v>-3.6990293944009697E-2</v>
      </c>
      <c r="Q3590">
        <v>0.65950579655358199</v>
      </c>
      <c r="R3590">
        <v>0.95990634721300006</v>
      </c>
      <c r="S3590" t="s">
        <v>9875</v>
      </c>
      <c r="T3590" t="s">
        <v>12568</v>
      </c>
      <c r="U3590" t="s">
        <v>12568</v>
      </c>
      <c r="V3590" t="s">
        <v>12568</v>
      </c>
      <c r="W3590" t="s">
        <v>16115</v>
      </c>
      <c r="X3590">
        <v>17</v>
      </c>
      <c r="Y3590" t="s">
        <v>22238</v>
      </c>
      <c r="Z3590" t="s">
        <v>28460</v>
      </c>
      <c r="AA3590">
        <v>0.80801396902754563</v>
      </c>
      <c r="AB3590" t="str">
        <f>HYPERLINK("Melting_Curves/meltCurve_Q69YQ0_2_SPECC1L.pdf", "Melting_Curves/meltCurve_Q69YQ0_2_SPECC1L.pdf")</f>
        <v>Melting_Curves/meltCurve_Q69YQ0_2_SPECC1L.pdf</v>
      </c>
    </row>
    <row r="3591" spans="1:28" x14ac:dyDescent="0.25">
      <c r="A3591" t="s">
        <v>3595</v>
      </c>
      <c r="B3591">
        <v>0.99352677808782597</v>
      </c>
      <c r="C3591">
        <v>0.89727132764423601</v>
      </c>
      <c r="D3591">
        <v>0.64699017796348601</v>
      </c>
      <c r="E3591">
        <v>0.28256601330907499</v>
      </c>
      <c r="F3591">
        <v>0.22337656357242899</v>
      </c>
      <c r="G3591">
        <v>0.14529260330952501</v>
      </c>
      <c r="H3591">
        <v>8.8307495677099099E-2</v>
      </c>
      <c r="I3591">
        <v>8.3096758707657398E-2</v>
      </c>
      <c r="J3591">
        <v>7.3450161793435401E-2</v>
      </c>
      <c r="K3591">
        <v>6.8107739885732002E-2</v>
      </c>
      <c r="L3591">
        <v>913.202331128119</v>
      </c>
      <c r="M3591">
        <v>19.361569483514302</v>
      </c>
      <c r="N3591">
        <v>47.617954396652998</v>
      </c>
      <c r="O3591">
        <v>46.671214041557398</v>
      </c>
      <c r="P3591">
        <v>-9.5006042883737596E-2</v>
      </c>
      <c r="Q3591">
        <v>8.3982669905035404E-2</v>
      </c>
      <c r="R3591">
        <v>0.99580612363343302</v>
      </c>
      <c r="S3591" t="s">
        <v>9876</v>
      </c>
      <c r="T3591" t="s">
        <v>12568</v>
      </c>
      <c r="U3591" t="s">
        <v>12568</v>
      </c>
      <c r="V3591" t="s">
        <v>12568</v>
      </c>
      <c r="W3591" t="s">
        <v>16116</v>
      </c>
      <c r="X3591">
        <v>5</v>
      </c>
      <c r="Y3591" t="s">
        <v>22239</v>
      </c>
      <c r="Z3591" t="s">
        <v>28461</v>
      </c>
      <c r="AA3591">
        <v>0.31708745004534028</v>
      </c>
      <c r="AB3591" t="str">
        <f>HYPERLINK("Melting_Curves/meltCurve_Q6AI08_HEATR6.pdf", "Melting_Curves/meltCurve_Q6AI08_HEATR6.pdf")</f>
        <v>Melting_Curves/meltCurve_Q6AI08_HEATR6.pdf</v>
      </c>
    </row>
    <row r="3592" spans="1:28" x14ac:dyDescent="0.25">
      <c r="A3592" t="s">
        <v>3596</v>
      </c>
      <c r="B3592">
        <v>0.99352677808782597</v>
      </c>
      <c r="C3592">
        <v>0.95459255767162199</v>
      </c>
      <c r="D3592">
        <v>0.87351540243196102</v>
      </c>
      <c r="E3592">
        <v>0.81711005361620104</v>
      </c>
      <c r="F3592">
        <v>0.70498635010935395</v>
      </c>
      <c r="G3592">
        <v>0.518170892336</v>
      </c>
      <c r="H3592">
        <v>0.697002693118006</v>
      </c>
      <c r="I3592">
        <v>0.71171266203224304</v>
      </c>
      <c r="J3592">
        <v>0.942083662483436</v>
      </c>
      <c r="K3592">
        <v>0.70930970586694797</v>
      </c>
      <c r="L3592">
        <v>1100.9357683015701</v>
      </c>
      <c r="M3592">
        <v>23.612733691876201</v>
      </c>
      <c r="O3592">
        <v>46.294131056421598</v>
      </c>
      <c r="P3592">
        <v>-3.60306579754643E-2</v>
      </c>
      <c r="Q3592">
        <v>0.71744407841813895</v>
      </c>
      <c r="R3592">
        <v>0.52461280676087796</v>
      </c>
      <c r="S3592" t="s">
        <v>9877</v>
      </c>
      <c r="T3592" t="s">
        <v>12568</v>
      </c>
      <c r="U3592" t="s">
        <v>12568</v>
      </c>
      <c r="V3592" t="s">
        <v>12568</v>
      </c>
      <c r="W3592" t="s">
        <v>16117</v>
      </c>
      <c r="X3592">
        <v>7</v>
      </c>
      <c r="Y3592" t="s">
        <v>22240</v>
      </c>
      <c r="Z3592" t="s">
        <v>28462</v>
      </c>
      <c r="AA3592">
        <v>0.78273322492795905</v>
      </c>
      <c r="AB3592" t="str">
        <f>HYPERLINK("Melting_Curves/meltCurve_Q6AI12_ANKRD40.pdf", "Melting_Curves/meltCurve_Q6AI12_ANKRD40.pdf")</f>
        <v>Melting_Curves/meltCurve_Q6AI12_ANKRD40.pdf</v>
      </c>
    </row>
    <row r="3593" spans="1:28" x14ac:dyDescent="0.25">
      <c r="A3593" t="s">
        <v>3597</v>
      </c>
      <c r="B3593">
        <v>0.99352677808782597</v>
      </c>
      <c r="C3593">
        <v>1.03161017324983</v>
      </c>
      <c r="D3593">
        <v>0.88965130782670698</v>
      </c>
      <c r="E3593">
        <v>0.57058394304549398</v>
      </c>
      <c r="F3593">
        <v>0.53266878252231398</v>
      </c>
      <c r="G3593">
        <v>0.33419414054206797</v>
      </c>
      <c r="H3593">
        <v>0.19567689834222199</v>
      </c>
      <c r="I3593">
        <v>0.23275619303388201</v>
      </c>
      <c r="J3593">
        <v>0.150986614772017</v>
      </c>
      <c r="K3593">
        <v>0.12558597535483201</v>
      </c>
      <c r="L3593">
        <v>727.19255551880497</v>
      </c>
      <c r="M3593">
        <v>14.0996388266029</v>
      </c>
      <c r="N3593">
        <v>52.726457323780501</v>
      </c>
      <c r="O3593">
        <v>50.571037454901401</v>
      </c>
      <c r="P3593">
        <v>-6.0475549098017202E-2</v>
      </c>
      <c r="Q3593">
        <v>0.13248340814971299</v>
      </c>
      <c r="R3593">
        <v>0.98101351808694204</v>
      </c>
      <c r="S3593" t="s">
        <v>9878</v>
      </c>
      <c r="T3593" t="s">
        <v>12568</v>
      </c>
      <c r="U3593" t="s">
        <v>12568</v>
      </c>
      <c r="V3593" t="s">
        <v>12568</v>
      </c>
      <c r="W3593" t="s">
        <v>16118</v>
      </c>
      <c r="X3593">
        <v>4</v>
      </c>
      <c r="Y3593" t="s">
        <v>22241</v>
      </c>
      <c r="Z3593" t="s">
        <v>28463</v>
      </c>
      <c r="AA3593">
        <v>0.48886707008353808</v>
      </c>
      <c r="AB3593" t="str">
        <f>HYPERLINK("Melting_Curves/meltCurve_Q6AWC2_4_WWC2.pdf", "Melting_Curves/meltCurve_Q6AWC2_4_WWC2.pdf")</f>
        <v>Melting_Curves/meltCurve_Q6AWC2_4_WWC2.pdf</v>
      </c>
    </row>
    <row r="3594" spans="1:28" x14ac:dyDescent="0.25">
      <c r="A3594" t="s">
        <v>3598</v>
      </c>
      <c r="B3594">
        <v>0.99352677808782597</v>
      </c>
      <c r="C3594">
        <v>1.0164271945911101</v>
      </c>
      <c r="D3594">
        <v>0.98355355948519896</v>
      </c>
      <c r="E3594">
        <v>0.83301717764468197</v>
      </c>
      <c r="F3594">
        <v>0.69156996507217305</v>
      </c>
      <c r="G3594">
        <v>0.60496589947504398</v>
      </c>
      <c r="H3594">
        <v>0.31176620339898797</v>
      </c>
      <c r="I3594">
        <v>0.12675767566785101</v>
      </c>
      <c r="J3594">
        <v>9.9794265611821906E-2</v>
      </c>
      <c r="K3594">
        <v>7.1565301807339901E-2</v>
      </c>
      <c r="L3594">
        <v>781.97207628713898</v>
      </c>
      <c r="M3594">
        <v>13.6735171526673</v>
      </c>
      <c r="N3594">
        <v>57.188809949739202</v>
      </c>
      <c r="O3594">
        <v>56.007195316900798</v>
      </c>
      <c r="P3594">
        <v>-6.1043501691294799E-2</v>
      </c>
      <c r="Q3594">
        <v>0</v>
      </c>
      <c r="R3594">
        <v>0.98590407714303996</v>
      </c>
      <c r="S3594" t="s">
        <v>9879</v>
      </c>
      <c r="T3594" t="s">
        <v>12568</v>
      </c>
      <c r="U3594" t="s">
        <v>12568</v>
      </c>
      <c r="V3594" t="s">
        <v>12568</v>
      </c>
      <c r="W3594" t="s">
        <v>16119</v>
      </c>
      <c r="X3594">
        <v>3</v>
      </c>
      <c r="Y3594" t="s">
        <v>22242</v>
      </c>
      <c r="Z3594" t="s">
        <v>28464</v>
      </c>
      <c r="AA3594">
        <v>0.58892566623696629</v>
      </c>
      <c r="AB3594" t="str">
        <f>HYPERLINK("Melting_Curves/meltCurve_Q6BCY4_CYB5R2.pdf", "Melting_Curves/meltCurve_Q6BCY4_CYB5R2.pdf")</f>
        <v>Melting_Curves/meltCurve_Q6BCY4_CYB5R2.pdf</v>
      </c>
    </row>
    <row r="3595" spans="1:28" x14ac:dyDescent="0.25">
      <c r="A3595" t="s">
        <v>3599</v>
      </c>
      <c r="B3595">
        <v>0.99352677808782597</v>
      </c>
      <c r="C3595">
        <v>0.99431010085271399</v>
      </c>
      <c r="D3595">
        <v>0.89591362426619903</v>
      </c>
      <c r="E3595">
        <v>1.1555483535462101</v>
      </c>
      <c r="F3595">
        <v>0.90851546806748196</v>
      </c>
      <c r="G3595">
        <v>0.58052374845890997</v>
      </c>
      <c r="H3595">
        <v>0.37997527925347901</v>
      </c>
      <c r="I3595">
        <v>0.38733373084131201</v>
      </c>
      <c r="J3595">
        <v>0.415229468942723</v>
      </c>
      <c r="K3595">
        <v>0.35386740451890902</v>
      </c>
      <c r="L3595">
        <v>2287.7766409340502</v>
      </c>
      <c r="M3595">
        <v>40.940782346900001</v>
      </c>
      <c r="N3595">
        <v>57.892123082596001</v>
      </c>
      <c r="O3595">
        <v>55.747326987403603</v>
      </c>
      <c r="P3595">
        <v>-0.11392623216527301</v>
      </c>
      <c r="Q3595">
        <v>0.37948724086575297</v>
      </c>
      <c r="R3595">
        <v>0.95442494327545002</v>
      </c>
      <c r="S3595" t="s">
        <v>9880</v>
      </c>
      <c r="T3595" t="s">
        <v>12568</v>
      </c>
      <c r="U3595" t="s">
        <v>12568</v>
      </c>
      <c r="V3595" t="s">
        <v>12568</v>
      </c>
      <c r="W3595" t="s">
        <v>16120</v>
      </c>
      <c r="X3595">
        <v>2</v>
      </c>
      <c r="Y3595" t="s">
        <v>22243</v>
      </c>
      <c r="Z3595" t="s">
        <v>28465</v>
      </c>
      <c r="AA3595">
        <v>0.71022360428051701</v>
      </c>
      <c r="AB3595" t="str">
        <f>HYPERLINK("Melting_Curves/meltCurve_Q6BDS2_UHRF1BP1.pdf", "Melting_Curves/meltCurve_Q6BDS2_UHRF1BP1.pdf")</f>
        <v>Melting_Curves/meltCurve_Q6BDS2_UHRF1BP1.pdf</v>
      </c>
    </row>
    <row r="3596" spans="1:28" x14ac:dyDescent="0.25">
      <c r="A3596" t="s">
        <v>3600</v>
      </c>
      <c r="B3596">
        <v>0.99352677808782597</v>
      </c>
      <c r="C3596">
        <v>0.92071669480379303</v>
      </c>
      <c r="D3596">
        <v>0.87794565329513696</v>
      </c>
      <c r="E3596">
        <v>0.26737639033654398</v>
      </c>
      <c r="F3596">
        <v>0.181905292258106</v>
      </c>
      <c r="G3596">
        <v>0.107667680031689</v>
      </c>
      <c r="H3596">
        <v>7.9280940609495795E-2</v>
      </c>
      <c r="I3596">
        <v>7.5841393002062996E-2</v>
      </c>
      <c r="J3596">
        <v>6.5138380975274301E-2</v>
      </c>
      <c r="K3596">
        <v>5.1829940746005297E-2</v>
      </c>
      <c r="L3596">
        <v>1624.3403639775299</v>
      </c>
      <c r="M3596">
        <v>33.6696386674111</v>
      </c>
      <c r="N3596">
        <v>48.500654921058199</v>
      </c>
      <c r="O3596">
        <v>48.074228973339899</v>
      </c>
      <c r="P3596">
        <v>-0.16077816968328601</v>
      </c>
      <c r="Q3596">
        <v>8.1753463381540506E-2</v>
      </c>
      <c r="R3596">
        <v>0.99237088357551695</v>
      </c>
      <c r="S3596" t="s">
        <v>9881</v>
      </c>
      <c r="T3596" t="s">
        <v>12568</v>
      </c>
      <c r="U3596" t="s">
        <v>12568</v>
      </c>
      <c r="V3596" t="s">
        <v>12568</v>
      </c>
      <c r="W3596" t="s">
        <v>16121</v>
      </c>
      <c r="X3596">
        <v>3</v>
      </c>
      <c r="Y3596" t="s">
        <v>22244</v>
      </c>
      <c r="Z3596" t="s">
        <v>28466</v>
      </c>
      <c r="AA3596">
        <v>0.33843552678890448</v>
      </c>
      <c r="AB3596" t="str">
        <f>HYPERLINK("Melting_Curves/meltCurve_Q6DCA0_AMMECR1L.pdf", "Melting_Curves/meltCurve_Q6DCA0_AMMECR1L.pdf")</f>
        <v>Melting_Curves/meltCurve_Q6DCA0_AMMECR1L.pdf</v>
      </c>
    </row>
    <row r="3597" spans="1:28" x14ac:dyDescent="0.25">
      <c r="A3597" t="s">
        <v>3601</v>
      </c>
      <c r="B3597">
        <v>0.99352677808782597</v>
      </c>
      <c r="C3597">
        <v>1.0106032888618199</v>
      </c>
      <c r="D3597">
        <v>0.99841011702253601</v>
      </c>
      <c r="E3597">
        <v>0.973287433203185</v>
      </c>
      <c r="F3597">
        <v>0.887462039633932</v>
      </c>
      <c r="G3597">
        <v>0.78609569719433003</v>
      </c>
      <c r="H3597">
        <v>0.73040021986718395</v>
      </c>
      <c r="I3597">
        <v>0.76578345511758195</v>
      </c>
      <c r="J3597">
        <v>0.96864260396744695</v>
      </c>
      <c r="K3597">
        <v>0.79320206054808196</v>
      </c>
      <c r="L3597">
        <v>2546.2861901574902</v>
      </c>
      <c r="M3597">
        <v>48.534317021912102</v>
      </c>
      <c r="O3597">
        <v>52.374764697966</v>
      </c>
      <c r="P3597">
        <v>-4.4318762421232102E-2</v>
      </c>
      <c r="Q3597">
        <v>0.80869754074862299</v>
      </c>
      <c r="R3597">
        <v>0.68669276194795004</v>
      </c>
      <c r="S3597" t="s">
        <v>9882</v>
      </c>
      <c r="T3597" t="s">
        <v>12568</v>
      </c>
      <c r="U3597" t="s">
        <v>12568</v>
      </c>
      <c r="V3597" t="s">
        <v>12568</v>
      </c>
      <c r="W3597" t="s">
        <v>16122</v>
      </c>
      <c r="X3597">
        <v>7</v>
      </c>
      <c r="Y3597" t="s">
        <v>22245</v>
      </c>
      <c r="Z3597" t="s">
        <v>28467</v>
      </c>
      <c r="AA3597">
        <v>0.88864489113187517</v>
      </c>
      <c r="AB3597" t="str">
        <f>HYPERLINK("Melting_Curves/meltCurve_Q6DD87_ZNF787.pdf", "Melting_Curves/meltCurve_Q6DD87_ZNF787.pdf")</f>
        <v>Melting_Curves/meltCurve_Q6DD87_ZNF787.pdf</v>
      </c>
    </row>
    <row r="3598" spans="1:28" x14ac:dyDescent="0.25">
      <c r="A3598" t="s">
        <v>3602</v>
      </c>
      <c r="B3598">
        <v>0.99352677808782597</v>
      </c>
      <c r="C3598">
        <v>0.97802797315235102</v>
      </c>
      <c r="D3598">
        <v>0.99885372075207002</v>
      </c>
      <c r="E3598">
        <v>0.62275759258409802</v>
      </c>
      <c r="F3598">
        <v>0.50654176287234898</v>
      </c>
      <c r="G3598">
        <v>0.33358738688409501</v>
      </c>
      <c r="H3598">
        <v>0.20786620295217101</v>
      </c>
      <c r="I3598">
        <v>0.169862835881472</v>
      </c>
      <c r="J3598">
        <v>0.11340422214057699</v>
      </c>
      <c r="K3598">
        <v>6.9414700321370301E-2</v>
      </c>
      <c r="L3598">
        <v>771.91601970284898</v>
      </c>
      <c r="M3598">
        <v>14.7116234325802</v>
      </c>
      <c r="N3598">
        <v>53.151421880701903</v>
      </c>
      <c r="O3598">
        <v>51.528926561147401</v>
      </c>
      <c r="P3598">
        <v>-6.52467219121214E-2</v>
      </c>
      <c r="Q3598">
        <v>8.5967003650312193E-2</v>
      </c>
      <c r="R3598">
        <v>0.984414159846842</v>
      </c>
      <c r="S3598" t="s">
        <v>9883</v>
      </c>
      <c r="T3598" t="s">
        <v>12568</v>
      </c>
      <c r="U3598" t="s">
        <v>12568</v>
      </c>
      <c r="V3598" t="s">
        <v>12568</v>
      </c>
      <c r="W3598" t="s">
        <v>16123</v>
      </c>
      <c r="X3598">
        <v>12</v>
      </c>
      <c r="Y3598" t="s">
        <v>22246</v>
      </c>
      <c r="Z3598" t="s">
        <v>28468</v>
      </c>
      <c r="AA3598">
        <v>0.48655884493732998</v>
      </c>
      <c r="AB3598" t="str">
        <f>HYPERLINK("Melting_Curves/meltCurve_Q6DKJ4_NXN.pdf", "Melting_Curves/meltCurve_Q6DKJ4_NXN.pdf")</f>
        <v>Melting_Curves/meltCurve_Q6DKJ4_NXN.pdf</v>
      </c>
    </row>
    <row r="3599" spans="1:28" x14ac:dyDescent="0.25">
      <c r="A3599" t="s">
        <v>3603</v>
      </c>
      <c r="B3599">
        <v>0.99352677808782597</v>
      </c>
      <c r="C3599">
        <v>0.91705448611953599</v>
      </c>
      <c r="D3599">
        <v>0.93099960829087203</v>
      </c>
      <c r="E3599">
        <v>0.55692407111439002</v>
      </c>
      <c r="F3599">
        <v>0.491370344132814</v>
      </c>
      <c r="G3599">
        <v>0.29030162287907502</v>
      </c>
      <c r="H3599">
        <v>0.22787657165644001</v>
      </c>
      <c r="I3599">
        <v>0.20334410374103401</v>
      </c>
      <c r="J3599">
        <v>0.20887776436533201</v>
      </c>
      <c r="K3599">
        <v>9.7601992343796698E-2</v>
      </c>
      <c r="L3599">
        <v>748.85824819233505</v>
      </c>
      <c r="M3599">
        <v>14.696351111866999</v>
      </c>
      <c r="N3599">
        <v>52.181485807711397</v>
      </c>
      <c r="O3599">
        <v>50.039823412856698</v>
      </c>
      <c r="P3599">
        <v>-6.2710210258202101E-2</v>
      </c>
      <c r="Q3599">
        <v>0.146001780434145</v>
      </c>
      <c r="R3599">
        <v>0.98113922296784795</v>
      </c>
      <c r="S3599" t="s">
        <v>9884</v>
      </c>
      <c r="T3599" t="s">
        <v>12568</v>
      </c>
      <c r="U3599" t="s">
        <v>12568</v>
      </c>
      <c r="V3599" t="s">
        <v>12568</v>
      </c>
      <c r="W3599" t="s">
        <v>16124</v>
      </c>
      <c r="X3599">
        <v>1</v>
      </c>
      <c r="Y3599" t="s">
        <v>22247</v>
      </c>
      <c r="Z3599" t="s">
        <v>28469</v>
      </c>
      <c r="AA3599">
        <v>0.47830173625673389</v>
      </c>
      <c r="AB3599" t="str">
        <f>HYPERLINK("Melting_Curves/meltCurve_Q6DKK2_TTC19.pdf", "Melting_Curves/meltCurve_Q6DKK2_TTC19.pdf")</f>
        <v>Melting_Curves/meltCurve_Q6DKK2_TTC19.pdf</v>
      </c>
    </row>
    <row r="3600" spans="1:28" x14ac:dyDescent="0.25">
      <c r="A3600" t="s">
        <v>3604</v>
      </c>
      <c r="B3600">
        <v>0.99352677808782597</v>
      </c>
      <c r="C3600">
        <v>1.0003221913867999</v>
      </c>
      <c r="D3600">
        <v>1.0336376537257601</v>
      </c>
      <c r="E3600">
        <v>1.0633732782008101</v>
      </c>
      <c r="F3600">
        <v>0.98253306290597597</v>
      </c>
      <c r="G3600">
        <v>0.97026537653538603</v>
      </c>
      <c r="H3600">
        <v>0.84126603202579697</v>
      </c>
      <c r="I3600">
        <v>0.876133944815494</v>
      </c>
      <c r="J3600">
        <v>0.88418761707246496</v>
      </c>
      <c r="K3600">
        <v>0.80959628536244599</v>
      </c>
      <c r="L3600">
        <v>14328.3103096963</v>
      </c>
      <c r="M3600">
        <v>250</v>
      </c>
      <c r="O3600">
        <v>57.309562546833902</v>
      </c>
      <c r="P3600">
        <v>-0.16053604732548599</v>
      </c>
      <c r="Q3600">
        <v>0.85279596144601</v>
      </c>
      <c r="R3600">
        <v>0.86504041496866602</v>
      </c>
      <c r="S3600" t="s">
        <v>9885</v>
      </c>
      <c r="T3600" t="s">
        <v>12568</v>
      </c>
      <c r="U3600" t="s">
        <v>12568</v>
      </c>
      <c r="V3600" t="s">
        <v>12568</v>
      </c>
      <c r="W3600" t="s">
        <v>16125</v>
      </c>
      <c r="X3600">
        <v>3</v>
      </c>
      <c r="Y3600" t="s">
        <v>20346</v>
      </c>
      <c r="Z3600" t="s">
        <v>28470</v>
      </c>
      <c r="AA3600">
        <v>0.93776340215469944</v>
      </c>
      <c r="AB3600" t="str">
        <f>HYPERLINK("Melting_Curves/meltCurve_Q6EEV4_2_POLR2M.pdf", "Melting_Curves/meltCurve_Q6EEV4_2_POLR2M.pdf")</f>
        <v>Melting_Curves/meltCurve_Q6EEV4_2_POLR2M.pdf</v>
      </c>
    </row>
    <row r="3601" spans="1:28" x14ac:dyDescent="0.25">
      <c r="A3601" t="s">
        <v>3605</v>
      </c>
      <c r="B3601">
        <v>0.99352677808782597</v>
      </c>
      <c r="C3601">
        <v>0.87185031294373205</v>
      </c>
      <c r="D3601">
        <v>0.95966741301574698</v>
      </c>
      <c r="E3601">
        <v>0.84521370752597802</v>
      </c>
      <c r="F3601">
        <v>0.76319754748224899</v>
      </c>
      <c r="G3601">
        <v>0.52052526311476</v>
      </c>
      <c r="H3601">
        <v>0.35418725641946502</v>
      </c>
      <c r="I3601">
        <v>0.32813265603407599</v>
      </c>
      <c r="J3601">
        <v>0.33150120914848102</v>
      </c>
      <c r="K3601">
        <v>0.26675494178409098</v>
      </c>
      <c r="L3601">
        <v>788.54935461725495</v>
      </c>
      <c r="M3601">
        <v>14.3251441073199</v>
      </c>
      <c r="N3601">
        <v>57.689309355540999</v>
      </c>
      <c r="O3601">
        <v>54.007144282020498</v>
      </c>
      <c r="P3601">
        <v>-5.0362835892805199E-2</v>
      </c>
      <c r="Q3601">
        <v>0.240601300088229</v>
      </c>
      <c r="R3601">
        <v>0.97662630331713796</v>
      </c>
      <c r="S3601" t="s">
        <v>9886</v>
      </c>
      <c r="T3601" t="s">
        <v>12568</v>
      </c>
      <c r="U3601" t="s">
        <v>12568</v>
      </c>
      <c r="V3601" t="s">
        <v>12568</v>
      </c>
      <c r="W3601" t="s">
        <v>16126</v>
      </c>
      <c r="X3601">
        <v>18</v>
      </c>
      <c r="Y3601" t="s">
        <v>22248</v>
      </c>
      <c r="Z3601" t="s">
        <v>28471</v>
      </c>
      <c r="AA3601">
        <v>0.63677120977697099</v>
      </c>
      <c r="AB3601" t="str">
        <f>HYPERLINK("Melting_Curves/meltCurve_Q6FI81_CIAPIN1.pdf", "Melting_Curves/meltCurve_Q6FI81_CIAPIN1.pdf")</f>
        <v>Melting_Curves/meltCurve_Q6FI81_CIAPIN1.pdf</v>
      </c>
    </row>
    <row r="3602" spans="1:28" x14ac:dyDescent="0.25">
      <c r="A3602" t="s">
        <v>3606</v>
      </c>
      <c r="B3602">
        <v>0.99352677808782597</v>
      </c>
      <c r="C3602">
        <v>1.02492712567823</v>
      </c>
      <c r="D3602">
        <v>1.0751356566115</v>
      </c>
      <c r="E3602">
        <v>1.12739124500768</v>
      </c>
      <c r="F3602">
        <v>1.1107583731700901</v>
      </c>
      <c r="G3602">
        <v>1.1332051610973299</v>
      </c>
      <c r="H3602">
        <v>1.0536927948685499</v>
      </c>
      <c r="I3602">
        <v>1.28259734062798</v>
      </c>
      <c r="J3602">
        <v>1.13579410361787</v>
      </c>
      <c r="K3602">
        <v>1.0388456843023799</v>
      </c>
      <c r="L3602">
        <v>1311.9030023851999</v>
      </c>
      <c r="M3602">
        <v>28.965256929401601</v>
      </c>
      <c r="O3602">
        <v>45.078070662331001</v>
      </c>
      <c r="P3602">
        <v>2.0448722256906599E-2</v>
      </c>
      <c r="Q3602">
        <v>1.1272948201092501</v>
      </c>
      <c r="R3602">
        <v>0.36925031174946199</v>
      </c>
      <c r="S3602" t="s">
        <v>9887</v>
      </c>
      <c r="T3602" t="s">
        <v>12568</v>
      </c>
      <c r="U3602" t="s">
        <v>12568</v>
      </c>
      <c r="V3602" t="s">
        <v>12568</v>
      </c>
      <c r="W3602" t="s">
        <v>16127</v>
      </c>
      <c r="X3602">
        <v>10</v>
      </c>
      <c r="Y3602" t="s">
        <v>22249</v>
      </c>
      <c r="Z3602" t="s">
        <v>28472</v>
      </c>
      <c r="AA3602">
        <v>1.1039682545174829</v>
      </c>
      <c r="AB3602" t="str">
        <f>HYPERLINK("Melting_Curves/meltCurve_Q6FIF0_2_ZFAND6.pdf", "Melting_Curves/meltCurve_Q6FIF0_2_ZFAND6.pdf")</f>
        <v>Melting_Curves/meltCurve_Q6FIF0_2_ZFAND6.pdf</v>
      </c>
    </row>
    <row r="3603" spans="1:28" x14ac:dyDescent="0.25">
      <c r="A3603" t="s">
        <v>3607</v>
      </c>
      <c r="B3603">
        <v>0.99352677808782597</v>
      </c>
      <c r="C3603">
        <v>0.99526826386823097</v>
      </c>
      <c r="D3603">
        <v>1.01037859210936</v>
      </c>
      <c r="E3603">
        <v>0.74636721125204497</v>
      </c>
      <c r="F3603">
        <v>0.68190397400416403</v>
      </c>
      <c r="G3603">
        <v>0.24102724641929699</v>
      </c>
      <c r="H3603">
        <v>0.13621069638851099</v>
      </c>
      <c r="I3603">
        <v>0.114770880354048</v>
      </c>
      <c r="J3603">
        <v>0.10403206117204999</v>
      </c>
      <c r="K3603">
        <v>8.5383414720793499E-2</v>
      </c>
      <c r="L3603">
        <v>1107.1093063052599</v>
      </c>
      <c r="M3603">
        <v>20.6227539779095</v>
      </c>
      <c r="N3603">
        <v>54.108473049134602</v>
      </c>
      <c r="O3603">
        <v>53.186741428317603</v>
      </c>
      <c r="P3603">
        <v>-8.9696368803413404E-2</v>
      </c>
      <c r="Q3603">
        <v>7.4707476346765694E-2</v>
      </c>
      <c r="R3603">
        <v>0.98759579543476705</v>
      </c>
      <c r="S3603" t="s">
        <v>9888</v>
      </c>
      <c r="T3603" t="s">
        <v>12568</v>
      </c>
      <c r="U3603" t="s">
        <v>12568</v>
      </c>
      <c r="V3603" t="s">
        <v>12568</v>
      </c>
      <c r="W3603" t="s">
        <v>16128</v>
      </c>
      <c r="X3603">
        <v>11</v>
      </c>
      <c r="Y3603" t="s">
        <v>22250</v>
      </c>
      <c r="Z3603" t="s">
        <v>28473</v>
      </c>
      <c r="AA3603">
        <v>0.50876725651779076</v>
      </c>
      <c r="AB3603" t="str">
        <f>HYPERLINK("Melting_Curves/meltCurve_Q6GMV2_SMYD5.pdf", "Melting_Curves/meltCurve_Q6GMV2_SMYD5.pdf")</f>
        <v>Melting_Curves/meltCurve_Q6GMV2_SMYD5.pdf</v>
      </c>
    </row>
    <row r="3604" spans="1:28" x14ac:dyDescent="0.25">
      <c r="A3604" t="s">
        <v>3608</v>
      </c>
      <c r="B3604">
        <v>0.99352677808782597</v>
      </c>
      <c r="C3604">
        <v>0.93104238889788205</v>
      </c>
      <c r="D3604">
        <v>1.0576419409338</v>
      </c>
      <c r="E3604">
        <v>1.09072264647271</v>
      </c>
      <c r="F3604">
        <v>0.92613655107128801</v>
      </c>
      <c r="G3604">
        <v>0.88759220175656905</v>
      </c>
      <c r="H3604">
        <v>0.64908950926505704</v>
      </c>
      <c r="I3604">
        <v>0.52427059997489101</v>
      </c>
      <c r="J3604">
        <v>0.41481844498805098</v>
      </c>
      <c r="K3604">
        <v>0.28047157565677</v>
      </c>
      <c r="L3604">
        <v>1068.53672250621</v>
      </c>
      <c r="M3604">
        <v>17.092712636822899</v>
      </c>
      <c r="N3604">
        <v>64.3071024128906</v>
      </c>
      <c r="O3604">
        <v>61.677312533478897</v>
      </c>
      <c r="P3604">
        <v>-5.6154263853848897E-2</v>
      </c>
      <c r="Q3604">
        <v>0.18954126167948299</v>
      </c>
      <c r="R3604">
        <v>0.96930389516710203</v>
      </c>
      <c r="S3604" t="s">
        <v>9889</v>
      </c>
      <c r="T3604" t="s">
        <v>12568</v>
      </c>
      <c r="U3604" t="s">
        <v>12568</v>
      </c>
      <c r="V3604" t="s">
        <v>12568</v>
      </c>
      <c r="W3604" t="s">
        <v>16129</v>
      </c>
      <c r="X3604">
        <v>7</v>
      </c>
      <c r="Y3604" t="s">
        <v>22251</v>
      </c>
      <c r="Z3604" t="s">
        <v>28474</v>
      </c>
      <c r="AA3604">
        <v>0.79611771105353291</v>
      </c>
      <c r="AB3604" t="str">
        <f>HYPERLINK("Melting_Curves/meltCurve_Q6GMV3_PTRHD1.pdf", "Melting_Curves/meltCurve_Q6GMV3_PTRHD1.pdf")</f>
        <v>Melting_Curves/meltCurve_Q6GMV3_PTRHD1.pdf</v>
      </c>
    </row>
    <row r="3605" spans="1:28" x14ac:dyDescent="0.25">
      <c r="A3605" t="s">
        <v>3609</v>
      </c>
      <c r="B3605">
        <v>0.99352677808782597</v>
      </c>
      <c r="C3605">
        <v>0.93260647207792302</v>
      </c>
      <c r="D3605">
        <v>0.857350812012179</v>
      </c>
      <c r="E3605">
        <v>0.38274063178223899</v>
      </c>
      <c r="F3605">
        <v>0.32633146905282701</v>
      </c>
      <c r="G3605">
        <v>0.25847618070443401</v>
      </c>
      <c r="H3605">
        <v>0.22116517426980001</v>
      </c>
      <c r="I3605">
        <v>0.22346637135997299</v>
      </c>
      <c r="J3605">
        <v>0.18254039680985301</v>
      </c>
      <c r="K3605">
        <v>0.164595925883601</v>
      </c>
      <c r="L3605">
        <v>1270.14826609028</v>
      </c>
      <c r="M3605">
        <v>26.369741382877699</v>
      </c>
      <c r="N3605">
        <v>49.1850175474585</v>
      </c>
      <c r="O3605">
        <v>47.892436459872201</v>
      </c>
      <c r="P3605">
        <v>-0.10870034071049001</v>
      </c>
      <c r="Q3605">
        <v>0.21032710260079099</v>
      </c>
      <c r="R3605">
        <v>0.98854277052471895</v>
      </c>
      <c r="S3605" t="s">
        <v>9890</v>
      </c>
      <c r="T3605" t="s">
        <v>12568</v>
      </c>
      <c r="U3605" t="s">
        <v>12568</v>
      </c>
      <c r="V3605" t="s">
        <v>12568</v>
      </c>
      <c r="W3605" t="s">
        <v>16130</v>
      </c>
      <c r="X3605">
        <v>11</v>
      </c>
      <c r="Y3605" t="s">
        <v>22252</v>
      </c>
      <c r="Z3605" t="s">
        <v>28475</v>
      </c>
      <c r="AA3605">
        <v>0.43153507137066371</v>
      </c>
      <c r="AB3605" t="str">
        <f>HYPERLINK("Melting_Curves/meltCurve_Q6GQQ9_OTUD7B.pdf", "Melting_Curves/meltCurve_Q6GQQ9_OTUD7B.pdf")</f>
        <v>Melting_Curves/meltCurve_Q6GQQ9_OTUD7B.pdf</v>
      </c>
    </row>
    <row r="3606" spans="1:28" x14ac:dyDescent="0.25">
      <c r="A3606" t="s">
        <v>3610</v>
      </c>
      <c r="B3606">
        <v>0.99352677808782597</v>
      </c>
      <c r="C3606">
        <v>1.0284498013930901</v>
      </c>
      <c r="D3606">
        <v>0.96529785045759697</v>
      </c>
      <c r="E3606">
        <v>0.82159377470055595</v>
      </c>
      <c r="F3606">
        <v>0.70370530685462696</v>
      </c>
      <c r="G3606">
        <v>0.409544620920133</v>
      </c>
      <c r="H3606">
        <v>1.79921786206683</v>
      </c>
      <c r="I3606">
        <v>0.60435089106473106</v>
      </c>
      <c r="J3606">
        <v>1.2568532336459299</v>
      </c>
      <c r="K3606">
        <v>0.288517878789322</v>
      </c>
      <c r="L3606">
        <v>218.85588944717199</v>
      </c>
      <c r="M3606">
        <v>1.80421983032314</v>
      </c>
      <c r="O3606">
        <v>67.478073138118404</v>
      </c>
      <c r="P3606">
        <v>-7.4471425170016701E-3</v>
      </c>
      <c r="Q3606">
        <v>0</v>
      </c>
      <c r="R3606">
        <v>2.0086693551737499E-2</v>
      </c>
      <c r="S3606" t="s">
        <v>9891</v>
      </c>
      <c r="T3606" t="s">
        <v>12568</v>
      </c>
      <c r="U3606" t="s">
        <v>12568</v>
      </c>
      <c r="V3606" t="s">
        <v>12568</v>
      </c>
      <c r="W3606" t="s">
        <v>16131</v>
      </c>
      <c r="X3606">
        <v>2</v>
      </c>
      <c r="Y3606" t="s">
        <v>22253</v>
      </c>
      <c r="Z3606" t="s">
        <v>28476</v>
      </c>
      <c r="AA3606">
        <v>0.89273215446189802</v>
      </c>
      <c r="AB3606" t="str">
        <f>HYPERLINK("Melting_Curves/meltCurve_Q6GYQ0_RALGAPA1.pdf", "Melting_Curves/meltCurve_Q6GYQ0_RALGAPA1.pdf")</f>
        <v>Melting_Curves/meltCurve_Q6GYQ0_RALGAPA1.pdf</v>
      </c>
    </row>
    <row r="3607" spans="1:28" x14ac:dyDescent="0.25">
      <c r="A3607" t="s">
        <v>3611</v>
      </c>
      <c r="B3607">
        <v>0.99352677808782597</v>
      </c>
      <c r="C3607">
        <v>0.99434426543546195</v>
      </c>
      <c r="D3607">
        <v>1.0837251062131501</v>
      </c>
      <c r="E3607">
        <v>1.0803089175970999</v>
      </c>
      <c r="F3607">
        <v>0.96074560406817999</v>
      </c>
      <c r="G3607">
        <v>0.77622650970599505</v>
      </c>
      <c r="H3607">
        <v>0.56656430932753099</v>
      </c>
      <c r="I3607">
        <v>0.55236118091367103</v>
      </c>
      <c r="J3607">
        <v>0.58694933765925905</v>
      </c>
      <c r="K3607">
        <v>0.49873848012244798</v>
      </c>
      <c r="L3607">
        <v>2244.8450016674801</v>
      </c>
      <c r="M3607">
        <v>39.363011923413701</v>
      </c>
      <c r="O3607">
        <v>56.882705648736497</v>
      </c>
      <c r="P3607">
        <v>-7.9346126059958805E-2</v>
      </c>
      <c r="Q3607">
        <v>0.54135498292208895</v>
      </c>
      <c r="R3607">
        <v>0.96477215642383796</v>
      </c>
      <c r="S3607" t="s">
        <v>9892</v>
      </c>
      <c r="T3607" t="s">
        <v>12568</v>
      </c>
      <c r="U3607" t="s">
        <v>12568</v>
      </c>
      <c r="V3607" t="s">
        <v>12568</v>
      </c>
      <c r="W3607" t="s">
        <v>16132</v>
      </c>
      <c r="X3607">
        <v>3</v>
      </c>
      <c r="Y3607" t="s">
        <v>22254</v>
      </c>
      <c r="Z3607" t="s">
        <v>28477</v>
      </c>
      <c r="AA3607">
        <v>0.80354558448674818</v>
      </c>
      <c r="AB3607" t="str">
        <f>HYPERLINK("Melting_Curves/meltCurve_Q6I9Y2_THOC7.pdf", "Melting_Curves/meltCurve_Q6I9Y2_THOC7.pdf")</f>
        <v>Melting_Curves/meltCurve_Q6I9Y2_THOC7.pdf</v>
      </c>
    </row>
    <row r="3608" spans="1:28" x14ac:dyDescent="0.25">
      <c r="A3608" t="s">
        <v>3612</v>
      </c>
      <c r="B3608">
        <v>0.99352677808782597</v>
      </c>
      <c r="C3608">
        <v>1.0290184865409999</v>
      </c>
      <c r="D3608">
        <v>0.93308924383025005</v>
      </c>
      <c r="E3608">
        <v>0.45558583974960498</v>
      </c>
      <c r="F3608">
        <v>0.37247287336372098</v>
      </c>
      <c r="G3608">
        <v>0.17074397266577199</v>
      </c>
      <c r="H3608">
        <v>0.12446996792784799</v>
      </c>
      <c r="I3608">
        <v>0.106080841066667</v>
      </c>
      <c r="J3608">
        <v>8.9180248394337802E-2</v>
      </c>
      <c r="K3608">
        <v>8.4235454738179297E-2</v>
      </c>
      <c r="L3608">
        <v>1091.59340643583</v>
      </c>
      <c r="M3608">
        <v>21.879249015794901</v>
      </c>
      <c r="N3608">
        <v>50.422564651363899</v>
      </c>
      <c r="O3608">
        <v>49.480544159452997</v>
      </c>
      <c r="P3608">
        <v>-9.9175443920621401E-2</v>
      </c>
      <c r="Q3608">
        <v>0.102868117851432</v>
      </c>
      <c r="R3608">
        <v>0.986275162203189</v>
      </c>
      <c r="S3608" t="s">
        <v>9893</v>
      </c>
      <c r="T3608" t="s">
        <v>12568</v>
      </c>
      <c r="U3608" t="s">
        <v>12568</v>
      </c>
      <c r="V3608" t="s">
        <v>12568</v>
      </c>
      <c r="W3608" t="s">
        <v>16133</v>
      </c>
      <c r="X3608">
        <v>7</v>
      </c>
      <c r="Y3608" t="s">
        <v>22255</v>
      </c>
      <c r="Z3608" t="s">
        <v>28478</v>
      </c>
      <c r="AA3608">
        <v>0.40913766775739391</v>
      </c>
      <c r="AB3608" t="str">
        <f>HYPERLINK("Melting_Curves/meltCurve_Q6IA69_NADSYN1.pdf", "Melting_Curves/meltCurve_Q6IA69_NADSYN1.pdf")</f>
        <v>Melting_Curves/meltCurve_Q6IA69_NADSYN1.pdf</v>
      </c>
    </row>
    <row r="3609" spans="1:28" x14ac:dyDescent="0.25">
      <c r="A3609" t="s">
        <v>3613</v>
      </c>
      <c r="B3609">
        <v>0.99352677808782597</v>
      </c>
      <c r="C3609">
        <v>0.98584460669051099</v>
      </c>
      <c r="D3609">
        <v>0.77402107648623397</v>
      </c>
      <c r="E3609">
        <v>1.1246931799833799</v>
      </c>
      <c r="F3609">
        <v>0.90337922485925204</v>
      </c>
      <c r="G3609">
        <v>0.48213852283102399</v>
      </c>
      <c r="H3609">
        <v>0.19134651249569701</v>
      </c>
      <c r="I3609">
        <v>0.153621460244625</v>
      </c>
      <c r="J3609">
        <v>0.12051973794028301</v>
      </c>
      <c r="K3609">
        <v>9.4990335761428096E-2</v>
      </c>
      <c r="L3609">
        <v>1987.7186076717501</v>
      </c>
      <c r="M3609">
        <v>35.209916482663303</v>
      </c>
      <c r="N3609">
        <v>56.896082418232403</v>
      </c>
      <c r="O3609">
        <v>56.272204302434702</v>
      </c>
      <c r="P3609">
        <v>-0.13768339158388099</v>
      </c>
      <c r="Q3609">
        <v>0.11982512629278</v>
      </c>
      <c r="R3609">
        <v>0.95483106259268302</v>
      </c>
      <c r="S3609" t="s">
        <v>9894</v>
      </c>
      <c r="T3609" t="s">
        <v>12568</v>
      </c>
      <c r="U3609" t="s">
        <v>12568</v>
      </c>
      <c r="V3609" t="s">
        <v>12568</v>
      </c>
      <c r="W3609" t="s">
        <v>16134</v>
      </c>
      <c r="X3609">
        <v>8</v>
      </c>
      <c r="Y3609" t="s">
        <v>22256</v>
      </c>
      <c r="Z3609" t="s">
        <v>28479</v>
      </c>
      <c r="AA3609">
        <v>0.60691324616507669</v>
      </c>
      <c r="AB3609" t="str">
        <f>HYPERLINK("Melting_Curves/meltCurve_Q6IA86_3_ELP2.pdf", "Melting_Curves/meltCurve_Q6IA86_3_ELP2.pdf")</f>
        <v>Melting_Curves/meltCurve_Q6IA86_3_ELP2.pdf</v>
      </c>
    </row>
    <row r="3610" spans="1:28" x14ac:dyDescent="0.25">
      <c r="A3610" t="s">
        <v>3614</v>
      </c>
      <c r="B3610">
        <v>0.99352677808782597</v>
      </c>
      <c r="C3610">
        <v>0.972962164230459</v>
      </c>
      <c r="D3610">
        <v>0.93714523828714702</v>
      </c>
      <c r="E3610">
        <v>0.80252414239308101</v>
      </c>
      <c r="F3610">
        <v>0.72639532089861503</v>
      </c>
      <c r="G3610">
        <v>0.37253917266195502</v>
      </c>
      <c r="H3610">
        <v>0.14484463238948</v>
      </c>
      <c r="I3610">
        <v>0.131634091541207</v>
      </c>
      <c r="J3610">
        <v>0.122366841422867</v>
      </c>
      <c r="K3610">
        <v>9.1470143355612807E-2</v>
      </c>
      <c r="L3610">
        <v>971.231944147685</v>
      </c>
      <c r="M3610">
        <v>17.729722757133501</v>
      </c>
      <c r="N3610">
        <v>55.197836009044302</v>
      </c>
      <c r="O3610">
        <v>54.097234603639301</v>
      </c>
      <c r="P3610">
        <v>-7.6791844441694193E-2</v>
      </c>
      <c r="Q3610">
        <v>6.2814739500006406E-2</v>
      </c>
      <c r="R3610">
        <v>0.99210893821198598</v>
      </c>
      <c r="S3610" t="s">
        <v>9895</v>
      </c>
      <c r="T3610" t="s">
        <v>12568</v>
      </c>
      <c r="U3610" t="s">
        <v>12568</v>
      </c>
      <c r="V3610" t="s">
        <v>12568</v>
      </c>
      <c r="W3610" t="s">
        <v>16135</v>
      </c>
      <c r="X3610">
        <v>16</v>
      </c>
      <c r="Y3610" t="s">
        <v>22257</v>
      </c>
      <c r="Z3610" t="s">
        <v>28480</v>
      </c>
      <c r="AA3610">
        <v>0.53945947567984354</v>
      </c>
      <c r="AB3610" t="str">
        <f>HYPERLINK("Melting_Curves/meltCurve_Q6IBS0_TWF2.pdf", "Melting_Curves/meltCurve_Q6IBS0_TWF2.pdf")</f>
        <v>Melting_Curves/meltCurve_Q6IBS0_TWF2.pdf</v>
      </c>
    </row>
    <row r="3611" spans="1:28" x14ac:dyDescent="0.25">
      <c r="A3611" t="s">
        <v>3615</v>
      </c>
      <c r="B3611">
        <v>0.99352677808782597</v>
      </c>
      <c r="C3611">
        <v>0.93145554982141499</v>
      </c>
      <c r="D3611">
        <v>0.81272879843012902</v>
      </c>
      <c r="E3611">
        <v>0.48852305254730299</v>
      </c>
      <c r="F3611">
        <v>0.41756785861683299</v>
      </c>
      <c r="G3611">
        <v>0.30889157053272998</v>
      </c>
      <c r="H3611">
        <v>0.22766121811038201</v>
      </c>
      <c r="I3611">
        <v>0.18160227033906601</v>
      </c>
      <c r="J3611">
        <v>0.16454172608970899</v>
      </c>
      <c r="K3611">
        <v>0.15827061212932</v>
      </c>
      <c r="L3611">
        <v>713.97384458495605</v>
      </c>
      <c r="M3611">
        <v>14.426543819128799</v>
      </c>
      <c r="N3611">
        <v>50.860973510489103</v>
      </c>
      <c r="O3611">
        <v>48.568511368421603</v>
      </c>
      <c r="P3611">
        <v>-6.2305855266368698E-2</v>
      </c>
      <c r="Q3611">
        <v>0.16106125739882299</v>
      </c>
      <c r="R3611">
        <v>0.99201916725602901</v>
      </c>
      <c r="S3611" t="s">
        <v>9896</v>
      </c>
      <c r="T3611" t="s">
        <v>12568</v>
      </c>
      <c r="U3611" t="s">
        <v>12568</v>
      </c>
      <c r="V3611" t="s">
        <v>12568</v>
      </c>
      <c r="W3611" t="s">
        <v>16136</v>
      </c>
      <c r="X3611">
        <v>4</v>
      </c>
      <c r="Y3611" t="s">
        <v>22258</v>
      </c>
      <c r="Z3611" t="s">
        <v>28481</v>
      </c>
      <c r="AA3611">
        <v>0.44828971742643198</v>
      </c>
      <c r="AB3611" t="str">
        <f>HYPERLINK("Melting_Curves/meltCurve_Q6IBW4_NCAPH2.pdf", "Melting_Curves/meltCurve_Q6IBW4_NCAPH2.pdf")</f>
        <v>Melting_Curves/meltCurve_Q6IBW4_NCAPH2.pdf</v>
      </c>
    </row>
    <row r="3612" spans="1:28" x14ac:dyDescent="0.25">
      <c r="A3612" t="s">
        <v>3616</v>
      </c>
      <c r="B3612">
        <v>0.99352677808782597</v>
      </c>
      <c r="C3612">
        <v>0.97459726433528604</v>
      </c>
      <c r="D3612">
        <v>0.897447016827285</v>
      </c>
      <c r="E3612">
        <v>0.88341850144162704</v>
      </c>
      <c r="F3612">
        <v>0.98200980853628905</v>
      </c>
      <c r="G3612">
        <v>0.71134265755728499</v>
      </c>
      <c r="H3612">
        <v>0.88207569382589801</v>
      </c>
      <c r="I3612">
        <v>0.86068278490995498</v>
      </c>
      <c r="J3612">
        <v>0.84523367182363296</v>
      </c>
      <c r="K3612">
        <v>0.31016857341043902</v>
      </c>
      <c r="L3612">
        <v>3377.4453547879102</v>
      </c>
      <c r="M3612">
        <v>48.980115650441697</v>
      </c>
      <c r="N3612">
        <v>68.955438650333605</v>
      </c>
      <c r="O3612">
        <v>68.840797939725803</v>
      </c>
      <c r="P3612">
        <v>-0.177874788337859</v>
      </c>
      <c r="Q3612">
        <v>0</v>
      </c>
      <c r="R3612">
        <v>0.62482429627632297</v>
      </c>
      <c r="S3612" t="s">
        <v>9897</v>
      </c>
      <c r="T3612" t="s">
        <v>12568</v>
      </c>
      <c r="U3612" t="s">
        <v>12568</v>
      </c>
      <c r="V3612" t="s">
        <v>12568</v>
      </c>
      <c r="W3612" t="s">
        <v>16137</v>
      </c>
      <c r="X3612">
        <v>3</v>
      </c>
      <c r="Y3612" t="s">
        <v>22259</v>
      </c>
      <c r="Z3612" t="s">
        <v>28482</v>
      </c>
      <c r="AA3612">
        <v>0.94841334118504284</v>
      </c>
      <c r="AB3612" t="str">
        <f>HYPERLINK("Melting_Curves/meltCurve_Q6IE81_2_PHF17.pdf", "Melting_Curves/meltCurve_Q6IE81_2_PHF17.pdf")</f>
        <v>Melting_Curves/meltCurve_Q6IE81_2_PHF17.pdf</v>
      </c>
    </row>
    <row r="3613" spans="1:28" x14ac:dyDescent="0.25">
      <c r="A3613" t="s">
        <v>3617</v>
      </c>
      <c r="B3613">
        <v>0.99352677808782597</v>
      </c>
      <c r="C3613">
        <v>0.937310721566743</v>
      </c>
      <c r="D3613">
        <v>0.90479097984974799</v>
      </c>
      <c r="E3613">
        <v>0.94337241396378302</v>
      </c>
      <c r="F3613">
        <v>0.49336202131788398</v>
      </c>
      <c r="G3613">
        <v>0.43241217220359202</v>
      </c>
      <c r="H3613">
        <v>0.16400456257499299</v>
      </c>
      <c r="I3613">
        <v>0</v>
      </c>
      <c r="J3613">
        <v>0.13897341831669599</v>
      </c>
      <c r="K3613">
        <v>0</v>
      </c>
      <c r="L3613">
        <v>862.53498498703402</v>
      </c>
      <c r="M3613">
        <v>15.760899638614299</v>
      </c>
      <c r="N3613">
        <v>54.726255604851602</v>
      </c>
      <c r="O3613">
        <v>53.867957632962103</v>
      </c>
      <c r="P3613">
        <v>-7.3152074016462704E-2</v>
      </c>
      <c r="Q3613">
        <v>0</v>
      </c>
      <c r="R3613">
        <v>0.95946962719373197</v>
      </c>
      <c r="S3613" t="s">
        <v>9898</v>
      </c>
      <c r="T3613" t="s">
        <v>12568</v>
      </c>
      <c r="U3613" t="s">
        <v>12568</v>
      </c>
      <c r="V3613" t="s">
        <v>12568</v>
      </c>
      <c r="W3613" t="s">
        <v>16138</v>
      </c>
      <c r="X3613">
        <v>2</v>
      </c>
      <c r="Y3613" t="s">
        <v>22260</v>
      </c>
      <c r="Z3613" t="s">
        <v>28483</v>
      </c>
      <c r="AA3613">
        <v>0.50943351553975269</v>
      </c>
      <c r="AB3613" t="str">
        <f>HYPERLINK("Melting_Curves/meltCurve_Q6IN84_MRM1.pdf", "Melting_Curves/meltCurve_Q6IN84_MRM1.pdf")</f>
        <v>Melting_Curves/meltCurve_Q6IN84_MRM1.pdf</v>
      </c>
    </row>
    <row r="3614" spans="1:28" x14ac:dyDescent="0.25">
      <c r="A3614" t="s">
        <v>3618</v>
      </c>
      <c r="B3614">
        <v>0.99352677808782597</v>
      </c>
      <c r="C3614">
        <v>1.0238541587358401</v>
      </c>
      <c r="D3614">
        <v>0.92770754424731505</v>
      </c>
      <c r="E3614">
        <v>0.80422482984268895</v>
      </c>
      <c r="F3614">
        <v>0.69193037471593899</v>
      </c>
      <c r="G3614">
        <v>0.44091197215446398</v>
      </c>
      <c r="H3614">
        <v>0.22478545219756299</v>
      </c>
      <c r="I3614">
        <v>0.16573313989181701</v>
      </c>
      <c r="J3614">
        <v>0.14403234000375501</v>
      </c>
      <c r="K3614">
        <v>0.10777079948867201</v>
      </c>
      <c r="L3614">
        <v>793.98341498685704</v>
      </c>
      <c r="M3614">
        <v>14.371112782582699</v>
      </c>
      <c r="N3614">
        <v>55.737595826485602</v>
      </c>
      <c r="O3614">
        <v>54.211834739564999</v>
      </c>
      <c r="P3614">
        <v>-6.2354953011395202E-2</v>
      </c>
      <c r="Q3614">
        <v>5.9231507275911199E-2</v>
      </c>
      <c r="R3614">
        <v>0.99650282375641397</v>
      </c>
      <c r="S3614" t="s">
        <v>9899</v>
      </c>
      <c r="T3614" t="s">
        <v>12568</v>
      </c>
      <c r="U3614" t="s">
        <v>12568</v>
      </c>
      <c r="V3614" t="s">
        <v>12568</v>
      </c>
      <c r="W3614" t="s">
        <v>16139</v>
      </c>
      <c r="X3614">
        <v>23</v>
      </c>
      <c r="Y3614" t="s">
        <v>22261</v>
      </c>
      <c r="Z3614" t="s">
        <v>28484</v>
      </c>
      <c r="AA3614">
        <v>0.55598149124297824</v>
      </c>
      <c r="AB3614" t="str">
        <f>HYPERLINK("Melting_Curves/meltCurve_Q6IN85_SMEK1.pdf", "Melting_Curves/meltCurve_Q6IN85_SMEK1.pdf")</f>
        <v>Melting_Curves/meltCurve_Q6IN85_SMEK1.pdf</v>
      </c>
    </row>
    <row r="3615" spans="1:28" x14ac:dyDescent="0.25">
      <c r="A3615" t="s">
        <v>3619</v>
      </c>
      <c r="B3615">
        <v>0.99352677808782597</v>
      </c>
      <c r="C3615">
        <v>0.98818512393620495</v>
      </c>
      <c r="D3615">
        <v>0.97445376101985604</v>
      </c>
      <c r="E3615">
        <v>0.806742925707428</v>
      </c>
      <c r="F3615">
        <v>0.75946900601776002</v>
      </c>
      <c r="G3615">
        <v>0.48304740278805502</v>
      </c>
      <c r="H3615">
        <v>0.18996988070374299</v>
      </c>
      <c r="I3615">
        <v>0.101372817988439</v>
      </c>
      <c r="J3615">
        <v>5.6451799604564201E-2</v>
      </c>
      <c r="K3615">
        <v>2.1102331902253298E-2</v>
      </c>
      <c r="L3615">
        <v>923.70197372628604</v>
      </c>
      <c r="M3615">
        <v>16.432221381566801</v>
      </c>
      <c r="N3615">
        <v>56.212848660800098</v>
      </c>
      <c r="O3615">
        <v>55.4001025153024</v>
      </c>
      <c r="P3615">
        <v>-7.4157709687885598E-2</v>
      </c>
      <c r="Q3615">
        <v>0</v>
      </c>
      <c r="R3615">
        <v>0.99349746934344596</v>
      </c>
      <c r="S3615" t="s">
        <v>9900</v>
      </c>
      <c r="T3615" t="s">
        <v>12568</v>
      </c>
      <c r="U3615" t="s">
        <v>12568</v>
      </c>
      <c r="V3615" t="s">
        <v>12568</v>
      </c>
      <c r="W3615" t="s">
        <v>16140</v>
      </c>
      <c r="X3615">
        <v>1</v>
      </c>
      <c r="Y3615" t="s">
        <v>22262</v>
      </c>
      <c r="Z3615" t="s">
        <v>28485</v>
      </c>
      <c r="AA3615">
        <v>0.55644702521538558</v>
      </c>
      <c r="AB3615" t="str">
        <f>HYPERLINK("Melting_Curves/meltCurve_Q6IPR3_TYW3.pdf", "Melting_Curves/meltCurve_Q6IPR3_TYW3.pdf")</f>
        <v>Melting_Curves/meltCurve_Q6IPR3_TYW3.pdf</v>
      </c>
    </row>
    <row r="3616" spans="1:28" x14ac:dyDescent="0.25">
      <c r="A3616" t="s">
        <v>3620</v>
      </c>
      <c r="B3616">
        <v>0.99352677808782597</v>
      </c>
      <c r="C3616">
        <v>1.0041864929411799</v>
      </c>
      <c r="D3616">
        <v>0.97662340941721903</v>
      </c>
      <c r="E3616">
        <v>0.82995470055215204</v>
      </c>
      <c r="F3616">
        <v>0.67735690495101597</v>
      </c>
      <c r="G3616">
        <v>0.41497260523208301</v>
      </c>
      <c r="H3616">
        <v>0.37205881957673098</v>
      </c>
      <c r="I3616">
        <v>0.29327214997011197</v>
      </c>
      <c r="J3616">
        <v>0.20501961282968201</v>
      </c>
      <c r="K3616">
        <v>9.5044068676875607E-2</v>
      </c>
      <c r="L3616">
        <v>687.92186476398604</v>
      </c>
      <c r="M3616">
        <v>12.340974893534</v>
      </c>
      <c r="N3616">
        <v>56.632550572333599</v>
      </c>
      <c r="O3616">
        <v>54.339897436405501</v>
      </c>
      <c r="P3616">
        <v>-5.1785073587181901E-2</v>
      </c>
      <c r="Q3616">
        <v>8.8115091894558906E-2</v>
      </c>
      <c r="R3616">
        <v>0.98560646547193997</v>
      </c>
      <c r="S3616" t="s">
        <v>9901</v>
      </c>
      <c r="T3616" t="s">
        <v>12568</v>
      </c>
      <c r="U3616" t="s">
        <v>12568</v>
      </c>
      <c r="V3616" t="s">
        <v>12568</v>
      </c>
      <c r="W3616" t="s">
        <v>16141</v>
      </c>
      <c r="X3616">
        <v>3</v>
      </c>
      <c r="Y3616" t="s">
        <v>22263</v>
      </c>
      <c r="Z3616" t="s">
        <v>28486</v>
      </c>
      <c r="AA3616">
        <v>0.58571487805881961</v>
      </c>
      <c r="AB3616" t="str">
        <f>HYPERLINK("Melting_Curves/meltCurve_Q6IQ22_RAB12.pdf", "Melting_Curves/meltCurve_Q6IQ22_RAB12.pdf")</f>
        <v>Melting_Curves/meltCurve_Q6IQ22_RAB12.pdf</v>
      </c>
    </row>
    <row r="3617" spans="1:28" x14ac:dyDescent="0.25">
      <c r="A3617" t="s">
        <v>3621</v>
      </c>
      <c r="B3617">
        <v>0.99352677808782597</v>
      </c>
      <c r="C3617">
        <v>0.94349913413082098</v>
      </c>
      <c r="D3617">
        <v>1.01859212796737</v>
      </c>
      <c r="E3617">
        <v>0.76140361579674998</v>
      </c>
      <c r="F3617">
        <v>0.70893589212615604</v>
      </c>
      <c r="G3617">
        <v>0.59084191856782997</v>
      </c>
      <c r="H3617">
        <v>0.461873556052322</v>
      </c>
      <c r="I3617">
        <v>0.50863169919851603</v>
      </c>
      <c r="J3617">
        <v>0.44183530397356502</v>
      </c>
      <c r="K3617">
        <v>0.39386748925194798</v>
      </c>
      <c r="L3617">
        <v>722.84242889300003</v>
      </c>
      <c r="M3617">
        <v>13.638252761310101</v>
      </c>
      <c r="N3617">
        <v>60.411110747509703</v>
      </c>
      <c r="O3617">
        <v>51.900542506021303</v>
      </c>
      <c r="P3617">
        <v>-3.9018495009781197E-2</v>
      </c>
      <c r="Q3617">
        <v>0.40614554771566103</v>
      </c>
      <c r="R3617">
        <v>0.96786660057655904</v>
      </c>
      <c r="S3617" t="s">
        <v>9902</v>
      </c>
      <c r="T3617" t="s">
        <v>12568</v>
      </c>
      <c r="U3617" t="s">
        <v>12568</v>
      </c>
      <c r="V3617" t="s">
        <v>12568</v>
      </c>
      <c r="W3617" t="s">
        <v>16142</v>
      </c>
      <c r="X3617">
        <v>7</v>
      </c>
      <c r="Y3617" t="s">
        <v>22264</v>
      </c>
      <c r="Z3617" t="s">
        <v>28487</v>
      </c>
      <c r="AA3617">
        <v>0.67801185807434294</v>
      </c>
      <c r="AB3617" t="str">
        <f>HYPERLINK("Melting_Curves/meltCurve_Q6IQ23_2_PLEKHA7.pdf", "Melting_Curves/meltCurve_Q6IQ23_2_PLEKHA7.pdf")</f>
        <v>Melting_Curves/meltCurve_Q6IQ23_2_PLEKHA7.pdf</v>
      </c>
    </row>
    <row r="3618" spans="1:28" x14ac:dyDescent="0.25">
      <c r="A3618" t="s">
        <v>3622</v>
      </c>
      <c r="B3618">
        <v>0.99352677808782597</v>
      </c>
      <c r="C3618">
        <v>0.85674602223459895</v>
      </c>
      <c r="D3618">
        <v>0.97243163001484401</v>
      </c>
      <c r="E3618">
        <v>1.33002187016498</v>
      </c>
      <c r="F3618">
        <v>1.5781988901958</v>
      </c>
      <c r="G3618">
        <v>1.85146367296948</v>
      </c>
      <c r="H3618">
        <v>1.63912762805169</v>
      </c>
      <c r="I3618">
        <v>2.3294442567813598</v>
      </c>
      <c r="J3618">
        <v>1.92276208170719</v>
      </c>
      <c r="K3618">
        <v>2.0408493597164701</v>
      </c>
      <c r="L3618">
        <v>12466.825486788501</v>
      </c>
      <c r="M3618">
        <v>250</v>
      </c>
      <c r="O3618">
        <v>49.864111104208902</v>
      </c>
      <c r="P3618">
        <v>0.62670324515320097</v>
      </c>
      <c r="Q3618">
        <v>1.5</v>
      </c>
      <c r="R3618">
        <v>0.41151157562753199</v>
      </c>
      <c r="S3618" t="s">
        <v>9903</v>
      </c>
      <c r="T3618" t="s">
        <v>12568</v>
      </c>
      <c r="U3618" t="s">
        <v>12568</v>
      </c>
      <c r="V3618" t="s">
        <v>12568</v>
      </c>
      <c r="W3618" t="s">
        <v>16143</v>
      </c>
      <c r="X3618">
        <v>1</v>
      </c>
      <c r="Y3618" t="s">
        <v>22265</v>
      </c>
      <c r="Z3618" t="s">
        <v>28488</v>
      </c>
      <c r="AA3618">
        <v>1.3355012093780281</v>
      </c>
      <c r="AB3618" t="str">
        <f>HYPERLINK("Melting_Curves/meltCurve_Q6IQ32_ADNP2.pdf", "Melting_Curves/meltCurve_Q6IQ32_ADNP2.pdf")</f>
        <v>Melting_Curves/meltCurve_Q6IQ32_ADNP2.pdf</v>
      </c>
    </row>
    <row r="3619" spans="1:28" x14ac:dyDescent="0.25">
      <c r="A3619" t="s">
        <v>3623</v>
      </c>
      <c r="B3619">
        <v>0.99352677808782597</v>
      </c>
      <c r="C3619">
        <v>0.972084669373809</v>
      </c>
      <c r="D3619">
        <v>0.95739230403433495</v>
      </c>
      <c r="E3619">
        <v>0.91960066453638001</v>
      </c>
      <c r="F3619">
        <v>0.82560902826772498</v>
      </c>
      <c r="G3619">
        <v>0.73265650262599702</v>
      </c>
      <c r="H3619">
        <v>0.65686492813186403</v>
      </c>
      <c r="I3619">
        <v>0.71221076734172095</v>
      </c>
      <c r="J3619">
        <v>0.68355972955128697</v>
      </c>
      <c r="K3619">
        <v>0.61773535736445595</v>
      </c>
      <c r="L3619">
        <v>803.75811196579798</v>
      </c>
      <c r="M3619">
        <v>15.1054128481323</v>
      </c>
      <c r="O3619">
        <v>52.303510673784999</v>
      </c>
      <c r="P3619">
        <v>-2.5751866670881699E-2</v>
      </c>
      <c r="Q3619">
        <v>0.643364755060991</v>
      </c>
      <c r="R3619">
        <v>0.97009146014316405</v>
      </c>
      <c r="S3619" t="s">
        <v>9904</v>
      </c>
      <c r="T3619" t="s">
        <v>12568</v>
      </c>
      <c r="U3619" t="s">
        <v>12568</v>
      </c>
      <c r="V3619" t="s">
        <v>12568</v>
      </c>
      <c r="W3619" t="s">
        <v>16144</v>
      </c>
      <c r="X3619">
        <v>11</v>
      </c>
      <c r="Y3619" t="s">
        <v>22266</v>
      </c>
      <c r="Z3619" t="s">
        <v>28489</v>
      </c>
      <c r="AA3619">
        <v>0.80793508762603672</v>
      </c>
      <c r="AB3619" t="str">
        <f>HYPERLINK("Melting_Curves/meltCurve_Q6IQ49_2_SDE2.pdf", "Melting_Curves/meltCurve_Q6IQ49_2_SDE2.pdf")</f>
        <v>Melting_Curves/meltCurve_Q6IQ49_2_SDE2.pdf</v>
      </c>
    </row>
    <row r="3620" spans="1:28" x14ac:dyDescent="0.25">
      <c r="A3620" t="s">
        <v>3624</v>
      </c>
      <c r="B3620">
        <v>0.99352677808782597</v>
      </c>
      <c r="C3620">
        <v>1.08276808045218</v>
      </c>
      <c r="D3620">
        <v>1.1861286765663299</v>
      </c>
      <c r="E3620">
        <v>0.64864423293057805</v>
      </c>
      <c r="F3620">
        <v>0.46716136267087099</v>
      </c>
      <c r="G3620">
        <v>0.37967149623770302</v>
      </c>
      <c r="H3620">
        <v>0.245538250835385</v>
      </c>
      <c r="I3620">
        <v>0.25612612314181599</v>
      </c>
      <c r="J3620">
        <v>0.248138899675515</v>
      </c>
      <c r="K3620">
        <v>0.186973024146219</v>
      </c>
      <c r="L3620">
        <v>1518.2430036287501</v>
      </c>
      <c r="M3620">
        <v>29.818455981775301</v>
      </c>
      <c r="N3620">
        <v>52.174624949395998</v>
      </c>
      <c r="O3620">
        <v>50.688864900514901</v>
      </c>
      <c r="P3620">
        <v>-0.109354974985913</v>
      </c>
      <c r="Q3620">
        <v>0.25642799205278799</v>
      </c>
      <c r="R3620">
        <v>0.94338894262724204</v>
      </c>
      <c r="S3620" t="s">
        <v>9905</v>
      </c>
      <c r="T3620" t="s">
        <v>12568</v>
      </c>
      <c r="U3620" t="s">
        <v>12568</v>
      </c>
      <c r="V3620" t="s">
        <v>12568</v>
      </c>
      <c r="W3620" t="s">
        <v>16145</v>
      </c>
      <c r="X3620">
        <v>1</v>
      </c>
      <c r="Y3620" t="s">
        <v>22267</v>
      </c>
      <c r="Z3620" t="s">
        <v>28490</v>
      </c>
      <c r="AA3620">
        <v>0.5317203453207221</v>
      </c>
      <c r="AB3620" t="str">
        <f>HYPERLINK("Melting_Curves/meltCurve_Q6IS24_WBSCR17.pdf", "Melting_Curves/meltCurve_Q6IS24_WBSCR17.pdf")</f>
        <v>Melting_Curves/meltCurve_Q6IS24_WBSCR17.pdf</v>
      </c>
    </row>
    <row r="3621" spans="1:28" x14ac:dyDescent="0.25">
      <c r="A3621" t="s">
        <v>3625</v>
      </c>
      <c r="B3621">
        <v>0.99352677808782597</v>
      </c>
      <c r="C3621">
        <v>0.87426096564160005</v>
      </c>
      <c r="D3621">
        <v>0.73842646862155803</v>
      </c>
      <c r="E3621">
        <v>0.32774456127951501</v>
      </c>
      <c r="F3621">
        <v>0.29748505540624398</v>
      </c>
      <c r="G3621">
        <v>0.18191566493272501</v>
      </c>
      <c r="H3621">
        <v>0.13588492233715699</v>
      </c>
      <c r="I3621">
        <v>0.131065669948942</v>
      </c>
      <c r="J3621">
        <v>8.49539909895594E-2</v>
      </c>
      <c r="K3621">
        <v>6.4663546679921205E-2</v>
      </c>
      <c r="L3621">
        <v>811.06102754885603</v>
      </c>
      <c r="M3621">
        <v>16.924420279827601</v>
      </c>
      <c r="N3621">
        <v>48.558920364069103</v>
      </c>
      <c r="O3621">
        <v>47.268473279253001</v>
      </c>
      <c r="P3621">
        <v>-8.0613961728320097E-2</v>
      </c>
      <c r="Q3621">
        <v>9.9464731167343695E-2</v>
      </c>
      <c r="R3621">
        <v>0.98856971865746102</v>
      </c>
      <c r="S3621" t="s">
        <v>9906</v>
      </c>
      <c r="T3621" t="s">
        <v>12568</v>
      </c>
      <c r="U3621" t="s">
        <v>12568</v>
      </c>
      <c r="V3621" t="s">
        <v>12568</v>
      </c>
      <c r="W3621" t="s">
        <v>12740</v>
      </c>
      <c r="X3621">
        <v>13</v>
      </c>
      <c r="Y3621" t="s">
        <v>22268</v>
      </c>
      <c r="Z3621" t="s">
        <v>28491</v>
      </c>
      <c r="AA3621">
        <v>0.35548978421828231</v>
      </c>
      <c r="AB3621" t="str">
        <f>HYPERLINK("Melting_Curves/meltCurve_Q6JHV3_USP3.pdf", "Melting_Curves/meltCurve_Q6JHV3_USP3.pdf")</f>
        <v>Melting_Curves/meltCurve_Q6JHV3_USP3.pdf</v>
      </c>
    </row>
    <row r="3622" spans="1:28" x14ac:dyDescent="0.25">
      <c r="A3622" t="s">
        <v>3626</v>
      </c>
      <c r="B3622">
        <v>0.99352677808782597</v>
      </c>
      <c r="C3622">
        <v>0.96214125163673303</v>
      </c>
      <c r="D3622">
        <v>0.90801808733993306</v>
      </c>
      <c r="E3622">
        <v>0.69661900002815202</v>
      </c>
      <c r="F3622">
        <v>0.63417232503179399</v>
      </c>
      <c r="G3622">
        <v>0.48265493577866098</v>
      </c>
      <c r="H3622">
        <v>0.49211269966438498</v>
      </c>
      <c r="I3622">
        <v>0.51213270652505904</v>
      </c>
      <c r="J3622">
        <v>0.50854395904583205</v>
      </c>
      <c r="K3622">
        <v>0.40166859532552901</v>
      </c>
      <c r="L3622">
        <v>849.25953259294897</v>
      </c>
      <c r="M3622">
        <v>17.065522758704699</v>
      </c>
      <c r="N3622">
        <v>58.686088530323602</v>
      </c>
      <c r="O3622">
        <v>49.096382995489698</v>
      </c>
      <c r="P3622">
        <v>-4.6697443411552998E-2</v>
      </c>
      <c r="Q3622">
        <v>0.46265092736459301</v>
      </c>
      <c r="R3622">
        <v>0.97653444521687405</v>
      </c>
      <c r="S3622" t="s">
        <v>9907</v>
      </c>
      <c r="T3622" t="s">
        <v>12568</v>
      </c>
      <c r="U3622" t="s">
        <v>12568</v>
      </c>
      <c r="V3622" t="s">
        <v>12568</v>
      </c>
      <c r="W3622" t="s">
        <v>16146</v>
      </c>
      <c r="X3622">
        <v>9</v>
      </c>
      <c r="Y3622" t="s">
        <v>22269</v>
      </c>
      <c r="Z3622" t="s">
        <v>28492</v>
      </c>
      <c r="AA3622">
        <v>0.64772768119241397</v>
      </c>
      <c r="AB3622" t="str">
        <f>HYPERLINK("Melting_Curves/meltCurve_Q6KB66_KRT80.pdf", "Melting_Curves/meltCurve_Q6KB66_KRT80.pdf")</f>
        <v>Melting_Curves/meltCurve_Q6KB66_KRT80.pdf</v>
      </c>
    </row>
    <row r="3623" spans="1:28" x14ac:dyDescent="0.25">
      <c r="A3623" t="s">
        <v>3627</v>
      </c>
      <c r="B3623">
        <v>0.99352677808782597</v>
      </c>
      <c r="C3623">
        <v>0.96202974924854701</v>
      </c>
      <c r="D3623">
        <v>0.91650816993181705</v>
      </c>
      <c r="E3623">
        <v>0.84827142746106499</v>
      </c>
      <c r="F3623">
        <v>0.72361398367966501</v>
      </c>
      <c r="G3623">
        <v>0.61102935042735695</v>
      </c>
      <c r="H3623">
        <v>0.488285070129162</v>
      </c>
      <c r="I3623">
        <v>0.50129780131151003</v>
      </c>
      <c r="J3623">
        <v>0.55544660093992004</v>
      </c>
      <c r="K3623">
        <v>0.43474397443243101</v>
      </c>
      <c r="L3623">
        <v>707.14203433899695</v>
      </c>
      <c r="M3623">
        <v>13.3633238952723</v>
      </c>
      <c r="N3623">
        <v>64.2827155397148</v>
      </c>
      <c r="O3623">
        <v>51.773771163629398</v>
      </c>
      <c r="P3623">
        <v>-3.5307093415674597E-2</v>
      </c>
      <c r="Q3623">
        <v>0.45292313144127999</v>
      </c>
      <c r="R3623">
        <v>0.97655557606712795</v>
      </c>
      <c r="S3623" t="s">
        <v>9908</v>
      </c>
      <c r="T3623" t="s">
        <v>12568</v>
      </c>
      <c r="U3623" t="s">
        <v>12568</v>
      </c>
      <c r="V3623" t="s">
        <v>12568</v>
      </c>
      <c r="W3623" t="s">
        <v>16147</v>
      </c>
      <c r="X3623">
        <v>6</v>
      </c>
      <c r="Y3623" t="s">
        <v>22270</v>
      </c>
      <c r="Z3623" t="s">
        <v>28493</v>
      </c>
      <c r="AA3623">
        <v>0.70225120050837431</v>
      </c>
      <c r="AB3623" t="str">
        <f>HYPERLINK("Melting_Curves/meltCurve_Q6KC79_2_NIPBL.pdf", "Melting_Curves/meltCurve_Q6KC79_2_NIPBL.pdf")</f>
        <v>Melting_Curves/meltCurve_Q6KC79_2_NIPBL.pdf</v>
      </c>
    </row>
    <row r="3624" spans="1:28" x14ac:dyDescent="0.25">
      <c r="A3624" t="s">
        <v>3628</v>
      </c>
      <c r="B3624">
        <v>0.99352677808782597</v>
      </c>
      <c r="C3624">
        <v>1.02529757681425</v>
      </c>
      <c r="D3624">
        <v>0.97509102277411797</v>
      </c>
      <c r="E3624">
        <v>0.33589638139058198</v>
      </c>
      <c r="F3624">
        <v>0.25215016520308697</v>
      </c>
      <c r="G3624">
        <v>0.128188089452866</v>
      </c>
      <c r="H3624">
        <v>8.4382900858925206E-2</v>
      </c>
      <c r="I3624">
        <v>7.5899122990708195E-2</v>
      </c>
      <c r="J3624">
        <v>6.3903414206780307E-2</v>
      </c>
      <c r="K3624">
        <v>5.2286651362096197E-2</v>
      </c>
      <c r="L3624">
        <v>1861.4973165167401</v>
      </c>
      <c r="M3624">
        <v>38.017870696480799</v>
      </c>
      <c r="N3624">
        <v>49.2384660838988</v>
      </c>
      <c r="O3624">
        <v>48.828864461094398</v>
      </c>
      <c r="P3624">
        <v>-0.17604678134311399</v>
      </c>
      <c r="Q3624">
        <v>9.5568296270185399E-2</v>
      </c>
      <c r="R3624">
        <v>0.98694387873523703</v>
      </c>
      <c r="S3624" t="s">
        <v>9909</v>
      </c>
      <c r="T3624" t="s">
        <v>12568</v>
      </c>
      <c r="U3624" t="s">
        <v>12568</v>
      </c>
      <c r="V3624" t="s">
        <v>12568</v>
      </c>
      <c r="W3624" t="s">
        <v>16148</v>
      </c>
      <c r="X3624">
        <v>14</v>
      </c>
      <c r="Y3624" t="s">
        <v>22271</v>
      </c>
      <c r="Z3624" t="s">
        <v>28494</v>
      </c>
      <c r="AA3624">
        <v>0.36920160207042341</v>
      </c>
      <c r="AB3624" t="str">
        <f>HYPERLINK("Melting_Curves/meltCurve_Q6L8Q7_2_PDE12.pdf", "Melting_Curves/meltCurve_Q6L8Q7_2_PDE12.pdf")</f>
        <v>Melting_Curves/meltCurve_Q6L8Q7_2_PDE12.pdf</v>
      </c>
    </row>
    <row r="3625" spans="1:28" x14ac:dyDescent="0.25">
      <c r="A3625" t="s">
        <v>3629</v>
      </c>
      <c r="B3625">
        <v>0.99352677808782597</v>
      </c>
      <c r="C3625">
        <v>0.97369703302462196</v>
      </c>
      <c r="D3625">
        <v>0.97740812195174898</v>
      </c>
      <c r="E3625">
        <v>0.67409472850894803</v>
      </c>
      <c r="F3625">
        <v>0.56494999380872701</v>
      </c>
      <c r="G3625">
        <v>0.405857184043107</v>
      </c>
      <c r="H3625">
        <v>0.35577779987230601</v>
      </c>
      <c r="I3625">
        <v>0.317227769043747</v>
      </c>
      <c r="J3625">
        <v>0.31733192916577802</v>
      </c>
      <c r="K3625">
        <v>0.242809864593652</v>
      </c>
      <c r="L3625">
        <v>879.92546416982202</v>
      </c>
      <c r="M3625">
        <v>17.128993664359701</v>
      </c>
      <c r="N3625">
        <v>54.056598974723698</v>
      </c>
      <c r="O3625">
        <v>50.685705360544297</v>
      </c>
      <c r="P3625">
        <v>-6.0281550116827599E-2</v>
      </c>
      <c r="Q3625">
        <v>0.286536262360918</v>
      </c>
      <c r="R3625">
        <v>0.987407934588034</v>
      </c>
      <c r="S3625" t="s">
        <v>9910</v>
      </c>
      <c r="T3625" t="s">
        <v>12568</v>
      </c>
      <c r="U3625" t="s">
        <v>12568</v>
      </c>
      <c r="V3625" t="s">
        <v>12568</v>
      </c>
      <c r="W3625" t="s">
        <v>16149</v>
      </c>
      <c r="X3625">
        <v>8</v>
      </c>
      <c r="Y3625" t="s">
        <v>22272</v>
      </c>
      <c r="Z3625" t="s">
        <v>28495</v>
      </c>
      <c r="AA3625">
        <v>0.57000453006357632</v>
      </c>
      <c r="AB3625" t="str">
        <f>HYPERLINK("Melting_Curves/meltCurve_Q6MZP7_LIN54.pdf", "Melting_Curves/meltCurve_Q6MZP7_LIN54.pdf")</f>
        <v>Melting_Curves/meltCurve_Q6MZP7_LIN54.pdf</v>
      </c>
    </row>
    <row r="3626" spans="1:28" x14ac:dyDescent="0.25">
      <c r="A3626" t="s">
        <v>3630</v>
      </c>
      <c r="B3626">
        <v>0.99352677808782597</v>
      </c>
      <c r="C3626">
        <v>0.92681779590002</v>
      </c>
      <c r="D3626">
        <v>0.99635574185754905</v>
      </c>
      <c r="E3626">
        <v>0.96397106914592101</v>
      </c>
      <c r="F3626">
        <v>0.87624388612831705</v>
      </c>
      <c r="G3626">
        <v>0.85742074260119305</v>
      </c>
      <c r="H3626">
        <v>0.73082168030144801</v>
      </c>
      <c r="I3626">
        <v>0.87129826998742099</v>
      </c>
      <c r="J3626">
        <v>0.84026258242623098</v>
      </c>
      <c r="K3626">
        <v>0.73931277555108599</v>
      </c>
      <c r="L3626">
        <v>1061.46249082081</v>
      </c>
      <c r="M3626">
        <v>20.123969025027801</v>
      </c>
      <c r="O3626">
        <v>52.233613720254297</v>
      </c>
      <c r="P3626">
        <v>-1.9807721809293601E-2</v>
      </c>
      <c r="Q3626">
        <v>0.79435547261633899</v>
      </c>
      <c r="R3626">
        <v>0.72211072716531199</v>
      </c>
      <c r="S3626" t="s">
        <v>9911</v>
      </c>
      <c r="T3626" t="s">
        <v>12568</v>
      </c>
      <c r="U3626" t="s">
        <v>12568</v>
      </c>
      <c r="V3626" t="s">
        <v>12568</v>
      </c>
      <c r="W3626" t="s">
        <v>16150</v>
      </c>
      <c r="X3626">
        <v>3</v>
      </c>
      <c r="Y3626" t="s">
        <v>22273</v>
      </c>
      <c r="Z3626" t="s">
        <v>28496</v>
      </c>
      <c r="AA3626">
        <v>0.88453209892300122</v>
      </c>
      <c r="AB3626" t="str">
        <f>HYPERLINK("Melting_Curves/meltCurve_Q6N043_2_ZNF280D.pdf", "Melting_Curves/meltCurve_Q6N043_2_ZNF280D.pdf")</f>
        <v>Melting_Curves/meltCurve_Q6N043_2_ZNF280D.pdf</v>
      </c>
    </row>
    <row r="3627" spans="1:28" x14ac:dyDescent="0.25">
      <c r="A3627" t="s">
        <v>3631</v>
      </c>
      <c r="B3627">
        <v>0.99352677808782597</v>
      </c>
      <c r="C3627">
        <v>0.91690719644159202</v>
      </c>
      <c r="D3627">
        <v>0.85635763055133396</v>
      </c>
      <c r="E3627">
        <v>0.47290474872496802</v>
      </c>
      <c r="F3627">
        <v>0.437890248068458</v>
      </c>
      <c r="G3627">
        <v>0.32154572953162602</v>
      </c>
      <c r="H3627">
        <v>0.25989674603048202</v>
      </c>
      <c r="I3627">
        <v>0.25785598710223401</v>
      </c>
      <c r="J3627">
        <v>0.26684934690728201</v>
      </c>
      <c r="K3627">
        <v>0.14584627677834799</v>
      </c>
      <c r="L3627">
        <v>807.43298283123704</v>
      </c>
      <c r="M3627">
        <v>16.470678354084701</v>
      </c>
      <c r="N3627">
        <v>50.849821350598297</v>
      </c>
      <c r="O3627">
        <v>48.316898396615898</v>
      </c>
      <c r="P3627">
        <v>-6.6191371075079899E-2</v>
      </c>
      <c r="Q3627">
        <v>0.223362146403114</v>
      </c>
      <c r="R3627">
        <v>0.977309354530289</v>
      </c>
      <c r="S3627" t="s">
        <v>9912</v>
      </c>
      <c r="T3627" t="s">
        <v>12568</v>
      </c>
      <c r="U3627" t="s">
        <v>12568</v>
      </c>
      <c r="V3627" t="s">
        <v>12568</v>
      </c>
      <c r="W3627" t="s">
        <v>16151</v>
      </c>
      <c r="X3627">
        <v>3</v>
      </c>
      <c r="Y3627" t="s">
        <v>22274</v>
      </c>
      <c r="Z3627" t="s">
        <v>28497</v>
      </c>
      <c r="AA3627">
        <v>0.47294969125611358</v>
      </c>
      <c r="AB3627" t="str">
        <f>HYPERLINK("Melting_Curves/meltCurve_Q6N063_OGFOD2.pdf", "Melting_Curves/meltCurve_Q6N063_OGFOD2.pdf")</f>
        <v>Melting_Curves/meltCurve_Q6N063_OGFOD2.pdf</v>
      </c>
    </row>
    <row r="3628" spans="1:28" x14ac:dyDescent="0.25">
      <c r="A3628" t="s">
        <v>3632</v>
      </c>
      <c r="B3628">
        <v>0.99352677808782597</v>
      </c>
      <c r="C3628">
        <v>1.0306409071946701</v>
      </c>
      <c r="D3628">
        <v>0.67705078243488404</v>
      </c>
      <c r="E3628">
        <v>0.274655388470957</v>
      </c>
      <c r="F3628">
        <v>0.198627990882283</v>
      </c>
      <c r="G3628">
        <v>0.117052254600067</v>
      </c>
      <c r="H3628">
        <v>7.5329916445939102E-2</v>
      </c>
      <c r="I3628">
        <v>7.5573709309463999E-2</v>
      </c>
      <c r="J3628">
        <v>5.4030996867966002E-2</v>
      </c>
      <c r="K3628">
        <v>5.9112172659404501E-2</v>
      </c>
      <c r="L3628">
        <v>1185.46002877362</v>
      </c>
      <c r="M3628">
        <v>24.973047397533001</v>
      </c>
      <c r="N3628">
        <v>47.803722696971398</v>
      </c>
      <c r="O3628">
        <v>47.168332592272499</v>
      </c>
      <c r="P3628">
        <v>-0.121762275908802</v>
      </c>
      <c r="Q3628">
        <v>8.0088898329003996E-2</v>
      </c>
      <c r="R3628">
        <v>0.98952307096885495</v>
      </c>
      <c r="S3628" t="s">
        <v>9913</v>
      </c>
      <c r="T3628" t="s">
        <v>12568</v>
      </c>
      <c r="U3628" t="s">
        <v>12568</v>
      </c>
      <c r="V3628" t="s">
        <v>12568</v>
      </c>
      <c r="W3628" t="s">
        <v>16152</v>
      </c>
      <c r="X3628">
        <v>8</v>
      </c>
      <c r="Y3628" t="s">
        <v>22275</v>
      </c>
      <c r="Z3628" t="s">
        <v>28498</v>
      </c>
      <c r="AA3628">
        <v>0.31730962078449693</v>
      </c>
      <c r="AB3628" t="str">
        <f>HYPERLINK("Melting_Curves/meltCurve_Q6N069_NAA16.pdf", "Melting_Curves/meltCurve_Q6N069_NAA16.pdf")</f>
        <v>Melting_Curves/meltCurve_Q6N069_NAA16.pdf</v>
      </c>
    </row>
    <row r="3629" spans="1:28" x14ac:dyDescent="0.25">
      <c r="A3629" t="s">
        <v>3633</v>
      </c>
      <c r="B3629">
        <v>0.99352677808782597</v>
      </c>
      <c r="C3629">
        <v>0.87175334885836697</v>
      </c>
      <c r="D3629">
        <v>0.88343452461012895</v>
      </c>
      <c r="E3629">
        <v>0.81494566493722798</v>
      </c>
      <c r="F3629">
        <v>0.82628851274586501</v>
      </c>
      <c r="G3629">
        <v>0.679923161481642</v>
      </c>
      <c r="H3629">
        <v>0.58910298296847896</v>
      </c>
      <c r="I3629">
        <v>0.75262615697683999</v>
      </c>
      <c r="J3629">
        <v>0.65816759576269801</v>
      </c>
      <c r="K3629">
        <v>0.55002914454122198</v>
      </c>
      <c r="L3629">
        <v>324.73547946422002</v>
      </c>
      <c r="M3629">
        <v>5.8878715320189601</v>
      </c>
      <c r="O3629">
        <v>49.793771098667698</v>
      </c>
      <c r="P3629">
        <v>-1.5140852430901601E-2</v>
      </c>
      <c r="Q3629">
        <v>0.48958259267666299</v>
      </c>
      <c r="R3629">
        <v>0.826475444432481</v>
      </c>
      <c r="S3629" t="s">
        <v>9914</v>
      </c>
      <c r="T3629" t="s">
        <v>12568</v>
      </c>
      <c r="U3629" t="s">
        <v>12568</v>
      </c>
      <c r="V3629" t="s">
        <v>12568</v>
      </c>
      <c r="W3629" t="s">
        <v>16153</v>
      </c>
      <c r="X3629">
        <v>2</v>
      </c>
      <c r="Y3629" t="s">
        <v>22276</v>
      </c>
      <c r="Z3629" t="s">
        <v>28499</v>
      </c>
      <c r="AA3629">
        <v>0.75978064932417622</v>
      </c>
      <c r="AB3629" t="str">
        <f>HYPERLINK("Melting_Curves/meltCurve_Q6NS38_ALKBH2.pdf", "Melting_Curves/meltCurve_Q6NS38_ALKBH2.pdf")</f>
        <v>Melting_Curves/meltCurve_Q6NS38_ALKBH2.pdf</v>
      </c>
    </row>
    <row r="3630" spans="1:28" x14ac:dyDescent="0.25">
      <c r="A3630" t="s">
        <v>3634</v>
      </c>
      <c r="B3630">
        <v>0.99352677808782597</v>
      </c>
      <c r="C3630">
        <v>0.83031871397433099</v>
      </c>
      <c r="D3630">
        <v>0.89873035531467005</v>
      </c>
      <c r="E3630">
        <v>0.49646994084361701</v>
      </c>
      <c r="F3630">
        <v>0.45170170629103201</v>
      </c>
      <c r="G3630">
        <v>0.343242218018663</v>
      </c>
      <c r="H3630">
        <v>0.268798263959521</v>
      </c>
      <c r="I3630">
        <v>0.26602531276736502</v>
      </c>
      <c r="J3630">
        <v>0.24031274764897001</v>
      </c>
      <c r="K3630">
        <v>0.22147555534517999</v>
      </c>
      <c r="L3630">
        <v>719.68632514665501</v>
      </c>
      <c r="M3630">
        <v>14.617317767858999</v>
      </c>
      <c r="N3630">
        <v>51.3814922434699</v>
      </c>
      <c r="O3630">
        <v>48.341224391203497</v>
      </c>
      <c r="P3630">
        <v>-5.8328781550438802E-2</v>
      </c>
      <c r="Q3630">
        <v>0.22848511368219099</v>
      </c>
      <c r="R3630">
        <v>0.96737111096790396</v>
      </c>
      <c r="S3630" t="s">
        <v>9915</v>
      </c>
      <c r="T3630" t="s">
        <v>12568</v>
      </c>
      <c r="U3630" t="s">
        <v>12568</v>
      </c>
      <c r="V3630" t="s">
        <v>12568</v>
      </c>
      <c r="W3630" t="s">
        <v>16154</v>
      </c>
      <c r="X3630">
        <v>2</v>
      </c>
      <c r="Y3630" t="s">
        <v>22277</v>
      </c>
      <c r="Z3630" t="s">
        <v>28500</v>
      </c>
      <c r="AA3630">
        <v>0.48578898413786609</v>
      </c>
      <c r="AB3630" t="str">
        <f>HYPERLINK("Melting_Curves/meltCurve_Q6NSJ2_PHLDB3.pdf", "Melting_Curves/meltCurve_Q6NSJ2_PHLDB3.pdf")</f>
        <v>Melting_Curves/meltCurve_Q6NSJ2_PHLDB3.pdf</v>
      </c>
    </row>
    <row r="3631" spans="1:28" x14ac:dyDescent="0.25">
      <c r="A3631" t="s">
        <v>3635</v>
      </c>
      <c r="B3631">
        <v>0.99352677808782597</v>
      </c>
      <c r="C3631">
        <v>0.95818980186368496</v>
      </c>
      <c r="D3631">
        <v>1.021462219604</v>
      </c>
      <c r="E3631">
        <v>0.82814036165021798</v>
      </c>
      <c r="F3631">
        <v>0.79108726151752695</v>
      </c>
      <c r="G3631">
        <v>0.75122914393164397</v>
      </c>
      <c r="H3631">
        <v>0.67300669662489998</v>
      </c>
      <c r="I3631">
        <v>0.75473748773085503</v>
      </c>
      <c r="J3631">
        <v>0.644461392932555</v>
      </c>
      <c r="K3631">
        <v>0.73633980061468696</v>
      </c>
      <c r="L3631">
        <v>1220.7035507590199</v>
      </c>
      <c r="M3631">
        <v>24.320994000056501</v>
      </c>
      <c r="O3631">
        <v>49.855715082384599</v>
      </c>
      <c r="P3631">
        <v>-3.5576633391163598E-2</v>
      </c>
      <c r="Q3631">
        <v>0.70828956465759096</v>
      </c>
      <c r="R3631">
        <v>0.90778465494210003</v>
      </c>
      <c r="S3631" t="s">
        <v>9916</v>
      </c>
      <c r="T3631" t="s">
        <v>12568</v>
      </c>
      <c r="U3631" t="s">
        <v>12568</v>
      </c>
      <c r="V3631" t="s">
        <v>12568</v>
      </c>
      <c r="W3631" t="s">
        <v>16155</v>
      </c>
      <c r="X3631">
        <v>2</v>
      </c>
      <c r="Y3631" t="s">
        <v>22278</v>
      </c>
      <c r="Z3631" t="s">
        <v>28501</v>
      </c>
      <c r="AA3631">
        <v>0.81014727913832563</v>
      </c>
      <c r="AB3631" t="str">
        <f>HYPERLINK("Melting_Curves/meltCurve_Q6NT89_TRNP1.pdf", "Melting_Curves/meltCurve_Q6NT89_TRNP1.pdf")</f>
        <v>Melting_Curves/meltCurve_Q6NT89_TRNP1.pdf</v>
      </c>
    </row>
    <row r="3632" spans="1:28" x14ac:dyDescent="0.25">
      <c r="A3632" t="s">
        <v>3636</v>
      </c>
      <c r="B3632">
        <v>0.99352677808782597</v>
      </c>
      <c r="C3632">
        <v>0.76345687950500096</v>
      </c>
      <c r="D3632">
        <v>0.86573181486088802</v>
      </c>
      <c r="E3632">
        <v>0.76147396159622505</v>
      </c>
      <c r="F3632">
        <v>0.97719305147818203</v>
      </c>
      <c r="G3632">
        <v>0.71193739792169497</v>
      </c>
      <c r="H3632">
        <v>0.77915873089034204</v>
      </c>
      <c r="I3632">
        <v>0.70650050627040695</v>
      </c>
      <c r="J3632">
        <v>0.70956173163422298</v>
      </c>
      <c r="K3632">
        <v>0.59660973495729597</v>
      </c>
      <c r="L3632">
        <v>165.66344084475799</v>
      </c>
      <c r="M3632">
        <v>1.70527643342761</v>
      </c>
      <c r="O3632">
        <v>52.050211986978503</v>
      </c>
      <c r="P3632">
        <v>-9.25064482499704E-3</v>
      </c>
      <c r="Q3632">
        <v>0</v>
      </c>
      <c r="R3632">
        <v>0.51806897160944798</v>
      </c>
      <c r="S3632" t="s">
        <v>9917</v>
      </c>
      <c r="T3632" t="s">
        <v>12568</v>
      </c>
      <c r="U3632" t="s">
        <v>12568</v>
      </c>
      <c r="V3632" t="s">
        <v>12568</v>
      </c>
      <c r="W3632" t="s">
        <v>16156</v>
      </c>
      <c r="X3632">
        <v>1</v>
      </c>
      <c r="Y3632" t="s">
        <v>22279</v>
      </c>
      <c r="Z3632" t="s">
        <v>28502</v>
      </c>
      <c r="AA3632">
        <v>0.7881606773058969</v>
      </c>
      <c r="AB3632" t="str">
        <f>HYPERLINK("Melting_Curves/meltCurve_Q6NTE8_C5orf45.pdf", "Melting_Curves/meltCurve_Q6NTE8_C5orf45.pdf")</f>
        <v>Melting_Curves/meltCurve_Q6NTE8_C5orf45.pdf</v>
      </c>
    </row>
    <row r="3633" spans="1:28" x14ac:dyDescent="0.25">
      <c r="A3633" t="s">
        <v>3637</v>
      </c>
      <c r="B3633">
        <v>0.99352677808782597</v>
      </c>
      <c r="C3633">
        <v>1.11313705798803</v>
      </c>
      <c r="D3633">
        <v>0.96731860038316697</v>
      </c>
      <c r="E3633">
        <v>0.57273617978411395</v>
      </c>
      <c r="F3633">
        <v>0.60352950267225203</v>
      </c>
      <c r="G3633">
        <v>0.31460319797020098</v>
      </c>
      <c r="H3633">
        <v>0.21236179623623799</v>
      </c>
      <c r="I3633">
        <v>0.193938705024604</v>
      </c>
      <c r="J3633">
        <v>0.16270394707167499</v>
      </c>
      <c r="K3633">
        <v>0.15094557529601799</v>
      </c>
      <c r="L3633">
        <v>845.272936692896</v>
      </c>
      <c r="M3633">
        <v>16.234564191985399</v>
      </c>
      <c r="N3633">
        <v>53.207130903476703</v>
      </c>
      <c r="O3633">
        <v>51.295480042627801</v>
      </c>
      <c r="P3633">
        <v>-6.7497560348198204E-2</v>
      </c>
      <c r="Q3633">
        <v>0.14698952929481501</v>
      </c>
      <c r="R3633">
        <v>0.961127501355034</v>
      </c>
      <c r="S3633" t="s">
        <v>9918</v>
      </c>
      <c r="T3633" t="s">
        <v>12568</v>
      </c>
      <c r="U3633" t="s">
        <v>12568</v>
      </c>
      <c r="V3633" t="s">
        <v>12568</v>
      </c>
      <c r="W3633" t="s">
        <v>16157</v>
      </c>
      <c r="X3633">
        <v>1</v>
      </c>
      <c r="Y3633" t="s">
        <v>22280</v>
      </c>
      <c r="Z3633" t="s">
        <v>28503</v>
      </c>
      <c r="AA3633">
        <v>0.50689439333372743</v>
      </c>
      <c r="AB3633" t="str">
        <f>HYPERLINK("Melting_Curves/meltCurve_Q6NUQ4_2_TMEM214.pdf", "Melting_Curves/meltCurve_Q6NUQ4_2_TMEM214.pdf")</f>
        <v>Melting_Curves/meltCurve_Q6NUQ4_2_TMEM214.pdf</v>
      </c>
    </row>
    <row r="3634" spans="1:28" x14ac:dyDescent="0.25">
      <c r="A3634" t="s">
        <v>3638</v>
      </c>
      <c r="B3634">
        <v>0.99352677808782597</v>
      </c>
      <c r="C3634">
        <v>0.92370861983026098</v>
      </c>
      <c r="D3634">
        <v>0.94058505150160299</v>
      </c>
      <c r="E3634">
        <v>0.491836856412601</v>
      </c>
      <c r="F3634">
        <v>0.37637796507589</v>
      </c>
      <c r="G3634">
        <v>0.25315916888469903</v>
      </c>
      <c r="H3634">
        <v>0.151633098501185</v>
      </c>
      <c r="I3634">
        <v>0.141253514496537</v>
      </c>
      <c r="J3634">
        <v>0.104106902431331</v>
      </c>
      <c r="K3634">
        <v>9.4681783642873898E-2</v>
      </c>
      <c r="L3634">
        <v>918.73499936907206</v>
      </c>
      <c r="M3634">
        <v>18.336835340027001</v>
      </c>
      <c r="N3634">
        <v>50.840302648943798</v>
      </c>
      <c r="O3634">
        <v>49.518766575871197</v>
      </c>
      <c r="P3634">
        <v>-8.1773792164233097E-2</v>
      </c>
      <c r="Q3634">
        <v>0.116717586589866</v>
      </c>
      <c r="R3634">
        <v>0.98511652054494503</v>
      </c>
      <c r="S3634" t="s">
        <v>9919</v>
      </c>
      <c r="T3634" t="s">
        <v>12568</v>
      </c>
      <c r="U3634" t="s">
        <v>12568</v>
      </c>
      <c r="V3634" t="s">
        <v>12568</v>
      </c>
      <c r="W3634" t="s">
        <v>16158</v>
      </c>
      <c r="X3634">
        <v>1</v>
      </c>
      <c r="Y3634" t="s">
        <v>22281</v>
      </c>
      <c r="Z3634" t="s">
        <v>28504</v>
      </c>
      <c r="AA3634">
        <v>0.42870882764267648</v>
      </c>
      <c r="AB3634" t="str">
        <f>HYPERLINK("Melting_Curves/meltCurve_Q6NVU6_UFSP1.pdf", "Melting_Curves/meltCurve_Q6NVU6_UFSP1.pdf")</f>
        <v>Melting_Curves/meltCurve_Q6NVU6_UFSP1.pdf</v>
      </c>
    </row>
    <row r="3635" spans="1:28" x14ac:dyDescent="0.25">
      <c r="A3635" t="s">
        <v>3639</v>
      </c>
      <c r="B3635">
        <v>0.99352677808782597</v>
      </c>
      <c r="C3635">
        <v>0.96354793330395105</v>
      </c>
      <c r="D3635">
        <v>1.0067696324928099</v>
      </c>
      <c r="E3635">
        <v>0.65131406411467097</v>
      </c>
      <c r="F3635">
        <v>0.57014661302500402</v>
      </c>
      <c r="G3635">
        <v>0.16889597359811701</v>
      </c>
      <c r="H3635">
        <v>0.107912007004108</v>
      </c>
      <c r="I3635">
        <v>9.7250080983548301E-2</v>
      </c>
      <c r="J3635">
        <v>8.6367793344718793E-2</v>
      </c>
      <c r="K3635">
        <v>6.7434948017344995E-2</v>
      </c>
      <c r="L3635">
        <v>1014.90133252384</v>
      </c>
      <c r="M3635">
        <v>19.349991986601999</v>
      </c>
      <c r="N3635">
        <v>52.7893377956471</v>
      </c>
      <c r="O3635">
        <v>51.8991526032151</v>
      </c>
      <c r="P3635">
        <v>-8.7757460756437103E-2</v>
      </c>
      <c r="Q3635">
        <v>5.85279979420604E-2</v>
      </c>
      <c r="R3635">
        <v>0.98458692181062601</v>
      </c>
      <c r="S3635" t="s">
        <v>9920</v>
      </c>
      <c r="T3635" t="s">
        <v>12568</v>
      </c>
      <c r="U3635" t="s">
        <v>12568</v>
      </c>
      <c r="V3635" t="s">
        <v>12568</v>
      </c>
      <c r="W3635" t="s">
        <v>16159</v>
      </c>
      <c r="X3635">
        <v>13</v>
      </c>
      <c r="Y3635" t="s">
        <v>22282</v>
      </c>
      <c r="Z3635" t="s">
        <v>28505</v>
      </c>
      <c r="AA3635">
        <v>0.46299888748666729</v>
      </c>
      <c r="AB3635" t="str">
        <f>HYPERLINK("Melting_Curves/meltCurve_Q6NVY1_HIBCH.pdf", "Melting_Curves/meltCurve_Q6NVY1_HIBCH.pdf")</f>
        <v>Melting_Curves/meltCurve_Q6NVY1_HIBCH.pdf</v>
      </c>
    </row>
    <row r="3636" spans="1:28" x14ac:dyDescent="0.25">
      <c r="A3636" t="s">
        <v>3640</v>
      </c>
      <c r="B3636">
        <v>0.99352677808782597</v>
      </c>
      <c r="C3636">
        <v>0.62517852968413101</v>
      </c>
      <c r="D3636">
        <v>0.42893660001368</v>
      </c>
      <c r="E3636">
        <v>0.22203598914622899</v>
      </c>
      <c r="F3636">
        <v>0.17281441653225599</v>
      </c>
      <c r="G3636">
        <v>9.8579592879188799E-2</v>
      </c>
      <c r="H3636">
        <v>6.5663659120000301E-2</v>
      </c>
      <c r="I3636">
        <v>6.3088469690244994E-2</v>
      </c>
      <c r="J3636">
        <v>5.69811701738785E-2</v>
      </c>
      <c r="K3636">
        <v>4.4201016511510198E-2</v>
      </c>
      <c r="L3636">
        <v>749.33131185219997</v>
      </c>
      <c r="M3636">
        <v>16.732853036161799</v>
      </c>
      <c r="N3636">
        <v>45.157136636164097</v>
      </c>
      <c r="O3636">
        <v>44.157118332880302</v>
      </c>
      <c r="P3636">
        <v>-8.8593970348594495E-2</v>
      </c>
      <c r="Q3636">
        <v>6.4882632453664907E-2</v>
      </c>
      <c r="R3636">
        <v>0.97857001027447998</v>
      </c>
      <c r="S3636" t="s">
        <v>9921</v>
      </c>
      <c r="T3636" t="s">
        <v>12568</v>
      </c>
      <c r="U3636" t="s">
        <v>12568</v>
      </c>
      <c r="V3636" t="s">
        <v>12568</v>
      </c>
      <c r="W3636" t="s">
        <v>16160</v>
      </c>
      <c r="X3636">
        <v>5</v>
      </c>
      <c r="Y3636" t="s">
        <v>22283</v>
      </c>
      <c r="Z3636" t="s">
        <v>28506</v>
      </c>
      <c r="AA3636">
        <v>0.2382828272408507</v>
      </c>
      <c r="AB3636" t="str">
        <f>HYPERLINK("Melting_Curves/meltCurve_Q6NXE6_2_ARMC6.pdf", "Melting_Curves/meltCurve_Q6NXE6_2_ARMC6.pdf")</f>
        <v>Melting_Curves/meltCurve_Q6NXE6_2_ARMC6.pdf</v>
      </c>
    </row>
    <row r="3637" spans="1:28" x14ac:dyDescent="0.25">
      <c r="A3637" t="s">
        <v>3641</v>
      </c>
      <c r="B3637">
        <v>0.99352677808782597</v>
      </c>
      <c r="C3637">
        <v>0.97771137450593804</v>
      </c>
      <c r="D3637">
        <v>0.94421409855638905</v>
      </c>
      <c r="E3637">
        <v>0.83279806758064001</v>
      </c>
      <c r="F3637">
        <v>0.96344516404318703</v>
      </c>
      <c r="G3637">
        <v>0.66551601261776105</v>
      </c>
      <c r="H3637">
        <v>0.47317479583883498</v>
      </c>
      <c r="I3637">
        <v>0.48994345838827003</v>
      </c>
      <c r="J3637">
        <v>0.53629600818391998</v>
      </c>
      <c r="K3637">
        <v>0.41353357851412398</v>
      </c>
      <c r="L3637">
        <v>1424.4883329381601</v>
      </c>
      <c r="M3637">
        <v>25.432166841255</v>
      </c>
      <c r="N3637">
        <v>61.970050349465303</v>
      </c>
      <c r="O3637">
        <v>55.668419916488602</v>
      </c>
      <c r="P3637">
        <v>-6.2057551420386103E-2</v>
      </c>
      <c r="Q3637">
        <v>0.45665621381413601</v>
      </c>
      <c r="R3637">
        <v>0.92580963273192796</v>
      </c>
      <c r="S3637" t="s">
        <v>9922</v>
      </c>
      <c r="T3637" t="s">
        <v>12568</v>
      </c>
      <c r="U3637" t="s">
        <v>12568</v>
      </c>
      <c r="V3637" t="s">
        <v>12568</v>
      </c>
      <c r="W3637" t="s">
        <v>16161</v>
      </c>
      <c r="X3637">
        <v>6</v>
      </c>
      <c r="Y3637" t="s">
        <v>22284</v>
      </c>
      <c r="Z3637" t="s">
        <v>28507</v>
      </c>
      <c r="AA3637">
        <v>0.75149023404468684</v>
      </c>
      <c r="AB3637" t="str">
        <f>HYPERLINK("Melting_Curves/meltCurve_Q6NXT1_ANKRD54.pdf", "Melting_Curves/meltCurve_Q6NXT1_ANKRD54.pdf")</f>
        <v>Melting_Curves/meltCurve_Q6NXT1_ANKRD54.pdf</v>
      </c>
    </row>
    <row r="3638" spans="1:28" x14ac:dyDescent="0.25">
      <c r="A3638" t="s">
        <v>3642</v>
      </c>
      <c r="B3638">
        <v>0.99352677808782597</v>
      </c>
      <c r="C3638">
        <v>1.51731098507742</v>
      </c>
      <c r="D3638">
        <v>0.22866816413506</v>
      </c>
      <c r="E3638">
        <v>0.397601180755009</v>
      </c>
      <c r="F3638">
        <v>0.30983365632960502</v>
      </c>
      <c r="G3638">
        <v>0.15179243241146101</v>
      </c>
      <c r="H3638">
        <v>9.09826934436061E-2</v>
      </c>
      <c r="I3638">
        <v>8.5949262091221806E-2</v>
      </c>
      <c r="J3638">
        <v>7.0087203318741201E-2</v>
      </c>
      <c r="K3638">
        <v>5.8352209004182802E-2</v>
      </c>
      <c r="L3638">
        <v>11384.2560103583</v>
      </c>
      <c r="M3638">
        <v>250</v>
      </c>
      <c r="N3638">
        <v>45.610847374837299</v>
      </c>
      <c r="O3638">
        <v>45.534114741993399</v>
      </c>
      <c r="P3638">
        <v>-1.1442369461822901</v>
      </c>
      <c r="Q3638">
        <v>0.16637102573554499</v>
      </c>
      <c r="R3638">
        <v>0.82298786867075802</v>
      </c>
      <c r="S3638" t="s">
        <v>9923</v>
      </c>
      <c r="T3638" t="s">
        <v>12568</v>
      </c>
      <c r="U3638" t="s">
        <v>12568</v>
      </c>
      <c r="V3638" t="s">
        <v>12568</v>
      </c>
      <c r="W3638" t="s">
        <v>16162</v>
      </c>
      <c r="X3638">
        <v>11</v>
      </c>
      <c r="Y3638" t="s">
        <v>22285</v>
      </c>
      <c r="Z3638" t="s">
        <v>28508</v>
      </c>
      <c r="AA3638">
        <v>0.32029843574052991</v>
      </c>
      <c r="AB3638" t="str">
        <f>HYPERLINK("Melting_Curves/meltCurve_Q6NYC1_JMJD6.pdf", "Melting_Curves/meltCurve_Q6NYC1_JMJD6.pdf")</f>
        <v>Melting_Curves/meltCurve_Q6NYC1_JMJD6.pdf</v>
      </c>
    </row>
    <row r="3639" spans="1:28" x14ac:dyDescent="0.25">
      <c r="A3639" t="s">
        <v>3643</v>
      </c>
      <c r="B3639">
        <v>0.99352677808782597</v>
      </c>
      <c r="C3639">
        <v>0.95773253471526498</v>
      </c>
      <c r="D3639">
        <v>1.06642525874198</v>
      </c>
      <c r="E3639">
        <v>0.73641111029064699</v>
      </c>
      <c r="F3639">
        <v>0.67547756942233295</v>
      </c>
      <c r="G3639">
        <v>0.57879088035489901</v>
      </c>
      <c r="H3639">
        <v>0.52545071490238104</v>
      </c>
      <c r="I3639">
        <v>0.57725657011918297</v>
      </c>
      <c r="J3639">
        <v>0.58667561171872196</v>
      </c>
      <c r="K3639">
        <v>0.54733851301134495</v>
      </c>
      <c r="L3639">
        <v>1778.5459380929101</v>
      </c>
      <c r="M3639">
        <v>35.664246891230299</v>
      </c>
      <c r="O3639">
        <v>49.713146223448298</v>
      </c>
      <c r="P3639">
        <v>-7.7238404932370094E-2</v>
      </c>
      <c r="Q3639">
        <v>0.56934444591459699</v>
      </c>
      <c r="R3639">
        <v>0.95489074012797603</v>
      </c>
      <c r="S3639" t="s">
        <v>9924</v>
      </c>
      <c r="T3639" t="s">
        <v>12568</v>
      </c>
      <c r="U3639" t="s">
        <v>12568</v>
      </c>
      <c r="V3639" t="s">
        <v>12568</v>
      </c>
      <c r="W3639" t="s">
        <v>16163</v>
      </c>
      <c r="X3639">
        <v>12</v>
      </c>
      <c r="Y3639" t="s">
        <v>22286</v>
      </c>
      <c r="Z3639" t="s">
        <v>28509</v>
      </c>
      <c r="AA3639">
        <v>0.71289063519012574</v>
      </c>
      <c r="AB3639" t="str">
        <f>HYPERLINK("Melting_Curves/meltCurve_Q6NYC8_PPP1R18.pdf", "Melting_Curves/meltCurve_Q6NYC8_PPP1R18.pdf")</f>
        <v>Melting_Curves/meltCurve_Q6NYC8_PPP1R18.pdf</v>
      </c>
    </row>
    <row r="3640" spans="1:28" x14ac:dyDescent="0.25">
      <c r="A3640" t="s">
        <v>3644</v>
      </c>
      <c r="B3640">
        <v>0.99352677808782597</v>
      </c>
      <c r="C3640">
        <v>0.94941994561718801</v>
      </c>
      <c r="D3640">
        <v>0.96169309221078503</v>
      </c>
      <c r="E3640">
        <v>0.81731382023214405</v>
      </c>
      <c r="F3640">
        <v>0.70611864879446495</v>
      </c>
      <c r="G3640">
        <v>0.58786369164857299</v>
      </c>
      <c r="H3640">
        <v>0.48006926815916701</v>
      </c>
      <c r="I3640">
        <v>0.51694663841988397</v>
      </c>
      <c r="J3640">
        <v>0.53924809107417904</v>
      </c>
      <c r="K3640">
        <v>0.46564795699910499</v>
      </c>
      <c r="L3640">
        <v>866.00403231698795</v>
      </c>
      <c r="M3640">
        <v>16.667081322194299</v>
      </c>
      <c r="N3640">
        <v>65.220352832001694</v>
      </c>
      <c r="O3640">
        <v>51.228250873708099</v>
      </c>
      <c r="P3640">
        <v>-4.2043804606735298E-2</v>
      </c>
      <c r="Q3640">
        <v>0.48312805275202098</v>
      </c>
      <c r="R3640">
        <v>0.98463065223930502</v>
      </c>
      <c r="S3640" t="s">
        <v>9925</v>
      </c>
      <c r="T3640" t="s">
        <v>12568</v>
      </c>
      <c r="U3640" t="s">
        <v>12568</v>
      </c>
      <c r="V3640" t="s">
        <v>12568</v>
      </c>
      <c r="W3640" t="s">
        <v>16164</v>
      </c>
      <c r="X3640">
        <v>13</v>
      </c>
      <c r="Y3640" t="s">
        <v>22287</v>
      </c>
      <c r="Z3640" t="s">
        <v>28510</v>
      </c>
      <c r="AA3640">
        <v>0.69895931627449626</v>
      </c>
      <c r="AB3640" t="str">
        <f>HYPERLINK("Melting_Curves/meltCurve_Q6NZI2_PTRF.pdf", "Melting_Curves/meltCurve_Q6NZI2_PTRF.pdf")</f>
        <v>Melting_Curves/meltCurve_Q6NZI2_PTRF.pdf</v>
      </c>
    </row>
    <row r="3641" spans="1:28" x14ac:dyDescent="0.25">
      <c r="A3641" t="s">
        <v>3645</v>
      </c>
      <c r="B3641">
        <v>0.99352677808782597</v>
      </c>
      <c r="C3641">
        <v>1.03119790262799</v>
      </c>
      <c r="D3641">
        <v>1.0359501475733199</v>
      </c>
      <c r="E3641">
        <v>1.0922989436248001</v>
      </c>
      <c r="F3641">
        <v>0.953667284727301</v>
      </c>
      <c r="G3641">
        <v>0.76263996491023101</v>
      </c>
      <c r="H3641">
        <v>0.62663748903967997</v>
      </c>
      <c r="I3641">
        <v>0.64845275879563302</v>
      </c>
      <c r="J3641">
        <v>0.66776427836500996</v>
      </c>
      <c r="K3641">
        <v>0.55018579825270797</v>
      </c>
      <c r="L3641">
        <v>2227.1732498900801</v>
      </c>
      <c r="M3641">
        <v>39.597209769720301</v>
      </c>
      <c r="O3641">
        <v>56.102813802250097</v>
      </c>
      <c r="P3641">
        <v>-6.7341132352377001E-2</v>
      </c>
      <c r="Q3641">
        <v>0.61835493593005797</v>
      </c>
      <c r="R3641">
        <v>0.94846640327564002</v>
      </c>
      <c r="S3641" t="s">
        <v>9926</v>
      </c>
      <c r="T3641" t="s">
        <v>12568</v>
      </c>
      <c r="U3641" t="s">
        <v>12568</v>
      </c>
      <c r="V3641" t="s">
        <v>12568</v>
      </c>
      <c r="W3641" t="s">
        <v>16165</v>
      </c>
      <c r="X3641">
        <v>9</v>
      </c>
      <c r="Y3641" t="s">
        <v>22288</v>
      </c>
      <c r="Z3641" t="s">
        <v>28511</v>
      </c>
      <c r="AA3641">
        <v>0.82652712533602013</v>
      </c>
      <c r="AB3641" t="str">
        <f>HYPERLINK("Melting_Curves/meltCurve_Q6NZY4_ZCCHC8.pdf", "Melting_Curves/meltCurve_Q6NZY4_ZCCHC8.pdf")</f>
        <v>Melting_Curves/meltCurve_Q6NZY4_ZCCHC8.pdf</v>
      </c>
    </row>
    <row r="3642" spans="1:28" x14ac:dyDescent="0.25">
      <c r="A3642" t="s">
        <v>3646</v>
      </c>
      <c r="B3642">
        <v>0.99352677808782597</v>
      </c>
      <c r="C3642">
        <v>0.97263357651779503</v>
      </c>
      <c r="D3642">
        <v>0.98135912520551205</v>
      </c>
      <c r="E3642">
        <v>0.60303237821850797</v>
      </c>
      <c r="F3642">
        <v>0.45110043700225699</v>
      </c>
      <c r="G3642">
        <v>0.26965978728449702</v>
      </c>
      <c r="H3642">
        <v>0.16136475039797299</v>
      </c>
      <c r="I3642">
        <v>0.14994445340887499</v>
      </c>
      <c r="J3642">
        <v>0.120970145890114</v>
      </c>
      <c r="K3642">
        <v>9.1221240014774205E-2</v>
      </c>
      <c r="L3642">
        <v>927.38984005036502</v>
      </c>
      <c r="M3642">
        <v>18.050259205924402</v>
      </c>
      <c r="N3642">
        <v>52.112744118318403</v>
      </c>
      <c r="O3642">
        <v>50.7600391091486</v>
      </c>
      <c r="P3642">
        <v>-7.8918497515896205E-2</v>
      </c>
      <c r="Q3642">
        <v>0.112320660582494</v>
      </c>
      <c r="R3642">
        <v>0.99097669713838599</v>
      </c>
      <c r="S3642" t="s">
        <v>9927</v>
      </c>
      <c r="T3642" t="s">
        <v>12568</v>
      </c>
      <c r="U3642" t="s">
        <v>12568</v>
      </c>
      <c r="V3642" t="s">
        <v>12568</v>
      </c>
      <c r="W3642" t="s">
        <v>16166</v>
      </c>
      <c r="X3642">
        <v>9</v>
      </c>
      <c r="Y3642" t="s">
        <v>22289</v>
      </c>
      <c r="Z3642" t="s">
        <v>28512</v>
      </c>
      <c r="AA3642">
        <v>0.46381061242098381</v>
      </c>
      <c r="AB3642" t="str">
        <f>HYPERLINK("Melting_Curves/meltCurve_Q6P158_DHX57.pdf", "Melting_Curves/meltCurve_Q6P158_DHX57.pdf")</f>
        <v>Melting_Curves/meltCurve_Q6P158_DHX57.pdf</v>
      </c>
    </row>
    <row r="3643" spans="1:28" x14ac:dyDescent="0.25">
      <c r="A3643" t="s">
        <v>3647</v>
      </c>
      <c r="B3643">
        <v>0.99352677808782597</v>
      </c>
      <c r="C3643">
        <v>0.90318998308987597</v>
      </c>
      <c r="D3643">
        <v>0.87697365790716197</v>
      </c>
      <c r="E3643">
        <v>0.44773175777263902</v>
      </c>
      <c r="F3643">
        <v>0.42931848244197601</v>
      </c>
      <c r="G3643">
        <v>0.16815442631473401</v>
      </c>
      <c r="H3643">
        <v>9.6969268241271805E-2</v>
      </c>
      <c r="I3643">
        <v>8.4310436976970493E-2</v>
      </c>
      <c r="J3643">
        <v>6.7649090000238998E-2</v>
      </c>
      <c r="K3643">
        <v>5.3549581204036197E-2</v>
      </c>
      <c r="L3643">
        <v>751.93277812429801</v>
      </c>
      <c r="M3643">
        <v>14.9453199076024</v>
      </c>
      <c r="N3643">
        <v>50.614827495075801</v>
      </c>
      <c r="O3643">
        <v>49.437236053620197</v>
      </c>
      <c r="P3643">
        <v>-7.2354945675664306E-2</v>
      </c>
      <c r="Q3643">
        <v>4.2733447149847698E-2</v>
      </c>
      <c r="R3643">
        <v>0.98350087221808102</v>
      </c>
      <c r="S3643" t="s">
        <v>9928</v>
      </c>
      <c r="T3643" t="s">
        <v>12568</v>
      </c>
      <c r="U3643" t="s">
        <v>12568</v>
      </c>
      <c r="V3643" t="s">
        <v>12568</v>
      </c>
      <c r="W3643" t="s">
        <v>16167</v>
      </c>
      <c r="X3643">
        <v>18</v>
      </c>
      <c r="Y3643" t="s">
        <v>22290</v>
      </c>
      <c r="Z3643" t="s">
        <v>28513</v>
      </c>
      <c r="AA3643">
        <v>0.39453059749750868</v>
      </c>
      <c r="AB3643" t="str">
        <f>HYPERLINK("Melting_Curves/meltCurve_Q6P1J9_CDC73.pdf", "Melting_Curves/meltCurve_Q6P1J9_CDC73.pdf")</f>
        <v>Melting_Curves/meltCurve_Q6P1J9_CDC73.pdf</v>
      </c>
    </row>
    <row r="3644" spans="1:28" x14ac:dyDescent="0.25">
      <c r="A3644" t="s">
        <v>3648</v>
      </c>
      <c r="B3644">
        <v>0.99352677808782597</v>
      </c>
      <c r="C3644">
        <v>1.00040618372829</v>
      </c>
      <c r="D3644">
        <v>0.97000562002542701</v>
      </c>
      <c r="E3644">
        <v>0.61433705483311796</v>
      </c>
      <c r="F3644">
        <v>0.51042564393936396</v>
      </c>
      <c r="G3644">
        <v>0.31399603070738502</v>
      </c>
      <c r="H3644">
        <v>0.224413393778498</v>
      </c>
      <c r="I3644">
        <v>0.215326706613896</v>
      </c>
      <c r="J3644">
        <v>0.18416131808710001</v>
      </c>
      <c r="K3644">
        <v>0.16641736447958999</v>
      </c>
      <c r="L3644">
        <v>912.490545017562</v>
      </c>
      <c r="M3644">
        <v>17.7776273363889</v>
      </c>
      <c r="N3644">
        <v>52.639845133201497</v>
      </c>
      <c r="O3644">
        <v>50.691774979517298</v>
      </c>
      <c r="P3644">
        <v>-7.1988862307847998E-2</v>
      </c>
      <c r="Q3644">
        <v>0.17895587486235601</v>
      </c>
      <c r="R3644">
        <v>0.98984196990362205</v>
      </c>
      <c r="S3644" t="s">
        <v>9929</v>
      </c>
      <c r="T3644" t="s">
        <v>12568</v>
      </c>
      <c r="U3644" t="s">
        <v>12568</v>
      </c>
      <c r="V3644" t="s">
        <v>12568</v>
      </c>
      <c r="W3644" t="s">
        <v>16168</v>
      </c>
      <c r="X3644">
        <v>5</v>
      </c>
      <c r="Y3644" t="s">
        <v>22291</v>
      </c>
      <c r="Z3644" t="s">
        <v>28514</v>
      </c>
      <c r="AA3644">
        <v>0.50306959977907539</v>
      </c>
      <c r="AB3644" t="str">
        <f>HYPERLINK("Melting_Curves/meltCurve_Q6P1K2_PMF1.pdf", "Melting_Curves/meltCurve_Q6P1K2_PMF1.pdf")</f>
        <v>Melting_Curves/meltCurve_Q6P1K2_PMF1.pdf</v>
      </c>
    </row>
    <row r="3645" spans="1:28" x14ac:dyDescent="0.25">
      <c r="A3645" t="s">
        <v>3649</v>
      </c>
      <c r="B3645">
        <v>0.99352677808782597</v>
      </c>
      <c r="C3645">
        <v>0.97229133103149501</v>
      </c>
      <c r="D3645">
        <v>0.97520611458884598</v>
      </c>
      <c r="E3645">
        <v>0.89085979956800398</v>
      </c>
      <c r="F3645">
        <v>0.82990505784574697</v>
      </c>
      <c r="G3645">
        <v>0.692316543671185</v>
      </c>
      <c r="H3645">
        <v>0.63754110229087402</v>
      </c>
      <c r="I3645">
        <v>0.67412932880347998</v>
      </c>
      <c r="J3645">
        <v>0.77171415912629704</v>
      </c>
      <c r="K3645">
        <v>0.63874849625572405</v>
      </c>
      <c r="L3645">
        <v>1170.6385565323401</v>
      </c>
      <c r="M3645">
        <v>22.538161915363201</v>
      </c>
      <c r="O3645">
        <v>51.5365925033569</v>
      </c>
      <c r="P3645">
        <v>-3.5562316414522802E-2</v>
      </c>
      <c r="Q3645">
        <v>0.67473432580661596</v>
      </c>
      <c r="R3645">
        <v>0.92033415071499602</v>
      </c>
      <c r="S3645" t="s">
        <v>9930</v>
      </c>
      <c r="T3645" t="s">
        <v>12568</v>
      </c>
      <c r="U3645" t="s">
        <v>12568</v>
      </c>
      <c r="V3645" t="s">
        <v>12568</v>
      </c>
      <c r="W3645" t="s">
        <v>16169</v>
      </c>
      <c r="X3645">
        <v>10</v>
      </c>
      <c r="Y3645" t="s">
        <v>22292</v>
      </c>
      <c r="Z3645" t="s">
        <v>28515</v>
      </c>
      <c r="AA3645">
        <v>0.80780785852278769</v>
      </c>
      <c r="AB3645" t="str">
        <f>HYPERLINK("Melting_Curves/meltCurve_Q6P1L5_FAM117B.pdf", "Melting_Curves/meltCurve_Q6P1L5_FAM117B.pdf")</f>
        <v>Melting_Curves/meltCurve_Q6P1L5_FAM117B.pdf</v>
      </c>
    </row>
    <row r="3646" spans="1:28" x14ac:dyDescent="0.25">
      <c r="A3646" t="s">
        <v>3650</v>
      </c>
      <c r="B3646">
        <v>0.99352677808782597</v>
      </c>
      <c r="C3646">
        <v>0.80783220069231698</v>
      </c>
      <c r="D3646">
        <v>0.70792118901846401</v>
      </c>
      <c r="E3646">
        <v>0.41277037075762202</v>
      </c>
      <c r="F3646">
        <v>0.334349443373614</v>
      </c>
      <c r="G3646">
        <v>0.23191273785960301</v>
      </c>
      <c r="H3646">
        <v>0.17720023432835599</v>
      </c>
      <c r="I3646">
        <v>0.165012573561229</v>
      </c>
      <c r="J3646">
        <v>0.14465684360880801</v>
      </c>
      <c r="K3646">
        <v>0.12398040149171501</v>
      </c>
      <c r="L3646">
        <v>644.69896116889697</v>
      </c>
      <c r="M3646">
        <v>13.460383357810599</v>
      </c>
      <c r="N3646">
        <v>48.982411676908299</v>
      </c>
      <c r="O3646">
        <v>46.875949738107003</v>
      </c>
      <c r="P3646">
        <v>-6.2532704039348699E-2</v>
      </c>
      <c r="Q3646">
        <v>0.129050733658571</v>
      </c>
      <c r="R3646">
        <v>0.99235408584992801</v>
      </c>
      <c r="S3646" t="s">
        <v>9931</v>
      </c>
      <c r="T3646" t="s">
        <v>12568</v>
      </c>
      <c r="U3646" t="s">
        <v>12568</v>
      </c>
      <c r="V3646" t="s">
        <v>12568</v>
      </c>
      <c r="W3646" t="s">
        <v>16170</v>
      </c>
      <c r="X3646">
        <v>1</v>
      </c>
      <c r="Y3646" t="s">
        <v>22293</v>
      </c>
      <c r="Z3646" t="s">
        <v>28516</v>
      </c>
      <c r="AA3646">
        <v>0.38608356094162039</v>
      </c>
      <c r="AB3646" t="str">
        <f>HYPERLINK("Melting_Curves/meltCurve_Q6P1L8_MRPL14.pdf", "Melting_Curves/meltCurve_Q6P1L8_MRPL14.pdf")</f>
        <v>Melting_Curves/meltCurve_Q6P1L8_MRPL14.pdf</v>
      </c>
    </row>
    <row r="3647" spans="1:28" x14ac:dyDescent="0.25">
      <c r="A3647" t="s">
        <v>3651</v>
      </c>
      <c r="B3647">
        <v>0.99352677808782597</v>
      </c>
      <c r="C3647">
        <v>0.65087165345723597</v>
      </c>
      <c r="D3647">
        <v>0.60505884769084595</v>
      </c>
      <c r="E3647">
        <v>0.30610526287832401</v>
      </c>
      <c r="F3647">
        <v>0.27637299570930601</v>
      </c>
      <c r="G3647">
        <v>0.13825933375391899</v>
      </c>
      <c r="H3647">
        <v>0.111493977786799</v>
      </c>
      <c r="I3647">
        <v>0.17622588285624399</v>
      </c>
      <c r="J3647">
        <v>7.3653074113758904E-2</v>
      </c>
      <c r="K3647">
        <v>7.0128315302389402E-2</v>
      </c>
      <c r="L3647">
        <v>596.98926582721799</v>
      </c>
      <c r="M3647">
        <v>12.906417893222899</v>
      </c>
      <c r="N3647">
        <v>46.9333673226499</v>
      </c>
      <c r="O3647">
        <v>45.186978735853003</v>
      </c>
      <c r="P3647">
        <v>-6.5343380903519294E-2</v>
      </c>
      <c r="Q3647">
        <v>8.5064650168374403E-2</v>
      </c>
      <c r="R3647">
        <v>0.96229373255635098</v>
      </c>
      <c r="S3647" t="s">
        <v>9932</v>
      </c>
      <c r="T3647" t="s">
        <v>12568</v>
      </c>
      <c r="U3647" t="s">
        <v>12568</v>
      </c>
      <c r="V3647" t="s">
        <v>12568</v>
      </c>
      <c r="W3647" t="s">
        <v>16171</v>
      </c>
      <c r="X3647">
        <v>9</v>
      </c>
      <c r="Y3647" t="s">
        <v>22294</v>
      </c>
      <c r="Z3647" t="s">
        <v>28517</v>
      </c>
      <c r="AA3647">
        <v>0.311312227476293</v>
      </c>
      <c r="AB3647" t="str">
        <f>HYPERLINK("Melting_Curves/meltCurve_Q6P1M3_2_LLGL2.pdf", "Melting_Curves/meltCurve_Q6P1M3_2_LLGL2.pdf")</f>
        <v>Melting_Curves/meltCurve_Q6P1M3_2_LLGL2.pdf</v>
      </c>
    </row>
    <row r="3648" spans="1:28" x14ac:dyDescent="0.25">
      <c r="A3648" t="s">
        <v>3652</v>
      </c>
      <c r="B3648">
        <v>0.99352677808782597</v>
      </c>
      <c r="C3648">
        <v>1.21739442080113</v>
      </c>
      <c r="D3648">
        <v>1.1500839968080401</v>
      </c>
      <c r="E3648">
        <v>0.99972022601927502</v>
      </c>
      <c r="F3648">
        <v>0.82520881554537795</v>
      </c>
      <c r="G3648">
        <v>0.86740595734924297</v>
      </c>
      <c r="H3648">
        <v>0.64884486575791001</v>
      </c>
      <c r="I3648">
        <v>0.80810069337041002</v>
      </c>
      <c r="J3648">
        <v>0.72799846661019396</v>
      </c>
      <c r="K3648">
        <v>0.684214186890586</v>
      </c>
      <c r="L3648">
        <v>1310.23335862511</v>
      </c>
      <c r="M3648">
        <v>24.194738067027199</v>
      </c>
      <c r="O3648">
        <v>53.787774912885503</v>
      </c>
      <c r="P3648">
        <v>-3.12666776391929E-2</v>
      </c>
      <c r="Q3648">
        <v>0.72196613176384095</v>
      </c>
      <c r="R3648">
        <v>0.70202924795682597</v>
      </c>
      <c r="S3648" t="s">
        <v>9933</v>
      </c>
      <c r="T3648" t="s">
        <v>12568</v>
      </c>
      <c r="U3648" t="s">
        <v>12568</v>
      </c>
      <c r="V3648" t="s">
        <v>12568</v>
      </c>
      <c r="W3648" t="s">
        <v>16172</v>
      </c>
      <c r="X3648">
        <v>2</v>
      </c>
      <c r="Y3648" t="s">
        <v>22295</v>
      </c>
      <c r="Z3648" t="s">
        <v>28518</v>
      </c>
      <c r="AA3648">
        <v>0.85586912104956125</v>
      </c>
      <c r="AB3648" t="str">
        <f>HYPERLINK("Melting_Curves/meltCurve_Q6P1M9_ARMCX5.pdf", "Melting_Curves/meltCurve_Q6P1M9_ARMCX5.pdf")</f>
        <v>Melting_Curves/meltCurve_Q6P1M9_ARMCX5.pdf</v>
      </c>
    </row>
    <row r="3649" spans="1:28" x14ac:dyDescent="0.25">
      <c r="A3649" t="s">
        <v>3653</v>
      </c>
      <c r="B3649">
        <v>0.99352677808782597</v>
      </c>
      <c r="C3649">
        <v>0.89509023691140899</v>
      </c>
      <c r="D3649">
        <v>0.88320292991730598</v>
      </c>
      <c r="E3649">
        <v>0.37158027905709001</v>
      </c>
      <c r="F3649">
        <v>0.30087125180705199</v>
      </c>
      <c r="G3649">
        <v>0.18122204606376199</v>
      </c>
      <c r="H3649">
        <v>0.148304666767476</v>
      </c>
      <c r="I3649">
        <v>0.15748201394164099</v>
      </c>
      <c r="J3649">
        <v>0.130422407562819</v>
      </c>
      <c r="K3649">
        <v>0.109883743026786</v>
      </c>
      <c r="L3649">
        <v>1172.8741771796699</v>
      </c>
      <c r="M3649">
        <v>24.139052360568101</v>
      </c>
      <c r="N3649">
        <v>49.273526548182602</v>
      </c>
      <c r="O3649">
        <v>48.258486711007102</v>
      </c>
      <c r="P3649">
        <v>-0.107221756869539</v>
      </c>
      <c r="Q3649">
        <v>0.14258807340272101</v>
      </c>
      <c r="R3649">
        <v>0.98549425270385405</v>
      </c>
      <c r="S3649" t="s">
        <v>9934</v>
      </c>
      <c r="T3649" t="s">
        <v>12568</v>
      </c>
      <c r="U3649" t="s">
        <v>12568</v>
      </c>
      <c r="V3649" t="s">
        <v>12568</v>
      </c>
      <c r="W3649" t="s">
        <v>16173</v>
      </c>
      <c r="X3649">
        <v>14</v>
      </c>
      <c r="Y3649" t="s">
        <v>22296</v>
      </c>
      <c r="Z3649" t="s">
        <v>28519</v>
      </c>
      <c r="AA3649">
        <v>0.39620043058501458</v>
      </c>
      <c r="AB3649" t="str">
        <f>HYPERLINK("Melting_Curves/meltCurve_Q6P1N0_CC2D1A.pdf", "Melting_Curves/meltCurve_Q6P1N0_CC2D1A.pdf")</f>
        <v>Melting_Curves/meltCurve_Q6P1N0_CC2D1A.pdf</v>
      </c>
    </row>
    <row r="3650" spans="1:28" x14ac:dyDescent="0.25">
      <c r="A3650" t="s">
        <v>3654</v>
      </c>
      <c r="B3650">
        <v>0.99352677808782597</v>
      </c>
      <c r="C3650">
        <v>0.932691812809473</v>
      </c>
      <c r="D3650">
        <v>0.93725905154186195</v>
      </c>
      <c r="E3650">
        <v>0.86999471833949804</v>
      </c>
      <c r="F3650">
        <v>0.76819500303972499</v>
      </c>
      <c r="G3650">
        <v>0.751288166182846</v>
      </c>
      <c r="H3650">
        <v>0.452351489534082</v>
      </c>
      <c r="I3650">
        <v>0.14160060740546401</v>
      </c>
      <c r="J3650">
        <v>7.6639285497481599E-2</v>
      </c>
      <c r="K3650">
        <v>7.2897965576661505E-2</v>
      </c>
      <c r="L3650">
        <v>972.25755208919099</v>
      </c>
      <c r="M3650">
        <v>16.4090988889789</v>
      </c>
      <c r="N3650">
        <v>59.251124343685802</v>
      </c>
      <c r="O3650">
        <v>58.392102489744097</v>
      </c>
      <c r="P3650">
        <v>-7.0258920505705799E-2</v>
      </c>
      <c r="Q3650">
        <v>0</v>
      </c>
      <c r="R3650">
        <v>0.96156794924627198</v>
      </c>
      <c r="S3650" t="s">
        <v>9935</v>
      </c>
      <c r="T3650" t="s">
        <v>12568</v>
      </c>
      <c r="U3650" t="s">
        <v>12568</v>
      </c>
      <c r="V3650" t="s">
        <v>12568</v>
      </c>
      <c r="W3650" t="s">
        <v>16174</v>
      </c>
      <c r="X3650">
        <v>19</v>
      </c>
      <c r="Y3650" t="s">
        <v>22297</v>
      </c>
      <c r="Z3650" t="s">
        <v>28520</v>
      </c>
      <c r="AA3650">
        <v>0.65174780412706967</v>
      </c>
      <c r="AB3650" t="str">
        <f>HYPERLINK("Melting_Curves/meltCurve_Q6P1N9_TATDN1.pdf", "Melting_Curves/meltCurve_Q6P1N9_TATDN1.pdf")</f>
        <v>Melting_Curves/meltCurve_Q6P1N9_TATDN1.pdf</v>
      </c>
    </row>
    <row r="3651" spans="1:28" x14ac:dyDescent="0.25">
      <c r="A3651" t="s">
        <v>3655</v>
      </c>
      <c r="B3651">
        <v>0.99352677808782597</v>
      </c>
      <c r="C3651">
        <v>0.83843760294837399</v>
      </c>
      <c r="D3651">
        <v>0.59269616605625097</v>
      </c>
      <c r="E3651">
        <v>0.241444842723224</v>
      </c>
      <c r="F3651">
        <v>0.20048020394651</v>
      </c>
      <c r="G3651">
        <v>0.124230040270806</v>
      </c>
      <c r="H3651">
        <v>0.116179667377591</v>
      </c>
      <c r="I3651">
        <v>0.15637645202132999</v>
      </c>
      <c r="J3651">
        <v>8.3866291007920896E-2</v>
      </c>
      <c r="K3651">
        <v>7.02282618212339E-2</v>
      </c>
      <c r="L3651">
        <v>952.47361971036196</v>
      </c>
      <c r="M3651">
        <v>20.575372002443999</v>
      </c>
      <c r="N3651">
        <v>46.838718597348397</v>
      </c>
      <c r="O3651">
        <v>45.8612984920101</v>
      </c>
      <c r="P3651">
        <v>-0.10018936513379</v>
      </c>
      <c r="Q3651">
        <v>0.106761041070455</v>
      </c>
      <c r="R3651">
        <v>0.99334644502455005</v>
      </c>
      <c r="S3651" t="s">
        <v>9936</v>
      </c>
      <c r="T3651" t="s">
        <v>12568</v>
      </c>
      <c r="U3651" t="s">
        <v>12568</v>
      </c>
      <c r="V3651" t="s">
        <v>12568</v>
      </c>
      <c r="W3651" t="s">
        <v>16175</v>
      </c>
      <c r="X3651">
        <v>7</v>
      </c>
      <c r="Y3651" t="s">
        <v>22298</v>
      </c>
      <c r="Z3651" t="s">
        <v>28521</v>
      </c>
      <c r="AA3651">
        <v>0.30680205205966887</v>
      </c>
      <c r="AB3651" t="str">
        <f>HYPERLINK("Melting_Curves/meltCurve_Q6P1Q9_METTL2B.pdf", "Melting_Curves/meltCurve_Q6P1Q9_METTL2B.pdf")</f>
        <v>Melting_Curves/meltCurve_Q6P1Q9_METTL2B.pdf</v>
      </c>
    </row>
    <row r="3652" spans="1:28" x14ac:dyDescent="0.25">
      <c r="A3652" t="s">
        <v>3656</v>
      </c>
      <c r="B3652">
        <v>0.99352677808782597</v>
      </c>
      <c r="C3652">
        <v>0.89065898389534204</v>
      </c>
      <c r="D3652">
        <v>0.77591828056031298</v>
      </c>
      <c r="E3652">
        <v>0.30309400871231601</v>
      </c>
      <c r="F3652">
        <v>0.25017899256543802</v>
      </c>
      <c r="G3652">
        <v>0.182254605041929</v>
      </c>
      <c r="H3652">
        <v>0.14269655947446999</v>
      </c>
      <c r="I3652">
        <v>0.13821626004826801</v>
      </c>
      <c r="J3652">
        <v>0.113800354160109</v>
      </c>
      <c r="K3652">
        <v>8.8937494697284694E-2</v>
      </c>
      <c r="L3652">
        <v>1069.51069917259</v>
      </c>
      <c r="M3652">
        <v>22.427494888098899</v>
      </c>
      <c r="N3652">
        <v>48.322347236412703</v>
      </c>
      <c r="O3652">
        <v>47.313197446371603</v>
      </c>
      <c r="P3652">
        <v>-0.10338553263797801</v>
      </c>
      <c r="Q3652">
        <v>0.12760667543335499</v>
      </c>
      <c r="R3652">
        <v>0.99022641996159699</v>
      </c>
      <c r="S3652" t="s">
        <v>9937</v>
      </c>
      <c r="T3652" t="s">
        <v>12568</v>
      </c>
      <c r="U3652" t="s">
        <v>12568</v>
      </c>
      <c r="V3652" t="s">
        <v>12568</v>
      </c>
      <c r="W3652" t="s">
        <v>16176</v>
      </c>
      <c r="X3652">
        <v>10</v>
      </c>
      <c r="Y3652" t="s">
        <v>22299</v>
      </c>
      <c r="Z3652" t="s">
        <v>28522</v>
      </c>
      <c r="AA3652">
        <v>0.36091269537583931</v>
      </c>
      <c r="AB3652" t="str">
        <f>HYPERLINK("Melting_Curves/meltCurve_Q6P1R4_DUS1L.pdf", "Melting_Curves/meltCurve_Q6P1R4_DUS1L.pdf")</f>
        <v>Melting_Curves/meltCurve_Q6P1R4_DUS1L.pdf</v>
      </c>
    </row>
    <row r="3653" spans="1:28" x14ac:dyDescent="0.25">
      <c r="A3653" t="s">
        <v>3657</v>
      </c>
      <c r="B3653">
        <v>0.99352677808782597</v>
      </c>
      <c r="C3653">
        <v>1.12747455486782</v>
      </c>
      <c r="D3653">
        <v>0.78654906709941996</v>
      </c>
      <c r="E3653">
        <v>0.62987231057652504</v>
      </c>
      <c r="F3653">
        <v>0.59145169356401195</v>
      </c>
      <c r="G3653">
        <v>0.29095091468073297</v>
      </c>
      <c r="H3653">
        <v>0.30590830001302899</v>
      </c>
      <c r="I3653">
        <v>0.30679091026917499</v>
      </c>
      <c r="J3653">
        <v>0.33152074294172401</v>
      </c>
      <c r="K3653">
        <v>0.274257931486034</v>
      </c>
      <c r="L3653">
        <v>853.64965694638897</v>
      </c>
      <c r="M3653">
        <v>16.973322637242099</v>
      </c>
      <c r="N3653">
        <v>52.881503032899197</v>
      </c>
      <c r="O3653">
        <v>49.611055319679302</v>
      </c>
      <c r="P3653">
        <v>-6.1406065666491601E-2</v>
      </c>
      <c r="Q3653">
        <v>0.28211339741439401</v>
      </c>
      <c r="R3653">
        <v>0.94092838407162904</v>
      </c>
      <c r="S3653" t="s">
        <v>9938</v>
      </c>
      <c r="T3653" t="s">
        <v>12568</v>
      </c>
      <c r="U3653" t="s">
        <v>12568</v>
      </c>
      <c r="V3653" t="s">
        <v>12568</v>
      </c>
      <c r="W3653" t="s">
        <v>16177</v>
      </c>
      <c r="X3653">
        <v>1</v>
      </c>
      <c r="Y3653" t="s">
        <v>22300</v>
      </c>
      <c r="Z3653" t="s">
        <v>28523</v>
      </c>
      <c r="AA3653">
        <v>0.54203374334738941</v>
      </c>
      <c r="AB3653" t="str">
        <f>HYPERLINK("Melting_Curves/meltCurve_Q6P1X5_TAF2.pdf", "Melting_Curves/meltCurve_Q6P1X5_TAF2.pdf")</f>
        <v>Melting_Curves/meltCurve_Q6P1X5_TAF2.pdf</v>
      </c>
    </row>
    <row r="3654" spans="1:28" x14ac:dyDescent="0.25">
      <c r="A3654" t="s">
        <v>3658</v>
      </c>
      <c r="B3654">
        <v>0.99352677808782597</v>
      </c>
      <c r="C3654">
        <v>0.95696337091046002</v>
      </c>
      <c r="D3654">
        <v>1.0157186125159701</v>
      </c>
      <c r="E3654">
        <v>0.71158521344085901</v>
      </c>
      <c r="F3654">
        <v>0.64494555878606896</v>
      </c>
      <c r="G3654">
        <v>0.36330953628761098</v>
      </c>
      <c r="H3654">
        <v>0.102439279101372</v>
      </c>
      <c r="I3654">
        <v>0.11085686330849</v>
      </c>
      <c r="J3654">
        <v>8.8727252136004797E-2</v>
      </c>
      <c r="K3654">
        <v>8.47127857307899E-2</v>
      </c>
      <c r="L3654">
        <v>868.92257536170496</v>
      </c>
      <c r="M3654">
        <v>16.0627490746474</v>
      </c>
      <c r="N3654">
        <v>54.355415656529601</v>
      </c>
      <c r="O3654">
        <v>53.277900351812001</v>
      </c>
      <c r="P3654">
        <v>-7.2591941110443495E-2</v>
      </c>
      <c r="Q3654">
        <v>3.69649507801793E-2</v>
      </c>
      <c r="R3654">
        <v>0.98521909267019303</v>
      </c>
      <c r="S3654" t="s">
        <v>9939</v>
      </c>
      <c r="T3654" t="s">
        <v>12568</v>
      </c>
      <c r="U3654" t="s">
        <v>12568</v>
      </c>
      <c r="V3654" t="s">
        <v>12568</v>
      </c>
      <c r="W3654" t="s">
        <v>16178</v>
      </c>
      <c r="X3654">
        <v>4</v>
      </c>
      <c r="Y3654" t="s">
        <v>22301</v>
      </c>
      <c r="Z3654" t="s">
        <v>28524</v>
      </c>
      <c r="AA3654">
        <v>0.5074641593910888</v>
      </c>
      <c r="AB3654" t="str">
        <f>HYPERLINK("Melting_Curves/meltCurve_Q6P1X6_C8orf82.pdf", "Melting_Curves/meltCurve_Q6P1X6_C8orf82.pdf")</f>
        <v>Melting_Curves/meltCurve_Q6P1X6_C8orf82.pdf</v>
      </c>
    </row>
    <row r="3655" spans="1:28" x14ac:dyDescent="0.25">
      <c r="A3655" t="s">
        <v>3659</v>
      </c>
      <c r="B3655">
        <v>0.99352677808782597</v>
      </c>
      <c r="C3655">
        <v>1.0088458438819501</v>
      </c>
      <c r="D3655">
        <v>0.95854891276573795</v>
      </c>
      <c r="E3655">
        <v>0.78584311563731601</v>
      </c>
      <c r="F3655">
        <v>0.71300249762708801</v>
      </c>
      <c r="G3655">
        <v>0.41268912204402902</v>
      </c>
      <c r="H3655">
        <v>0.267903617303694</v>
      </c>
      <c r="I3655">
        <v>0.202772784004429</v>
      </c>
      <c r="J3655">
        <v>0.16653715539282701</v>
      </c>
      <c r="K3655">
        <v>0.124383523930943</v>
      </c>
      <c r="L3655">
        <v>800.16422052640405</v>
      </c>
      <c r="M3655">
        <v>14.546757043025799</v>
      </c>
      <c r="N3655">
        <v>55.806843251695099</v>
      </c>
      <c r="O3655">
        <v>53.998199287022601</v>
      </c>
      <c r="P3655">
        <v>-6.1013628794829501E-2</v>
      </c>
      <c r="Q3655">
        <v>9.4162133756918606E-2</v>
      </c>
      <c r="R3655">
        <v>0.99576361959578696</v>
      </c>
      <c r="S3655" t="s">
        <v>9940</v>
      </c>
      <c r="T3655" t="s">
        <v>12568</v>
      </c>
      <c r="U3655" t="s">
        <v>12568</v>
      </c>
      <c r="V3655" t="s">
        <v>12568</v>
      </c>
      <c r="W3655" t="s">
        <v>16179</v>
      </c>
      <c r="X3655">
        <v>29</v>
      </c>
      <c r="Y3655" t="s">
        <v>22302</v>
      </c>
      <c r="Z3655" t="s">
        <v>28525</v>
      </c>
      <c r="AA3655">
        <v>0.56529634305104159</v>
      </c>
      <c r="AB3655" t="str">
        <f>HYPERLINK("Melting_Curves/meltCurve_Q6P2E9_EDC4.pdf", "Melting_Curves/meltCurve_Q6P2E9_EDC4.pdf")</f>
        <v>Melting_Curves/meltCurve_Q6P2E9_EDC4.pdf</v>
      </c>
    </row>
    <row r="3656" spans="1:28" x14ac:dyDescent="0.25">
      <c r="A3656" t="s">
        <v>3660</v>
      </c>
      <c r="B3656">
        <v>0.99352677808782597</v>
      </c>
      <c r="C3656">
        <v>0.97484260461565297</v>
      </c>
      <c r="D3656">
        <v>0.98057113052512601</v>
      </c>
      <c r="E3656">
        <v>0.77591720307683198</v>
      </c>
      <c r="F3656">
        <v>0.69218611027832599</v>
      </c>
      <c r="G3656">
        <v>0.50526499780763401</v>
      </c>
      <c r="H3656">
        <v>0.38655423952030499</v>
      </c>
      <c r="I3656">
        <v>0.312408933258147</v>
      </c>
      <c r="J3656">
        <v>0.303786356409042</v>
      </c>
      <c r="K3656">
        <v>0.32687354512683803</v>
      </c>
      <c r="L3656">
        <v>785.85335209175003</v>
      </c>
      <c r="M3656">
        <v>14.6329660479986</v>
      </c>
      <c r="N3656">
        <v>56.8470033364001</v>
      </c>
      <c r="O3656">
        <v>52.731228003754403</v>
      </c>
      <c r="P3656">
        <v>-5.0140333421983499E-2</v>
      </c>
      <c r="Q3656">
        <v>0.27733938551034198</v>
      </c>
      <c r="R3656">
        <v>0.99319136258016405</v>
      </c>
      <c r="S3656" t="s">
        <v>9941</v>
      </c>
      <c r="T3656" t="s">
        <v>12568</v>
      </c>
      <c r="U3656" t="s">
        <v>12568</v>
      </c>
      <c r="V3656" t="s">
        <v>12568</v>
      </c>
      <c r="W3656" t="s">
        <v>16180</v>
      </c>
      <c r="X3656">
        <v>3</v>
      </c>
      <c r="Y3656" t="s">
        <v>22303</v>
      </c>
      <c r="Z3656" t="s">
        <v>28526</v>
      </c>
      <c r="AA3656">
        <v>0.6229959551983929</v>
      </c>
      <c r="AB3656" t="str">
        <f>HYPERLINK("Melting_Curves/meltCurve_Q6P2H3_2_CEP85.pdf", "Melting_Curves/meltCurve_Q6P2H3_2_CEP85.pdf")</f>
        <v>Melting_Curves/meltCurve_Q6P2H3_2_CEP85.pdf</v>
      </c>
    </row>
    <row r="3657" spans="1:28" x14ac:dyDescent="0.25">
      <c r="A3657" t="s">
        <v>3661</v>
      </c>
      <c r="B3657">
        <v>0.99352677808782597</v>
      </c>
      <c r="C3657">
        <v>1.0527955332621499</v>
      </c>
      <c r="D3657">
        <v>0.94757705778216295</v>
      </c>
      <c r="E3657">
        <v>0.51931807792380402</v>
      </c>
      <c r="F3657">
        <v>0.41060701155651302</v>
      </c>
      <c r="G3657">
        <v>0.225910730536345</v>
      </c>
      <c r="H3657">
        <v>0.12063475989197101</v>
      </c>
      <c r="I3657">
        <v>0.106556941131646</v>
      </c>
      <c r="J3657">
        <v>8.3189369481895703E-2</v>
      </c>
      <c r="K3657">
        <v>6.9501891268075794E-2</v>
      </c>
      <c r="L3657">
        <v>974.11188743944604</v>
      </c>
      <c r="M3657">
        <v>19.205191092250999</v>
      </c>
      <c r="N3657">
        <v>51.240766865579701</v>
      </c>
      <c r="O3657">
        <v>50.180956740474798</v>
      </c>
      <c r="P3657">
        <v>-8.7219073004948494E-2</v>
      </c>
      <c r="Q3657">
        <v>8.8461178794699405E-2</v>
      </c>
      <c r="R3657">
        <v>0.98517741546898097</v>
      </c>
      <c r="S3657" t="s">
        <v>9942</v>
      </c>
      <c r="T3657" t="s">
        <v>12568</v>
      </c>
      <c r="U3657" t="s">
        <v>12568</v>
      </c>
      <c r="V3657" t="s">
        <v>12568</v>
      </c>
      <c r="W3657" t="s">
        <v>16181</v>
      </c>
      <c r="X3657">
        <v>11</v>
      </c>
      <c r="Y3657" t="s">
        <v>22304</v>
      </c>
      <c r="Z3657" t="s">
        <v>28527</v>
      </c>
      <c r="AA3657">
        <v>0.42789006286031739</v>
      </c>
      <c r="AB3657" t="str">
        <f>HYPERLINK("Melting_Curves/meltCurve_Q6P2P2_PRMT10.pdf", "Melting_Curves/meltCurve_Q6P2P2_PRMT10.pdf")</f>
        <v>Melting_Curves/meltCurve_Q6P2P2_PRMT10.pdf</v>
      </c>
    </row>
    <row r="3658" spans="1:28" x14ac:dyDescent="0.25">
      <c r="A3658" t="s">
        <v>3662</v>
      </c>
      <c r="B3658">
        <v>0.99352677808782597</v>
      </c>
      <c r="C3658">
        <v>0.88719141498693699</v>
      </c>
      <c r="D3658">
        <v>0.97700698936499797</v>
      </c>
      <c r="E3658">
        <v>0.68936257756142305</v>
      </c>
      <c r="F3658">
        <v>0.57560573832671003</v>
      </c>
      <c r="G3658">
        <v>0.295702388779987</v>
      </c>
      <c r="H3658">
        <v>0.18308850027339599</v>
      </c>
      <c r="I3658">
        <v>0.17812802411638101</v>
      </c>
      <c r="J3658">
        <v>0.138336567429001</v>
      </c>
      <c r="K3658">
        <v>0.103929336439818</v>
      </c>
      <c r="L3658">
        <v>801.03098343287297</v>
      </c>
      <c r="M3658">
        <v>15.1627030280157</v>
      </c>
      <c r="N3658">
        <v>53.565389103074097</v>
      </c>
      <c r="O3658">
        <v>51.9356935698667</v>
      </c>
      <c r="P3658">
        <v>-6.6127972157939197E-2</v>
      </c>
      <c r="Q3658">
        <v>9.4074585305685396E-2</v>
      </c>
      <c r="R3658">
        <v>0.98635916313838001</v>
      </c>
      <c r="S3658" t="s">
        <v>9943</v>
      </c>
      <c r="T3658" t="s">
        <v>12568</v>
      </c>
      <c r="U3658" t="s">
        <v>12568</v>
      </c>
      <c r="V3658" t="s">
        <v>12568</v>
      </c>
      <c r="W3658" t="s">
        <v>16182</v>
      </c>
      <c r="X3658">
        <v>25</v>
      </c>
      <c r="Y3658" t="s">
        <v>22305</v>
      </c>
      <c r="Z3658" t="s">
        <v>28528</v>
      </c>
      <c r="AA3658">
        <v>0.50081341799510126</v>
      </c>
      <c r="AB3658" t="str">
        <f>HYPERLINK("Melting_Curves/meltCurve_Q6P2Q9_PRPF8.pdf", "Melting_Curves/meltCurve_Q6P2Q9_PRPF8.pdf")</f>
        <v>Melting_Curves/meltCurve_Q6P2Q9_PRPF8.pdf</v>
      </c>
    </row>
    <row r="3659" spans="1:28" x14ac:dyDescent="0.25">
      <c r="A3659" t="s">
        <v>3663</v>
      </c>
      <c r="B3659">
        <v>0.99352677808782597</v>
      </c>
      <c r="C3659">
        <v>1.02656900072791</v>
      </c>
      <c r="D3659">
        <v>1.03511733379186</v>
      </c>
      <c r="E3659">
        <v>0.50141534787477104</v>
      </c>
      <c r="F3659">
        <v>0.40201908947980902</v>
      </c>
      <c r="G3659">
        <v>0.18260258931666701</v>
      </c>
      <c r="H3659">
        <v>0.12942941718082299</v>
      </c>
      <c r="I3659">
        <v>0.133177357323572</v>
      </c>
      <c r="J3659">
        <v>0.13544489695442599</v>
      </c>
      <c r="K3659">
        <v>0.10392861935879499</v>
      </c>
      <c r="L3659">
        <v>1277.6934251231901</v>
      </c>
      <c r="M3659">
        <v>25.4138161943259</v>
      </c>
      <c r="N3659">
        <v>50.889360483468103</v>
      </c>
      <c r="O3659">
        <v>49.967351900178301</v>
      </c>
      <c r="P3659">
        <v>-0.11036891009845801</v>
      </c>
      <c r="Q3659">
        <v>0.13200403860323101</v>
      </c>
      <c r="R3659">
        <v>0.978983500779667</v>
      </c>
      <c r="S3659" t="s">
        <v>9944</v>
      </c>
      <c r="T3659" t="s">
        <v>12568</v>
      </c>
      <c r="U3659" t="s">
        <v>12568</v>
      </c>
      <c r="V3659" t="s">
        <v>12568</v>
      </c>
      <c r="W3659" t="s">
        <v>16183</v>
      </c>
      <c r="X3659">
        <v>2</v>
      </c>
      <c r="Y3659" t="s">
        <v>22306</v>
      </c>
      <c r="Z3659" t="s">
        <v>28529</v>
      </c>
      <c r="AA3659">
        <v>0.43683720619442568</v>
      </c>
      <c r="AB3659" t="str">
        <f>HYPERLINK("Melting_Curves/meltCurve_Q6P3S6_FBXO42.pdf", "Melting_Curves/meltCurve_Q6P3S6_FBXO42.pdf")</f>
        <v>Melting_Curves/meltCurve_Q6P3S6_FBXO42.pdf</v>
      </c>
    </row>
    <row r="3660" spans="1:28" x14ac:dyDescent="0.25">
      <c r="A3660" t="s">
        <v>3664</v>
      </c>
      <c r="B3660">
        <v>0.99352677808782597</v>
      </c>
      <c r="C3660">
        <v>1.04016521527068</v>
      </c>
      <c r="D3660">
        <v>0.97806527250610698</v>
      </c>
      <c r="E3660">
        <v>0.81700200585614702</v>
      </c>
      <c r="F3660">
        <v>0.62727190073418904</v>
      </c>
      <c r="G3660">
        <v>0.25385394251058802</v>
      </c>
      <c r="H3660">
        <v>0.102954500271323</v>
      </c>
      <c r="I3660">
        <v>9.6256764109714996E-2</v>
      </c>
      <c r="J3660">
        <v>7.4688870929271206E-2</v>
      </c>
      <c r="K3660">
        <v>5.7736446850290599E-2</v>
      </c>
      <c r="L3660">
        <v>1177.8543967508101</v>
      </c>
      <c r="M3660">
        <v>21.911972068034199</v>
      </c>
      <c r="N3660">
        <v>54.040072026686602</v>
      </c>
      <c r="O3660">
        <v>53.312216574025797</v>
      </c>
      <c r="P3660">
        <v>-9.7127068951170001E-2</v>
      </c>
      <c r="Q3660">
        <v>5.4773915276735502E-2</v>
      </c>
      <c r="R3660">
        <v>0.99739105060232602</v>
      </c>
      <c r="S3660" t="s">
        <v>9945</v>
      </c>
      <c r="T3660" t="s">
        <v>12568</v>
      </c>
      <c r="U3660" t="s">
        <v>12568</v>
      </c>
      <c r="V3660" t="s">
        <v>12568</v>
      </c>
      <c r="W3660" t="s">
        <v>16184</v>
      </c>
      <c r="X3660">
        <v>13</v>
      </c>
      <c r="Y3660" t="s">
        <v>22307</v>
      </c>
      <c r="Z3660" t="s">
        <v>28530</v>
      </c>
      <c r="AA3660">
        <v>0.49918349167393661</v>
      </c>
      <c r="AB3660" t="str">
        <f>HYPERLINK("Melting_Curves/meltCurve_Q6P3W7_SCYL2.pdf", "Melting_Curves/meltCurve_Q6P3W7_SCYL2.pdf")</f>
        <v>Melting_Curves/meltCurve_Q6P3W7_SCYL2.pdf</v>
      </c>
    </row>
    <row r="3661" spans="1:28" x14ac:dyDescent="0.25">
      <c r="A3661" t="s">
        <v>3665</v>
      </c>
      <c r="B3661">
        <v>0.99352677808782597</v>
      </c>
      <c r="C3661">
        <v>0.94405230795774697</v>
      </c>
      <c r="D3661">
        <v>0.76994928204240398</v>
      </c>
      <c r="E3661">
        <v>0.25588627644377299</v>
      </c>
      <c r="F3661">
        <v>0.199870176003797</v>
      </c>
      <c r="G3661">
        <v>0.12224953457615099</v>
      </c>
      <c r="H3661">
        <v>8.6207184875388504E-2</v>
      </c>
      <c r="I3661">
        <v>8.2707815765195702E-2</v>
      </c>
      <c r="J3661">
        <v>6.6923036164068694E-2</v>
      </c>
      <c r="K3661">
        <v>4.78364433847311E-2</v>
      </c>
      <c r="L3661">
        <v>1257.81128289855</v>
      </c>
      <c r="M3661">
        <v>26.355428315106298</v>
      </c>
      <c r="N3661">
        <v>48.055039469083702</v>
      </c>
      <c r="O3661">
        <v>47.452722114986003</v>
      </c>
      <c r="P3661">
        <v>-0.127355673086991</v>
      </c>
      <c r="Q3661">
        <v>8.2798862111763599E-2</v>
      </c>
      <c r="R3661">
        <v>0.99455952024426497</v>
      </c>
      <c r="S3661" t="s">
        <v>9946</v>
      </c>
      <c r="T3661" t="s">
        <v>12568</v>
      </c>
      <c r="U3661" t="s">
        <v>12568</v>
      </c>
      <c r="V3661" t="s">
        <v>12568</v>
      </c>
      <c r="W3661" t="s">
        <v>16185</v>
      </c>
      <c r="X3661">
        <v>18</v>
      </c>
      <c r="Y3661" t="s">
        <v>22308</v>
      </c>
      <c r="Z3661" t="s">
        <v>28531</v>
      </c>
      <c r="AA3661">
        <v>0.32622544135199621</v>
      </c>
      <c r="AB3661" t="str">
        <f>HYPERLINK("Melting_Curves/meltCurve_Q6P3X3_TTC27.pdf", "Melting_Curves/meltCurve_Q6P3X3_TTC27.pdf")</f>
        <v>Melting_Curves/meltCurve_Q6P3X3_TTC27.pdf</v>
      </c>
    </row>
    <row r="3662" spans="1:28" x14ac:dyDescent="0.25">
      <c r="A3662" t="s">
        <v>3666</v>
      </c>
      <c r="B3662">
        <v>0.99352677808782597</v>
      </c>
      <c r="C3662">
        <v>0.96547781761746099</v>
      </c>
      <c r="D3662">
        <v>0.88675649693029401</v>
      </c>
      <c r="E3662">
        <v>0.48179368690604002</v>
      </c>
      <c r="F3662">
        <v>0.39545771118824102</v>
      </c>
      <c r="G3662">
        <v>0.32573538551604603</v>
      </c>
      <c r="H3662">
        <v>0.26655569866982698</v>
      </c>
      <c r="I3662">
        <v>0.28855459479183798</v>
      </c>
      <c r="J3662">
        <v>0.28219585108566198</v>
      </c>
      <c r="K3662">
        <v>0.23674142319642399</v>
      </c>
      <c r="L3662">
        <v>1228.9930417764299</v>
      </c>
      <c r="M3662">
        <v>25.279573763124599</v>
      </c>
      <c r="N3662">
        <v>50.228649651170201</v>
      </c>
      <c r="O3662">
        <v>48.3148831538387</v>
      </c>
      <c r="P3662">
        <v>-9.4452768223337605E-2</v>
      </c>
      <c r="Q3662">
        <v>0.27792828697185901</v>
      </c>
      <c r="R3662">
        <v>0.99249634616153903</v>
      </c>
      <c r="S3662" t="s">
        <v>9947</v>
      </c>
      <c r="T3662" t="s">
        <v>12568</v>
      </c>
      <c r="U3662" t="s">
        <v>12568</v>
      </c>
      <c r="V3662" t="s">
        <v>12568</v>
      </c>
      <c r="W3662" t="s">
        <v>16186</v>
      </c>
      <c r="X3662">
        <v>4</v>
      </c>
      <c r="Y3662" t="s">
        <v>22309</v>
      </c>
      <c r="Z3662" t="s">
        <v>28532</v>
      </c>
      <c r="AA3662">
        <v>0.49154820480141059</v>
      </c>
      <c r="AB3662" t="str">
        <f>HYPERLINK("Melting_Curves/meltCurve_Q6P4F2_FDX1L.pdf", "Melting_Curves/meltCurve_Q6P4F2_FDX1L.pdf")</f>
        <v>Melting_Curves/meltCurve_Q6P4F2_FDX1L.pdf</v>
      </c>
    </row>
    <row r="3663" spans="1:28" x14ac:dyDescent="0.25">
      <c r="A3663" t="s">
        <v>3667</v>
      </c>
      <c r="B3663">
        <v>0.99352677808782597</v>
      </c>
      <c r="C3663">
        <v>0.972917135609631</v>
      </c>
      <c r="D3663">
        <v>0.88251910792074495</v>
      </c>
      <c r="E3663">
        <v>0.91125698463765903</v>
      </c>
      <c r="F3663">
        <v>0.84375486954165901</v>
      </c>
      <c r="G3663">
        <v>0.67309229168695395</v>
      </c>
      <c r="H3663">
        <v>0.52600205119802401</v>
      </c>
      <c r="I3663">
        <v>0.368327975104079</v>
      </c>
      <c r="J3663">
        <v>0.276457656620959</v>
      </c>
      <c r="K3663">
        <v>0.16563173013728899</v>
      </c>
      <c r="L3663">
        <v>652.03657858306894</v>
      </c>
      <c r="M3663">
        <v>10.706377528883401</v>
      </c>
      <c r="N3663">
        <v>60.901698730037502</v>
      </c>
      <c r="O3663">
        <v>58.892350222849799</v>
      </c>
      <c r="P3663">
        <v>-4.5465947505032397E-2</v>
      </c>
      <c r="Q3663">
        <v>0</v>
      </c>
      <c r="R3663">
        <v>0.98811309099814404</v>
      </c>
      <c r="S3663" t="s">
        <v>9948</v>
      </c>
      <c r="T3663" t="s">
        <v>12568</v>
      </c>
      <c r="U3663" t="s">
        <v>12568</v>
      </c>
      <c r="V3663" t="s">
        <v>12568</v>
      </c>
      <c r="W3663" t="s">
        <v>16187</v>
      </c>
      <c r="X3663">
        <v>5</v>
      </c>
      <c r="Y3663" t="s">
        <v>22310</v>
      </c>
      <c r="Z3663" t="s">
        <v>28533</v>
      </c>
      <c r="AA3663">
        <v>0.6886969336554688</v>
      </c>
      <c r="AB3663" t="str">
        <f>HYPERLINK("Melting_Curves/meltCurve_Q6P4G0_RECQL5.pdf", "Melting_Curves/meltCurve_Q6P4G0_RECQL5.pdf")</f>
        <v>Melting_Curves/meltCurve_Q6P4G0_RECQL5.pdf</v>
      </c>
    </row>
    <row r="3664" spans="1:28" x14ac:dyDescent="0.25">
      <c r="A3664" t="s">
        <v>3668</v>
      </c>
      <c r="B3664">
        <v>0.99352677808782597</v>
      </c>
      <c r="C3664">
        <v>0.97200924874123296</v>
      </c>
      <c r="D3664">
        <v>0.95867645009619995</v>
      </c>
      <c r="E3664">
        <v>0.78512866462715203</v>
      </c>
      <c r="F3664">
        <v>0.81728880943197801</v>
      </c>
      <c r="G3664">
        <v>0.437545736717387</v>
      </c>
      <c r="H3664">
        <v>0.37586491279551398</v>
      </c>
      <c r="I3664">
        <v>0.65620854756332703</v>
      </c>
      <c r="J3664">
        <v>0.16260287672909399</v>
      </c>
      <c r="K3664">
        <v>0.12289296746053401</v>
      </c>
      <c r="L3664">
        <v>511.91714969709301</v>
      </c>
      <c r="M3664">
        <v>8.6519700851792791</v>
      </c>
      <c r="N3664">
        <v>59.1676974304659</v>
      </c>
      <c r="O3664">
        <v>56.261573929582802</v>
      </c>
      <c r="P3664">
        <v>-3.8477695995085701E-2</v>
      </c>
      <c r="Q3664">
        <v>0</v>
      </c>
      <c r="R3664">
        <v>0.84755583081700103</v>
      </c>
      <c r="S3664" t="s">
        <v>9949</v>
      </c>
      <c r="T3664" t="s">
        <v>12568</v>
      </c>
      <c r="U3664" t="s">
        <v>12568</v>
      </c>
      <c r="V3664" t="s">
        <v>12568</v>
      </c>
      <c r="W3664" t="s">
        <v>16188</v>
      </c>
      <c r="X3664">
        <v>8</v>
      </c>
      <c r="Y3664" t="s">
        <v>22311</v>
      </c>
      <c r="Z3664" t="s">
        <v>28534</v>
      </c>
      <c r="AA3664">
        <v>0.63552494271248205</v>
      </c>
      <c r="AB3664" t="str">
        <f>HYPERLINK("Melting_Curves/meltCurve_Q6P4I2_WDR73.pdf", "Melting_Curves/meltCurve_Q6P4I2_WDR73.pdf")</f>
        <v>Melting_Curves/meltCurve_Q6P4I2_WDR73.pdf</v>
      </c>
    </row>
    <row r="3665" spans="1:28" x14ac:dyDescent="0.25">
      <c r="A3665" t="s">
        <v>3669</v>
      </c>
      <c r="B3665">
        <v>0.99352677808782597</v>
      </c>
      <c r="C3665">
        <v>0.97087733940204002</v>
      </c>
      <c r="D3665">
        <v>0.95021741979397401</v>
      </c>
      <c r="E3665">
        <v>0.83001872535996901</v>
      </c>
      <c r="F3665">
        <v>0.68908505496747696</v>
      </c>
      <c r="G3665">
        <v>0.54140004157176203</v>
      </c>
      <c r="H3665">
        <v>0.50019238981220604</v>
      </c>
      <c r="I3665">
        <v>0.49040771939356198</v>
      </c>
      <c r="J3665">
        <v>0.52277634309443</v>
      </c>
      <c r="K3665">
        <v>0.48208163004629401</v>
      </c>
      <c r="L3665">
        <v>1034.9716242992099</v>
      </c>
      <c r="M3665">
        <v>20.0313921038871</v>
      </c>
      <c r="N3665">
        <v>63.185928371751999</v>
      </c>
      <c r="O3665">
        <v>51.160823663341397</v>
      </c>
      <c r="P3665">
        <v>-5.0213854054444403E-2</v>
      </c>
      <c r="Q3665">
        <v>0.48702535987488998</v>
      </c>
      <c r="R3665">
        <v>0.995380514915577</v>
      </c>
      <c r="S3665" t="s">
        <v>9950</v>
      </c>
      <c r="T3665" t="s">
        <v>12568</v>
      </c>
      <c r="U3665" t="s">
        <v>12568</v>
      </c>
      <c r="V3665" t="s">
        <v>12568</v>
      </c>
      <c r="W3665" t="s">
        <v>16189</v>
      </c>
      <c r="X3665">
        <v>6</v>
      </c>
      <c r="Y3665" t="s">
        <v>22312</v>
      </c>
      <c r="Z3665" t="s">
        <v>28535</v>
      </c>
      <c r="AA3665">
        <v>0.69361691818242099</v>
      </c>
      <c r="AB3665" t="str">
        <f>HYPERLINK("Melting_Curves/meltCurve_Q6P4R8_3_NFRKB.pdf", "Melting_Curves/meltCurve_Q6P4R8_3_NFRKB.pdf")</f>
        <v>Melting_Curves/meltCurve_Q6P4R8_3_NFRKB.pdf</v>
      </c>
    </row>
    <row r="3666" spans="1:28" x14ac:dyDescent="0.25">
      <c r="A3666" t="s">
        <v>3670</v>
      </c>
      <c r="B3666">
        <v>0.99352677808782597</v>
      </c>
      <c r="C3666">
        <v>1.02226915305655</v>
      </c>
      <c r="D3666">
        <v>1.03479482695642</v>
      </c>
      <c r="E3666">
        <v>1.0064629940476999</v>
      </c>
      <c r="F3666">
        <v>0.78513997470080699</v>
      </c>
      <c r="G3666">
        <v>0.71275510164981404</v>
      </c>
      <c r="H3666">
        <v>0.46865155956181698</v>
      </c>
      <c r="I3666">
        <v>0.507836081785903</v>
      </c>
      <c r="J3666">
        <v>0.53524179778197101</v>
      </c>
      <c r="K3666">
        <v>0.42316166508887398</v>
      </c>
      <c r="L3666">
        <v>1173.0379523496099</v>
      </c>
      <c r="M3666">
        <v>21.157060871149799</v>
      </c>
      <c r="N3666">
        <v>63.093819785764602</v>
      </c>
      <c r="O3666">
        <v>54.956076461378501</v>
      </c>
      <c r="P3666">
        <v>-5.1825185967175502E-2</v>
      </c>
      <c r="Q3666">
        <v>0.46154437716361502</v>
      </c>
      <c r="R3666">
        <v>0.96006509491991998</v>
      </c>
      <c r="S3666" t="s">
        <v>9951</v>
      </c>
      <c r="T3666" t="s">
        <v>12568</v>
      </c>
      <c r="U3666" t="s">
        <v>12568</v>
      </c>
      <c r="V3666" t="s">
        <v>12568</v>
      </c>
      <c r="W3666" t="s">
        <v>16190</v>
      </c>
      <c r="X3666">
        <v>5</v>
      </c>
      <c r="Y3666" t="s">
        <v>22313</v>
      </c>
      <c r="Z3666" t="s">
        <v>28536</v>
      </c>
      <c r="AA3666">
        <v>0.74525916804855608</v>
      </c>
      <c r="AB3666" t="str">
        <f>HYPERLINK("Melting_Curves/meltCurve_Q6P582_MZT2A.pdf", "Melting_Curves/meltCurve_Q6P582_MZT2A.pdf")</f>
        <v>Melting_Curves/meltCurve_Q6P582_MZT2A.pdf</v>
      </c>
    </row>
    <row r="3667" spans="1:28" x14ac:dyDescent="0.25">
      <c r="A3667" t="s">
        <v>3671</v>
      </c>
      <c r="B3667">
        <v>0.99352677808782597</v>
      </c>
      <c r="C3667">
        <v>0.97263708770749102</v>
      </c>
      <c r="D3667">
        <v>0.94085274777036998</v>
      </c>
      <c r="E3667">
        <v>0.81634711211833699</v>
      </c>
      <c r="F3667">
        <v>0.70370763883831</v>
      </c>
      <c r="G3667">
        <v>0.59293751805554995</v>
      </c>
      <c r="H3667">
        <v>0.55579395953777699</v>
      </c>
      <c r="I3667">
        <v>0.53552371993155101</v>
      </c>
      <c r="J3667">
        <v>0.56677780256020605</v>
      </c>
      <c r="K3667">
        <v>0.29456208952253699</v>
      </c>
      <c r="L3667">
        <v>461.57804414919599</v>
      </c>
      <c r="M3667">
        <v>8.1638289058281295</v>
      </c>
      <c r="N3667">
        <v>63.466430288174898</v>
      </c>
      <c r="O3667">
        <v>53.450682991453803</v>
      </c>
      <c r="P3667">
        <v>-2.69522813001896E-2</v>
      </c>
      <c r="Q3667">
        <v>0.29488523173610298</v>
      </c>
      <c r="R3667">
        <v>0.92392605830199803</v>
      </c>
      <c r="S3667" t="s">
        <v>9952</v>
      </c>
      <c r="T3667" t="s">
        <v>12568</v>
      </c>
      <c r="U3667" t="s">
        <v>12568</v>
      </c>
      <c r="V3667" t="s">
        <v>12568</v>
      </c>
      <c r="W3667" t="s">
        <v>16191</v>
      </c>
      <c r="X3667">
        <v>10</v>
      </c>
      <c r="Y3667" t="s">
        <v>22314</v>
      </c>
      <c r="Z3667" t="s">
        <v>28537</v>
      </c>
      <c r="AA3667">
        <v>0.69490849154206802</v>
      </c>
      <c r="AB3667" t="str">
        <f>HYPERLINK("Melting_Curves/meltCurve_Q6P587_FAHD1.pdf", "Melting_Curves/meltCurve_Q6P587_FAHD1.pdf")</f>
        <v>Melting_Curves/meltCurve_Q6P587_FAHD1.pdf</v>
      </c>
    </row>
    <row r="3668" spans="1:28" x14ac:dyDescent="0.25">
      <c r="A3668" t="s">
        <v>3672</v>
      </c>
      <c r="B3668">
        <v>0.99352677808782597</v>
      </c>
      <c r="C3668">
        <v>1.20744901199175</v>
      </c>
      <c r="D3668">
        <v>1.29401160996477</v>
      </c>
      <c r="E3668">
        <v>1.1157296713613001</v>
      </c>
      <c r="F3668">
        <v>1.04368135739987</v>
      </c>
      <c r="G3668">
        <v>0.98980432240060501</v>
      </c>
      <c r="H3668">
        <v>0.94419594504964899</v>
      </c>
      <c r="I3668">
        <v>0.95480811775844499</v>
      </c>
      <c r="J3668">
        <v>1.0471376475160601</v>
      </c>
      <c r="K3668">
        <v>0.93540500096189905</v>
      </c>
      <c r="L3668">
        <v>15000</v>
      </c>
      <c r="M3668">
        <v>211.61281098595501</v>
      </c>
      <c r="Q3668">
        <v>0</v>
      </c>
      <c r="R3668">
        <v>-0.182164886830016</v>
      </c>
      <c r="S3668" t="s">
        <v>9953</v>
      </c>
      <c r="T3668" t="s">
        <v>12568</v>
      </c>
      <c r="U3668" t="s">
        <v>12568</v>
      </c>
      <c r="V3668" t="s">
        <v>12568</v>
      </c>
      <c r="W3668" t="s">
        <v>16192</v>
      </c>
      <c r="X3668">
        <v>9</v>
      </c>
      <c r="Y3668" t="s">
        <v>22315</v>
      </c>
      <c r="Z3668" t="s">
        <v>28538</v>
      </c>
      <c r="AA3668">
        <v>0.99927973413086901</v>
      </c>
      <c r="AB3668" t="str">
        <f>HYPERLINK("Melting_Curves/meltCurve_Q6P6B1_C8orf47.pdf", "Melting_Curves/meltCurve_Q6P6B1_C8orf47.pdf")</f>
        <v>Melting_Curves/meltCurve_Q6P6B1_C8orf47.pdf</v>
      </c>
    </row>
    <row r="3669" spans="1:28" x14ac:dyDescent="0.25">
      <c r="A3669" t="s">
        <v>3673</v>
      </c>
      <c r="B3669">
        <v>0.99352677808782597</v>
      </c>
      <c r="C3669">
        <v>0.93416990396583199</v>
      </c>
      <c r="D3669">
        <v>0.87164525696907602</v>
      </c>
      <c r="E3669">
        <v>0.67187350306513605</v>
      </c>
      <c r="F3669">
        <v>0.62415204512321198</v>
      </c>
      <c r="G3669">
        <v>0.49534116776535098</v>
      </c>
      <c r="H3669">
        <v>0.424955341240916</v>
      </c>
      <c r="I3669">
        <v>0.42193098282543201</v>
      </c>
      <c r="J3669">
        <v>0.40554965939562099</v>
      </c>
      <c r="K3669">
        <v>0.23250230613468001</v>
      </c>
      <c r="L3669">
        <v>487.62109726229198</v>
      </c>
      <c r="M3669">
        <v>9.2272487843459903</v>
      </c>
      <c r="N3669">
        <v>57.165162438099003</v>
      </c>
      <c r="O3669">
        <v>50.5414666328899</v>
      </c>
      <c r="P3669">
        <v>-3.4207844491608103E-2</v>
      </c>
      <c r="Q3669">
        <v>0.25101274195242301</v>
      </c>
      <c r="R3669">
        <v>0.96953413718062198</v>
      </c>
      <c r="S3669" t="s">
        <v>9954</v>
      </c>
      <c r="T3669" t="s">
        <v>12568</v>
      </c>
      <c r="U3669" t="s">
        <v>12568</v>
      </c>
      <c r="V3669" t="s">
        <v>12568</v>
      </c>
      <c r="W3669" t="s">
        <v>16193</v>
      </c>
      <c r="X3669">
        <v>12</v>
      </c>
      <c r="Y3669" t="s">
        <v>22316</v>
      </c>
      <c r="Z3669" t="s">
        <v>28539</v>
      </c>
      <c r="AA3669">
        <v>0.59971617497777807</v>
      </c>
      <c r="AB3669" t="str">
        <f>HYPERLINK("Melting_Curves/meltCurve_Q6P6C2_ALKBH5.pdf", "Melting_Curves/meltCurve_Q6P6C2_ALKBH5.pdf")</f>
        <v>Melting_Curves/meltCurve_Q6P6C2_ALKBH5.pdf</v>
      </c>
    </row>
    <row r="3670" spans="1:28" x14ac:dyDescent="0.25">
      <c r="A3670" t="s">
        <v>3674</v>
      </c>
      <c r="B3670">
        <v>0.99352677808782597</v>
      </c>
      <c r="C3670">
        <v>0.91907154390817902</v>
      </c>
      <c r="D3670">
        <v>0.99006012621265205</v>
      </c>
      <c r="E3670">
        <v>0.52818201611889204</v>
      </c>
      <c r="F3670">
        <v>0.458085509949055</v>
      </c>
      <c r="G3670">
        <v>0.169046296534026</v>
      </c>
      <c r="H3670">
        <v>0.108410420425545</v>
      </c>
      <c r="I3670">
        <v>0.112232026174647</v>
      </c>
      <c r="J3670">
        <v>8.8838321768246201E-2</v>
      </c>
      <c r="K3670">
        <v>7.3728954093587998E-2</v>
      </c>
      <c r="L3670">
        <v>946.93398636238703</v>
      </c>
      <c r="M3670">
        <v>18.568631331410501</v>
      </c>
      <c r="N3670">
        <v>51.4573677295731</v>
      </c>
      <c r="O3670">
        <v>50.416009906301603</v>
      </c>
      <c r="P3670">
        <v>-8.5026138402710796E-2</v>
      </c>
      <c r="Q3670">
        <v>7.6616615656205006E-2</v>
      </c>
      <c r="R3670">
        <v>0.97981646416540802</v>
      </c>
      <c r="S3670" t="s">
        <v>9955</v>
      </c>
      <c r="T3670" t="s">
        <v>12568</v>
      </c>
      <c r="U3670" t="s">
        <v>12568</v>
      </c>
      <c r="V3670" t="s">
        <v>12568</v>
      </c>
      <c r="W3670" t="s">
        <v>16194</v>
      </c>
      <c r="X3670">
        <v>3</v>
      </c>
      <c r="Y3670" t="s">
        <v>22317</v>
      </c>
      <c r="Z3670" t="s">
        <v>28540</v>
      </c>
      <c r="AA3670">
        <v>0.42978591535529692</v>
      </c>
      <c r="AB3670" t="str">
        <f>HYPERLINK("Melting_Curves/meltCurve_Q6P9B6_KIAA1609.pdf", "Melting_Curves/meltCurve_Q6P9B6_KIAA1609.pdf")</f>
        <v>Melting_Curves/meltCurve_Q6P9B6_KIAA1609.pdf</v>
      </c>
    </row>
    <row r="3671" spans="1:28" x14ac:dyDescent="0.25">
      <c r="A3671" t="s">
        <v>3675</v>
      </c>
      <c r="B3671">
        <v>0.99352677808782597</v>
      </c>
      <c r="C3671">
        <v>0.887916799958263</v>
      </c>
      <c r="D3671">
        <v>0.66397870883851995</v>
      </c>
      <c r="E3671">
        <v>0.36195735416225699</v>
      </c>
      <c r="F3671">
        <v>0.31916850620575998</v>
      </c>
      <c r="G3671">
        <v>0.21397460128079701</v>
      </c>
      <c r="H3671">
        <v>0.123323171591443</v>
      </c>
      <c r="I3671">
        <v>0.137613847547984</v>
      </c>
      <c r="J3671">
        <v>9.7367332986378896E-2</v>
      </c>
      <c r="K3671">
        <v>9.3361892190677698E-2</v>
      </c>
      <c r="L3671">
        <v>726.36698181787403</v>
      </c>
      <c r="M3671">
        <v>15.2045375170885</v>
      </c>
      <c r="N3671">
        <v>48.539983361022003</v>
      </c>
      <c r="O3671">
        <v>46.969508368412001</v>
      </c>
      <c r="P3671">
        <v>-7.2293232485001593E-2</v>
      </c>
      <c r="Q3671">
        <v>0.106779150716386</v>
      </c>
      <c r="R3671">
        <v>0.99094290104572003</v>
      </c>
      <c r="S3671" t="s">
        <v>9956</v>
      </c>
      <c r="T3671" t="s">
        <v>12568</v>
      </c>
      <c r="U3671" t="s">
        <v>12568</v>
      </c>
      <c r="V3671" t="s">
        <v>12568</v>
      </c>
      <c r="W3671" t="s">
        <v>16195</v>
      </c>
      <c r="X3671">
        <v>3</v>
      </c>
      <c r="Y3671" t="s">
        <v>22318</v>
      </c>
      <c r="Z3671" t="s">
        <v>28541</v>
      </c>
      <c r="AA3671">
        <v>0.36083208519034993</v>
      </c>
      <c r="AB3671" t="str">
        <f>HYPERLINK("Melting_Curves/meltCurve_Q6P9B9_INTS5.pdf", "Melting_Curves/meltCurve_Q6P9B9_INTS5.pdf")</f>
        <v>Melting_Curves/meltCurve_Q6P9B9_INTS5.pdf</v>
      </c>
    </row>
    <row r="3672" spans="1:28" x14ac:dyDescent="0.25">
      <c r="A3672" t="s">
        <v>3676</v>
      </c>
      <c r="B3672">
        <v>0.99352677808782597</v>
      </c>
      <c r="C3672">
        <v>0.95104962163643503</v>
      </c>
      <c r="D3672">
        <v>1.0020854719730801</v>
      </c>
      <c r="E3672">
        <v>0.88108249638956104</v>
      </c>
      <c r="F3672">
        <v>0.80292796159117097</v>
      </c>
      <c r="G3672">
        <v>0.66715679627777602</v>
      </c>
      <c r="H3672">
        <v>0.55826394453725603</v>
      </c>
      <c r="I3672">
        <v>0.51896274045981805</v>
      </c>
      <c r="J3672">
        <v>0.50013296923712403</v>
      </c>
      <c r="K3672">
        <v>0.42823842685997399</v>
      </c>
      <c r="L3672">
        <v>690.52077753815001</v>
      </c>
      <c r="M3672">
        <v>12.3262354113248</v>
      </c>
      <c r="N3672">
        <v>64.770757965519707</v>
      </c>
      <c r="O3672">
        <v>54.607179310077697</v>
      </c>
      <c r="P3672">
        <v>-3.3559850017371398E-2</v>
      </c>
      <c r="Q3672">
        <v>0.40542732678329002</v>
      </c>
      <c r="R3672">
        <v>0.990320160101679</v>
      </c>
      <c r="S3672" t="s">
        <v>9957</v>
      </c>
      <c r="T3672" t="s">
        <v>12568</v>
      </c>
      <c r="U3672" t="s">
        <v>12568</v>
      </c>
      <c r="V3672" t="s">
        <v>12568</v>
      </c>
      <c r="W3672" t="s">
        <v>16196</v>
      </c>
      <c r="X3672">
        <v>8</v>
      </c>
      <c r="Y3672" t="s">
        <v>22319</v>
      </c>
      <c r="Z3672" t="s">
        <v>28542</v>
      </c>
      <c r="AA3672">
        <v>0.73488490241938231</v>
      </c>
      <c r="AB3672" t="str">
        <f>HYPERLINK("Melting_Curves/meltCurve_Q6PCB5_RSBN1L.pdf", "Melting_Curves/meltCurve_Q6PCB5_RSBN1L.pdf")</f>
        <v>Melting_Curves/meltCurve_Q6PCB5_RSBN1L.pdf</v>
      </c>
    </row>
    <row r="3673" spans="1:28" x14ac:dyDescent="0.25">
      <c r="A3673" t="s">
        <v>3677</v>
      </c>
      <c r="B3673">
        <v>0.99352677808782597</v>
      </c>
      <c r="C3673">
        <v>0.95305699456647697</v>
      </c>
      <c r="D3673">
        <v>0.98677121871634299</v>
      </c>
      <c r="E3673">
        <v>0.78096006799879303</v>
      </c>
      <c r="F3673">
        <v>0.69458700140537699</v>
      </c>
      <c r="G3673">
        <v>0.32025523850585003</v>
      </c>
      <c r="H3673">
        <v>0.13836600184439099</v>
      </c>
      <c r="I3673">
        <v>0.123568424307057</v>
      </c>
      <c r="J3673">
        <v>9.6465399957707601E-2</v>
      </c>
      <c r="K3673">
        <v>7.4342593875432905E-2</v>
      </c>
      <c r="L3673">
        <v>996.06351558476899</v>
      </c>
      <c r="M3673">
        <v>18.326507609134101</v>
      </c>
      <c r="N3673">
        <v>54.702944927117898</v>
      </c>
      <c r="O3673">
        <v>53.716231217040502</v>
      </c>
      <c r="P3673">
        <v>-8.0553306418246096E-2</v>
      </c>
      <c r="Q3673">
        <v>5.5614688135341497E-2</v>
      </c>
      <c r="R3673">
        <v>0.99275283416486204</v>
      </c>
      <c r="S3673" t="s">
        <v>9958</v>
      </c>
      <c r="T3673" t="s">
        <v>12568</v>
      </c>
      <c r="U3673" t="s">
        <v>12568</v>
      </c>
      <c r="V3673" t="s">
        <v>12568</v>
      </c>
      <c r="W3673" t="s">
        <v>16197</v>
      </c>
      <c r="X3673">
        <v>25</v>
      </c>
      <c r="Y3673" t="s">
        <v>22320</v>
      </c>
      <c r="Z3673" t="s">
        <v>28543</v>
      </c>
      <c r="AA3673">
        <v>0.52194489946796074</v>
      </c>
      <c r="AB3673" t="str">
        <f>HYPERLINK("Melting_Curves/meltCurve_Q6PCE3_PGM2L1.pdf", "Melting_Curves/meltCurve_Q6PCE3_PGM2L1.pdf")</f>
        <v>Melting_Curves/meltCurve_Q6PCE3_PGM2L1.pdf</v>
      </c>
    </row>
    <row r="3674" spans="1:28" x14ac:dyDescent="0.25">
      <c r="A3674" t="s">
        <v>3678</v>
      </c>
      <c r="B3674">
        <v>0.99352677808782597</v>
      </c>
      <c r="C3674">
        <v>0.93655005898882404</v>
      </c>
      <c r="D3674">
        <v>0.74579284797284495</v>
      </c>
      <c r="E3674">
        <v>0.40426369639812398</v>
      </c>
      <c r="F3674">
        <v>0.33557203339660802</v>
      </c>
      <c r="G3674">
        <v>0.201674048889396</v>
      </c>
      <c r="H3674">
        <v>0.108714326112509</v>
      </c>
      <c r="I3674">
        <v>9.1290153909625693E-2</v>
      </c>
      <c r="J3674">
        <v>8.9134043014565498E-2</v>
      </c>
      <c r="K3674">
        <v>8.1637163509312799E-2</v>
      </c>
      <c r="L3674">
        <v>763.76627162710497</v>
      </c>
      <c r="M3674">
        <v>15.636099584474801</v>
      </c>
      <c r="N3674">
        <v>49.406583167684602</v>
      </c>
      <c r="O3674">
        <v>48.068308878677698</v>
      </c>
      <c r="P3674">
        <v>-7.4722291950639105E-2</v>
      </c>
      <c r="Q3674">
        <v>8.1237397411695403E-2</v>
      </c>
      <c r="R3674">
        <v>0.99335388288478998</v>
      </c>
      <c r="S3674" t="s">
        <v>9959</v>
      </c>
      <c r="T3674" t="s">
        <v>12568</v>
      </c>
      <c r="U3674" t="s">
        <v>12568</v>
      </c>
      <c r="V3674" t="s">
        <v>12568</v>
      </c>
      <c r="W3674" t="s">
        <v>16198</v>
      </c>
      <c r="X3674">
        <v>7</v>
      </c>
      <c r="Y3674" t="s">
        <v>22321</v>
      </c>
      <c r="Z3674" t="s">
        <v>28544</v>
      </c>
      <c r="AA3674">
        <v>0.37322663713968318</v>
      </c>
      <c r="AB3674" t="str">
        <f>HYPERLINK("Melting_Curves/meltCurve_Q6PCT2_2_FBXL19.pdf", "Melting_Curves/meltCurve_Q6PCT2_2_FBXL19.pdf")</f>
        <v>Melting_Curves/meltCurve_Q6PCT2_2_FBXL19.pdf</v>
      </c>
    </row>
    <row r="3675" spans="1:28" x14ac:dyDescent="0.25">
      <c r="A3675" t="s">
        <v>3679</v>
      </c>
      <c r="B3675">
        <v>0.99352677808782597</v>
      </c>
      <c r="C3675">
        <v>0.89148476890944695</v>
      </c>
      <c r="D3675">
        <v>0.66241364359338095</v>
      </c>
      <c r="E3675">
        <v>0.36721707166706502</v>
      </c>
      <c r="F3675">
        <v>0.305700601629387</v>
      </c>
      <c r="G3675">
        <v>0.19265575329015899</v>
      </c>
      <c r="H3675">
        <v>0.121967140364107</v>
      </c>
      <c r="I3675">
        <v>0.111870600143814</v>
      </c>
      <c r="J3675">
        <v>9.1619129233113203E-2</v>
      </c>
      <c r="K3675">
        <v>7.6694314262222105E-2</v>
      </c>
      <c r="L3675">
        <v>726.27362893313102</v>
      </c>
      <c r="M3675">
        <v>15.166149794586101</v>
      </c>
      <c r="N3675">
        <v>48.531812946667699</v>
      </c>
      <c r="O3675">
        <v>47.078353177307001</v>
      </c>
      <c r="P3675">
        <v>-7.32030315295287E-2</v>
      </c>
      <c r="Q3675">
        <v>9.1147975026165506E-2</v>
      </c>
      <c r="R3675">
        <v>0.99339823342064903</v>
      </c>
      <c r="S3675" t="s">
        <v>9960</v>
      </c>
      <c r="T3675" t="s">
        <v>12568</v>
      </c>
      <c r="U3675" t="s">
        <v>12568</v>
      </c>
      <c r="V3675" t="s">
        <v>12568</v>
      </c>
      <c r="W3675" t="s">
        <v>16199</v>
      </c>
      <c r="X3675">
        <v>12</v>
      </c>
      <c r="Y3675" t="s">
        <v>22322</v>
      </c>
      <c r="Z3675" t="s">
        <v>28545</v>
      </c>
      <c r="AA3675">
        <v>0.35311265525287677</v>
      </c>
      <c r="AB3675" t="str">
        <f>HYPERLINK("Melting_Curves/meltCurve_Q6PD62_CTR9.pdf", "Melting_Curves/meltCurve_Q6PD62_CTR9.pdf")</f>
        <v>Melting_Curves/meltCurve_Q6PD62_CTR9.pdf</v>
      </c>
    </row>
    <row r="3676" spans="1:28" x14ac:dyDescent="0.25">
      <c r="A3676" t="s">
        <v>3680</v>
      </c>
      <c r="B3676">
        <v>0.99352677808782597</v>
      </c>
      <c r="C3676">
        <v>1.0214829566913599</v>
      </c>
      <c r="D3676">
        <v>0.96943116401524398</v>
      </c>
      <c r="E3676">
        <v>0.64405278080568995</v>
      </c>
      <c r="F3676">
        <v>0.47706711039060201</v>
      </c>
      <c r="G3676">
        <v>0.21137516581782501</v>
      </c>
      <c r="H3676">
        <v>0.13550351356964099</v>
      </c>
      <c r="I3676">
        <v>0.1248385134301</v>
      </c>
      <c r="J3676">
        <v>8.7827844140355202E-2</v>
      </c>
      <c r="K3676">
        <v>6.3300206547545604E-2</v>
      </c>
      <c r="L3676">
        <v>983.75620504297399</v>
      </c>
      <c r="M3676">
        <v>18.974336308726301</v>
      </c>
      <c r="N3676">
        <v>52.3215226582575</v>
      </c>
      <c r="O3676">
        <v>51.281083356108901</v>
      </c>
      <c r="P3676">
        <v>-8.5188576594658297E-2</v>
      </c>
      <c r="Q3676">
        <v>7.9095603916632506E-2</v>
      </c>
      <c r="R3676">
        <v>0.99443789079046196</v>
      </c>
      <c r="S3676" t="s">
        <v>9961</v>
      </c>
      <c r="T3676" t="s">
        <v>12568</v>
      </c>
      <c r="U3676" t="s">
        <v>12568</v>
      </c>
      <c r="V3676" t="s">
        <v>12568</v>
      </c>
      <c r="W3676" t="s">
        <v>16200</v>
      </c>
      <c r="X3676">
        <v>8</v>
      </c>
      <c r="Y3676" t="s">
        <v>22323</v>
      </c>
      <c r="Z3676" t="s">
        <v>28546</v>
      </c>
      <c r="AA3676">
        <v>0.45675893151685049</v>
      </c>
      <c r="AB3676" t="str">
        <f>HYPERLINK("Melting_Curves/meltCurve_Q6PD74_AAGAB.pdf", "Melting_Curves/meltCurve_Q6PD74_AAGAB.pdf")</f>
        <v>Melting_Curves/meltCurve_Q6PD74_AAGAB.pdf</v>
      </c>
    </row>
    <row r="3677" spans="1:28" x14ac:dyDescent="0.25">
      <c r="A3677" t="s">
        <v>3681</v>
      </c>
      <c r="B3677">
        <v>0.99352677808782597</v>
      </c>
      <c r="C3677">
        <v>0.99336492100828799</v>
      </c>
      <c r="D3677">
        <v>1.0368339339391499</v>
      </c>
      <c r="E3677">
        <v>1.0871490502986301</v>
      </c>
      <c r="F3677">
        <v>0.92701376089953103</v>
      </c>
      <c r="G3677">
        <v>0.81330833993046703</v>
      </c>
      <c r="H3677">
        <v>0.70213999596334697</v>
      </c>
      <c r="I3677">
        <v>0.751505650247553</v>
      </c>
      <c r="J3677">
        <v>0.71092556267241702</v>
      </c>
      <c r="K3677">
        <v>0.76283273692793296</v>
      </c>
      <c r="L3677">
        <v>2090.5058358021302</v>
      </c>
      <c r="M3677">
        <v>37.841176859718701</v>
      </c>
      <c r="O3677">
        <v>55.090605528577697</v>
      </c>
      <c r="P3677">
        <v>-4.5964545891026803E-2</v>
      </c>
      <c r="Q3677">
        <v>0.73233305453974096</v>
      </c>
      <c r="R3677">
        <v>0.92566809496319102</v>
      </c>
      <c r="S3677" t="s">
        <v>9962</v>
      </c>
      <c r="T3677" t="s">
        <v>12568</v>
      </c>
      <c r="U3677" t="s">
        <v>12568</v>
      </c>
      <c r="V3677" t="s">
        <v>12568</v>
      </c>
      <c r="W3677" t="s">
        <v>16201</v>
      </c>
      <c r="X3677">
        <v>3</v>
      </c>
      <c r="Y3677" t="s">
        <v>22324</v>
      </c>
      <c r="Z3677" t="s">
        <v>28547</v>
      </c>
      <c r="AA3677">
        <v>0.86948129354205983</v>
      </c>
      <c r="AB3677" t="str">
        <f>HYPERLINK("Melting_Curves/meltCurve_Q6PGN9_2_PSRC1.pdf", "Melting_Curves/meltCurve_Q6PGN9_2_PSRC1.pdf")</f>
        <v>Melting_Curves/meltCurve_Q6PGN9_2_PSRC1.pdf</v>
      </c>
    </row>
    <row r="3678" spans="1:28" x14ac:dyDescent="0.25">
      <c r="A3678" t="s">
        <v>3682</v>
      </c>
      <c r="B3678">
        <v>0.99352677808782597</v>
      </c>
      <c r="C3678">
        <v>0.81421621679959899</v>
      </c>
      <c r="D3678">
        <v>0.53793353255443799</v>
      </c>
      <c r="E3678">
        <v>0.283274072004227</v>
      </c>
      <c r="F3678">
        <v>0.23727726583213099</v>
      </c>
      <c r="G3678">
        <v>0.12381890758289001</v>
      </c>
      <c r="H3678">
        <v>7.9099734518858503E-2</v>
      </c>
      <c r="I3678">
        <v>7.9009773832188199E-2</v>
      </c>
      <c r="J3678">
        <v>6.00674160162709E-2</v>
      </c>
      <c r="K3678">
        <v>4.9891476052235498E-2</v>
      </c>
      <c r="L3678">
        <v>747.32305493307399</v>
      </c>
      <c r="M3678">
        <v>16.073059816910099</v>
      </c>
      <c r="N3678">
        <v>46.912978198676598</v>
      </c>
      <c r="O3678">
        <v>45.7935082425345</v>
      </c>
      <c r="P3678">
        <v>-8.1904933538219801E-2</v>
      </c>
      <c r="Q3678">
        <v>6.6655241607926796E-2</v>
      </c>
      <c r="R3678">
        <v>0.99163017506407103</v>
      </c>
      <c r="S3678" t="s">
        <v>9963</v>
      </c>
      <c r="T3678" t="s">
        <v>12568</v>
      </c>
      <c r="U3678" t="s">
        <v>12568</v>
      </c>
      <c r="V3678" t="s">
        <v>12568</v>
      </c>
      <c r="W3678" t="s">
        <v>16202</v>
      </c>
      <c r="X3678">
        <v>10</v>
      </c>
      <c r="Y3678" t="s">
        <v>22325</v>
      </c>
      <c r="Z3678" t="s">
        <v>28548</v>
      </c>
      <c r="AA3678">
        <v>0.29140224514825941</v>
      </c>
      <c r="AB3678" t="str">
        <f>HYPERLINK("Melting_Curves/meltCurve_Q6PGP7_TTC37.pdf", "Melting_Curves/meltCurve_Q6PGP7_TTC37.pdf")</f>
        <v>Melting_Curves/meltCurve_Q6PGP7_TTC37.pdf</v>
      </c>
    </row>
    <row r="3679" spans="1:28" x14ac:dyDescent="0.25">
      <c r="A3679" t="s">
        <v>3683</v>
      </c>
      <c r="B3679">
        <v>0.99352677808782597</v>
      </c>
      <c r="C3679">
        <v>0.94183165912667399</v>
      </c>
      <c r="D3679">
        <v>0.91709960622101105</v>
      </c>
      <c r="E3679">
        <v>0.29935792972459901</v>
      </c>
      <c r="F3679">
        <v>0.225920873505672</v>
      </c>
      <c r="G3679">
        <v>0.15818132199524401</v>
      </c>
      <c r="H3679">
        <v>0.119242841326688</v>
      </c>
      <c r="I3679">
        <v>0.114031968399691</v>
      </c>
      <c r="J3679">
        <v>9.0465763372674701E-2</v>
      </c>
      <c r="K3679">
        <v>6.1416090881143803E-2</v>
      </c>
      <c r="L3679">
        <v>1794.7991527812001</v>
      </c>
      <c r="M3679">
        <v>37.0563541242363</v>
      </c>
      <c r="N3679">
        <v>48.788798265435702</v>
      </c>
      <c r="O3679">
        <v>48.293914070125901</v>
      </c>
      <c r="P3679">
        <v>-0.169188364995284</v>
      </c>
      <c r="Q3679">
        <v>0.118019584870122</v>
      </c>
      <c r="R3679">
        <v>0.98928077154076599</v>
      </c>
      <c r="S3679" t="s">
        <v>9964</v>
      </c>
      <c r="T3679" t="s">
        <v>12568</v>
      </c>
      <c r="U3679" t="s">
        <v>12568</v>
      </c>
      <c r="V3679" t="s">
        <v>12568</v>
      </c>
      <c r="W3679" t="s">
        <v>16203</v>
      </c>
      <c r="X3679">
        <v>7</v>
      </c>
      <c r="Y3679" t="s">
        <v>22326</v>
      </c>
      <c r="Z3679" t="s">
        <v>28549</v>
      </c>
      <c r="AA3679">
        <v>0.36943877619735283</v>
      </c>
      <c r="AB3679" t="str">
        <f>HYPERLINK("Melting_Curves/meltCurve_Q6PHR2_3_ULK3.pdf", "Melting_Curves/meltCurve_Q6PHR2_3_ULK3.pdf")</f>
        <v>Melting_Curves/meltCurve_Q6PHR2_3_ULK3.pdf</v>
      </c>
    </row>
    <row r="3680" spans="1:28" x14ac:dyDescent="0.25">
      <c r="A3680" t="s">
        <v>3684</v>
      </c>
      <c r="B3680">
        <v>0.99352677808782597</v>
      </c>
      <c r="C3680">
        <v>0.79548261094730599</v>
      </c>
      <c r="D3680">
        <v>0.49731828445352</v>
      </c>
      <c r="E3680">
        <v>0.24704409867703001</v>
      </c>
      <c r="F3680">
        <v>0.19573632996832999</v>
      </c>
      <c r="G3680">
        <v>0.112254666408399</v>
      </c>
      <c r="H3680">
        <v>8.2574357039228496E-2</v>
      </c>
      <c r="I3680">
        <v>7.3230048539375897E-2</v>
      </c>
      <c r="J3680">
        <v>6.7056923358252293E-2</v>
      </c>
      <c r="K3680">
        <v>4.8052613894759802E-2</v>
      </c>
      <c r="L3680">
        <v>827.82438111219699</v>
      </c>
      <c r="M3680">
        <v>18.038802943931199</v>
      </c>
      <c r="N3680">
        <v>46.299970897536397</v>
      </c>
      <c r="O3680">
        <v>45.338481601745698</v>
      </c>
      <c r="P3680">
        <v>-9.2151715670152207E-2</v>
      </c>
      <c r="Q3680">
        <v>7.3593857120030096E-2</v>
      </c>
      <c r="R3680">
        <v>0.99319262070624004</v>
      </c>
      <c r="S3680" t="s">
        <v>9965</v>
      </c>
      <c r="T3680" t="s">
        <v>12568</v>
      </c>
      <c r="U3680" t="s">
        <v>12568</v>
      </c>
      <c r="V3680" t="s">
        <v>12568</v>
      </c>
      <c r="W3680" t="s">
        <v>16204</v>
      </c>
      <c r="X3680">
        <v>12</v>
      </c>
      <c r="Y3680" t="s">
        <v>22327</v>
      </c>
      <c r="Z3680" t="s">
        <v>28550</v>
      </c>
      <c r="AA3680">
        <v>0.27377331995498022</v>
      </c>
      <c r="AB3680" t="str">
        <f>HYPERLINK("Melting_Curves/meltCurve_Q6PI48_DARS2.pdf", "Melting_Curves/meltCurve_Q6PI48_DARS2.pdf")</f>
        <v>Melting_Curves/meltCurve_Q6PI48_DARS2.pdf</v>
      </c>
    </row>
    <row r="3681" spans="1:28" x14ac:dyDescent="0.25">
      <c r="A3681" t="s">
        <v>3685</v>
      </c>
      <c r="B3681">
        <v>0.99352677808782597</v>
      </c>
      <c r="C3681">
        <v>0.97598977629975903</v>
      </c>
      <c r="D3681">
        <v>0.95397692457282601</v>
      </c>
      <c r="E3681">
        <v>0.43097912235161201</v>
      </c>
      <c r="F3681">
        <v>0.35553013057480498</v>
      </c>
      <c r="G3681">
        <v>0.20417882910694701</v>
      </c>
      <c r="H3681">
        <v>0.11302948838718301</v>
      </c>
      <c r="I3681">
        <v>9.3764908461719004E-2</v>
      </c>
      <c r="J3681">
        <v>9.8952040679603295E-2</v>
      </c>
      <c r="K3681">
        <v>6.5998266300076894E-2</v>
      </c>
      <c r="L3681">
        <v>1086.89470905485</v>
      </c>
      <c r="M3681">
        <v>21.845172262999</v>
      </c>
      <c r="N3681">
        <v>50.277236729503002</v>
      </c>
      <c r="O3681">
        <v>49.3431488979883</v>
      </c>
      <c r="P3681">
        <v>-9.9437492120481599E-2</v>
      </c>
      <c r="Q3681">
        <v>0.101596218855682</v>
      </c>
      <c r="R3681">
        <v>0.98233175784524696</v>
      </c>
      <c r="S3681" t="s">
        <v>9966</v>
      </c>
      <c r="T3681" t="s">
        <v>12568</v>
      </c>
      <c r="U3681" t="s">
        <v>12568</v>
      </c>
      <c r="V3681" t="s">
        <v>12568</v>
      </c>
      <c r="W3681" t="s">
        <v>16205</v>
      </c>
      <c r="X3681">
        <v>2</v>
      </c>
      <c r="Y3681" t="s">
        <v>22328</v>
      </c>
      <c r="Z3681" t="s">
        <v>28551</v>
      </c>
      <c r="AA3681">
        <v>0.40421895432925059</v>
      </c>
      <c r="AB3681" t="str">
        <f>HYPERLINK("Melting_Curves/meltCurve_Q6PID6_TTC33.pdf", "Melting_Curves/meltCurve_Q6PID6_TTC33.pdf")</f>
        <v>Melting_Curves/meltCurve_Q6PID6_TTC33.pdf</v>
      </c>
    </row>
    <row r="3682" spans="1:28" x14ac:dyDescent="0.25">
      <c r="A3682" t="s">
        <v>3686</v>
      </c>
      <c r="B3682">
        <v>0.99352677808782597</v>
      </c>
      <c r="C3682">
        <v>0.90960576356626899</v>
      </c>
      <c r="D3682">
        <v>0.93320242787244101</v>
      </c>
      <c r="E3682">
        <v>0.83931823619105095</v>
      </c>
      <c r="F3682">
        <v>0.75476902121612999</v>
      </c>
      <c r="G3682">
        <v>0.59755462007417404</v>
      </c>
      <c r="H3682">
        <v>0.471573796877507</v>
      </c>
      <c r="I3682">
        <v>0.48820175407170102</v>
      </c>
      <c r="J3682">
        <v>0.55598068898626696</v>
      </c>
      <c r="K3682">
        <v>0.401521001819513</v>
      </c>
      <c r="L3682">
        <v>641.73112844969</v>
      </c>
      <c r="M3682">
        <v>11.9623873837871</v>
      </c>
      <c r="N3682">
        <v>62.970930000732302</v>
      </c>
      <c r="O3682">
        <v>52.212509710298001</v>
      </c>
      <c r="P3682">
        <v>-3.3517797078302297E-2</v>
      </c>
      <c r="Q3682">
        <v>0.414959134994</v>
      </c>
      <c r="R3682">
        <v>0.95624622405968895</v>
      </c>
      <c r="S3682" t="s">
        <v>9967</v>
      </c>
      <c r="T3682" t="s">
        <v>12568</v>
      </c>
      <c r="U3682" t="s">
        <v>12568</v>
      </c>
      <c r="V3682" t="s">
        <v>12568</v>
      </c>
      <c r="W3682" t="s">
        <v>16206</v>
      </c>
      <c r="X3682">
        <v>4</v>
      </c>
      <c r="Y3682" t="s">
        <v>22329</v>
      </c>
      <c r="Z3682" t="s">
        <v>28552</v>
      </c>
      <c r="AA3682">
        <v>0.69690478278278312</v>
      </c>
      <c r="AB3682" t="str">
        <f>HYPERLINK("Melting_Curves/meltCurve_Q6PII3_CCDC174.pdf", "Melting_Curves/meltCurve_Q6PII3_CCDC174.pdf")</f>
        <v>Melting_Curves/meltCurve_Q6PII3_CCDC174.pdf</v>
      </c>
    </row>
    <row r="3683" spans="1:28" x14ac:dyDescent="0.25">
      <c r="A3683" t="s">
        <v>3687</v>
      </c>
      <c r="B3683">
        <v>0.99352677808782597</v>
      </c>
      <c r="C3683">
        <v>0.97815045320900595</v>
      </c>
      <c r="D3683">
        <v>0.88214134628275298</v>
      </c>
      <c r="E3683">
        <v>0.70205080332134295</v>
      </c>
      <c r="F3683">
        <v>0.57383723777361295</v>
      </c>
      <c r="G3683">
        <v>0.38276866379207802</v>
      </c>
      <c r="H3683">
        <v>0.29228666165147799</v>
      </c>
      <c r="I3683">
        <v>0.23883497174635501</v>
      </c>
      <c r="J3683">
        <v>0.19282948343387599</v>
      </c>
      <c r="K3683">
        <v>0.12907384845015199</v>
      </c>
      <c r="L3683">
        <v>618.46899657665494</v>
      </c>
      <c r="M3683">
        <v>11.5874929249575</v>
      </c>
      <c r="N3683">
        <v>54.491532710639099</v>
      </c>
      <c r="O3683">
        <v>51.8584867527196</v>
      </c>
      <c r="P3683">
        <v>-4.9966456556059198E-2</v>
      </c>
      <c r="Q3683">
        <v>0.105770390712829</v>
      </c>
      <c r="R3683">
        <v>0.996987636390959</v>
      </c>
      <c r="S3683" t="s">
        <v>9968</v>
      </c>
      <c r="T3683" t="s">
        <v>12568</v>
      </c>
      <c r="U3683" t="s">
        <v>12568</v>
      </c>
      <c r="V3683" t="s">
        <v>12568</v>
      </c>
      <c r="W3683" t="s">
        <v>16207</v>
      </c>
      <c r="X3683">
        <v>3</v>
      </c>
      <c r="Y3683" t="s">
        <v>22330</v>
      </c>
      <c r="Z3683" t="s">
        <v>28553</v>
      </c>
      <c r="AA3683">
        <v>0.53001600714427888</v>
      </c>
      <c r="AB3683" t="str">
        <f>HYPERLINK("Melting_Curves/meltCurve_Q6PII5_2_HAGHL.pdf", "Melting_Curves/meltCurve_Q6PII5_2_HAGHL.pdf")</f>
        <v>Melting_Curves/meltCurve_Q6PII5_2_HAGHL.pdf</v>
      </c>
    </row>
    <row r="3684" spans="1:28" x14ac:dyDescent="0.25">
      <c r="A3684" t="s">
        <v>3688</v>
      </c>
      <c r="B3684">
        <v>0.99352677808782597</v>
      </c>
      <c r="C3684">
        <v>0.98998231559502203</v>
      </c>
      <c r="D3684">
        <v>0.91374635010910099</v>
      </c>
      <c r="E3684">
        <v>0.635641561670653</v>
      </c>
      <c r="F3684">
        <v>0.55559736211181299</v>
      </c>
      <c r="G3684">
        <v>0.38145289654042502</v>
      </c>
      <c r="H3684">
        <v>0.27797750565651103</v>
      </c>
      <c r="I3684">
        <v>0.269163636458843</v>
      </c>
      <c r="J3684">
        <v>0.25222870829493899</v>
      </c>
      <c r="K3684">
        <v>0.21530526862093999</v>
      </c>
      <c r="L3684">
        <v>764.20931918731003</v>
      </c>
      <c r="M3684">
        <v>14.8555803766225</v>
      </c>
      <c r="N3684">
        <v>53.528411023891401</v>
      </c>
      <c r="O3684">
        <v>50.537394767523303</v>
      </c>
      <c r="P3684">
        <v>-5.7346113401318802E-2</v>
      </c>
      <c r="Q3684">
        <v>0.219735878184008</v>
      </c>
      <c r="R3684">
        <v>0.99281634006473396</v>
      </c>
      <c r="S3684" t="s">
        <v>9969</v>
      </c>
      <c r="T3684" t="s">
        <v>12568</v>
      </c>
      <c r="U3684" t="s">
        <v>12568</v>
      </c>
      <c r="V3684" t="s">
        <v>12568</v>
      </c>
      <c r="W3684" t="s">
        <v>16208</v>
      </c>
      <c r="X3684">
        <v>5</v>
      </c>
      <c r="Y3684" t="s">
        <v>22331</v>
      </c>
      <c r="Z3684" t="s">
        <v>28554</v>
      </c>
      <c r="AA3684">
        <v>0.53539408951831591</v>
      </c>
      <c r="AB3684" t="str">
        <f>HYPERLINK("Melting_Curves/meltCurve_Q6PIJ6_FBXO38.pdf", "Melting_Curves/meltCurve_Q6PIJ6_FBXO38.pdf")</f>
        <v>Melting_Curves/meltCurve_Q6PIJ6_FBXO38.pdf</v>
      </c>
    </row>
    <row r="3685" spans="1:28" x14ac:dyDescent="0.25">
      <c r="A3685" t="s">
        <v>3689</v>
      </c>
      <c r="B3685">
        <v>0.99352677808782597</v>
      </c>
      <c r="C3685">
        <v>0.98365361229680104</v>
      </c>
      <c r="D3685">
        <v>1.05559455626359</v>
      </c>
      <c r="E3685">
        <v>1.10483709922593</v>
      </c>
      <c r="F3685">
        <v>1.0322685081285601</v>
      </c>
      <c r="G3685">
        <v>1.0455440837983001</v>
      </c>
      <c r="H3685">
        <v>0.93636011090902804</v>
      </c>
      <c r="I3685">
        <v>0.96299137984084304</v>
      </c>
      <c r="J3685">
        <v>1.10865511646898</v>
      </c>
      <c r="K3685">
        <v>0.93031543249600601</v>
      </c>
      <c r="L3685">
        <v>15000</v>
      </c>
      <c r="M3685">
        <v>211.69403762309099</v>
      </c>
      <c r="Q3685">
        <v>0</v>
      </c>
      <c r="R3685">
        <v>6.6920016869803894E-2</v>
      </c>
      <c r="S3685" t="s">
        <v>9970</v>
      </c>
      <c r="T3685" t="s">
        <v>12568</v>
      </c>
      <c r="U3685" t="s">
        <v>12568</v>
      </c>
      <c r="V3685" t="s">
        <v>12568</v>
      </c>
      <c r="W3685" t="s">
        <v>16209</v>
      </c>
      <c r="X3685">
        <v>3</v>
      </c>
      <c r="Y3685" t="s">
        <v>22332</v>
      </c>
      <c r="Z3685" t="s">
        <v>28555</v>
      </c>
      <c r="AA3685">
        <v>0.99922094830601427</v>
      </c>
      <c r="AB3685" t="str">
        <f>HYPERLINK("Melting_Curves/meltCurve_Q6PIR0_CENPC1.pdf", "Melting_Curves/meltCurve_Q6PIR0_CENPC1.pdf")</f>
        <v>Melting_Curves/meltCurve_Q6PIR0_CENPC1.pdf</v>
      </c>
    </row>
    <row r="3686" spans="1:28" x14ac:dyDescent="0.25">
      <c r="A3686" t="s">
        <v>3690</v>
      </c>
      <c r="B3686">
        <v>0.99352677808782597</v>
      </c>
      <c r="C3686">
        <v>0.96699282737231795</v>
      </c>
      <c r="D3686">
        <v>0.70372796003282301</v>
      </c>
      <c r="E3686">
        <v>0.49786279484187401</v>
      </c>
      <c r="F3686">
        <v>0.45121281458588403</v>
      </c>
      <c r="G3686">
        <v>0.27479626465528501</v>
      </c>
      <c r="H3686">
        <v>0.16080127268279601</v>
      </c>
      <c r="I3686">
        <v>0.123041480133758</v>
      </c>
      <c r="J3686">
        <v>0.11429992077227299</v>
      </c>
      <c r="K3686">
        <v>8.3227586144993398E-2</v>
      </c>
      <c r="L3686">
        <v>584.46913470847005</v>
      </c>
      <c r="M3686">
        <v>11.610399663425399</v>
      </c>
      <c r="N3686">
        <v>50.902566001226702</v>
      </c>
      <c r="O3686">
        <v>48.916290809354003</v>
      </c>
      <c r="P3686">
        <v>-5.5781324526195303E-2</v>
      </c>
      <c r="Q3686">
        <v>6.0198359123375698E-2</v>
      </c>
      <c r="R3686">
        <v>0.98401920627113804</v>
      </c>
      <c r="S3686" t="s">
        <v>9971</v>
      </c>
      <c r="T3686" t="s">
        <v>12568</v>
      </c>
      <c r="U3686" t="s">
        <v>12568</v>
      </c>
      <c r="V3686" t="s">
        <v>12568</v>
      </c>
      <c r="W3686" t="s">
        <v>16210</v>
      </c>
      <c r="X3686">
        <v>8</v>
      </c>
      <c r="Y3686" t="s">
        <v>22333</v>
      </c>
      <c r="Z3686" t="s">
        <v>28556</v>
      </c>
      <c r="AA3686">
        <v>0.41762748844495351</v>
      </c>
      <c r="AB3686" t="str">
        <f>HYPERLINK("Melting_Curves/meltCurve_Q6PIW4_2_FIGNL1.pdf", "Melting_Curves/meltCurve_Q6PIW4_2_FIGNL1.pdf")</f>
        <v>Melting_Curves/meltCurve_Q6PIW4_2_FIGNL1.pdf</v>
      </c>
    </row>
    <row r="3687" spans="1:28" x14ac:dyDescent="0.25">
      <c r="A3687" t="s">
        <v>3691</v>
      </c>
      <c r="B3687">
        <v>0.99352677808782597</v>
      </c>
      <c r="C3687">
        <v>0.89548146926568295</v>
      </c>
      <c r="D3687">
        <v>0.82786243273302396</v>
      </c>
      <c r="E3687">
        <v>0.43729778429627297</v>
      </c>
      <c r="F3687">
        <v>0.40256496177734902</v>
      </c>
      <c r="G3687">
        <v>0.280800543974144</v>
      </c>
      <c r="H3687">
        <v>0.16732810928986699</v>
      </c>
      <c r="I3687">
        <v>0.15838713166986099</v>
      </c>
      <c r="J3687">
        <v>0.13444328714454901</v>
      </c>
      <c r="K3687">
        <v>0.123642409502195</v>
      </c>
      <c r="L3687">
        <v>713.01803903156099</v>
      </c>
      <c r="M3687">
        <v>14.4438589563041</v>
      </c>
      <c r="N3687">
        <v>50.378160042100603</v>
      </c>
      <c r="O3687">
        <v>48.447482547958998</v>
      </c>
      <c r="P3687">
        <v>-6.5144689994563104E-2</v>
      </c>
      <c r="Q3687">
        <v>0.126071043711141</v>
      </c>
      <c r="R3687">
        <v>0.98560338431635197</v>
      </c>
      <c r="S3687" t="s">
        <v>9972</v>
      </c>
      <c r="T3687" t="s">
        <v>12568</v>
      </c>
      <c r="U3687" t="s">
        <v>12568</v>
      </c>
      <c r="V3687" t="s">
        <v>12568</v>
      </c>
      <c r="W3687" t="s">
        <v>16211</v>
      </c>
      <c r="X3687">
        <v>11</v>
      </c>
      <c r="Y3687" t="s">
        <v>22334</v>
      </c>
      <c r="Z3687" t="s">
        <v>28557</v>
      </c>
      <c r="AA3687">
        <v>0.42168474744143819</v>
      </c>
      <c r="AB3687" t="str">
        <f>HYPERLINK("Melting_Curves/meltCurve_Q6PJ69_TRIM65.pdf", "Melting_Curves/meltCurve_Q6PJ69_TRIM65.pdf")</f>
        <v>Melting_Curves/meltCurve_Q6PJ69_TRIM65.pdf</v>
      </c>
    </row>
    <row r="3688" spans="1:28" x14ac:dyDescent="0.25">
      <c r="A3688" t="s">
        <v>3692</v>
      </c>
      <c r="B3688">
        <v>0.99352677808782597</v>
      </c>
      <c r="C3688">
        <v>0.94811294837132098</v>
      </c>
      <c r="D3688">
        <v>1.11650045997549</v>
      </c>
      <c r="E3688">
        <v>0.84150784803025702</v>
      </c>
      <c r="F3688">
        <v>0.67800928797353199</v>
      </c>
      <c r="G3688">
        <v>0.53067401871444997</v>
      </c>
      <c r="H3688">
        <v>0.47193961104375898</v>
      </c>
      <c r="I3688">
        <v>0.47277966712372499</v>
      </c>
      <c r="J3688">
        <v>0.60105899438684096</v>
      </c>
      <c r="K3688">
        <v>0.55731516656000102</v>
      </c>
      <c r="L3688">
        <v>1760.4497347362999</v>
      </c>
      <c r="M3688">
        <v>34.205740682311003</v>
      </c>
      <c r="O3688">
        <v>51.291546594143</v>
      </c>
      <c r="P3688">
        <v>-7.9155713575508102E-2</v>
      </c>
      <c r="Q3688">
        <v>0.52522550925092404</v>
      </c>
      <c r="R3688">
        <v>0.93494826278468901</v>
      </c>
      <c r="S3688" t="s">
        <v>9973</v>
      </c>
      <c r="T3688" t="s">
        <v>12568</v>
      </c>
      <c r="U3688" t="s">
        <v>12568</v>
      </c>
      <c r="V3688" t="s">
        <v>12568</v>
      </c>
      <c r="W3688" t="s">
        <v>16212</v>
      </c>
      <c r="X3688">
        <v>3</v>
      </c>
      <c r="Y3688" t="s">
        <v>22335</v>
      </c>
      <c r="Z3688" t="s">
        <v>28558</v>
      </c>
      <c r="AA3688">
        <v>0.70900537313404888</v>
      </c>
      <c r="AB3688" t="str">
        <f>HYPERLINK("Melting_Curves/meltCurve_Q6PJF5_2_RHBDF2.pdf", "Melting_Curves/meltCurve_Q6PJF5_2_RHBDF2.pdf")</f>
        <v>Melting_Curves/meltCurve_Q6PJF5_2_RHBDF2.pdf</v>
      </c>
    </row>
    <row r="3689" spans="1:28" x14ac:dyDescent="0.25">
      <c r="A3689" t="s">
        <v>3693</v>
      </c>
      <c r="B3689">
        <v>0.99352677808782597</v>
      </c>
      <c r="C3689">
        <v>0.93438355549507202</v>
      </c>
      <c r="D3689">
        <v>1.0114856511431101</v>
      </c>
      <c r="E3689">
        <v>0.61805937281264001</v>
      </c>
      <c r="F3689">
        <v>0.85263873357585196</v>
      </c>
      <c r="G3689">
        <v>0.79105886380287005</v>
      </c>
      <c r="H3689">
        <v>0.76218431779150198</v>
      </c>
      <c r="I3689">
        <v>0.75559827016663195</v>
      </c>
      <c r="J3689">
        <v>0.67282701284961</v>
      </c>
      <c r="K3689">
        <v>0.59012698687376897</v>
      </c>
      <c r="L3689">
        <v>281.49390239747902</v>
      </c>
      <c r="M3689">
        <v>4.6838474138686497</v>
      </c>
      <c r="O3689">
        <v>51.620034382448303</v>
      </c>
      <c r="P3689">
        <v>-1.21651514316622E-2</v>
      </c>
      <c r="Q3689">
        <v>0.46778922862667099</v>
      </c>
      <c r="R3689">
        <v>0.60327330301619198</v>
      </c>
      <c r="S3689" t="s">
        <v>9974</v>
      </c>
      <c r="T3689" t="s">
        <v>12568</v>
      </c>
      <c r="U3689" t="s">
        <v>12568</v>
      </c>
      <c r="V3689" t="s">
        <v>12568</v>
      </c>
      <c r="W3689" t="s">
        <v>16213</v>
      </c>
      <c r="X3689">
        <v>6</v>
      </c>
      <c r="Y3689" t="s">
        <v>22336</v>
      </c>
      <c r="Z3689" t="s">
        <v>28559</v>
      </c>
      <c r="AA3689">
        <v>0.79563084915155236</v>
      </c>
      <c r="AB3689" t="str">
        <f>HYPERLINK("Melting_Curves/meltCurve_Q6PJG2_ELMSAN1.pdf", "Melting_Curves/meltCurve_Q6PJG2_ELMSAN1.pdf")</f>
        <v>Melting_Curves/meltCurve_Q6PJG2_ELMSAN1.pdf</v>
      </c>
    </row>
    <row r="3690" spans="1:28" x14ac:dyDescent="0.25">
      <c r="A3690" t="s">
        <v>3694</v>
      </c>
      <c r="B3690">
        <v>0.99352677808782597</v>
      </c>
      <c r="C3690">
        <v>0.76318195706355896</v>
      </c>
      <c r="D3690">
        <v>0.57029290927834997</v>
      </c>
      <c r="E3690">
        <v>0.33755420735998398</v>
      </c>
      <c r="F3690">
        <v>0.292091269946398</v>
      </c>
      <c r="G3690">
        <v>0.19413836634654599</v>
      </c>
      <c r="H3690">
        <v>0.22517147393419901</v>
      </c>
      <c r="I3690">
        <v>0.146327897214105</v>
      </c>
      <c r="J3690">
        <v>0.12101216240172</v>
      </c>
      <c r="K3690">
        <v>8.9568691567891004E-2</v>
      </c>
      <c r="L3690">
        <v>668.01868140131501</v>
      </c>
      <c r="M3690">
        <v>14.4348782577159</v>
      </c>
      <c r="N3690">
        <v>47.310236092316103</v>
      </c>
      <c r="O3690">
        <v>45.417111192632703</v>
      </c>
      <c r="P3690">
        <v>-6.8732613198404804E-2</v>
      </c>
      <c r="Q3690">
        <v>0.13507542619434801</v>
      </c>
      <c r="R3690">
        <v>0.98109144524883196</v>
      </c>
      <c r="S3690" t="s">
        <v>9975</v>
      </c>
      <c r="T3690" t="s">
        <v>12568</v>
      </c>
      <c r="U3690" t="s">
        <v>12568</v>
      </c>
      <c r="V3690" t="s">
        <v>12568</v>
      </c>
      <c r="W3690" t="s">
        <v>16214</v>
      </c>
      <c r="X3690">
        <v>13</v>
      </c>
      <c r="Y3690" t="s">
        <v>22337</v>
      </c>
      <c r="Z3690" t="s">
        <v>28560</v>
      </c>
      <c r="AA3690">
        <v>0.34283527221592458</v>
      </c>
      <c r="AB3690" t="str">
        <f>HYPERLINK("Melting_Curves/meltCurve_Q6PJG6_BRAT1.pdf", "Melting_Curves/meltCurve_Q6PJG6_BRAT1.pdf")</f>
        <v>Melting_Curves/meltCurve_Q6PJG6_BRAT1.pdf</v>
      </c>
    </row>
    <row r="3691" spans="1:28" x14ac:dyDescent="0.25">
      <c r="A3691" t="s">
        <v>3695</v>
      </c>
      <c r="B3691">
        <v>0.99352677808782597</v>
      </c>
      <c r="C3691">
        <v>1.15105392569953</v>
      </c>
      <c r="D3691">
        <v>0.89816893488292104</v>
      </c>
      <c r="E3691">
        <v>0.62419440392578396</v>
      </c>
      <c r="F3691">
        <v>0.724463093363236</v>
      </c>
      <c r="G3691">
        <v>0.504846699727444</v>
      </c>
      <c r="H3691">
        <v>0.41078635184273599</v>
      </c>
      <c r="I3691">
        <v>0.33346654031727002</v>
      </c>
      <c r="J3691">
        <v>0.196987638514136</v>
      </c>
      <c r="K3691">
        <v>0.25639852179157302</v>
      </c>
      <c r="L3691">
        <v>580.22332557884499</v>
      </c>
      <c r="M3691">
        <v>10.568942959655001</v>
      </c>
      <c r="N3691">
        <v>56.954576022325703</v>
      </c>
      <c r="O3691">
        <v>53.042815602247501</v>
      </c>
      <c r="P3691">
        <v>-4.1930806957210298E-2</v>
      </c>
      <c r="Q3691">
        <v>0.15857117354745001</v>
      </c>
      <c r="R3691">
        <v>0.92401851458892403</v>
      </c>
      <c r="S3691" t="s">
        <v>9976</v>
      </c>
      <c r="T3691" t="s">
        <v>12568</v>
      </c>
      <c r="U3691" t="s">
        <v>12568</v>
      </c>
      <c r="V3691" t="s">
        <v>12568</v>
      </c>
      <c r="W3691" t="s">
        <v>16215</v>
      </c>
      <c r="X3691">
        <v>1</v>
      </c>
      <c r="Y3691" t="s">
        <v>22338</v>
      </c>
      <c r="Z3691" t="s">
        <v>28561</v>
      </c>
      <c r="AA3691">
        <v>0.59803888430009899</v>
      </c>
      <c r="AB3691" t="str">
        <f>HYPERLINK("Melting_Curves/meltCurve_Q6PJI9_2_WDR59.pdf", "Melting_Curves/meltCurve_Q6PJI9_2_WDR59.pdf")</f>
        <v>Melting_Curves/meltCurve_Q6PJI9_2_WDR59.pdf</v>
      </c>
    </row>
    <row r="3692" spans="1:28" x14ac:dyDescent="0.25">
      <c r="A3692" t="s">
        <v>3696</v>
      </c>
      <c r="B3692">
        <v>0.99352677808782597</v>
      </c>
      <c r="C3692">
        <v>0.94569839077604601</v>
      </c>
      <c r="D3692">
        <v>0.984767640100918</v>
      </c>
      <c r="E3692">
        <v>0.79739365863155498</v>
      </c>
      <c r="F3692">
        <v>0.71497660533012097</v>
      </c>
      <c r="G3692">
        <v>0.61180758982605199</v>
      </c>
      <c r="H3692">
        <v>0.54946480278849796</v>
      </c>
      <c r="I3692">
        <v>0.57081058297989595</v>
      </c>
      <c r="J3692">
        <v>0.58652712727732703</v>
      </c>
      <c r="K3692">
        <v>0.49583380384675202</v>
      </c>
      <c r="L3692">
        <v>879.60238283450497</v>
      </c>
      <c r="M3692">
        <v>17.143574620257599</v>
      </c>
      <c r="O3692">
        <v>50.625130724470303</v>
      </c>
      <c r="P3692">
        <v>-3.91654133843947E-2</v>
      </c>
      <c r="Q3692">
        <v>0.53740440073910101</v>
      </c>
      <c r="R3692">
        <v>0.975373010184998</v>
      </c>
      <c r="S3692" t="s">
        <v>9977</v>
      </c>
      <c r="T3692" t="s">
        <v>12568</v>
      </c>
      <c r="U3692" t="s">
        <v>12568</v>
      </c>
      <c r="V3692" t="s">
        <v>12568</v>
      </c>
      <c r="W3692" t="s">
        <v>16216</v>
      </c>
      <c r="X3692">
        <v>19</v>
      </c>
      <c r="Y3692" t="s">
        <v>22339</v>
      </c>
      <c r="Z3692" t="s">
        <v>28562</v>
      </c>
      <c r="AA3692">
        <v>0.72023175312213539</v>
      </c>
      <c r="AB3692" t="str">
        <f>HYPERLINK("Melting_Curves/meltCurve_Q6PJT7_5_ZC3H14.pdf", "Melting_Curves/meltCurve_Q6PJT7_5_ZC3H14.pdf")</f>
        <v>Melting_Curves/meltCurve_Q6PJT7_5_ZC3H14.pdf</v>
      </c>
    </row>
    <row r="3693" spans="1:28" x14ac:dyDescent="0.25">
      <c r="A3693" t="s">
        <v>3697</v>
      </c>
      <c r="B3693">
        <v>0.99352677808782597</v>
      </c>
      <c r="C3693">
        <v>0.90575566045780898</v>
      </c>
      <c r="D3693">
        <v>1.0837228597991999</v>
      </c>
      <c r="E3693">
        <v>0.72297821850089194</v>
      </c>
      <c r="F3693">
        <v>0.62691162274646695</v>
      </c>
      <c r="G3693">
        <v>0.48767881531841101</v>
      </c>
      <c r="H3693">
        <v>0.46331681046802498</v>
      </c>
      <c r="I3693">
        <v>0.37013598449288798</v>
      </c>
      <c r="J3693">
        <v>0.39871893613011</v>
      </c>
      <c r="K3693">
        <v>0.32836970328896198</v>
      </c>
      <c r="L3693">
        <v>969.558213716164</v>
      </c>
      <c r="M3693">
        <v>18.7169612680363</v>
      </c>
      <c r="N3693">
        <v>55.931017755075601</v>
      </c>
      <c r="O3693">
        <v>51.220599271573903</v>
      </c>
      <c r="P3693">
        <v>-5.7147439186218403E-2</v>
      </c>
      <c r="Q3693">
        <v>0.374470622344801</v>
      </c>
      <c r="R3693">
        <v>0.94653513806809497</v>
      </c>
      <c r="S3693" t="s">
        <v>9978</v>
      </c>
      <c r="T3693" t="s">
        <v>12568</v>
      </c>
      <c r="U3693" t="s">
        <v>12568</v>
      </c>
      <c r="V3693" t="s">
        <v>12568</v>
      </c>
      <c r="W3693" t="s">
        <v>16217</v>
      </c>
      <c r="X3693">
        <v>2</v>
      </c>
      <c r="Y3693" t="s">
        <v>22340</v>
      </c>
      <c r="Z3693" t="s">
        <v>28563</v>
      </c>
      <c r="AA3693">
        <v>0.63028476316138782</v>
      </c>
      <c r="AB3693" t="str">
        <f>HYPERLINK("Melting_Curves/meltCurve_Q6PK04_CCDC137.pdf", "Melting_Curves/meltCurve_Q6PK04_CCDC137.pdf")</f>
        <v>Melting_Curves/meltCurve_Q6PK04_CCDC137.pdf</v>
      </c>
    </row>
    <row r="3694" spans="1:28" x14ac:dyDescent="0.25">
      <c r="A3694" t="s">
        <v>3698</v>
      </c>
      <c r="B3694">
        <v>0.99352677808782597</v>
      </c>
      <c r="C3694">
        <v>0.895014238721205</v>
      </c>
      <c r="D3694">
        <v>0.86885343223884004</v>
      </c>
      <c r="E3694">
        <v>0.55054825492122395</v>
      </c>
      <c r="F3694">
        <v>0.482839070271738</v>
      </c>
      <c r="G3694">
        <v>0.35090722888940501</v>
      </c>
      <c r="H3694">
        <v>0.28938497488610498</v>
      </c>
      <c r="I3694">
        <v>0.29247225610734101</v>
      </c>
      <c r="J3694">
        <v>0.29659148514473099</v>
      </c>
      <c r="K3694">
        <v>0.24639254713275899</v>
      </c>
      <c r="L3694">
        <v>760.52512184563602</v>
      </c>
      <c r="M3694">
        <v>15.398175972235499</v>
      </c>
      <c r="N3694">
        <v>51.912711212738301</v>
      </c>
      <c r="O3694">
        <v>48.580060432637403</v>
      </c>
      <c r="P3694">
        <v>-5.83769712697607E-2</v>
      </c>
      <c r="Q3694">
        <v>0.26336773612122999</v>
      </c>
      <c r="R3694">
        <v>0.98892775148078205</v>
      </c>
      <c r="S3694" t="s">
        <v>9979</v>
      </c>
      <c r="T3694" t="s">
        <v>12568</v>
      </c>
      <c r="U3694" t="s">
        <v>12568</v>
      </c>
      <c r="V3694" t="s">
        <v>12568</v>
      </c>
      <c r="W3694" t="s">
        <v>16218</v>
      </c>
      <c r="X3694">
        <v>15</v>
      </c>
      <c r="Y3694" t="s">
        <v>22341</v>
      </c>
      <c r="Z3694" t="s">
        <v>28564</v>
      </c>
      <c r="AA3694">
        <v>0.51102737011820853</v>
      </c>
      <c r="AB3694" t="str">
        <f>HYPERLINK("Melting_Curves/meltCurve_Q6PKG0_LARP1.pdf", "Melting_Curves/meltCurve_Q6PKG0_LARP1.pdf")</f>
        <v>Melting_Curves/meltCurve_Q6PKG0_LARP1.pdf</v>
      </c>
    </row>
    <row r="3695" spans="1:28" x14ac:dyDescent="0.25">
      <c r="A3695" t="s">
        <v>3699</v>
      </c>
      <c r="B3695">
        <v>0.99352677808782597</v>
      </c>
      <c r="C3695">
        <v>0.95806176761691197</v>
      </c>
      <c r="D3695">
        <v>0.95092888610641901</v>
      </c>
      <c r="E3695">
        <v>0.420052093814276</v>
      </c>
      <c r="F3695">
        <v>0.34504536990033802</v>
      </c>
      <c r="G3695">
        <v>0.22101767408745701</v>
      </c>
      <c r="H3695">
        <v>0.169050091268722</v>
      </c>
      <c r="I3695">
        <v>0.158643867703092</v>
      </c>
      <c r="J3695">
        <v>0.15848351721617901</v>
      </c>
      <c r="K3695">
        <v>0.114054971897597</v>
      </c>
      <c r="L3695">
        <v>1338.35093815597</v>
      </c>
      <c r="M3695">
        <v>27.234143265094399</v>
      </c>
      <c r="N3695">
        <v>49.881502288434497</v>
      </c>
      <c r="O3695">
        <v>48.879729325485599</v>
      </c>
      <c r="P3695">
        <v>-0.116166823203638</v>
      </c>
      <c r="Q3695">
        <v>0.16602512125998101</v>
      </c>
      <c r="R3695">
        <v>0.98415305033787803</v>
      </c>
      <c r="S3695" t="s">
        <v>9980</v>
      </c>
      <c r="T3695" t="s">
        <v>12568</v>
      </c>
      <c r="U3695" t="s">
        <v>12568</v>
      </c>
      <c r="V3695" t="s">
        <v>12568</v>
      </c>
      <c r="W3695" t="s">
        <v>16219</v>
      </c>
      <c r="X3695">
        <v>11</v>
      </c>
      <c r="Y3695" t="s">
        <v>22342</v>
      </c>
      <c r="Z3695" t="s">
        <v>28565</v>
      </c>
      <c r="AA3695">
        <v>0.42638140434481908</v>
      </c>
      <c r="AB3695" t="str">
        <f>HYPERLINK("Melting_Curves/meltCurve_Q6PL24_TMED8.pdf", "Melting_Curves/meltCurve_Q6PL24_TMED8.pdf")</f>
        <v>Melting_Curves/meltCurve_Q6PL24_TMED8.pdf</v>
      </c>
    </row>
    <row r="3696" spans="1:28" x14ac:dyDescent="0.25">
      <c r="A3696" t="s">
        <v>3700</v>
      </c>
      <c r="B3696">
        <v>0.99352677808782597</v>
      </c>
      <c r="C3696">
        <v>1.0378553611430701</v>
      </c>
      <c r="D3696">
        <v>1.12240079430818</v>
      </c>
      <c r="E3696">
        <v>1.1051134386503301</v>
      </c>
      <c r="F3696">
        <v>0.92396329644481201</v>
      </c>
      <c r="G3696">
        <v>0.88533866889858204</v>
      </c>
      <c r="H3696">
        <v>0.92786627607257199</v>
      </c>
      <c r="I3696">
        <v>0.79213153600616104</v>
      </c>
      <c r="J3696">
        <v>0.74103743123896004</v>
      </c>
      <c r="K3696">
        <v>0.81917012178298898</v>
      </c>
      <c r="L3696">
        <v>1083.5161977878599</v>
      </c>
      <c r="M3696">
        <v>18.228726672315201</v>
      </c>
      <c r="O3696">
        <v>58.738538862816398</v>
      </c>
      <c r="P3696">
        <v>-1.80931169696429E-2</v>
      </c>
      <c r="Q3696">
        <v>0.76680468419185499</v>
      </c>
      <c r="R3696">
        <v>0.71232329299091202</v>
      </c>
      <c r="S3696" t="s">
        <v>9981</v>
      </c>
      <c r="T3696" t="s">
        <v>12568</v>
      </c>
      <c r="U3696" t="s">
        <v>12568</v>
      </c>
      <c r="V3696" t="s">
        <v>12568</v>
      </c>
      <c r="W3696" t="s">
        <v>16220</v>
      </c>
      <c r="X3696">
        <v>15</v>
      </c>
      <c r="Y3696" t="s">
        <v>19069</v>
      </c>
      <c r="Z3696" t="s">
        <v>28566</v>
      </c>
      <c r="AA3696">
        <v>0.92016098321450146</v>
      </c>
      <c r="AB3696" t="str">
        <f>HYPERLINK("Melting_Curves/meltCurve_Q6PUV4_CPLX2.pdf", "Melting_Curves/meltCurve_Q6PUV4_CPLX2.pdf")</f>
        <v>Melting_Curves/meltCurve_Q6PUV4_CPLX2.pdf</v>
      </c>
    </row>
    <row r="3697" spans="1:28" x14ac:dyDescent="0.25">
      <c r="A3697" t="s">
        <v>3701</v>
      </c>
      <c r="B3697">
        <v>0.99352677808782597</v>
      </c>
      <c r="C3697">
        <v>0.89082642135617796</v>
      </c>
      <c r="D3697">
        <v>0.83772371458327299</v>
      </c>
      <c r="E3697">
        <v>0.47849441356670802</v>
      </c>
      <c r="F3697">
        <v>0.396638506473657</v>
      </c>
      <c r="G3697">
        <v>0.26745842591588498</v>
      </c>
      <c r="H3697">
        <v>0.29881564490845097</v>
      </c>
      <c r="I3697">
        <v>0.168267221528733</v>
      </c>
      <c r="J3697">
        <v>0.13852789512149999</v>
      </c>
      <c r="K3697">
        <v>0.10289841084065</v>
      </c>
      <c r="L3697">
        <v>681.57448598604697</v>
      </c>
      <c r="M3697">
        <v>13.7427182466209</v>
      </c>
      <c r="N3697">
        <v>50.791328711856799</v>
      </c>
      <c r="O3697">
        <v>48.580549045464302</v>
      </c>
      <c r="P3697">
        <v>-6.0953979276463198E-2</v>
      </c>
      <c r="Q3697">
        <v>0.138232612146415</v>
      </c>
      <c r="R3697">
        <v>0.97816350102907701</v>
      </c>
      <c r="S3697" t="s">
        <v>9982</v>
      </c>
      <c r="T3697" t="s">
        <v>12568</v>
      </c>
      <c r="U3697" t="s">
        <v>12568</v>
      </c>
      <c r="V3697" t="s">
        <v>12568</v>
      </c>
      <c r="W3697" t="s">
        <v>16221</v>
      </c>
      <c r="X3697">
        <v>2</v>
      </c>
      <c r="Y3697" t="s">
        <v>22343</v>
      </c>
      <c r="Z3697" t="s">
        <v>28567</v>
      </c>
      <c r="AA3697">
        <v>0.43820125956632189</v>
      </c>
      <c r="AB3697" t="str">
        <f>HYPERLINK("Melting_Curves/meltCurve_Q6Q0C0_TRAF7.pdf", "Melting_Curves/meltCurve_Q6Q0C0_TRAF7.pdf")</f>
        <v>Melting_Curves/meltCurve_Q6Q0C0_TRAF7.pdf</v>
      </c>
    </row>
    <row r="3698" spans="1:28" x14ac:dyDescent="0.25">
      <c r="A3698" t="s">
        <v>3702</v>
      </c>
      <c r="B3698">
        <v>0.99352677808782597</v>
      </c>
      <c r="C3698">
        <v>1.0535617686502801</v>
      </c>
      <c r="D3698">
        <v>0.96049202912582199</v>
      </c>
      <c r="E3698">
        <v>1.0291133922814499</v>
      </c>
      <c r="F3698">
        <v>0.77300293272495701</v>
      </c>
      <c r="G3698">
        <v>0.721200919633186</v>
      </c>
      <c r="H3698">
        <v>0.54678253099530805</v>
      </c>
      <c r="I3698">
        <v>0.55278678388047997</v>
      </c>
      <c r="J3698">
        <v>0.70127366847973804</v>
      </c>
      <c r="K3698">
        <v>0.62513248981744296</v>
      </c>
      <c r="L3698">
        <v>13225.719117033999</v>
      </c>
      <c r="M3698">
        <v>250</v>
      </c>
      <c r="O3698">
        <v>52.89949282461</v>
      </c>
      <c r="P3698">
        <v>-0.43781698287236898</v>
      </c>
      <c r="Q3698">
        <v>0.629435271461384</v>
      </c>
      <c r="R3698">
        <v>0.91023219014873402</v>
      </c>
      <c r="S3698" t="s">
        <v>9983</v>
      </c>
      <c r="T3698" t="s">
        <v>12568</v>
      </c>
      <c r="U3698" t="s">
        <v>12568</v>
      </c>
      <c r="V3698" t="s">
        <v>12568</v>
      </c>
      <c r="W3698" t="s">
        <v>16222</v>
      </c>
      <c r="X3698">
        <v>7</v>
      </c>
      <c r="Y3698" t="s">
        <v>22344</v>
      </c>
      <c r="Z3698" t="s">
        <v>28568</v>
      </c>
      <c r="AA3698">
        <v>0.78884803993048414</v>
      </c>
      <c r="AB3698" t="str">
        <f>HYPERLINK("Melting_Curves/meltCurve_Q6QNY0_BLOC1S3.pdf", "Melting_Curves/meltCurve_Q6QNY0_BLOC1S3.pdf")</f>
        <v>Melting_Curves/meltCurve_Q6QNY0_BLOC1S3.pdf</v>
      </c>
    </row>
    <row r="3699" spans="1:28" x14ac:dyDescent="0.25">
      <c r="A3699" t="s">
        <v>3703</v>
      </c>
      <c r="B3699">
        <v>0.99352677808782597</v>
      </c>
      <c r="C3699">
        <v>0.92780751630551805</v>
      </c>
      <c r="D3699">
        <v>0.87501206552281496</v>
      </c>
      <c r="E3699">
        <v>0.95881743910457395</v>
      </c>
      <c r="F3699">
        <v>0.800715663530007</v>
      </c>
      <c r="G3699">
        <v>0.65576627394626696</v>
      </c>
      <c r="H3699">
        <v>0.56772928627221997</v>
      </c>
      <c r="I3699">
        <v>0.60336341882266398</v>
      </c>
      <c r="J3699">
        <v>0.67643543914222404</v>
      </c>
      <c r="K3699">
        <v>0.54637944305966502</v>
      </c>
      <c r="L3699">
        <v>1254.83412225918</v>
      </c>
      <c r="M3699">
        <v>23.613409046525799</v>
      </c>
      <c r="O3699">
        <v>52.764025013338397</v>
      </c>
      <c r="P3699">
        <v>-4.5755569744742201E-2</v>
      </c>
      <c r="Q3699">
        <v>0.59104468251632603</v>
      </c>
      <c r="R3699">
        <v>0.88513440797315002</v>
      </c>
      <c r="S3699" t="s">
        <v>9984</v>
      </c>
      <c r="T3699" t="s">
        <v>12568</v>
      </c>
      <c r="U3699" t="s">
        <v>12568</v>
      </c>
      <c r="V3699" t="s">
        <v>12568</v>
      </c>
      <c r="W3699" t="s">
        <v>16223</v>
      </c>
      <c r="X3699">
        <v>2</v>
      </c>
      <c r="Y3699" t="s">
        <v>22345</v>
      </c>
      <c r="Z3699" t="s">
        <v>28569</v>
      </c>
      <c r="AA3699">
        <v>0.77436625535406667</v>
      </c>
      <c r="AB3699" t="str">
        <f>HYPERLINK("Melting_Curves/meltCurve_Q6QNY1_BLOC1S2.pdf", "Melting_Curves/meltCurve_Q6QNY1_BLOC1S2.pdf")</f>
        <v>Melting_Curves/meltCurve_Q6QNY1_BLOC1S2.pdf</v>
      </c>
    </row>
    <row r="3700" spans="1:28" x14ac:dyDescent="0.25">
      <c r="A3700" t="s">
        <v>3704</v>
      </c>
      <c r="B3700">
        <v>0.99352677808782597</v>
      </c>
      <c r="C3700">
        <v>2.99896224346364</v>
      </c>
      <c r="D3700">
        <v>3.1035484878143298</v>
      </c>
      <c r="E3700">
        <v>2.36869382464474</v>
      </c>
      <c r="F3700">
        <v>2.26085649045373</v>
      </c>
      <c r="G3700">
        <v>1.40425376151845</v>
      </c>
      <c r="H3700">
        <v>0.88609417998637896</v>
      </c>
      <c r="I3700">
        <v>0.80102044411783502</v>
      </c>
      <c r="J3700">
        <v>0.809757631866172</v>
      </c>
      <c r="K3700">
        <v>0.63728508924878002</v>
      </c>
      <c r="L3700">
        <v>2797.4432607570102</v>
      </c>
      <c r="M3700">
        <v>44.508704136541397</v>
      </c>
      <c r="O3700">
        <v>62.725113891540801</v>
      </c>
      <c r="P3700">
        <v>-5.1681895865581098E-2</v>
      </c>
      <c r="Q3700">
        <v>0.70866384946245797</v>
      </c>
      <c r="R3700">
        <v>-0.44601992319269401</v>
      </c>
      <c r="S3700" t="s">
        <v>9985</v>
      </c>
      <c r="T3700" t="s">
        <v>12568</v>
      </c>
      <c r="U3700" t="s">
        <v>12568</v>
      </c>
      <c r="V3700" t="s">
        <v>12568</v>
      </c>
      <c r="W3700" t="s">
        <v>16224</v>
      </c>
      <c r="X3700">
        <v>5</v>
      </c>
      <c r="Y3700" t="s">
        <v>22346</v>
      </c>
      <c r="Z3700" t="s">
        <v>28570</v>
      </c>
      <c r="AA3700">
        <v>0.93141180413192581</v>
      </c>
      <c r="AB3700" t="str">
        <f>HYPERLINK("Melting_Curves/meltCurve_Q6R327_RICTOR.pdf", "Melting_Curves/meltCurve_Q6R327_RICTOR.pdf")</f>
        <v>Melting_Curves/meltCurve_Q6R327_RICTOR.pdf</v>
      </c>
    </row>
    <row r="3701" spans="1:28" x14ac:dyDescent="0.25">
      <c r="A3701" t="s">
        <v>3705</v>
      </c>
      <c r="B3701">
        <v>0.99352677808782597</v>
      </c>
      <c r="C3701">
        <v>0.94627803266797295</v>
      </c>
      <c r="D3701">
        <v>0.76119715712473202</v>
      </c>
      <c r="E3701">
        <v>0.416978174026088</v>
      </c>
      <c r="F3701">
        <v>0.32968015179783</v>
      </c>
      <c r="G3701">
        <v>0.17936309395046501</v>
      </c>
      <c r="H3701">
        <v>0.15109274960371799</v>
      </c>
      <c r="I3701">
        <v>0.123999039592537</v>
      </c>
      <c r="J3701">
        <v>8.39465646658413E-2</v>
      </c>
      <c r="K3701">
        <v>6.8054919974169098E-2</v>
      </c>
      <c r="L3701">
        <v>801.68633799928898</v>
      </c>
      <c r="M3701">
        <v>16.404954958238299</v>
      </c>
      <c r="N3701">
        <v>49.487368738279599</v>
      </c>
      <c r="O3701">
        <v>48.159703874544398</v>
      </c>
      <c r="P3701">
        <v>-7.7267622922196202E-2</v>
      </c>
      <c r="Q3701">
        <v>9.2732330893888104E-2</v>
      </c>
      <c r="R3701">
        <v>0.99403715679018201</v>
      </c>
      <c r="S3701" t="s">
        <v>9986</v>
      </c>
      <c r="T3701" t="s">
        <v>12568</v>
      </c>
      <c r="U3701" t="s">
        <v>12568</v>
      </c>
      <c r="V3701" t="s">
        <v>12568</v>
      </c>
      <c r="W3701" t="s">
        <v>16225</v>
      </c>
      <c r="X3701">
        <v>2</v>
      </c>
      <c r="Y3701" t="s">
        <v>22347</v>
      </c>
      <c r="Z3701" t="s">
        <v>28571</v>
      </c>
      <c r="AA3701">
        <v>0.3798746457173085</v>
      </c>
      <c r="AB3701" t="str">
        <f>HYPERLINK("Melting_Curves/meltCurve_Q6SJ93_FAM111B.pdf", "Melting_Curves/meltCurve_Q6SJ93_FAM111B.pdf")</f>
        <v>Melting_Curves/meltCurve_Q6SJ93_FAM111B.pdf</v>
      </c>
    </row>
    <row r="3702" spans="1:28" x14ac:dyDescent="0.25">
      <c r="A3702" t="s">
        <v>3706</v>
      </c>
      <c r="B3702">
        <v>0.99352677808782597</v>
      </c>
      <c r="C3702">
        <v>0.95568345819143097</v>
      </c>
      <c r="D3702">
        <v>0.84624548327078897</v>
      </c>
      <c r="E3702">
        <v>0.55051884940842999</v>
      </c>
      <c r="F3702">
        <v>0.48550978404982498</v>
      </c>
      <c r="G3702">
        <v>0.35426328690792902</v>
      </c>
      <c r="H3702">
        <v>0.30108170769199799</v>
      </c>
      <c r="I3702">
        <v>0.32029412596082901</v>
      </c>
      <c r="J3702">
        <v>0.323024179266519</v>
      </c>
      <c r="K3702">
        <v>0.25986537762681999</v>
      </c>
      <c r="L3702">
        <v>850.87884007205696</v>
      </c>
      <c r="M3702">
        <v>17.332083384515801</v>
      </c>
      <c r="N3702">
        <v>51.722916706695599</v>
      </c>
      <c r="O3702">
        <v>48.453164172192601</v>
      </c>
      <c r="P3702">
        <v>-6.3238067451654598E-2</v>
      </c>
      <c r="Q3702">
        <v>0.29289322194900902</v>
      </c>
      <c r="R3702">
        <v>0.99208665046592204</v>
      </c>
      <c r="S3702" t="s">
        <v>9987</v>
      </c>
      <c r="T3702" t="s">
        <v>12568</v>
      </c>
      <c r="U3702" t="s">
        <v>12568</v>
      </c>
      <c r="V3702" t="s">
        <v>12568</v>
      </c>
      <c r="W3702" t="s">
        <v>16226</v>
      </c>
      <c r="X3702">
        <v>4</v>
      </c>
      <c r="Y3702" t="s">
        <v>22348</v>
      </c>
      <c r="Z3702" t="s">
        <v>28572</v>
      </c>
      <c r="AA3702">
        <v>0.52038546389534857</v>
      </c>
      <c r="AB3702" t="str">
        <f>HYPERLINK("Melting_Curves/meltCurve_Q6SPF0_SAMD1.pdf", "Melting_Curves/meltCurve_Q6SPF0_SAMD1.pdf")</f>
        <v>Melting_Curves/meltCurve_Q6SPF0_SAMD1.pdf</v>
      </c>
    </row>
    <row r="3703" spans="1:28" x14ac:dyDescent="0.25">
      <c r="A3703" t="s">
        <v>3707</v>
      </c>
      <c r="B3703">
        <v>0.99352677808782597</v>
      </c>
      <c r="C3703">
        <v>0.86159864432060096</v>
      </c>
      <c r="D3703">
        <v>0.76661977692004202</v>
      </c>
      <c r="E3703">
        <v>0.49963698223690001</v>
      </c>
      <c r="F3703">
        <v>0.37227125150483398</v>
      </c>
      <c r="G3703">
        <v>0.164529084745829</v>
      </c>
      <c r="H3703">
        <v>0.111058265183831</v>
      </c>
      <c r="I3703">
        <v>0.10263588483719401</v>
      </c>
      <c r="J3703">
        <v>5.8241256208365198E-2</v>
      </c>
      <c r="K3703">
        <v>6.75129589316667E-2</v>
      </c>
      <c r="L3703">
        <v>644.30236339527698</v>
      </c>
      <c r="M3703">
        <v>12.9171262000916</v>
      </c>
      <c r="N3703">
        <v>50.153659972129198</v>
      </c>
      <c r="O3703">
        <v>48.729599181295903</v>
      </c>
      <c r="P3703">
        <v>-6.4023624037951393E-2</v>
      </c>
      <c r="Q3703">
        <v>3.4063615454495398E-2</v>
      </c>
      <c r="R3703">
        <v>0.99602315539594199</v>
      </c>
      <c r="S3703" t="s">
        <v>9988</v>
      </c>
      <c r="T3703" t="s">
        <v>12568</v>
      </c>
      <c r="U3703" t="s">
        <v>12568</v>
      </c>
      <c r="V3703" t="s">
        <v>12568</v>
      </c>
      <c r="W3703" t="s">
        <v>16227</v>
      </c>
      <c r="X3703">
        <v>2</v>
      </c>
      <c r="Y3703" t="s">
        <v>22349</v>
      </c>
      <c r="Z3703" t="s">
        <v>28573</v>
      </c>
      <c r="AA3703">
        <v>0.3820713632134275</v>
      </c>
      <c r="AB3703" t="str">
        <f>HYPERLINK("Melting_Curves/meltCurve_Q6SZW1_SARM1.pdf", "Melting_Curves/meltCurve_Q6SZW1_SARM1.pdf")</f>
        <v>Melting_Curves/meltCurve_Q6SZW1_SARM1.pdf</v>
      </c>
    </row>
    <row r="3704" spans="1:28" x14ac:dyDescent="0.25">
      <c r="A3704" t="s">
        <v>3708</v>
      </c>
      <c r="B3704">
        <v>0.99352677808782597</v>
      </c>
      <c r="C3704">
        <v>0.95588927395004897</v>
      </c>
      <c r="D3704">
        <v>0.95671547914892097</v>
      </c>
      <c r="E3704">
        <v>0.96344242884063802</v>
      </c>
      <c r="F3704">
        <v>0.86938383473974601</v>
      </c>
      <c r="G3704">
        <v>0.76648466791611503</v>
      </c>
      <c r="H3704">
        <v>0.75886725415994705</v>
      </c>
      <c r="I3704">
        <v>0.80390328113040499</v>
      </c>
      <c r="J3704">
        <v>0.83396265991708596</v>
      </c>
      <c r="K3704">
        <v>0.761379847035488</v>
      </c>
      <c r="L3704">
        <v>2060.6832462193602</v>
      </c>
      <c r="M3704">
        <v>39.457327887328901</v>
      </c>
      <c r="O3704">
        <v>52.092002941393602</v>
      </c>
      <c r="P3704">
        <v>-4.0867904340816302E-2</v>
      </c>
      <c r="Q3704">
        <v>0.78418340684545595</v>
      </c>
      <c r="R3704">
        <v>0.89218623898440297</v>
      </c>
      <c r="S3704" t="s">
        <v>9989</v>
      </c>
      <c r="T3704" t="s">
        <v>12568</v>
      </c>
      <c r="U3704" t="s">
        <v>12568</v>
      </c>
      <c r="V3704" t="s">
        <v>12568</v>
      </c>
      <c r="W3704" t="s">
        <v>16228</v>
      </c>
      <c r="X3704">
        <v>13</v>
      </c>
      <c r="Y3704" t="s">
        <v>22350</v>
      </c>
      <c r="Z3704" t="s">
        <v>28574</v>
      </c>
      <c r="AA3704">
        <v>0.87293341067617125</v>
      </c>
      <c r="AB3704" t="str">
        <f>HYPERLINK("Melting_Curves/meltCurve_Q6T4R5_4_NHS.pdf", "Melting_Curves/meltCurve_Q6T4R5_4_NHS.pdf")</f>
        <v>Melting_Curves/meltCurve_Q6T4R5_4_NHS.pdf</v>
      </c>
    </row>
    <row r="3705" spans="1:28" x14ac:dyDescent="0.25">
      <c r="A3705" t="s">
        <v>3709</v>
      </c>
      <c r="B3705">
        <v>0.99352677808782597</v>
      </c>
      <c r="C3705">
        <v>0.88401703875026705</v>
      </c>
      <c r="D3705">
        <v>0.56184866839087999</v>
      </c>
      <c r="E3705">
        <v>0.19281986689539199</v>
      </c>
      <c r="F3705">
        <v>0.140787378426323</v>
      </c>
      <c r="G3705">
        <v>8.8110666790665398E-2</v>
      </c>
      <c r="H3705">
        <v>6.3155173560191499E-2</v>
      </c>
      <c r="I3705">
        <v>6.0852505686177699E-2</v>
      </c>
      <c r="J3705">
        <v>5.2808013326740399E-2</v>
      </c>
      <c r="K3705">
        <v>3.90607578630379E-2</v>
      </c>
      <c r="L3705">
        <v>1088.9976349842</v>
      </c>
      <c r="M3705">
        <v>23.5101481257154</v>
      </c>
      <c r="N3705">
        <v>46.580793258217099</v>
      </c>
      <c r="O3705">
        <v>45.989079579187901</v>
      </c>
      <c r="P3705">
        <v>-0.11993306121545599</v>
      </c>
      <c r="Q3705">
        <v>6.1593570617701002E-2</v>
      </c>
      <c r="R3705">
        <v>0.99799951242709795</v>
      </c>
      <c r="S3705" t="s">
        <v>9990</v>
      </c>
      <c r="T3705" t="s">
        <v>12568</v>
      </c>
      <c r="U3705" t="s">
        <v>12568</v>
      </c>
      <c r="V3705" t="s">
        <v>12568</v>
      </c>
      <c r="W3705" t="s">
        <v>16229</v>
      </c>
      <c r="X3705">
        <v>19</v>
      </c>
      <c r="Y3705" t="s">
        <v>22351</v>
      </c>
      <c r="Z3705" t="s">
        <v>28575</v>
      </c>
      <c r="AA3705">
        <v>0.2691226433780643</v>
      </c>
      <c r="AB3705" t="str">
        <f>HYPERLINK("Melting_Curves/meltCurve_Q6UB35_MTHFD1L.pdf", "Melting_Curves/meltCurve_Q6UB35_MTHFD1L.pdf")</f>
        <v>Melting_Curves/meltCurve_Q6UB35_MTHFD1L.pdf</v>
      </c>
    </row>
    <row r="3706" spans="1:28" x14ac:dyDescent="0.25">
      <c r="A3706" t="s">
        <v>3710</v>
      </c>
      <c r="B3706">
        <v>0.99352677808782597</v>
      </c>
      <c r="C3706">
        <v>1.25810065065628</v>
      </c>
      <c r="D3706">
        <v>1.4358271396768301</v>
      </c>
      <c r="E3706">
        <v>0.99927759952814499</v>
      </c>
      <c r="F3706">
        <v>0.74431350732759904</v>
      </c>
      <c r="G3706">
        <v>0.625931766840786</v>
      </c>
      <c r="H3706">
        <v>1.6517087713789</v>
      </c>
      <c r="I3706">
        <v>0.56942099275061397</v>
      </c>
      <c r="J3706">
        <v>0.419916063501314</v>
      </c>
      <c r="K3706">
        <v>0.184506015971347</v>
      </c>
      <c r="L3706">
        <v>15000</v>
      </c>
      <c r="M3706">
        <v>234.85171119986001</v>
      </c>
      <c r="N3706">
        <v>64.123274432730895</v>
      </c>
      <c r="O3706">
        <v>63.865458839423397</v>
      </c>
      <c r="P3706">
        <v>-0.641509349056682</v>
      </c>
      <c r="Q3706">
        <v>0.30219305373719202</v>
      </c>
      <c r="R3706">
        <v>0.53078496373122197</v>
      </c>
      <c r="S3706" t="s">
        <v>9991</v>
      </c>
      <c r="T3706" t="s">
        <v>12568</v>
      </c>
      <c r="U3706" t="s">
        <v>12568</v>
      </c>
      <c r="V3706" t="s">
        <v>12568</v>
      </c>
      <c r="W3706" t="s">
        <v>16230</v>
      </c>
      <c r="X3706">
        <v>1</v>
      </c>
      <c r="Y3706" t="s">
        <v>22352</v>
      </c>
      <c r="Z3706" t="s">
        <v>28576</v>
      </c>
      <c r="AA3706">
        <v>0.85750551715804535</v>
      </c>
      <c r="AB3706" t="str">
        <f>HYPERLINK("Melting_Curves/meltCurve_Q6UB99_ANKRD11.pdf", "Melting_Curves/meltCurve_Q6UB99_ANKRD11.pdf")</f>
        <v>Melting_Curves/meltCurve_Q6UB99_ANKRD11.pdf</v>
      </c>
    </row>
    <row r="3707" spans="1:28" x14ac:dyDescent="0.25">
      <c r="A3707" t="s">
        <v>3711</v>
      </c>
      <c r="B3707">
        <v>0.99352677808782597</v>
      </c>
      <c r="C3707">
        <v>0.99148919485436804</v>
      </c>
      <c r="D3707">
        <v>0.92250255053170604</v>
      </c>
      <c r="E3707">
        <v>0.79295838070743896</v>
      </c>
      <c r="F3707">
        <v>0.73143054500233196</v>
      </c>
      <c r="G3707">
        <v>0.58736564555377002</v>
      </c>
      <c r="H3707">
        <v>0.52053828477102604</v>
      </c>
      <c r="I3707">
        <v>0.56461830492965204</v>
      </c>
      <c r="J3707">
        <v>0.60982487261820995</v>
      </c>
      <c r="K3707">
        <v>0.57366547947830804</v>
      </c>
      <c r="L3707">
        <v>913.33866162493996</v>
      </c>
      <c r="M3707">
        <v>18.054013907967398</v>
      </c>
      <c r="O3707">
        <v>49.9808109928668</v>
      </c>
      <c r="P3707">
        <v>-3.9875883501347402E-2</v>
      </c>
      <c r="Q3707">
        <v>0.55845126634932096</v>
      </c>
      <c r="R3707">
        <v>0.97441037917442996</v>
      </c>
      <c r="S3707" t="s">
        <v>9992</v>
      </c>
      <c r="T3707" t="s">
        <v>12568</v>
      </c>
      <c r="U3707" t="s">
        <v>12568</v>
      </c>
      <c r="V3707" t="s">
        <v>12568</v>
      </c>
      <c r="W3707" t="s">
        <v>16231</v>
      </c>
      <c r="X3707">
        <v>15</v>
      </c>
      <c r="Y3707" t="s">
        <v>22353</v>
      </c>
      <c r="Z3707" t="s">
        <v>28577</v>
      </c>
      <c r="AA3707">
        <v>0.72174101282807768</v>
      </c>
      <c r="AB3707" t="str">
        <f>HYPERLINK("Melting_Curves/meltCurve_Q6ULP2_5_AFTPH.pdf", "Melting_Curves/meltCurve_Q6ULP2_5_AFTPH.pdf")</f>
        <v>Melting_Curves/meltCurve_Q6ULP2_5_AFTPH.pdf</v>
      </c>
    </row>
    <row r="3708" spans="1:28" x14ac:dyDescent="0.25">
      <c r="A3708" t="s">
        <v>3712</v>
      </c>
      <c r="B3708">
        <v>0.99352677808782597</v>
      </c>
      <c r="C3708">
        <v>0.97269691364952005</v>
      </c>
      <c r="D3708">
        <v>1.02263732261541</v>
      </c>
      <c r="E3708">
        <v>1.23051014438182</v>
      </c>
      <c r="F3708">
        <v>1.16338538251365</v>
      </c>
      <c r="G3708">
        <v>1.14621205934698</v>
      </c>
      <c r="H3708">
        <v>1.1568298796659899</v>
      </c>
      <c r="I3708">
        <v>1.24510730220563</v>
      </c>
      <c r="J3708">
        <v>1.20921031122397</v>
      </c>
      <c r="K3708">
        <v>1.1445437460769301</v>
      </c>
      <c r="L3708">
        <v>11590.6630093859</v>
      </c>
      <c r="M3708">
        <v>250</v>
      </c>
      <c r="O3708">
        <v>46.359676621185002</v>
      </c>
      <c r="P3708">
        <v>0.24956235907260599</v>
      </c>
      <c r="Q3708">
        <v>1.1851141180925699</v>
      </c>
      <c r="R3708">
        <v>0.86799023298425204</v>
      </c>
      <c r="S3708" t="s">
        <v>9993</v>
      </c>
      <c r="T3708" t="s">
        <v>12568</v>
      </c>
      <c r="U3708" t="s">
        <v>12568</v>
      </c>
      <c r="V3708" t="s">
        <v>12568</v>
      </c>
      <c r="W3708" t="s">
        <v>16232</v>
      </c>
      <c r="X3708">
        <v>5</v>
      </c>
      <c r="Y3708" t="s">
        <v>22354</v>
      </c>
      <c r="Z3708" t="s">
        <v>28578</v>
      </c>
      <c r="AA3708">
        <v>1.145838498791381</v>
      </c>
      <c r="AB3708" t="str">
        <f>HYPERLINK("Melting_Curves/meltCurve_Q6UN15_FIP1L1.pdf", "Melting_Curves/meltCurve_Q6UN15_FIP1L1.pdf")</f>
        <v>Melting_Curves/meltCurve_Q6UN15_FIP1L1.pdf</v>
      </c>
    </row>
    <row r="3709" spans="1:28" x14ac:dyDescent="0.25">
      <c r="A3709" t="s">
        <v>3713</v>
      </c>
      <c r="B3709">
        <v>0.99352677808782597</v>
      </c>
      <c r="C3709">
        <v>0.91984224365012202</v>
      </c>
      <c r="D3709">
        <v>1.05271442837152</v>
      </c>
      <c r="E3709">
        <v>0.95915234686714501</v>
      </c>
      <c r="F3709">
        <v>0.77829958476739503</v>
      </c>
      <c r="G3709">
        <v>0.72848624935982598</v>
      </c>
      <c r="H3709">
        <v>0.688600091646555</v>
      </c>
      <c r="I3709">
        <v>0.69608680072046802</v>
      </c>
      <c r="J3709">
        <v>0.66438435473055002</v>
      </c>
      <c r="K3709">
        <v>0.62641593130798701</v>
      </c>
      <c r="L3709">
        <v>2069.3415456776202</v>
      </c>
      <c r="M3709">
        <v>39.663234541372503</v>
      </c>
      <c r="O3709">
        <v>52.040696822419498</v>
      </c>
      <c r="P3709">
        <v>-6.1571582071344097E-2</v>
      </c>
      <c r="Q3709">
        <v>0.67685733254329195</v>
      </c>
      <c r="R3709">
        <v>0.93347900773131498</v>
      </c>
      <c r="S3709" t="s">
        <v>9994</v>
      </c>
      <c r="T3709" t="s">
        <v>12568</v>
      </c>
      <c r="U3709" t="s">
        <v>12568</v>
      </c>
      <c r="V3709" t="s">
        <v>12568</v>
      </c>
      <c r="W3709" t="s">
        <v>16233</v>
      </c>
      <c r="X3709">
        <v>3</v>
      </c>
      <c r="Y3709" t="s">
        <v>22355</v>
      </c>
      <c r="Z3709" t="s">
        <v>28579</v>
      </c>
      <c r="AA3709">
        <v>0.80916025267229108</v>
      </c>
      <c r="AB3709" t="str">
        <f>HYPERLINK("Melting_Curves/meltCurve_Q6UUV7_3_CRTC3.pdf", "Melting_Curves/meltCurve_Q6UUV7_3_CRTC3.pdf")</f>
        <v>Melting_Curves/meltCurve_Q6UUV7_3_CRTC3.pdf</v>
      </c>
    </row>
    <row r="3710" spans="1:28" x14ac:dyDescent="0.25">
      <c r="A3710" t="s">
        <v>3714</v>
      </c>
      <c r="B3710">
        <v>0.99352677808782597</v>
      </c>
      <c r="C3710">
        <v>0.99619462517672597</v>
      </c>
      <c r="D3710">
        <v>0.966159974395015</v>
      </c>
      <c r="E3710">
        <v>0.79899423281218096</v>
      </c>
      <c r="F3710">
        <v>0.71499375827604605</v>
      </c>
      <c r="G3710">
        <v>0.32357478438467302</v>
      </c>
      <c r="H3710">
        <v>0.16112775187994399</v>
      </c>
      <c r="I3710">
        <v>0.13784215792940699</v>
      </c>
      <c r="J3710">
        <v>0.105685615114245</v>
      </c>
      <c r="K3710">
        <v>7.3236116078488595E-2</v>
      </c>
      <c r="L3710">
        <v>1017.26522042864</v>
      </c>
      <c r="M3710">
        <v>18.6603970198647</v>
      </c>
      <c r="N3710">
        <v>54.926688289204399</v>
      </c>
      <c r="O3710">
        <v>53.900164316657701</v>
      </c>
      <c r="P3710">
        <v>-8.0901464774540605E-2</v>
      </c>
      <c r="Q3710">
        <v>6.5311268947116793E-2</v>
      </c>
      <c r="R3710">
        <v>0.99423920106112895</v>
      </c>
      <c r="S3710" t="s">
        <v>9995</v>
      </c>
      <c r="T3710" t="s">
        <v>12568</v>
      </c>
      <c r="U3710" t="s">
        <v>12568</v>
      </c>
      <c r="V3710" t="s">
        <v>12568</v>
      </c>
      <c r="W3710" t="s">
        <v>16234</v>
      </c>
      <c r="X3710">
        <v>25</v>
      </c>
      <c r="Y3710" t="s">
        <v>22356</v>
      </c>
      <c r="Z3710" t="s">
        <v>28580</v>
      </c>
      <c r="AA3710">
        <v>0.53151029220628643</v>
      </c>
      <c r="AB3710" t="str">
        <f>HYPERLINK("Melting_Curves/meltCurve_Q6UWE0_LRSAM1.pdf", "Melting_Curves/meltCurve_Q6UWE0_LRSAM1.pdf")</f>
        <v>Melting_Curves/meltCurve_Q6UWE0_LRSAM1.pdf</v>
      </c>
    </row>
    <row r="3711" spans="1:28" x14ac:dyDescent="0.25">
      <c r="A3711" t="s">
        <v>3715</v>
      </c>
      <c r="B3711">
        <v>0.99352677808782597</v>
      </c>
      <c r="C3711">
        <v>0.96168139107764505</v>
      </c>
      <c r="D3711">
        <v>0.97653402505586695</v>
      </c>
      <c r="E3711">
        <v>0.33154620684193298</v>
      </c>
      <c r="F3711">
        <v>0.29230039489557202</v>
      </c>
      <c r="G3711">
        <v>0.18084159798649599</v>
      </c>
      <c r="H3711">
        <v>0.14638767483001699</v>
      </c>
      <c r="I3711">
        <v>0.162085357562579</v>
      </c>
      <c r="J3711">
        <v>9.8815803123449106E-2</v>
      </c>
      <c r="K3711">
        <v>8.01267422596013E-2</v>
      </c>
      <c r="L3711">
        <v>2126.3234441346699</v>
      </c>
      <c r="M3711">
        <v>43.6411452614512</v>
      </c>
      <c r="N3711">
        <v>49.130449958920302</v>
      </c>
      <c r="O3711">
        <v>48.620941617424698</v>
      </c>
      <c r="P3711">
        <v>-0.19031804334713301</v>
      </c>
      <c r="Q3711">
        <v>0.15186208789080699</v>
      </c>
      <c r="R3711">
        <v>0.98116916484566197</v>
      </c>
      <c r="S3711" t="s">
        <v>9996</v>
      </c>
      <c r="T3711" t="s">
        <v>12568</v>
      </c>
      <c r="U3711" t="s">
        <v>12568</v>
      </c>
      <c r="V3711" t="s">
        <v>12568</v>
      </c>
      <c r="W3711" t="s">
        <v>16235</v>
      </c>
      <c r="X3711">
        <v>5</v>
      </c>
      <c r="Y3711" t="s">
        <v>22357</v>
      </c>
      <c r="Z3711" t="s">
        <v>28581</v>
      </c>
      <c r="AA3711">
        <v>0.40086800782210319</v>
      </c>
      <c r="AB3711" t="str">
        <f>HYPERLINK("Melting_Curves/meltCurve_Q6UWP2_DHRS11.pdf", "Melting_Curves/meltCurve_Q6UWP2_DHRS11.pdf")</f>
        <v>Melting_Curves/meltCurve_Q6UWP2_DHRS11.pdf</v>
      </c>
    </row>
    <row r="3712" spans="1:28" x14ac:dyDescent="0.25">
      <c r="A3712" t="s">
        <v>3716</v>
      </c>
      <c r="B3712">
        <v>0.99352677808782597</v>
      </c>
      <c r="C3712">
        <v>0.99478778639137899</v>
      </c>
      <c r="D3712">
        <v>1.010701124211</v>
      </c>
      <c r="E3712">
        <v>0.50158300951076096</v>
      </c>
      <c r="F3712">
        <v>0.42692539782236399</v>
      </c>
      <c r="G3712">
        <v>0.28456320353967401</v>
      </c>
      <c r="H3712">
        <v>0.23577128972664699</v>
      </c>
      <c r="I3712">
        <v>0.248388852288048</v>
      </c>
      <c r="J3712">
        <v>0.21714102859512499</v>
      </c>
      <c r="K3712">
        <v>0.19294070099766</v>
      </c>
      <c r="L3712">
        <v>1434.91561935656</v>
      </c>
      <c r="M3712">
        <v>28.9434214781263</v>
      </c>
      <c r="N3712">
        <v>50.719773150209001</v>
      </c>
      <c r="O3712">
        <v>49.341717872293401</v>
      </c>
      <c r="P3712">
        <v>-0.111512504887365</v>
      </c>
      <c r="Q3712">
        <v>0.23959546958484701</v>
      </c>
      <c r="R3712">
        <v>0.97915977398797605</v>
      </c>
      <c r="S3712" t="s">
        <v>9997</v>
      </c>
      <c r="T3712" t="s">
        <v>12568</v>
      </c>
      <c r="U3712" t="s">
        <v>12568</v>
      </c>
      <c r="V3712" t="s">
        <v>12568</v>
      </c>
      <c r="W3712" t="s">
        <v>16236</v>
      </c>
      <c r="X3712">
        <v>10</v>
      </c>
      <c r="Y3712" t="s">
        <v>22358</v>
      </c>
      <c r="Z3712" t="s">
        <v>28582</v>
      </c>
      <c r="AA3712">
        <v>0.48735611306521082</v>
      </c>
      <c r="AB3712" t="str">
        <f>HYPERLINK("Melting_Curves/meltCurve_Q6UX04_CWC27.pdf", "Melting_Curves/meltCurve_Q6UX04_CWC27.pdf")</f>
        <v>Melting_Curves/meltCurve_Q6UX04_CWC27.pdf</v>
      </c>
    </row>
    <row r="3713" spans="1:28" x14ac:dyDescent="0.25">
      <c r="A3713" t="s">
        <v>3717</v>
      </c>
      <c r="B3713">
        <v>0.99352677808782597</v>
      </c>
      <c r="C3713">
        <v>0.98698686857697204</v>
      </c>
      <c r="D3713">
        <v>1.0377250705616401</v>
      </c>
      <c r="E3713">
        <v>0.95423637732173405</v>
      </c>
      <c r="F3713">
        <v>0.92897614096075998</v>
      </c>
      <c r="G3713">
        <v>0.743282765189341</v>
      </c>
      <c r="H3713">
        <v>0.71174152009805602</v>
      </c>
      <c r="I3713">
        <v>0.78740540558606198</v>
      </c>
      <c r="J3713">
        <v>0.824258425310883</v>
      </c>
      <c r="K3713">
        <v>0.69114922180733496</v>
      </c>
      <c r="L3713">
        <v>3592.6668178185901</v>
      </c>
      <c r="M3713">
        <v>66.9188534155669</v>
      </c>
      <c r="O3713">
        <v>53.639033034016897</v>
      </c>
      <c r="P3713">
        <v>-7.7754945163402006E-2</v>
      </c>
      <c r="Q3713">
        <v>0.75070111561248998</v>
      </c>
      <c r="R3713">
        <v>0.89592022252886006</v>
      </c>
      <c r="S3713" t="s">
        <v>9998</v>
      </c>
      <c r="T3713" t="s">
        <v>12568</v>
      </c>
      <c r="U3713" t="s">
        <v>12568</v>
      </c>
      <c r="V3713" t="s">
        <v>12568</v>
      </c>
      <c r="W3713" t="s">
        <v>16237</v>
      </c>
      <c r="X3713">
        <v>5</v>
      </c>
      <c r="Y3713" t="s">
        <v>22359</v>
      </c>
      <c r="Z3713" t="s">
        <v>28583</v>
      </c>
      <c r="AA3713">
        <v>0.86476764432705211</v>
      </c>
      <c r="AB3713" t="str">
        <f>HYPERLINK("Melting_Curves/meltCurve_Q6UXH1_4_CRELD2.pdf", "Melting_Curves/meltCurve_Q6UXH1_4_CRELD2.pdf")</f>
        <v>Melting_Curves/meltCurve_Q6UXH1_4_CRELD2.pdf</v>
      </c>
    </row>
    <row r="3714" spans="1:28" x14ac:dyDescent="0.25">
      <c r="A3714" t="s">
        <v>3718</v>
      </c>
      <c r="B3714">
        <v>0.99352677808782597</v>
      </c>
      <c r="C3714">
        <v>0.9675313540703</v>
      </c>
      <c r="D3714">
        <v>0.97720733920689495</v>
      </c>
      <c r="E3714">
        <v>0.87405078754090904</v>
      </c>
      <c r="F3714">
        <v>0.80055187006103401</v>
      </c>
      <c r="G3714">
        <v>0.58785413857859603</v>
      </c>
      <c r="H3714">
        <v>0.32260181628895701</v>
      </c>
      <c r="I3714">
        <v>0.17321440486751499</v>
      </c>
      <c r="J3714">
        <v>9.5278363740915403E-2</v>
      </c>
      <c r="K3714">
        <v>8.1151295445432994E-2</v>
      </c>
      <c r="L3714">
        <v>865.91619542073897</v>
      </c>
      <c r="M3714">
        <v>14.953927460550901</v>
      </c>
      <c r="N3714">
        <v>57.9056037499209</v>
      </c>
      <c r="O3714">
        <v>56.899692560622199</v>
      </c>
      <c r="P3714">
        <v>-6.5709763902344204E-2</v>
      </c>
      <c r="Q3714">
        <v>0</v>
      </c>
      <c r="R3714">
        <v>0.996840751763999</v>
      </c>
      <c r="S3714" t="s">
        <v>9999</v>
      </c>
      <c r="T3714" t="s">
        <v>12568</v>
      </c>
      <c r="U3714" t="s">
        <v>12568</v>
      </c>
      <c r="V3714" t="s">
        <v>12568</v>
      </c>
      <c r="W3714" t="s">
        <v>16238</v>
      </c>
      <c r="X3714">
        <v>13</v>
      </c>
      <c r="Y3714" t="s">
        <v>22360</v>
      </c>
      <c r="Z3714" t="s">
        <v>28584</v>
      </c>
      <c r="AA3714">
        <v>0.61054177241701924</v>
      </c>
      <c r="AB3714" t="str">
        <f>HYPERLINK("Melting_Curves/meltCurve_Q6UXN9_WDR82.pdf", "Melting_Curves/meltCurve_Q6UXN9_WDR82.pdf")</f>
        <v>Melting_Curves/meltCurve_Q6UXN9_WDR82.pdf</v>
      </c>
    </row>
    <row r="3715" spans="1:28" x14ac:dyDescent="0.25">
      <c r="A3715" t="s">
        <v>3719</v>
      </c>
      <c r="B3715">
        <v>0.99352677808782597</v>
      </c>
      <c r="C3715">
        <v>0.86389612754880696</v>
      </c>
      <c r="D3715">
        <v>0.88225487165768002</v>
      </c>
      <c r="E3715">
        <v>0.62805845739808497</v>
      </c>
      <c r="F3715">
        <v>0.680842480950967</v>
      </c>
      <c r="G3715">
        <v>0.68216973871034803</v>
      </c>
      <c r="H3715">
        <v>0.93877537724649696</v>
      </c>
      <c r="I3715">
        <v>0.772842850272635</v>
      </c>
      <c r="J3715">
        <v>0.65027973314489396</v>
      </c>
      <c r="K3715">
        <v>0.46988583322939198</v>
      </c>
      <c r="L3715">
        <v>944.29164724804502</v>
      </c>
      <c r="M3715">
        <v>21.018910353689002</v>
      </c>
      <c r="O3715">
        <v>44.525095374994898</v>
      </c>
      <c r="P3715">
        <v>-3.6829699084621102E-2</v>
      </c>
      <c r="Q3715">
        <v>0.68793781251073105</v>
      </c>
      <c r="R3715">
        <v>0.42806223008351402</v>
      </c>
      <c r="S3715" t="s">
        <v>10000</v>
      </c>
      <c r="T3715" t="s">
        <v>12568</v>
      </c>
      <c r="U3715" t="s">
        <v>12568</v>
      </c>
      <c r="V3715" t="s">
        <v>12568</v>
      </c>
      <c r="W3715" t="s">
        <v>16239</v>
      </c>
      <c r="X3715">
        <v>2</v>
      </c>
      <c r="Y3715" t="s">
        <v>22361</v>
      </c>
      <c r="Z3715" t="s">
        <v>28585</v>
      </c>
      <c r="AA3715">
        <v>0.74391847895306562</v>
      </c>
      <c r="AB3715" t="str">
        <f>HYPERLINK("Melting_Curves/meltCurve_Q6UXY1_2_BAIAP2L2.pdf", "Melting_Curves/meltCurve_Q6UXY1_2_BAIAP2L2.pdf")</f>
        <v>Melting_Curves/meltCurve_Q6UXY1_2_BAIAP2L2.pdf</v>
      </c>
    </row>
    <row r="3716" spans="1:28" x14ac:dyDescent="0.25">
      <c r="A3716" t="s">
        <v>3720</v>
      </c>
      <c r="B3716">
        <v>0.99352677808782597</v>
      </c>
      <c r="C3716">
        <v>1.0055651111650401</v>
      </c>
      <c r="D3716">
        <v>0.83181885022420698</v>
      </c>
      <c r="E3716">
        <v>0.71782573571823305</v>
      </c>
      <c r="F3716">
        <v>0.59932360485905001</v>
      </c>
      <c r="G3716">
        <v>0.24642475368097999</v>
      </c>
      <c r="H3716">
        <v>0.147477660185767</v>
      </c>
      <c r="I3716">
        <v>0.13740043119980699</v>
      </c>
      <c r="J3716">
        <v>0.11752302698636199</v>
      </c>
      <c r="K3716">
        <v>9.11085208087523E-2</v>
      </c>
      <c r="L3716">
        <v>779.376177423287</v>
      </c>
      <c r="M3716">
        <v>14.719860906805501</v>
      </c>
      <c r="N3716">
        <v>53.390819257974201</v>
      </c>
      <c r="O3716">
        <v>51.998845633584097</v>
      </c>
      <c r="P3716">
        <v>-6.6704219493253197E-2</v>
      </c>
      <c r="Q3716">
        <v>5.7554906004712303E-2</v>
      </c>
      <c r="R3716">
        <v>0.98694126254075998</v>
      </c>
      <c r="S3716" t="s">
        <v>10001</v>
      </c>
      <c r="T3716" t="s">
        <v>12568</v>
      </c>
      <c r="U3716" t="s">
        <v>12568</v>
      </c>
      <c r="V3716" t="s">
        <v>12568</v>
      </c>
      <c r="W3716" t="s">
        <v>16240</v>
      </c>
      <c r="X3716">
        <v>6</v>
      </c>
      <c r="Y3716" t="s">
        <v>22362</v>
      </c>
      <c r="Z3716" t="s">
        <v>28586</v>
      </c>
      <c r="AA3716">
        <v>0.48515470554523332</v>
      </c>
      <c r="AB3716" t="str">
        <f>HYPERLINK("Melting_Curves/meltCurve_Q6V1X1_4_DPP8.pdf", "Melting_Curves/meltCurve_Q6V1X1_4_DPP8.pdf")</f>
        <v>Melting_Curves/meltCurve_Q6V1X1_4_DPP8.pdf</v>
      </c>
    </row>
    <row r="3717" spans="1:28" x14ac:dyDescent="0.25">
      <c r="A3717" t="s">
        <v>3721</v>
      </c>
      <c r="B3717">
        <v>0.99352677808782597</v>
      </c>
      <c r="C3717">
        <v>1.11065521592205</v>
      </c>
      <c r="D3717">
        <v>0.95456965789473303</v>
      </c>
      <c r="E3717">
        <v>0.63672253428607195</v>
      </c>
      <c r="F3717">
        <v>0.54859020941918202</v>
      </c>
      <c r="G3717">
        <v>0.42259351110083199</v>
      </c>
      <c r="H3717">
        <v>0.357599624062375</v>
      </c>
      <c r="I3717">
        <v>0.35881494295370198</v>
      </c>
      <c r="J3717">
        <v>0.45173366257666903</v>
      </c>
      <c r="K3717">
        <v>0.37584411752903502</v>
      </c>
      <c r="L3717">
        <v>1317.9468139258699</v>
      </c>
      <c r="M3717">
        <v>26.471887785430098</v>
      </c>
      <c r="N3717">
        <v>52.8641659294627</v>
      </c>
      <c r="O3717">
        <v>49.505162931397003</v>
      </c>
      <c r="P3717">
        <v>-8.1156280505545297E-2</v>
      </c>
      <c r="Q3717">
        <v>0.39292422595062299</v>
      </c>
      <c r="R3717">
        <v>0.96600230846072499</v>
      </c>
      <c r="S3717" t="s">
        <v>10002</v>
      </c>
      <c r="T3717" t="s">
        <v>12568</v>
      </c>
      <c r="U3717" t="s">
        <v>12568</v>
      </c>
      <c r="V3717" t="s">
        <v>12568</v>
      </c>
      <c r="W3717" t="s">
        <v>16241</v>
      </c>
      <c r="X3717">
        <v>6</v>
      </c>
      <c r="Y3717" t="s">
        <v>22363</v>
      </c>
      <c r="Z3717" t="s">
        <v>28587</v>
      </c>
      <c r="AA3717">
        <v>0.59578829068870154</v>
      </c>
      <c r="AB3717" t="str">
        <f>HYPERLINK("Melting_Curves/meltCurve_Q6VMQ6_2_ATF7IP.pdf", "Melting_Curves/meltCurve_Q6VMQ6_2_ATF7IP.pdf")</f>
        <v>Melting_Curves/meltCurve_Q6VMQ6_2_ATF7IP.pdf</v>
      </c>
    </row>
    <row r="3718" spans="1:28" x14ac:dyDescent="0.25">
      <c r="A3718" t="s">
        <v>3722</v>
      </c>
      <c r="B3718">
        <v>0.99352677808782597</v>
      </c>
      <c r="C3718">
        <v>0.98269689440077501</v>
      </c>
      <c r="D3718">
        <v>0.96385084399766896</v>
      </c>
      <c r="E3718">
        <v>0.78065258247412195</v>
      </c>
      <c r="F3718">
        <v>0.70557380001594805</v>
      </c>
      <c r="G3718">
        <v>0.43193491318993499</v>
      </c>
      <c r="H3718">
        <v>0.21553250581078801</v>
      </c>
      <c r="I3718">
        <v>0.17589520726017399</v>
      </c>
      <c r="J3718">
        <v>0.16208492750246301</v>
      </c>
      <c r="K3718">
        <v>0.12905401091287799</v>
      </c>
      <c r="L3718">
        <v>827.04831491679101</v>
      </c>
      <c r="M3718">
        <v>15.061799774285999</v>
      </c>
      <c r="N3718">
        <v>55.619206083353397</v>
      </c>
      <c r="O3718">
        <v>53.969658201321899</v>
      </c>
      <c r="P3718">
        <v>-6.3682916333393305E-2</v>
      </c>
      <c r="Q3718">
        <v>8.7332559773004706E-2</v>
      </c>
      <c r="R3718">
        <v>0.99484411843551102</v>
      </c>
      <c r="S3718" t="s">
        <v>10003</v>
      </c>
      <c r="T3718" t="s">
        <v>12568</v>
      </c>
      <c r="U3718" t="s">
        <v>12568</v>
      </c>
      <c r="V3718" t="s">
        <v>12568</v>
      </c>
      <c r="W3718" t="s">
        <v>16242</v>
      </c>
      <c r="X3718">
        <v>18</v>
      </c>
      <c r="Y3718" t="s">
        <v>22364</v>
      </c>
      <c r="Z3718" t="s">
        <v>28588</v>
      </c>
      <c r="AA3718">
        <v>0.55856949945967638</v>
      </c>
      <c r="AB3718" t="str">
        <f>HYPERLINK("Melting_Curves/meltCurve_Q6VY07_PACS1.pdf", "Melting_Curves/meltCurve_Q6VY07_PACS1.pdf")</f>
        <v>Melting_Curves/meltCurve_Q6VY07_PACS1.pdf</v>
      </c>
    </row>
    <row r="3719" spans="1:28" x14ac:dyDescent="0.25">
      <c r="A3719" t="s">
        <v>3723</v>
      </c>
      <c r="B3719">
        <v>0.99352677808782597</v>
      </c>
      <c r="C3719">
        <v>1.0179283823915499</v>
      </c>
      <c r="D3719">
        <v>0.93708632556295102</v>
      </c>
      <c r="E3719">
        <v>0.78624761937467402</v>
      </c>
      <c r="F3719">
        <v>0.670753950971817</v>
      </c>
      <c r="G3719">
        <v>0.48290327670231398</v>
      </c>
      <c r="H3719">
        <v>0.36663791756592301</v>
      </c>
      <c r="I3719">
        <v>0.36478103361444197</v>
      </c>
      <c r="J3719">
        <v>0.40410155118518698</v>
      </c>
      <c r="K3719">
        <v>0.33176064025151297</v>
      </c>
      <c r="L3719">
        <v>887.61601605601697</v>
      </c>
      <c r="M3719">
        <v>16.880706202753299</v>
      </c>
      <c r="N3719">
        <v>56.395558328402103</v>
      </c>
      <c r="O3719">
        <v>51.860408520132999</v>
      </c>
      <c r="P3719">
        <v>-5.3683279370587901E-2</v>
      </c>
      <c r="Q3719">
        <v>0.34034518081611598</v>
      </c>
      <c r="R3719">
        <v>0.99203077419525199</v>
      </c>
      <c r="S3719" t="s">
        <v>10004</v>
      </c>
      <c r="T3719" t="s">
        <v>12568</v>
      </c>
      <c r="U3719" t="s">
        <v>12568</v>
      </c>
      <c r="V3719" t="s">
        <v>12568</v>
      </c>
      <c r="W3719" t="s">
        <v>16243</v>
      </c>
      <c r="X3719">
        <v>44</v>
      </c>
      <c r="Y3719" t="s">
        <v>19392</v>
      </c>
      <c r="Z3719" t="s">
        <v>28589</v>
      </c>
      <c r="AA3719">
        <v>0.62906678935440141</v>
      </c>
      <c r="AB3719" t="str">
        <f>HYPERLINK("Melting_Curves/meltCurve_Q6WCQ1_2_MPRIP.pdf", "Melting_Curves/meltCurve_Q6WCQ1_2_MPRIP.pdf")</f>
        <v>Melting_Curves/meltCurve_Q6WCQ1_2_MPRIP.pdf</v>
      </c>
    </row>
    <row r="3720" spans="1:28" x14ac:dyDescent="0.25">
      <c r="A3720" t="s">
        <v>3724</v>
      </c>
      <c r="B3720">
        <v>0.99352677808782597</v>
      </c>
      <c r="C3720">
        <v>0.87664265714072898</v>
      </c>
      <c r="D3720">
        <v>0.94433960402290695</v>
      </c>
      <c r="E3720">
        <v>0.62800194163404099</v>
      </c>
      <c r="F3720">
        <v>0.595297906923975</v>
      </c>
      <c r="G3720">
        <v>0.44149728327451299</v>
      </c>
      <c r="H3720">
        <v>0.36856031276731499</v>
      </c>
      <c r="I3720">
        <v>0.40398366296997201</v>
      </c>
      <c r="J3720">
        <v>0.37604590728169901</v>
      </c>
      <c r="K3720">
        <v>0.33225228910458399</v>
      </c>
      <c r="L3720">
        <v>721.79218652831003</v>
      </c>
      <c r="M3720">
        <v>14.339634738101299</v>
      </c>
      <c r="N3720">
        <v>54.781777252467002</v>
      </c>
      <c r="O3720">
        <v>49.386899978019201</v>
      </c>
      <c r="P3720">
        <v>-4.7633727347932198E-2</v>
      </c>
      <c r="Q3720">
        <v>0.34386089623910399</v>
      </c>
      <c r="R3720">
        <v>0.96790089427380699</v>
      </c>
      <c r="S3720" t="s">
        <v>10005</v>
      </c>
      <c r="T3720" t="s">
        <v>12568</v>
      </c>
      <c r="U3720" t="s">
        <v>12568</v>
      </c>
      <c r="V3720" t="s">
        <v>12568</v>
      </c>
      <c r="W3720" t="s">
        <v>16244</v>
      </c>
      <c r="X3720">
        <v>19</v>
      </c>
      <c r="Y3720" t="s">
        <v>22365</v>
      </c>
      <c r="Z3720" t="s">
        <v>28590</v>
      </c>
      <c r="AA3720">
        <v>0.58663221304514368</v>
      </c>
      <c r="AB3720" t="str">
        <f>HYPERLINK("Melting_Curves/meltCurve_Q6WKZ4_RAB11FIP1.pdf", "Melting_Curves/meltCurve_Q6WKZ4_RAB11FIP1.pdf")</f>
        <v>Melting_Curves/meltCurve_Q6WKZ4_RAB11FIP1.pdf</v>
      </c>
    </row>
    <row r="3721" spans="1:28" x14ac:dyDescent="0.25">
      <c r="A3721" t="s">
        <v>3725</v>
      </c>
      <c r="B3721">
        <v>0.99352677808782597</v>
      </c>
      <c r="C3721">
        <v>0.99538943956568304</v>
      </c>
      <c r="D3721">
        <v>0.92981271723487702</v>
      </c>
      <c r="E3721">
        <v>0.75332400170249902</v>
      </c>
      <c r="F3721">
        <v>0.72064929348163098</v>
      </c>
      <c r="G3721">
        <v>0.52156100544916695</v>
      </c>
      <c r="H3721">
        <v>0.58701532329172101</v>
      </c>
      <c r="I3721">
        <v>0.37946111440608499</v>
      </c>
      <c r="J3721">
        <v>0.169722198775351</v>
      </c>
      <c r="K3721">
        <v>0.115804159700803</v>
      </c>
      <c r="L3721">
        <v>519.02009679789705</v>
      </c>
      <c r="M3721">
        <v>8.8186225436836292</v>
      </c>
      <c r="N3721">
        <v>58.8550074811656</v>
      </c>
      <c r="O3721">
        <v>56.064121729746901</v>
      </c>
      <c r="P3721">
        <v>-3.9354667995936003E-2</v>
      </c>
      <c r="Q3721">
        <v>0</v>
      </c>
      <c r="R3721">
        <v>0.94380826167807397</v>
      </c>
      <c r="S3721" t="s">
        <v>10006</v>
      </c>
      <c r="T3721" t="s">
        <v>12568</v>
      </c>
      <c r="U3721" t="s">
        <v>12568</v>
      </c>
      <c r="V3721" t="s">
        <v>12568</v>
      </c>
      <c r="W3721" t="s">
        <v>16245</v>
      </c>
      <c r="X3721">
        <v>7</v>
      </c>
      <c r="Y3721" t="s">
        <v>22366</v>
      </c>
      <c r="Z3721" t="s">
        <v>28591</v>
      </c>
      <c r="AA3721">
        <v>0.62850674559077147</v>
      </c>
      <c r="AB3721" t="str">
        <f>HYPERLINK("Melting_Curves/meltCurve_Q6XQN6_NAPRT1.pdf", "Melting_Curves/meltCurve_Q6XQN6_NAPRT1.pdf")</f>
        <v>Melting_Curves/meltCurve_Q6XQN6_NAPRT1.pdf</v>
      </c>
    </row>
    <row r="3722" spans="1:28" x14ac:dyDescent="0.25">
      <c r="A3722" t="s">
        <v>3726</v>
      </c>
      <c r="B3722">
        <v>0.99352677808782597</v>
      </c>
      <c r="C3722">
        <v>0.94580796358262498</v>
      </c>
      <c r="D3722">
        <v>1.0031344266381901</v>
      </c>
      <c r="E3722">
        <v>0.57001338391522305</v>
      </c>
      <c r="F3722">
        <v>0.59187332443615503</v>
      </c>
      <c r="G3722">
        <v>0.24260005200451101</v>
      </c>
      <c r="H3722">
        <v>6.5283732450488102E-2</v>
      </c>
      <c r="I3722">
        <v>7.8764924133990902E-2</v>
      </c>
      <c r="J3722">
        <v>5.6679189471458599E-2</v>
      </c>
      <c r="K3722">
        <v>3.5268240272279601E-2</v>
      </c>
      <c r="L3722">
        <v>801.69950581525495</v>
      </c>
      <c r="M3722">
        <v>15.1763065643968</v>
      </c>
      <c r="N3722">
        <v>52.849150101488704</v>
      </c>
      <c r="O3722">
        <v>51.934001707372602</v>
      </c>
      <c r="P3722">
        <v>-7.28180554729944E-2</v>
      </c>
      <c r="Q3722">
        <v>3.3495808475984198E-3</v>
      </c>
      <c r="R3722">
        <v>0.97279954763543397</v>
      </c>
      <c r="S3722" t="s">
        <v>10007</v>
      </c>
      <c r="T3722" t="s">
        <v>12568</v>
      </c>
      <c r="U3722" t="s">
        <v>12568</v>
      </c>
      <c r="V3722" t="s">
        <v>12568</v>
      </c>
      <c r="W3722" t="s">
        <v>16246</v>
      </c>
      <c r="X3722">
        <v>1</v>
      </c>
      <c r="Y3722" t="s">
        <v>22367</v>
      </c>
      <c r="Z3722" t="s">
        <v>28592</v>
      </c>
      <c r="AA3722">
        <v>0.45068750311507022</v>
      </c>
      <c r="AB3722" t="str">
        <f>HYPERLINK("Melting_Curves/meltCurve_Q6XUX3_2_DSTYK.pdf", "Melting_Curves/meltCurve_Q6XUX3_2_DSTYK.pdf")</f>
        <v>Melting_Curves/meltCurve_Q6XUX3_2_DSTYK.pdf</v>
      </c>
    </row>
    <row r="3723" spans="1:28" x14ac:dyDescent="0.25">
      <c r="A3723" t="s">
        <v>3727</v>
      </c>
      <c r="B3723">
        <v>0.99352677808782597</v>
      </c>
      <c r="C3723">
        <v>0.94826714174795701</v>
      </c>
      <c r="D3723">
        <v>0.89416537809834096</v>
      </c>
      <c r="E3723">
        <v>0.485027939207679</v>
      </c>
      <c r="F3723">
        <v>0.42159656489514402</v>
      </c>
      <c r="G3723">
        <v>0.32465006659089002</v>
      </c>
      <c r="H3723">
        <v>0.25448989101654201</v>
      </c>
      <c r="I3723">
        <v>0.27934289526269401</v>
      </c>
      <c r="J3723">
        <v>0.24555336393885199</v>
      </c>
      <c r="K3723">
        <v>0.22865227398264701</v>
      </c>
      <c r="L3723">
        <v>1063.15543104725</v>
      </c>
      <c r="M3723">
        <v>21.738288976461298</v>
      </c>
      <c r="N3723">
        <v>50.602304324111302</v>
      </c>
      <c r="O3723">
        <v>48.498822193771502</v>
      </c>
      <c r="P3723">
        <v>-8.3076956404619595E-2</v>
      </c>
      <c r="Q3723">
        <v>0.25862810848484602</v>
      </c>
      <c r="R3723">
        <v>0.98807619058898899</v>
      </c>
      <c r="S3723" t="s">
        <v>10008</v>
      </c>
      <c r="T3723" t="s">
        <v>12568</v>
      </c>
      <c r="U3723" t="s">
        <v>12568</v>
      </c>
      <c r="V3723" t="s">
        <v>12568</v>
      </c>
      <c r="W3723" t="s">
        <v>16247</v>
      </c>
      <c r="X3723">
        <v>17</v>
      </c>
      <c r="Y3723" t="s">
        <v>22368</v>
      </c>
      <c r="Z3723" t="s">
        <v>28593</v>
      </c>
      <c r="AA3723">
        <v>0.48750416902561677</v>
      </c>
      <c r="AB3723" t="str">
        <f>HYPERLINK("Melting_Curves/meltCurve_Q6XZF7_DNMBP.pdf", "Melting_Curves/meltCurve_Q6XZF7_DNMBP.pdf")</f>
        <v>Melting_Curves/meltCurve_Q6XZF7_DNMBP.pdf</v>
      </c>
    </row>
    <row r="3724" spans="1:28" x14ac:dyDescent="0.25">
      <c r="A3724" t="s">
        <v>3728</v>
      </c>
      <c r="B3724">
        <v>0.99352677808782597</v>
      </c>
      <c r="C3724">
        <v>0.97158538206434297</v>
      </c>
      <c r="D3724">
        <v>0.92295903639425902</v>
      </c>
      <c r="E3724">
        <v>0.241201170312726</v>
      </c>
      <c r="F3724">
        <v>0.17463710982924399</v>
      </c>
      <c r="G3724">
        <v>9.4491847129187206E-2</v>
      </c>
      <c r="H3724">
        <v>6.8896931709009998E-2</v>
      </c>
      <c r="I3724">
        <v>5.3578277196154302E-2</v>
      </c>
      <c r="J3724">
        <v>4.1125020670190901E-2</v>
      </c>
      <c r="K3724">
        <v>2.61557964341529E-2</v>
      </c>
      <c r="L3724">
        <v>2019.8350845248999</v>
      </c>
      <c r="M3724">
        <v>41.731783401165004</v>
      </c>
      <c r="N3724">
        <v>48.5736675430297</v>
      </c>
      <c r="O3724">
        <v>48.289658906082003</v>
      </c>
      <c r="P3724">
        <v>-0.20110862994617301</v>
      </c>
      <c r="Q3724">
        <v>6.91555140733046E-2</v>
      </c>
      <c r="R3724">
        <v>0.99285996758001305</v>
      </c>
      <c r="S3724" t="s">
        <v>10009</v>
      </c>
      <c r="T3724" t="s">
        <v>12568</v>
      </c>
      <c r="U3724" t="s">
        <v>12568</v>
      </c>
      <c r="V3724" t="s">
        <v>12568</v>
      </c>
      <c r="W3724" t="s">
        <v>16248</v>
      </c>
      <c r="X3724">
        <v>2</v>
      </c>
      <c r="Y3724" t="s">
        <v>22369</v>
      </c>
      <c r="Z3724" t="s">
        <v>28594</v>
      </c>
      <c r="AA3724">
        <v>0.33266778726857171</v>
      </c>
      <c r="AB3724" t="str">
        <f>HYPERLINK("Melting_Curves/meltCurve_Q6Y288_B3GALTL.pdf", "Melting_Curves/meltCurve_Q6Y288_B3GALTL.pdf")</f>
        <v>Melting_Curves/meltCurve_Q6Y288_B3GALTL.pdf</v>
      </c>
    </row>
    <row r="3725" spans="1:28" x14ac:dyDescent="0.25">
      <c r="A3725" t="s">
        <v>3729</v>
      </c>
      <c r="B3725">
        <v>0.99352677808782597</v>
      </c>
      <c r="C3725">
        <v>0.89316640476972997</v>
      </c>
      <c r="D3725">
        <v>0.97710812193364105</v>
      </c>
      <c r="E3725">
        <v>0.85628242379835495</v>
      </c>
      <c r="F3725">
        <v>0.77166749815767899</v>
      </c>
      <c r="G3725">
        <v>0.62782467897877003</v>
      </c>
      <c r="H3725">
        <v>0.51487773980584906</v>
      </c>
      <c r="I3725">
        <v>0.49062764754911697</v>
      </c>
      <c r="J3725">
        <v>0.488095148059429</v>
      </c>
      <c r="K3725">
        <v>0.38241206865128902</v>
      </c>
      <c r="L3725">
        <v>572.35338218139998</v>
      </c>
      <c r="M3725">
        <v>10.2142763348535</v>
      </c>
      <c r="N3725">
        <v>62.949566769923102</v>
      </c>
      <c r="O3725">
        <v>54.014222309201799</v>
      </c>
      <c r="P3725">
        <v>-3.134895739363E-2</v>
      </c>
      <c r="Q3725">
        <v>0.33719025098929301</v>
      </c>
      <c r="R3725">
        <v>0.97394557307176099</v>
      </c>
      <c r="S3725" t="s">
        <v>10010</v>
      </c>
      <c r="T3725" t="s">
        <v>12568</v>
      </c>
      <c r="U3725" t="s">
        <v>12568</v>
      </c>
      <c r="V3725" t="s">
        <v>12568</v>
      </c>
      <c r="W3725" t="s">
        <v>16249</v>
      </c>
      <c r="X3725">
        <v>29</v>
      </c>
      <c r="Y3725" t="s">
        <v>22370</v>
      </c>
      <c r="Z3725" t="s">
        <v>28595</v>
      </c>
      <c r="AA3725">
        <v>0.70532588767953897</v>
      </c>
      <c r="AB3725" t="str">
        <f>HYPERLINK("Melting_Curves/meltCurve_Q6Y7W6_GIGYF2.pdf", "Melting_Curves/meltCurve_Q6Y7W6_GIGYF2.pdf")</f>
        <v>Melting_Curves/meltCurve_Q6Y7W6_GIGYF2.pdf</v>
      </c>
    </row>
    <row r="3726" spans="1:28" x14ac:dyDescent="0.25">
      <c r="A3726" t="s">
        <v>3730</v>
      </c>
      <c r="B3726">
        <v>0.99352677808782597</v>
      </c>
      <c r="C3726">
        <v>0.76710066496049401</v>
      </c>
      <c r="D3726">
        <v>0.98837724726101694</v>
      </c>
      <c r="E3726">
        <v>0.69833312393174996</v>
      </c>
      <c r="F3726">
        <v>0.52358723646560201</v>
      </c>
      <c r="G3726">
        <v>0.52566576291584</v>
      </c>
      <c r="H3726">
        <v>0.35178780861947001</v>
      </c>
      <c r="I3726">
        <v>0.36536969439053901</v>
      </c>
      <c r="J3726">
        <v>0.29560622499831002</v>
      </c>
      <c r="K3726">
        <v>0.11105219710823799</v>
      </c>
      <c r="L3726">
        <v>403.24116484478799</v>
      </c>
      <c r="M3726">
        <v>7.13919318451142</v>
      </c>
      <c r="N3726">
        <v>56.482736131749498</v>
      </c>
      <c r="O3726">
        <v>52.554461543997597</v>
      </c>
      <c r="P3726">
        <v>-3.4019507272924202E-2</v>
      </c>
      <c r="Q3726">
        <v>0</v>
      </c>
      <c r="R3726">
        <v>0.91145489907264998</v>
      </c>
      <c r="S3726" t="s">
        <v>10011</v>
      </c>
      <c r="T3726" t="s">
        <v>12568</v>
      </c>
      <c r="U3726" t="s">
        <v>12568</v>
      </c>
      <c r="V3726" t="s">
        <v>12568</v>
      </c>
      <c r="W3726" t="s">
        <v>16250</v>
      </c>
      <c r="X3726">
        <v>2</v>
      </c>
      <c r="Y3726" t="s">
        <v>22371</v>
      </c>
      <c r="Z3726" t="s">
        <v>28596</v>
      </c>
      <c r="AA3726">
        <v>0.56328377062071955</v>
      </c>
      <c r="AB3726" t="str">
        <f>HYPERLINK("Melting_Curves/meltCurve_Q6YHK3_CD109.pdf", "Melting_Curves/meltCurve_Q6YHK3_CD109.pdf")</f>
        <v>Melting_Curves/meltCurve_Q6YHK3_CD109.pdf</v>
      </c>
    </row>
    <row r="3727" spans="1:28" x14ac:dyDescent="0.25">
      <c r="A3727" t="s">
        <v>3731</v>
      </c>
      <c r="B3727">
        <v>0.99352677808782597</v>
      </c>
      <c r="C3727">
        <v>0.99941990968871797</v>
      </c>
      <c r="D3727">
        <v>0.80145225508872298</v>
      </c>
      <c r="E3727">
        <v>0.29280458851746699</v>
      </c>
      <c r="F3727">
        <v>0.22191846814150201</v>
      </c>
      <c r="G3727">
        <v>0.13375934963071801</v>
      </c>
      <c r="H3727">
        <v>9.2303421678425202E-2</v>
      </c>
      <c r="I3727">
        <v>8.6845863340707E-2</v>
      </c>
      <c r="J3727">
        <v>8.1517097748444498E-2</v>
      </c>
      <c r="K3727">
        <v>6.3540485997784599E-2</v>
      </c>
      <c r="L3727">
        <v>1319.4661717582501</v>
      </c>
      <c r="M3727">
        <v>27.453709020462799</v>
      </c>
      <c r="N3727">
        <v>48.433804145163201</v>
      </c>
      <c r="O3727">
        <v>47.8086563251954</v>
      </c>
      <c r="P3727">
        <v>-0.12990546728284499</v>
      </c>
      <c r="Q3727">
        <v>9.5124342104983703E-2</v>
      </c>
      <c r="R3727">
        <v>0.99419605356815499</v>
      </c>
      <c r="S3727" t="s">
        <v>10012</v>
      </c>
      <c r="T3727" t="s">
        <v>12568</v>
      </c>
      <c r="U3727" t="s">
        <v>12568</v>
      </c>
      <c r="V3727" t="s">
        <v>12568</v>
      </c>
      <c r="W3727" t="s">
        <v>16251</v>
      </c>
      <c r="X3727">
        <v>21</v>
      </c>
      <c r="Y3727" t="s">
        <v>22372</v>
      </c>
      <c r="Z3727" t="s">
        <v>28597</v>
      </c>
      <c r="AA3727">
        <v>0.34484121297292059</v>
      </c>
      <c r="AB3727" t="str">
        <f>HYPERLINK("Melting_Curves/meltCurve_Q6YHU6_3_THADA.pdf", "Melting_Curves/meltCurve_Q6YHU6_3_THADA.pdf")</f>
        <v>Melting_Curves/meltCurve_Q6YHU6_3_THADA.pdf</v>
      </c>
    </row>
    <row r="3728" spans="1:28" x14ac:dyDescent="0.25">
      <c r="A3728" t="s">
        <v>3732</v>
      </c>
      <c r="B3728">
        <v>0.99352677808782597</v>
      </c>
      <c r="C3728">
        <v>0.96089287784605404</v>
      </c>
      <c r="D3728">
        <v>0.94690832420856796</v>
      </c>
      <c r="E3728">
        <v>0.37072893515359601</v>
      </c>
      <c r="F3728">
        <v>0.30387493260190401</v>
      </c>
      <c r="G3728">
        <v>0.176392963376863</v>
      </c>
      <c r="H3728">
        <v>0.14106153294207599</v>
      </c>
      <c r="I3728">
        <v>0.13914335666883601</v>
      </c>
      <c r="J3728">
        <v>0.14678671751997299</v>
      </c>
      <c r="K3728">
        <v>0.112866120481462</v>
      </c>
      <c r="L3728">
        <v>1623.45770747232</v>
      </c>
      <c r="M3728">
        <v>33.255456188067797</v>
      </c>
      <c r="N3728">
        <v>49.361380227423901</v>
      </c>
      <c r="O3728">
        <v>48.642280706681198</v>
      </c>
      <c r="P3728">
        <v>-0.144712530031815</v>
      </c>
      <c r="Q3728">
        <v>0.153327977712376</v>
      </c>
      <c r="R3728">
        <v>0.98748716943189496</v>
      </c>
      <c r="S3728" t="s">
        <v>10013</v>
      </c>
      <c r="T3728" t="s">
        <v>12568</v>
      </c>
      <c r="U3728" t="s">
        <v>12568</v>
      </c>
      <c r="V3728" t="s">
        <v>12568</v>
      </c>
      <c r="W3728" t="s">
        <v>16252</v>
      </c>
      <c r="X3728">
        <v>10</v>
      </c>
      <c r="Y3728" t="s">
        <v>22373</v>
      </c>
      <c r="Z3728" t="s">
        <v>28598</v>
      </c>
      <c r="AA3728">
        <v>0.4063516487329692</v>
      </c>
      <c r="AB3728" t="str">
        <f>HYPERLINK("Melting_Curves/meltCurve_Q6YN16_HSDL2.pdf", "Melting_Curves/meltCurve_Q6YN16_HSDL2.pdf")</f>
        <v>Melting_Curves/meltCurve_Q6YN16_HSDL2.pdf</v>
      </c>
    </row>
    <row r="3729" spans="1:28" x14ac:dyDescent="0.25">
      <c r="A3729" t="s">
        <v>3733</v>
      </c>
      <c r="B3729">
        <v>0.99352677808782597</v>
      </c>
      <c r="C3729">
        <v>0.95758398212711504</v>
      </c>
      <c r="D3729">
        <v>0.93086672938595805</v>
      </c>
      <c r="E3729">
        <v>0.757403119165729</v>
      </c>
      <c r="F3729">
        <v>0.661245413884891</v>
      </c>
      <c r="G3729">
        <v>0.515544953871519</v>
      </c>
      <c r="H3729">
        <v>0.435443075423393</v>
      </c>
      <c r="I3729">
        <v>0.353418666456427</v>
      </c>
      <c r="J3729">
        <v>0.31119070531082399</v>
      </c>
      <c r="K3729">
        <v>0.147639153807721</v>
      </c>
      <c r="L3729">
        <v>457.59917065656299</v>
      </c>
      <c r="M3729">
        <v>7.8623118754206702</v>
      </c>
      <c r="N3729">
        <v>58.201607196098699</v>
      </c>
      <c r="O3729">
        <v>54.797080524523203</v>
      </c>
      <c r="P3729">
        <v>-3.5913406604120797E-2</v>
      </c>
      <c r="Q3729">
        <v>0</v>
      </c>
      <c r="R3729">
        <v>0.98544858974500604</v>
      </c>
      <c r="S3729" t="s">
        <v>10014</v>
      </c>
      <c r="T3729" t="s">
        <v>12568</v>
      </c>
      <c r="U3729" t="s">
        <v>12568</v>
      </c>
      <c r="V3729" t="s">
        <v>12568</v>
      </c>
      <c r="W3729" t="s">
        <v>16253</v>
      </c>
      <c r="X3729">
        <v>12</v>
      </c>
      <c r="Y3729" t="s">
        <v>22374</v>
      </c>
      <c r="Z3729" t="s">
        <v>28599</v>
      </c>
      <c r="AA3729">
        <v>0.60788629116825599</v>
      </c>
      <c r="AB3729" t="str">
        <f>HYPERLINK("Melting_Curves/meltCurve_Q6YP21_3_CCBL2.pdf", "Melting_Curves/meltCurve_Q6YP21_3_CCBL2.pdf")</f>
        <v>Melting_Curves/meltCurve_Q6YP21_3_CCBL2.pdf</v>
      </c>
    </row>
    <row r="3730" spans="1:28" x14ac:dyDescent="0.25">
      <c r="A3730" t="s">
        <v>3734</v>
      </c>
      <c r="B3730">
        <v>0.99352677808782597</v>
      </c>
      <c r="C3730">
        <v>1.1067229229534301</v>
      </c>
      <c r="D3730">
        <v>0.93996317783791905</v>
      </c>
      <c r="E3730">
        <v>0.41015415765060598</v>
      </c>
      <c r="F3730">
        <v>0.31890044457637201</v>
      </c>
      <c r="G3730">
        <v>0.173873385929907</v>
      </c>
      <c r="H3730">
        <v>0.113570231967611</v>
      </c>
      <c r="I3730">
        <v>0.101920676173922</v>
      </c>
      <c r="J3730">
        <v>6.6456536518322798E-2</v>
      </c>
      <c r="K3730">
        <v>4.6326648268896702E-2</v>
      </c>
      <c r="L3730">
        <v>1307.3642842207</v>
      </c>
      <c r="M3730">
        <v>26.423383946878101</v>
      </c>
      <c r="N3730">
        <v>49.900083889663499</v>
      </c>
      <c r="O3730">
        <v>49.196766964768301</v>
      </c>
      <c r="P3730">
        <v>-0.120816092501963</v>
      </c>
      <c r="Q3730">
        <v>0.10023682002176899</v>
      </c>
      <c r="R3730">
        <v>0.97680384787253605</v>
      </c>
      <c r="S3730" t="s">
        <v>10015</v>
      </c>
      <c r="T3730" t="s">
        <v>12568</v>
      </c>
      <c r="U3730" t="s">
        <v>12568</v>
      </c>
      <c r="V3730" t="s">
        <v>12568</v>
      </c>
      <c r="W3730" t="s">
        <v>16254</v>
      </c>
      <c r="X3730">
        <v>8</v>
      </c>
      <c r="Y3730" t="s">
        <v>22375</v>
      </c>
      <c r="Z3730" t="s">
        <v>28600</v>
      </c>
      <c r="AA3730">
        <v>0.39163712508727883</v>
      </c>
      <c r="AB3730" t="str">
        <f>HYPERLINK("Melting_Curves/meltCurve_Q6ZMI0_PPP1R21.pdf", "Melting_Curves/meltCurve_Q6ZMI0_PPP1R21.pdf")</f>
        <v>Melting_Curves/meltCurve_Q6ZMI0_PPP1R21.pdf</v>
      </c>
    </row>
    <row r="3731" spans="1:28" x14ac:dyDescent="0.25">
      <c r="A3731" t="s">
        <v>3735</v>
      </c>
      <c r="B3731">
        <v>0.99352677808782597</v>
      </c>
      <c r="C3731">
        <v>1.0117984759643299</v>
      </c>
      <c r="D3731">
        <v>0.960554957992931</v>
      </c>
      <c r="E3731">
        <v>1.09240473605054</v>
      </c>
      <c r="F3731">
        <v>1.0974824465817301</v>
      </c>
      <c r="G3731">
        <v>0.87127180566297002</v>
      </c>
      <c r="H3731">
        <v>0.65932807116268899</v>
      </c>
      <c r="I3731">
        <v>0.42662946770766802</v>
      </c>
      <c r="J3731">
        <v>0.26157644366799598</v>
      </c>
      <c r="K3731">
        <v>0.22455666334211399</v>
      </c>
      <c r="L3731">
        <v>1587.57923120756</v>
      </c>
      <c r="M3731">
        <v>25.713648676396499</v>
      </c>
      <c r="N3731">
        <v>62.8352961441487</v>
      </c>
      <c r="O3731">
        <v>61.370935530852002</v>
      </c>
      <c r="P3731">
        <v>-8.5838480167712297E-2</v>
      </c>
      <c r="Q3731">
        <v>0.18052481293593001</v>
      </c>
      <c r="R3731">
        <v>0.97646728936929095</v>
      </c>
      <c r="S3731" t="s">
        <v>10016</v>
      </c>
      <c r="T3731" t="s">
        <v>12568</v>
      </c>
      <c r="U3731" t="s">
        <v>12568</v>
      </c>
      <c r="V3731" t="s">
        <v>12568</v>
      </c>
      <c r="W3731" t="s">
        <v>16255</v>
      </c>
      <c r="X3731">
        <v>2</v>
      </c>
      <c r="Y3731" t="s">
        <v>22376</v>
      </c>
      <c r="Z3731" t="s">
        <v>28601</v>
      </c>
      <c r="AA3731">
        <v>0.77859250749471576</v>
      </c>
      <c r="AB3731" t="str">
        <f>HYPERLINK("Melting_Curves/meltCurve_Q6ZN17_2_LIN28B.pdf", "Melting_Curves/meltCurve_Q6ZN17_2_LIN28B.pdf")</f>
        <v>Melting_Curves/meltCurve_Q6ZN17_2_LIN28B.pdf</v>
      </c>
    </row>
    <row r="3732" spans="1:28" x14ac:dyDescent="0.25">
      <c r="A3732" t="s">
        <v>3736</v>
      </c>
      <c r="B3732">
        <v>0.99352677808782597</v>
      </c>
      <c r="C3732">
        <v>1.0970032557520999</v>
      </c>
      <c r="D3732">
        <v>1.06294241959772</v>
      </c>
      <c r="E3732">
        <v>0.78620278857117898</v>
      </c>
      <c r="F3732">
        <v>0.78379077714771594</v>
      </c>
      <c r="G3732">
        <v>0.75619953823941499</v>
      </c>
      <c r="H3732">
        <v>0.60222883813988304</v>
      </c>
      <c r="I3732">
        <v>0.69487543304383703</v>
      </c>
      <c r="J3732">
        <v>0.66738570737297798</v>
      </c>
      <c r="K3732">
        <v>0.61628643793389104</v>
      </c>
      <c r="L3732">
        <v>1216.57779343691</v>
      </c>
      <c r="M3732">
        <v>23.981114964247201</v>
      </c>
      <c r="O3732">
        <v>50.381844369732399</v>
      </c>
      <c r="P3732">
        <v>-4.0380115592715302E-2</v>
      </c>
      <c r="Q3732">
        <v>0.66066757543514898</v>
      </c>
      <c r="R3732">
        <v>0.87482853909987202</v>
      </c>
      <c r="S3732" t="s">
        <v>10017</v>
      </c>
      <c r="T3732" t="s">
        <v>12568</v>
      </c>
      <c r="U3732" t="s">
        <v>12568</v>
      </c>
      <c r="V3732" t="s">
        <v>12568</v>
      </c>
      <c r="W3732" t="s">
        <v>16256</v>
      </c>
      <c r="X3732">
        <v>1</v>
      </c>
      <c r="Y3732" t="s">
        <v>22377</v>
      </c>
      <c r="Z3732" t="s">
        <v>28602</v>
      </c>
      <c r="AA3732">
        <v>0.78536101912146894</v>
      </c>
      <c r="AB3732" t="str">
        <f>HYPERLINK("Melting_Curves/meltCurve_Q6ZN18_2_AEBP2.pdf", "Melting_Curves/meltCurve_Q6ZN18_2_AEBP2.pdf")</f>
        <v>Melting_Curves/meltCurve_Q6ZN18_2_AEBP2.pdf</v>
      </c>
    </row>
    <row r="3733" spans="1:28" x14ac:dyDescent="0.25">
      <c r="A3733" t="s">
        <v>3737</v>
      </c>
      <c r="B3733">
        <v>0.99352677808782597</v>
      </c>
      <c r="C3733">
        <v>1.0012601913794099</v>
      </c>
      <c r="D3733">
        <v>1.0326622551876601</v>
      </c>
      <c r="E3733">
        <v>0.85530139045311404</v>
      </c>
      <c r="F3733">
        <v>0.79927963267691404</v>
      </c>
      <c r="G3733">
        <v>0.62561422506428999</v>
      </c>
      <c r="H3733">
        <v>0.65921090536859805</v>
      </c>
      <c r="I3733">
        <v>0.79696346204817403</v>
      </c>
      <c r="J3733">
        <v>1.03131256458094</v>
      </c>
      <c r="K3733">
        <v>0.892968032540159</v>
      </c>
      <c r="L3733">
        <v>12451.094679231401</v>
      </c>
      <c r="M3733">
        <v>250</v>
      </c>
      <c r="O3733">
        <v>49.8011915047435</v>
      </c>
      <c r="P3733">
        <v>-0.249879235693893</v>
      </c>
      <c r="Q3733">
        <v>0.80089146126673005</v>
      </c>
      <c r="R3733">
        <v>0.43306075555794099</v>
      </c>
      <c r="S3733" t="s">
        <v>10018</v>
      </c>
      <c r="T3733" t="s">
        <v>12568</v>
      </c>
      <c r="U3733" t="s">
        <v>12568</v>
      </c>
      <c r="V3733" t="s">
        <v>12568</v>
      </c>
      <c r="W3733" t="s">
        <v>16257</v>
      </c>
      <c r="X3733">
        <v>48</v>
      </c>
      <c r="Y3733" t="s">
        <v>19482</v>
      </c>
      <c r="Z3733" t="s">
        <v>28603</v>
      </c>
      <c r="AA3733">
        <v>0.86598004851346344</v>
      </c>
      <c r="AB3733" t="str">
        <f>HYPERLINK("Melting_Curves/meltCurve_Q6ZN40_TPM1.pdf", "Melting_Curves/meltCurve_Q6ZN40_TPM1.pdf")</f>
        <v>Melting_Curves/meltCurve_Q6ZN40_TPM1.pdf</v>
      </c>
    </row>
    <row r="3734" spans="1:28" x14ac:dyDescent="0.25">
      <c r="A3734" t="s">
        <v>3738</v>
      </c>
      <c r="B3734">
        <v>0.99352677808782597</v>
      </c>
      <c r="C3734">
        <v>0.95525052200845195</v>
      </c>
      <c r="D3734">
        <v>0.91914276966144504</v>
      </c>
      <c r="E3734">
        <v>0.87237402405160303</v>
      </c>
      <c r="F3734">
        <v>0.76490958096953099</v>
      </c>
      <c r="G3734">
        <v>0.69903190574974905</v>
      </c>
      <c r="H3734">
        <v>0.621266948696233</v>
      </c>
      <c r="I3734">
        <v>0.64249480586993302</v>
      </c>
      <c r="J3734">
        <v>0.66351649610818597</v>
      </c>
      <c r="K3734">
        <v>0.57374371605833896</v>
      </c>
      <c r="L3734">
        <v>611.87766833699004</v>
      </c>
      <c r="M3734">
        <v>11.7197461998521</v>
      </c>
      <c r="O3734">
        <v>50.758583868297897</v>
      </c>
      <c r="P3734">
        <v>-2.384685552525E-2</v>
      </c>
      <c r="Q3734">
        <v>0.58698322328330299</v>
      </c>
      <c r="R3734">
        <v>0.973335789315662</v>
      </c>
      <c r="S3734" t="s">
        <v>10019</v>
      </c>
      <c r="T3734" t="s">
        <v>12568</v>
      </c>
      <c r="U3734" t="s">
        <v>12568</v>
      </c>
      <c r="V3734" t="s">
        <v>12568</v>
      </c>
      <c r="W3734" t="s">
        <v>16258</v>
      </c>
      <c r="X3734">
        <v>5</v>
      </c>
      <c r="Y3734" t="s">
        <v>22378</v>
      </c>
      <c r="Z3734" t="s">
        <v>28604</v>
      </c>
      <c r="AA3734">
        <v>0.76789975858339077</v>
      </c>
      <c r="AB3734" t="str">
        <f>HYPERLINK("Melting_Curves/meltCurve_Q6ZNA4_2_RNF111.pdf", "Melting_Curves/meltCurve_Q6ZNA4_2_RNF111.pdf")</f>
        <v>Melting_Curves/meltCurve_Q6ZNA4_2_RNF111.pdf</v>
      </c>
    </row>
    <row r="3735" spans="1:28" x14ac:dyDescent="0.25">
      <c r="A3735" t="s">
        <v>3739</v>
      </c>
      <c r="B3735">
        <v>0.99352677808782597</v>
      </c>
      <c r="C3735">
        <v>0.99586946609525795</v>
      </c>
      <c r="D3735">
        <v>0.87215260466266997</v>
      </c>
      <c r="E3735">
        <v>0.932266346810109</v>
      </c>
      <c r="F3735">
        <v>0.84166278695489005</v>
      </c>
      <c r="G3735">
        <v>0.52725331710437395</v>
      </c>
      <c r="H3735">
        <v>0.40656005966657299</v>
      </c>
      <c r="I3735">
        <v>0.29627500626091502</v>
      </c>
      <c r="J3735">
        <v>0.28812139696944999</v>
      </c>
      <c r="K3735">
        <v>0.232526954059803</v>
      </c>
      <c r="L3735">
        <v>970.17530618449496</v>
      </c>
      <c r="M3735">
        <v>17.240448621187099</v>
      </c>
      <c r="N3735">
        <v>58.249556640078502</v>
      </c>
      <c r="O3735">
        <v>55.5324699243588</v>
      </c>
      <c r="P3735">
        <v>-6.0431394283776502E-2</v>
      </c>
      <c r="Q3735">
        <v>0.22143363690131601</v>
      </c>
      <c r="R3735">
        <v>0.98090582276405502</v>
      </c>
      <c r="S3735" t="s">
        <v>10020</v>
      </c>
      <c r="T3735" t="s">
        <v>12568</v>
      </c>
      <c r="U3735" t="s">
        <v>12568</v>
      </c>
      <c r="V3735" t="s">
        <v>12568</v>
      </c>
      <c r="W3735" t="s">
        <v>16259</v>
      </c>
      <c r="X3735">
        <v>1</v>
      </c>
      <c r="Y3735" t="s">
        <v>22379</v>
      </c>
      <c r="Z3735" t="s">
        <v>28605</v>
      </c>
      <c r="AA3735">
        <v>0.65558190946201067</v>
      </c>
      <c r="AB3735" t="str">
        <f>HYPERLINK("Melting_Curves/meltCurve_Q6ZNE5_ATG14.pdf", "Melting_Curves/meltCurve_Q6ZNE5_ATG14.pdf")</f>
        <v>Melting_Curves/meltCurve_Q6ZNE5_ATG14.pdf</v>
      </c>
    </row>
    <row r="3736" spans="1:28" x14ac:dyDescent="0.25">
      <c r="A3736" t="s">
        <v>3740</v>
      </c>
      <c r="B3736">
        <v>0.99352677808782597</v>
      </c>
      <c r="C3736">
        <v>0.95905222842934801</v>
      </c>
      <c r="D3736">
        <v>0.66937977099443302</v>
      </c>
      <c r="E3736">
        <v>0.25425569432699502</v>
      </c>
      <c r="F3736">
        <v>0.188054922111971</v>
      </c>
      <c r="G3736">
        <v>0.11322538106176901</v>
      </c>
      <c r="H3736">
        <v>8.0786640527908196E-2</v>
      </c>
      <c r="I3736">
        <v>7.2633433502013206E-2</v>
      </c>
      <c r="J3736">
        <v>5.9322730715101697E-2</v>
      </c>
      <c r="K3736">
        <v>4.30918227052213E-2</v>
      </c>
      <c r="L3736">
        <v>1114.5976951632099</v>
      </c>
      <c r="M3736">
        <v>23.580438013151898</v>
      </c>
      <c r="N3736">
        <v>47.592096269282301</v>
      </c>
      <c r="O3736">
        <v>46.931883554489303</v>
      </c>
      <c r="P3736">
        <v>-0.116292457841702</v>
      </c>
      <c r="Q3736">
        <v>7.4193359650186502E-2</v>
      </c>
      <c r="R3736">
        <v>0.99550111812085296</v>
      </c>
      <c r="S3736" t="s">
        <v>10021</v>
      </c>
      <c r="T3736" t="s">
        <v>12568</v>
      </c>
      <c r="U3736" t="s">
        <v>12568</v>
      </c>
      <c r="V3736" t="s">
        <v>12568</v>
      </c>
      <c r="W3736" t="s">
        <v>16260</v>
      </c>
      <c r="X3736">
        <v>9</v>
      </c>
      <c r="Y3736" t="s">
        <v>22380</v>
      </c>
      <c r="Z3736" t="s">
        <v>28606</v>
      </c>
      <c r="AA3736">
        <v>0.30783336913630022</v>
      </c>
      <c r="AB3736" t="str">
        <f>HYPERLINK("Melting_Curves/meltCurve_Q6ZNJ1_3_NBEAL2.pdf", "Melting_Curves/meltCurve_Q6ZNJ1_3_NBEAL2.pdf")</f>
        <v>Melting_Curves/meltCurve_Q6ZNJ1_3_NBEAL2.pdf</v>
      </c>
    </row>
    <row r="3737" spans="1:28" x14ac:dyDescent="0.25">
      <c r="A3737" t="s">
        <v>3741</v>
      </c>
      <c r="B3737">
        <v>0.99352677808782597</v>
      </c>
      <c r="C3737">
        <v>0.96705398281855803</v>
      </c>
      <c r="D3737">
        <v>0.94394112168908695</v>
      </c>
      <c r="E3737">
        <v>0.26300561966304498</v>
      </c>
      <c r="F3737">
        <v>0.21783549493391099</v>
      </c>
      <c r="G3737">
        <v>0.12823246068066699</v>
      </c>
      <c r="H3737">
        <v>0.115557286172043</v>
      </c>
      <c r="I3737">
        <v>0.131751264897744</v>
      </c>
      <c r="J3737">
        <v>0.117324846628389</v>
      </c>
      <c r="K3737">
        <v>9.8872510122693297E-2</v>
      </c>
      <c r="L3737">
        <v>2355.7287842794699</v>
      </c>
      <c r="M3737">
        <v>48.728345239644199</v>
      </c>
      <c r="N3737">
        <v>48.647682527879603</v>
      </c>
      <c r="O3737">
        <v>48.2629036534344</v>
      </c>
      <c r="P3737">
        <v>-0.21932130671650699</v>
      </c>
      <c r="Q3737">
        <v>0.13109521219460901</v>
      </c>
      <c r="R3737">
        <v>0.99409807357703694</v>
      </c>
      <c r="S3737" t="s">
        <v>10022</v>
      </c>
      <c r="T3737" t="s">
        <v>12568</v>
      </c>
      <c r="U3737" t="s">
        <v>12568</v>
      </c>
      <c r="V3737" t="s">
        <v>12568</v>
      </c>
      <c r="W3737" t="s">
        <v>16261</v>
      </c>
      <c r="X3737">
        <v>7</v>
      </c>
      <c r="Y3737" t="s">
        <v>22381</v>
      </c>
      <c r="Z3737" t="s">
        <v>28607</v>
      </c>
      <c r="AA3737">
        <v>0.37472215455005597</v>
      </c>
      <c r="AB3737" t="str">
        <f>HYPERLINK("Melting_Curves/meltCurve_Q6ZNW5_GDPGP1.pdf", "Melting_Curves/meltCurve_Q6ZNW5_GDPGP1.pdf")</f>
        <v>Melting_Curves/meltCurve_Q6ZNW5_GDPGP1.pdf</v>
      </c>
    </row>
    <row r="3738" spans="1:28" x14ac:dyDescent="0.25">
      <c r="A3738" t="s">
        <v>3742</v>
      </c>
      <c r="B3738">
        <v>0.99352677808782597</v>
      </c>
      <c r="C3738">
        <v>0.810350028376295</v>
      </c>
      <c r="D3738">
        <v>0.89160012680203404</v>
      </c>
      <c r="E3738">
        <v>0.69742423711586599</v>
      </c>
      <c r="F3738">
        <v>0.64646945380517895</v>
      </c>
      <c r="G3738">
        <v>0.41717445215124299</v>
      </c>
      <c r="H3738">
        <v>0.36453299614163298</v>
      </c>
      <c r="I3738">
        <v>0.33277225298489599</v>
      </c>
      <c r="J3738">
        <v>0.38447814784832801</v>
      </c>
      <c r="K3738">
        <v>0.32759608018136299</v>
      </c>
      <c r="L3738">
        <v>539.73580980634199</v>
      </c>
      <c r="M3738">
        <v>10.457197703588299</v>
      </c>
      <c r="N3738">
        <v>55.862159744751203</v>
      </c>
      <c r="O3738">
        <v>49.833417985750401</v>
      </c>
      <c r="P3738">
        <v>-3.8087868074603001E-2</v>
      </c>
      <c r="Q3738">
        <v>0.27427170776627602</v>
      </c>
      <c r="R3738">
        <v>0.95415113453927103</v>
      </c>
      <c r="S3738" t="s">
        <v>10023</v>
      </c>
      <c r="T3738" t="s">
        <v>12568</v>
      </c>
      <c r="U3738" t="s">
        <v>12568</v>
      </c>
      <c r="V3738" t="s">
        <v>12568</v>
      </c>
      <c r="W3738" t="s">
        <v>16262</v>
      </c>
      <c r="X3738">
        <v>3</v>
      </c>
      <c r="Y3738" t="s">
        <v>22382</v>
      </c>
      <c r="Z3738" t="s">
        <v>28608</v>
      </c>
      <c r="AA3738">
        <v>0.58234192030355447</v>
      </c>
      <c r="AB3738" t="str">
        <f>HYPERLINK("Melting_Curves/meltCurve_Q6ZQX7_4_C17orf97.pdf", "Melting_Curves/meltCurve_Q6ZQX7_4_C17orf97.pdf")</f>
        <v>Melting_Curves/meltCurve_Q6ZQX7_4_C17orf97.pdf</v>
      </c>
    </row>
    <row r="3739" spans="1:28" x14ac:dyDescent="0.25">
      <c r="A3739" t="s">
        <v>3743</v>
      </c>
      <c r="B3739">
        <v>0.99352677808782597</v>
      </c>
      <c r="C3739">
        <v>0.96289688553731501</v>
      </c>
      <c r="D3739">
        <v>0.91562934936345297</v>
      </c>
      <c r="E3739">
        <v>0.84897106516061305</v>
      </c>
      <c r="F3739">
        <v>0.99325447589725202</v>
      </c>
      <c r="G3739">
        <v>0.85652479849256702</v>
      </c>
      <c r="H3739">
        <v>0.93062214446178304</v>
      </c>
      <c r="I3739">
        <v>1.0941945585401101</v>
      </c>
      <c r="J3739">
        <v>0.83223954167181402</v>
      </c>
      <c r="K3739">
        <v>0.301135624374956</v>
      </c>
      <c r="L3739">
        <v>15000</v>
      </c>
      <c r="M3739">
        <v>222.72785687220301</v>
      </c>
      <c r="N3739">
        <v>67.626472143727</v>
      </c>
      <c r="O3739">
        <v>67.341332529985095</v>
      </c>
      <c r="P3739">
        <v>-0.57798893657233696</v>
      </c>
      <c r="Q3739">
        <v>0.300984696978356</v>
      </c>
      <c r="R3739">
        <v>0.84390632613638805</v>
      </c>
      <c r="S3739" t="s">
        <v>10024</v>
      </c>
      <c r="T3739" t="s">
        <v>12568</v>
      </c>
      <c r="U3739" t="s">
        <v>12568</v>
      </c>
      <c r="V3739" t="s">
        <v>12568</v>
      </c>
      <c r="W3739" t="s">
        <v>16263</v>
      </c>
      <c r="X3739">
        <v>9</v>
      </c>
      <c r="Y3739" t="s">
        <v>22383</v>
      </c>
      <c r="Z3739" t="s">
        <v>28609</v>
      </c>
      <c r="AA3739">
        <v>0.93828064392638011</v>
      </c>
      <c r="AB3739" t="str">
        <f>HYPERLINK("Melting_Curves/meltCurve_Q6ZRS2_3_SRCAP.pdf", "Melting_Curves/meltCurve_Q6ZRS2_3_SRCAP.pdf")</f>
        <v>Melting_Curves/meltCurve_Q6ZRS2_3_SRCAP.pdf</v>
      </c>
    </row>
    <row r="3740" spans="1:28" x14ac:dyDescent="0.25">
      <c r="A3740" t="s">
        <v>3744</v>
      </c>
      <c r="B3740">
        <v>0.99352677808782597</v>
      </c>
      <c r="C3740">
        <v>0.956393013298801</v>
      </c>
      <c r="D3740">
        <v>0.85167714673158401</v>
      </c>
      <c r="E3740">
        <v>0.33446022485242299</v>
      </c>
      <c r="F3740">
        <v>0.22642725803656899</v>
      </c>
      <c r="G3740">
        <v>0.16573719718306401</v>
      </c>
      <c r="H3740">
        <v>0.103082313268269</v>
      </c>
      <c r="I3740">
        <v>8.1938454104599101E-2</v>
      </c>
      <c r="J3740">
        <v>7.2318918961826198E-2</v>
      </c>
      <c r="K3740">
        <v>5.9312658990888098E-2</v>
      </c>
      <c r="L3740">
        <v>1262.8957845058701</v>
      </c>
      <c r="M3740">
        <v>26.048278529886399</v>
      </c>
      <c r="N3740">
        <v>48.875163618535197</v>
      </c>
      <c r="O3740">
        <v>48.199842512536399</v>
      </c>
      <c r="P3740">
        <v>-0.122362652960627</v>
      </c>
      <c r="Q3740">
        <v>9.4328823781113902E-2</v>
      </c>
      <c r="R3740">
        <v>0.992959622202502</v>
      </c>
      <c r="S3740" t="s">
        <v>10025</v>
      </c>
      <c r="T3740" t="s">
        <v>12568</v>
      </c>
      <c r="U3740" t="s">
        <v>12568</v>
      </c>
      <c r="V3740" t="s">
        <v>12568</v>
      </c>
      <c r="W3740" t="s">
        <v>16264</v>
      </c>
      <c r="X3740">
        <v>7</v>
      </c>
      <c r="Y3740" t="s">
        <v>22384</v>
      </c>
      <c r="Z3740" t="s">
        <v>28610</v>
      </c>
      <c r="AA3740">
        <v>0.3577667766378746</v>
      </c>
      <c r="AB3740" t="str">
        <f>HYPERLINK("Melting_Curves/meltCurve_Q6ZS17_2_FAM65A.pdf", "Melting_Curves/meltCurve_Q6ZS17_2_FAM65A.pdf")</f>
        <v>Melting_Curves/meltCurve_Q6ZS17_2_FAM65A.pdf</v>
      </c>
    </row>
    <row r="3741" spans="1:28" x14ac:dyDescent="0.25">
      <c r="A3741" t="s">
        <v>3745</v>
      </c>
      <c r="B3741">
        <v>0.99352677808782597</v>
      </c>
      <c r="C3741">
        <v>0.99325532785292403</v>
      </c>
      <c r="D3741">
        <v>0.88684472527137403</v>
      </c>
      <c r="E3741">
        <v>0.51092499535165004</v>
      </c>
      <c r="F3741">
        <v>0.42677480979299798</v>
      </c>
      <c r="G3741">
        <v>0.28839897295864397</v>
      </c>
      <c r="H3741">
        <v>0.225359231599465</v>
      </c>
      <c r="I3741">
        <v>0.208950586330339</v>
      </c>
      <c r="J3741">
        <v>0.190949289847481</v>
      </c>
      <c r="K3741">
        <v>0.14154745810181499</v>
      </c>
      <c r="L3741">
        <v>907.83828283749301</v>
      </c>
      <c r="M3741">
        <v>18.230026336556499</v>
      </c>
      <c r="N3741">
        <v>51.097437815474599</v>
      </c>
      <c r="O3741">
        <v>49.2114307081726</v>
      </c>
      <c r="P3741">
        <v>-7.5446532431779706E-2</v>
      </c>
      <c r="Q3741">
        <v>0.185375241908314</v>
      </c>
      <c r="R3741">
        <v>0.98903624586405203</v>
      </c>
      <c r="S3741" t="s">
        <v>10026</v>
      </c>
      <c r="T3741" t="s">
        <v>12568</v>
      </c>
      <c r="U3741" t="s">
        <v>12568</v>
      </c>
      <c r="V3741" t="s">
        <v>12568</v>
      </c>
      <c r="W3741" t="s">
        <v>16265</v>
      </c>
      <c r="X3741">
        <v>3</v>
      </c>
      <c r="Y3741" t="s">
        <v>22385</v>
      </c>
      <c r="Z3741" t="s">
        <v>28611</v>
      </c>
      <c r="AA3741">
        <v>0.4650547116562469</v>
      </c>
      <c r="AB3741" t="str">
        <f>HYPERLINK("Melting_Curves/meltCurve_Q6ZS30_NBEAL1.pdf", "Melting_Curves/meltCurve_Q6ZS30_NBEAL1.pdf")</f>
        <v>Melting_Curves/meltCurve_Q6ZS30_NBEAL1.pdf</v>
      </c>
    </row>
    <row r="3742" spans="1:28" x14ac:dyDescent="0.25">
      <c r="A3742" t="s">
        <v>3746</v>
      </c>
      <c r="B3742">
        <v>0.99352677808782597</v>
      </c>
      <c r="C3742">
        <v>1.04319035684147</v>
      </c>
      <c r="D3742">
        <v>0.96752328994621295</v>
      </c>
      <c r="E3742">
        <v>0.88360884538331996</v>
      </c>
      <c r="F3742">
        <v>0.80546145603205399</v>
      </c>
      <c r="G3742">
        <v>0.70538438546973503</v>
      </c>
      <c r="H3742">
        <v>0.63392158592183101</v>
      </c>
      <c r="I3742">
        <v>0.69096129822973995</v>
      </c>
      <c r="J3742">
        <v>0.64923780989789004</v>
      </c>
      <c r="K3742">
        <v>0.58635816990590495</v>
      </c>
      <c r="L3742">
        <v>902.64064568432502</v>
      </c>
      <c r="M3742">
        <v>17.1371498809306</v>
      </c>
      <c r="O3742">
        <v>51.970044023240902</v>
      </c>
      <c r="P3742">
        <v>-3.0996355357472E-2</v>
      </c>
      <c r="Q3742">
        <v>0.62402484992500695</v>
      </c>
      <c r="R3742">
        <v>0.96861823327223295</v>
      </c>
      <c r="S3742" t="s">
        <v>10027</v>
      </c>
      <c r="T3742" t="s">
        <v>12568</v>
      </c>
      <c r="U3742" t="s">
        <v>12568</v>
      </c>
      <c r="V3742" t="s">
        <v>12568</v>
      </c>
      <c r="W3742" t="s">
        <v>16266</v>
      </c>
      <c r="X3742">
        <v>3</v>
      </c>
      <c r="Y3742" t="s">
        <v>22386</v>
      </c>
      <c r="Z3742" t="s">
        <v>28612</v>
      </c>
      <c r="AA3742">
        <v>0.7895342327427618</v>
      </c>
      <c r="AB3742" t="str">
        <f>HYPERLINK("Melting_Curves/meltCurve_Q6ZSJ8_C1orf122.pdf", "Melting_Curves/meltCurve_Q6ZSJ8_C1orf122.pdf")</f>
        <v>Melting_Curves/meltCurve_Q6ZSJ8_C1orf122.pdf</v>
      </c>
    </row>
    <row r="3743" spans="1:28" x14ac:dyDescent="0.25">
      <c r="A3743" t="s">
        <v>3747</v>
      </c>
      <c r="B3743">
        <v>0.99352677808782597</v>
      </c>
      <c r="C3743">
        <v>0.99334993567707697</v>
      </c>
      <c r="D3743">
        <v>0.89389855259873396</v>
      </c>
      <c r="E3743">
        <v>0.443186164085419</v>
      </c>
      <c r="F3743">
        <v>0.35962496844893299</v>
      </c>
      <c r="G3743">
        <v>0.26357213628823301</v>
      </c>
      <c r="H3743">
        <v>0.20481622713084399</v>
      </c>
      <c r="I3743">
        <v>0.194241738375517</v>
      </c>
      <c r="J3743">
        <v>0.17201796287197499</v>
      </c>
      <c r="K3743">
        <v>0.155613306776924</v>
      </c>
      <c r="L3743">
        <v>1179.01735868541</v>
      </c>
      <c r="M3743">
        <v>24.072961389039701</v>
      </c>
      <c r="N3743">
        <v>49.995367177543301</v>
      </c>
      <c r="O3743">
        <v>48.642610631406598</v>
      </c>
      <c r="P3743">
        <v>-9.9745247015899E-2</v>
      </c>
      <c r="Q3743">
        <v>0.193818599576637</v>
      </c>
      <c r="R3743">
        <v>0.98962367874360502</v>
      </c>
      <c r="S3743" t="s">
        <v>10028</v>
      </c>
      <c r="T3743" t="s">
        <v>12568</v>
      </c>
      <c r="U3743" t="s">
        <v>12568</v>
      </c>
      <c r="V3743" t="s">
        <v>12568</v>
      </c>
      <c r="W3743" t="s">
        <v>16267</v>
      </c>
      <c r="X3743">
        <v>24</v>
      </c>
      <c r="Y3743" t="s">
        <v>22387</v>
      </c>
      <c r="Z3743" t="s">
        <v>28613</v>
      </c>
      <c r="AA3743">
        <v>0.44277199968605169</v>
      </c>
      <c r="AB3743" t="str">
        <f>HYPERLINK("Melting_Curves/meltCurve_Q6ZSZ5_2_ARHGEF18.pdf", "Melting_Curves/meltCurve_Q6ZSZ5_2_ARHGEF18.pdf")</f>
        <v>Melting_Curves/meltCurve_Q6ZSZ5_2_ARHGEF18.pdf</v>
      </c>
    </row>
    <row r="3744" spans="1:28" x14ac:dyDescent="0.25">
      <c r="A3744" t="s">
        <v>3748</v>
      </c>
      <c r="B3744">
        <v>0.99352677808782597</v>
      </c>
      <c r="C3744">
        <v>0.989918544891771</v>
      </c>
      <c r="D3744">
        <v>0.78972603740452196</v>
      </c>
      <c r="E3744">
        <v>0.35282876203792102</v>
      </c>
      <c r="F3744">
        <v>0.289525223019449</v>
      </c>
      <c r="G3744">
        <v>0.17934456180505401</v>
      </c>
      <c r="H3744">
        <v>0.182226881073729</v>
      </c>
      <c r="I3744">
        <v>0.17068240733346601</v>
      </c>
      <c r="J3744">
        <v>0.12506136039405999</v>
      </c>
      <c r="K3744">
        <v>0.101543541059694</v>
      </c>
      <c r="L3744">
        <v>1167.18222412706</v>
      </c>
      <c r="M3744">
        <v>24.285319297104401</v>
      </c>
      <c r="N3744">
        <v>48.789314163064297</v>
      </c>
      <c r="O3744">
        <v>47.738902174840099</v>
      </c>
      <c r="P3744">
        <v>-0.10784845475346801</v>
      </c>
      <c r="Q3744">
        <v>0.151999774459319</v>
      </c>
      <c r="R3744">
        <v>0.99135480145325505</v>
      </c>
      <c r="S3744" t="s">
        <v>10029</v>
      </c>
      <c r="T3744" t="s">
        <v>12568</v>
      </c>
      <c r="U3744" t="s">
        <v>12568</v>
      </c>
      <c r="V3744" t="s">
        <v>12568</v>
      </c>
      <c r="W3744" t="s">
        <v>16268</v>
      </c>
      <c r="X3744">
        <v>8</v>
      </c>
      <c r="Y3744" t="s">
        <v>22388</v>
      </c>
      <c r="Z3744" t="s">
        <v>28614</v>
      </c>
      <c r="AA3744">
        <v>0.3878335646099853</v>
      </c>
      <c r="AB3744" t="str">
        <f>HYPERLINK("Melting_Curves/meltCurve_Q6ZT12_UBR3.pdf", "Melting_Curves/meltCurve_Q6ZT12_UBR3.pdf")</f>
        <v>Melting_Curves/meltCurve_Q6ZT12_UBR3.pdf</v>
      </c>
    </row>
    <row r="3745" spans="1:28" x14ac:dyDescent="0.25">
      <c r="A3745" t="s">
        <v>3749</v>
      </c>
      <c r="B3745">
        <v>0.99352677808782597</v>
      </c>
      <c r="C3745">
        <v>0.98591385150164801</v>
      </c>
      <c r="D3745">
        <v>0.93621342656628503</v>
      </c>
      <c r="E3745">
        <v>0.70337592653494097</v>
      </c>
      <c r="F3745">
        <v>0.651889036266047</v>
      </c>
      <c r="G3745">
        <v>0.30280472119527801</v>
      </c>
      <c r="H3745">
        <v>0.24447269529426999</v>
      </c>
      <c r="I3745">
        <v>0.24935837003959399</v>
      </c>
      <c r="J3745">
        <v>0.258031888706726</v>
      </c>
      <c r="K3745">
        <v>0.20072498533313701</v>
      </c>
      <c r="L3745">
        <v>901.94196576731497</v>
      </c>
      <c r="M3745">
        <v>17.200593189721801</v>
      </c>
      <c r="N3745">
        <v>54.062438682213802</v>
      </c>
      <c r="O3745">
        <v>51.7433108277408</v>
      </c>
      <c r="P3745">
        <v>-6.6328457340489602E-2</v>
      </c>
      <c r="Q3745">
        <v>0.20192252876863201</v>
      </c>
      <c r="R3745">
        <v>0.98376934494173995</v>
      </c>
      <c r="S3745" t="s">
        <v>10030</v>
      </c>
      <c r="T3745" t="s">
        <v>12568</v>
      </c>
      <c r="U3745" t="s">
        <v>12568</v>
      </c>
      <c r="V3745" t="s">
        <v>12568</v>
      </c>
      <c r="W3745" t="s">
        <v>16269</v>
      </c>
      <c r="X3745">
        <v>4</v>
      </c>
      <c r="Y3745" t="s">
        <v>22389</v>
      </c>
      <c r="Z3745" t="s">
        <v>28615</v>
      </c>
      <c r="AA3745">
        <v>0.54698598103016538</v>
      </c>
      <c r="AB3745" t="str">
        <f>HYPERLINK("Melting_Curves/meltCurve_Q6ZT62_SH3BP1.pdf", "Melting_Curves/meltCurve_Q6ZT62_SH3BP1.pdf")</f>
        <v>Melting_Curves/meltCurve_Q6ZT62_SH3BP1.pdf</v>
      </c>
    </row>
    <row r="3746" spans="1:28" x14ac:dyDescent="0.25">
      <c r="A3746" t="s">
        <v>3750</v>
      </c>
      <c r="B3746">
        <v>0.99352677808782597</v>
      </c>
      <c r="C3746">
        <v>1.0058652235435399</v>
      </c>
      <c r="D3746">
        <v>0.92508105524334505</v>
      </c>
      <c r="E3746">
        <v>0.84551528181106606</v>
      </c>
      <c r="F3746">
        <v>0.71040251198026105</v>
      </c>
      <c r="G3746">
        <v>0.59815094611971498</v>
      </c>
      <c r="H3746">
        <v>0.455380661356733</v>
      </c>
      <c r="I3746">
        <v>0.47601250942249201</v>
      </c>
      <c r="J3746">
        <v>0.43578803806052402</v>
      </c>
      <c r="K3746">
        <v>0.33940604732788099</v>
      </c>
      <c r="L3746">
        <v>647.39159093999001</v>
      </c>
      <c r="M3746">
        <v>11.8474916400952</v>
      </c>
      <c r="N3746">
        <v>60.340487178763603</v>
      </c>
      <c r="O3746">
        <v>53.156694181065298</v>
      </c>
      <c r="P3746">
        <v>-3.6972788742653397E-2</v>
      </c>
      <c r="Q3746">
        <v>0.33661789232767902</v>
      </c>
      <c r="R3746">
        <v>0.98764014278624002</v>
      </c>
      <c r="S3746" t="s">
        <v>10031</v>
      </c>
      <c r="T3746" t="s">
        <v>12568</v>
      </c>
      <c r="U3746" t="s">
        <v>12568</v>
      </c>
      <c r="V3746" t="s">
        <v>12568</v>
      </c>
      <c r="W3746" t="s">
        <v>16270</v>
      </c>
      <c r="X3746">
        <v>5</v>
      </c>
      <c r="Y3746" t="s">
        <v>22390</v>
      </c>
      <c r="Z3746" t="s">
        <v>28616</v>
      </c>
      <c r="AA3746">
        <v>0.67680669745996969</v>
      </c>
      <c r="AB3746" t="str">
        <f>HYPERLINK("Melting_Curves/meltCurve_Q6ZU65_UBN2.pdf", "Melting_Curves/meltCurve_Q6ZU65_UBN2.pdf")</f>
        <v>Melting_Curves/meltCurve_Q6ZU65_UBN2.pdf</v>
      </c>
    </row>
    <row r="3747" spans="1:28" x14ac:dyDescent="0.25">
      <c r="A3747" t="s">
        <v>3751</v>
      </c>
      <c r="B3747">
        <v>0.99352677808782597</v>
      </c>
      <c r="C3747">
        <v>0.94960553002881598</v>
      </c>
      <c r="D3747">
        <v>0.96180815275701004</v>
      </c>
      <c r="E3747">
        <v>0.785824686517548</v>
      </c>
      <c r="F3747">
        <v>0.66807578221392305</v>
      </c>
      <c r="G3747">
        <v>0.20971578033586999</v>
      </c>
      <c r="H3747">
        <v>0.12779512565850201</v>
      </c>
      <c r="I3747">
        <v>0.113632038915913</v>
      </c>
      <c r="J3747">
        <v>0.103198103655587</v>
      </c>
      <c r="K3747">
        <v>8.2839721299652905E-2</v>
      </c>
      <c r="L3747">
        <v>1207.3374252119499</v>
      </c>
      <c r="M3747">
        <v>22.5363567844995</v>
      </c>
      <c r="N3747">
        <v>53.976750563151001</v>
      </c>
      <c r="O3747">
        <v>53.156403421654304</v>
      </c>
      <c r="P3747">
        <v>-9.7769202674959907E-2</v>
      </c>
      <c r="Q3747">
        <v>7.7587597208282094E-2</v>
      </c>
      <c r="R3747">
        <v>0.98963584186970399</v>
      </c>
      <c r="S3747" t="s">
        <v>10032</v>
      </c>
      <c r="T3747" t="s">
        <v>12568</v>
      </c>
      <c r="U3747" t="s">
        <v>12568</v>
      </c>
      <c r="V3747" t="s">
        <v>12568</v>
      </c>
      <c r="W3747" t="s">
        <v>16271</v>
      </c>
      <c r="X3747">
        <v>3</v>
      </c>
      <c r="Y3747" t="s">
        <v>22391</v>
      </c>
      <c r="Z3747" t="s">
        <v>28617</v>
      </c>
      <c r="AA3747">
        <v>0.5051942540297637</v>
      </c>
      <c r="AB3747" t="str">
        <f>HYPERLINK("Melting_Curves/meltCurve_Q6ZUM4_2_ARHGAP27.pdf", "Melting_Curves/meltCurve_Q6ZUM4_2_ARHGAP27.pdf")</f>
        <v>Melting_Curves/meltCurve_Q6ZUM4_2_ARHGAP27.pdf</v>
      </c>
    </row>
    <row r="3748" spans="1:28" x14ac:dyDescent="0.25">
      <c r="A3748" t="s">
        <v>3752</v>
      </c>
      <c r="B3748">
        <v>0.99352677808782597</v>
      </c>
      <c r="C3748">
        <v>0.78807122083095604</v>
      </c>
      <c r="D3748">
        <v>0.81926572985775703</v>
      </c>
      <c r="E3748">
        <v>0.66383213865200896</v>
      </c>
      <c r="F3748">
        <v>0.78341015746194098</v>
      </c>
      <c r="G3748">
        <v>0.33786924687052</v>
      </c>
      <c r="H3748">
        <v>0.31762780569249399</v>
      </c>
      <c r="I3748">
        <v>0.20164996048741701</v>
      </c>
      <c r="J3748">
        <v>0.17521598351882101</v>
      </c>
      <c r="K3748">
        <v>0.15820609977882899</v>
      </c>
      <c r="L3748">
        <v>457.16463461082299</v>
      </c>
      <c r="M3748">
        <v>8.2896192785664997</v>
      </c>
      <c r="N3748">
        <v>55.149050770677597</v>
      </c>
      <c r="O3748">
        <v>52.219221195108801</v>
      </c>
      <c r="P3748">
        <v>-3.9725931342895197E-2</v>
      </c>
      <c r="Q3748">
        <v>0</v>
      </c>
      <c r="R3748">
        <v>0.92234490359152599</v>
      </c>
      <c r="S3748" t="s">
        <v>10033</v>
      </c>
      <c r="T3748" t="s">
        <v>12568</v>
      </c>
      <c r="U3748" t="s">
        <v>12568</v>
      </c>
      <c r="V3748" t="s">
        <v>12568</v>
      </c>
      <c r="W3748" t="s">
        <v>16272</v>
      </c>
      <c r="X3748">
        <v>3</v>
      </c>
      <c r="Y3748" t="s">
        <v>22392</v>
      </c>
      <c r="Z3748" t="s">
        <v>28618</v>
      </c>
      <c r="AA3748">
        <v>0.53105328215186565</v>
      </c>
      <c r="AB3748" t="str">
        <f>HYPERLINK("Melting_Curves/meltCurve_Q6ZUS6_5_CCDC149.pdf", "Melting_Curves/meltCurve_Q6ZUS6_5_CCDC149.pdf")</f>
        <v>Melting_Curves/meltCurve_Q6ZUS6_5_CCDC149.pdf</v>
      </c>
    </row>
    <row r="3749" spans="1:28" x14ac:dyDescent="0.25">
      <c r="A3749" t="s">
        <v>3753</v>
      </c>
      <c r="B3749">
        <v>0.99352677808782597</v>
      </c>
      <c r="C3749">
        <v>0.923262462284417</v>
      </c>
      <c r="D3749">
        <v>0.81246684125243096</v>
      </c>
      <c r="E3749">
        <v>0.78779898672581306</v>
      </c>
      <c r="F3749">
        <v>0.89474450753661094</v>
      </c>
      <c r="G3749">
        <v>0.79711048263147599</v>
      </c>
      <c r="H3749">
        <v>0.70797988588217997</v>
      </c>
      <c r="I3749">
        <v>0.86970172889377795</v>
      </c>
      <c r="J3749">
        <v>0.77834062109084501</v>
      </c>
      <c r="K3749">
        <v>0.59703441263595702</v>
      </c>
      <c r="L3749">
        <v>165.44942571206499</v>
      </c>
      <c r="M3749">
        <v>1.5170890312645799</v>
      </c>
      <c r="O3749">
        <v>53.864327748213498</v>
      </c>
      <c r="P3749">
        <v>-8.2120262357785103E-3</v>
      </c>
      <c r="Q3749">
        <v>0</v>
      </c>
      <c r="R3749">
        <v>0.54934324537541801</v>
      </c>
      <c r="S3749" t="s">
        <v>10034</v>
      </c>
      <c r="T3749" t="s">
        <v>12568</v>
      </c>
      <c r="U3749" t="s">
        <v>12568</v>
      </c>
      <c r="V3749" t="s">
        <v>12568</v>
      </c>
      <c r="W3749" t="s">
        <v>16273</v>
      </c>
      <c r="X3749">
        <v>3</v>
      </c>
      <c r="Y3749" t="s">
        <v>22393</v>
      </c>
      <c r="Z3749" t="s">
        <v>28619</v>
      </c>
      <c r="AA3749">
        <v>0.81639291056378449</v>
      </c>
      <c r="AB3749" t="str">
        <f>HYPERLINK("Melting_Curves/meltCurve_Q6ZUT6_4_C15orf52.pdf", "Melting_Curves/meltCurve_Q6ZUT6_4_C15orf52.pdf")</f>
        <v>Melting_Curves/meltCurve_Q6ZUT6_4_C15orf52.pdf</v>
      </c>
    </row>
    <row r="3750" spans="1:28" x14ac:dyDescent="0.25">
      <c r="A3750" t="s">
        <v>3754</v>
      </c>
      <c r="B3750">
        <v>0.99352677808782597</v>
      </c>
      <c r="C3750">
        <v>0.98856157969213998</v>
      </c>
      <c r="D3750">
        <v>0.75660970864561405</v>
      </c>
      <c r="E3750">
        <v>0.297772931343874</v>
      </c>
      <c r="F3750">
        <v>0.22305514842184801</v>
      </c>
      <c r="G3750">
        <v>0.173087795862993</v>
      </c>
      <c r="H3750">
        <v>0.111687094092474</v>
      </c>
      <c r="I3750">
        <v>0.112515650427716</v>
      </c>
      <c r="J3750">
        <v>0.105955024304032</v>
      </c>
      <c r="K3750">
        <v>7.0959141792538094E-2</v>
      </c>
      <c r="L3750">
        <v>1238.8521747134801</v>
      </c>
      <c r="M3750">
        <v>25.952448368069199</v>
      </c>
      <c r="N3750">
        <v>48.224432719952702</v>
      </c>
      <c r="O3750">
        <v>47.454745890801398</v>
      </c>
      <c r="P3750">
        <v>-0.120906766109299</v>
      </c>
      <c r="Q3750">
        <v>0.115685256466885</v>
      </c>
      <c r="R3750">
        <v>0.99370444205349395</v>
      </c>
      <c r="S3750" t="s">
        <v>10035</v>
      </c>
      <c r="T3750" t="s">
        <v>12568</v>
      </c>
      <c r="U3750" t="s">
        <v>12568</v>
      </c>
      <c r="V3750" t="s">
        <v>12568</v>
      </c>
      <c r="W3750" t="s">
        <v>16274</v>
      </c>
      <c r="X3750">
        <v>5</v>
      </c>
      <c r="Y3750" t="s">
        <v>22394</v>
      </c>
      <c r="Z3750" t="s">
        <v>28620</v>
      </c>
      <c r="AA3750">
        <v>0.35092752706412073</v>
      </c>
      <c r="AB3750" t="str">
        <f>HYPERLINK("Melting_Curves/meltCurve_Q6ZUT9_DENND5B.pdf", "Melting_Curves/meltCurve_Q6ZUT9_DENND5B.pdf")</f>
        <v>Melting_Curves/meltCurve_Q6ZUT9_DENND5B.pdf</v>
      </c>
    </row>
    <row r="3751" spans="1:28" x14ac:dyDescent="0.25">
      <c r="A3751" t="s">
        <v>3755</v>
      </c>
      <c r="B3751">
        <v>0.99352677808782597</v>
      </c>
      <c r="C3751">
        <v>0.96680373218677396</v>
      </c>
      <c r="D3751">
        <v>0.93332776357560399</v>
      </c>
      <c r="E3751">
        <v>0.60446431277519097</v>
      </c>
      <c r="F3751">
        <v>0.50886149316359597</v>
      </c>
      <c r="G3751">
        <v>0.34543904648625101</v>
      </c>
      <c r="H3751">
        <v>0.25370791624410899</v>
      </c>
      <c r="I3751">
        <v>0.23782829411506501</v>
      </c>
      <c r="J3751">
        <v>0.22661581860316901</v>
      </c>
      <c r="K3751">
        <v>0.18872679495551201</v>
      </c>
      <c r="L3751">
        <v>822.32755466375397</v>
      </c>
      <c r="M3751">
        <v>16.126503568664798</v>
      </c>
      <c r="N3751">
        <v>52.698731391185703</v>
      </c>
      <c r="O3751">
        <v>50.227529400777698</v>
      </c>
      <c r="P3751">
        <v>-6.3946570936687097E-2</v>
      </c>
      <c r="Q3751">
        <v>0.20338986863206601</v>
      </c>
      <c r="R3751">
        <v>0.99185220338931401</v>
      </c>
      <c r="S3751" t="s">
        <v>10036</v>
      </c>
      <c r="T3751" t="s">
        <v>12568</v>
      </c>
      <c r="U3751" t="s">
        <v>12568</v>
      </c>
      <c r="V3751" t="s">
        <v>12568</v>
      </c>
      <c r="W3751" t="s">
        <v>16275</v>
      </c>
      <c r="X3751">
        <v>22</v>
      </c>
      <c r="Y3751" t="s">
        <v>22395</v>
      </c>
      <c r="Z3751" t="s">
        <v>28621</v>
      </c>
      <c r="AA3751">
        <v>0.51156887123814565</v>
      </c>
      <c r="AB3751" t="str">
        <f>HYPERLINK("Melting_Curves/meltCurve_Q6ZV73_FGD6.pdf", "Melting_Curves/meltCurve_Q6ZV73_FGD6.pdf")</f>
        <v>Melting_Curves/meltCurve_Q6ZV73_FGD6.pdf</v>
      </c>
    </row>
    <row r="3752" spans="1:28" x14ac:dyDescent="0.25">
      <c r="A3752" t="s">
        <v>3756</v>
      </c>
      <c r="B3752">
        <v>0.99352677808782597</v>
      </c>
      <c r="C3752">
        <v>0.94210567394296296</v>
      </c>
      <c r="D3752">
        <v>0.96774326342985695</v>
      </c>
      <c r="E3752">
        <v>0.94343236284208598</v>
      </c>
      <c r="F3752">
        <v>0.871204045690539</v>
      </c>
      <c r="G3752">
        <v>0.78505315324552705</v>
      </c>
      <c r="H3752">
        <v>0.77292690465256697</v>
      </c>
      <c r="I3752">
        <v>0.79771157255083003</v>
      </c>
      <c r="J3752">
        <v>0.85205089878335105</v>
      </c>
      <c r="K3752">
        <v>0.67677485057725895</v>
      </c>
      <c r="L3752">
        <v>552.50174876781898</v>
      </c>
      <c r="M3752">
        <v>10.332131515636201</v>
      </c>
      <c r="O3752">
        <v>51.587237306437899</v>
      </c>
      <c r="P3752">
        <v>-1.34331661538463E-2</v>
      </c>
      <c r="Q3752">
        <v>0.73183359449256802</v>
      </c>
      <c r="R3752">
        <v>0.79690702755053699</v>
      </c>
      <c r="S3752" t="s">
        <v>10037</v>
      </c>
      <c r="T3752" t="s">
        <v>12568</v>
      </c>
      <c r="U3752" t="s">
        <v>12568</v>
      </c>
      <c r="V3752" t="s">
        <v>12568</v>
      </c>
      <c r="W3752" t="s">
        <v>16276</v>
      </c>
      <c r="X3752">
        <v>16</v>
      </c>
      <c r="Y3752" t="s">
        <v>22396</v>
      </c>
      <c r="Z3752" t="s">
        <v>28622</v>
      </c>
      <c r="AA3752">
        <v>0.86072298656790946</v>
      </c>
      <c r="AB3752" t="str">
        <f>HYPERLINK("Melting_Curves/meltCurve_Q6ZVF9_GPRIN3.pdf", "Melting_Curves/meltCurve_Q6ZVF9_GPRIN3.pdf")</f>
        <v>Melting_Curves/meltCurve_Q6ZVF9_GPRIN3.pdf</v>
      </c>
    </row>
    <row r="3753" spans="1:28" x14ac:dyDescent="0.25">
      <c r="A3753" t="s">
        <v>3757</v>
      </c>
      <c r="B3753">
        <v>0.99352677808782597</v>
      </c>
      <c r="C3753">
        <v>0.96176497609483402</v>
      </c>
      <c r="D3753">
        <v>0.97085765685480796</v>
      </c>
      <c r="E3753">
        <v>0.60898658202090195</v>
      </c>
      <c r="F3753">
        <v>0.55664065379682004</v>
      </c>
      <c r="G3753">
        <v>0.27315121397082698</v>
      </c>
      <c r="H3753">
        <v>0.17341171167257</v>
      </c>
      <c r="I3753">
        <v>0.18571549924917699</v>
      </c>
      <c r="J3753">
        <v>0.15893096936027801</v>
      </c>
      <c r="K3753">
        <v>0.14564157444297701</v>
      </c>
      <c r="L3753">
        <v>864.46314910076603</v>
      </c>
      <c r="M3753">
        <v>16.689852050180502</v>
      </c>
      <c r="N3753">
        <v>52.792035938847199</v>
      </c>
      <c r="O3753">
        <v>51.0692715401401</v>
      </c>
      <c r="P3753">
        <v>-7.0668917255971797E-2</v>
      </c>
      <c r="Q3753">
        <v>0.13509830065711401</v>
      </c>
      <c r="R3753">
        <v>0.98519142707531504</v>
      </c>
      <c r="S3753" t="s">
        <v>10038</v>
      </c>
      <c r="T3753" t="s">
        <v>12568</v>
      </c>
      <c r="U3753" t="s">
        <v>12568</v>
      </c>
      <c r="V3753" t="s">
        <v>12568</v>
      </c>
      <c r="W3753" t="s">
        <v>16277</v>
      </c>
      <c r="X3753">
        <v>6</v>
      </c>
      <c r="Y3753" t="s">
        <v>22397</v>
      </c>
      <c r="Z3753" t="s">
        <v>28623</v>
      </c>
      <c r="AA3753">
        <v>0.49157206152867788</v>
      </c>
      <c r="AB3753" t="str">
        <f>HYPERLINK("Melting_Curves/meltCurve_Q6ZVK8_NUDT18.pdf", "Melting_Curves/meltCurve_Q6ZVK8_NUDT18.pdf")</f>
        <v>Melting_Curves/meltCurve_Q6ZVK8_NUDT18.pdf</v>
      </c>
    </row>
    <row r="3754" spans="1:28" x14ac:dyDescent="0.25">
      <c r="A3754" t="s">
        <v>3758</v>
      </c>
      <c r="B3754">
        <v>0.99352677808782597</v>
      </c>
      <c r="C3754">
        <v>1.0100852937559199</v>
      </c>
      <c r="D3754">
        <v>0.95671525824648995</v>
      </c>
      <c r="E3754">
        <v>0.73695313717760802</v>
      </c>
      <c r="F3754">
        <v>0.64548348463971505</v>
      </c>
      <c r="G3754">
        <v>0.40007108124070601</v>
      </c>
      <c r="H3754">
        <v>0.25161359650277998</v>
      </c>
      <c r="I3754">
        <v>0.28268165940885898</v>
      </c>
      <c r="J3754">
        <v>0.25675562186615197</v>
      </c>
      <c r="K3754">
        <v>0.218307246471868</v>
      </c>
      <c r="L3754">
        <v>869.28264364433505</v>
      </c>
      <c r="M3754">
        <v>16.415200409284701</v>
      </c>
      <c r="N3754">
        <v>54.826499055780602</v>
      </c>
      <c r="O3754">
        <v>52.188759506807202</v>
      </c>
      <c r="P3754">
        <v>-6.1778426514773999E-2</v>
      </c>
      <c r="Q3754">
        <v>0.21440842182470399</v>
      </c>
      <c r="R3754">
        <v>0.99207057959698397</v>
      </c>
      <c r="S3754" t="s">
        <v>10039</v>
      </c>
      <c r="T3754" t="s">
        <v>12568</v>
      </c>
      <c r="U3754" t="s">
        <v>12568</v>
      </c>
      <c r="V3754" t="s">
        <v>12568</v>
      </c>
      <c r="W3754" t="s">
        <v>16278</v>
      </c>
      <c r="X3754">
        <v>11</v>
      </c>
      <c r="Y3754" t="s">
        <v>22398</v>
      </c>
      <c r="Z3754" t="s">
        <v>28624</v>
      </c>
      <c r="AA3754">
        <v>0.56853677876479936</v>
      </c>
      <c r="AB3754" t="str">
        <f>HYPERLINK("Melting_Curves/meltCurve_Q6ZVM7_TOM1L2.pdf", "Melting_Curves/meltCurve_Q6ZVM7_TOM1L2.pdf")</f>
        <v>Melting_Curves/meltCurve_Q6ZVM7_TOM1L2.pdf</v>
      </c>
    </row>
    <row r="3755" spans="1:28" x14ac:dyDescent="0.25">
      <c r="A3755" t="s">
        <v>3759</v>
      </c>
      <c r="B3755">
        <v>0.99352677808782597</v>
      </c>
      <c r="C3755">
        <v>0.942947415428388</v>
      </c>
      <c r="D3755">
        <v>0.93457555298793005</v>
      </c>
      <c r="E3755">
        <v>0.81891051651498004</v>
      </c>
      <c r="F3755">
        <v>0.77662726848077801</v>
      </c>
      <c r="G3755">
        <v>0.56230576026356904</v>
      </c>
      <c r="H3755">
        <v>0.23398003354809699</v>
      </c>
      <c r="I3755">
        <v>0.187989502176728</v>
      </c>
      <c r="J3755">
        <v>0.16537673548463899</v>
      </c>
      <c r="K3755">
        <v>0.144499899106943</v>
      </c>
      <c r="L3755">
        <v>802.39004368220799</v>
      </c>
      <c r="M3755">
        <v>14.1807842133229</v>
      </c>
      <c r="N3755">
        <v>57.074767573478603</v>
      </c>
      <c r="O3755">
        <v>55.493355578871103</v>
      </c>
      <c r="P3755">
        <v>-6.0218137268668898E-2</v>
      </c>
      <c r="Q3755">
        <v>5.75172951453988E-2</v>
      </c>
      <c r="R3755">
        <v>0.98475524255235403</v>
      </c>
      <c r="S3755" t="s">
        <v>10040</v>
      </c>
      <c r="T3755" t="s">
        <v>12568</v>
      </c>
      <c r="U3755" t="s">
        <v>12568</v>
      </c>
      <c r="V3755" t="s">
        <v>12568</v>
      </c>
      <c r="W3755" t="s">
        <v>16279</v>
      </c>
      <c r="X3755">
        <v>4</v>
      </c>
      <c r="Y3755" t="s">
        <v>22399</v>
      </c>
      <c r="Z3755" t="s">
        <v>28625</v>
      </c>
      <c r="AA3755">
        <v>0.59477063665933683</v>
      </c>
      <c r="AB3755" t="str">
        <f>HYPERLINK("Melting_Curves/meltCurve_Q6ZW49_4_PAXIP1.pdf", "Melting_Curves/meltCurve_Q6ZW49_4_PAXIP1.pdf")</f>
        <v>Melting_Curves/meltCurve_Q6ZW49_4_PAXIP1.pdf</v>
      </c>
    </row>
    <row r="3756" spans="1:28" x14ac:dyDescent="0.25">
      <c r="A3756" t="s">
        <v>3760</v>
      </c>
      <c r="B3756">
        <v>0.99352677808782597</v>
      </c>
      <c r="C3756">
        <v>0.93161008992191796</v>
      </c>
      <c r="D3756">
        <v>0.80899776518725697</v>
      </c>
      <c r="E3756">
        <v>0.44562651175807799</v>
      </c>
      <c r="F3756">
        <v>0.376304305955727</v>
      </c>
      <c r="G3756">
        <v>0.26313068540595902</v>
      </c>
      <c r="H3756">
        <v>0.182316408515863</v>
      </c>
      <c r="I3756">
        <v>0.19629818388877299</v>
      </c>
      <c r="J3756">
        <v>0.165888492675757</v>
      </c>
      <c r="K3756">
        <v>0.136204628881505</v>
      </c>
      <c r="L3756">
        <v>824.61522963319601</v>
      </c>
      <c r="M3756">
        <v>16.876144612510402</v>
      </c>
      <c r="N3756">
        <v>50.037165582160497</v>
      </c>
      <c r="O3756">
        <v>48.192150580843901</v>
      </c>
      <c r="P3756">
        <v>-7.3234650797218206E-2</v>
      </c>
      <c r="Q3756">
        <v>0.16352673750506999</v>
      </c>
      <c r="R3756">
        <v>0.99228066890941902</v>
      </c>
      <c r="S3756" t="s">
        <v>10041</v>
      </c>
      <c r="T3756" t="s">
        <v>12568</v>
      </c>
      <c r="U3756" t="s">
        <v>12568</v>
      </c>
      <c r="V3756" t="s">
        <v>12568</v>
      </c>
      <c r="W3756" t="s">
        <v>16280</v>
      </c>
      <c r="X3756">
        <v>13</v>
      </c>
      <c r="Y3756" t="s">
        <v>22400</v>
      </c>
      <c r="Z3756" t="s">
        <v>28626</v>
      </c>
      <c r="AA3756">
        <v>0.42715954798611833</v>
      </c>
      <c r="AB3756" t="str">
        <f>HYPERLINK("Melting_Curves/meltCurve_Q6ZWJ1_STXBP4.pdf", "Melting_Curves/meltCurve_Q6ZWJ1_STXBP4.pdf")</f>
        <v>Melting_Curves/meltCurve_Q6ZWJ1_STXBP4.pdf</v>
      </c>
    </row>
    <row r="3757" spans="1:28" x14ac:dyDescent="0.25">
      <c r="A3757" t="s">
        <v>3761</v>
      </c>
      <c r="B3757">
        <v>0.99352677808782597</v>
      </c>
      <c r="C3757">
        <v>1.04406171584791</v>
      </c>
      <c r="D3757">
        <v>1.11327902322234</v>
      </c>
      <c r="E3757">
        <v>1.03946133659373</v>
      </c>
      <c r="F3757">
        <v>0.97856437059249501</v>
      </c>
      <c r="G3757">
        <v>0.91780504884949299</v>
      </c>
      <c r="H3757">
        <v>0.822388222344828</v>
      </c>
      <c r="I3757">
        <v>0.802871434593036</v>
      </c>
      <c r="J3757">
        <v>0.77757605459408796</v>
      </c>
      <c r="K3757">
        <v>0.52408179779429298</v>
      </c>
      <c r="L3757">
        <v>788.30292912046298</v>
      </c>
      <c r="M3757">
        <v>10.956235263461</v>
      </c>
      <c r="O3757">
        <v>69.677779454710901</v>
      </c>
      <c r="P3757">
        <v>-3.9323827395177903E-2</v>
      </c>
      <c r="Q3757">
        <v>0</v>
      </c>
      <c r="R3757">
        <v>0.88455753510976698</v>
      </c>
      <c r="S3757" t="s">
        <v>10042</v>
      </c>
      <c r="T3757" t="s">
        <v>12568</v>
      </c>
      <c r="U3757" t="s">
        <v>12568</v>
      </c>
      <c r="V3757" t="s">
        <v>12568</v>
      </c>
      <c r="W3757" t="s">
        <v>16281</v>
      </c>
      <c r="X3757">
        <v>1</v>
      </c>
      <c r="Y3757" t="s">
        <v>22401</v>
      </c>
      <c r="Z3757" t="s">
        <v>28627</v>
      </c>
      <c r="AA3757">
        <v>0.90395592884630982</v>
      </c>
      <c r="AB3757" t="str">
        <f>HYPERLINK("Melting_Curves/meltCurve_Q6ZYL4_GTF2H5.pdf", "Melting_Curves/meltCurve_Q6ZYL4_GTF2H5.pdf")</f>
        <v>Melting_Curves/meltCurve_Q6ZYL4_GTF2H5.pdf</v>
      </c>
    </row>
    <row r="3758" spans="1:28" x14ac:dyDescent="0.25">
      <c r="A3758" t="s">
        <v>3762</v>
      </c>
      <c r="B3758">
        <v>0.99352677808782597</v>
      </c>
      <c r="C3758">
        <v>1.1376571093178101</v>
      </c>
      <c r="D3758">
        <v>0.95073632172775102</v>
      </c>
      <c r="E3758">
        <v>1.13507352953568</v>
      </c>
      <c r="F3758">
        <v>0.85699808722854498</v>
      </c>
      <c r="G3758">
        <v>0.67006826144049803</v>
      </c>
      <c r="H3758">
        <v>0.451875240407212</v>
      </c>
      <c r="I3758">
        <v>0.26686650103538301</v>
      </c>
      <c r="J3758">
        <v>0.173682187308041</v>
      </c>
      <c r="K3758">
        <v>0.152212739745098</v>
      </c>
      <c r="L3758">
        <v>1131.24566047241</v>
      </c>
      <c r="M3758">
        <v>19.173470393814</v>
      </c>
      <c r="N3758">
        <v>59.747795500566298</v>
      </c>
      <c r="O3758">
        <v>58.370002812105902</v>
      </c>
      <c r="P3758">
        <v>-7.3369033878437406E-2</v>
      </c>
      <c r="Q3758">
        <v>0.1066017918883</v>
      </c>
      <c r="R3758">
        <v>0.961858077246739</v>
      </c>
      <c r="S3758" t="s">
        <v>10043</v>
      </c>
      <c r="T3758" t="s">
        <v>12568</v>
      </c>
      <c r="U3758" t="s">
        <v>12568</v>
      </c>
      <c r="V3758" t="s">
        <v>12568</v>
      </c>
      <c r="W3758" t="s">
        <v>16282</v>
      </c>
      <c r="X3758">
        <v>48</v>
      </c>
      <c r="Y3758" t="s">
        <v>22402</v>
      </c>
      <c r="Z3758" t="s">
        <v>28628</v>
      </c>
      <c r="AA3758">
        <v>0.68165309311920674</v>
      </c>
      <c r="AB3758" t="str">
        <f>HYPERLINK("Melting_Curves/meltCurve_Q709C8_3_VPS13C.pdf", "Melting_Curves/meltCurve_Q709C8_3_VPS13C.pdf")</f>
        <v>Melting_Curves/meltCurve_Q709C8_3_VPS13C.pdf</v>
      </c>
    </row>
    <row r="3759" spans="1:28" x14ac:dyDescent="0.25">
      <c r="A3759" t="s">
        <v>3763</v>
      </c>
      <c r="B3759">
        <v>0.99352677808782597</v>
      </c>
      <c r="C3759">
        <v>0.884795773554931</v>
      </c>
      <c r="D3759">
        <v>0.69851034053568395</v>
      </c>
      <c r="E3759">
        <v>0.39507723744339601</v>
      </c>
      <c r="F3759">
        <v>0.33291486256355901</v>
      </c>
      <c r="G3759">
        <v>0.185807682911135</v>
      </c>
      <c r="H3759">
        <v>0.12266435312210699</v>
      </c>
      <c r="I3759">
        <v>0.103559906738189</v>
      </c>
      <c r="J3759">
        <v>9.3873272522764201E-2</v>
      </c>
      <c r="K3759">
        <v>8.3762083871788295E-2</v>
      </c>
      <c r="L3759">
        <v>696.95477008710998</v>
      </c>
      <c r="M3759">
        <v>14.4011725511001</v>
      </c>
      <c r="N3759">
        <v>49.003137420761398</v>
      </c>
      <c r="O3759">
        <v>47.4912246346654</v>
      </c>
      <c r="P3759">
        <v>-6.9620849995966905E-2</v>
      </c>
      <c r="Q3759">
        <v>8.1744859724606003E-2</v>
      </c>
      <c r="R3759">
        <v>0.99482101748234797</v>
      </c>
      <c r="S3759" t="s">
        <v>10044</v>
      </c>
      <c r="T3759" t="s">
        <v>12568</v>
      </c>
      <c r="U3759" t="s">
        <v>12568</v>
      </c>
      <c r="V3759" t="s">
        <v>12568</v>
      </c>
      <c r="W3759" t="s">
        <v>16283</v>
      </c>
      <c r="X3759">
        <v>9</v>
      </c>
      <c r="Y3759" t="s">
        <v>22403</v>
      </c>
      <c r="Z3759" t="s">
        <v>28629</v>
      </c>
      <c r="AA3759">
        <v>0.36383390037309332</v>
      </c>
      <c r="AB3759" t="str">
        <f>HYPERLINK("Melting_Curves/meltCurve_Q70CQ2_USP34.pdf", "Melting_Curves/meltCurve_Q70CQ2_USP34.pdf")</f>
        <v>Melting_Curves/meltCurve_Q70CQ2_USP34.pdf</v>
      </c>
    </row>
    <row r="3760" spans="1:28" x14ac:dyDescent="0.25">
      <c r="A3760" t="s">
        <v>3764</v>
      </c>
      <c r="B3760">
        <v>0.99352677808782597</v>
      </c>
      <c r="C3760">
        <v>0.94124643508750905</v>
      </c>
      <c r="D3760">
        <v>0.91175962381403697</v>
      </c>
      <c r="E3760">
        <v>0.88205680091597005</v>
      </c>
      <c r="F3760">
        <v>0.83488323006557097</v>
      </c>
      <c r="G3760">
        <v>0.71655694488817301</v>
      </c>
      <c r="H3760">
        <v>0.65484285041228796</v>
      </c>
      <c r="I3760">
        <v>0.76005024364672202</v>
      </c>
      <c r="J3760">
        <v>0.61744106551115896</v>
      </c>
      <c r="K3760">
        <v>0.54428809069864503</v>
      </c>
      <c r="L3760">
        <v>315.16208715425398</v>
      </c>
      <c r="M3760">
        <v>4.7604244268811797</v>
      </c>
      <c r="O3760">
        <v>57.098831580393103</v>
      </c>
      <c r="P3760">
        <v>-1.5684223415877298E-2</v>
      </c>
      <c r="Q3760">
        <v>0.25291416737099198</v>
      </c>
      <c r="R3760">
        <v>0.91609060169436995</v>
      </c>
      <c r="S3760" t="s">
        <v>10045</v>
      </c>
      <c r="T3760" t="s">
        <v>12568</v>
      </c>
      <c r="U3760" t="s">
        <v>12568</v>
      </c>
      <c r="V3760" t="s">
        <v>12568</v>
      </c>
      <c r="W3760" t="s">
        <v>16284</v>
      </c>
      <c r="X3760">
        <v>2</v>
      </c>
      <c r="Y3760" t="s">
        <v>22404</v>
      </c>
      <c r="Z3760" t="s">
        <v>28630</v>
      </c>
      <c r="AA3760">
        <v>0.78779135520326249</v>
      </c>
      <c r="AB3760" t="str">
        <f>HYPERLINK("Melting_Curves/meltCurve_Q70CQ4_USP31.pdf", "Melting_Curves/meltCurve_Q70CQ4_USP31.pdf")</f>
        <v>Melting_Curves/meltCurve_Q70CQ4_USP31.pdf</v>
      </c>
    </row>
    <row r="3761" spans="1:28" x14ac:dyDescent="0.25">
      <c r="A3761" t="s">
        <v>3765</v>
      </c>
      <c r="B3761">
        <v>0.99352677808782597</v>
      </c>
      <c r="C3761">
        <v>0.96273809326684701</v>
      </c>
      <c r="D3761">
        <v>0.959318213895893</v>
      </c>
      <c r="E3761">
        <v>0.91581756006154902</v>
      </c>
      <c r="F3761">
        <v>0.85414638740016802</v>
      </c>
      <c r="G3761">
        <v>0.65191353108888495</v>
      </c>
      <c r="H3761">
        <v>0.401104742697379</v>
      </c>
      <c r="I3761">
        <v>0.35629897430457902</v>
      </c>
      <c r="J3761">
        <v>0.292264566940656</v>
      </c>
      <c r="K3761">
        <v>0.25083527077729101</v>
      </c>
      <c r="L3761">
        <v>921.32849540945494</v>
      </c>
      <c r="M3761">
        <v>16.0179161234723</v>
      </c>
      <c r="N3761">
        <v>59.5560189289126</v>
      </c>
      <c r="O3761">
        <v>56.644530965349297</v>
      </c>
      <c r="P3761">
        <v>-5.5787066653698099E-2</v>
      </c>
      <c r="Q3761">
        <v>0.21093721766614901</v>
      </c>
      <c r="R3761">
        <v>0.99493056859969298</v>
      </c>
      <c r="S3761" t="s">
        <v>10046</v>
      </c>
      <c r="T3761" t="s">
        <v>12568</v>
      </c>
      <c r="U3761" t="s">
        <v>12568</v>
      </c>
      <c r="V3761" t="s">
        <v>12568</v>
      </c>
      <c r="W3761" t="s">
        <v>16285</v>
      </c>
      <c r="X3761">
        <v>9</v>
      </c>
      <c r="Y3761" t="s">
        <v>22405</v>
      </c>
      <c r="Z3761" t="s">
        <v>28631</v>
      </c>
      <c r="AA3761">
        <v>0.68291426831101976</v>
      </c>
      <c r="AB3761" t="str">
        <f>HYPERLINK("Melting_Curves/meltCurve_Q70E73_RAPH1.pdf", "Melting_Curves/meltCurve_Q70E73_RAPH1.pdf")</f>
        <v>Melting_Curves/meltCurve_Q70E73_RAPH1.pdf</v>
      </c>
    </row>
    <row r="3762" spans="1:28" x14ac:dyDescent="0.25">
      <c r="A3762" t="s">
        <v>3766</v>
      </c>
      <c r="B3762">
        <v>0.99352677808782597</v>
      </c>
      <c r="C3762">
        <v>0.96066125241720501</v>
      </c>
      <c r="D3762">
        <v>0.986475633150522</v>
      </c>
      <c r="E3762">
        <v>0.82751408461707698</v>
      </c>
      <c r="F3762">
        <v>0.73288934245891701</v>
      </c>
      <c r="G3762">
        <v>0.62498597177972803</v>
      </c>
      <c r="H3762">
        <v>0.55738522245042499</v>
      </c>
      <c r="I3762">
        <v>0.59130877794698</v>
      </c>
      <c r="J3762">
        <v>0.59139332638084097</v>
      </c>
      <c r="K3762">
        <v>0.45175256595515101</v>
      </c>
      <c r="L3762">
        <v>794.779721616507</v>
      </c>
      <c r="M3762">
        <v>15.1888463253211</v>
      </c>
      <c r="O3762">
        <v>51.444649903592598</v>
      </c>
      <c r="P3762">
        <v>-3.5424330296481898E-2</v>
      </c>
      <c r="Q3762">
        <v>0.52011708026167403</v>
      </c>
      <c r="R3762">
        <v>0.96210892932159398</v>
      </c>
      <c r="S3762" t="s">
        <v>10047</v>
      </c>
      <c r="T3762" t="s">
        <v>12568</v>
      </c>
      <c r="U3762" t="s">
        <v>12568</v>
      </c>
      <c r="V3762" t="s">
        <v>12568</v>
      </c>
      <c r="W3762" t="s">
        <v>16286</v>
      </c>
      <c r="X3762">
        <v>2</v>
      </c>
      <c r="Y3762" t="s">
        <v>22406</v>
      </c>
      <c r="Z3762" t="s">
        <v>28632</v>
      </c>
      <c r="AA3762">
        <v>0.72770123447194068</v>
      </c>
      <c r="AB3762" t="str">
        <f>HYPERLINK("Melting_Curves/meltCurve_Q70EK8_USP53.pdf", "Melting_Curves/meltCurve_Q70EK8_USP53.pdf")</f>
        <v>Melting_Curves/meltCurve_Q70EK8_USP53.pdf</v>
      </c>
    </row>
    <row r="3763" spans="1:28" x14ac:dyDescent="0.25">
      <c r="A3763" t="s">
        <v>3767</v>
      </c>
      <c r="B3763">
        <v>0.99352677808782597</v>
      </c>
      <c r="C3763">
        <v>0.86573210530455802</v>
      </c>
      <c r="D3763">
        <v>0.96989721182417599</v>
      </c>
      <c r="E3763">
        <v>0.35096227916883399</v>
      </c>
      <c r="F3763">
        <v>0.29722209255029303</v>
      </c>
      <c r="G3763">
        <v>0.13910141024381201</v>
      </c>
      <c r="H3763">
        <v>6.4396234382241999E-2</v>
      </c>
      <c r="I3763">
        <v>4.0800003297566598E-2</v>
      </c>
      <c r="J3763">
        <v>3.5314333036928998E-2</v>
      </c>
      <c r="K3763">
        <v>2.4073643167619001E-2</v>
      </c>
      <c r="L3763">
        <v>1133.4002224133201</v>
      </c>
      <c r="M3763">
        <v>22.960851395206099</v>
      </c>
      <c r="N3763">
        <v>49.6022719545659</v>
      </c>
      <c r="O3763">
        <v>48.992450542300297</v>
      </c>
      <c r="P3763">
        <v>-0.111008062983269</v>
      </c>
      <c r="Q3763">
        <v>5.2569481965602599E-2</v>
      </c>
      <c r="R3763">
        <v>0.968444667418352</v>
      </c>
      <c r="S3763" t="s">
        <v>10048</v>
      </c>
      <c r="T3763" t="s">
        <v>12568</v>
      </c>
      <c r="U3763" t="s">
        <v>12568</v>
      </c>
      <c r="V3763" t="s">
        <v>12568</v>
      </c>
      <c r="W3763" t="s">
        <v>16287</v>
      </c>
      <c r="X3763">
        <v>1</v>
      </c>
      <c r="Y3763" t="s">
        <v>22407</v>
      </c>
      <c r="Z3763" t="s">
        <v>28633</v>
      </c>
      <c r="AA3763">
        <v>0.35825216490029549</v>
      </c>
      <c r="AB3763" t="str">
        <f>HYPERLINK("Melting_Curves/meltCurve_Q70EL4_4_USP43.pdf", "Melting_Curves/meltCurve_Q70EL4_4_USP43.pdf")</f>
        <v>Melting_Curves/meltCurve_Q70EL4_4_USP43.pdf</v>
      </c>
    </row>
    <row r="3764" spans="1:28" x14ac:dyDescent="0.25">
      <c r="A3764" t="s">
        <v>3768</v>
      </c>
      <c r="B3764">
        <v>0.99352677808782597</v>
      </c>
      <c r="C3764">
        <v>0.93876202972348</v>
      </c>
      <c r="D3764">
        <v>0.78778889545869601</v>
      </c>
      <c r="E3764">
        <v>0.22210563741415701</v>
      </c>
      <c r="F3764">
        <v>0.15762925577245199</v>
      </c>
      <c r="G3764">
        <v>9.0145663474233501E-2</v>
      </c>
      <c r="H3764">
        <v>5.9404860409201399E-2</v>
      </c>
      <c r="I3764">
        <v>6.1887244951010001E-2</v>
      </c>
      <c r="J3764">
        <v>4.5347579619886003E-2</v>
      </c>
      <c r="K3764">
        <v>4.13821267747604E-2</v>
      </c>
      <c r="L3764">
        <v>1430.1708769004899</v>
      </c>
      <c r="M3764">
        <v>29.974604613988301</v>
      </c>
      <c r="N3764">
        <v>47.928438017387599</v>
      </c>
      <c r="O3764">
        <v>47.501898368585501</v>
      </c>
      <c r="P3764">
        <v>-0.147802307561515</v>
      </c>
      <c r="Q3764">
        <v>6.3094318765405305E-2</v>
      </c>
      <c r="R3764">
        <v>0.99587007300340602</v>
      </c>
      <c r="S3764" t="s">
        <v>10049</v>
      </c>
      <c r="T3764" t="s">
        <v>12568</v>
      </c>
      <c r="U3764" t="s">
        <v>12568</v>
      </c>
      <c r="V3764" t="s">
        <v>12568</v>
      </c>
      <c r="W3764" t="s">
        <v>16288</v>
      </c>
      <c r="X3764">
        <v>6</v>
      </c>
      <c r="Y3764" t="s">
        <v>22408</v>
      </c>
      <c r="Z3764" t="s">
        <v>28634</v>
      </c>
      <c r="AA3764">
        <v>0.30960178346087119</v>
      </c>
      <c r="AB3764" t="str">
        <f>HYPERLINK("Melting_Curves/meltCurve_Q70IA6_MOB2.pdf", "Melting_Curves/meltCurve_Q70IA6_MOB2.pdf")</f>
        <v>Melting_Curves/meltCurve_Q70IA6_MOB2.pdf</v>
      </c>
    </row>
    <row r="3765" spans="1:28" x14ac:dyDescent="0.25">
      <c r="A3765" t="s">
        <v>3769</v>
      </c>
      <c r="B3765">
        <v>0.99352677808782597</v>
      </c>
      <c r="C3765">
        <v>0.85398421666771995</v>
      </c>
      <c r="D3765">
        <v>0.62725903856724297</v>
      </c>
      <c r="E3765">
        <v>0.31949376981634198</v>
      </c>
      <c r="F3765">
        <v>0.27971944213145999</v>
      </c>
      <c r="G3765">
        <v>0.221623463669507</v>
      </c>
      <c r="H3765">
        <v>0.15961619718147799</v>
      </c>
      <c r="I3765">
        <v>0.14056338960537301</v>
      </c>
      <c r="J3765">
        <v>0.104689004785593</v>
      </c>
      <c r="K3765">
        <v>9.0292156342116806E-2</v>
      </c>
      <c r="L3765">
        <v>774.39357177222598</v>
      </c>
      <c r="M3765">
        <v>16.500470934452999</v>
      </c>
      <c r="N3765">
        <v>47.777991742355297</v>
      </c>
      <c r="O3765">
        <v>46.258543504333602</v>
      </c>
      <c r="P3765">
        <v>-7.7879523337654202E-2</v>
      </c>
      <c r="Q3765">
        <v>0.12672995973508</v>
      </c>
      <c r="R3765">
        <v>0.98969242694179205</v>
      </c>
      <c r="S3765" t="s">
        <v>10050</v>
      </c>
      <c r="T3765" t="s">
        <v>12568</v>
      </c>
      <c r="U3765" t="s">
        <v>12568</v>
      </c>
      <c r="V3765" t="s">
        <v>12568</v>
      </c>
      <c r="W3765" t="s">
        <v>16289</v>
      </c>
      <c r="X3765">
        <v>9</v>
      </c>
      <c r="Y3765" t="s">
        <v>22409</v>
      </c>
      <c r="Z3765" t="s">
        <v>28635</v>
      </c>
      <c r="AA3765">
        <v>0.34800845314457318</v>
      </c>
      <c r="AB3765" t="str">
        <f>HYPERLINK("Melting_Curves/meltCurve_Q70J99_UNC13D.pdf", "Melting_Curves/meltCurve_Q70J99_UNC13D.pdf")</f>
        <v>Melting_Curves/meltCurve_Q70J99_UNC13D.pdf</v>
      </c>
    </row>
    <row r="3766" spans="1:28" x14ac:dyDescent="0.25">
      <c r="A3766" t="s">
        <v>3770</v>
      </c>
      <c r="B3766">
        <v>0.99352677808782597</v>
      </c>
      <c r="C3766">
        <v>0.91803468024694102</v>
      </c>
      <c r="D3766">
        <v>0.896435492391915</v>
      </c>
      <c r="E3766">
        <v>0.56585540935232603</v>
      </c>
      <c r="F3766">
        <v>0.54630261120232604</v>
      </c>
      <c r="G3766">
        <v>0.24706117691330301</v>
      </c>
      <c r="H3766">
        <v>0.17930171464667</v>
      </c>
      <c r="I3766">
        <v>0.15781334543439299</v>
      </c>
      <c r="J3766">
        <v>0.13332726134407</v>
      </c>
      <c r="K3766">
        <v>0.117587066696974</v>
      </c>
      <c r="L3766">
        <v>698.93093935448405</v>
      </c>
      <c r="M3766">
        <v>13.550473370956301</v>
      </c>
      <c r="N3766">
        <v>52.341894152385002</v>
      </c>
      <c r="O3766">
        <v>50.495330372871202</v>
      </c>
      <c r="P3766">
        <v>-6.1091014732395803E-2</v>
      </c>
      <c r="Q3766">
        <v>8.9523339970897994E-2</v>
      </c>
      <c r="R3766">
        <v>0.98505280304799603</v>
      </c>
      <c r="S3766" t="s">
        <v>10051</v>
      </c>
      <c r="T3766" t="s">
        <v>12568</v>
      </c>
      <c r="U3766" t="s">
        <v>12568</v>
      </c>
      <c r="V3766" t="s">
        <v>12568</v>
      </c>
      <c r="W3766" t="s">
        <v>16290</v>
      </c>
      <c r="X3766">
        <v>2</v>
      </c>
      <c r="Y3766" t="s">
        <v>22410</v>
      </c>
      <c r="Z3766" t="s">
        <v>28636</v>
      </c>
      <c r="AA3766">
        <v>0.46508369931453591</v>
      </c>
      <c r="AB3766" t="str">
        <f>HYPERLINK("Melting_Curves/meltCurve_Q70Z53_2_FRA10AC1.pdf", "Melting_Curves/meltCurve_Q70Z53_2_FRA10AC1.pdf")</f>
        <v>Melting_Curves/meltCurve_Q70Z53_2_FRA10AC1.pdf</v>
      </c>
    </row>
    <row r="3767" spans="1:28" x14ac:dyDescent="0.25">
      <c r="A3767" t="s">
        <v>3771</v>
      </c>
      <c r="B3767">
        <v>0.99352677808782597</v>
      </c>
      <c r="C3767">
        <v>1.0031869809601901</v>
      </c>
      <c r="D3767">
        <v>1.0523640067087601</v>
      </c>
      <c r="E3767">
        <v>1.0028628846358401</v>
      </c>
      <c r="F3767">
        <v>0.90323698690097198</v>
      </c>
      <c r="G3767">
        <v>0.86459122327962201</v>
      </c>
      <c r="H3767">
        <v>0.643962774956089</v>
      </c>
      <c r="I3767">
        <v>0.49254857256891399</v>
      </c>
      <c r="J3767">
        <v>0.27043931048997899</v>
      </c>
      <c r="K3767">
        <v>0.15468911902191201</v>
      </c>
      <c r="L3767">
        <v>1040.99078435303</v>
      </c>
      <c r="M3767">
        <v>16.4421318012181</v>
      </c>
      <c r="N3767">
        <v>63.312397723786603</v>
      </c>
      <c r="O3767">
        <v>62.398099737597697</v>
      </c>
      <c r="P3767">
        <v>-6.5880581501655405E-2</v>
      </c>
      <c r="Q3767">
        <v>0</v>
      </c>
      <c r="R3767">
        <v>0.991209990100824</v>
      </c>
      <c r="S3767" t="s">
        <v>10052</v>
      </c>
      <c r="T3767" t="s">
        <v>12568</v>
      </c>
      <c r="U3767" t="s">
        <v>12568</v>
      </c>
      <c r="V3767" t="s">
        <v>12568</v>
      </c>
      <c r="W3767" t="s">
        <v>16291</v>
      </c>
      <c r="X3767">
        <v>7</v>
      </c>
      <c r="Y3767" t="s">
        <v>22411</v>
      </c>
      <c r="Z3767" t="s">
        <v>28637</v>
      </c>
      <c r="AA3767">
        <v>0.76922309383122467</v>
      </c>
      <c r="AB3767" t="str">
        <f>HYPERLINK("Melting_Curves/meltCurve_Q712K3_UBE2R2.pdf", "Melting_Curves/meltCurve_Q712K3_UBE2R2.pdf")</f>
        <v>Melting_Curves/meltCurve_Q712K3_UBE2R2.pdf</v>
      </c>
    </row>
    <row r="3768" spans="1:28" x14ac:dyDescent="0.25">
      <c r="A3768" t="s">
        <v>3772</v>
      </c>
      <c r="B3768">
        <v>0.99352677808782597</v>
      </c>
      <c r="C3768">
        <v>0.97289519718211703</v>
      </c>
      <c r="D3768">
        <v>0.95223088069960704</v>
      </c>
      <c r="E3768">
        <v>0.86605658520805495</v>
      </c>
      <c r="F3768">
        <v>0.85019627791015795</v>
      </c>
      <c r="G3768">
        <v>0.60786291242893598</v>
      </c>
      <c r="H3768">
        <v>0.55206109617472798</v>
      </c>
      <c r="I3768">
        <v>0.34012568108584101</v>
      </c>
      <c r="J3768">
        <v>0.395487173002112</v>
      </c>
      <c r="K3768">
        <v>0.31366877422364797</v>
      </c>
      <c r="L3768">
        <v>677.21806088575295</v>
      </c>
      <c r="M3768">
        <v>11.720596616540201</v>
      </c>
      <c r="N3768">
        <v>60.9427722005655</v>
      </c>
      <c r="O3768">
        <v>56.175071312066997</v>
      </c>
      <c r="P3768">
        <v>-4.0287035426638002E-2</v>
      </c>
      <c r="Q3768">
        <v>0.22784491155528599</v>
      </c>
      <c r="R3768">
        <v>0.97787028790005204</v>
      </c>
      <c r="S3768" t="s">
        <v>10053</v>
      </c>
      <c r="T3768" t="s">
        <v>12568</v>
      </c>
      <c r="U3768" t="s">
        <v>12568</v>
      </c>
      <c r="V3768" t="s">
        <v>12568</v>
      </c>
      <c r="W3768" t="s">
        <v>16292</v>
      </c>
      <c r="X3768">
        <v>1</v>
      </c>
      <c r="Y3768" t="s">
        <v>22412</v>
      </c>
      <c r="Z3768" t="s">
        <v>28638</v>
      </c>
      <c r="AA3768">
        <v>0.69588072821845437</v>
      </c>
      <c r="AB3768" t="str">
        <f>HYPERLINK("Melting_Curves/meltCurve_Q71F56_MED13L.pdf", "Melting_Curves/meltCurve_Q71F56_MED13L.pdf")</f>
        <v>Melting_Curves/meltCurve_Q71F56_MED13L.pdf</v>
      </c>
    </row>
    <row r="3769" spans="1:28" x14ac:dyDescent="0.25">
      <c r="A3769" t="s">
        <v>3773</v>
      </c>
      <c r="B3769">
        <v>0.99352677808782597</v>
      </c>
      <c r="C3769">
        <v>0.92296780790905997</v>
      </c>
      <c r="D3769">
        <v>0.93282477774447603</v>
      </c>
      <c r="E3769">
        <v>0.68052031979909799</v>
      </c>
      <c r="F3769">
        <v>0.61930222019376902</v>
      </c>
      <c r="G3769">
        <v>0.49394765375045402</v>
      </c>
      <c r="H3769">
        <v>0.41374491395992902</v>
      </c>
      <c r="I3769">
        <v>0.46866615593525202</v>
      </c>
      <c r="J3769">
        <v>0.43722787309410999</v>
      </c>
      <c r="K3769">
        <v>0.37397631984612201</v>
      </c>
      <c r="L3769">
        <v>757.70219459590101</v>
      </c>
      <c r="M3769">
        <v>15.0294045332683</v>
      </c>
      <c r="N3769">
        <v>56.582864359594403</v>
      </c>
      <c r="O3769">
        <v>49.547378994890302</v>
      </c>
      <c r="P3769">
        <v>-4.52882635486654E-2</v>
      </c>
      <c r="Q3769">
        <v>0.402853304663357</v>
      </c>
      <c r="R3769">
        <v>0.97986421068607998</v>
      </c>
      <c r="S3769" t="s">
        <v>10054</v>
      </c>
      <c r="T3769" t="s">
        <v>12568</v>
      </c>
      <c r="U3769" t="s">
        <v>12568</v>
      </c>
      <c r="V3769" t="s">
        <v>12568</v>
      </c>
      <c r="W3769" t="s">
        <v>16293</v>
      </c>
      <c r="X3769">
        <v>11</v>
      </c>
      <c r="Y3769" t="s">
        <v>22413</v>
      </c>
      <c r="Z3769" t="s">
        <v>28639</v>
      </c>
      <c r="AA3769">
        <v>0.62416153361225568</v>
      </c>
      <c r="AB3769" t="str">
        <f>HYPERLINK("Melting_Curves/meltCurve_Q71RC2_3_LARP4.pdf", "Melting_Curves/meltCurve_Q71RC2_3_LARP4.pdf")</f>
        <v>Melting_Curves/meltCurve_Q71RC2_3_LARP4.pdf</v>
      </c>
    </row>
    <row r="3770" spans="1:28" x14ac:dyDescent="0.25">
      <c r="A3770" t="s">
        <v>3774</v>
      </c>
      <c r="B3770">
        <v>0.99352677808782597</v>
      </c>
      <c r="C3770">
        <v>0.75351962411149498</v>
      </c>
      <c r="D3770">
        <v>0.88378918268988005</v>
      </c>
      <c r="E3770">
        <v>0.63342128051431801</v>
      </c>
      <c r="F3770">
        <v>0.44171335445460003</v>
      </c>
      <c r="G3770">
        <v>0.25907774412867801</v>
      </c>
      <c r="H3770">
        <v>0.122392044474082</v>
      </c>
      <c r="I3770">
        <v>0.107472203836509</v>
      </c>
      <c r="J3770">
        <v>9.02158898714603E-2</v>
      </c>
      <c r="K3770">
        <v>7.0768785245715699E-2</v>
      </c>
      <c r="L3770">
        <v>576.89448980848397</v>
      </c>
      <c r="M3770">
        <v>11.107921084438701</v>
      </c>
      <c r="N3770">
        <v>51.935404346020697</v>
      </c>
      <c r="O3770">
        <v>50.337407037980803</v>
      </c>
      <c r="P3770">
        <v>-5.51852599826557E-2</v>
      </c>
      <c r="Q3770">
        <v>0</v>
      </c>
      <c r="R3770">
        <v>0.96960238813946298</v>
      </c>
      <c r="S3770" t="s">
        <v>10055</v>
      </c>
      <c r="T3770" t="s">
        <v>12568</v>
      </c>
      <c r="U3770" t="s">
        <v>12568</v>
      </c>
      <c r="V3770" t="s">
        <v>12568</v>
      </c>
      <c r="W3770" t="s">
        <v>16294</v>
      </c>
      <c r="X3770">
        <v>23</v>
      </c>
      <c r="Y3770" t="s">
        <v>22414</v>
      </c>
      <c r="Z3770" t="s">
        <v>28640</v>
      </c>
      <c r="AA3770">
        <v>0.43170089197166528</v>
      </c>
      <c r="AB3770" t="str">
        <f>HYPERLINK("Melting_Curves/meltCurve_Q71U36_2_TUBA1A.pdf", "Melting_Curves/meltCurve_Q71U36_2_TUBA1A.pdf")</f>
        <v>Melting_Curves/meltCurve_Q71U36_2_TUBA1A.pdf</v>
      </c>
    </row>
    <row r="3771" spans="1:28" x14ac:dyDescent="0.25">
      <c r="A3771" t="s">
        <v>3775</v>
      </c>
      <c r="B3771">
        <v>0.99352677808782597</v>
      </c>
      <c r="C3771">
        <v>0.79934015941364001</v>
      </c>
      <c r="D3771">
        <v>0.65257539132996401</v>
      </c>
      <c r="E3771">
        <v>0.33162766099952101</v>
      </c>
      <c r="F3771">
        <v>0.26161059545250998</v>
      </c>
      <c r="G3771">
        <v>0.169236532382782</v>
      </c>
      <c r="H3771">
        <v>0.119891016925896</v>
      </c>
      <c r="I3771">
        <v>0.121428110540735</v>
      </c>
      <c r="J3771">
        <v>0.106075169098116</v>
      </c>
      <c r="K3771">
        <v>8.1972384765085296E-2</v>
      </c>
      <c r="L3771">
        <v>719.44910608934299</v>
      </c>
      <c r="M3771">
        <v>15.265704001759</v>
      </c>
      <c r="N3771">
        <v>47.800677590414097</v>
      </c>
      <c r="O3771">
        <v>46.341946626356801</v>
      </c>
      <c r="P3771">
        <v>-7.4405234565541906E-2</v>
      </c>
      <c r="Q3771">
        <v>9.6600467523274697E-2</v>
      </c>
      <c r="R3771">
        <v>0.99348723209908496</v>
      </c>
      <c r="S3771" t="s">
        <v>10056</v>
      </c>
      <c r="T3771" t="s">
        <v>12568</v>
      </c>
      <c r="U3771" t="s">
        <v>12568</v>
      </c>
      <c r="V3771" t="s">
        <v>12568</v>
      </c>
      <c r="W3771" t="s">
        <v>16295</v>
      </c>
      <c r="X3771">
        <v>5</v>
      </c>
      <c r="Y3771" t="s">
        <v>22415</v>
      </c>
      <c r="Z3771" t="s">
        <v>28641</v>
      </c>
      <c r="AA3771">
        <v>0.33475105373834663</v>
      </c>
      <c r="AB3771" t="str">
        <f>HYPERLINK("Melting_Curves/meltCurve_Q71UI9_H2AFV.pdf", "Melting_Curves/meltCurve_Q71UI9_H2AFV.pdf")</f>
        <v>Melting_Curves/meltCurve_Q71UI9_H2AFV.pdf</v>
      </c>
    </row>
    <row r="3772" spans="1:28" x14ac:dyDescent="0.25">
      <c r="A3772" t="s">
        <v>3776</v>
      </c>
      <c r="B3772">
        <v>0.99352677808782597</v>
      </c>
      <c r="C3772">
        <v>0.89857386249726601</v>
      </c>
      <c r="D3772">
        <v>0.981746518067387</v>
      </c>
      <c r="E3772">
        <v>0.62193889462268004</v>
      </c>
      <c r="F3772">
        <v>0.508780631406062</v>
      </c>
      <c r="G3772">
        <v>0.320015742623255</v>
      </c>
      <c r="H3772">
        <v>0.23288049390488999</v>
      </c>
      <c r="I3772">
        <v>0.23040343897721699</v>
      </c>
      <c r="J3772">
        <v>0.20061996851139399</v>
      </c>
      <c r="K3772">
        <v>0.16350604442134001</v>
      </c>
      <c r="L3772">
        <v>841.27835600541403</v>
      </c>
      <c r="M3772">
        <v>16.383175773762702</v>
      </c>
      <c r="N3772">
        <v>52.777853405204503</v>
      </c>
      <c r="O3772">
        <v>50.603364969381801</v>
      </c>
      <c r="P3772">
        <v>-6.6455263503366502E-2</v>
      </c>
      <c r="Q3772">
        <v>0.179006640314754</v>
      </c>
      <c r="R3772">
        <v>0.98292625887597795</v>
      </c>
      <c r="S3772" t="s">
        <v>10057</v>
      </c>
      <c r="T3772" t="s">
        <v>12568</v>
      </c>
      <c r="U3772" t="s">
        <v>12568</v>
      </c>
      <c r="V3772" t="s">
        <v>12568</v>
      </c>
      <c r="W3772" t="s">
        <v>16296</v>
      </c>
      <c r="X3772">
        <v>3</v>
      </c>
      <c r="Y3772" t="s">
        <v>22416</v>
      </c>
      <c r="Z3772" t="s">
        <v>28642</v>
      </c>
      <c r="AA3772">
        <v>0.5058343599399302</v>
      </c>
      <c r="AB3772" t="str">
        <f>HYPERLINK("Melting_Curves/meltCurve_Q71UM5_RPS27L.pdf", "Melting_Curves/meltCurve_Q71UM5_RPS27L.pdf")</f>
        <v>Melting_Curves/meltCurve_Q71UM5_RPS27L.pdf</v>
      </c>
    </row>
    <row r="3773" spans="1:28" x14ac:dyDescent="0.25">
      <c r="A3773" t="s">
        <v>3777</v>
      </c>
      <c r="B3773">
        <v>0.99352677808782597</v>
      </c>
      <c r="C3773">
        <v>0.97519802236541897</v>
      </c>
      <c r="D3773">
        <v>0.93790261310516598</v>
      </c>
      <c r="E3773">
        <v>0.745072299952105</v>
      </c>
      <c r="F3773">
        <v>0.68985026413959705</v>
      </c>
      <c r="G3773">
        <v>0.35798051325500402</v>
      </c>
      <c r="H3773">
        <v>0.223651932112713</v>
      </c>
      <c r="I3773">
        <v>0.18818375067881801</v>
      </c>
      <c r="J3773">
        <v>0.186898365860003</v>
      </c>
      <c r="K3773">
        <v>0.13455456230247401</v>
      </c>
      <c r="L3773">
        <v>815.28897320139401</v>
      </c>
      <c r="M3773">
        <v>15.100403776762199</v>
      </c>
      <c r="N3773">
        <v>54.9218996003219</v>
      </c>
      <c r="O3773">
        <v>53.0708570378454</v>
      </c>
      <c r="P3773">
        <v>-6.3109476338956597E-2</v>
      </c>
      <c r="Q3773">
        <v>0.112885881573713</v>
      </c>
      <c r="R3773">
        <v>0.99142764351768198</v>
      </c>
      <c r="S3773" t="s">
        <v>10058</v>
      </c>
      <c r="T3773" t="s">
        <v>12568</v>
      </c>
      <c r="U3773" t="s">
        <v>12568</v>
      </c>
      <c r="V3773" t="s">
        <v>12568</v>
      </c>
      <c r="W3773" t="s">
        <v>16297</v>
      </c>
      <c r="X3773">
        <v>3</v>
      </c>
      <c r="Y3773" t="s">
        <v>22417</v>
      </c>
      <c r="Z3773" t="s">
        <v>28643</v>
      </c>
      <c r="AA3773">
        <v>0.54467167907215641</v>
      </c>
      <c r="AB3773" t="str">
        <f>HYPERLINK("Melting_Curves/meltCurve_Q75N03_CBLL1.pdf", "Melting_Curves/meltCurve_Q75N03_CBLL1.pdf")</f>
        <v>Melting_Curves/meltCurve_Q75N03_CBLL1.pdf</v>
      </c>
    </row>
    <row r="3774" spans="1:28" x14ac:dyDescent="0.25">
      <c r="A3774" t="s">
        <v>3778</v>
      </c>
      <c r="B3774">
        <v>0.99352677808782597</v>
      </c>
      <c r="C3774">
        <v>0.91833562085735498</v>
      </c>
      <c r="D3774">
        <v>0.94956227184674202</v>
      </c>
      <c r="E3774">
        <v>0.83301447023387898</v>
      </c>
      <c r="F3774">
        <v>0.80530739321210698</v>
      </c>
      <c r="G3774">
        <v>0.54845218018951702</v>
      </c>
      <c r="H3774">
        <v>0.44441868863102002</v>
      </c>
      <c r="I3774">
        <v>0.459915815078833</v>
      </c>
      <c r="J3774">
        <v>0.421552115902039</v>
      </c>
      <c r="K3774">
        <v>0.40246315920048298</v>
      </c>
      <c r="L3774">
        <v>789.10847480911502</v>
      </c>
      <c r="M3774">
        <v>14.5559520714051</v>
      </c>
      <c r="N3774">
        <v>59.9721407933893</v>
      </c>
      <c r="O3774">
        <v>53.219695629497899</v>
      </c>
      <c r="P3774">
        <v>-4.2640541914751598E-2</v>
      </c>
      <c r="Q3774">
        <v>0.37645887612818202</v>
      </c>
      <c r="R3774">
        <v>0.97620183110913405</v>
      </c>
      <c r="S3774" t="s">
        <v>10059</v>
      </c>
      <c r="T3774" t="s">
        <v>12568</v>
      </c>
      <c r="U3774" t="s">
        <v>12568</v>
      </c>
      <c r="V3774" t="s">
        <v>12568</v>
      </c>
      <c r="W3774" t="s">
        <v>16298</v>
      </c>
      <c r="X3774">
        <v>7</v>
      </c>
      <c r="Y3774" t="s">
        <v>22418</v>
      </c>
      <c r="Z3774" t="s">
        <v>28644</v>
      </c>
      <c r="AA3774">
        <v>0.68495414363183671</v>
      </c>
      <c r="AB3774" t="str">
        <f>HYPERLINK("Melting_Curves/meltCurve_Q765P7_MTSS1L.pdf", "Melting_Curves/meltCurve_Q765P7_MTSS1L.pdf")</f>
        <v>Melting_Curves/meltCurve_Q765P7_MTSS1L.pdf</v>
      </c>
    </row>
    <row r="3775" spans="1:28" x14ac:dyDescent="0.25">
      <c r="A3775" t="s">
        <v>3779</v>
      </c>
      <c r="B3775">
        <v>0.99352677808782597</v>
      </c>
      <c r="C3775">
        <v>0.95350055220581198</v>
      </c>
      <c r="D3775">
        <v>0.94994966601479203</v>
      </c>
      <c r="E3775">
        <v>0.88356808492916805</v>
      </c>
      <c r="F3775">
        <v>0.79199702960929996</v>
      </c>
      <c r="G3775">
        <v>0.65849387889833799</v>
      </c>
      <c r="H3775">
        <v>0.59325598092763698</v>
      </c>
      <c r="I3775">
        <v>0.61221248522432004</v>
      </c>
      <c r="J3775">
        <v>0.63282966867533896</v>
      </c>
      <c r="K3775">
        <v>0.56069770548750397</v>
      </c>
      <c r="L3775">
        <v>843.66563965624198</v>
      </c>
      <c r="M3775">
        <v>16.020703998155302</v>
      </c>
      <c r="O3775">
        <v>51.860956748348897</v>
      </c>
      <c r="P3775">
        <v>-3.26374085780895E-2</v>
      </c>
      <c r="Q3775">
        <v>0.57742802212827904</v>
      </c>
      <c r="R3775">
        <v>0.98003162205457806</v>
      </c>
      <c r="S3775" t="s">
        <v>10060</v>
      </c>
      <c r="T3775" t="s">
        <v>12568</v>
      </c>
      <c r="U3775" t="s">
        <v>12568</v>
      </c>
      <c r="V3775" t="s">
        <v>12568</v>
      </c>
      <c r="W3775" t="s">
        <v>16299</v>
      </c>
      <c r="X3775">
        <v>9</v>
      </c>
      <c r="Y3775" t="s">
        <v>22419</v>
      </c>
      <c r="Z3775" t="s">
        <v>28645</v>
      </c>
      <c r="AA3775">
        <v>0.76413212987309675</v>
      </c>
      <c r="AB3775" t="str">
        <f>HYPERLINK("Melting_Curves/meltCurve_Q76FK4_4_NOL8.pdf", "Melting_Curves/meltCurve_Q76FK4_4_NOL8.pdf")</f>
        <v>Melting_Curves/meltCurve_Q76FK4_4_NOL8.pdf</v>
      </c>
    </row>
    <row r="3776" spans="1:28" x14ac:dyDescent="0.25">
      <c r="A3776" t="s">
        <v>3780</v>
      </c>
      <c r="B3776">
        <v>0.99352677808782597</v>
      </c>
      <c r="C3776">
        <v>0.95520173370887795</v>
      </c>
      <c r="D3776">
        <v>0.91842298007410506</v>
      </c>
      <c r="E3776">
        <v>0.81682262859642596</v>
      </c>
      <c r="F3776">
        <v>0.73512042596098304</v>
      </c>
      <c r="G3776">
        <v>0.63810256910915497</v>
      </c>
      <c r="H3776">
        <v>0.64404986653671503</v>
      </c>
      <c r="I3776">
        <v>0.67918923846421597</v>
      </c>
      <c r="J3776">
        <v>0.84478502549399404</v>
      </c>
      <c r="K3776">
        <v>0.670370064748252</v>
      </c>
      <c r="L3776">
        <v>1041.92272238184</v>
      </c>
      <c r="M3776">
        <v>21.570370048547201</v>
      </c>
      <c r="O3776">
        <v>47.894016133671499</v>
      </c>
      <c r="P3776">
        <v>-3.4329534754668399E-2</v>
      </c>
      <c r="Q3776">
        <v>0.69511147922171501</v>
      </c>
      <c r="R3776">
        <v>0.80410204488838799</v>
      </c>
      <c r="S3776" t="s">
        <v>10061</v>
      </c>
      <c r="T3776" t="s">
        <v>12568</v>
      </c>
      <c r="U3776" t="s">
        <v>12568</v>
      </c>
      <c r="V3776" t="s">
        <v>12568</v>
      </c>
      <c r="W3776" t="s">
        <v>16300</v>
      </c>
      <c r="X3776">
        <v>6</v>
      </c>
      <c r="Y3776" t="s">
        <v>22420</v>
      </c>
      <c r="Z3776" t="s">
        <v>28646</v>
      </c>
      <c r="AA3776">
        <v>0.78317499416797509</v>
      </c>
      <c r="AB3776" t="str">
        <f>HYPERLINK("Melting_Curves/meltCurve_Q76I76_SSH2.pdf", "Melting_Curves/meltCurve_Q76I76_SSH2.pdf")</f>
        <v>Melting_Curves/meltCurve_Q76I76_SSH2.pdf</v>
      </c>
    </row>
    <row r="3777" spans="1:28" x14ac:dyDescent="0.25">
      <c r="A3777" t="s">
        <v>3781</v>
      </c>
      <c r="B3777">
        <v>0.99352677808782597</v>
      </c>
      <c r="C3777">
        <v>0.75666864074916795</v>
      </c>
      <c r="D3777">
        <v>0.79275103407175496</v>
      </c>
      <c r="E3777">
        <v>0.69544554961263805</v>
      </c>
      <c r="F3777">
        <v>0.53412295796041098</v>
      </c>
      <c r="G3777">
        <v>0.54344561659761403</v>
      </c>
      <c r="H3777">
        <v>0.39978307518892597</v>
      </c>
      <c r="I3777">
        <v>0.384561630482262</v>
      </c>
      <c r="J3777">
        <v>0.348881917660948</v>
      </c>
      <c r="K3777">
        <v>0.27265770526283001</v>
      </c>
      <c r="L3777">
        <v>322.31401409231398</v>
      </c>
      <c r="M3777">
        <v>5.9195095751521603</v>
      </c>
      <c r="N3777">
        <v>56.8291473277839</v>
      </c>
      <c r="O3777">
        <v>49.206110044579603</v>
      </c>
      <c r="P3777">
        <v>-2.6864641769952E-2</v>
      </c>
      <c r="Q3777">
        <v>0.109772237490961</v>
      </c>
      <c r="R3777">
        <v>0.94977285765709396</v>
      </c>
      <c r="S3777" t="s">
        <v>10062</v>
      </c>
      <c r="T3777" t="s">
        <v>12568</v>
      </c>
      <c r="U3777" t="s">
        <v>12568</v>
      </c>
      <c r="V3777" t="s">
        <v>12568</v>
      </c>
      <c r="W3777" t="s">
        <v>16301</v>
      </c>
      <c r="X3777">
        <v>2</v>
      </c>
      <c r="Y3777" t="s">
        <v>22421</v>
      </c>
      <c r="Z3777" t="s">
        <v>28647</v>
      </c>
      <c r="AA3777">
        <v>0.56718494068921943</v>
      </c>
      <c r="AB3777" t="str">
        <f>HYPERLINK("Melting_Curves/meltCurve_Q76N32_2_CEP68.pdf", "Melting_Curves/meltCurve_Q76N32_2_CEP68.pdf")</f>
        <v>Melting_Curves/meltCurve_Q76N32_2_CEP68.pdf</v>
      </c>
    </row>
    <row r="3778" spans="1:28" x14ac:dyDescent="0.25">
      <c r="A3778" t="s">
        <v>3782</v>
      </c>
      <c r="B3778">
        <v>0.99352677808782597</v>
      </c>
      <c r="C3778">
        <v>0.98648293190615299</v>
      </c>
      <c r="D3778">
        <v>0.84884517799341097</v>
      </c>
      <c r="E3778">
        <v>0.34337488455355902</v>
      </c>
      <c r="F3778">
        <v>0.26941100114415101</v>
      </c>
      <c r="G3778">
        <v>0.16714141024509299</v>
      </c>
      <c r="H3778">
        <v>0.121402555509748</v>
      </c>
      <c r="I3778">
        <v>0.110093331581032</v>
      </c>
      <c r="J3778">
        <v>8.6208633249330105E-2</v>
      </c>
      <c r="K3778">
        <v>7.4872841084029806E-2</v>
      </c>
      <c r="L3778">
        <v>1240.37795918851</v>
      </c>
      <c r="M3778">
        <v>25.566576249304799</v>
      </c>
      <c r="N3778">
        <v>49.0026619958007</v>
      </c>
      <c r="O3778">
        <v>48.221699104201598</v>
      </c>
      <c r="P3778">
        <v>-0.117676838964087</v>
      </c>
      <c r="Q3778">
        <v>0.112198921323104</v>
      </c>
      <c r="R3778">
        <v>0.99152177134693698</v>
      </c>
      <c r="S3778" t="s">
        <v>10063</v>
      </c>
      <c r="T3778" t="s">
        <v>12568</v>
      </c>
      <c r="U3778" t="s">
        <v>12568</v>
      </c>
      <c r="V3778" t="s">
        <v>12568</v>
      </c>
      <c r="W3778" t="s">
        <v>16302</v>
      </c>
      <c r="X3778">
        <v>31</v>
      </c>
      <c r="Y3778" t="s">
        <v>22422</v>
      </c>
      <c r="Z3778" t="s">
        <v>28648</v>
      </c>
      <c r="AA3778">
        <v>0.37169447755091878</v>
      </c>
      <c r="AB3778" t="str">
        <f>HYPERLINK("Melting_Curves/meltCurve_Q7KZ85_SUPT6H.pdf", "Melting_Curves/meltCurve_Q7KZ85_SUPT6H.pdf")</f>
        <v>Melting_Curves/meltCurve_Q7KZ85_SUPT6H.pdf</v>
      </c>
    </row>
    <row r="3779" spans="1:28" x14ac:dyDescent="0.25">
      <c r="A3779" t="s">
        <v>3783</v>
      </c>
      <c r="B3779">
        <v>0.99352677808782597</v>
      </c>
      <c r="C3779">
        <v>0.99084507823108003</v>
      </c>
      <c r="D3779">
        <v>0.93999338959494105</v>
      </c>
      <c r="E3779">
        <v>1.1891118021331899</v>
      </c>
      <c r="F3779">
        <v>1.2167740358986801</v>
      </c>
      <c r="G3779">
        <v>1.3450374119928501</v>
      </c>
      <c r="H3779">
        <v>1.1509210098211</v>
      </c>
      <c r="I3779">
        <v>0.35405719411387598</v>
      </c>
      <c r="J3779">
        <v>1.2297825366014401</v>
      </c>
      <c r="K3779">
        <v>1.00197090760753</v>
      </c>
      <c r="L3779">
        <v>11963.709204843501</v>
      </c>
      <c r="M3779">
        <v>250</v>
      </c>
      <c r="O3779">
        <v>47.8517744378481</v>
      </c>
      <c r="P3779">
        <v>9.0989879896939393E-2</v>
      </c>
      <c r="Q3779">
        <v>1.0696644352461699</v>
      </c>
      <c r="R3779">
        <v>2.4943098751048502E-2</v>
      </c>
      <c r="S3779" t="s">
        <v>10064</v>
      </c>
      <c r="T3779" t="s">
        <v>12568</v>
      </c>
      <c r="U3779" t="s">
        <v>12568</v>
      </c>
      <c r="V3779" t="s">
        <v>12568</v>
      </c>
      <c r="W3779" t="s">
        <v>16303</v>
      </c>
      <c r="X3779">
        <v>9</v>
      </c>
      <c r="Y3779" t="s">
        <v>22422</v>
      </c>
      <c r="Z3779" t="s">
        <v>28649</v>
      </c>
      <c r="AA3779">
        <v>1.0514184921480869</v>
      </c>
      <c r="AB3779" t="str">
        <f>HYPERLINK("Melting_Curves/meltCurve_Q7KZ85_2_SUPT6H.pdf", "Melting_Curves/meltCurve_Q7KZ85_2_SUPT6H.pdf")</f>
        <v>Melting_Curves/meltCurve_Q7KZ85_2_SUPT6H.pdf</v>
      </c>
    </row>
    <row r="3780" spans="1:28" x14ac:dyDescent="0.25">
      <c r="A3780" t="s">
        <v>3784</v>
      </c>
      <c r="B3780">
        <v>0.99352677808782597</v>
      </c>
      <c r="C3780">
        <v>0.86276309539265705</v>
      </c>
      <c r="D3780">
        <v>0.46447234878553301</v>
      </c>
      <c r="E3780">
        <v>0.21375207289384601</v>
      </c>
      <c r="F3780">
        <v>0.165342081665284</v>
      </c>
      <c r="G3780">
        <v>0.10670362604222899</v>
      </c>
      <c r="H3780">
        <v>8.2165135907828493E-2</v>
      </c>
      <c r="I3780">
        <v>7.8142850383446094E-2</v>
      </c>
      <c r="J3780">
        <v>6.6136186599821706E-2</v>
      </c>
      <c r="K3780">
        <v>5.4961371148928198E-2</v>
      </c>
      <c r="L3780">
        <v>1078.99005020191</v>
      </c>
      <c r="M3780">
        <v>23.6387073616999</v>
      </c>
      <c r="N3780">
        <v>46.010786453305101</v>
      </c>
      <c r="O3780">
        <v>45.322151146178399</v>
      </c>
      <c r="P3780">
        <v>-0.119226336724296</v>
      </c>
      <c r="Q3780">
        <v>8.5651554656938994E-2</v>
      </c>
      <c r="R3780">
        <v>0.99348607472316497</v>
      </c>
      <c r="S3780" t="s">
        <v>10065</v>
      </c>
      <c r="T3780" t="s">
        <v>12568</v>
      </c>
      <c r="U3780" t="s">
        <v>12568</v>
      </c>
      <c r="V3780" t="s">
        <v>12568</v>
      </c>
      <c r="W3780" t="s">
        <v>16304</v>
      </c>
      <c r="X3780">
        <v>39</v>
      </c>
      <c r="Y3780" t="s">
        <v>22423</v>
      </c>
      <c r="Z3780" t="s">
        <v>28650</v>
      </c>
      <c r="AA3780">
        <v>0.26753904171557508</v>
      </c>
      <c r="AB3780" t="str">
        <f>HYPERLINK("Melting_Curves/meltCurve_Q7KZF4_SND1.pdf", "Melting_Curves/meltCurve_Q7KZF4_SND1.pdf")</f>
        <v>Melting_Curves/meltCurve_Q7KZF4_SND1.pdf</v>
      </c>
    </row>
    <row r="3781" spans="1:28" x14ac:dyDescent="0.25">
      <c r="A3781" t="s">
        <v>3785</v>
      </c>
      <c r="B3781">
        <v>0.99352677808782597</v>
      </c>
      <c r="C3781">
        <v>0.84375597280779902</v>
      </c>
      <c r="D3781">
        <v>0.91052354287436899</v>
      </c>
      <c r="E3781">
        <v>0.69651657310352699</v>
      </c>
      <c r="F3781">
        <v>0.64945595522071498</v>
      </c>
      <c r="G3781">
        <v>0.502429615850291</v>
      </c>
      <c r="H3781">
        <v>0.39360647013440297</v>
      </c>
      <c r="I3781">
        <v>0.40648882458192998</v>
      </c>
      <c r="J3781">
        <v>0.395263795128936</v>
      </c>
      <c r="K3781">
        <v>0.32243021676510603</v>
      </c>
      <c r="L3781">
        <v>500.159229010871</v>
      </c>
      <c r="M3781">
        <v>9.5352812788938408</v>
      </c>
      <c r="N3781">
        <v>57.433209441682997</v>
      </c>
      <c r="O3781">
        <v>50.301990113572501</v>
      </c>
      <c r="P3781">
        <v>-3.4080874653342502E-2</v>
      </c>
      <c r="Q3781">
        <v>0.28126437434393597</v>
      </c>
      <c r="R3781">
        <v>0.97104649144816502</v>
      </c>
      <c r="S3781" t="s">
        <v>10066</v>
      </c>
      <c r="T3781" t="s">
        <v>12568</v>
      </c>
      <c r="U3781" t="s">
        <v>12568</v>
      </c>
      <c r="V3781" t="s">
        <v>12568</v>
      </c>
      <c r="W3781" t="s">
        <v>16305</v>
      </c>
      <c r="X3781">
        <v>5</v>
      </c>
      <c r="Y3781" t="s">
        <v>22424</v>
      </c>
      <c r="Z3781" t="s">
        <v>28651</v>
      </c>
      <c r="AA3781">
        <v>0.60694721590572531</v>
      </c>
      <c r="AB3781" t="str">
        <f>HYPERLINK("Melting_Curves/meltCurve_Q7KZI7_14_MARK2.pdf", "Melting_Curves/meltCurve_Q7KZI7_14_MARK2.pdf")</f>
        <v>Melting_Curves/meltCurve_Q7KZI7_14_MARK2.pdf</v>
      </c>
    </row>
    <row r="3782" spans="1:28" x14ac:dyDescent="0.25">
      <c r="A3782" t="s">
        <v>3786</v>
      </c>
      <c r="B3782">
        <v>0.99352677808782597</v>
      </c>
      <c r="C3782">
        <v>0.89364090912573202</v>
      </c>
      <c r="D3782">
        <v>0.82513837143124802</v>
      </c>
      <c r="E3782">
        <v>0.37970231252186099</v>
      </c>
      <c r="F3782">
        <v>0.301691860683868</v>
      </c>
      <c r="G3782">
        <v>0.21688618604447699</v>
      </c>
      <c r="H3782">
        <v>0.157468730213918</v>
      </c>
      <c r="I3782">
        <v>0.144697008918973</v>
      </c>
      <c r="J3782">
        <v>0.137075816561844</v>
      </c>
      <c r="K3782">
        <v>0.107178537664686</v>
      </c>
      <c r="L3782">
        <v>954.860221327305</v>
      </c>
      <c r="M3782">
        <v>19.730171396579099</v>
      </c>
      <c r="N3782">
        <v>49.205301947574</v>
      </c>
      <c r="O3782">
        <v>47.907006212566003</v>
      </c>
      <c r="P3782">
        <v>-8.8696747049168106E-2</v>
      </c>
      <c r="Q3782">
        <v>0.13856811727116</v>
      </c>
      <c r="R3782">
        <v>0.98959520486872798</v>
      </c>
      <c r="S3782" t="s">
        <v>10067</v>
      </c>
      <c r="T3782" t="s">
        <v>12568</v>
      </c>
      <c r="U3782" t="s">
        <v>12568</v>
      </c>
      <c r="V3782" t="s">
        <v>12568</v>
      </c>
      <c r="W3782" t="s">
        <v>16306</v>
      </c>
      <c r="X3782">
        <v>40</v>
      </c>
      <c r="Y3782" t="s">
        <v>22425</v>
      </c>
      <c r="Z3782" t="s">
        <v>28652</v>
      </c>
      <c r="AA3782">
        <v>0.39215702844697498</v>
      </c>
      <c r="AB3782" t="str">
        <f>HYPERLINK("Melting_Curves/meltCurve_Q7L014_DDX46.pdf", "Melting_Curves/meltCurve_Q7L014_DDX46.pdf")</f>
        <v>Melting_Curves/meltCurve_Q7L014_DDX46.pdf</v>
      </c>
    </row>
    <row r="3783" spans="1:28" x14ac:dyDescent="0.25">
      <c r="A3783" t="s">
        <v>3787</v>
      </c>
      <c r="B3783">
        <v>0.99352677808782597</v>
      </c>
      <c r="C3783">
        <v>0.97363589451449695</v>
      </c>
      <c r="D3783">
        <v>0.95440661923995396</v>
      </c>
      <c r="E3783">
        <v>0.69369656231778398</v>
      </c>
      <c r="F3783">
        <v>0.68914554359720204</v>
      </c>
      <c r="G3783">
        <v>0.31086942669578599</v>
      </c>
      <c r="H3783">
        <v>0.19374931066856099</v>
      </c>
      <c r="I3783">
        <v>0.195244930848189</v>
      </c>
      <c r="J3783">
        <v>0.12817199996654399</v>
      </c>
      <c r="K3783">
        <v>0.125296872183526</v>
      </c>
      <c r="L3783">
        <v>810.095891319315</v>
      </c>
      <c r="M3783">
        <v>15.0892774990477</v>
      </c>
      <c r="N3783">
        <v>54.414740442709203</v>
      </c>
      <c r="O3783">
        <v>52.770408868247202</v>
      </c>
      <c r="P3783">
        <v>-6.4958984331030006E-2</v>
      </c>
      <c r="Q3783">
        <v>9.1388331562439695E-2</v>
      </c>
      <c r="R3783">
        <v>0.98314319864187405</v>
      </c>
      <c r="S3783" t="s">
        <v>10068</v>
      </c>
      <c r="T3783" t="s">
        <v>12568</v>
      </c>
      <c r="U3783" t="s">
        <v>12568</v>
      </c>
      <c r="V3783" t="s">
        <v>12568</v>
      </c>
      <c r="W3783" t="s">
        <v>16307</v>
      </c>
      <c r="X3783">
        <v>5</v>
      </c>
      <c r="Y3783" t="s">
        <v>22426</v>
      </c>
      <c r="Z3783" t="s">
        <v>28653</v>
      </c>
      <c r="AA3783">
        <v>0.52472526194969316</v>
      </c>
      <c r="AB3783" t="str">
        <f>HYPERLINK("Melting_Curves/meltCurve_Q7L099_2_RUFY3.pdf", "Melting_Curves/meltCurve_Q7L099_2_RUFY3.pdf")</f>
        <v>Melting_Curves/meltCurve_Q7L099_2_RUFY3.pdf</v>
      </c>
    </row>
    <row r="3784" spans="1:28" x14ac:dyDescent="0.25">
      <c r="A3784" t="s">
        <v>3788</v>
      </c>
      <c r="B3784">
        <v>0.99352677808782597</v>
      </c>
      <c r="C3784">
        <v>0.92369020899849597</v>
      </c>
      <c r="D3784">
        <v>0.79993236380033905</v>
      </c>
      <c r="E3784">
        <v>0.39117596204558802</v>
      </c>
      <c r="F3784">
        <v>0.33344431148215797</v>
      </c>
      <c r="G3784">
        <v>0.207985630126996</v>
      </c>
      <c r="H3784">
        <v>0.14594436904101599</v>
      </c>
      <c r="I3784">
        <v>0.14032597616367701</v>
      </c>
      <c r="J3784">
        <v>0.119445450068368</v>
      </c>
      <c r="K3784">
        <v>9.4733419525855303E-2</v>
      </c>
      <c r="L3784">
        <v>867.46457358752502</v>
      </c>
      <c r="M3784">
        <v>17.837365896219801</v>
      </c>
      <c r="N3784">
        <v>49.405186097340398</v>
      </c>
      <c r="O3784">
        <v>48.032993665798799</v>
      </c>
      <c r="P3784">
        <v>-8.1535055433271206E-2</v>
      </c>
      <c r="Q3784">
        <v>0.121804741033524</v>
      </c>
      <c r="R3784">
        <v>0.99166100610146402</v>
      </c>
      <c r="S3784" t="s">
        <v>10069</v>
      </c>
      <c r="T3784" t="s">
        <v>12568</v>
      </c>
      <c r="U3784" t="s">
        <v>12568</v>
      </c>
      <c r="V3784" t="s">
        <v>12568</v>
      </c>
      <c r="W3784" t="s">
        <v>16308</v>
      </c>
      <c r="X3784">
        <v>9</v>
      </c>
      <c r="Y3784" t="s">
        <v>22427</v>
      </c>
      <c r="Z3784" t="s">
        <v>28654</v>
      </c>
      <c r="AA3784">
        <v>0.39009817910910433</v>
      </c>
      <c r="AB3784" t="str">
        <f>HYPERLINK("Melting_Curves/meltCurve_Q7L0Y3_TRMT10C.pdf", "Melting_Curves/meltCurve_Q7L0Y3_TRMT10C.pdf")</f>
        <v>Melting_Curves/meltCurve_Q7L0Y3_TRMT10C.pdf</v>
      </c>
    </row>
    <row r="3785" spans="1:28" x14ac:dyDescent="0.25">
      <c r="A3785" t="s">
        <v>3789</v>
      </c>
      <c r="B3785">
        <v>0.99352677808782597</v>
      </c>
      <c r="C3785">
        <v>0.88801636700227604</v>
      </c>
      <c r="D3785">
        <v>0.93098627762543895</v>
      </c>
      <c r="E3785">
        <v>0.285290802861971</v>
      </c>
      <c r="F3785">
        <v>0.21888900016277099</v>
      </c>
      <c r="G3785">
        <v>0.12907152034733299</v>
      </c>
      <c r="H3785">
        <v>9.0163060909309201E-2</v>
      </c>
      <c r="I3785">
        <v>7.9553614215360294E-2</v>
      </c>
      <c r="J3785">
        <v>7.0761285570270296E-2</v>
      </c>
      <c r="K3785">
        <v>5.2819177396901597E-2</v>
      </c>
      <c r="L3785">
        <v>1784.9967050646001</v>
      </c>
      <c r="M3785">
        <v>36.799486276326697</v>
      </c>
      <c r="N3785">
        <v>48.786248418197303</v>
      </c>
      <c r="O3785">
        <v>48.363448704095902</v>
      </c>
      <c r="P3785">
        <v>-0.17210252566842901</v>
      </c>
      <c r="Q3785">
        <v>9.5264810741492706E-2</v>
      </c>
      <c r="R3785">
        <v>0.982556543138281</v>
      </c>
      <c r="S3785" t="s">
        <v>10070</v>
      </c>
      <c r="T3785" t="s">
        <v>12568</v>
      </c>
      <c r="U3785" t="s">
        <v>12568</v>
      </c>
      <c r="V3785" t="s">
        <v>12568</v>
      </c>
      <c r="W3785" t="s">
        <v>16309</v>
      </c>
      <c r="X3785">
        <v>24</v>
      </c>
      <c r="Y3785" t="s">
        <v>22428</v>
      </c>
      <c r="Z3785" t="s">
        <v>28655</v>
      </c>
      <c r="AA3785">
        <v>0.35538821194342091</v>
      </c>
      <c r="AB3785" t="str">
        <f>HYPERLINK("Melting_Curves/meltCurve_Q7L1Q6_BZW1.pdf", "Melting_Curves/meltCurve_Q7L1Q6_BZW1.pdf")</f>
        <v>Melting_Curves/meltCurve_Q7L1Q6_BZW1.pdf</v>
      </c>
    </row>
    <row r="3786" spans="1:28" x14ac:dyDescent="0.25">
      <c r="A3786" t="s">
        <v>3790</v>
      </c>
      <c r="B3786">
        <v>0.99352677808782597</v>
      </c>
      <c r="C3786">
        <v>1.7952160585591099</v>
      </c>
      <c r="D3786">
        <v>1.61295386902393</v>
      </c>
      <c r="E3786">
        <v>0.685176664274046</v>
      </c>
      <c r="F3786">
        <v>0.58667528352815601</v>
      </c>
      <c r="G3786">
        <v>0.47185123539813001</v>
      </c>
      <c r="H3786">
        <v>0.31692222890621302</v>
      </c>
      <c r="I3786">
        <v>0.30595484970514403</v>
      </c>
      <c r="J3786">
        <v>0.27160015021235701</v>
      </c>
      <c r="K3786">
        <v>0.26113173943369999</v>
      </c>
      <c r="L3786">
        <v>1591.8163908169099</v>
      </c>
      <c r="M3786">
        <v>30.6695888610165</v>
      </c>
      <c r="N3786">
        <v>53.629867935411198</v>
      </c>
      <c r="O3786">
        <v>51.682937265373603</v>
      </c>
      <c r="P3786">
        <v>-0.101793863208698</v>
      </c>
      <c r="Q3786">
        <v>0.31385117311158001</v>
      </c>
      <c r="R3786">
        <v>0.62541664275838604</v>
      </c>
      <c r="S3786" t="s">
        <v>10071</v>
      </c>
      <c r="T3786" t="s">
        <v>12568</v>
      </c>
      <c r="U3786" t="s">
        <v>12568</v>
      </c>
      <c r="V3786" t="s">
        <v>12568</v>
      </c>
      <c r="W3786" t="s">
        <v>16310</v>
      </c>
      <c r="X3786">
        <v>3</v>
      </c>
      <c r="Y3786" t="s">
        <v>22429</v>
      </c>
      <c r="Z3786" t="s">
        <v>28656</v>
      </c>
      <c r="AA3786">
        <v>0.59026129203948086</v>
      </c>
      <c r="AB3786" t="str">
        <f>HYPERLINK("Melting_Curves/meltCurve_Q7L1T6_CYB5R4.pdf", "Melting_Curves/meltCurve_Q7L1T6_CYB5R4.pdf")</f>
        <v>Melting_Curves/meltCurve_Q7L1T6_CYB5R4.pdf</v>
      </c>
    </row>
    <row r="3787" spans="1:28" x14ac:dyDescent="0.25">
      <c r="A3787" t="s">
        <v>3791</v>
      </c>
      <c r="B3787">
        <v>0.99352677808782597</v>
      </c>
      <c r="C3787">
        <v>0.93270748794213298</v>
      </c>
      <c r="D3787">
        <v>0.98549019711755603</v>
      </c>
      <c r="E3787">
        <v>0.77226503340168995</v>
      </c>
      <c r="F3787">
        <v>0.64231502941201701</v>
      </c>
      <c r="G3787">
        <v>0.484669361617029</v>
      </c>
      <c r="H3787">
        <v>0.33595797414580197</v>
      </c>
      <c r="I3787">
        <v>0.21571060120881799</v>
      </c>
      <c r="J3787">
        <v>0.13832553951489501</v>
      </c>
      <c r="K3787">
        <v>6.0056516126955201E-2</v>
      </c>
      <c r="L3787">
        <v>621.92921257241198</v>
      </c>
      <c r="M3787">
        <v>11.0375781027731</v>
      </c>
      <c r="N3787">
        <v>56.346530534454899</v>
      </c>
      <c r="O3787">
        <v>54.591751442923801</v>
      </c>
      <c r="P3787">
        <v>-5.0562827016617198E-2</v>
      </c>
      <c r="Q3787">
        <v>0</v>
      </c>
      <c r="R3787">
        <v>0.99108996604587096</v>
      </c>
      <c r="S3787" t="s">
        <v>10072</v>
      </c>
      <c r="T3787" t="s">
        <v>12568</v>
      </c>
      <c r="U3787" t="s">
        <v>12568</v>
      </c>
      <c r="V3787" t="s">
        <v>12568</v>
      </c>
      <c r="W3787" t="s">
        <v>16311</v>
      </c>
      <c r="X3787">
        <v>4</v>
      </c>
      <c r="Y3787" t="s">
        <v>22430</v>
      </c>
      <c r="Z3787" t="s">
        <v>28657</v>
      </c>
      <c r="AA3787">
        <v>0.56435275532090412</v>
      </c>
      <c r="AB3787" t="str">
        <f>HYPERLINK("Melting_Curves/meltCurve_Q7L266_ASRGL1.pdf", "Melting_Curves/meltCurve_Q7L266_ASRGL1.pdf")</f>
        <v>Melting_Curves/meltCurve_Q7L266_ASRGL1.pdf</v>
      </c>
    </row>
    <row r="3788" spans="1:28" x14ac:dyDescent="0.25">
      <c r="A3788" t="s">
        <v>3792</v>
      </c>
      <c r="B3788">
        <v>0.99352677808782597</v>
      </c>
      <c r="C3788">
        <v>1.0041093046654299</v>
      </c>
      <c r="D3788">
        <v>0.88555771170063102</v>
      </c>
      <c r="E3788">
        <v>0.79387729032515897</v>
      </c>
      <c r="F3788">
        <v>0.64722291600765003</v>
      </c>
      <c r="G3788">
        <v>0.30418949963977399</v>
      </c>
      <c r="H3788">
        <v>0.16812627948960901</v>
      </c>
      <c r="I3788">
        <v>0.139077800707847</v>
      </c>
      <c r="J3788">
        <v>0.12468058167198701</v>
      </c>
      <c r="K3788">
        <v>9.4424169115575898E-2</v>
      </c>
      <c r="L3788">
        <v>907.91364155610995</v>
      </c>
      <c r="M3788">
        <v>16.861156588361101</v>
      </c>
      <c r="N3788">
        <v>54.365895710295803</v>
      </c>
      <c r="O3788">
        <v>53.106156591232697</v>
      </c>
      <c r="P3788">
        <v>-7.3474163020644995E-2</v>
      </c>
      <c r="Q3788">
        <v>7.4397672751037494E-2</v>
      </c>
      <c r="R3788">
        <v>0.99358116894496196</v>
      </c>
      <c r="S3788" t="s">
        <v>10073</v>
      </c>
      <c r="T3788" t="s">
        <v>12568</v>
      </c>
      <c r="U3788" t="s">
        <v>12568</v>
      </c>
      <c r="V3788" t="s">
        <v>12568</v>
      </c>
      <c r="W3788" t="s">
        <v>16312</v>
      </c>
      <c r="X3788">
        <v>9</v>
      </c>
      <c r="Y3788" t="s">
        <v>22431</v>
      </c>
      <c r="Z3788" t="s">
        <v>28658</v>
      </c>
      <c r="AA3788">
        <v>0.51797058479588609</v>
      </c>
      <c r="AB3788" t="str">
        <f>HYPERLINK("Melting_Curves/meltCurve_Q7L273_KCTD9.pdf", "Melting_Curves/meltCurve_Q7L273_KCTD9.pdf")</f>
        <v>Melting_Curves/meltCurve_Q7L273_KCTD9.pdf</v>
      </c>
    </row>
    <row r="3789" spans="1:28" x14ac:dyDescent="0.25">
      <c r="A3789" t="s">
        <v>3793</v>
      </c>
      <c r="B3789">
        <v>0.99352677808782597</v>
      </c>
      <c r="C3789">
        <v>0.97938789919696501</v>
      </c>
      <c r="D3789">
        <v>1.07016531381083</v>
      </c>
      <c r="E3789">
        <v>0.85606016850115796</v>
      </c>
      <c r="F3789">
        <v>0.46344513440575402</v>
      </c>
      <c r="G3789">
        <v>0.275372097094573</v>
      </c>
      <c r="H3789">
        <v>0.21258253275712899</v>
      </c>
      <c r="I3789">
        <v>0.264900403129189</v>
      </c>
      <c r="J3789">
        <v>0.12413500433335301</v>
      </c>
      <c r="K3789">
        <v>9.5358509683212703E-2</v>
      </c>
      <c r="L3789">
        <v>1747.58051620589</v>
      </c>
      <c r="M3789">
        <v>33.492327762793202</v>
      </c>
      <c r="N3789">
        <v>52.8867272349705</v>
      </c>
      <c r="O3789">
        <v>51.993573470038299</v>
      </c>
      <c r="P3789">
        <v>-0.131940635628887</v>
      </c>
      <c r="Q3789">
        <v>0.18070364655795201</v>
      </c>
      <c r="R3789">
        <v>0.98027366006647498</v>
      </c>
      <c r="S3789" t="s">
        <v>10074</v>
      </c>
      <c r="T3789" t="s">
        <v>12568</v>
      </c>
      <c r="U3789" t="s">
        <v>12568</v>
      </c>
      <c r="V3789" t="s">
        <v>12568</v>
      </c>
      <c r="W3789" t="s">
        <v>16313</v>
      </c>
      <c r="X3789">
        <v>11</v>
      </c>
      <c r="Y3789" t="s">
        <v>22432</v>
      </c>
      <c r="Z3789" t="s">
        <v>28659</v>
      </c>
      <c r="AA3789">
        <v>0.51751447977699316</v>
      </c>
      <c r="AB3789" t="str">
        <f>HYPERLINK("Melting_Curves/meltCurve_Q7L2H7_EIF3M.pdf", "Melting_Curves/meltCurve_Q7L2H7_EIF3M.pdf")</f>
        <v>Melting_Curves/meltCurve_Q7L2H7_EIF3M.pdf</v>
      </c>
    </row>
    <row r="3790" spans="1:28" x14ac:dyDescent="0.25">
      <c r="A3790" t="s">
        <v>3794</v>
      </c>
      <c r="B3790">
        <v>0.99352677808782597</v>
      </c>
      <c r="C3790">
        <v>0.91085586837587995</v>
      </c>
      <c r="D3790">
        <v>0.95759246165580802</v>
      </c>
      <c r="E3790">
        <v>0.75490379932238805</v>
      </c>
      <c r="F3790">
        <v>0.73865075670668101</v>
      </c>
      <c r="G3790">
        <v>0.61880095521767597</v>
      </c>
      <c r="H3790">
        <v>0.58697493295661995</v>
      </c>
      <c r="I3790">
        <v>0.73686481169149598</v>
      </c>
      <c r="J3790">
        <v>0.49632927821338502</v>
      </c>
      <c r="K3790">
        <v>0.45074417930460903</v>
      </c>
      <c r="L3790">
        <v>414.65810544830998</v>
      </c>
      <c r="M3790">
        <v>7.6008977593695901</v>
      </c>
      <c r="O3790">
        <v>51.1618449945314</v>
      </c>
      <c r="P3790">
        <v>-2.14486719914911E-2</v>
      </c>
      <c r="Q3790">
        <v>0.42330277452892001</v>
      </c>
      <c r="R3790">
        <v>0.85417324417686002</v>
      </c>
      <c r="S3790" t="s">
        <v>10075</v>
      </c>
      <c r="T3790" t="s">
        <v>12568</v>
      </c>
      <c r="U3790" t="s">
        <v>12568</v>
      </c>
      <c r="V3790" t="s">
        <v>12568</v>
      </c>
      <c r="W3790" t="s">
        <v>16314</v>
      </c>
      <c r="X3790">
        <v>11</v>
      </c>
      <c r="Y3790" t="s">
        <v>22433</v>
      </c>
      <c r="Z3790" t="s">
        <v>28660</v>
      </c>
      <c r="AA3790">
        <v>0.7207356432431633</v>
      </c>
      <c r="AB3790" t="str">
        <f>HYPERLINK("Melting_Curves/meltCurve_Q7L2J0_MEPCE.pdf", "Melting_Curves/meltCurve_Q7L2J0_MEPCE.pdf")</f>
        <v>Melting_Curves/meltCurve_Q7L2J0_MEPCE.pdf</v>
      </c>
    </row>
    <row r="3791" spans="1:28" x14ac:dyDescent="0.25">
      <c r="A3791" t="s">
        <v>3795</v>
      </c>
      <c r="B3791">
        <v>0.99352677808782597</v>
      </c>
      <c r="C3791">
        <v>1.0576886798490099</v>
      </c>
      <c r="D3791">
        <v>0.92968085173026804</v>
      </c>
      <c r="E3791">
        <v>0.82822247745982502</v>
      </c>
      <c r="F3791">
        <v>0.78823358134962895</v>
      </c>
      <c r="G3791">
        <v>0.56883331634856604</v>
      </c>
      <c r="H3791">
        <v>0.81868142790245702</v>
      </c>
      <c r="I3791">
        <v>0.69386930693730398</v>
      </c>
      <c r="J3791">
        <v>0.95468802757794902</v>
      </c>
      <c r="K3791">
        <v>0.54804065706998695</v>
      </c>
      <c r="L3791">
        <v>1338.60460020913</v>
      </c>
      <c r="M3791">
        <v>27.366097957844399</v>
      </c>
      <c r="O3791">
        <v>48.655759504450401</v>
      </c>
      <c r="P3791">
        <v>-3.9014351931065998E-2</v>
      </c>
      <c r="Q3791">
        <v>0.72253923920777097</v>
      </c>
      <c r="R3791">
        <v>0.535627116714815</v>
      </c>
      <c r="S3791" t="s">
        <v>10076</v>
      </c>
      <c r="T3791" t="s">
        <v>12568</v>
      </c>
      <c r="U3791" t="s">
        <v>12568</v>
      </c>
      <c r="V3791" t="s">
        <v>12568</v>
      </c>
      <c r="W3791" t="s">
        <v>16315</v>
      </c>
      <c r="X3791">
        <v>1</v>
      </c>
      <c r="Y3791" t="s">
        <v>22434</v>
      </c>
      <c r="Z3791" t="s">
        <v>28661</v>
      </c>
      <c r="AA3791">
        <v>0.80702767013792809</v>
      </c>
      <c r="AB3791" t="str">
        <f>HYPERLINK("Melting_Curves/meltCurve_Q7L2Z9_CENPQ.pdf", "Melting_Curves/meltCurve_Q7L2Z9_CENPQ.pdf")</f>
        <v>Melting_Curves/meltCurve_Q7L2Z9_CENPQ.pdf</v>
      </c>
    </row>
    <row r="3792" spans="1:28" x14ac:dyDescent="0.25">
      <c r="A3792" t="s">
        <v>3796</v>
      </c>
      <c r="B3792">
        <v>0.99352677808782597</v>
      </c>
      <c r="C3792">
        <v>1.11032569946707</v>
      </c>
      <c r="D3792">
        <v>1.01204272330254</v>
      </c>
      <c r="E3792">
        <v>0.84448668808835503</v>
      </c>
      <c r="F3792">
        <v>0.85124236629999706</v>
      </c>
      <c r="G3792">
        <v>0.55140202281088102</v>
      </c>
      <c r="H3792">
        <v>0.63387743243462702</v>
      </c>
      <c r="I3792">
        <v>0.60850473774401803</v>
      </c>
      <c r="J3792">
        <v>0.492438173901244</v>
      </c>
      <c r="K3792">
        <v>0.452065050972425</v>
      </c>
      <c r="L3792">
        <v>952.74870929397298</v>
      </c>
      <c r="M3792">
        <v>17.670261091851799</v>
      </c>
      <c r="O3792">
        <v>53.241862953910697</v>
      </c>
      <c r="P3792">
        <v>-4.1092837986602099E-2</v>
      </c>
      <c r="Q3792">
        <v>0.50476267227079297</v>
      </c>
      <c r="R3792">
        <v>0.91051858650718698</v>
      </c>
      <c r="S3792" t="s">
        <v>10077</v>
      </c>
      <c r="T3792" t="s">
        <v>12568</v>
      </c>
      <c r="U3792" t="s">
        <v>12568</v>
      </c>
      <c r="V3792" t="s">
        <v>12568</v>
      </c>
      <c r="W3792" t="s">
        <v>16316</v>
      </c>
      <c r="X3792">
        <v>3</v>
      </c>
      <c r="Y3792" t="s">
        <v>22435</v>
      </c>
      <c r="Z3792" t="s">
        <v>28662</v>
      </c>
      <c r="AA3792">
        <v>0.74268530702353652</v>
      </c>
      <c r="AB3792" t="str">
        <f>HYPERLINK("Melting_Curves/meltCurve_Q7L3S4_ZNF771.pdf", "Melting_Curves/meltCurve_Q7L3S4_ZNF771.pdf")</f>
        <v>Melting_Curves/meltCurve_Q7L3S4_ZNF771.pdf</v>
      </c>
    </row>
    <row r="3793" spans="1:28" x14ac:dyDescent="0.25">
      <c r="A3793" t="s">
        <v>3797</v>
      </c>
      <c r="B3793">
        <v>0.99352677808782597</v>
      </c>
      <c r="C3793">
        <v>0.882772219143243</v>
      </c>
      <c r="D3793">
        <v>0.91108492645345995</v>
      </c>
      <c r="E3793">
        <v>0.783215299897419</v>
      </c>
      <c r="F3793">
        <v>0.67654986019169805</v>
      </c>
      <c r="G3793">
        <v>0.58910287460117805</v>
      </c>
      <c r="H3793">
        <v>0.57513820000980498</v>
      </c>
      <c r="I3793">
        <v>0.552887409264053</v>
      </c>
      <c r="J3793">
        <v>0.61531124358232703</v>
      </c>
      <c r="K3793">
        <v>0.595242642725205</v>
      </c>
      <c r="L3793">
        <v>700.25827866925295</v>
      </c>
      <c r="M3793">
        <v>14.230384951154999</v>
      </c>
      <c r="O3793">
        <v>48.267495989637403</v>
      </c>
      <c r="P3793">
        <v>-3.1976694000707302E-2</v>
      </c>
      <c r="Q3793">
        <v>0.56621177806607603</v>
      </c>
      <c r="R3793">
        <v>0.95537535094708104</v>
      </c>
      <c r="S3793" t="s">
        <v>10078</v>
      </c>
      <c r="T3793" t="s">
        <v>12568</v>
      </c>
      <c r="U3793" t="s">
        <v>12568</v>
      </c>
      <c r="V3793" t="s">
        <v>12568</v>
      </c>
      <c r="W3793" t="s">
        <v>16317</v>
      </c>
      <c r="X3793">
        <v>9</v>
      </c>
      <c r="Y3793" t="s">
        <v>22436</v>
      </c>
      <c r="Z3793" t="s">
        <v>28663</v>
      </c>
      <c r="AA3793">
        <v>0.71107002658236884</v>
      </c>
      <c r="AB3793" t="str">
        <f>HYPERLINK("Melting_Curves/meltCurve_Q7L4I2_RSRC2.pdf", "Melting_Curves/meltCurve_Q7L4I2_RSRC2.pdf")</f>
        <v>Melting_Curves/meltCurve_Q7L4I2_RSRC2.pdf</v>
      </c>
    </row>
    <row r="3794" spans="1:28" x14ac:dyDescent="0.25">
      <c r="A3794" t="s">
        <v>3798</v>
      </c>
      <c r="B3794">
        <v>0.99352677808782597</v>
      </c>
      <c r="C3794">
        <v>1.00157482766176</v>
      </c>
      <c r="D3794">
        <v>0.95788846850970599</v>
      </c>
      <c r="E3794">
        <v>0.72677818369568303</v>
      </c>
      <c r="F3794">
        <v>0.62159214089134696</v>
      </c>
      <c r="G3794">
        <v>0.45365277253950198</v>
      </c>
      <c r="H3794">
        <v>0.37970942526316098</v>
      </c>
      <c r="I3794">
        <v>0.28784619542413398</v>
      </c>
      <c r="J3794">
        <v>0.192818274401098</v>
      </c>
      <c r="K3794">
        <v>0.119762209757588</v>
      </c>
      <c r="L3794">
        <v>559.94335150504196</v>
      </c>
      <c r="M3794">
        <v>10.038105275684901</v>
      </c>
      <c r="N3794">
        <v>56.351779252780801</v>
      </c>
      <c r="O3794">
        <v>53.703593778448798</v>
      </c>
      <c r="P3794">
        <v>-4.4494640044430898E-2</v>
      </c>
      <c r="Q3794">
        <v>4.8275728418482398E-2</v>
      </c>
      <c r="R3794">
        <v>0.98644999955073298</v>
      </c>
      <c r="S3794" t="s">
        <v>10079</v>
      </c>
      <c r="T3794" t="s">
        <v>12568</v>
      </c>
      <c r="U3794" t="s">
        <v>12568</v>
      </c>
      <c r="V3794" t="s">
        <v>12568</v>
      </c>
      <c r="W3794" t="s">
        <v>16318</v>
      </c>
      <c r="X3794">
        <v>8</v>
      </c>
      <c r="Y3794" t="s">
        <v>22437</v>
      </c>
      <c r="Z3794" t="s">
        <v>28664</v>
      </c>
      <c r="AA3794">
        <v>0.57004263978064662</v>
      </c>
      <c r="AB3794" t="str">
        <f>HYPERLINK("Melting_Curves/meltCurve_Q7L523_RRAGA.pdf", "Melting_Curves/meltCurve_Q7L523_RRAGA.pdf")</f>
        <v>Melting_Curves/meltCurve_Q7L523_RRAGA.pdf</v>
      </c>
    </row>
    <row r="3795" spans="1:28" x14ac:dyDescent="0.25">
      <c r="A3795" t="s">
        <v>3799</v>
      </c>
      <c r="B3795">
        <v>0.99352677808782597</v>
      </c>
      <c r="C3795">
        <v>0.98922407081824304</v>
      </c>
      <c r="D3795">
        <v>0.90757155637797104</v>
      </c>
      <c r="E3795">
        <v>0.86234558198998201</v>
      </c>
      <c r="F3795">
        <v>0.63394655564253699</v>
      </c>
      <c r="G3795">
        <v>0.18841707446645201</v>
      </c>
      <c r="H3795">
        <v>0.100036207615173</v>
      </c>
      <c r="I3795">
        <v>9.3838809318336103E-2</v>
      </c>
      <c r="J3795">
        <v>7.1551572939828501E-2</v>
      </c>
      <c r="K3795">
        <v>5.6465631091996198E-2</v>
      </c>
      <c r="L3795">
        <v>1433.4502008115201</v>
      </c>
      <c r="M3795">
        <v>26.735292613702601</v>
      </c>
      <c r="N3795">
        <v>53.885120161535198</v>
      </c>
      <c r="O3795">
        <v>53.319143930706502</v>
      </c>
      <c r="P3795">
        <v>-0.11753288950623</v>
      </c>
      <c r="Q3795">
        <v>6.2409921343812798E-2</v>
      </c>
      <c r="R3795">
        <v>0.99399298520961399</v>
      </c>
      <c r="S3795" t="s">
        <v>10080</v>
      </c>
      <c r="T3795" t="s">
        <v>12568</v>
      </c>
      <c r="U3795" t="s">
        <v>12568</v>
      </c>
      <c r="V3795" t="s">
        <v>12568</v>
      </c>
      <c r="W3795" t="s">
        <v>16319</v>
      </c>
      <c r="X3795">
        <v>30</v>
      </c>
      <c r="Y3795" t="s">
        <v>22438</v>
      </c>
      <c r="Z3795" t="s">
        <v>28665</v>
      </c>
      <c r="AA3795">
        <v>0.49560761525066532</v>
      </c>
      <c r="AB3795" t="str">
        <f>HYPERLINK("Melting_Curves/meltCurve_Q7L576_CYFIP1.pdf", "Melting_Curves/meltCurve_Q7L576_CYFIP1.pdf")</f>
        <v>Melting_Curves/meltCurve_Q7L576_CYFIP1.pdf</v>
      </c>
    </row>
    <row r="3796" spans="1:28" x14ac:dyDescent="0.25">
      <c r="A3796" t="s">
        <v>3800</v>
      </c>
      <c r="B3796">
        <v>0.99352677808782597</v>
      </c>
      <c r="C3796">
        <v>1.0219043635792</v>
      </c>
      <c r="D3796">
        <v>0.92523895279430801</v>
      </c>
      <c r="E3796">
        <v>0.88719755722902904</v>
      </c>
      <c r="F3796">
        <v>0.94996032116352802</v>
      </c>
      <c r="G3796">
        <v>0.88585519301853399</v>
      </c>
      <c r="H3796">
        <v>0.87696197133784204</v>
      </c>
      <c r="I3796">
        <v>1.18919418637251</v>
      </c>
      <c r="J3796">
        <v>0.81825436626693804</v>
      </c>
      <c r="K3796">
        <v>0.69881933239845895</v>
      </c>
      <c r="L3796">
        <v>15000</v>
      </c>
      <c r="M3796">
        <v>224.299756423882</v>
      </c>
      <c r="O3796">
        <v>66.869477708424796</v>
      </c>
      <c r="P3796">
        <v>-0.25258344631108498</v>
      </c>
      <c r="Q3796">
        <v>0.69879373272281398</v>
      </c>
      <c r="R3796">
        <v>0.43998674939996102</v>
      </c>
      <c r="S3796" t="s">
        <v>10081</v>
      </c>
      <c r="T3796" t="s">
        <v>12568</v>
      </c>
      <c r="U3796" t="s">
        <v>12568</v>
      </c>
      <c r="V3796" t="s">
        <v>12568</v>
      </c>
      <c r="W3796" t="s">
        <v>16320</v>
      </c>
      <c r="X3796">
        <v>2</v>
      </c>
      <c r="Y3796" t="s">
        <v>22439</v>
      </c>
      <c r="Z3796" t="s">
        <v>28666</v>
      </c>
      <c r="AA3796">
        <v>0.96866604872485917</v>
      </c>
      <c r="AB3796" t="str">
        <f>HYPERLINK("Melting_Curves/meltCurve_Q7L590_2_MCM10.pdf", "Melting_Curves/meltCurve_Q7L590_2_MCM10.pdf")</f>
        <v>Melting_Curves/meltCurve_Q7L590_2_MCM10.pdf</v>
      </c>
    </row>
    <row r="3797" spans="1:28" x14ac:dyDescent="0.25">
      <c r="A3797" t="s">
        <v>3801</v>
      </c>
      <c r="B3797">
        <v>0.99352677808782597</v>
      </c>
      <c r="C3797">
        <v>0.87808579883897198</v>
      </c>
      <c r="D3797">
        <v>0.86393158940968595</v>
      </c>
      <c r="E3797">
        <v>0.35846256536366899</v>
      </c>
      <c r="F3797">
        <v>0.34072009976084</v>
      </c>
      <c r="G3797">
        <v>0.20794500726176601</v>
      </c>
      <c r="H3797">
        <v>0.14837014993907699</v>
      </c>
      <c r="I3797">
        <v>0.123853407921086</v>
      </c>
      <c r="J3797">
        <v>0.11398878337830599</v>
      </c>
      <c r="K3797">
        <v>7.580292994151E-2</v>
      </c>
      <c r="L3797">
        <v>896.98770834437903</v>
      </c>
      <c r="M3797">
        <v>18.3972993223746</v>
      </c>
      <c r="N3797">
        <v>49.457506271287897</v>
      </c>
      <c r="O3797">
        <v>48.191368862384998</v>
      </c>
      <c r="P3797">
        <v>-8.4489139847410896E-2</v>
      </c>
      <c r="Q3797">
        <v>0.114769364142292</v>
      </c>
      <c r="R3797">
        <v>0.97668295372782399</v>
      </c>
      <c r="S3797" t="s">
        <v>10082</v>
      </c>
      <c r="T3797" t="s">
        <v>12568</v>
      </c>
      <c r="U3797" t="s">
        <v>12568</v>
      </c>
      <c r="V3797" t="s">
        <v>12568</v>
      </c>
      <c r="W3797" t="s">
        <v>16321</v>
      </c>
      <c r="X3797">
        <v>4</v>
      </c>
      <c r="Y3797" t="s">
        <v>22440</v>
      </c>
      <c r="Z3797" t="s">
        <v>28667</v>
      </c>
      <c r="AA3797">
        <v>0.38789529437782411</v>
      </c>
      <c r="AB3797" t="str">
        <f>HYPERLINK("Melting_Curves/meltCurve_Q7L592_NDUFAF7.pdf", "Melting_Curves/meltCurve_Q7L592_NDUFAF7.pdf")</f>
        <v>Melting_Curves/meltCurve_Q7L592_NDUFAF7.pdf</v>
      </c>
    </row>
    <row r="3798" spans="1:28" x14ac:dyDescent="0.25">
      <c r="A3798" t="s">
        <v>3802</v>
      </c>
      <c r="B3798">
        <v>0.99352677808782597</v>
      </c>
      <c r="C3798">
        <v>0.94635169588527701</v>
      </c>
      <c r="D3798">
        <v>0.79620826862261895</v>
      </c>
      <c r="E3798">
        <v>0.46964510022231198</v>
      </c>
      <c r="F3798">
        <v>0.40420610834411802</v>
      </c>
      <c r="G3798">
        <v>0.27248154245823097</v>
      </c>
      <c r="H3798">
        <v>0.17267110805109301</v>
      </c>
      <c r="I3798">
        <v>0.16564682619325199</v>
      </c>
      <c r="J3798">
        <v>0.15412648718199401</v>
      </c>
      <c r="K3798">
        <v>0.12547374908418099</v>
      </c>
      <c r="L3798">
        <v>740.32239683830596</v>
      </c>
      <c r="M3798">
        <v>14.986162004757601</v>
      </c>
      <c r="N3798">
        <v>50.476774533244203</v>
      </c>
      <c r="O3798">
        <v>48.545802887259399</v>
      </c>
      <c r="P3798">
        <v>-6.6626994049942406E-2</v>
      </c>
      <c r="Q3798">
        <v>0.13676815174436899</v>
      </c>
      <c r="R3798">
        <v>0.99243018892897505</v>
      </c>
      <c r="S3798" t="s">
        <v>10083</v>
      </c>
      <c r="T3798" t="s">
        <v>12568</v>
      </c>
      <c r="U3798" t="s">
        <v>12568</v>
      </c>
      <c r="V3798" t="s">
        <v>12568</v>
      </c>
      <c r="W3798" t="s">
        <v>16322</v>
      </c>
      <c r="X3798">
        <v>4</v>
      </c>
      <c r="Y3798" t="s">
        <v>22441</v>
      </c>
      <c r="Z3798" t="s">
        <v>28668</v>
      </c>
      <c r="AA3798">
        <v>0.42829531973097479</v>
      </c>
      <c r="AB3798" t="str">
        <f>HYPERLINK("Melting_Curves/meltCurve_Q7L5D6_GET4.pdf", "Melting_Curves/meltCurve_Q7L5D6_GET4.pdf")</f>
        <v>Melting_Curves/meltCurve_Q7L5D6_GET4.pdf</v>
      </c>
    </row>
    <row r="3799" spans="1:28" x14ac:dyDescent="0.25">
      <c r="A3799" t="s">
        <v>3803</v>
      </c>
      <c r="B3799">
        <v>0.99352677808782597</v>
      </c>
      <c r="C3799">
        <v>0.94531842710875402</v>
      </c>
      <c r="D3799">
        <v>0.96095167548841698</v>
      </c>
      <c r="E3799">
        <v>0.32724491121476201</v>
      </c>
      <c r="F3799">
        <v>0.26378540232928699</v>
      </c>
      <c r="G3799">
        <v>0.12937295514167199</v>
      </c>
      <c r="H3799">
        <v>9.2382368865403505E-2</v>
      </c>
      <c r="I3799">
        <v>8.2625350540817294E-2</v>
      </c>
      <c r="J3799">
        <v>7.3128443876768298E-2</v>
      </c>
      <c r="K3799">
        <v>6.4248579686958796E-2</v>
      </c>
      <c r="L3799">
        <v>1718.08997633893</v>
      </c>
      <c r="M3799">
        <v>35.175158834538102</v>
      </c>
      <c r="N3799">
        <v>49.160750472407997</v>
      </c>
      <c r="O3799">
        <v>48.686784101446499</v>
      </c>
      <c r="P3799">
        <v>-0.162297843609747</v>
      </c>
      <c r="Q3799">
        <v>0.101441697842933</v>
      </c>
      <c r="R3799">
        <v>0.98469214317279996</v>
      </c>
      <c r="S3799" t="s">
        <v>10084</v>
      </c>
      <c r="T3799" t="s">
        <v>12568</v>
      </c>
      <c r="U3799" t="s">
        <v>12568</v>
      </c>
      <c r="V3799" t="s">
        <v>12568</v>
      </c>
      <c r="W3799" t="s">
        <v>16323</v>
      </c>
      <c r="X3799">
        <v>10</v>
      </c>
      <c r="Y3799" t="s">
        <v>22442</v>
      </c>
      <c r="Z3799" t="s">
        <v>28669</v>
      </c>
      <c r="AA3799">
        <v>0.37027545869916823</v>
      </c>
      <c r="AB3799" t="str">
        <f>HYPERLINK("Melting_Curves/meltCurve_Q7L5Y1_ENOSF1.pdf", "Melting_Curves/meltCurve_Q7L5Y1_ENOSF1.pdf")</f>
        <v>Melting_Curves/meltCurve_Q7L5Y1_ENOSF1.pdf</v>
      </c>
    </row>
    <row r="3800" spans="1:28" x14ac:dyDescent="0.25">
      <c r="A3800" t="s">
        <v>3804</v>
      </c>
      <c r="B3800">
        <v>0.99352677808782597</v>
      </c>
      <c r="C3800">
        <v>0.91589087334364905</v>
      </c>
      <c r="D3800">
        <v>0.82111943791717901</v>
      </c>
      <c r="E3800">
        <v>1.0457964167436899</v>
      </c>
      <c r="F3800">
        <v>0.87984833935398299</v>
      </c>
      <c r="G3800">
        <v>0.564303224237927</v>
      </c>
      <c r="H3800">
        <v>0.34185951570078499</v>
      </c>
      <c r="I3800">
        <v>0.28293158460843798</v>
      </c>
      <c r="J3800">
        <v>0.26492565244584398</v>
      </c>
      <c r="K3800">
        <v>0.28067081232956198</v>
      </c>
      <c r="L3800">
        <v>1650.7568213086399</v>
      </c>
      <c r="M3800">
        <v>29.3547941297434</v>
      </c>
      <c r="N3800">
        <v>57.749198013206097</v>
      </c>
      <c r="O3800">
        <v>55.975620857437299</v>
      </c>
      <c r="P3800">
        <v>-9.5909182806818705E-2</v>
      </c>
      <c r="Q3800">
        <v>0.26846185451946297</v>
      </c>
      <c r="R3800">
        <v>0.95426880218268595</v>
      </c>
      <c r="S3800" t="s">
        <v>10085</v>
      </c>
      <c r="T3800" t="s">
        <v>12568</v>
      </c>
      <c r="U3800" t="s">
        <v>12568</v>
      </c>
      <c r="V3800" t="s">
        <v>12568</v>
      </c>
      <c r="W3800" t="s">
        <v>16324</v>
      </c>
      <c r="X3800">
        <v>3</v>
      </c>
      <c r="Y3800" t="s">
        <v>22443</v>
      </c>
      <c r="Z3800" t="s">
        <v>28670</v>
      </c>
      <c r="AA3800">
        <v>0.66941329773955738</v>
      </c>
      <c r="AB3800" t="str">
        <f>HYPERLINK("Melting_Curves/meltCurve_Q7L5Y9_MAEA.pdf", "Melting_Curves/meltCurve_Q7L5Y9_MAEA.pdf")</f>
        <v>Melting_Curves/meltCurve_Q7L5Y9_MAEA.pdf</v>
      </c>
    </row>
    <row r="3801" spans="1:28" x14ac:dyDescent="0.25">
      <c r="A3801" t="s">
        <v>3805</v>
      </c>
      <c r="B3801">
        <v>0.99352677808782597</v>
      </c>
      <c r="C3801">
        <v>0.98920448302556996</v>
      </c>
      <c r="D3801">
        <v>0.91515884897311395</v>
      </c>
      <c r="E3801">
        <v>0.58665178333222601</v>
      </c>
      <c r="F3801">
        <v>0.48693981168315797</v>
      </c>
      <c r="G3801">
        <v>0.226825231492152</v>
      </c>
      <c r="H3801">
        <v>0.13238756593155299</v>
      </c>
      <c r="I3801">
        <v>0.127277745354028</v>
      </c>
      <c r="J3801">
        <v>0.10921913916129</v>
      </c>
      <c r="K3801">
        <v>9.7711039741379901E-2</v>
      </c>
      <c r="L3801">
        <v>849.09610890967599</v>
      </c>
      <c r="M3801">
        <v>16.5141521597237</v>
      </c>
      <c r="N3801">
        <v>52.0126155589316</v>
      </c>
      <c r="O3801">
        <v>50.680069589151898</v>
      </c>
      <c r="P3801">
        <v>-7.4441969108556494E-2</v>
      </c>
      <c r="Q3801">
        <v>8.6247304415650497E-2</v>
      </c>
      <c r="R3801">
        <v>0.99347953391418198</v>
      </c>
      <c r="S3801" t="s">
        <v>10086</v>
      </c>
      <c r="T3801" t="s">
        <v>12568</v>
      </c>
      <c r="U3801" t="s">
        <v>12568</v>
      </c>
      <c r="V3801" t="s">
        <v>12568</v>
      </c>
      <c r="W3801" t="s">
        <v>16325</v>
      </c>
      <c r="X3801">
        <v>8</v>
      </c>
      <c r="Y3801" t="s">
        <v>22444</v>
      </c>
      <c r="Z3801" t="s">
        <v>28671</v>
      </c>
      <c r="AA3801">
        <v>0.45174887405886771</v>
      </c>
      <c r="AB3801" t="str">
        <f>HYPERLINK("Melting_Curves/meltCurve_Q7L775_EPM2AIP1.pdf", "Melting_Curves/meltCurve_Q7L775_EPM2AIP1.pdf")</f>
        <v>Melting_Curves/meltCurve_Q7L775_EPM2AIP1.pdf</v>
      </c>
    </row>
    <row r="3802" spans="1:28" x14ac:dyDescent="0.25">
      <c r="A3802" t="s">
        <v>3806</v>
      </c>
      <c r="B3802">
        <v>0.99352677808782597</v>
      </c>
      <c r="C3802">
        <v>0.66042634517772203</v>
      </c>
      <c r="D3802">
        <v>0.42400762618743498</v>
      </c>
      <c r="E3802">
        <v>0.22757888953069599</v>
      </c>
      <c r="F3802">
        <v>0.17937063158687699</v>
      </c>
      <c r="G3802">
        <v>0.104209093936314</v>
      </c>
      <c r="H3802">
        <v>7.4880405868512301E-2</v>
      </c>
      <c r="I3802">
        <v>7.5336485864374095E-2</v>
      </c>
      <c r="J3802">
        <v>6.5928613666582703E-2</v>
      </c>
      <c r="K3802">
        <v>5.5767551445245797E-2</v>
      </c>
      <c r="L3802">
        <v>788.656810815771</v>
      </c>
      <c r="M3802">
        <v>17.5940318412867</v>
      </c>
      <c r="N3802">
        <v>45.255175811676203</v>
      </c>
      <c r="O3802">
        <v>44.258188333912202</v>
      </c>
      <c r="P3802">
        <v>-9.1738973799915594E-2</v>
      </c>
      <c r="Q3802">
        <v>7.6963904922905196E-2</v>
      </c>
      <c r="R3802">
        <v>0.98361357273382599</v>
      </c>
      <c r="S3802" t="s">
        <v>10087</v>
      </c>
      <c r="T3802" t="s">
        <v>12568</v>
      </c>
      <c r="U3802" t="s">
        <v>12568</v>
      </c>
      <c r="V3802" t="s">
        <v>12568</v>
      </c>
      <c r="W3802" t="s">
        <v>16326</v>
      </c>
      <c r="X3802">
        <v>6</v>
      </c>
      <c r="Y3802" t="s">
        <v>22445</v>
      </c>
      <c r="Z3802" t="s">
        <v>28672</v>
      </c>
      <c r="AA3802">
        <v>0.24681144756083881</v>
      </c>
      <c r="AB3802" t="str">
        <f>HYPERLINK("Melting_Curves/meltCurve_Q7L7V1_DHX32.pdf", "Melting_Curves/meltCurve_Q7L7V1_DHX32.pdf")</f>
        <v>Melting_Curves/meltCurve_Q7L7V1_DHX32.pdf</v>
      </c>
    </row>
    <row r="3803" spans="1:28" x14ac:dyDescent="0.25">
      <c r="A3803" t="s">
        <v>3807</v>
      </c>
      <c r="B3803">
        <v>0.99352677808782597</v>
      </c>
      <c r="C3803">
        <v>0.95379605925745403</v>
      </c>
      <c r="D3803">
        <v>0.94053100793086397</v>
      </c>
      <c r="E3803">
        <v>0.45860534019790899</v>
      </c>
      <c r="F3803">
        <v>0.377000436898347</v>
      </c>
      <c r="G3803">
        <v>0.16408763826860401</v>
      </c>
      <c r="H3803">
        <v>0.13878408315817101</v>
      </c>
      <c r="I3803">
        <v>0.14037281592866699</v>
      </c>
      <c r="J3803">
        <v>9.5904760636924394E-2</v>
      </c>
      <c r="K3803">
        <v>7.6592909570492904E-2</v>
      </c>
      <c r="L3803">
        <v>1045.7924041649101</v>
      </c>
      <c r="M3803">
        <v>20.977978325838802</v>
      </c>
      <c r="N3803">
        <v>50.441560483209798</v>
      </c>
      <c r="O3803">
        <v>49.405532865221801</v>
      </c>
      <c r="P3803">
        <v>-9.4612062469087099E-2</v>
      </c>
      <c r="Q3803">
        <v>0.1087350603634</v>
      </c>
      <c r="R3803">
        <v>0.98566972474982395</v>
      </c>
      <c r="S3803" t="s">
        <v>10088</v>
      </c>
      <c r="T3803" t="s">
        <v>12568</v>
      </c>
      <c r="U3803" t="s">
        <v>12568</v>
      </c>
      <c r="V3803" t="s">
        <v>12568</v>
      </c>
      <c r="W3803" t="s">
        <v>16327</v>
      </c>
      <c r="X3803">
        <v>21</v>
      </c>
      <c r="Y3803" t="s">
        <v>22446</v>
      </c>
      <c r="Z3803" t="s">
        <v>28673</v>
      </c>
      <c r="AA3803">
        <v>0.41272388723601411</v>
      </c>
      <c r="AB3803" t="str">
        <f>HYPERLINK("Melting_Curves/meltCurve_Q7L7X3_TAOK1.pdf", "Melting_Curves/meltCurve_Q7L7X3_TAOK1.pdf")</f>
        <v>Melting_Curves/meltCurve_Q7L7X3_TAOK1.pdf</v>
      </c>
    </row>
    <row r="3804" spans="1:28" x14ac:dyDescent="0.25">
      <c r="A3804" t="s">
        <v>3808</v>
      </c>
      <c r="B3804">
        <v>0.99352677808782597</v>
      </c>
      <c r="C3804">
        <v>1.0244706561417001</v>
      </c>
      <c r="D3804">
        <v>0.98434703405212598</v>
      </c>
      <c r="E3804">
        <v>0.79853604235355302</v>
      </c>
      <c r="F3804">
        <v>0.64669157683284795</v>
      </c>
      <c r="G3804">
        <v>0.46532716849612299</v>
      </c>
      <c r="H3804">
        <v>0.44666222141012801</v>
      </c>
      <c r="I3804">
        <v>0.42727238601277101</v>
      </c>
      <c r="J3804">
        <v>0.482704777277218</v>
      </c>
      <c r="K3804">
        <v>0.3821806559116</v>
      </c>
      <c r="L3804">
        <v>1214.0118548992</v>
      </c>
      <c r="M3804">
        <v>23.521085444762701</v>
      </c>
      <c r="N3804">
        <v>56.192840566362598</v>
      </c>
      <c r="O3804">
        <v>51.245030122449002</v>
      </c>
      <c r="P3804">
        <v>-6.5814443672179396E-2</v>
      </c>
      <c r="Q3804">
        <v>0.42645412511744202</v>
      </c>
      <c r="R3804">
        <v>0.98841071612291098</v>
      </c>
      <c r="S3804" t="s">
        <v>10089</v>
      </c>
      <c r="T3804" t="s">
        <v>12568</v>
      </c>
      <c r="U3804" t="s">
        <v>12568</v>
      </c>
      <c r="V3804" t="s">
        <v>12568</v>
      </c>
      <c r="W3804" t="s">
        <v>16328</v>
      </c>
      <c r="X3804">
        <v>7</v>
      </c>
      <c r="Y3804" t="s">
        <v>22447</v>
      </c>
      <c r="Z3804" t="s">
        <v>28674</v>
      </c>
      <c r="AA3804">
        <v>0.6543550602536935</v>
      </c>
      <c r="AB3804" t="str">
        <f>HYPERLINK("Melting_Curves/meltCurve_Q7L8J4_SH3BP5L.pdf", "Melting_Curves/meltCurve_Q7L8J4_SH3BP5L.pdf")</f>
        <v>Melting_Curves/meltCurve_Q7L8J4_SH3BP5L.pdf</v>
      </c>
    </row>
    <row r="3805" spans="1:28" x14ac:dyDescent="0.25">
      <c r="A3805" t="s">
        <v>3809</v>
      </c>
      <c r="B3805">
        <v>0.99352677808782597</v>
      </c>
      <c r="C3805">
        <v>0.94217112056337904</v>
      </c>
      <c r="D3805">
        <v>0.85955379944906496</v>
      </c>
      <c r="E3805">
        <v>0.23810642911743099</v>
      </c>
      <c r="F3805">
        <v>0.173529195812934</v>
      </c>
      <c r="G3805">
        <v>9.5279732579762397E-2</v>
      </c>
      <c r="H3805">
        <v>6.2486953943427702E-2</v>
      </c>
      <c r="I3805">
        <v>6.1871896438719202E-2</v>
      </c>
      <c r="J3805">
        <v>4.0123870374885497E-2</v>
      </c>
      <c r="K3805">
        <v>3.3842305086150402E-2</v>
      </c>
      <c r="L3805">
        <v>1626.8324998292801</v>
      </c>
      <c r="M3805">
        <v>33.8125585884411</v>
      </c>
      <c r="N3805">
        <v>48.316141372722001</v>
      </c>
      <c r="O3805">
        <v>47.9459111388148</v>
      </c>
      <c r="P3805">
        <v>-0.16463850025806701</v>
      </c>
      <c r="Q3805">
        <v>6.6180117392939705E-2</v>
      </c>
      <c r="R3805">
        <v>0.993083442655875</v>
      </c>
      <c r="S3805" t="s">
        <v>10090</v>
      </c>
      <c r="T3805" t="s">
        <v>12568</v>
      </c>
      <c r="U3805" t="s">
        <v>12568</v>
      </c>
      <c r="V3805" t="s">
        <v>12568</v>
      </c>
      <c r="W3805" t="s">
        <v>16329</v>
      </c>
      <c r="X3805">
        <v>3</v>
      </c>
      <c r="Y3805" t="s">
        <v>22448</v>
      </c>
      <c r="Z3805" t="s">
        <v>28675</v>
      </c>
      <c r="AA3805">
        <v>0.32311544375778273</v>
      </c>
      <c r="AB3805" t="str">
        <f>HYPERLINK("Melting_Curves/meltCurve_Q7L8L6_FASTKD5.pdf", "Melting_Curves/meltCurve_Q7L8L6_FASTKD5.pdf")</f>
        <v>Melting_Curves/meltCurve_Q7L8L6_FASTKD5.pdf</v>
      </c>
    </row>
    <row r="3806" spans="1:28" x14ac:dyDescent="0.25">
      <c r="A3806" t="s">
        <v>3810</v>
      </c>
      <c r="B3806">
        <v>0.99352677808782597</v>
      </c>
      <c r="C3806">
        <v>0.95956511885349904</v>
      </c>
      <c r="D3806">
        <v>0.94361381606888195</v>
      </c>
      <c r="E3806">
        <v>0.44035275388491202</v>
      </c>
      <c r="F3806">
        <v>0.36951888465308103</v>
      </c>
      <c r="G3806">
        <v>0.165815883994339</v>
      </c>
      <c r="H3806">
        <v>0.116897025617066</v>
      </c>
      <c r="I3806">
        <v>0.117119776288033</v>
      </c>
      <c r="J3806">
        <v>9.8405242544336496E-2</v>
      </c>
      <c r="K3806">
        <v>7.1200212946886499E-2</v>
      </c>
      <c r="L3806">
        <v>1063.20282122667</v>
      </c>
      <c r="M3806">
        <v>21.356283592088001</v>
      </c>
      <c r="N3806">
        <v>50.315697517281599</v>
      </c>
      <c r="O3806">
        <v>49.353735245692803</v>
      </c>
      <c r="P3806">
        <v>-9.72561211614308E-2</v>
      </c>
      <c r="Q3806">
        <v>0.100998565894033</v>
      </c>
      <c r="R3806">
        <v>0.98483153902706999</v>
      </c>
      <c r="S3806" t="s">
        <v>10091</v>
      </c>
      <c r="T3806" t="s">
        <v>12568</v>
      </c>
      <c r="U3806" t="s">
        <v>12568</v>
      </c>
      <c r="V3806" t="s">
        <v>12568</v>
      </c>
      <c r="W3806" t="s">
        <v>16330</v>
      </c>
      <c r="X3806">
        <v>7</v>
      </c>
      <c r="Y3806" t="s">
        <v>22449</v>
      </c>
      <c r="Z3806" t="s">
        <v>28676</v>
      </c>
      <c r="AA3806">
        <v>0.40519600244164411</v>
      </c>
      <c r="AB3806" t="str">
        <f>HYPERLINK("Melting_Curves/meltCurve_Q7L8W6_ATPBD4.pdf", "Melting_Curves/meltCurve_Q7L8W6_ATPBD4.pdf")</f>
        <v>Melting_Curves/meltCurve_Q7L8W6_ATPBD4.pdf</v>
      </c>
    </row>
    <row r="3807" spans="1:28" x14ac:dyDescent="0.25">
      <c r="A3807" t="s">
        <v>3811</v>
      </c>
      <c r="B3807">
        <v>0.99352677808782597</v>
      </c>
      <c r="C3807">
        <v>0.97049636353962598</v>
      </c>
      <c r="D3807">
        <v>0.98944084223105599</v>
      </c>
      <c r="E3807">
        <v>0.639727098736522</v>
      </c>
      <c r="F3807">
        <v>0.53753380017674801</v>
      </c>
      <c r="G3807">
        <v>0.33328512031505497</v>
      </c>
      <c r="H3807">
        <v>0.24654233127566699</v>
      </c>
      <c r="I3807">
        <v>0.238728583897417</v>
      </c>
      <c r="J3807">
        <v>0.21492436218598199</v>
      </c>
      <c r="K3807">
        <v>0.187067157977478</v>
      </c>
      <c r="L3807">
        <v>912.56840838584696</v>
      </c>
      <c r="M3807">
        <v>17.705210734463201</v>
      </c>
      <c r="N3807">
        <v>53.083470971312003</v>
      </c>
      <c r="O3807">
        <v>50.898325322730201</v>
      </c>
      <c r="P3807">
        <v>-6.9491513140591904E-2</v>
      </c>
      <c r="Q3807">
        <v>0.200954915000149</v>
      </c>
      <c r="R3807">
        <v>0.98876912528326999</v>
      </c>
      <c r="S3807" t="s">
        <v>10092</v>
      </c>
      <c r="T3807" t="s">
        <v>12568</v>
      </c>
      <c r="U3807" t="s">
        <v>12568</v>
      </c>
      <c r="V3807" t="s">
        <v>12568</v>
      </c>
      <c r="W3807" t="s">
        <v>16331</v>
      </c>
      <c r="X3807">
        <v>26</v>
      </c>
      <c r="Y3807" t="s">
        <v>22450</v>
      </c>
      <c r="Z3807" t="s">
        <v>28677</v>
      </c>
      <c r="AA3807">
        <v>0.52215118552322015</v>
      </c>
      <c r="AB3807" t="str">
        <f>HYPERLINK("Melting_Curves/meltCurve_Q7LBC6_KDM3B.pdf", "Melting_Curves/meltCurve_Q7LBC6_KDM3B.pdf")</f>
        <v>Melting_Curves/meltCurve_Q7LBC6_KDM3B.pdf</v>
      </c>
    </row>
    <row r="3808" spans="1:28" x14ac:dyDescent="0.25">
      <c r="A3808" t="s">
        <v>3812</v>
      </c>
      <c r="B3808">
        <v>0.99352677808782597</v>
      </c>
      <c r="C3808">
        <v>0.96175525095868097</v>
      </c>
      <c r="D3808">
        <v>1.0484783131982001</v>
      </c>
      <c r="E3808">
        <v>0.90120382006772604</v>
      </c>
      <c r="F3808">
        <v>0.84870126386641198</v>
      </c>
      <c r="G3808">
        <v>0.45731018289964098</v>
      </c>
      <c r="H3808">
        <v>0.174257757521565</v>
      </c>
      <c r="I3808">
        <v>0.14244179494135101</v>
      </c>
      <c r="J3808">
        <v>0.11937503816424599</v>
      </c>
      <c r="K3808">
        <v>9.2366405547676597E-2</v>
      </c>
      <c r="L3808">
        <v>1418.2697259172401</v>
      </c>
      <c r="M3808">
        <v>25.299583539972001</v>
      </c>
      <c r="N3808">
        <v>56.519821654600499</v>
      </c>
      <c r="O3808">
        <v>55.712305490505202</v>
      </c>
      <c r="P3808">
        <v>-0.102949202748205</v>
      </c>
      <c r="Q3808">
        <v>9.3192630018910094E-2</v>
      </c>
      <c r="R3808">
        <v>0.99424578891339599</v>
      </c>
      <c r="S3808" t="s">
        <v>10093</v>
      </c>
      <c r="T3808" t="s">
        <v>12568</v>
      </c>
      <c r="U3808" t="s">
        <v>12568</v>
      </c>
      <c r="V3808" t="s">
        <v>12568</v>
      </c>
      <c r="W3808" t="s">
        <v>16332</v>
      </c>
      <c r="X3808">
        <v>6</v>
      </c>
      <c r="Y3808" t="s">
        <v>22451</v>
      </c>
      <c r="Z3808" t="s">
        <v>28678</v>
      </c>
      <c r="AA3808">
        <v>0.58676180755537888</v>
      </c>
      <c r="AB3808" t="str">
        <f>HYPERLINK("Melting_Curves/meltCurve_Q7LBR1_CHMP1B.pdf", "Melting_Curves/meltCurve_Q7LBR1_CHMP1B.pdf")</f>
        <v>Melting_Curves/meltCurve_Q7LBR1_CHMP1B.pdf</v>
      </c>
    </row>
    <row r="3809" spans="1:28" x14ac:dyDescent="0.25">
      <c r="A3809" t="s">
        <v>3813</v>
      </c>
      <c r="B3809">
        <v>0.99352677808782597</v>
      </c>
      <c r="C3809">
        <v>0.99509111681565598</v>
      </c>
      <c r="D3809">
        <v>0.96815869441485103</v>
      </c>
      <c r="E3809">
        <v>0.98950319262948505</v>
      </c>
      <c r="F3809">
        <v>0.87157460273711695</v>
      </c>
      <c r="G3809">
        <v>0.76128922503349195</v>
      </c>
      <c r="H3809">
        <v>0.80788669209606301</v>
      </c>
      <c r="I3809">
        <v>0.75233394184004099</v>
      </c>
      <c r="J3809">
        <v>0.72890299647184598</v>
      </c>
      <c r="K3809">
        <v>0.38208625263834001</v>
      </c>
      <c r="L3809">
        <v>533.45517431960502</v>
      </c>
      <c r="M3809">
        <v>7.5345220178178502</v>
      </c>
      <c r="O3809">
        <v>66.329287563359898</v>
      </c>
      <c r="P3809">
        <v>-2.8438314022100002E-2</v>
      </c>
      <c r="Q3809">
        <v>0</v>
      </c>
      <c r="R3809">
        <v>0.83180898544459403</v>
      </c>
      <c r="S3809" t="s">
        <v>10094</v>
      </c>
      <c r="T3809" t="s">
        <v>12568</v>
      </c>
      <c r="U3809" t="s">
        <v>12568</v>
      </c>
      <c r="V3809" t="s">
        <v>12568</v>
      </c>
      <c r="W3809" t="s">
        <v>16333</v>
      </c>
      <c r="X3809">
        <v>13</v>
      </c>
      <c r="Y3809" t="s">
        <v>22452</v>
      </c>
      <c r="Z3809" t="s">
        <v>28679</v>
      </c>
      <c r="AA3809">
        <v>0.84494037653556697</v>
      </c>
      <c r="AB3809" t="str">
        <f>HYPERLINK("Melting_Curves/meltCurve_Q7LG56_RRM2B.pdf", "Melting_Curves/meltCurve_Q7LG56_RRM2B.pdf")</f>
        <v>Melting_Curves/meltCurve_Q7LG56_RRM2B.pdf</v>
      </c>
    </row>
    <row r="3810" spans="1:28" x14ac:dyDescent="0.25">
      <c r="A3810" t="s">
        <v>3814</v>
      </c>
      <c r="B3810">
        <v>0.99352677808782597</v>
      </c>
      <c r="C3810">
        <v>0.96786569037978498</v>
      </c>
      <c r="D3810">
        <v>0.91843760667589303</v>
      </c>
      <c r="E3810">
        <v>0.68960677151849104</v>
      </c>
      <c r="F3810">
        <v>0.57725363000391805</v>
      </c>
      <c r="G3810">
        <v>0.41369399152049502</v>
      </c>
      <c r="H3810">
        <v>0.37085011016949598</v>
      </c>
      <c r="I3810">
        <v>0.38734787473257198</v>
      </c>
      <c r="J3810">
        <v>0.38757983177435401</v>
      </c>
      <c r="K3810">
        <v>0.30982808644962001</v>
      </c>
      <c r="L3810">
        <v>873.22143773189805</v>
      </c>
      <c r="M3810">
        <v>17.232764534819299</v>
      </c>
      <c r="N3810">
        <v>54.383165194558202</v>
      </c>
      <c r="O3810">
        <v>50.0045725372362</v>
      </c>
      <c r="P3810">
        <v>-5.6372191757859499E-2</v>
      </c>
      <c r="Q3810">
        <v>0.345734178362605</v>
      </c>
      <c r="R3810">
        <v>0.99264114542506199</v>
      </c>
      <c r="S3810" t="s">
        <v>10095</v>
      </c>
      <c r="T3810" t="s">
        <v>12568</v>
      </c>
      <c r="U3810" t="s">
        <v>12568</v>
      </c>
      <c r="V3810" t="s">
        <v>12568</v>
      </c>
      <c r="W3810" t="s">
        <v>16334</v>
      </c>
      <c r="X3810">
        <v>21</v>
      </c>
      <c r="Y3810" t="s">
        <v>22453</v>
      </c>
      <c r="Z3810" t="s">
        <v>28680</v>
      </c>
      <c r="AA3810">
        <v>0.59046107349180277</v>
      </c>
      <c r="AB3810" t="str">
        <f>HYPERLINK("Melting_Curves/meltCurve_Q7RTP6_MICAL3.pdf", "Melting_Curves/meltCurve_Q7RTP6_MICAL3.pdf")</f>
        <v>Melting_Curves/meltCurve_Q7RTP6_MICAL3.pdf</v>
      </c>
    </row>
    <row r="3811" spans="1:28" x14ac:dyDescent="0.25">
      <c r="A3811" t="s">
        <v>3815</v>
      </c>
      <c r="B3811">
        <v>0.99352677808782597</v>
      </c>
      <c r="C3811">
        <v>1.0578685058809401</v>
      </c>
      <c r="D3811">
        <v>0.98075513944572901</v>
      </c>
      <c r="E3811">
        <v>0.37484713187519197</v>
      </c>
      <c r="F3811">
        <v>0.38467969789214002</v>
      </c>
      <c r="G3811">
        <v>0.266227165628865</v>
      </c>
      <c r="H3811">
        <v>0.18165478931044901</v>
      </c>
      <c r="I3811">
        <v>0.29081678081852202</v>
      </c>
      <c r="J3811">
        <v>0.13947902463183401</v>
      </c>
      <c r="K3811">
        <v>0.122721058474087</v>
      </c>
      <c r="L3811">
        <v>2177.5457924735801</v>
      </c>
      <c r="M3811">
        <v>44.7191076341281</v>
      </c>
      <c r="N3811">
        <v>49.345721064066304</v>
      </c>
      <c r="O3811">
        <v>48.596782937810502</v>
      </c>
      <c r="P3811">
        <v>-0.178740786746765</v>
      </c>
      <c r="Q3811">
        <v>0.223042141424169</v>
      </c>
      <c r="R3811">
        <v>0.96025890458513097</v>
      </c>
      <c r="S3811" t="s">
        <v>10096</v>
      </c>
      <c r="T3811" t="s">
        <v>12568</v>
      </c>
      <c r="U3811" t="s">
        <v>12568</v>
      </c>
      <c r="V3811" t="s">
        <v>12568</v>
      </c>
      <c r="W3811" t="s">
        <v>16335</v>
      </c>
      <c r="X3811">
        <v>1</v>
      </c>
      <c r="Y3811" t="s">
        <v>22454</v>
      </c>
      <c r="Z3811" t="s">
        <v>28681</v>
      </c>
      <c r="AA3811">
        <v>0.45029103375778951</v>
      </c>
      <c r="AB3811" t="str">
        <f>HYPERLINK("Melting_Curves/meltCurve_Q7RTS9_DYM.pdf", "Melting_Curves/meltCurve_Q7RTS9_DYM.pdf")</f>
        <v>Melting_Curves/meltCurve_Q7RTS9_DYM.pdf</v>
      </c>
    </row>
    <row r="3812" spans="1:28" x14ac:dyDescent="0.25">
      <c r="A3812" t="s">
        <v>3816</v>
      </c>
      <c r="B3812">
        <v>0.99352677808782597</v>
      </c>
      <c r="C3812">
        <v>0.96060579913410804</v>
      </c>
      <c r="D3812">
        <v>0.95045528290996395</v>
      </c>
      <c r="E3812">
        <v>1.95571108130973</v>
      </c>
      <c r="F3812">
        <v>1.79066800747768</v>
      </c>
      <c r="G3812">
        <v>1.5508908060865101</v>
      </c>
      <c r="H3812">
        <v>1.0392897606948299</v>
      </c>
      <c r="I3812">
        <v>1.06961972997933</v>
      </c>
      <c r="J3812">
        <v>1.02875419373941</v>
      </c>
      <c r="K3812">
        <v>0.819275539688051</v>
      </c>
      <c r="L3812">
        <v>15000</v>
      </c>
      <c r="M3812">
        <v>212.77424766919901</v>
      </c>
      <c r="Q3812">
        <v>0</v>
      </c>
      <c r="R3812">
        <v>-0.30521714926201798</v>
      </c>
      <c r="S3812" t="s">
        <v>10097</v>
      </c>
      <c r="T3812" t="s">
        <v>12568</v>
      </c>
      <c r="U3812" t="s">
        <v>12568</v>
      </c>
      <c r="V3812" t="s">
        <v>12568</v>
      </c>
      <c r="W3812" t="s">
        <v>16336</v>
      </c>
      <c r="X3812">
        <v>9</v>
      </c>
      <c r="Y3812" t="s">
        <v>22455</v>
      </c>
      <c r="Z3812" t="s">
        <v>28682</v>
      </c>
      <c r="AA3812">
        <v>0.99785049385753344</v>
      </c>
      <c r="AB3812" t="str">
        <f>HYPERLINK("Melting_Curves/meltCurve_Q7RTV0_PHF5A.pdf", "Melting_Curves/meltCurve_Q7RTV0_PHF5A.pdf")</f>
        <v>Melting_Curves/meltCurve_Q7RTV0_PHF5A.pdf</v>
      </c>
    </row>
    <row r="3813" spans="1:28" x14ac:dyDescent="0.25">
      <c r="A3813" t="s">
        <v>3817</v>
      </c>
      <c r="B3813">
        <v>0.99352677808782597</v>
      </c>
      <c r="C3813">
        <v>0.88383955754699595</v>
      </c>
      <c r="D3813">
        <v>0.75341325697072203</v>
      </c>
      <c r="E3813">
        <v>0.25122886762803698</v>
      </c>
      <c r="F3813">
        <v>0.16278041656818101</v>
      </c>
      <c r="G3813">
        <v>0.111859408232795</v>
      </c>
      <c r="H3813">
        <v>5.3015942638398698E-2</v>
      </c>
      <c r="I3813">
        <v>6.54674668529521E-2</v>
      </c>
      <c r="J3813">
        <v>5.5287165765645102E-2</v>
      </c>
      <c r="K3813">
        <v>3.4627463540391701E-2</v>
      </c>
      <c r="L3813">
        <v>1118.6590562394799</v>
      </c>
      <c r="M3813">
        <v>23.485260090050001</v>
      </c>
      <c r="N3813">
        <v>47.885101062978499</v>
      </c>
      <c r="O3813">
        <v>47.291064506997898</v>
      </c>
      <c r="P3813">
        <v>-0.11691855540569</v>
      </c>
      <c r="Q3813">
        <v>5.8284541038341901E-2</v>
      </c>
      <c r="R3813">
        <v>0.99378794973308804</v>
      </c>
      <c r="S3813" t="s">
        <v>10098</v>
      </c>
      <c r="T3813" t="s">
        <v>12568</v>
      </c>
      <c r="U3813" t="s">
        <v>12568</v>
      </c>
      <c r="V3813" t="s">
        <v>12568</v>
      </c>
      <c r="W3813" t="s">
        <v>16337</v>
      </c>
      <c r="X3813">
        <v>5</v>
      </c>
      <c r="Y3813" t="s">
        <v>22456</v>
      </c>
      <c r="Z3813" t="s">
        <v>28683</v>
      </c>
      <c r="AA3813">
        <v>0.30741018291929162</v>
      </c>
      <c r="AB3813" t="str">
        <f>HYPERLINK("Melting_Curves/meltCurve_Q7Z2E3_3_APTX.pdf", "Melting_Curves/meltCurve_Q7Z2E3_3_APTX.pdf")</f>
        <v>Melting_Curves/meltCurve_Q7Z2E3_3_APTX.pdf</v>
      </c>
    </row>
    <row r="3814" spans="1:28" x14ac:dyDescent="0.25">
      <c r="A3814" t="s">
        <v>3818</v>
      </c>
      <c r="B3814">
        <v>0.99352677808782597</v>
      </c>
      <c r="C3814">
        <v>0.96235380714145502</v>
      </c>
      <c r="D3814">
        <v>0.96282847065260802</v>
      </c>
      <c r="E3814">
        <v>0.885890462151674</v>
      </c>
      <c r="F3814">
        <v>0.82329100151162005</v>
      </c>
      <c r="G3814">
        <v>0.75095385029511796</v>
      </c>
      <c r="H3814">
        <v>0.72883855633282602</v>
      </c>
      <c r="I3814">
        <v>0.78278296479171805</v>
      </c>
      <c r="J3814">
        <v>0.82994801852828703</v>
      </c>
      <c r="K3814">
        <v>0.71152166082553203</v>
      </c>
      <c r="L3814">
        <v>994.65768669829697</v>
      </c>
      <c r="M3814">
        <v>19.894835144333999</v>
      </c>
      <c r="O3814">
        <v>49.498888139517703</v>
      </c>
      <c r="P3814">
        <v>-2.4457031563241499E-2</v>
      </c>
      <c r="Q3814">
        <v>0.75660917622244195</v>
      </c>
      <c r="R3814">
        <v>0.889985250203009</v>
      </c>
      <c r="S3814" t="s">
        <v>10099</v>
      </c>
      <c r="T3814" t="s">
        <v>12568</v>
      </c>
      <c r="U3814" t="s">
        <v>12568</v>
      </c>
      <c r="V3814" t="s">
        <v>12568</v>
      </c>
      <c r="W3814" t="s">
        <v>16338</v>
      </c>
      <c r="X3814">
        <v>23</v>
      </c>
      <c r="Y3814" t="s">
        <v>22457</v>
      </c>
      <c r="Z3814" t="s">
        <v>28684</v>
      </c>
      <c r="AA3814">
        <v>0.84112855609024306</v>
      </c>
      <c r="AB3814" t="str">
        <f>HYPERLINK("Melting_Curves/meltCurve_Q7Z2K8_GPRIN1.pdf", "Melting_Curves/meltCurve_Q7Z2K8_GPRIN1.pdf")</f>
        <v>Melting_Curves/meltCurve_Q7Z2K8_GPRIN1.pdf</v>
      </c>
    </row>
    <row r="3815" spans="1:28" x14ac:dyDescent="0.25">
      <c r="A3815" t="s">
        <v>3819</v>
      </c>
      <c r="B3815">
        <v>0.99352677808782597</v>
      </c>
      <c r="C3815">
        <v>0.90036622931239296</v>
      </c>
      <c r="D3815">
        <v>0.75056084416297497</v>
      </c>
      <c r="E3815">
        <v>0.42891652114717299</v>
      </c>
      <c r="F3815">
        <v>0.37246394246019598</v>
      </c>
      <c r="G3815">
        <v>0.29167690453284401</v>
      </c>
      <c r="H3815">
        <v>0.232617409018466</v>
      </c>
      <c r="I3815">
        <v>0.24925805698783601</v>
      </c>
      <c r="J3815">
        <v>0.221729184622872</v>
      </c>
      <c r="K3815">
        <v>0.19165856483220001</v>
      </c>
      <c r="L3815">
        <v>824.74474822193099</v>
      </c>
      <c r="M3815">
        <v>17.259787811926401</v>
      </c>
      <c r="N3815">
        <v>49.461543878265999</v>
      </c>
      <c r="O3815">
        <v>47.156582838386903</v>
      </c>
      <c r="P3815">
        <v>-7.1235468528541304E-2</v>
      </c>
      <c r="Q3815">
        <v>0.22153754001607001</v>
      </c>
      <c r="R3815">
        <v>0.99363008530303198</v>
      </c>
      <c r="S3815" t="s">
        <v>10100</v>
      </c>
      <c r="T3815" t="s">
        <v>12568</v>
      </c>
      <c r="U3815" t="s">
        <v>12568</v>
      </c>
      <c r="V3815" t="s">
        <v>12568</v>
      </c>
      <c r="W3815" t="s">
        <v>16339</v>
      </c>
      <c r="X3815">
        <v>22</v>
      </c>
      <c r="Y3815" t="s">
        <v>22458</v>
      </c>
      <c r="Z3815" t="s">
        <v>28685</v>
      </c>
      <c r="AA3815">
        <v>0.43871633553811129</v>
      </c>
      <c r="AB3815" t="str">
        <f>HYPERLINK("Melting_Curves/meltCurve_Q7Z2W4_ZC3HAV1.pdf", "Melting_Curves/meltCurve_Q7Z2W4_ZC3HAV1.pdf")</f>
        <v>Melting_Curves/meltCurve_Q7Z2W4_ZC3HAV1.pdf</v>
      </c>
    </row>
    <row r="3816" spans="1:28" x14ac:dyDescent="0.25">
      <c r="A3816" t="s">
        <v>3820</v>
      </c>
      <c r="B3816">
        <v>0.99352677808782597</v>
      </c>
      <c r="C3816">
        <v>0.95264407617462898</v>
      </c>
      <c r="D3816">
        <v>0.90113193839778005</v>
      </c>
      <c r="E3816">
        <v>0.75847892785942095</v>
      </c>
      <c r="F3816">
        <v>0.687703663123439</v>
      </c>
      <c r="G3816">
        <v>0.62107986005344495</v>
      </c>
      <c r="H3816">
        <v>0.55890310074404403</v>
      </c>
      <c r="I3816">
        <v>0.52561065989457401</v>
      </c>
      <c r="J3816">
        <v>0.61566270578364102</v>
      </c>
      <c r="K3816">
        <v>0.51969906568128699</v>
      </c>
      <c r="L3816">
        <v>701.19553692386796</v>
      </c>
      <c r="M3816">
        <v>14.030991869920401</v>
      </c>
      <c r="O3816">
        <v>48.992470442146299</v>
      </c>
      <c r="P3816">
        <v>-3.2997577719547103E-2</v>
      </c>
      <c r="Q3816">
        <v>0.53918559616712802</v>
      </c>
      <c r="R3816">
        <v>0.97707839210479597</v>
      </c>
      <c r="S3816" t="s">
        <v>10101</v>
      </c>
      <c r="T3816" t="s">
        <v>12568</v>
      </c>
      <c r="U3816" t="s">
        <v>12568</v>
      </c>
      <c r="V3816" t="s">
        <v>12568</v>
      </c>
      <c r="W3816" t="s">
        <v>16340</v>
      </c>
      <c r="X3816">
        <v>14</v>
      </c>
      <c r="Y3816" t="s">
        <v>22458</v>
      </c>
      <c r="Z3816" t="s">
        <v>28686</v>
      </c>
      <c r="AA3816">
        <v>0.70476037395952951</v>
      </c>
      <c r="AB3816" t="str">
        <f>HYPERLINK("Melting_Curves/meltCurve_Q7Z2W4_3_ZC3HAV1.pdf", "Melting_Curves/meltCurve_Q7Z2W4_3_ZC3HAV1.pdf")</f>
        <v>Melting_Curves/meltCurve_Q7Z2W4_3_ZC3HAV1.pdf</v>
      </c>
    </row>
    <row r="3817" spans="1:28" x14ac:dyDescent="0.25">
      <c r="A3817" t="s">
        <v>3821</v>
      </c>
      <c r="B3817">
        <v>0.99352677808782597</v>
      </c>
      <c r="C3817">
        <v>0.93872080009463499</v>
      </c>
      <c r="D3817">
        <v>0.92472897822833</v>
      </c>
      <c r="E3817">
        <v>0.39570274684490703</v>
      </c>
      <c r="F3817">
        <v>0.31571946019542002</v>
      </c>
      <c r="G3817">
        <v>0.196858140226154</v>
      </c>
      <c r="H3817">
        <v>0.12911407771028399</v>
      </c>
      <c r="I3817">
        <v>0.115164542163761</v>
      </c>
      <c r="J3817">
        <v>9.2544244069205306E-2</v>
      </c>
      <c r="K3817">
        <v>7.2384425792086399E-2</v>
      </c>
      <c r="L3817">
        <v>1153.03194816319</v>
      </c>
      <c r="M3817">
        <v>23.443002894243701</v>
      </c>
      <c r="N3817">
        <v>49.735498076463699</v>
      </c>
      <c r="O3817">
        <v>48.830767647906498</v>
      </c>
      <c r="P3817">
        <v>-0.10629701752776199</v>
      </c>
      <c r="Q3817">
        <v>0.11436662762645999</v>
      </c>
      <c r="R3817">
        <v>0.98413653552392699</v>
      </c>
      <c r="S3817" t="s">
        <v>10102</v>
      </c>
      <c r="T3817" t="s">
        <v>12568</v>
      </c>
      <c r="U3817" t="s">
        <v>12568</v>
      </c>
      <c r="V3817" t="s">
        <v>12568</v>
      </c>
      <c r="W3817" t="s">
        <v>16341</v>
      </c>
      <c r="X3817">
        <v>24</v>
      </c>
      <c r="Y3817" t="s">
        <v>22459</v>
      </c>
      <c r="Z3817" t="s">
        <v>28687</v>
      </c>
      <c r="AA3817">
        <v>0.394467522336375</v>
      </c>
      <c r="AB3817" t="str">
        <f>HYPERLINK("Melting_Curves/meltCurve_Q7Z2Z2_EFTUD1.pdf", "Melting_Curves/meltCurve_Q7Z2Z2_EFTUD1.pdf")</f>
        <v>Melting_Curves/meltCurve_Q7Z2Z2_EFTUD1.pdf</v>
      </c>
    </row>
    <row r="3818" spans="1:28" x14ac:dyDescent="0.25">
      <c r="A3818" t="s">
        <v>3822</v>
      </c>
      <c r="B3818">
        <v>0.99352677808782597</v>
      </c>
      <c r="C3818">
        <v>0.96463421260475901</v>
      </c>
      <c r="D3818">
        <v>1.00548825116706</v>
      </c>
      <c r="E3818">
        <v>0.80557833170087101</v>
      </c>
      <c r="F3818">
        <v>0.76776390752548196</v>
      </c>
      <c r="G3818">
        <v>0.63904383822773703</v>
      </c>
      <c r="H3818">
        <v>0.56811953271288695</v>
      </c>
      <c r="I3818">
        <v>0.69459567110008402</v>
      </c>
      <c r="J3818">
        <v>0.66495069039522203</v>
      </c>
      <c r="K3818">
        <v>0.56529839733693599</v>
      </c>
      <c r="L3818">
        <v>1102.03761045082</v>
      </c>
      <c r="M3818">
        <v>21.6908176751604</v>
      </c>
      <c r="O3818">
        <v>50.380722451105697</v>
      </c>
      <c r="P3818">
        <v>-4.0929352469615501E-2</v>
      </c>
      <c r="Q3818">
        <v>0.61974664874085095</v>
      </c>
      <c r="R3818">
        <v>0.92625113172088402</v>
      </c>
      <c r="S3818" t="s">
        <v>10103</v>
      </c>
      <c r="T3818" t="s">
        <v>12568</v>
      </c>
      <c r="U3818" t="s">
        <v>12568</v>
      </c>
      <c r="V3818" t="s">
        <v>12568</v>
      </c>
      <c r="W3818" t="s">
        <v>16342</v>
      </c>
      <c r="X3818">
        <v>5</v>
      </c>
      <c r="Y3818" t="s">
        <v>22460</v>
      </c>
      <c r="Z3818" t="s">
        <v>28688</v>
      </c>
      <c r="AA3818">
        <v>0.76124561943661484</v>
      </c>
      <c r="AB3818" t="str">
        <f>HYPERLINK("Melting_Curves/meltCurve_Q7Z309_FAM122B.pdf", "Melting_Curves/meltCurve_Q7Z309_FAM122B.pdf")</f>
        <v>Melting_Curves/meltCurve_Q7Z309_FAM122B.pdf</v>
      </c>
    </row>
    <row r="3819" spans="1:28" x14ac:dyDescent="0.25">
      <c r="A3819" t="s">
        <v>3823</v>
      </c>
      <c r="B3819">
        <v>0.99352677808782597</v>
      </c>
      <c r="C3819">
        <v>0.91435905877900303</v>
      </c>
      <c r="D3819">
        <v>0.85593530794544903</v>
      </c>
      <c r="E3819">
        <v>0.74872484573099496</v>
      </c>
      <c r="F3819">
        <v>0.72104460332306197</v>
      </c>
      <c r="G3819">
        <v>0.56500176454139694</v>
      </c>
      <c r="H3819">
        <v>0.50025765994472504</v>
      </c>
      <c r="I3819">
        <v>0.53915003672749895</v>
      </c>
      <c r="J3819">
        <v>0.51669065370866896</v>
      </c>
      <c r="K3819">
        <v>0.44482664544771</v>
      </c>
      <c r="L3819">
        <v>498.24313333242702</v>
      </c>
      <c r="M3819">
        <v>9.6603420184824493</v>
      </c>
      <c r="N3819">
        <v>64.817432400364396</v>
      </c>
      <c r="O3819">
        <v>49.511444926369499</v>
      </c>
      <c r="P3819">
        <v>-2.77940261805888E-2</v>
      </c>
      <c r="Q3819">
        <v>0.43051329347675099</v>
      </c>
      <c r="R3819">
        <v>0.97736297771454705</v>
      </c>
      <c r="S3819" t="s">
        <v>10104</v>
      </c>
      <c r="T3819" t="s">
        <v>12568</v>
      </c>
      <c r="U3819" t="s">
        <v>12568</v>
      </c>
      <c r="V3819" t="s">
        <v>12568</v>
      </c>
      <c r="W3819" t="s">
        <v>16343</v>
      </c>
      <c r="X3819">
        <v>15</v>
      </c>
      <c r="Y3819" t="s">
        <v>22461</v>
      </c>
      <c r="Z3819" t="s">
        <v>28689</v>
      </c>
      <c r="AA3819">
        <v>0.67366162225638182</v>
      </c>
      <c r="AB3819" t="str">
        <f>HYPERLINK("Melting_Curves/meltCurve_Q7Z333_3_SETX.pdf", "Melting_Curves/meltCurve_Q7Z333_3_SETX.pdf")</f>
        <v>Melting_Curves/meltCurve_Q7Z333_3_SETX.pdf</v>
      </c>
    </row>
    <row r="3820" spans="1:28" x14ac:dyDescent="0.25">
      <c r="A3820" t="s">
        <v>3824</v>
      </c>
      <c r="B3820">
        <v>0.99352677808782597</v>
      </c>
      <c r="C3820">
        <v>1.0025803172141301</v>
      </c>
      <c r="D3820">
        <v>0.84826917243584898</v>
      </c>
      <c r="E3820">
        <v>0.370683833291442</v>
      </c>
      <c r="F3820">
        <v>0.28666503068271099</v>
      </c>
      <c r="G3820">
        <v>0.15555817028079899</v>
      </c>
      <c r="H3820">
        <v>0.11011134673690599</v>
      </c>
      <c r="I3820">
        <v>9.2817807390615598E-2</v>
      </c>
      <c r="J3820">
        <v>9.0633675944506803E-2</v>
      </c>
      <c r="K3820">
        <v>6.3877782630985203E-2</v>
      </c>
      <c r="L3820">
        <v>1140.4073858766601</v>
      </c>
      <c r="M3820">
        <v>23.360115899485201</v>
      </c>
      <c r="N3820">
        <v>49.281703388195801</v>
      </c>
      <c r="O3820">
        <v>48.465054077780401</v>
      </c>
      <c r="P3820">
        <v>-0.10862618350203899</v>
      </c>
      <c r="Q3820">
        <v>9.8552600774859805E-2</v>
      </c>
      <c r="R3820">
        <v>0.99164314636621198</v>
      </c>
      <c r="S3820" t="s">
        <v>10105</v>
      </c>
      <c r="T3820" t="s">
        <v>12568</v>
      </c>
      <c r="U3820" t="s">
        <v>12568</v>
      </c>
      <c r="V3820" t="s">
        <v>12568</v>
      </c>
      <c r="W3820" t="s">
        <v>16344</v>
      </c>
      <c r="X3820">
        <v>4</v>
      </c>
      <c r="Y3820" t="s">
        <v>22462</v>
      </c>
      <c r="Z3820" t="s">
        <v>28690</v>
      </c>
      <c r="AA3820">
        <v>0.37271856761839761</v>
      </c>
      <c r="AB3820" t="str">
        <f>HYPERLINK("Melting_Curves/meltCurve_Q7Z350_DKFZp686L0695.pdf", "Melting_Curves/meltCurve_Q7Z350_DKFZp686L0695.pdf")</f>
        <v>Melting_Curves/meltCurve_Q7Z350_DKFZp686L0695.pdf</v>
      </c>
    </row>
    <row r="3821" spans="1:28" x14ac:dyDescent="0.25">
      <c r="A3821" t="s">
        <v>3825</v>
      </c>
      <c r="B3821">
        <v>0.99352677808782597</v>
      </c>
      <c r="C3821">
        <v>0.89327025673648996</v>
      </c>
      <c r="D3821">
        <v>0.72397853639514098</v>
      </c>
      <c r="E3821">
        <v>0.345655302572349</v>
      </c>
      <c r="F3821">
        <v>0.28259733254235098</v>
      </c>
      <c r="G3821">
        <v>0.164736629827718</v>
      </c>
      <c r="H3821">
        <v>0.115436960847088</v>
      </c>
      <c r="I3821">
        <v>0.112672332853607</v>
      </c>
      <c r="J3821">
        <v>9.9759184098390505E-2</v>
      </c>
      <c r="K3821">
        <v>7.4462287229933199E-2</v>
      </c>
      <c r="L3821">
        <v>837.28208277358306</v>
      </c>
      <c r="M3821">
        <v>17.464510530181101</v>
      </c>
      <c r="N3821">
        <v>48.536125862713298</v>
      </c>
      <c r="O3821">
        <v>47.326592863502199</v>
      </c>
      <c r="P3821">
        <v>-8.3380248428647302E-2</v>
      </c>
      <c r="Q3821">
        <v>9.6250933009862802E-2</v>
      </c>
      <c r="R3821">
        <v>0.99498735022253704</v>
      </c>
      <c r="S3821" t="s">
        <v>10106</v>
      </c>
      <c r="T3821" t="s">
        <v>12568</v>
      </c>
      <c r="U3821" t="s">
        <v>12568</v>
      </c>
      <c r="V3821" t="s">
        <v>12568</v>
      </c>
      <c r="W3821" t="s">
        <v>16345</v>
      </c>
      <c r="X3821">
        <v>9</v>
      </c>
      <c r="Y3821" t="s">
        <v>22463</v>
      </c>
      <c r="Z3821" t="s">
        <v>28691</v>
      </c>
      <c r="AA3821">
        <v>0.35260958931122538</v>
      </c>
      <c r="AB3821" t="str">
        <f>HYPERLINK("Melting_Curves/meltCurve_Q7Z392_TRAPPC11.pdf", "Melting_Curves/meltCurve_Q7Z392_TRAPPC11.pdf")</f>
        <v>Melting_Curves/meltCurve_Q7Z392_TRAPPC11.pdf</v>
      </c>
    </row>
    <row r="3822" spans="1:28" x14ac:dyDescent="0.25">
      <c r="A3822" t="s">
        <v>3826</v>
      </c>
      <c r="B3822">
        <v>0.99352677808782597</v>
      </c>
      <c r="C3822">
        <v>0.955772820911716</v>
      </c>
      <c r="D3822">
        <v>1.0046302822600699</v>
      </c>
      <c r="E3822">
        <v>0.72689857805792102</v>
      </c>
      <c r="F3822">
        <v>0.68225083986444202</v>
      </c>
      <c r="G3822">
        <v>0.69740190949876602</v>
      </c>
      <c r="H3822">
        <v>0.49365535058189502</v>
      </c>
      <c r="I3822">
        <v>0.50314304756170602</v>
      </c>
      <c r="J3822">
        <v>0.59202041463189203</v>
      </c>
      <c r="K3822">
        <v>0.53889591990899399</v>
      </c>
      <c r="L3822">
        <v>878.097355932357</v>
      </c>
      <c r="M3822">
        <v>17.374606146289999</v>
      </c>
      <c r="O3822">
        <v>49.883880630996202</v>
      </c>
      <c r="P3822">
        <v>-4.0093229789016499E-2</v>
      </c>
      <c r="Q3822">
        <v>0.53958266893929696</v>
      </c>
      <c r="R3822">
        <v>0.917584283433453</v>
      </c>
      <c r="S3822" t="s">
        <v>10107</v>
      </c>
      <c r="T3822" t="s">
        <v>12568</v>
      </c>
      <c r="U3822" t="s">
        <v>12568</v>
      </c>
      <c r="V3822" t="s">
        <v>12568</v>
      </c>
      <c r="W3822" t="s">
        <v>16346</v>
      </c>
      <c r="X3822">
        <v>1</v>
      </c>
      <c r="Y3822" t="s">
        <v>22464</v>
      </c>
      <c r="Z3822" t="s">
        <v>28692</v>
      </c>
      <c r="AA3822">
        <v>0.70965196185929103</v>
      </c>
      <c r="AB3822" t="str">
        <f>HYPERLINK("Melting_Curves/meltCurve_Q7Z3B3_KANSL1.pdf", "Melting_Curves/meltCurve_Q7Z3B3_KANSL1.pdf")</f>
        <v>Melting_Curves/meltCurve_Q7Z3B3_KANSL1.pdf</v>
      </c>
    </row>
    <row r="3823" spans="1:28" x14ac:dyDescent="0.25">
      <c r="A3823" t="s">
        <v>3827</v>
      </c>
      <c r="B3823">
        <v>0.99352677808782597</v>
      </c>
      <c r="C3823">
        <v>0.98276937590595004</v>
      </c>
      <c r="D3823">
        <v>0.93570140352991804</v>
      </c>
      <c r="E3823">
        <v>0.87384168416049401</v>
      </c>
      <c r="F3823">
        <v>0.76792388281954405</v>
      </c>
      <c r="G3823">
        <v>0.57297273537219295</v>
      </c>
      <c r="H3823">
        <v>0.45319723772228498</v>
      </c>
      <c r="I3823">
        <v>0.38805106389156602</v>
      </c>
      <c r="J3823">
        <v>0.467800157340727</v>
      </c>
      <c r="K3823">
        <v>0.38209794646126399</v>
      </c>
      <c r="L3823">
        <v>885.95563652340104</v>
      </c>
      <c r="M3823">
        <v>16.3356167294172</v>
      </c>
      <c r="N3823">
        <v>59.4531368197053</v>
      </c>
      <c r="O3823">
        <v>53.441389354117902</v>
      </c>
      <c r="P3823">
        <v>-4.7321119655495299E-2</v>
      </c>
      <c r="Q3823">
        <v>0.38080731635755999</v>
      </c>
      <c r="R3823">
        <v>0.98757350457735704</v>
      </c>
      <c r="S3823" t="s">
        <v>10108</v>
      </c>
      <c r="T3823" t="s">
        <v>12568</v>
      </c>
      <c r="U3823" t="s">
        <v>12568</v>
      </c>
      <c r="V3823" t="s">
        <v>12568</v>
      </c>
      <c r="W3823" t="s">
        <v>16347</v>
      </c>
      <c r="X3823">
        <v>12</v>
      </c>
      <c r="Y3823" t="s">
        <v>22465</v>
      </c>
      <c r="Z3823" t="s">
        <v>28693</v>
      </c>
      <c r="AA3823">
        <v>0.68586575332708699</v>
      </c>
      <c r="AB3823" t="str">
        <f>HYPERLINK("Melting_Curves/meltCurve_Q7Z3E2_C10orf118.pdf", "Melting_Curves/meltCurve_Q7Z3E2_C10orf118.pdf")</f>
        <v>Melting_Curves/meltCurve_Q7Z3E2_C10orf118.pdf</v>
      </c>
    </row>
    <row r="3824" spans="1:28" x14ac:dyDescent="0.25">
      <c r="A3824" t="s">
        <v>3828</v>
      </c>
      <c r="B3824">
        <v>0.99352677808782597</v>
      </c>
      <c r="C3824">
        <v>0.99150082124854799</v>
      </c>
      <c r="D3824">
        <v>0.66158531026890999</v>
      </c>
      <c r="E3824">
        <v>0.433854066042557</v>
      </c>
      <c r="F3824">
        <v>0.335113610616462</v>
      </c>
      <c r="G3824">
        <v>0.21419521269904401</v>
      </c>
      <c r="H3824">
        <v>0.21139128477508701</v>
      </c>
      <c r="I3824">
        <v>0.19958983060374699</v>
      </c>
      <c r="J3824">
        <v>0.158902266993448</v>
      </c>
      <c r="K3824">
        <v>8.64420043634513E-2</v>
      </c>
      <c r="L3824">
        <v>816.17434755963598</v>
      </c>
      <c r="M3824">
        <v>17.002616484273499</v>
      </c>
      <c r="N3824">
        <v>49.093862689959103</v>
      </c>
      <c r="O3824">
        <v>47.353593840015598</v>
      </c>
      <c r="P3824">
        <v>-7.5646038765343093E-2</v>
      </c>
      <c r="Q3824">
        <v>0.15733191555248099</v>
      </c>
      <c r="R3824">
        <v>0.97881990105763805</v>
      </c>
      <c r="S3824" t="s">
        <v>10109</v>
      </c>
      <c r="T3824" t="s">
        <v>12568</v>
      </c>
      <c r="U3824" t="s">
        <v>12568</v>
      </c>
      <c r="V3824" t="s">
        <v>12568</v>
      </c>
      <c r="W3824" t="s">
        <v>16348</v>
      </c>
      <c r="X3824">
        <v>4</v>
      </c>
      <c r="Y3824" t="s">
        <v>22466</v>
      </c>
      <c r="Z3824" t="s">
        <v>28694</v>
      </c>
      <c r="AA3824">
        <v>0.3989511670796525</v>
      </c>
      <c r="AB3824" t="str">
        <f>HYPERLINK("Melting_Curves/meltCurve_Q7Z3E5_ARMC9.pdf", "Melting_Curves/meltCurve_Q7Z3E5_ARMC9.pdf")</f>
        <v>Melting_Curves/meltCurve_Q7Z3E5_ARMC9.pdf</v>
      </c>
    </row>
    <row r="3825" spans="1:28" x14ac:dyDescent="0.25">
      <c r="A3825" t="s">
        <v>3829</v>
      </c>
      <c r="B3825">
        <v>0.99352677808782597</v>
      </c>
      <c r="C3825">
        <v>0.89135499206489499</v>
      </c>
      <c r="D3825">
        <v>1.0112265887573</v>
      </c>
      <c r="E3825">
        <v>0.87656189329378298</v>
      </c>
      <c r="F3825">
        <v>0.79728755723651801</v>
      </c>
      <c r="G3825">
        <v>0.56059411659974301</v>
      </c>
      <c r="H3825">
        <v>0.45583318943172801</v>
      </c>
      <c r="I3825">
        <v>0.44230225513420302</v>
      </c>
      <c r="J3825">
        <v>0.40862269986826999</v>
      </c>
      <c r="K3825">
        <v>0.336407545340208</v>
      </c>
      <c r="L3825">
        <v>871.49508990236598</v>
      </c>
      <c r="M3825">
        <v>15.8347816945268</v>
      </c>
      <c r="N3825">
        <v>59.538361490640398</v>
      </c>
      <c r="O3825">
        <v>54.181423388823099</v>
      </c>
      <c r="P3825">
        <v>-4.7569303975708098E-2</v>
      </c>
      <c r="Q3825">
        <v>0.34898702556017702</v>
      </c>
      <c r="R3825">
        <v>0.97398803572551496</v>
      </c>
      <c r="S3825" t="s">
        <v>10110</v>
      </c>
      <c r="T3825" t="s">
        <v>12568</v>
      </c>
      <c r="U3825" t="s">
        <v>12568</v>
      </c>
      <c r="V3825" t="s">
        <v>12568</v>
      </c>
      <c r="W3825" t="s">
        <v>16349</v>
      </c>
      <c r="X3825">
        <v>3</v>
      </c>
      <c r="Y3825" t="s">
        <v>22467</v>
      </c>
      <c r="Z3825" t="s">
        <v>28695</v>
      </c>
      <c r="AA3825">
        <v>0.68708720805900658</v>
      </c>
      <c r="AB3825" t="str">
        <f>HYPERLINK("Melting_Curves/meltCurve_Q7Z3G6_PRICKLE2.pdf", "Melting_Curves/meltCurve_Q7Z3G6_PRICKLE2.pdf")</f>
        <v>Melting_Curves/meltCurve_Q7Z3G6_PRICKLE2.pdf</v>
      </c>
    </row>
    <row r="3826" spans="1:28" x14ac:dyDescent="0.25">
      <c r="A3826" t="s">
        <v>3830</v>
      </c>
      <c r="B3826">
        <v>0.99352677808782597</v>
      </c>
      <c r="C3826">
        <v>0.88512828450056402</v>
      </c>
      <c r="D3826">
        <v>0.80046942521948605</v>
      </c>
      <c r="E3826">
        <v>0.40875894708742799</v>
      </c>
      <c r="F3826">
        <v>0.32612002798814899</v>
      </c>
      <c r="G3826">
        <v>0.150315441148866</v>
      </c>
      <c r="H3826">
        <v>7.3838775260469294E-2</v>
      </c>
      <c r="I3826">
        <v>6.6407002723847794E-2</v>
      </c>
      <c r="J3826">
        <v>5.0803171896253899E-2</v>
      </c>
      <c r="K3826">
        <v>3.9608476777454001E-2</v>
      </c>
      <c r="L3826">
        <v>753.68035576923603</v>
      </c>
      <c r="M3826">
        <v>15.282960876592099</v>
      </c>
      <c r="N3826">
        <v>49.551320405739901</v>
      </c>
      <c r="O3826">
        <v>48.493864353361197</v>
      </c>
      <c r="P3826">
        <v>-7.6026903224095194E-2</v>
      </c>
      <c r="Q3826">
        <v>3.5136624123777702E-2</v>
      </c>
      <c r="R3826">
        <v>0.99356236536059195</v>
      </c>
      <c r="S3826" t="s">
        <v>10111</v>
      </c>
      <c r="T3826" t="s">
        <v>12568</v>
      </c>
      <c r="U3826" t="s">
        <v>12568</v>
      </c>
      <c r="V3826" t="s">
        <v>12568</v>
      </c>
      <c r="W3826" t="s">
        <v>16350</v>
      </c>
      <c r="X3826">
        <v>6</v>
      </c>
      <c r="Y3826" t="s">
        <v>22468</v>
      </c>
      <c r="Z3826" t="s">
        <v>28696</v>
      </c>
      <c r="AA3826">
        <v>0.35747038618703658</v>
      </c>
      <c r="AB3826" t="str">
        <f>HYPERLINK("Melting_Curves/meltCurve_Q7Z3J2_C16orf62.pdf", "Melting_Curves/meltCurve_Q7Z3J2_C16orf62.pdf")</f>
        <v>Melting_Curves/meltCurve_Q7Z3J2_C16orf62.pdf</v>
      </c>
    </row>
    <row r="3827" spans="1:28" x14ac:dyDescent="0.25">
      <c r="A3827" t="s">
        <v>3831</v>
      </c>
      <c r="B3827">
        <v>0.99352677808782597</v>
      </c>
      <c r="C3827">
        <v>0.92559928625049104</v>
      </c>
      <c r="D3827">
        <v>0.77417034350736202</v>
      </c>
      <c r="E3827">
        <v>0.50380182121699202</v>
      </c>
      <c r="F3827">
        <v>0.37544378958754099</v>
      </c>
      <c r="G3827">
        <v>0.35886264537384199</v>
      </c>
      <c r="H3827">
        <v>0.16438234223974901</v>
      </c>
      <c r="I3827">
        <v>0.271895126853267</v>
      </c>
      <c r="J3827">
        <v>0.30383570326127302</v>
      </c>
      <c r="K3827">
        <v>0.23515334649153799</v>
      </c>
      <c r="L3827">
        <v>843.46528458352702</v>
      </c>
      <c r="M3827">
        <v>17.4850176786296</v>
      </c>
      <c r="N3827">
        <v>50.206814797007198</v>
      </c>
      <c r="O3827">
        <v>47.621596856428901</v>
      </c>
      <c r="P3827">
        <v>-6.9030464360069793E-2</v>
      </c>
      <c r="Q3827">
        <v>0.24800554236887201</v>
      </c>
      <c r="R3827">
        <v>0.97807900485713095</v>
      </c>
      <c r="S3827" t="s">
        <v>10112</v>
      </c>
      <c r="T3827" t="s">
        <v>12568</v>
      </c>
      <c r="U3827" t="s">
        <v>12568</v>
      </c>
      <c r="V3827" t="s">
        <v>12568</v>
      </c>
      <c r="W3827" t="s">
        <v>16351</v>
      </c>
      <c r="X3827">
        <v>1</v>
      </c>
      <c r="Y3827" t="s">
        <v>22469</v>
      </c>
      <c r="Z3827" t="s">
        <v>28697</v>
      </c>
      <c r="AA3827">
        <v>0.46860382460287248</v>
      </c>
      <c r="AB3827" t="str">
        <f>HYPERLINK("Melting_Curves/meltCurve_Q7Z3K6_4_MIER3.pdf", "Melting_Curves/meltCurve_Q7Z3K6_4_MIER3.pdf")</f>
        <v>Melting_Curves/meltCurve_Q7Z3K6_4_MIER3.pdf</v>
      </c>
    </row>
    <row r="3828" spans="1:28" x14ac:dyDescent="0.25">
      <c r="A3828" t="s">
        <v>3832</v>
      </c>
      <c r="B3828">
        <v>0.99352677808782597</v>
      </c>
      <c r="C3828">
        <v>0.98910113688431101</v>
      </c>
      <c r="D3828">
        <v>1.00937457720393</v>
      </c>
      <c r="E3828">
        <v>0.88143408635951903</v>
      </c>
      <c r="F3828">
        <v>0.77572689771898795</v>
      </c>
      <c r="G3828">
        <v>0.545750761198453</v>
      </c>
      <c r="H3828">
        <v>0.46282913318966901</v>
      </c>
      <c r="I3828">
        <v>0.46924129655149799</v>
      </c>
      <c r="J3828">
        <v>0.50356842644199495</v>
      </c>
      <c r="K3828">
        <v>0.41862040016416802</v>
      </c>
      <c r="L3828">
        <v>1236.97375072619</v>
      </c>
      <c r="M3828">
        <v>23.1319442909187</v>
      </c>
      <c r="N3828">
        <v>59.422235594427697</v>
      </c>
      <c r="O3828">
        <v>53.079859767171598</v>
      </c>
      <c r="P3828">
        <v>-5.9854307144446499E-2</v>
      </c>
      <c r="Q3828">
        <v>0.45062978966513101</v>
      </c>
      <c r="R3828">
        <v>0.98963239701524797</v>
      </c>
      <c r="S3828" t="s">
        <v>10113</v>
      </c>
      <c r="T3828" t="s">
        <v>12568</v>
      </c>
      <c r="U3828" t="s">
        <v>12568</v>
      </c>
      <c r="V3828" t="s">
        <v>12568</v>
      </c>
      <c r="W3828" t="s">
        <v>16352</v>
      </c>
      <c r="X3828">
        <v>27</v>
      </c>
      <c r="Y3828" t="s">
        <v>22470</v>
      </c>
      <c r="Z3828" t="s">
        <v>28698</v>
      </c>
      <c r="AA3828">
        <v>0.70322832464612073</v>
      </c>
      <c r="AB3828" t="str">
        <f>HYPERLINK("Melting_Curves/meltCurve_Q7Z3T8_ZFYVE16.pdf", "Melting_Curves/meltCurve_Q7Z3T8_ZFYVE16.pdf")</f>
        <v>Melting_Curves/meltCurve_Q7Z3T8_ZFYVE16.pdf</v>
      </c>
    </row>
    <row r="3829" spans="1:28" x14ac:dyDescent="0.25">
      <c r="A3829" t="s">
        <v>3833</v>
      </c>
      <c r="B3829">
        <v>0.99352677808782597</v>
      </c>
      <c r="C3829">
        <v>0.92958481751477495</v>
      </c>
      <c r="D3829">
        <v>0.79845011942648503</v>
      </c>
      <c r="E3829">
        <v>0.319488821413343</v>
      </c>
      <c r="F3829">
        <v>0.296420772083752</v>
      </c>
      <c r="G3829">
        <v>0.19287516773788599</v>
      </c>
      <c r="H3829">
        <v>9.3341533268795601E-2</v>
      </c>
      <c r="I3829">
        <v>0.101015330496721</v>
      </c>
      <c r="J3829">
        <v>9.3655015030234906E-2</v>
      </c>
      <c r="K3829">
        <v>4.3365046982134302E-2</v>
      </c>
      <c r="L3829">
        <v>950.72838276740504</v>
      </c>
      <c r="M3829">
        <v>19.663570130930999</v>
      </c>
      <c r="N3829">
        <v>48.857729856639601</v>
      </c>
      <c r="O3829">
        <v>47.858006953196103</v>
      </c>
      <c r="P3829">
        <v>-9.3224952403905298E-2</v>
      </c>
      <c r="Q3829">
        <v>9.2452677143290599E-2</v>
      </c>
      <c r="R3829">
        <v>0.98449541314680999</v>
      </c>
      <c r="S3829" t="s">
        <v>10114</v>
      </c>
      <c r="T3829" t="s">
        <v>12568</v>
      </c>
      <c r="U3829" t="s">
        <v>12568</v>
      </c>
      <c r="V3829" t="s">
        <v>12568</v>
      </c>
      <c r="W3829" t="s">
        <v>16353</v>
      </c>
      <c r="X3829">
        <v>4</v>
      </c>
      <c r="Y3829" t="s">
        <v>22471</v>
      </c>
      <c r="Z3829" t="s">
        <v>28699</v>
      </c>
      <c r="AA3829">
        <v>0.35832279098085518</v>
      </c>
      <c r="AB3829" t="str">
        <f>HYPERLINK("Melting_Curves/meltCurve_Q7Z3V4_UBE3B.pdf", "Melting_Curves/meltCurve_Q7Z3V4_UBE3B.pdf")</f>
        <v>Melting_Curves/meltCurve_Q7Z3V4_UBE3B.pdf</v>
      </c>
    </row>
    <row r="3830" spans="1:28" x14ac:dyDescent="0.25">
      <c r="A3830" t="s">
        <v>3834</v>
      </c>
      <c r="B3830">
        <v>0.99352677808782597</v>
      </c>
      <c r="C3830">
        <v>1.0787344803227701</v>
      </c>
      <c r="D3830">
        <v>0.88709760855346598</v>
      </c>
      <c r="E3830">
        <v>0.43830416918314102</v>
      </c>
      <c r="F3830">
        <v>0.307883134354696</v>
      </c>
      <c r="G3830">
        <v>0.211078818623817</v>
      </c>
      <c r="H3830">
        <v>8.84877552220526E-2</v>
      </c>
      <c r="I3830">
        <v>8.2607221492372401E-2</v>
      </c>
      <c r="J3830">
        <v>7.2823801625571505E-2</v>
      </c>
      <c r="K3830">
        <v>5.5068858175529901E-2</v>
      </c>
      <c r="L3830">
        <v>1104.9069113514199</v>
      </c>
      <c r="M3830">
        <v>22.277405840413699</v>
      </c>
      <c r="N3830">
        <v>50.0334020945389</v>
      </c>
      <c r="O3830">
        <v>49.203173932551401</v>
      </c>
      <c r="P3830">
        <v>-0.103212032896601</v>
      </c>
      <c r="Q3830">
        <v>8.81788276091163E-2</v>
      </c>
      <c r="R3830">
        <v>0.98324776463808705</v>
      </c>
      <c r="S3830" t="s">
        <v>10115</v>
      </c>
      <c r="T3830" t="s">
        <v>12568</v>
      </c>
      <c r="U3830" t="s">
        <v>12568</v>
      </c>
      <c r="V3830" t="s">
        <v>12568</v>
      </c>
      <c r="W3830" t="s">
        <v>16354</v>
      </c>
      <c r="X3830">
        <v>44</v>
      </c>
      <c r="Y3830" t="s">
        <v>22472</v>
      </c>
      <c r="Z3830" t="s">
        <v>28700</v>
      </c>
      <c r="AA3830">
        <v>0.39014052186178122</v>
      </c>
      <c r="AB3830" t="str">
        <f>HYPERLINK("Melting_Curves/meltCurve_Q7Z406_6_MYH14.pdf", "Melting_Curves/meltCurve_Q7Z406_6_MYH14.pdf")</f>
        <v>Melting_Curves/meltCurve_Q7Z406_6_MYH14.pdf</v>
      </c>
    </row>
    <row r="3831" spans="1:28" x14ac:dyDescent="0.25">
      <c r="A3831" t="s">
        <v>3835</v>
      </c>
      <c r="B3831">
        <v>0.99352677808782597</v>
      </c>
      <c r="C3831">
        <v>0.88920841830774899</v>
      </c>
      <c r="D3831">
        <v>0.91027532588819005</v>
      </c>
      <c r="E3831">
        <v>0.94929513649840802</v>
      </c>
      <c r="F3831">
        <v>0.86367967260877798</v>
      </c>
      <c r="G3831">
        <v>0.83203323023700504</v>
      </c>
      <c r="H3831">
        <v>0.77957569223190204</v>
      </c>
      <c r="I3831">
        <v>0.78981834774620996</v>
      </c>
      <c r="J3831">
        <v>0.88163523860043003</v>
      </c>
      <c r="K3831">
        <v>0.74609225756250397</v>
      </c>
      <c r="L3831">
        <v>271.39587467427299</v>
      </c>
      <c r="M3831">
        <v>4.9330147695137603</v>
      </c>
      <c r="O3831">
        <v>47.864201014305003</v>
      </c>
      <c r="P3831">
        <v>-7.50418858274672E-3</v>
      </c>
      <c r="Q3831">
        <v>0.710609586352557</v>
      </c>
      <c r="R3831">
        <v>0.65948799359974097</v>
      </c>
      <c r="S3831" t="s">
        <v>10116</v>
      </c>
      <c r="T3831" t="s">
        <v>12568</v>
      </c>
      <c r="U3831" t="s">
        <v>12568</v>
      </c>
      <c r="V3831" t="s">
        <v>12568</v>
      </c>
      <c r="W3831" t="s">
        <v>16355</v>
      </c>
      <c r="X3831">
        <v>26</v>
      </c>
      <c r="Y3831" t="s">
        <v>22473</v>
      </c>
      <c r="Z3831" t="s">
        <v>28701</v>
      </c>
      <c r="AA3831">
        <v>0.86239255023755013</v>
      </c>
      <c r="AB3831" t="str">
        <f>HYPERLINK("Melting_Curves/meltCurve_Q7Z417_NUFIP2.pdf", "Melting_Curves/meltCurve_Q7Z417_NUFIP2.pdf")</f>
        <v>Melting_Curves/meltCurve_Q7Z417_NUFIP2.pdf</v>
      </c>
    </row>
    <row r="3832" spans="1:28" x14ac:dyDescent="0.25">
      <c r="A3832" t="s">
        <v>3836</v>
      </c>
      <c r="B3832">
        <v>0.99352677808782597</v>
      </c>
      <c r="C3832">
        <v>0.98630978148730597</v>
      </c>
      <c r="D3832">
        <v>1.02945763058902</v>
      </c>
      <c r="E3832">
        <v>0.95360718808076395</v>
      </c>
      <c r="F3832">
        <v>0.92439589522226195</v>
      </c>
      <c r="G3832">
        <v>0.83748075720677095</v>
      </c>
      <c r="H3832">
        <v>0.80921354302763604</v>
      </c>
      <c r="I3832">
        <v>0.89388975930949799</v>
      </c>
      <c r="J3832">
        <v>0.89206184604067595</v>
      </c>
      <c r="K3832">
        <v>0.76302148738392295</v>
      </c>
      <c r="L3832">
        <v>1558.79551107668</v>
      </c>
      <c r="M3832">
        <v>29.6156944322558</v>
      </c>
      <c r="O3832">
        <v>52.3958762212389</v>
      </c>
      <c r="P3832">
        <v>-2.3086954421334401E-2</v>
      </c>
      <c r="Q3832">
        <v>0.83662003105789995</v>
      </c>
      <c r="R3832">
        <v>0.78218201013997302</v>
      </c>
      <c r="S3832" t="s">
        <v>10117</v>
      </c>
      <c r="T3832" t="s">
        <v>12568</v>
      </c>
      <c r="U3832" t="s">
        <v>12568</v>
      </c>
      <c r="V3832" t="s">
        <v>12568</v>
      </c>
      <c r="W3832" t="s">
        <v>16356</v>
      </c>
      <c r="X3832">
        <v>7</v>
      </c>
      <c r="Y3832" t="s">
        <v>22474</v>
      </c>
      <c r="Z3832" t="s">
        <v>28702</v>
      </c>
      <c r="AA3832">
        <v>0.90650638042553411</v>
      </c>
      <c r="AB3832" t="str">
        <f>HYPERLINK("Melting_Curves/meltCurve_Q7Z422_2_SZRD1.pdf", "Melting_Curves/meltCurve_Q7Z422_2_SZRD1.pdf")</f>
        <v>Melting_Curves/meltCurve_Q7Z422_2_SZRD1.pdf</v>
      </c>
    </row>
    <row r="3833" spans="1:28" x14ac:dyDescent="0.25">
      <c r="A3833" t="s">
        <v>3837</v>
      </c>
      <c r="B3833">
        <v>0.99352677808782597</v>
      </c>
      <c r="C3833">
        <v>0.95168075201971203</v>
      </c>
      <c r="D3833">
        <v>1.0297505413016099</v>
      </c>
      <c r="E3833">
        <v>1.0460097242451101</v>
      </c>
      <c r="F3833">
        <v>0.97374483233683296</v>
      </c>
      <c r="G3833">
        <v>0.866853940996267</v>
      </c>
      <c r="H3833">
        <v>0.77764650512131495</v>
      </c>
      <c r="I3833">
        <v>0.74365021424522404</v>
      </c>
      <c r="J3833">
        <v>0.67817987996345297</v>
      </c>
      <c r="K3833">
        <v>0.59237118248467202</v>
      </c>
      <c r="L3833">
        <v>877.76293950591105</v>
      </c>
      <c r="M3833">
        <v>14.1558129780747</v>
      </c>
      <c r="O3833">
        <v>60.809133533766598</v>
      </c>
      <c r="P3833">
        <v>-2.6877945197275599E-2</v>
      </c>
      <c r="Q3833">
        <v>0.53821993425941905</v>
      </c>
      <c r="R3833">
        <v>0.95601263605957398</v>
      </c>
      <c r="S3833" t="s">
        <v>10118</v>
      </c>
      <c r="T3833" t="s">
        <v>12568</v>
      </c>
      <c r="U3833" t="s">
        <v>12568</v>
      </c>
      <c r="V3833" t="s">
        <v>12568</v>
      </c>
      <c r="W3833" t="s">
        <v>16357</v>
      </c>
      <c r="X3833">
        <v>6</v>
      </c>
      <c r="Y3833" t="s">
        <v>22475</v>
      </c>
      <c r="Z3833" t="s">
        <v>28703</v>
      </c>
      <c r="AA3833">
        <v>0.8747930720935585</v>
      </c>
      <c r="AB3833" t="str">
        <f>HYPERLINK("Melting_Curves/meltCurve_Q7Z434_MAVS.pdf", "Melting_Curves/meltCurve_Q7Z434_MAVS.pdf")</f>
        <v>Melting_Curves/meltCurve_Q7Z434_MAVS.pdf</v>
      </c>
    </row>
    <row r="3834" spans="1:28" x14ac:dyDescent="0.25">
      <c r="A3834" t="s">
        <v>3838</v>
      </c>
      <c r="B3834">
        <v>0.99352677808782597</v>
      </c>
      <c r="C3834">
        <v>0.92395187908804999</v>
      </c>
      <c r="D3834">
        <v>0.90535051264590305</v>
      </c>
      <c r="E3834">
        <v>0.54357869516147295</v>
      </c>
      <c r="F3834">
        <v>0.48830751924529697</v>
      </c>
      <c r="G3834">
        <v>0.37380461555598699</v>
      </c>
      <c r="H3834">
        <v>0.24588612369611601</v>
      </c>
      <c r="I3834">
        <v>0.23278489214894199</v>
      </c>
      <c r="J3834">
        <v>0.17821435560475399</v>
      </c>
      <c r="K3834">
        <v>0.15174024074296999</v>
      </c>
      <c r="L3834">
        <v>658.28480463808603</v>
      </c>
      <c r="M3834">
        <v>12.907443863973</v>
      </c>
      <c r="N3834">
        <v>52.505557214260399</v>
      </c>
      <c r="O3834">
        <v>49.822752049731299</v>
      </c>
      <c r="P3834">
        <v>-5.4761411413094402E-2</v>
      </c>
      <c r="Q3834">
        <v>0.154636879665602</v>
      </c>
      <c r="R3834">
        <v>0.98242657331306205</v>
      </c>
      <c r="S3834" t="s">
        <v>10119</v>
      </c>
      <c r="T3834" t="s">
        <v>12568</v>
      </c>
      <c r="U3834" t="s">
        <v>12568</v>
      </c>
      <c r="V3834" t="s">
        <v>12568</v>
      </c>
      <c r="W3834" t="s">
        <v>16358</v>
      </c>
      <c r="X3834">
        <v>26</v>
      </c>
      <c r="Y3834" t="s">
        <v>22476</v>
      </c>
      <c r="Z3834" t="s">
        <v>28704</v>
      </c>
      <c r="AA3834">
        <v>0.48938530803564062</v>
      </c>
      <c r="AB3834" t="str">
        <f>HYPERLINK("Melting_Curves/meltCurve_Q7Z460_CLASP1.pdf", "Melting_Curves/meltCurve_Q7Z460_CLASP1.pdf")</f>
        <v>Melting_Curves/meltCurve_Q7Z460_CLASP1.pdf</v>
      </c>
    </row>
    <row r="3835" spans="1:28" x14ac:dyDescent="0.25">
      <c r="A3835" t="s">
        <v>3839</v>
      </c>
      <c r="B3835">
        <v>0.99352677808782597</v>
      </c>
      <c r="C3835">
        <v>0.96316159652569699</v>
      </c>
      <c r="D3835">
        <v>0.93079140985127296</v>
      </c>
      <c r="E3835">
        <v>0.55304169119804902</v>
      </c>
      <c r="F3835">
        <v>0.46400215741898299</v>
      </c>
      <c r="G3835">
        <v>0.25502319892824599</v>
      </c>
      <c r="H3835">
        <v>0.19500836415697001</v>
      </c>
      <c r="I3835">
        <v>0.20635851258312199</v>
      </c>
      <c r="J3835">
        <v>0.18600017205259001</v>
      </c>
      <c r="K3835">
        <v>0.15851689276022499</v>
      </c>
      <c r="L3835">
        <v>931.62509079844097</v>
      </c>
      <c r="M3835">
        <v>18.481089628757601</v>
      </c>
      <c r="N3835">
        <v>51.599537294515201</v>
      </c>
      <c r="O3835">
        <v>49.830548938715502</v>
      </c>
      <c r="P3835">
        <v>-7.6636121934256202E-2</v>
      </c>
      <c r="Q3835">
        <v>0.17350106534989199</v>
      </c>
      <c r="R3835">
        <v>0.99056497134958099</v>
      </c>
      <c r="S3835" t="s">
        <v>10120</v>
      </c>
      <c r="T3835" t="s">
        <v>12568</v>
      </c>
      <c r="U3835" t="s">
        <v>12568</v>
      </c>
      <c r="V3835" t="s">
        <v>12568</v>
      </c>
      <c r="W3835" t="s">
        <v>16359</v>
      </c>
      <c r="X3835">
        <v>18</v>
      </c>
      <c r="Y3835" t="s">
        <v>22477</v>
      </c>
      <c r="Z3835" t="s">
        <v>28705</v>
      </c>
      <c r="AA3835">
        <v>0.47363492378031441</v>
      </c>
      <c r="AB3835" t="str">
        <f>HYPERLINK("Melting_Curves/meltCurve_Q7Z478_DHX29.pdf", "Melting_Curves/meltCurve_Q7Z478_DHX29.pdf")</f>
        <v>Melting_Curves/meltCurve_Q7Z478_DHX29.pdf</v>
      </c>
    </row>
    <row r="3836" spans="1:28" x14ac:dyDescent="0.25">
      <c r="A3836" t="s">
        <v>3840</v>
      </c>
      <c r="B3836">
        <v>0.99352677808782597</v>
      </c>
      <c r="C3836">
        <v>1.01449089971599</v>
      </c>
      <c r="D3836">
        <v>1.00668513438816</v>
      </c>
      <c r="E3836">
        <v>0.94841519666361396</v>
      </c>
      <c r="F3836">
        <v>0.837190456833527</v>
      </c>
      <c r="G3836">
        <v>0.68380952867234002</v>
      </c>
      <c r="H3836">
        <v>0.40979022790744002</v>
      </c>
      <c r="I3836">
        <v>0.352978613583949</v>
      </c>
      <c r="J3836">
        <v>0.32486433644934498</v>
      </c>
      <c r="K3836">
        <v>0.25127057623028898</v>
      </c>
      <c r="L3836">
        <v>1000.60659719068</v>
      </c>
      <c r="M3836">
        <v>17.378602798106201</v>
      </c>
      <c r="N3836">
        <v>59.757040755231003</v>
      </c>
      <c r="O3836">
        <v>56.830777630972896</v>
      </c>
      <c r="P3836">
        <v>-5.8504083993320903E-2</v>
      </c>
      <c r="Q3836">
        <v>0.23477295832533199</v>
      </c>
      <c r="R3836">
        <v>0.994981334920222</v>
      </c>
      <c r="S3836" t="s">
        <v>10121</v>
      </c>
      <c r="T3836" t="s">
        <v>12568</v>
      </c>
      <c r="U3836" t="s">
        <v>12568</v>
      </c>
      <c r="V3836" t="s">
        <v>12568</v>
      </c>
      <c r="W3836" t="s">
        <v>16360</v>
      </c>
      <c r="X3836">
        <v>2</v>
      </c>
      <c r="Y3836" t="s">
        <v>22478</v>
      </c>
      <c r="Z3836" t="s">
        <v>28706</v>
      </c>
      <c r="AA3836">
        <v>0.69333709246563291</v>
      </c>
      <c r="AB3836" t="str">
        <f>HYPERLINK("Melting_Curves/meltCurve_Q7Z4G1_COMMD6.pdf", "Melting_Curves/meltCurve_Q7Z4G1_COMMD6.pdf")</f>
        <v>Melting_Curves/meltCurve_Q7Z4G1_COMMD6.pdf</v>
      </c>
    </row>
    <row r="3837" spans="1:28" x14ac:dyDescent="0.25">
      <c r="A3837" t="s">
        <v>3841</v>
      </c>
      <c r="B3837">
        <v>0.99352677808782597</v>
      </c>
      <c r="C3837">
        <v>1.0122306033789901</v>
      </c>
      <c r="D3837">
        <v>0.89139506186042605</v>
      </c>
      <c r="E3837">
        <v>0.67295845354912098</v>
      </c>
      <c r="F3837">
        <v>0.54359180035343402</v>
      </c>
      <c r="G3837">
        <v>0.204948823590726</v>
      </c>
      <c r="H3837">
        <v>0.12690388516809001</v>
      </c>
      <c r="I3837">
        <v>0.123072825728202</v>
      </c>
      <c r="J3837">
        <v>9.7647625779871405E-2</v>
      </c>
      <c r="K3837">
        <v>8.1909663850789793E-2</v>
      </c>
      <c r="L3837">
        <v>880.00084894032705</v>
      </c>
      <c r="M3837">
        <v>16.829544222709099</v>
      </c>
      <c r="N3837">
        <v>52.729265657809997</v>
      </c>
      <c r="O3837">
        <v>51.567507793855398</v>
      </c>
      <c r="P3837">
        <v>-7.6247380684385593E-2</v>
      </c>
      <c r="Q3837">
        <v>6.5539750519166398E-2</v>
      </c>
      <c r="R3837">
        <v>0.99308560908897603</v>
      </c>
      <c r="S3837" t="s">
        <v>10122</v>
      </c>
      <c r="T3837" t="s">
        <v>12568</v>
      </c>
      <c r="U3837" t="s">
        <v>12568</v>
      </c>
      <c r="V3837" t="s">
        <v>12568</v>
      </c>
      <c r="W3837" t="s">
        <v>16361</v>
      </c>
      <c r="X3837">
        <v>5</v>
      </c>
      <c r="Y3837" t="s">
        <v>22479</v>
      </c>
      <c r="Z3837" t="s">
        <v>28707</v>
      </c>
      <c r="AA3837">
        <v>0.46562319363177251</v>
      </c>
      <c r="AB3837" t="str">
        <f>HYPERLINK("Melting_Curves/meltCurve_Q7Z4G4_2_TRMT11.pdf", "Melting_Curves/meltCurve_Q7Z4G4_2_TRMT11.pdf")</f>
        <v>Melting_Curves/meltCurve_Q7Z4G4_2_TRMT11.pdf</v>
      </c>
    </row>
    <row r="3838" spans="1:28" x14ac:dyDescent="0.25">
      <c r="A3838" t="s">
        <v>3842</v>
      </c>
      <c r="B3838">
        <v>0.99352677808782597</v>
      </c>
      <c r="C3838">
        <v>0.99348999396896998</v>
      </c>
      <c r="D3838">
        <v>0.97737761496133302</v>
      </c>
      <c r="E3838">
        <v>0.79390109609802695</v>
      </c>
      <c r="F3838">
        <v>0.74325488088074299</v>
      </c>
      <c r="G3838">
        <v>0.55547697596587398</v>
      </c>
      <c r="H3838">
        <v>0.36158423664849598</v>
      </c>
      <c r="I3838">
        <v>0.27381074681179002</v>
      </c>
      <c r="J3838">
        <v>0.13632003804869999</v>
      </c>
      <c r="K3838">
        <v>0.16957683948862201</v>
      </c>
      <c r="L3838">
        <v>635.32397435358303</v>
      </c>
      <c r="M3838">
        <v>11.0101446645038</v>
      </c>
      <c r="N3838">
        <v>57.827490074366899</v>
      </c>
      <c r="O3838">
        <v>55.897965928637298</v>
      </c>
      <c r="P3838">
        <v>-4.8684114417469997E-2</v>
      </c>
      <c r="Q3838">
        <v>1.16647886412621E-2</v>
      </c>
      <c r="R3838">
        <v>0.99206180293584501</v>
      </c>
      <c r="S3838" t="s">
        <v>10123</v>
      </c>
      <c r="T3838" t="s">
        <v>12568</v>
      </c>
      <c r="U3838" t="s">
        <v>12568</v>
      </c>
      <c r="V3838" t="s">
        <v>12568</v>
      </c>
      <c r="W3838" t="s">
        <v>16362</v>
      </c>
      <c r="X3838">
        <v>8</v>
      </c>
      <c r="Y3838" t="s">
        <v>22480</v>
      </c>
      <c r="Z3838" t="s">
        <v>28708</v>
      </c>
      <c r="AA3838">
        <v>0.60792391408732915</v>
      </c>
      <c r="AB3838" t="str">
        <f>HYPERLINK("Melting_Curves/meltCurve_Q7Z4H3_HDDC2.pdf", "Melting_Curves/meltCurve_Q7Z4H3_HDDC2.pdf")</f>
        <v>Melting_Curves/meltCurve_Q7Z4H3_HDDC2.pdf</v>
      </c>
    </row>
    <row r="3839" spans="1:28" x14ac:dyDescent="0.25">
      <c r="A3839" t="s">
        <v>3843</v>
      </c>
      <c r="B3839">
        <v>0.99352677808782597</v>
      </c>
      <c r="C3839">
        <v>0.95038097582692604</v>
      </c>
      <c r="D3839">
        <v>0.85186548676283602</v>
      </c>
      <c r="E3839">
        <v>0.64905858223063895</v>
      </c>
      <c r="F3839">
        <v>0.57561266018253399</v>
      </c>
      <c r="G3839">
        <v>0.47055148417272702</v>
      </c>
      <c r="H3839">
        <v>0.39447258733069801</v>
      </c>
      <c r="I3839">
        <v>0.41441820810031699</v>
      </c>
      <c r="J3839">
        <v>0.43806394237949497</v>
      </c>
      <c r="K3839">
        <v>0.39500015594047799</v>
      </c>
      <c r="L3839">
        <v>762.53010149485306</v>
      </c>
      <c r="M3839">
        <v>15.461858509025401</v>
      </c>
      <c r="N3839">
        <v>54.987180504605398</v>
      </c>
      <c r="O3839">
        <v>48.513992405958398</v>
      </c>
      <c r="P3839">
        <v>-4.7931065536936102E-2</v>
      </c>
      <c r="Q3839">
        <v>0.39848916981057803</v>
      </c>
      <c r="R3839">
        <v>0.99372855441498997</v>
      </c>
      <c r="S3839" t="s">
        <v>10124</v>
      </c>
      <c r="T3839" t="s">
        <v>12568</v>
      </c>
      <c r="U3839" t="s">
        <v>12568</v>
      </c>
      <c r="V3839" t="s">
        <v>12568</v>
      </c>
      <c r="W3839" t="s">
        <v>16363</v>
      </c>
      <c r="X3839">
        <v>23</v>
      </c>
      <c r="Y3839" t="s">
        <v>22481</v>
      </c>
      <c r="Z3839" t="s">
        <v>28709</v>
      </c>
      <c r="AA3839">
        <v>0.59916722174224157</v>
      </c>
      <c r="AB3839" t="str">
        <f>HYPERLINK("Melting_Curves/meltCurve_Q7Z4H7_HAUS6.pdf", "Melting_Curves/meltCurve_Q7Z4H7_HAUS6.pdf")</f>
        <v>Melting_Curves/meltCurve_Q7Z4H7_HAUS6.pdf</v>
      </c>
    </row>
    <row r="3840" spans="1:28" x14ac:dyDescent="0.25">
      <c r="A3840" t="s">
        <v>3844</v>
      </c>
      <c r="B3840">
        <v>0.99352677808782597</v>
      </c>
      <c r="C3840">
        <v>0.86494691317976002</v>
      </c>
      <c r="D3840">
        <v>0.93548294328380199</v>
      </c>
      <c r="E3840">
        <v>0.29803199590496199</v>
      </c>
      <c r="F3840">
        <v>0.214195074724148</v>
      </c>
      <c r="G3840">
        <v>0.11467042259295</v>
      </c>
      <c r="H3840">
        <v>6.5983929085684997E-2</v>
      </c>
      <c r="I3840">
        <v>6.3360551270602805E-2</v>
      </c>
      <c r="J3840">
        <v>5.32445453886016E-2</v>
      </c>
      <c r="K3840">
        <v>3.7274395293047803E-2</v>
      </c>
      <c r="L3840">
        <v>1605.1366430784101</v>
      </c>
      <c r="M3840">
        <v>32.986547113143303</v>
      </c>
      <c r="N3840">
        <v>48.900315869604398</v>
      </c>
      <c r="O3840">
        <v>48.482549720984203</v>
      </c>
      <c r="P3840">
        <v>-0.157384759378248</v>
      </c>
      <c r="Q3840">
        <v>7.4728211117972801E-2</v>
      </c>
      <c r="R3840">
        <v>0.97891116608770201</v>
      </c>
      <c r="S3840" t="s">
        <v>10125</v>
      </c>
      <c r="T3840" t="s">
        <v>12568</v>
      </c>
      <c r="U3840" t="s">
        <v>12568</v>
      </c>
      <c r="V3840" t="s">
        <v>12568</v>
      </c>
      <c r="W3840" t="s">
        <v>16364</v>
      </c>
      <c r="X3840">
        <v>8</v>
      </c>
      <c r="Y3840" t="s">
        <v>22482</v>
      </c>
      <c r="Z3840" t="s">
        <v>28710</v>
      </c>
      <c r="AA3840">
        <v>0.34644958677977011</v>
      </c>
      <c r="AB3840" t="str">
        <f>HYPERLINK("Melting_Curves/meltCurve_Q7Z4H8_KDELC2.pdf", "Melting_Curves/meltCurve_Q7Z4H8_KDELC2.pdf")</f>
        <v>Melting_Curves/meltCurve_Q7Z4H8_KDELC2.pdf</v>
      </c>
    </row>
    <row r="3841" spans="1:28" x14ac:dyDescent="0.25">
      <c r="A3841" t="s">
        <v>3845</v>
      </c>
      <c r="B3841">
        <v>0.99352677808782597</v>
      </c>
      <c r="C3841">
        <v>1.16994950084919</v>
      </c>
      <c r="D3841">
        <v>1.0502918527643099</v>
      </c>
      <c r="E3841">
        <v>1.2007251607676599</v>
      </c>
      <c r="F3841">
        <v>0.66426016953524103</v>
      </c>
      <c r="G3841">
        <v>1.03376700889017</v>
      </c>
      <c r="H3841">
        <v>0.43043672184505399</v>
      </c>
      <c r="I3841">
        <v>0.53853390783840305</v>
      </c>
      <c r="J3841">
        <v>0.47528227801676898</v>
      </c>
      <c r="K3841">
        <v>0.59345022860636598</v>
      </c>
      <c r="L3841">
        <v>14710.087115353401</v>
      </c>
      <c r="M3841">
        <v>250</v>
      </c>
      <c r="O3841">
        <v>58.836572701496699</v>
      </c>
      <c r="P3841">
        <v>-0.52113230384984799</v>
      </c>
      <c r="Q3841">
        <v>0.50941369496677702</v>
      </c>
      <c r="R3841">
        <v>0.75536997229618297</v>
      </c>
      <c r="S3841" t="s">
        <v>10126</v>
      </c>
      <c r="T3841" t="s">
        <v>12568</v>
      </c>
      <c r="U3841" t="s">
        <v>12568</v>
      </c>
      <c r="V3841" t="s">
        <v>12568</v>
      </c>
      <c r="W3841" t="s">
        <v>16365</v>
      </c>
      <c r="X3841">
        <v>1</v>
      </c>
      <c r="Y3841" t="s">
        <v>22483</v>
      </c>
      <c r="Z3841" t="s">
        <v>28711</v>
      </c>
      <c r="AA3841">
        <v>0.8175582527272991</v>
      </c>
      <c r="AB3841" t="str">
        <f>HYPERLINK("Melting_Curves/meltCurve_Q7Z4L5_TTC21B.pdf", "Melting_Curves/meltCurve_Q7Z4L5_TTC21B.pdf")</f>
        <v>Melting_Curves/meltCurve_Q7Z4L5_TTC21B.pdf</v>
      </c>
    </row>
    <row r="3842" spans="1:28" x14ac:dyDescent="0.25">
      <c r="A3842" t="s">
        <v>3846</v>
      </c>
      <c r="B3842">
        <v>0.99352677808782597</v>
      </c>
      <c r="C3842">
        <v>1.0228211267829701</v>
      </c>
      <c r="D3842">
        <v>0.85681498760840502</v>
      </c>
      <c r="E3842">
        <v>0.28291205023460297</v>
      </c>
      <c r="F3842">
        <v>0.22483688692647</v>
      </c>
      <c r="G3842">
        <v>0.13068861454515299</v>
      </c>
      <c r="H3842">
        <v>8.8751205799556795E-2</v>
      </c>
      <c r="I3842">
        <v>7.8912782683979693E-2</v>
      </c>
      <c r="J3842">
        <v>6.6106113503062905E-2</v>
      </c>
      <c r="K3842">
        <v>5.4552971973633298E-2</v>
      </c>
      <c r="L3842">
        <v>1534.83359398516</v>
      </c>
      <c r="M3842">
        <v>31.790927327678201</v>
      </c>
      <c r="N3842">
        <v>48.591583224075698</v>
      </c>
      <c r="O3842">
        <v>48.089168749886902</v>
      </c>
      <c r="P3842">
        <v>-0.14998725525416301</v>
      </c>
      <c r="Q3842">
        <v>9.2480337004785404E-2</v>
      </c>
      <c r="R3842">
        <v>0.99118426839449403</v>
      </c>
      <c r="S3842" t="s">
        <v>10127</v>
      </c>
      <c r="T3842" t="s">
        <v>12568</v>
      </c>
      <c r="U3842" t="s">
        <v>12568</v>
      </c>
      <c r="V3842" t="s">
        <v>12568</v>
      </c>
      <c r="W3842" t="s">
        <v>16366</v>
      </c>
      <c r="X3842">
        <v>11</v>
      </c>
      <c r="Y3842" t="s">
        <v>22484</v>
      </c>
      <c r="Z3842" t="s">
        <v>28712</v>
      </c>
      <c r="AA3842">
        <v>0.34778221223817468</v>
      </c>
      <c r="AB3842" t="str">
        <f>HYPERLINK("Melting_Curves/meltCurve_Q7Z4Q2_HEATR3.pdf", "Melting_Curves/meltCurve_Q7Z4Q2_HEATR3.pdf")</f>
        <v>Melting_Curves/meltCurve_Q7Z4Q2_HEATR3.pdf</v>
      </c>
    </row>
    <row r="3843" spans="1:28" x14ac:dyDescent="0.25">
      <c r="A3843" t="s">
        <v>3847</v>
      </c>
      <c r="B3843">
        <v>0.99352677808782597</v>
      </c>
      <c r="C3843">
        <v>0.820362709574187</v>
      </c>
      <c r="D3843">
        <v>0.56559654953690397</v>
      </c>
      <c r="E3843">
        <v>0.37258495876313802</v>
      </c>
      <c r="F3843">
        <v>0.31002962885642799</v>
      </c>
      <c r="G3843">
        <v>0.21630553653331899</v>
      </c>
      <c r="H3843">
        <v>0.173394123740611</v>
      </c>
      <c r="I3843">
        <v>0.128531087000194</v>
      </c>
      <c r="J3843">
        <v>9.7050563328350201E-2</v>
      </c>
      <c r="K3843">
        <v>7.5015383657823204E-2</v>
      </c>
      <c r="L3843">
        <v>622.37133285055904</v>
      </c>
      <c r="M3843">
        <v>13.214100702301501</v>
      </c>
      <c r="N3843">
        <v>47.935404698421799</v>
      </c>
      <c r="O3843">
        <v>46.059556887752002</v>
      </c>
      <c r="P3843">
        <v>-6.4349330181028494E-2</v>
      </c>
      <c r="Q3843">
        <v>0.102955152313874</v>
      </c>
      <c r="R3843">
        <v>0.98449328462002195</v>
      </c>
      <c r="S3843" t="s">
        <v>10128</v>
      </c>
      <c r="T3843" t="s">
        <v>12568</v>
      </c>
      <c r="U3843" t="s">
        <v>12568</v>
      </c>
      <c r="V3843" t="s">
        <v>12568</v>
      </c>
      <c r="W3843" t="s">
        <v>16367</v>
      </c>
      <c r="X3843">
        <v>21</v>
      </c>
      <c r="Y3843" t="s">
        <v>22485</v>
      </c>
      <c r="Z3843" t="s">
        <v>28713</v>
      </c>
      <c r="AA3843">
        <v>0.34641629681990183</v>
      </c>
      <c r="AB3843" t="str">
        <f>HYPERLINK("Melting_Curves/meltCurve_Q7Z4S6_5_KIF21A.pdf", "Melting_Curves/meltCurve_Q7Z4S6_5_KIF21A.pdf")</f>
        <v>Melting_Curves/meltCurve_Q7Z4S6_5_KIF21A.pdf</v>
      </c>
    </row>
    <row r="3844" spans="1:28" x14ac:dyDescent="0.25">
      <c r="A3844" t="s">
        <v>3848</v>
      </c>
      <c r="B3844">
        <v>0.99352677808782597</v>
      </c>
      <c r="C3844">
        <v>0.95442330036312495</v>
      </c>
      <c r="D3844">
        <v>0.60467239085865898</v>
      </c>
      <c r="E3844">
        <v>0.99812846602618599</v>
      </c>
      <c r="F3844">
        <v>0.91975738091949599</v>
      </c>
      <c r="G3844">
        <v>0.67179664628846802</v>
      </c>
      <c r="H3844">
        <v>0.89163401000718201</v>
      </c>
      <c r="I3844">
        <v>0.91708568761958298</v>
      </c>
      <c r="J3844">
        <v>1.07932852799943</v>
      </c>
      <c r="K3844">
        <v>0.872492163825489</v>
      </c>
      <c r="L3844">
        <v>10751.768458722199</v>
      </c>
      <c r="M3844">
        <v>250</v>
      </c>
      <c r="O3844">
        <v>43.004333032237199</v>
      </c>
      <c r="P3844">
        <v>-0.18986185606327499</v>
      </c>
      <c r="Q3844">
        <v>0.86936191472245405</v>
      </c>
      <c r="R3844">
        <v>9.4296338287826006E-2</v>
      </c>
      <c r="S3844" t="s">
        <v>10129</v>
      </c>
      <c r="T3844" t="s">
        <v>12568</v>
      </c>
      <c r="U3844" t="s">
        <v>12568</v>
      </c>
      <c r="V3844" t="s">
        <v>12568</v>
      </c>
      <c r="W3844" t="s">
        <v>16368</v>
      </c>
      <c r="X3844">
        <v>15</v>
      </c>
      <c r="Y3844" t="s">
        <v>22486</v>
      </c>
      <c r="Z3844" t="s">
        <v>28714</v>
      </c>
      <c r="AA3844">
        <v>0.88246638713363235</v>
      </c>
      <c r="AB3844" t="str">
        <f>HYPERLINK("Melting_Curves/meltCurve_Q7Z4V5_HDGFRP2.pdf", "Melting_Curves/meltCurve_Q7Z4V5_HDGFRP2.pdf")</f>
        <v>Melting_Curves/meltCurve_Q7Z4V5_HDGFRP2.pdf</v>
      </c>
    </row>
    <row r="3845" spans="1:28" x14ac:dyDescent="0.25">
      <c r="A3845" t="s">
        <v>3849</v>
      </c>
      <c r="B3845">
        <v>0.99352677808782597</v>
      </c>
      <c r="C3845">
        <v>1.0058968666277199</v>
      </c>
      <c r="D3845">
        <v>1.0210495368193999</v>
      </c>
      <c r="E3845">
        <v>0.52457274969793599</v>
      </c>
      <c r="F3845">
        <v>0.36182891659460698</v>
      </c>
      <c r="G3845">
        <v>0.167509074849853</v>
      </c>
      <c r="H3845">
        <v>0.100616984571219</v>
      </c>
      <c r="I3845">
        <v>9.3585064398358397E-2</v>
      </c>
      <c r="J3845">
        <v>7.9908666573341697E-2</v>
      </c>
      <c r="K3845">
        <v>6.9030515395880801E-2</v>
      </c>
      <c r="L3845">
        <v>1232.2365114726499</v>
      </c>
      <c r="M3845">
        <v>24.399977218153499</v>
      </c>
      <c r="N3845">
        <v>50.915384723338903</v>
      </c>
      <c r="O3845">
        <v>50.165993157317502</v>
      </c>
      <c r="P3845">
        <v>-0.110660579802405</v>
      </c>
      <c r="Q3845">
        <v>8.9947399968568306E-2</v>
      </c>
      <c r="R3845">
        <v>0.98734359094038904</v>
      </c>
      <c r="S3845" t="s">
        <v>10130</v>
      </c>
      <c r="T3845" t="s">
        <v>12568</v>
      </c>
      <c r="U3845" t="s">
        <v>12568</v>
      </c>
      <c r="V3845" t="s">
        <v>12568</v>
      </c>
      <c r="W3845" t="s">
        <v>16369</v>
      </c>
      <c r="X3845">
        <v>7</v>
      </c>
      <c r="Y3845" t="s">
        <v>22487</v>
      </c>
      <c r="Z3845" t="s">
        <v>28715</v>
      </c>
      <c r="AA3845">
        <v>0.41709365188993519</v>
      </c>
      <c r="AB3845" t="str">
        <f>HYPERLINK("Melting_Curves/meltCurve_Q7Z4W1_DCXR.pdf", "Melting_Curves/meltCurve_Q7Z4W1_DCXR.pdf")</f>
        <v>Melting_Curves/meltCurve_Q7Z4W1_DCXR.pdf</v>
      </c>
    </row>
    <row r="3846" spans="1:28" x14ac:dyDescent="0.25">
      <c r="A3846" t="s">
        <v>3850</v>
      </c>
      <c r="B3846">
        <v>0.99352677808782597</v>
      </c>
      <c r="C3846">
        <v>0.91644409535226101</v>
      </c>
      <c r="D3846">
        <v>0.97119471812085301</v>
      </c>
      <c r="E3846">
        <v>0.72111347419847305</v>
      </c>
      <c r="F3846">
        <v>0.63311639721311896</v>
      </c>
      <c r="G3846">
        <v>0.450964689162133</v>
      </c>
      <c r="H3846">
        <v>0.335912138039688</v>
      </c>
      <c r="I3846">
        <v>0.36223460238396799</v>
      </c>
      <c r="J3846">
        <v>0.34595804548972697</v>
      </c>
      <c r="K3846">
        <v>0.31879080732892101</v>
      </c>
      <c r="L3846">
        <v>810.848368025892</v>
      </c>
      <c r="M3846">
        <v>15.598825839334699</v>
      </c>
      <c r="N3846">
        <v>55.435345050572202</v>
      </c>
      <c r="O3846">
        <v>51.149546681505598</v>
      </c>
      <c r="P3846">
        <v>-5.25486072806233E-2</v>
      </c>
      <c r="Q3846">
        <v>0.31081876065790798</v>
      </c>
      <c r="R3846">
        <v>0.98532324586081699</v>
      </c>
      <c r="S3846" t="s">
        <v>10131</v>
      </c>
      <c r="T3846" t="s">
        <v>12568</v>
      </c>
      <c r="U3846" t="s">
        <v>12568</v>
      </c>
      <c r="V3846" t="s">
        <v>12568</v>
      </c>
      <c r="W3846" t="s">
        <v>16370</v>
      </c>
      <c r="X3846">
        <v>12</v>
      </c>
      <c r="Y3846" t="s">
        <v>22488</v>
      </c>
      <c r="Z3846" t="s">
        <v>28716</v>
      </c>
      <c r="AA3846">
        <v>0.6005729231269008</v>
      </c>
      <c r="AB3846" t="str">
        <f>HYPERLINK("Melting_Curves/meltCurve_Q7Z589_EMSY.pdf", "Melting_Curves/meltCurve_Q7Z589_EMSY.pdf")</f>
        <v>Melting_Curves/meltCurve_Q7Z589_EMSY.pdf</v>
      </c>
    </row>
    <row r="3847" spans="1:28" x14ac:dyDescent="0.25">
      <c r="A3847" t="s">
        <v>3851</v>
      </c>
      <c r="B3847">
        <v>0.99352677808782597</v>
      </c>
      <c r="C3847">
        <v>0.99161034793825398</v>
      </c>
      <c r="D3847">
        <v>0.98220885045890705</v>
      </c>
      <c r="E3847">
        <v>0.73347661577146095</v>
      </c>
      <c r="F3847">
        <v>0.63544844750455298</v>
      </c>
      <c r="G3847">
        <v>0.52521766090444</v>
      </c>
      <c r="H3847">
        <v>0.47028742530930501</v>
      </c>
      <c r="I3847">
        <v>0.48588675569996098</v>
      </c>
      <c r="J3847">
        <v>0.50781370619680899</v>
      </c>
      <c r="K3847">
        <v>0.42420167860255598</v>
      </c>
      <c r="L3847">
        <v>1084.8357077886101</v>
      </c>
      <c r="M3847">
        <v>21.446705987463901</v>
      </c>
      <c r="N3847">
        <v>58.216871833644198</v>
      </c>
      <c r="O3847">
        <v>50.149242498436102</v>
      </c>
      <c r="P3847">
        <v>-5.6669538131092503E-2</v>
      </c>
      <c r="Q3847">
        <v>0.46996723483505398</v>
      </c>
      <c r="R3847">
        <v>0.98585150040643899</v>
      </c>
      <c r="S3847" t="s">
        <v>10132</v>
      </c>
      <c r="T3847" t="s">
        <v>12568</v>
      </c>
      <c r="U3847" t="s">
        <v>12568</v>
      </c>
      <c r="V3847" t="s">
        <v>12568</v>
      </c>
      <c r="W3847" t="s">
        <v>16371</v>
      </c>
      <c r="X3847">
        <v>12</v>
      </c>
      <c r="Y3847" t="s">
        <v>22489</v>
      </c>
      <c r="Z3847" t="s">
        <v>28717</v>
      </c>
      <c r="AA3847">
        <v>0.66338317018140081</v>
      </c>
      <c r="AB3847" t="str">
        <f>HYPERLINK("Melting_Curves/meltCurve_Q7Z5K2_WAPAL.pdf", "Melting_Curves/meltCurve_Q7Z5K2_WAPAL.pdf")</f>
        <v>Melting_Curves/meltCurve_Q7Z5K2_WAPAL.pdf</v>
      </c>
    </row>
    <row r="3848" spans="1:28" x14ac:dyDescent="0.25">
      <c r="A3848" t="s">
        <v>3852</v>
      </c>
      <c r="B3848">
        <v>0.99352677808782597</v>
      </c>
      <c r="C3848">
        <v>0.92694328800118997</v>
      </c>
      <c r="D3848">
        <v>0.93306984851453301</v>
      </c>
      <c r="E3848">
        <v>0.80088636248969902</v>
      </c>
      <c r="F3848">
        <v>0.80169421251657602</v>
      </c>
      <c r="G3848">
        <v>0.62901122767237605</v>
      </c>
      <c r="H3848">
        <v>0.64408628799090195</v>
      </c>
      <c r="I3848">
        <v>0.70101349754231201</v>
      </c>
      <c r="J3848">
        <v>0.69381515236647195</v>
      </c>
      <c r="K3848">
        <v>0.63524779074862003</v>
      </c>
      <c r="L3848">
        <v>711.56861968754095</v>
      </c>
      <c r="M3848">
        <v>14.347393078315299</v>
      </c>
      <c r="O3848">
        <v>48.662029075801101</v>
      </c>
      <c r="P3848">
        <v>-2.5845348037597599E-2</v>
      </c>
      <c r="Q3848">
        <v>0.64940365555741497</v>
      </c>
      <c r="R3848">
        <v>0.92018911606819398</v>
      </c>
      <c r="S3848" t="s">
        <v>10133</v>
      </c>
      <c r="T3848" t="s">
        <v>12568</v>
      </c>
      <c r="U3848" t="s">
        <v>12568</v>
      </c>
      <c r="V3848" t="s">
        <v>12568</v>
      </c>
      <c r="W3848" t="s">
        <v>16372</v>
      </c>
      <c r="X3848">
        <v>9</v>
      </c>
      <c r="Y3848" t="s">
        <v>22490</v>
      </c>
      <c r="Z3848" t="s">
        <v>28718</v>
      </c>
      <c r="AA3848">
        <v>0.77072208340813686</v>
      </c>
      <c r="AB3848" t="str">
        <f>HYPERLINK("Melting_Curves/meltCurve_Q7Z5L2_2_R3HCC1L.pdf", "Melting_Curves/meltCurve_Q7Z5L2_2_R3HCC1L.pdf")</f>
        <v>Melting_Curves/meltCurve_Q7Z5L2_2_R3HCC1L.pdf</v>
      </c>
    </row>
    <row r="3849" spans="1:28" x14ac:dyDescent="0.25">
      <c r="A3849" t="s">
        <v>3853</v>
      </c>
      <c r="B3849">
        <v>0.99352677808782597</v>
      </c>
      <c r="C3849">
        <v>0.94045121112693297</v>
      </c>
      <c r="D3849">
        <v>0.98090324182075594</v>
      </c>
      <c r="E3849">
        <v>0.84020614313657804</v>
      </c>
      <c r="F3849">
        <v>0.71731524823044801</v>
      </c>
      <c r="G3849">
        <v>0.60864645341615098</v>
      </c>
      <c r="H3849">
        <v>0.49729200922508199</v>
      </c>
      <c r="I3849">
        <v>0.47981241350290998</v>
      </c>
      <c r="J3849">
        <v>0.45179396129556798</v>
      </c>
      <c r="K3849">
        <v>0.39244489195501098</v>
      </c>
      <c r="L3849">
        <v>675.95639957303001</v>
      </c>
      <c r="M3849">
        <v>12.461127083493601</v>
      </c>
      <c r="N3849">
        <v>61.352548741279598</v>
      </c>
      <c r="O3849">
        <v>52.9050260559953</v>
      </c>
      <c r="P3849">
        <v>-3.6400744351192803E-2</v>
      </c>
      <c r="Q3849">
        <v>0.38195597031704798</v>
      </c>
      <c r="R3849">
        <v>0.990401944552325</v>
      </c>
      <c r="S3849" t="s">
        <v>10134</v>
      </c>
      <c r="T3849" t="s">
        <v>12568</v>
      </c>
      <c r="U3849" t="s">
        <v>12568</v>
      </c>
      <c r="V3849" t="s">
        <v>12568</v>
      </c>
      <c r="W3849" t="s">
        <v>16373</v>
      </c>
      <c r="X3849">
        <v>23</v>
      </c>
      <c r="Y3849" t="s">
        <v>22491</v>
      </c>
      <c r="Z3849" t="s">
        <v>28719</v>
      </c>
      <c r="AA3849">
        <v>0.69066110667809355</v>
      </c>
      <c r="AB3849" t="str">
        <f>HYPERLINK("Melting_Curves/meltCurve_Q7Z5L9_IRF2BP2.pdf", "Melting_Curves/meltCurve_Q7Z5L9_IRF2BP2.pdf")</f>
        <v>Melting_Curves/meltCurve_Q7Z5L9_IRF2BP2.pdf</v>
      </c>
    </row>
    <row r="3850" spans="1:28" x14ac:dyDescent="0.25">
      <c r="A3850" t="s">
        <v>3854</v>
      </c>
      <c r="B3850">
        <v>0.99352677808782597</v>
      </c>
      <c r="C3850">
        <v>0.85584550362366096</v>
      </c>
      <c r="D3850">
        <v>0.99991453748877501</v>
      </c>
      <c r="E3850">
        <v>0.86886902292680401</v>
      </c>
      <c r="F3850">
        <v>0.94065974530593099</v>
      </c>
      <c r="G3850">
        <v>0.64059016305084904</v>
      </c>
      <c r="H3850">
        <v>0.52113156006982198</v>
      </c>
      <c r="I3850">
        <v>0.62521888627405198</v>
      </c>
      <c r="J3850">
        <v>0.41879500563795202</v>
      </c>
      <c r="K3850">
        <v>0.44527966883943398</v>
      </c>
      <c r="L3850">
        <v>771.63649329919394</v>
      </c>
      <c r="M3850">
        <v>13.562583901031701</v>
      </c>
      <c r="N3850">
        <v>64.692659739965904</v>
      </c>
      <c r="O3850">
        <v>55.700337025234099</v>
      </c>
      <c r="P3850">
        <v>-3.6376468858430898E-2</v>
      </c>
      <c r="Q3850">
        <v>0.40250968624714401</v>
      </c>
      <c r="R3850">
        <v>0.88298867080597698</v>
      </c>
      <c r="S3850" t="s">
        <v>10135</v>
      </c>
      <c r="T3850" t="s">
        <v>12568</v>
      </c>
      <c r="U3850" t="s">
        <v>12568</v>
      </c>
      <c r="V3850" t="s">
        <v>12568</v>
      </c>
      <c r="W3850" t="s">
        <v>16374</v>
      </c>
      <c r="X3850">
        <v>4</v>
      </c>
      <c r="Y3850" t="s">
        <v>22492</v>
      </c>
      <c r="Z3850" t="s">
        <v>28720</v>
      </c>
      <c r="AA3850">
        <v>0.74904727213218036</v>
      </c>
      <c r="AB3850" t="str">
        <f>HYPERLINK("Melting_Curves/meltCurve_Q7Z5Q1_5_CPEB2.pdf", "Melting_Curves/meltCurve_Q7Z5Q1_5_CPEB2.pdf")</f>
        <v>Melting_Curves/meltCurve_Q7Z5Q1_5_CPEB2.pdf</v>
      </c>
    </row>
    <row r="3851" spans="1:28" x14ac:dyDescent="0.25">
      <c r="A3851" t="s">
        <v>3855</v>
      </c>
      <c r="B3851">
        <v>0.99352677808782597</v>
      </c>
      <c r="C3851">
        <v>1.0072555662615901</v>
      </c>
      <c r="D3851">
        <v>1.0082595236435801</v>
      </c>
      <c r="E3851">
        <v>0.73421821443617497</v>
      </c>
      <c r="F3851">
        <v>0.86036189724005097</v>
      </c>
      <c r="G3851">
        <v>0.62705163647766504</v>
      </c>
      <c r="H3851">
        <v>0.59502719120607905</v>
      </c>
      <c r="I3851">
        <v>0.77495020007851101</v>
      </c>
      <c r="J3851">
        <v>0.64670736781162297</v>
      </c>
      <c r="K3851">
        <v>0.583347286196647</v>
      </c>
      <c r="L3851">
        <v>936.17873500194196</v>
      </c>
      <c r="M3851">
        <v>18.5303125469359</v>
      </c>
      <c r="O3851">
        <v>49.944122615258998</v>
      </c>
      <c r="P3851">
        <v>-3.3239358088574499E-2</v>
      </c>
      <c r="Q3851">
        <v>0.64166013073297201</v>
      </c>
      <c r="R3851">
        <v>0.80351000094901304</v>
      </c>
      <c r="S3851" t="s">
        <v>10136</v>
      </c>
      <c r="T3851" t="s">
        <v>12568</v>
      </c>
      <c r="U3851" t="s">
        <v>12568</v>
      </c>
      <c r="V3851" t="s">
        <v>12568</v>
      </c>
      <c r="W3851" t="s">
        <v>16375</v>
      </c>
      <c r="X3851">
        <v>1</v>
      </c>
      <c r="Y3851" t="s">
        <v>22493</v>
      </c>
      <c r="Z3851" t="s">
        <v>28721</v>
      </c>
      <c r="AA3851">
        <v>0.77308831653964349</v>
      </c>
      <c r="AB3851" t="str">
        <f>HYPERLINK("Melting_Curves/meltCurve_Q7Z5R6_APBB1IP.pdf", "Melting_Curves/meltCurve_Q7Z5R6_APBB1IP.pdf")</f>
        <v>Melting_Curves/meltCurve_Q7Z5R6_APBB1IP.pdf</v>
      </c>
    </row>
    <row r="3852" spans="1:28" x14ac:dyDescent="0.25">
      <c r="A3852" t="s">
        <v>3856</v>
      </c>
      <c r="B3852">
        <v>0.99352677808782597</v>
      </c>
      <c r="C3852">
        <v>1.07551008496959</v>
      </c>
      <c r="D3852">
        <v>1.0373232791334399</v>
      </c>
      <c r="E3852">
        <v>0.65972996886934798</v>
      </c>
      <c r="F3852">
        <v>0.50972204984063196</v>
      </c>
      <c r="G3852">
        <v>0.21579547078644801</v>
      </c>
      <c r="H3852">
        <v>0.118505420541621</v>
      </c>
      <c r="I3852">
        <v>0.103252923508257</v>
      </c>
      <c r="J3852">
        <v>7.9727496989147398E-2</v>
      </c>
      <c r="K3852">
        <v>4.5220359981043297E-2</v>
      </c>
      <c r="L3852">
        <v>1059.3570648417999</v>
      </c>
      <c r="M3852">
        <v>20.248671714166001</v>
      </c>
      <c r="N3852">
        <v>52.685819074698699</v>
      </c>
      <c r="O3852">
        <v>51.8151049435874</v>
      </c>
      <c r="P3852">
        <v>-9.1249680081770604E-2</v>
      </c>
      <c r="Q3852">
        <v>6.6019684695218905E-2</v>
      </c>
      <c r="R3852">
        <v>0.98533394992067502</v>
      </c>
      <c r="S3852" t="s">
        <v>10137</v>
      </c>
      <c r="T3852" t="s">
        <v>12568</v>
      </c>
      <c r="U3852" t="s">
        <v>12568</v>
      </c>
      <c r="V3852" t="s">
        <v>12568</v>
      </c>
      <c r="W3852" t="s">
        <v>16376</v>
      </c>
      <c r="X3852">
        <v>2</v>
      </c>
      <c r="Y3852" t="s">
        <v>22494</v>
      </c>
      <c r="Z3852" t="s">
        <v>28722</v>
      </c>
      <c r="AA3852">
        <v>0.46211857261950118</v>
      </c>
      <c r="AB3852" t="str">
        <f>HYPERLINK("Melting_Curves/meltCurve_Q7Z5W3_BCDIN3D.pdf", "Melting_Curves/meltCurve_Q7Z5W3_BCDIN3D.pdf")</f>
        <v>Melting_Curves/meltCurve_Q7Z5W3_BCDIN3D.pdf</v>
      </c>
    </row>
    <row r="3853" spans="1:28" x14ac:dyDescent="0.25">
      <c r="A3853" t="s">
        <v>3857</v>
      </c>
      <c r="B3853">
        <v>0.99352677808782597</v>
      </c>
      <c r="C3853">
        <v>0.93217758107674198</v>
      </c>
      <c r="D3853">
        <v>0.891560087298509</v>
      </c>
      <c r="E3853">
        <v>0.38250919600115602</v>
      </c>
      <c r="F3853">
        <v>0.404882678970864</v>
      </c>
      <c r="G3853">
        <v>0.27192548924264298</v>
      </c>
      <c r="H3853">
        <v>0.30613018687815102</v>
      </c>
      <c r="I3853">
        <v>0.23694000837991799</v>
      </c>
      <c r="J3853">
        <v>0.20929536582403999</v>
      </c>
      <c r="K3853">
        <v>0.180968992591683</v>
      </c>
      <c r="L3853">
        <v>1358.1460654212401</v>
      </c>
      <c r="M3853">
        <v>28.169623370583398</v>
      </c>
      <c r="N3853">
        <v>49.4217506225364</v>
      </c>
      <c r="O3853">
        <v>47.972132302878499</v>
      </c>
      <c r="P3853">
        <v>-0.110259350389011</v>
      </c>
      <c r="Q3853">
        <v>0.24893111088387501</v>
      </c>
      <c r="R3853">
        <v>0.96985475020505996</v>
      </c>
      <c r="S3853" t="s">
        <v>10138</v>
      </c>
      <c r="T3853" t="s">
        <v>12568</v>
      </c>
      <c r="U3853" t="s">
        <v>12568</v>
      </c>
      <c r="V3853" t="s">
        <v>12568</v>
      </c>
      <c r="W3853" t="s">
        <v>16377</v>
      </c>
      <c r="X3853">
        <v>2</v>
      </c>
      <c r="Y3853" t="s">
        <v>22495</v>
      </c>
      <c r="Z3853" t="s">
        <v>28723</v>
      </c>
      <c r="AA3853">
        <v>0.45971728930818312</v>
      </c>
      <c r="AB3853" t="str">
        <f>HYPERLINK("Melting_Curves/meltCurve_Q7Z624_CAMKMT.pdf", "Melting_Curves/meltCurve_Q7Z624_CAMKMT.pdf")</f>
        <v>Melting_Curves/meltCurve_Q7Z624_CAMKMT.pdf</v>
      </c>
    </row>
    <row r="3854" spans="1:28" x14ac:dyDescent="0.25">
      <c r="A3854" t="s">
        <v>3858</v>
      </c>
      <c r="B3854">
        <v>0.99352677808782597</v>
      </c>
      <c r="C3854">
        <v>0.96618802863104603</v>
      </c>
      <c r="D3854">
        <v>0.90490144362189195</v>
      </c>
      <c r="E3854">
        <v>0.80057356985066397</v>
      </c>
      <c r="F3854">
        <v>0.80535637402048699</v>
      </c>
      <c r="G3854">
        <v>0.54680282729985596</v>
      </c>
      <c r="H3854">
        <v>0.47090142629602499</v>
      </c>
      <c r="I3854">
        <v>0.55395255166594504</v>
      </c>
      <c r="J3854">
        <v>0.47839205141101898</v>
      </c>
      <c r="K3854">
        <v>0.39822764622117401</v>
      </c>
      <c r="L3854">
        <v>613.28862936761595</v>
      </c>
      <c r="M3854">
        <v>11.382332727520099</v>
      </c>
      <c r="N3854">
        <v>62.405927178668499</v>
      </c>
      <c r="O3854">
        <v>52.298046912663096</v>
      </c>
      <c r="P3854">
        <v>-3.29611341623657E-2</v>
      </c>
      <c r="Q3854">
        <v>0.39439714337613402</v>
      </c>
      <c r="R3854">
        <v>0.95468874588790598</v>
      </c>
      <c r="S3854" t="s">
        <v>10139</v>
      </c>
      <c r="T3854" t="s">
        <v>12568</v>
      </c>
      <c r="U3854" t="s">
        <v>12568</v>
      </c>
      <c r="V3854" t="s">
        <v>12568</v>
      </c>
      <c r="W3854" t="s">
        <v>16378</v>
      </c>
      <c r="X3854">
        <v>2</v>
      </c>
      <c r="Y3854" t="s">
        <v>22496</v>
      </c>
      <c r="Z3854" t="s">
        <v>28724</v>
      </c>
      <c r="AA3854">
        <v>0.69139005503019535</v>
      </c>
      <c r="AB3854" t="str">
        <f>HYPERLINK("Melting_Curves/meltCurve_Q7Z699_SPRED1.pdf", "Melting_Curves/meltCurve_Q7Z699_SPRED1.pdf")</f>
        <v>Melting_Curves/meltCurve_Q7Z699_SPRED1.pdf</v>
      </c>
    </row>
    <row r="3855" spans="1:28" x14ac:dyDescent="0.25">
      <c r="A3855" t="s">
        <v>3859</v>
      </c>
      <c r="B3855">
        <v>0.99352677808782597</v>
      </c>
      <c r="C3855">
        <v>1.0251027801814301</v>
      </c>
      <c r="D3855">
        <v>0.989813277200283</v>
      </c>
      <c r="E3855">
        <v>1.02738893262599</v>
      </c>
      <c r="F3855">
        <v>0.96514375212449699</v>
      </c>
      <c r="G3855">
        <v>0.85020755570075801</v>
      </c>
      <c r="H3855">
        <v>0.85012074041268104</v>
      </c>
      <c r="I3855">
        <v>0.96509912334974002</v>
      </c>
      <c r="J3855">
        <v>1.1113967239645399</v>
      </c>
      <c r="K3855">
        <v>0.93986044585222595</v>
      </c>
      <c r="L3855">
        <v>13225.1427552517</v>
      </c>
      <c r="M3855">
        <v>250</v>
      </c>
      <c r="O3855">
        <v>52.897178764286402</v>
      </c>
      <c r="P3855">
        <v>-6.69495520623411E-2</v>
      </c>
      <c r="Q3855">
        <v>0.94333691380555895</v>
      </c>
      <c r="R3855">
        <v>0.16334711916022199</v>
      </c>
      <c r="S3855" t="s">
        <v>10140</v>
      </c>
      <c r="T3855" t="s">
        <v>12568</v>
      </c>
      <c r="U3855" t="s">
        <v>12568</v>
      </c>
      <c r="V3855" t="s">
        <v>12568</v>
      </c>
      <c r="W3855" t="s">
        <v>16379</v>
      </c>
      <c r="X3855">
        <v>25</v>
      </c>
      <c r="Y3855" t="s">
        <v>22497</v>
      </c>
      <c r="Z3855" t="s">
        <v>28725</v>
      </c>
      <c r="AA3855">
        <v>0.96770837997897652</v>
      </c>
      <c r="AB3855" t="str">
        <f>HYPERLINK("Melting_Curves/meltCurve_Q7Z6B0_2_CCDC91.pdf", "Melting_Curves/meltCurve_Q7Z6B0_2_CCDC91.pdf")</f>
        <v>Melting_Curves/meltCurve_Q7Z6B0_2_CCDC91.pdf</v>
      </c>
    </row>
    <row r="3856" spans="1:28" x14ac:dyDescent="0.25">
      <c r="A3856" t="s">
        <v>3860</v>
      </c>
      <c r="B3856">
        <v>0.99352677808782597</v>
      </c>
      <c r="C3856">
        <v>0.99407332825272199</v>
      </c>
      <c r="D3856">
        <v>0.91605512551095603</v>
      </c>
      <c r="E3856">
        <v>0.71226532936864795</v>
      </c>
      <c r="F3856">
        <v>0.60468306429053598</v>
      </c>
      <c r="G3856">
        <v>0.29647023731715</v>
      </c>
      <c r="H3856">
        <v>0.22861618645749901</v>
      </c>
      <c r="I3856">
        <v>0.23532251499295001</v>
      </c>
      <c r="J3856">
        <v>0.198560356616449</v>
      </c>
      <c r="K3856">
        <v>0.17315180852721099</v>
      </c>
      <c r="L3856">
        <v>870.49905299149702</v>
      </c>
      <c r="M3856">
        <v>16.603762407627102</v>
      </c>
      <c r="N3856">
        <v>53.756654203752298</v>
      </c>
      <c r="O3856">
        <v>51.685024801139598</v>
      </c>
      <c r="P3856">
        <v>-6.6798661669886406E-2</v>
      </c>
      <c r="Q3856">
        <v>0.168319489057459</v>
      </c>
      <c r="R3856">
        <v>0.99288480734446505</v>
      </c>
      <c r="S3856" t="s">
        <v>10141</v>
      </c>
      <c r="T3856" t="s">
        <v>12568</v>
      </c>
      <c r="U3856" t="s">
        <v>12568</v>
      </c>
      <c r="V3856" t="s">
        <v>12568</v>
      </c>
      <c r="W3856" t="s">
        <v>16380</v>
      </c>
      <c r="X3856">
        <v>22</v>
      </c>
      <c r="Y3856" t="s">
        <v>22498</v>
      </c>
      <c r="Z3856" t="s">
        <v>28726</v>
      </c>
      <c r="AA3856">
        <v>0.52852988688877867</v>
      </c>
      <c r="AB3856" t="str">
        <f>HYPERLINK("Melting_Curves/meltCurve_Q7Z6B7_SRGAP1.pdf", "Melting_Curves/meltCurve_Q7Z6B7_SRGAP1.pdf")</f>
        <v>Melting_Curves/meltCurve_Q7Z6B7_SRGAP1.pdf</v>
      </c>
    </row>
    <row r="3857" spans="1:28" x14ac:dyDescent="0.25">
      <c r="A3857" t="s">
        <v>3861</v>
      </c>
      <c r="B3857">
        <v>0.99352677808782597</v>
      </c>
      <c r="C3857">
        <v>0.90058208269963103</v>
      </c>
      <c r="D3857">
        <v>1.00636591815552</v>
      </c>
      <c r="E3857">
        <v>1.0011075742381901</v>
      </c>
      <c r="F3857">
        <v>0.91575499123373505</v>
      </c>
      <c r="G3857">
        <v>0.89752396224744901</v>
      </c>
      <c r="H3857">
        <v>0.76449295956107299</v>
      </c>
      <c r="I3857">
        <v>0.77047000988033498</v>
      </c>
      <c r="J3857">
        <v>0.73849253256092995</v>
      </c>
      <c r="K3857">
        <v>0.58033870420261102</v>
      </c>
      <c r="L3857">
        <v>476.43664018153299</v>
      </c>
      <c r="M3857">
        <v>6.3310343419620798</v>
      </c>
      <c r="O3857">
        <v>68.794358087974302</v>
      </c>
      <c r="P3857">
        <v>-2.3068553015509301E-2</v>
      </c>
      <c r="Q3857">
        <v>0</v>
      </c>
      <c r="R3857">
        <v>0.89756645153900605</v>
      </c>
      <c r="S3857" t="s">
        <v>10142</v>
      </c>
      <c r="T3857" t="s">
        <v>12568</v>
      </c>
      <c r="U3857" t="s">
        <v>12568</v>
      </c>
      <c r="V3857" t="s">
        <v>12568</v>
      </c>
      <c r="W3857" t="s">
        <v>16381</v>
      </c>
      <c r="X3857">
        <v>16</v>
      </c>
      <c r="Y3857" t="s">
        <v>22499</v>
      </c>
      <c r="Z3857" t="s">
        <v>28727</v>
      </c>
      <c r="AA3857">
        <v>0.87299286126782483</v>
      </c>
      <c r="AB3857" t="str">
        <f>HYPERLINK("Melting_Curves/meltCurve_Q7Z6E9_2_RBBP6.pdf", "Melting_Curves/meltCurve_Q7Z6E9_2_RBBP6.pdf")</f>
        <v>Melting_Curves/meltCurve_Q7Z6E9_2_RBBP6.pdf</v>
      </c>
    </row>
    <row r="3858" spans="1:28" x14ac:dyDescent="0.25">
      <c r="A3858" t="s">
        <v>3862</v>
      </c>
      <c r="B3858">
        <v>0.99352677808782597</v>
      </c>
      <c r="C3858">
        <v>0.89646004929351997</v>
      </c>
      <c r="D3858">
        <v>1.0242576916131501</v>
      </c>
      <c r="E3858">
        <v>1.1625698245055101</v>
      </c>
      <c r="F3858">
        <v>0.98069537437668597</v>
      </c>
      <c r="G3858">
        <v>0.97936445449225595</v>
      </c>
      <c r="H3858">
        <v>0.793477055597547</v>
      </c>
      <c r="I3858">
        <v>0.90787177588093004</v>
      </c>
      <c r="J3858">
        <v>0.99203911251210997</v>
      </c>
      <c r="K3858">
        <v>0.87106477536772298</v>
      </c>
      <c r="L3858">
        <v>14332.8302600727</v>
      </c>
      <c r="M3858">
        <v>250</v>
      </c>
      <c r="O3858">
        <v>57.327652969534299</v>
      </c>
      <c r="P3858">
        <v>-0.118711050309853</v>
      </c>
      <c r="Q3858">
        <v>0.89111318722556698</v>
      </c>
      <c r="R3858">
        <v>0.35307370259040499</v>
      </c>
      <c r="S3858" t="s">
        <v>10143</v>
      </c>
      <c r="T3858" t="s">
        <v>12568</v>
      </c>
      <c r="U3858" t="s">
        <v>12568</v>
      </c>
      <c r="V3858" t="s">
        <v>12568</v>
      </c>
      <c r="W3858" t="s">
        <v>16382</v>
      </c>
      <c r="X3858">
        <v>2</v>
      </c>
      <c r="Y3858" t="s">
        <v>22500</v>
      </c>
      <c r="Z3858" t="s">
        <v>28728</v>
      </c>
      <c r="AA3858">
        <v>0.95402921990989431</v>
      </c>
      <c r="AB3858" t="str">
        <f>HYPERLINK("Melting_Curves/meltCurve_Q7Z6I8_C5orf24.pdf", "Melting_Curves/meltCurve_Q7Z6I8_C5orf24.pdf")</f>
        <v>Melting_Curves/meltCurve_Q7Z6I8_C5orf24.pdf</v>
      </c>
    </row>
    <row r="3859" spans="1:28" x14ac:dyDescent="0.25">
      <c r="A3859" t="s">
        <v>3863</v>
      </c>
      <c r="B3859">
        <v>0.99352677808782597</v>
      </c>
      <c r="C3859">
        <v>0.92070116273571501</v>
      </c>
      <c r="D3859">
        <v>0.95362682052829095</v>
      </c>
      <c r="E3859">
        <v>0.87827002655903097</v>
      </c>
      <c r="F3859">
        <v>0.74946773978124404</v>
      </c>
      <c r="G3859">
        <v>0.67583209965318503</v>
      </c>
      <c r="H3859">
        <v>0.59752941991070896</v>
      </c>
      <c r="I3859">
        <v>0.60409194807676203</v>
      </c>
      <c r="J3859">
        <v>0.623340785521586</v>
      </c>
      <c r="K3859">
        <v>0.54190606445102096</v>
      </c>
      <c r="L3859">
        <v>673.17486626759796</v>
      </c>
      <c r="M3859">
        <v>12.7832395472086</v>
      </c>
      <c r="O3859">
        <v>51.421960687751003</v>
      </c>
      <c r="P3859">
        <v>-2.7761617669986499E-2</v>
      </c>
      <c r="Q3859">
        <v>0.55338800262476595</v>
      </c>
      <c r="R3859">
        <v>0.96962625912540001</v>
      </c>
      <c r="S3859" t="s">
        <v>10144</v>
      </c>
      <c r="T3859" t="s">
        <v>12568</v>
      </c>
      <c r="U3859" t="s">
        <v>12568</v>
      </c>
      <c r="V3859" t="s">
        <v>12568</v>
      </c>
      <c r="W3859" t="s">
        <v>16383</v>
      </c>
      <c r="X3859">
        <v>10</v>
      </c>
      <c r="Y3859" t="s">
        <v>22501</v>
      </c>
      <c r="Z3859" t="s">
        <v>28729</v>
      </c>
      <c r="AA3859">
        <v>0.75395318672244094</v>
      </c>
      <c r="AB3859" t="str">
        <f>HYPERLINK("Melting_Curves/meltCurve_Q7Z6J0_SH3RF1.pdf", "Melting_Curves/meltCurve_Q7Z6J0_SH3RF1.pdf")</f>
        <v>Melting_Curves/meltCurve_Q7Z6J0_SH3RF1.pdf</v>
      </c>
    </row>
    <row r="3860" spans="1:28" x14ac:dyDescent="0.25">
      <c r="A3860" t="s">
        <v>3864</v>
      </c>
      <c r="B3860">
        <v>0.99352677808782597</v>
      </c>
      <c r="C3860">
        <v>0.97621193580423304</v>
      </c>
      <c r="D3860">
        <v>0.89463317654132501</v>
      </c>
      <c r="E3860">
        <v>0.29894701225744602</v>
      </c>
      <c r="F3860">
        <v>0.236625232578004</v>
      </c>
      <c r="G3860">
        <v>0.15808693833291501</v>
      </c>
      <c r="H3860">
        <v>0.12761703339875999</v>
      </c>
      <c r="I3860">
        <v>0.130457923890725</v>
      </c>
      <c r="J3860">
        <v>0.11491633147755601</v>
      </c>
      <c r="K3860">
        <v>9.8446330665853801E-2</v>
      </c>
      <c r="L3860">
        <v>1772.0316275216401</v>
      </c>
      <c r="M3860">
        <v>36.713323816257798</v>
      </c>
      <c r="N3860">
        <v>48.684516430907003</v>
      </c>
      <c r="O3860">
        <v>48.124183237784401</v>
      </c>
      <c r="P3860">
        <v>-0.16495018403146899</v>
      </c>
      <c r="Q3860">
        <v>0.13512927566579699</v>
      </c>
      <c r="R3860">
        <v>0.99380092566373102</v>
      </c>
      <c r="S3860" t="s">
        <v>10145</v>
      </c>
      <c r="T3860" t="s">
        <v>12568</v>
      </c>
      <c r="U3860" t="s">
        <v>12568</v>
      </c>
      <c r="V3860" t="s">
        <v>12568</v>
      </c>
      <c r="W3860" t="s">
        <v>16384</v>
      </c>
      <c r="X3860">
        <v>7</v>
      </c>
      <c r="Y3860" t="s">
        <v>22502</v>
      </c>
      <c r="Z3860" t="s">
        <v>28730</v>
      </c>
      <c r="AA3860">
        <v>0.37689430896541248</v>
      </c>
      <c r="AB3860" t="str">
        <f>HYPERLINK("Melting_Curves/meltCurve_Q7Z6J9_TSEN54.pdf", "Melting_Curves/meltCurve_Q7Z6J9_TSEN54.pdf")</f>
        <v>Melting_Curves/meltCurve_Q7Z6J9_TSEN54.pdf</v>
      </c>
    </row>
    <row r="3861" spans="1:28" x14ac:dyDescent="0.25">
      <c r="A3861" t="s">
        <v>3865</v>
      </c>
      <c r="B3861">
        <v>0.99352677808782597</v>
      </c>
      <c r="C3861">
        <v>0.98353055883273399</v>
      </c>
      <c r="D3861">
        <v>0.94710582866579596</v>
      </c>
      <c r="E3861">
        <v>0.78345030753427702</v>
      </c>
      <c r="F3861">
        <v>0.68168915208328296</v>
      </c>
      <c r="G3861">
        <v>0.468673362993273</v>
      </c>
      <c r="H3861">
        <v>0.26305152718508001</v>
      </c>
      <c r="I3861">
        <v>0.199731066674361</v>
      </c>
      <c r="J3861">
        <v>0.149784445865209</v>
      </c>
      <c r="K3861">
        <v>0.10357345817274</v>
      </c>
      <c r="L3861">
        <v>682.55817593743996</v>
      </c>
      <c r="M3861">
        <v>12.2240436766523</v>
      </c>
      <c r="N3861">
        <v>56.116592034005102</v>
      </c>
      <c r="O3861">
        <v>54.406080787391303</v>
      </c>
      <c r="P3861">
        <v>-5.4525095299413497E-2</v>
      </c>
      <c r="Q3861">
        <v>2.9508947929080001E-2</v>
      </c>
      <c r="R3861">
        <v>0.99835404277062101</v>
      </c>
      <c r="S3861" t="s">
        <v>10146</v>
      </c>
      <c r="T3861" t="s">
        <v>12568</v>
      </c>
      <c r="U3861" t="s">
        <v>12568</v>
      </c>
      <c r="V3861" t="s">
        <v>12568</v>
      </c>
      <c r="W3861" t="s">
        <v>16385</v>
      </c>
      <c r="X3861">
        <v>7</v>
      </c>
      <c r="Y3861" t="s">
        <v>22503</v>
      </c>
      <c r="Z3861" t="s">
        <v>28731</v>
      </c>
      <c r="AA3861">
        <v>0.56196622941390828</v>
      </c>
      <c r="AB3861" t="str">
        <f>HYPERLINK("Melting_Curves/meltCurve_Q7Z6K3_PTAR1.pdf", "Melting_Curves/meltCurve_Q7Z6K3_PTAR1.pdf")</f>
        <v>Melting_Curves/meltCurve_Q7Z6K3_PTAR1.pdf</v>
      </c>
    </row>
    <row r="3862" spans="1:28" x14ac:dyDescent="0.25">
      <c r="A3862" t="s">
        <v>3866</v>
      </c>
      <c r="B3862">
        <v>0.99352677808782597</v>
      </c>
      <c r="C3862">
        <v>0.89659183488819105</v>
      </c>
      <c r="D3862">
        <v>1.1035413847809501</v>
      </c>
      <c r="E3862">
        <v>0.86280725883426401</v>
      </c>
      <c r="F3862">
        <v>1.0248336391453201</v>
      </c>
      <c r="G3862">
        <v>0.85867948275508599</v>
      </c>
      <c r="H3862">
        <v>0.72104744749900096</v>
      </c>
      <c r="I3862">
        <v>0.88393485498338398</v>
      </c>
      <c r="J3862">
        <v>0.76846321621160496</v>
      </c>
      <c r="K3862">
        <v>0.66620725581317697</v>
      </c>
      <c r="L3862">
        <v>384.78735250605502</v>
      </c>
      <c r="M3862">
        <v>4.7553541877310801</v>
      </c>
      <c r="O3862">
        <v>69.768679516613801</v>
      </c>
      <c r="P3862">
        <v>-1.62398480161122E-2</v>
      </c>
      <c r="Q3862">
        <v>5.38184889736361E-2</v>
      </c>
      <c r="R3862">
        <v>0.60918889918470398</v>
      </c>
      <c r="S3862" t="s">
        <v>10147</v>
      </c>
      <c r="T3862" t="s">
        <v>12568</v>
      </c>
      <c r="U3862" t="s">
        <v>12568</v>
      </c>
      <c r="V3862" t="s">
        <v>12568</v>
      </c>
      <c r="W3862" t="s">
        <v>16386</v>
      </c>
      <c r="X3862">
        <v>1</v>
      </c>
      <c r="Y3862" t="s">
        <v>22504</v>
      </c>
      <c r="Z3862" t="s">
        <v>28732</v>
      </c>
      <c r="AA3862">
        <v>0.88567147312791394</v>
      </c>
      <c r="AB3862" t="str">
        <f>HYPERLINK("Melting_Curves/meltCurve_Q7Z6L1_TECPR1.pdf", "Melting_Curves/meltCurve_Q7Z6L1_TECPR1.pdf")</f>
        <v>Melting_Curves/meltCurve_Q7Z6L1_TECPR1.pdf</v>
      </c>
    </row>
    <row r="3863" spans="1:28" x14ac:dyDescent="0.25">
      <c r="A3863" t="s">
        <v>3867</v>
      </c>
      <c r="B3863">
        <v>0.99352677808782597</v>
      </c>
      <c r="C3863">
        <v>0.95309353532182295</v>
      </c>
      <c r="D3863">
        <v>0.95533302270763998</v>
      </c>
      <c r="E3863">
        <v>0.83834549694682903</v>
      </c>
      <c r="F3863">
        <v>0.76055328185716398</v>
      </c>
      <c r="G3863">
        <v>0.62857588082489302</v>
      </c>
      <c r="H3863">
        <v>0.38304850149632702</v>
      </c>
      <c r="I3863">
        <v>0.23425902402947599</v>
      </c>
      <c r="J3863">
        <v>0.13718153620213799</v>
      </c>
      <c r="K3863">
        <v>9.82896104755695E-2</v>
      </c>
      <c r="L3863">
        <v>718.47851369719297</v>
      </c>
      <c r="M3863">
        <v>12.317142049904101</v>
      </c>
      <c r="N3863">
        <v>58.3315927524079</v>
      </c>
      <c r="O3863">
        <v>56.8579874742627</v>
      </c>
      <c r="P3863">
        <v>-5.41692969547529E-2</v>
      </c>
      <c r="Q3863">
        <v>0</v>
      </c>
      <c r="R3863">
        <v>0.99220660375223502</v>
      </c>
      <c r="S3863" t="s">
        <v>10148</v>
      </c>
      <c r="T3863" t="s">
        <v>12568</v>
      </c>
      <c r="U3863" t="s">
        <v>12568</v>
      </c>
      <c r="V3863" t="s">
        <v>12568</v>
      </c>
      <c r="W3863" t="s">
        <v>16387</v>
      </c>
      <c r="X3863">
        <v>8</v>
      </c>
      <c r="Y3863" t="s">
        <v>22505</v>
      </c>
      <c r="Z3863" t="s">
        <v>28733</v>
      </c>
      <c r="AA3863">
        <v>0.62255164308816135</v>
      </c>
      <c r="AB3863" t="str">
        <f>HYPERLINK("Melting_Curves/meltCurve_Q7Z6M1_RABEPK.pdf", "Melting_Curves/meltCurve_Q7Z6M1_RABEPK.pdf")</f>
        <v>Melting_Curves/meltCurve_Q7Z6M1_RABEPK.pdf</v>
      </c>
    </row>
    <row r="3864" spans="1:28" x14ac:dyDescent="0.25">
      <c r="A3864" t="s">
        <v>3868</v>
      </c>
      <c r="B3864">
        <v>0.99352677808782597</v>
      </c>
      <c r="C3864">
        <v>0.92291683498007904</v>
      </c>
      <c r="D3864">
        <v>0.93792224749034403</v>
      </c>
      <c r="E3864">
        <v>0.66384113833017999</v>
      </c>
      <c r="F3864">
        <v>0.64145502277321897</v>
      </c>
      <c r="G3864">
        <v>0.59182966694111905</v>
      </c>
      <c r="H3864">
        <v>0.49468413384376803</v>
      </c>
      <c r="I3864">
        <v>0.34321420559085702</v>
      </c>
      <c r="J3864">
        <v>0.21741073350016499</v>
      </c>
      <c r="K3864">
        <v>0.177493082172794</v>
      </c>
      <c r="L3864">
        <v>432.85446589105197</v>
      </c>
      <c r="M3864">
        <v>7.4523537284841401</v>
      </c>
      <c r="N3864">
        <v>58.082928515722102</v>
      </c>
      <c r="O3864">
        <v>54.341221187974398</v>
      </c>
      <c r="P3864">
        <v>-3.4335466884293397E-2</v>
      </c>
      <c r="Q3864">
        <v>0</v>
      </c>
      <c r="R3864">
        <v>0.95982113209988595</v>
      </c>
      <c r="S3864" t="s">
        <v>10149</v>
      </c>
      <c r="T3864" t="s">
        <v>12568</v>
      </c>
      <c r="U3864" t="s">
        <v>12568</v>
      </c>
      <c r="V3864" t="s">
        <v>12568</v>
      </c>
      <c r="W3864" t="s">
        <v>16388</v>
      </c>
      <c r="X3864">
        <v>1</v>
      </c>
      <c r="Y3864" t="s">
        <v>22506</v>
      </c>
      <c r="Z3864" t="s">
        <v>28734</v>
      </c>
      <c r="AA3864">
        <v>0.60293105375140776</v>
      </c>
      <c r="AB3864" t="str">
        <f>HYPERLINK("Melting_Curves/meltCurve_Q7Z6V5_ADAT2.pdf", "Melting_Curves/meltCurve_Q7Z6V5_ADAT2.pdf")</f>
        <v>Melting_Curves/meltCurve_Q7Z6V5_ADAT2.pdf</v>
      </c>
    </row>
    <row r="3865" spans="1:28" x14ac:dyDescent="0.25">
      <c r="A3865" t="s">
        <v>3869</v>
      </c>
      <c r="B3865">
        <v>0.99352677808782597</v>
      </c>
      <c r="C3865">
        <v>1.0780711618584</v>
      </c>
      <c r="D3865">
        <v>0.88159409251103404</v>
      </c>
      <c r="E3865">
        <v>0.74905735260314599</v>
      </c>
      <c r="F3865">
        <v>0.60979221234567205</v>
      </c>
      <c r="G3865">
        <v>0.41398796877396998</v>
      </c>
      <c r="H3865">
        <v>0.21509004560060599</v>
      </c>
      <c r="I3865">
        <v>0.186524230628695</v>
      </c>
      <c r="J3865">
        <v>0.17182066623286699</v>
      </c>
      <c r="K3865">
        <v>0.12753614011400399</v>
      </c>
      <c r="L3865">
        <v>740.09673766877802</v>
      </c>
      <c r="M3865">
        <v>13.7273437222106</v>
      </c>
      <c r="N3865">
        <v>54.757834857177698</v>
      </c>
      <c r="O3865">
        <v>52.808530325753097</v>
      </c>
      <c r="P3865">
        <v>-5.8799762674699801E-2</v>
      </c>
      <c r="Q3865">
        <v>9.5328135207914097E-2</v>
      </c>
      <c r="R3865">
        <v>0.98751333703006094</v>
      </c>
      <c r="S3865" t="s">
        <v>10150</v>
      </c>
      <c r="T3865" t="s">
        <v>12568</v>
      </c>
      <c r="U3865" t="s">
        <v>12568</v>
      </c>
      <c r="V3865" t="s">
        <v>12568</v>
      </c>
      <c r="W3865" t="s">
        <v>16389</v>
      </c>
      <c r="X3865">
        <v>118</v>
      </c>
      <c r="Y3865" t="s">
        <v>22507</v>
      </c>
      <c r="Z3865" t="s">
        <v>28735</v>
      </c>
      <c r="AA3865">
        <v>0.53564147247475435</v>
      </c>
      <c r="AB3865" t="str">
        <f>HYPERLINK("Melting_Curves/meltCurve_Q7Z6Z7_2_HUWE1.pdf", "Melting_Curves/meltCurve_Q7Z6Z7_2_HUWE1.pdf")</f>
        <v>Melting_Curves/meltCurve_Q7Z6Z7_2_HUWE1.pdf</v>
      </c>
    </row>
    <row r="3866" spans="1:28" x14ac:dyDescent="0.25">
      <c r="A3866" t="s">
        <v>3870</v>
      </c>
      <c r="B3866">
        <v>0.99352677808782597</v>
      </c>
      <c r="C3866">
        <v>0.92514534191724995</v>
      </c>
      <c r="D3866">
        <v>0.78554172387715704</v>
      </c>
      <c r="E3866">
        <v>0.45652624572998302</v>
      </c>
      <c r="F3866">
        <v>0.40345020437853102</v>
      </c>
      <c r="G3866">
        <v>0.31491858229495501</v>
      </c>
      <c r="H3866">
        <v>0.243200633624435</v>
      </c>
      <c r="I3866">
        <v>0.25525426511363097</v>
      </c>
      <c r="J3866">
        <v>0.23036098593186</v>
      </c>
      <c r="K3866">
        <v>0.20859401623760501</v>
      </c>
      <c r="L3866">
        <v>830.69375698528495</v>
      </c>
      <c r="M3866">
        <v>17.211591801029002</v>
      </c>
      <c r="N3866">
        <v>50.081822917024397</v>
      </c>
      <c r="O3866">
        <v>47.626232450671601</v>
      </c>
      <c r="P3866">
        <v>-6.9360768932345607E-2</v>
      </c>
      <c r="Q3866">
        <v>0.23233185958918201</v>
      </c>
      <c r="R3866">
        <v>0.99264769142322395</v>
      </c>
      <c r="S3866" t="s">
        <v>10151</v>
      </c>
      <c r="T3866" t="s">
        <v>12568</v>
      </c>
      <c r="U3866" t="s">
        <v>12568</v>
      </c>
      <c r="V3866" t="s">
        <v>12568</v>
      </c>
      <c r="W3866" t="s">
        <v>16390</v>
      </c>
      <c r="X3866">
        <v>5</v>
      </c>
      <c r="Y3866" t="s">
        <v>22508</v>
      </c>
      <c r="Z3866" t="s">
        <v>28736</v>
      </c>
      <c r="AA3866">
        <v>0.4586102283566556</v>
      </c>
      <c r="AB3866" t="str">
        <f>HYPERLINK("Melting_Curves/meltCurve_Q7Z7A3_CTU1.pdf", "Melting_Curves/meltCurve_Q7Z7A3_CTU1.pdf")</f>
        <v>Melting_Curves/meltCurve_Q7Z7A3_CTU1.pdf</v>
      </c>
    </row>
    <row r="3867" spans="1:28" x14ac:dyDescent="0.25">
      <c r="A3867" t="s">
        <v>3871</v>
      </c>
      <c r="B3867">
        <v>0.99352677808782597</v>
      </c>
      <c r="C3867">
        <v>1.0055925328694699</v>
      </c>
      <c r="D3867">
        <v>0.97506725639171699</v>
      </c>
      <c r="E3867">
        <v>0.31427696282523598</v>
      </c>
      <c r="F3867">
        <v>0.237295562647133</v>
      </c>
      <c r="G3867">
        <v>0.15308694439180201</v>
      </c>
      <c r="H3867">
        <v>0.121681588967814</v>
      </c>
      <c r="I3867">
        <v>0.114902838166763</v>
      </c>
      <c r="J3867">
        <v>0.101287671460318</v>
      </c>
      <c r="K3867">
        <v>8.4645369402119294E-2</v>
      </c>
      <c r="L3867">
        <v>2318.3340613720402</v>
      </c>
      <c r="M3867">
        <v>47.563610260755297</v>
      </c>
      <c r="N3867">
        <v>49.0519315448322</v>
      </c>
      <c r="O3867">
        <v>48.655811361735502</v>
      </c>
      <c r="P3867">
        <v>-0.21264837837051001</v>
      </c>
      <c r="Q3867">
        <v>0.129874882441777</v>
      </c>
      <c r="R3867">
        <v>0.99163248518589098</v>
      </c>
      <c r="S3867" t="s">
        <v>10152</v>
      </c>
      <c r="T3867" t="s">
        <v>12568</v>
      </c>
      <c r="U3867" t="s">
        <v>12568</v>
      </c>
      <c r="V3867" t="s">
        <v>12568</v>
      </c>
      <c r="W3867" t="s">
        <v>16391</v>
      </c>
      <c r="X3867">
        <v>2</v>
      </c>
      <c r="Y3867" t="s">
        <v>22509</v>
      </c>
      <c r="Z3867" t="s">
        <v>28737</v>
      </c>
      <c r="AA3867">
        <v>0.38549150918276742</v>
      </c>
      <c r="AB3867" t="str">
        <f>HYPERLINK("Melting_Curves/meltCurve_Q7Z7A4_5_PXK.pdf", "Melting_Curves/meltCurve_Q7Z7A4_5_PXK.pdf")</f>
        <v>Melting_Curves/meltCurve_Q7Z7A4_5_PXK.pdf</v>
      </c>
    </row>
    <row r="3868" spans="1:28" x14ac:dyDescent="0.25">
      <c r="A3868" t="s">
        <v>3872</v>
      </c>
      <c r="B3868">
        <v>0.99352677808782597</v>
      </c>
      <c r="C3868">
        <v>0.94258721278963797</v>
      </c>
      <c r="D3868">
        <v>0.95264934443848903</v>
      </c>
      <c r="E3868">
        <v>0.89671557785772904</v>
      </c>
      <c r="F3868">
        <v>0.802012113946311</v>
      </c>
      <c r="G3868">
        <v>0.64710453196394702</v>
      </c>
      <c r="H3868">
        <v>0.46489258272765999</v>
      </c>
      <c r="I3868">
        <v>0.50295747306475702</v>
      </c>
      <c r="J3868">
        <v>0.51855828817335003</v>
      </c>
      <c r="K3868">
        <v>0.43967336149217601</v>
      </c>
      <c r="L3868">
        <v>895.37250426553305</v>
      </c>
      <c r="M3868">
        <v>16.412830165600599</v>
      </c>
      <c r="N3868">
        <v>63.043459017713602</v>
      </c>
      <c r="O3868">
        <v>53.762645590013101</v>
      </c>
      <c r="P3868">
        <v>-4.2348106967064703E-2</v>
      </c>
      <c r="Q3868">
        <v>0.44516949243635601</v>
      </c>
      <c r="R3868">
        <v>0.97662896749335804</v>
      </c>
      <c r="S3868" t="s">
        <v>10153</v>
      </c>
      <c r="T3868" t="s">
        <v>12568</v>
      </c>
      <c r="U3868" t="s">
        <v>12568</v>
      </c>
      <c r="V3868" t="s">
        <v>12568</v>
      </c>
      <c r="W3868" t="s">
        <v>16392</v>
      </c>
      <c r="X3868">
        <v>29</v>
      </c>
      <c r="Y3868" t="s">
        <v>22510</v>
      </c>
      <c r="Z3868" t="s">
        <v>28738</v>
      </c>
      <c r="AA3868">
        <v>0.7242041721285799</v>
      </c>
      <c r="AB3868" t="str">
        <f>HYPERLINK("Melting_Curves/meltCurve_Q7Z7B0_FILIP1.pdf", "Melting_Curves/meltCurve_Q7Z7B0_FILIP1.pdf")</f>
        <v>Melting_Curves/meltCurve_Q7Z7B0_FILIP1.pdf</v>
      </c>
    </row>
    <row r="3869" spans="1:28" x14ac:dyDescent="0.25">
      <c r="A3869" t="s">
        <v>3873</v>
      </c>
      <c r="B3869">
        <v>0.99352677808782597</v>
      </c>
      <c r="C3869">
        <v>0.98895760353295503</v>
      </c>
      <c r="D3869">
        <v>0.92783536295282698</v>
      </c>
      <c r="E3869">
        <v>0.71574392676460297</v>
      </c>
      <c r="F3869">
        <v>0.59184589178416402</v>
      </c>
      <c r="G3869">
        <v>0.37208876346346598</v>
      </c>
      <c r="H3869">
        <v>0.217223441329019</v>
      </c>
      <c r="I3869">
        <v>0.17004149087366699</v>
      </c>
      <c r="J3869">
        <v>0.18698227300425399</v>
      </c>
      <c r="K3869">
        <v>0.170313699493221</v>
      </c>
      <c r="L3869">
        <v>792.33363876477802</v>
      </c>
      <c r="M3869">
        <v>14.950253818613101</v>
      </c>
      <c r="N3869">
        <v>54.125470103684897</v>
      </c>
      <c r="O3869">
        <v>52.076890887933203</v>
      </c>
      <c r="P3869">
        <v>-6.2173800754364898E-2</v>
      </c>
      <c r="Q3869">
        <v>0.13379748287297499</v>
      </c>
      <c r="R3869">
        <v>0.99655957715507704</v>
      </c>
      <c r="S3869" t="s">
        <v>10154</v>
      </c>
      <c r="T3869" t="s">
        <v>12568</v>
      </c>
      <c r="U3869" t="s">
        <v>12568</v>
      </c>
      <c r="V3869" t="s">
        <v>12568</v>
      </c>
      <c r="W3869" t="s">
        <v>16393</v>
      </c>
      <c r="X3869">
        <v>2</v>
      </c>
      <c r="Y3869" t="s">
        <v>22511</v>
      </c>
      <c r="Z3869" t="s">
        <v>28739</v>
      </c>
      <c r="AA3869">
        <v>0.52782175010142962</v>
      </c>
      <c r="AB3869" t="str">
        <f>HYPERLINK("Melting_Curves/meltCurve_Q7Z7C8_TAF8.pdf", "Melting_Curves/meltCurve_Q7Z7C8_TAF8.pdf")</f>
        <v>Melting_Curves/meltCurve_Q7Z7C8_TAF8.pdf</v>
      </c>
    </row>
    <row r="3870" spans="1:28" x14ac:dyDescent="0.25">
      <c r="A3870" t="s">
        <v>3874</v>
      </c>
      <c r="B3870">
        <v>0.99352677808782597</v>
      </c>
      <c r="C3870">
        <v>0.72040512879720797</v>
      </c>
      <c r="D3870">
        <v>0.906147372131205</v>
      </c>
      <c r="E3870">
        <v>0.75624717459232305</v>
      </c>
      <c r="F3870">
        <v>0.70134700043081899</v>
      </c>
      <c r="G3870">
        <v>0.32882986052136598</v>
      </c>
      <c r="H3870">
        <v>0.14800522026323601</v>
      </c>
      <c r="I3870">
        <v>0.12575755675178299</v>
      </c>
      <c r="J3870">
        <v>9.9845295227987005E-2</v>
      </c>
      <c r="K3870">
        <v>7.8804534077010296E-2</v>
      </c>
      <c r="L3870">
        <v>675.95014950575603</v>
      </c>
      <c r="M3870">
        <v>12.3962981475891</v>
      </c>
      <c r="N3870">
        <v>54.528387492889003</v>
      </c>
      <c r="O3870">
        <v>53.1676639945902</v>
      </c>
      <c r="P3870">
        <v>-5.8301098244704697E-2</v>
      </c>
      <c r="Q3870">
        <v>0</v>
      </c>
      <c r="R3870">
        <v>0.93330103494184602</v>
      </c>
      <c r="S3870" t="s">
        <v>10155</v>
      </c>
      <c r="T3870" t="s">
        <v>12568</v>
      </c>
      <c r="U3870" t="s">
        <v>12568</v>
      </c>
      <c r="V3870" t="s">
        <v>12568</v>
      </c>
      <c r="W3870" t="s">
        <v>16394</v>
      </c>
      <c r="X3870">
        <v>12</v>
      </c>
      <c r="Y3870" t="s">
        <v>22512</v>
      </c>
      <c r="Z3870" t="s">
        <v>28740</v>
      </c>
      <c r="AA3870">
        <v>0.50837335462627908</v>
      </c>
      <c r="AB3870" t="str">
        <f>HYPERLINK("Melting_Curves/meltCurve_Q7Z7E8_UBE2Q1.pdf", "Melting_Curves/meltCurve_Q7Z7E8_UBE2Q1.pdf")</f>
        <v>Melting_Curves/meltCurve_Q7Z7E8_UBE2Q1.pdf</v>
      </c>
    </row>
    <row r="3871" spans="1:28" x14ac:dyDescent="0.25">
      <c r="A3871" t="s">
        <v>3875</v>
      </c>
      <c r="B3871">
        <v>0.99352677808782597</v>
      </c>
      <c r="C3871">
        <v>0.90151460218133705</v>
      </c>
      <c r="D3871">
        <v>0.92457764713534896</v>
      </c>
      <c r="E3871">
        <v>0.71681104472381696</v>
      </c>
      <c r="F3871">
        <v>0.64620964859866303</v>
      </c>
      <c r="G3871">
        <v>0.37629279845123997</v>
      </c>
      <c r="H3871">
        <v>0.29188937877735699</v>
      </c>
      <c r="I3871">
        <v>0.33675148468968602</v>
      </c>
      <c r="J3871">
        <v>0.286183963210974</v>
      </c>
      <c r="K3871">
        <v>0.24562343723779501</v>
      </c>
      <c r="L3871">
        <v>725.23057960569997</v>
      </c>
      <c r="M3871">
        <v>13.843179539921399</v>
      </c>
      <c r="N3871">
        <v>54.905412026170801</v>
      </c>
      <c r="O3871">
        <v>51.332071533177498</v>
      </c>
      <c r="P3871">
        <v>-5.1590833623796899E-2</v>
      </c>
      <c r="Q3871">
        <v>0.234887247514073</v>
      </c>
      <c r="R3871">
        <v>0.98161034253771295</v>
      </c>
      <c r="S3871" t="s">
        <v>10156</v>
      </c>
      <c r="T3871" t="s">
        <v>12568</v>
      </c>
      <c r="U3871" t="s">
        <v>12568</v>
      </c>
      <c r="V3871" t="s">
        <v>12568</v>
      </c>
      <c r="W3871" t="s">
        <v>16395</v>
      </c>
      <c r="X3871">
        <v>2</v>
      </c>
      <c r="Y3871" t="s">
        <v>22513</v>
      </c>
      <c r="Z3871" t="s">
        <v>28741</v>
      </c>
      <c r="AA3871">
        <v>0.56977475854898807</v>
      </c>
      <c r="AB3871" t="str">
        <f>HYPERLINK("Melting_Curves/meltCurve_Q7Z7F0_KIAA0907.pdf", "Melting_Curves/meltCurve_Q7Z7F0_KIAA0907.pdf")</f>
        <v>Melting_Curves/meltCurve_Q7Z7F0_KIAA0907.pdf</v>
      </c>
    </row>
    <row r="3872" spans="1:28" x14ac:dyDescent="0.25">
      <c r="A3872" t="s">
        <v>3876</v>
      </c>
      <c r="B3872">
        <v>0.99352677808782597</v>
      </c>
      <c r="C3872">
        <v>0.94669388864202297</v>
      </c>
      <c r="D3872">
        <v>1.0332284574891699</v>
      </c>
      <c r="E3872">
        <v>1.0170136351240799</v>
      </c>
      <c r="F3872">
        <v>0.87686205647677595</v>
      </c>
      <c r="G3872">
        <v>0.83607602061028397</v>
      </c>
      <c r="H3872">
        <v>0.790102411226556</v>
      </c>
      <c r="I3872">
        <v>0.83606909136561003</v>
      </c>
      <c r="J3872">
        <v>0.93654074577003299</v>
      </c>
      <c r="K3872">
        <v>0.74630962428916603</v>
      </c>
      <c r="L3872">
        <v>13199.8943846402</v>
      </c>
      <c r="M3872">
        <v>250</v>
      </c>
      <c r="O3872">
        <v>52.796198804352699</v>
      </c>
      <c r="P3872">
        <v>-0.20240617936844299</v>
      </c>
      <c r="Q3872">
        <v>0.82901957032449802</v>
      </c>
      <c r="R3872">
        <v>0.72424733564506705</v>
      </c>
      <c r="S3872" t="s">
        <v>10157</v>
      </c>
      <c r="T3872" t="s">
        <v>12568</v>
      </c>
      <c r="U3872" t="s">
        <v>12568</v>
      </c>
      <c r="V3872" t="s">
        <v>12568</v>
      </c>
      <c r="W3872" t="s">
        <v>16396</v>
      </c>
      <c r="X3872">
        <v>5</v>
      </c>
      <c r="Y3872" t="s">
        <v>22514</v>
      </c>
      <c r="Z3872" t="s">
        <v>28742</v>
      </c>
      <c r="AA3872">
        <v>0.90198465602803002</v>
      </c>
      <c r="AB3872" t="str">
        <f>HYPERLINK("Melting_Curves/meltCurve_Q7Z7G8_2_VPS13B.pdf", "Melting_Curves/meltCurve_Q7Z7G8_2_VPS13B.pdf")</f>
        <v>Melting_Curves/meltCurve_Q7Z7G8_2_VPS13B.pdf</v>
      </c>
    </row>
    <row r="3873" spans="1:28" x14ac:dyDescent="0.25">
      <c r="A3873" t="s">
        <v>3877</v>
      </c>
      <c r="B3873">
        <v>0.99352677808782597</v>
      </c>
      <c r="C3873">
        <v>0.82122274202479295</v>
      </c>
      <c r="D3873">
        <v>0.95942551679695798</v>
      </c>
      <c r="E3873">
        <v>0.66267286651255597</v>
      </c>
      <c r="F3873">
        <v>0.55296321869965104</v>
      </c>
      <c r="G3873">
        <v>0.25923713252720598</v>
      </c>
      <c r="H3873">
        <v>0.140188680023244</v>
      </c>
      <c r="I3873">
        <v>0.115591456648425</v>
      </c>
      <c r="J3873">
        <v>0.115321824158233</v>
      </c>
      <c r="K3873">
        <v>9.3059396306754402E-2</v>
      </c>
      <c r="L3873">
        <v>750.618495834702</v>
      </c>
      <c r="M3873">
        <v>14.270711830935699</v>
      </c>
      <c r="N3873">
        <v>53.010892082606503</v>
      </c>
      <c r="O3873">
        <v>51.598035140975597</v>
      </c>
      <c r="P3873">
        <v>-6.5519306554209802E-2</v>
      </c>
      <c r="Q3873">
        <v>5.2534502292599497E-2</v>
      </c>
      <c r="R3873">
        <v>0.97471943241574599</v>
      </c>
      <c r="S3873" t="s">
        <v>10158</v>
      </c>
      <c r="T3873" t="s">
        <v>12568</v>
      </c>
      <c r="U3873" t="s">
        <v>12568</v>
      </c>
      <c r="V3873" t="s">
        <v>12568</v>
      </c>
      <c r="W3873" t="s">
        <v>16397</v>
      </c>
      <c r="X3873">
        <v>1</v>
      </c>
      <c r="Y3873" t="s">
        <v>22515</v>
      </c>
      <c r="Z3873" t="s">
        <v>28743</v>
      </c>
      <c r="AA3873">
        <v>0.4726645067855984</v>
      </c>
      <c r="AB3873" t="str">
        <f>HYPERLINK("Melting_Curves/meltCurve_Q7Z7H8_MRPL10.pdf", "Melting_Curves/meltCurve_Q7Z7H8_MRPL10.pdf")</f>
        <v>Melting_Curves/meltCurve_Q7Z7H8_MRPL10.pdf</v>
      </c>
    </row>
    <row r="3874" spans="1:28" x14ac:dyDescent="0.25">
      <c r="A3874" t="s">
        <v>3878</v>
      </c>
      <c r="B3874">
        <v>0.99352677808782597</v>
      </c>
      <c r="C3874">
        <v>0.85423876159309897</v>
      </c>
      <c r="D3874">
        <v>0.90482218948415905</v>
      </c>
      <c r="E3874">
        <v>0.873211211628382</v>
      </c>
      <c r="F3874">
        <v>0.76222612682600299</v>
      </c>
      <c r="G3874">
        <v>0.81987257698138005</v>
      </c>
      <c r="H3874">
        <v>0.66531328614701202</v>
      </c>
      <c r="I3874">
        <v>0.74892596633669695</v>
      </c>
      <c r="J3874">
        <v>0.71678580385303703</v>
      </c>
      <c r="K3874">
        <v>0.66475589756386799</v>
      </c>
      <c r="L3874">
        <v>296.27795911533099</v>
      </c>
      <c r="M3874">
        <v>5.4748662297887698</v>
      </c>
      <c r="O3874">
        <v>48.176848492860998</v>
      </c>
      <c r="P3874">
        <v>-1.16756228860563E-2</v>
      </c>
      <c r="Q3874">
        <v>0.59086620774403298</v>
      </c>
      <c r="R3874">
        <v>0.81469128892471898</v>
      </c>
      <c r="S3874" t="s">
        <v>10159</v>
      </c>
      <c r="T3874" t="s">
        <v>12568</v>
      </c>
      <c r="U3874" t="s">
        <v>12568</v>
      </c>
      <c r="V3874" t="s">
        <v>12568</v>
      </c>
      <c r="W3874" t="s">
        <v>16398</v>
      </c>
      <c r="X3874">
        <v>4</v>
      </c>
      <c r="Y3874" t="s">
        <v>22516</v>
      </c>
      <c r="Z3874" t="s">
        <v>28744</v>
      </c>
      <c r="AA3874">
        <v>0.798153255227526</v>
      </c>
      <c r="AB3874" t="str">
        <f>HYPERLINK("Melting_Curves/meltCurve_Q7Z7J9_CAMK2N1.pdf", "Melting_Curves/meltCurve_Q7Z7J9_CAMK2N1.pdf")</f>
        <v>Melting_Curves/meltCurve_Q7Z7J9_CAMK2N1.pdf</v>
      </c>
    </row>
    <row r="3875" spans="1:28" x14ac:dyDescent="0.25">
      <c r="A3875" t="s">
        <v>3879</v>
      </c>
      <c r="B3875">
        <v>0.99352677808782597</v>
      </c>
      <c r="C3875">
        <v>0.96732159698205999</v>
      </c>
      <c r="D3875">
        <v>1.0210583838549101</v>
      </c>
      <c r="E3875">
        <v>0.91372820136896504</v>
      </c>
      <c r="F3875">
        <v>0.80914510229854497</v>
      </c>
      <c r="G3875">
        <v>0.697353445309155</v>
      </c>
      <c r="H3875">
        <v>0.55830665391898504</v>
      </c>
      <c r="I3875">
        <v>0.66123238005260798</v>
      </c>
      <c r="J3875">
        <v>0.65633976665638405</v>
      </c>
      <c r="K3875">
        <v>0.52349379616488201</v>
      </c>
      <c r="L3875">
        <v>1115.53742554562</v>
      </c>
      <c r="M3875">
        <v>20.874509379942399</v>
      </c>
      <c r="O3875">
        <v>52.956986542092302</v>
      </c>
      <c r="P3875">
        <v>-4.0305201747495203E-2</v>
      </c>
      <c r="Q3875">
        <v>0.59100674830369504</v>
      </c>
      <c r="R3875">
        <v>0.94119659683530099</v>
      </c>
      <c r="S3875" t="s">
        <v>10160</v>
      </c>
      <c r="T3875" t="s">
        <v>12568</v>
      </c>
      <c r="U3875" t="s">
        <v>12568</v>
      </c>
      <c r="V3875" t="s">
        <v>12568</v>
      </c>
      <c r="W3875" t="s">
        <v>16399</v>
      </c>
      <c r="X3875">
        <v>2</v>
      </c>
      <c r="Y3875" t="s">
        <v>22517</v>
      </c>
      <c r="Z3875" t="s">
        <v>28745</v>
      </c>
      <c r="AA3875">
        <v>0.77944868496482866</v>
      </c>
      <c r="AB3875" t="str">
        <f>HYPERLINK("Melting_Curves/meltCurve_Q7Z7K0_CMC1.pdf", "Melting_Curves/meltCurve_Q7Z7K0_CMC1.pdf")</f>
        <v>Melting_Curves/meltCurve_Q7Z7K0_CMC1.pdf</v>
      </c>
    </row>
    <row r="3876" spans="1:28" x14ac:dyDescent="0.25">
      <c r="A3876" t="s">
        <v>3880</v>
      </c>
      <c r="B3876">
        <v>0.99352677808782597</v>
      </c>
      <c r="C3876">
        <v>0.86242814927429901</v>
      </c>
      <c r="D3876">
        <v>0.911233041750107</v>
      </c>
      <c r="E3876">
        <v>0.95301996241767095</v>
      </c>
      <c r="F3876">
        <v>1.1042570837563499</v>
      </c>
      <c r="G3876">
        <v>1.2354921343462399</v>
      </c>
      <c r="H3876">
        <v>1.17694550202986</v>
      </c>
      <c r="I3876">
        <v>1.33546570855066</v>
      </c>
      <c r="J3876">
        <v>1.1236264791970201</v>
      </c>
      <c r="K3876">
        <v>1.1063753980015101</v>
      </c>
      <c r="L3876">
        <v>13242.9804051427</v>
      </c>
      <c r="M3876">
        <v>250</v>
      </c>
      <c r="O3876">
        <v>52.968544105774903</v>
      </c>
      <c r="P3876">
        <v>0.230775049915872</v>
      </c>
      <c r="Q3876">
        <v>1.19558104894344</v>
      </c>
      <c r="R3876">
        <v>0.68379971491754399</v>
      </c>
      <c r="S3876" t="s">
        <v>10161</v>
      </c>
      <c r="T3876" t="s">
        <v>12568</v>
      </c>
      <c r="U3876" t="s">
        <v>12568</v>
      </c>
      <c r="V3876" t="s">
        <v>12568</v>
      </c>
      <c r="W3876" t="s">
        <v>16400</v>
      </c>
      <c r="X3876">
        <v>2</v>
      </c>
      <c r="Y3876" t="s">
        <v>22518</v>
      </c>
      <c r="Z3876" t="s">
        <v>28746</v>
      </c>
      <c r="AA3876">
        <v>1.1109941321923931</v>
      </c>
      <c r="AB3876" t="str">
        <f>HYPERLINK("Melting_Curves/meltCurve_Q7Z7K6_3_CENPV.pdf", "Melting_Curves/meltCurve_Q7Z7K6_3_CENPV.pdf")</f>
        <v>Melting_Curves/meltCurve_Q7Z7K6_3_CENPV.pdf</v>
      </c>
    </row>
    <row r="3877" spans="1:28" x14ac:dyDescent="0.25">
      <c r="A3877" t="s">
        <v>3881</v>
      </c>
      <c r="B3877">
        <v>0.99352677808782597</v>
      </c>
      <c r="C3877">
        <v>0.94196428295057499</v>
      </c>
      <c r="D3877">
        <v>0.78790627757758103</v>
      </c>
      <c r="E3877">
        <v>0.31791077807307599</v>
      </c>
      <c r="F3877">
        <v>0.25536124998131099</v>
      </c>
      <c r="G3877">
        <v>0.16300463267964699</v>
      </c>
      <c r="H3877">
        <v>0.113680630217282</v>
      </c>
      <c r="I3877">
        <v>0.104515659381003</v>
      </c>
      <c r="J3877">
        <v>8.9274863499583704E-2</v>
      </c>
      <c r="K3877">
        <v>7.2889016222987199E-2</v>
      </c>
      <c r="L3877">
        <v>1088.2396424435699</v>
      </c>
      <c r="M3877">
        <v>22.6335867221105</v>
      </c>
      <c r="N3877">
        <v>48.583689876585801</v>
      </c>
      <c r="O3877">
        <v>47.710128760742499</v>
      </c>
      <c r="P3877">
        <v>-0.106214937695396</v>
      </c>
      <c r="Q3877">
        <v>0.104441128594571</v>
      </c>
      <c r="R3877">
        <v>0.99318075429021102</v>
      </c>
      <c r="S3877" t="s">
        <v>10162</v>
      </c>
      <c r="T3877" t="s">
        <v>12568</v>
      </c>
      <c r="U3877" t="s">
        <v>12568</v>
      </c>
      <c r="V3877" t="s">
        <v>12568</v>
      </c>
      <c r="W3877" t="s">
        <v>16401</v>
      </c>
      <c r="X3877">
        <v>7</v>
      </c>
      <c r="Y3877" t="s">
        <v>22519</v>
      </c>
      <c r="Z3877" t="s">
        <v>28747</v>
      </c>
      <c r="AA3877">
        <v>0.35544107004511671</v>
      </c>
      <c r="AB3877" t="str">
        <f>HYPERLINK("Melting_Curves/meltCurve_Q7Z7L1_SLFN11.pdf", "Melting_Curves/meltCurve_Q7Z7L1_SLFN11.pdf")</f>
        <v>Melting_Curves/meltCurve_Q7Z7L1_SLFN11.pdf</v>
      </c>
    </row>
    <row r="3878" spans="1:28" x14ac:dyDescent="0.25">
      <c r="A3878" t="s">
        <v>3882</v>
      </c>
      <c r="B3878">
        <v>0.99352677808782597</v>
      </c>
      <c r="C3878">
        <v>1.03404043941246</v>
      </c>
      <c r="D3878">
        <v>0.88088448819416598</v>
      </c>
      <c r="E3878">
        <v>0.56823090417383404</v>
      </c>
      <c r="F3878">
        <v>0.38843370828666501</v>
      </c>
      <c r="G3878">
        <v>0.21731319684459999</v>
      </c>
      <c r="H3878">
        <v>9.8022849475120397E-2</v>
      </c>
      <c r="I3878">
        <v>9.5411772009389204E-2</v>
      </c>
      <c r="J3878">
        <v>7.1415277829315393E-2</v>
      </c>
      <c r="K3878">
        <v>7.8823836040161702E-2</v>
      </c>
      <c r="L3878">
        <v>907.59545830720594</v>
      </c>
      <c r="M3878">
        <v>17.855190235147901</v>
      </c>
      <c r="N3878">
        <v>51.266469233011399</v>
      </c>
      <c r="O3878">
        <v>50.2061414658858</v>
      </c>
      <c r="P3878">
        <v>-8.2656405683445899E-2</v>
      </c>
      <c r="Q3878">
        <v>7.0376805006830495E-2</v>
      </c>
      <c r="R3878">
        <v>0.99485521155200696</v>
      </c>
      <c r="S3878" t="s">
        <v>10163</v>
      </c>
      <c r="T3878" t="s">
        <v>12568</v>
      </c>
      <c r="U3878" t="s">
        <v>12568</v>
      </c>
      <c r="V3878" t="s">
        <v>12568</v>
      </c>
      <c r="W3878" t="s">
        <v>16402</v>
      </c>
      <c r="X3878">
        <v>6</v>
      </c>
      <c r="Y3878" t="s">
        <v>22520</v>
      </c>
      <c r="Z3878" t="s">
        <v>28748</v>
      </c>
      <c r="AA3878">
        <v>0.42192525571918588</v>
      </c>
      <c r="AB3878" t="str">
        <f>HYPERLINK("Melting_Curves/meltCurve_Q7Z7L7_ZER1.pdf", "Melting_Curves/meltCurve_Q7Z7L7_ZER1.pdf")</f>
        <v>Melting_Curves/meltCurve_Q7Z7L7_ZER1.pdf</v>
      </c>
    </row>
    <row r="3879" spans="1:28" x14ac:dyDescent="0.25">
      <c r="A3879" t="s">
        <v>3883</v>
      </c>
      <c r="B3879">
        <v>0.99352677808782597</v>
      </c>
      <c r="C3879">
        <v>0.92270065448002903</v>
      </c>
      <c r="D3879">
        <v>0.83459390383188303</v>
      </c>
      <c r="E3879">
        <v>0.91978824938329395</v>
      </c>
      <c r="F3879">
        <v>0.90684862276835998</v>
      </c>
      <c r="G3879">
        <v>0.74180804288191804</v>
      </c>
      <c r="H3879">
        <v>0.54722511776875604</v>
      </c>
      <c r="I3879">
        <v>0.56073153429349998</v>
      </c>
      <c r="J3879">
        <v>0.63459901227357796</v>
      </c>
      <c r="K3879">
        <v>0.51820767787588795</v>
      </c>
      <c r="L3879">
        <v>455.15113023012299</v>
      </c>
      <c r="M3879">
        <v>7.7515055681607397</v>
      </c>
      <c r="O3879">
        <v>55.1937553975593</v>
      </c>
      <c r="P3879">
        <v>-2.1568717244617001E-2</v>
      </c>
      <c r="Q3879">
        <v>0.38646968751149202</v>
      </c>
      <c r="R3879">
        <v>0.86038010348953897</v>
      </c>
      <c r="S3879" t="s">
        <v>10164</v>
      </c>
      <c r="T3879" t="s">
        <v>12568</v>
      </c>
      <c r="U3879" t="s">
        <v>12568</v>
      </c>
      <c r="V3879" t="s">
        <v>12568</v>
      </c>
      <c r="W3879" t="s">
        <v>16403</v>
      </c>
      <c r="X3879">
        <v>3</v>
      </c>
      <c r="Y3879" t="s">
        <v>22521</v>
      </c>
      <c r="Z3879" t="s">
        <v>28749</v>
      </c>
      <c r="AA3879">
        <v>0.76668335993969616</v>
      </c>
      <c r="AB3879" t="str">
        <f>HYPERLINK("Melting_Curves/meltCurve_Q7Z7L9_ZSCAN2.pdf", "Melting_Curves/meltCurve_Q7Z7L9_ZSCAN2.pdf")</f>
        <v>Melting_Curves/meltCurve_Q7Z7L9_ZSCAN2.pdf</v>
      </c>
    </row>
    <row r="3880" spans="1:28" x14ac:dyDescent="0.25">
      <c r="A3880" t="s">
        <v>3884</v>
      </c>
      <c r="B3880">
        <v>0.99352677808782597</v>
      </c>
      <c r="C3880">
        <v>0.97977071062399401</v>
      </c>
      <c r="D3880">
        <v>0.92798223397606505</v>
      </c>
      <c r="E3880">
        <v>0.83713829738783296</v>
      </c>
      <c r="F3880">
        <v>0.71958856069953503</v>
      </c>
      <c r="G3880">
        <v>0.68809217163322101</v>
      </c>
      <c r="H3880">
        <v>0.62235615815939005</v>
      </c>
      <c r="I3880">
        <v>0.726687629751262</v>
      </c>
      <c r="J3880">
        <v>0.56817567533056201</v>
      </c>
      <c r="K3880">
        <v>0.45943347956380298</v>
      </c>
      <c r="L3880">
        <v>401.98094234394603</v>
      </c>
      <c r="M3880">
        <v>7.04154472798926</v>
      </c>
      <c r="O3880">
        <v>53.018563225358399</v>
      </c>
      <c r="P3880">
        <v>-1.9716736673169099E-2</v>
      </c>
      <c r="Q3880">
        <v>0.40725514950324199</v>
      </c>
      <c r="R3880">
        <v>0.89990138678708698</v>
      </c>
      <c r="S3880" t="s">
        <v>10165</v>
      </c>
      <c r="T3880" t="s">
        <v>12568</v>
      </c>
      <c r="U3880" t="s">
        <v>12568</v>
      </c>
      <c r="V3880" t="s">
        <v>12568</v>
      </c>
      <c r="W3880" t="s">
        <v>16404</v>
      </c>
      <c r="X3880">
        <v>2</v>
      </c>
      <c r="Y3880" t="s">
        <v>22522</v>
      </c>
      <c r="Z3880" t="s">
        <v>28750</v>
      </c>
      <c r="AA3880">
        <v>0.74946558434296473</v>
      </c>
      <c r="AB3880" t="str">
        <f>HYPERLINK("Melting_Curves/meltCurve_Q86SJ2_AMIGO2.pdf", "Melting_Curves/meltCurve_Q86SJ2_AMIGO2.pdf")</f>
        <v>Melting_Curves/meltCurve_Q86SJ2_AMIGO2.pdf</v>
      </c>
    </row>
    <row r="3881" spans="1:28" x14ac:dyDescent="0.25">
      <c r="A3881" t="s">
        <v>3885</v>
      </c>
      <c r="B3881">
        <v>0.99352677808782597</v>
      </c>
      <c r="C3881">
        <v>0.92797922382778397</v>
      </c>
      <c r="D3881">
        <v>0.95536542369822197</v>
      </c>
      <c r="E3881">
        <v>0.74777991540102895</v>
      </c>
      <c r="F3881">
        <v>0.69431592196384495</v>
      </c>
      <c r="G3881">
        <v>0.61027120094859399</v>
      </c>
      <c r="H3881">
        <v>0.59703206855401303</v>
      </c>
      <c r="I3881">
        <v>0.64051096953919995</v>
      </c>
      <c r="J3881">
        <v>0.718631158172373</v>
      </c>
      <c r="K3881">
        <v>0.62713385672703503</v>
      </c>
      <c r="L3881">
        <v>1278.2012078872899</v>
      </c>
      <c r="M3881">
        <v>26.282108029603801</v>
      </c>
      <c r="O3881">
        <v>48.354934671790303</v>
      </c>
      <c r="P3881">
        <v>-4.9029639996110902E-2</v>
      </c>
      <c r="Q3881">
        <v>0.63917663219035703</v>
      </c>
      <c r="R3881">
        <v>0.93079372508455704</v>
      </c>
      <c r="S3881" t="s">
        <v>10166</v>
      </c>
      <c r="T3881" t="s">
        <v>12568</v>
      </c>
      <c r="U3881" t="s">
        <v>12568</v>
      </c>
      <c r="V3881" t="s">
        <v>12568</v>
      </c>
      <c r="W3881" t="s">
        <v>16405</v>
      </c>
      <c r="X3881">
        <v>19</v>
      </c>
      <c r="Y3881" t="s">
        <v>22523</v>
      </c>
      <c r="Z3881" t="s">
        <v>28751</v>
      </c>
      <c r="AA3881">
        <v>0.74589628260992646</v>
      </c>
      <c r="AB3881" t="str">
        <f>HYPERLINK("Melting_Curves/meltCurve_Q86SQ0_PHLDB2.pdf", "Melting_Curves/meltCurve_Q86SQ0_PHLDB2.pdf")</f>
        <v>Melting_Curves/meltCurve_Q86SQ0_PHLDB2.pdf</v>
      </c>
    </row>
    <row r="3882" spans="1:28" x14ac:dyDescent="0.25">
      <c r="A3882" t="s">
        <v>3886</v>
      </c>
      <c r="B3882">
        <v>0.99352677808782597</v>
      </c>
      <c r="C3882">
        <v>1.0154659404528299</v>
      </c>
      <c r="D3882">
        <v>0.93615431889075496</v>
      </c>
      <c r="E3882">
        <v>0.91688806689158597</v>
      </c>
      <c r="F3882">
        <v>0.78425400660738198</v>
      </c>
      <c r="G3882">
        <v>0.60609902825566497</v>
      </c>
      <c r="H3882">
        <v>0.77990198353616003</v>
      </c>
      <c r="I3882">
        <v>0.80153795976951003</v>
      </c>
      <c r="J3882">
        <v>1.0116795011211599</v>
      </c>
      <c r="K3882">
        <v>0.69329436499141806</v>
      </c>
      <c r="L3882">
        <v>3516.1460146548002</v>
      </c>
      <c r="M3882">
        <v>69.825055623127597</v>
      </c>
      <c r="O3882">
        <v>50.315260059087699</v>
      </c>
      <c r="P3882">
        <v>-7.6885250637100694E-2</v>
      </c>
      <c r="Q3882">
        <v>0.77838901436349694</v>
      </c>
      <c r="R3882">
        <v>0.469788601207834</v>
      </c>
      <c r="S3882" t="s">
        <v>10167</v>
      </c>
      <c r="T3882" t="s">
        <v>12568</v>
      </c>
      <c r="U3882" t="s">
        <v>12568</v>
      </c>
      <c r="V3882" t="s">
        <v>12568</v>
      </c>
      <c r="W3882" t="s">
        <v>16406</v>
      </c>
      <c r="X3882">
        <v>10</v>
      </c>
      <c r="Y3882" t="s">
        <v>22524</v>
      </c>
      <c r="Z3882" t="s">
        <v>28752</v>
      </c>
      <c r="AA3882">
        <v>0.85514460422470973</v>
      </c>
      <c r="AB3882" t="str">
        <f>HYPERLINK("Melting_Curves/meltCurve_Q86SQ4_GPR126.pdf", "Melting_Curves/meltCurve_Q86SQ4_GPR126.pdf")</f>
        <v>Melting_Curves/meltCurve_Q86SQ4_GPR126.pdf</v>
      </c>
    </row>
    <row r="3883" spans="1:28" x14ac:dyDescent="0.25">
      <c r="A3883" t="s">
        <v>3887</v>
      </c>
      <c r="B3883">
        <v>0.99352677808782597</v>
      </c>
      <c r="C3883">
        <v>0.97657054253850295</v>
      </c>
      <c r="D3883">
        <v>0.926816926376688</v>
      </c>
      <c r="E3883">
        <v>0.89325919258628805</v>
      </c>
      <c r="F3883">
        <v>0.79984935004958202</v>
      </c>
      <c r="G3883">
        <v>0.71354544759734195</v>
      </c>
      <c r="H3883">
        <v>0.65807168728356802</v>
      </c>
      <c r="I3883">
        <v>0.66676813216599295</v>
      </c>
      <c r="J3883">
        <v>0.72651614350497096</v>
      </c>
      <c r="K3883">
        <v>0.65969432602642197</v>
      </c>
      <c r="L3883">
        <v>812.34892428142598</v>
      </c>
      <c r="M3883">
        <v>15.791582011800401</v>
      </c>
      <c r="O3883">
        <v>50.638155722904699</v>
      </c>
      <c r="P3883">
        <v>-2.61415083394437E-2</v>
      </c>
      <c r="Q3883">
        <v>0.66472045437024097</v>
      </c>
      <c r="R3883">
        <v>0.96478639431387103</v>
      </c>
      <c r="S3883" t="s">
        <v>10168</v>
      </c>
      <c r="T3883" t="s">
        <v>12568</v>
      </c>
      <c r="U3883" t="s">
        <v>12568</v>
      </c>
      <c r="V3883" t="s">
        <v>12568</v>
      </c>
      <c r="W3883" t="s">
        <v>16407</v>
      </c>
      <c r="X3883">
        <v>8</v>
      </c>
      <c r="Y3883" t="s">
        <v>22525</v>
      </c>
      <c r="Z3883" t="s">
        <v>28753</v>
      </c>
      <c r="AA3883">
        <v>0.79962072206609458</v>
      </c>
      <c r="AB3883" t="str">
        <f>HYPERLINK("Melting_Curves/meltCurve_Q86SQ7_SDCCAG8.pdf", "Melting_Curves/meltCurve_Q86SQ7_SDCCAG8.pdf")</f>
        <v>Melting_Curves/meltCurve_Q86SQ7_SDCCAG8.pdf</v>
      </c>
    </row>
    <row r="3884" spans="1:28" x14ac:dyDescent="0.25">
      <c r="A3884" t="s">
        <v>3888</v>
      </c>
      <c r="B3884">
        <v>0.99352677808782597</v>
      </c>
      <c r="C3884">
        <v>0.98292789823256599</v>
      </c>
      <c r="D3884">
        <v>0.96911700306789095</v>
      </c>
      <c r="E3884">
        <v>0.86067688661754105</v>
      </c>
      <c r="F3884">
        <v>0.77477500764623297</v>
      </c>
      <c r="G3884">
        <v>0.62902293317095703</v>
      </c>
      <c r="H3884">
        <v>0.50865782331540899</v>
      </c>
      <c r="I3884">
        <v>0.47521756037493001</v>
      </c>
      <c r="J3884">
        <v>0.52378638295045199</v>
      </c>
      <c r="K3884">
        <v>0.38769536764701701</v>
      </c>
      <c r="L3884">
        <v>729.76847751335004</v>
      </c>
      <c r="M3884">
        <v>13.318616131342299</v>
      </c>
      <c r="N3884">
        <v>62.614901977484102</v>
      </c>
      <c r="O3884">
        <v>53.602059382968697</v>
      </c>
      <c r="P3884">
        <v>-3.6948397370965898E-2</v>
      </c>
      <c r="Q3884">
        <v>0.40528600991327901</v>
      </c>
      <c r="R3884">
        <v>0.98367071277356699</v>
      </c>
      <c r="S3884" t="s">
        <v>10169</v>
      </c>
      <c r="T3884" t="s">
        <v>12568</v>
      </c>
      <c r="U3884" t="s">
        <v>12568</v>
      </c>
      <c r="V3884" t="s">
        <v>12568</v>
      </c>
      <c r="W3884" t="s">
        <v>16408</v>
      </c>
      <c r="X3884">
        <v>6</v>
      </c>
      <c r="Y3884" t="s">
        <v>22526</v>
      </c>
      <c r="Z3884" t="s">
        <v>28754</v>
      </c>
      <c r="AA3884">
        <v>0.71165418908252664</v>
      </c>
      <c r="AB3884" t="str">
        <f>HYPERLINK("Melting_Curves/meltCurve_Q86SX6_GLRX5.pdf", "Melting_Curves/meltCurve_Q86SX6_GLRX5.pdf")</f>
        <v>Melting_Curves/meltCurve_Q86SX6_GLRX5.pdf</v>
      </c>
    </row>
    <row r="3885" spans="1:28" x14ac:dyDescent="0.25">
      <c r="A3885" t="s">
        <v>3889</v>
      </c>
      <c r="B3885">
        <v>0.99352677808782597</v>
      </c>
      <c r="C3885">
        <v>0.949156093656917</v>
      </c>
      <c r="D3885">
        <v>0.95350374318154696</v>
      </c>
      <c r="E3885">
        <v>1.0034476312739</v>
      </c>
      <c r="F3885">
        <v>0.90902895148307905</v>
      </c>
      <c r="G3885">
        <v>0.34391974350031301</v>
      </c>
      <c r="H3885">
        <v>0.100827919108561</v>
      </c>
      <c r="I3885">
        <v>8.3793592723639496E-2</v>
      </c>
      <c r="J3885">
        <v>5.60792367374418E-2</v>
      </c>
      <c r="K3885">
        <v>4.5479160220179303E-2</v>
      </c>
      <c r="L3885">
        <v>2289.7645228000702</v>
      </c>
      <c r="M3885">
        <v>41.000989306322502</v>
      </c>
      <c r="N3885">
        <v>56.028392236895101</v>
      </c>
      <c r="O3885">
        <v>55.714222358254602</v>
      </c>
      <c r="P3885">
        <v>-0.172518859814561</v>
      </c>
      <c r="Q3885">
        <v>6.2292489792774602E-2</v>
      </c>
      <c r="R3885">
        <v>0.99689436076681404</v>
      </c>
      <c r="S3885" t="s">
        <v>10170</v>
      </c>
      <c r="T3885" t="s">
        <v>12568</v>
      </c>
      <c r="U3885" t="s">
        <v>12568</v>
      </c>
      <c r="V3885" t="s">
        <v>12568</v>
      </c>
      <c r="W3885" t="s">
        <v>16409</v>
      </c>
      <c r="X3885">
        <v>4</v>
      </c>
      <c r="Y3885" t="s">
        <v>22527</v>
      </c>
      <c r="Z3885" t="s">
        <v>28755</v>
      </c>
      <c r="AA3885">
        <v>0.56103415347199881</v>
      </c>
      <c r="AB3885" t="str">
        <f>HYPERLINK("Melting_Curves/meltCurve_Q86SZ2_TRAPPC6B.pdf", "Melting_Curves/meltCurve_Q86SZ2_TRAPPC6B.pdf")</f>
        <v>Melting_Curves/meltCurve_Q86SZ2_TRAPPC6B.pdf</v>
      </c>
    </row>
    <row r="3886" spans="1:28" x14ac:dyDescent="0.25">
      <c r="A3886" t="s">
        <v>3890</v>
      </c>
      <c r="B3886">
        <v>0.99352677808782597</v>
      </c>
      <c r="C3886">
        <v>0.91553506982960597</v>
      </c>
      <c r="D3886">
        <v>0.95578693518467095</v>
      </c>
      <c r="E3886">
        <v>0.71892500655793001</v>
      </c>
      <c r="F3886">
        <v>0.62231589066498405</v>
      </c>
      <c r="G3886">
        <v>0.37921306565874602</v>
      </c>
      <c r="H3886">
        <v>0.20437341645273899</v>
      </c>
      <c r="I3886">
        <v>0.158903027682157</v>
      </c>
      <c r="J3886">
        <v>0.108847942114375</v>
      </c>
      <c r="K3886">
        <v>8.4342017054613402E-2</v>
      </c>
      <c r="L3886">
        <v>678.48863322623902</v>
      </c>
      <c r="M3886">
        <v>12.4605361952799</v>
      </c>
      <c r="N3886">
        <v>54.643528949488299</v>
      </c>
      <c r="O3886">
        <v>53.105611703241003</v>
      </c>
      <c r="P3886">
        <v>-5.7411369010601197E-2</v>
      </c>
      <c r="Q3886">
        <v>2.1476822860659401E-2</v>
      </c>
      <c r="R3886">
        <v>0.99385133008805804</v>
      </c>
      <c r="S3886" t="s">
        <v>10171</v>
      </c>
      <c r="T3886" t="s">
        <v>12568</v>
      </c>
      <c r="U3886" t="s">
        <v>12568</v>
      </c>
      <c r="V3886" t="s">
        <v>12568</v>
      </c>
      <c r="W3886" t="s">
        <v>16410</v>
      </c>
      <c r="X3886">
        <v>5</v>
      </c>
      <c r="Y3886" t="s">
        <v>22528</v>
      </c>
      <c r="Z3886" t="s">
        <v>28756</v>
      </c>
      <c r="AA3886">
        <v>0.51648257599684699</v>
      </c>
      <c r="AB3886" t="str">
        <f>HYPERLINK("Melting_Curves/meltCurve_Q86T24_ZBTB33.pdf", "Melting_Curves/meltCurve_Q86T24_ZBTB33.pdf")</f>
        <v>Melting_Curves/meltCurve_Q86T24_ZBTB33.pdf</v>
      </c>
    </row>
    <row r="3887" spans="1:28" x14ac:dyDescent="0.25">
      <c r="A3887" t="s">
        <v>3891</v>
      </c>
      <c r="B3887">
        <v>0.99352677808782597</v>
      </c>
      <c r="C3887">
        <v>0.98810499080357905</v>
      </c>
      <c r="D3887">
        <v>1.03359942723612</v>
      </c>
      <c r="E3887">
        <v>0.49542795317321803</v>
      </c>
      <c r="F3887">
        <v>0.40999651709742801</v>
      </c>
      <c r="G3887">
        <v>0.16272992392756</v>
      </c>
      <c r="H3887">
        <v>0.108267964880743</v>
      </c>
      <c r="I3887">
        <v>8.8958219700629698E-2</v>
      </c>
      <c r="J3887">
        <v>6.4615978937936205E-2</v>
      </c>
      <c r="K3887">
        <v>5.6019728815472597E-2</v>
      </c>
      <c r="L3887">
        <v>1105.40875402752</v>
      </c>
      <c r="M3887">
        <v>21.8103179595239</v>
      </c>
      <c r="N3887">
        <v>51.074354507435302</v>
      </c>
      <c r="O3887">
        <v>50.262519094233703</v>
      </c>
      <c r="P3887">
        <v>-0.10013327147592101</v>
      </c>
      <c r="Q3887">
        <v>7.6980856038998194E-2</v>
      </c>
      <c r="R3887">
        <v>0.97782471512239499</v>
      </c>
      <c r="S3887" t="s">
        <v>10172</v>
      </c>
      <c r="T3887" t="s">
        <v>12568</v>
      </c>
      <c r="U3887" t="s">
        <v>12568</v>
      </c>
      <c r="V3887" t="s">
        <v>12568</v>
      </c>
      <c r="W3887" t="s">
        <v>16411</v>
      </c>
      <c r="X3887">
        <v>3</v>
      </c>
      <c r="Y3887" t="s">
        <v>22529</v>
      </c>
      <c r="Z3887" t="s">
        <v>28757</v>
      </c>
      <c r="AA3887">
        <v>0.41652269472013681</v>
      </c>
      <c r="AB3887" t="str">
        <f>HYPERLINK("Melting_Curves/meltCurve_Q86TA1_MOB3B.pdf", "Melting_Curves/meltCurve_Q86TA1_MOB3B.pdf")</f>
        <v>Melting_Curves/meltCurve_Q86TA1_MOB3B.pdf</v>
      </c>
    </row>
    <row r="3888" spans="1:28" x14ac:dyDescent="0.25">
      <c r="A3888" t="s">
        <v>3892</v>
      </c>
      <c r="B3888">
        <v>0.99352677808782597</v>
      </c>
      <c r="C3888">
        <v>0.92717943646321799</v>
      </c>
      <c r="D3888">
        <v>0.93570589990365105</v>
      </c>
      <c r="E3888">
        <v>0.82447707393196201</v>
      </c>
      <c r="F3888">
        <v>0.81875466597843205</v>
      </c>
      <c r="G3888">
        <v>0.742078315391418</v>
      </c>
      <c r="H3888">
        <v>0.69987426670108499</v>
      </c>
      <c r="I3888">
        <v>0.76023058266348298</v>
      </c>
      <c r="J3888">
        <v>0.78758763997597803</v>
      </c>
      <c r="K3888">
        <v>0.67210818263316296</v>
      </c>
      <c r="L3888">
        <v>593.15325466158004</v>
      </c>
      <c r="M3888">
        <v>12.1016019654465</v>
      </c>
      <c r="O3888">
        <v>47.733610255283502</v>
      </c>
      <c r="P3888">
        <v>-1.8086556719601601E-2</v>
      </c>
      <c r="Q3888">
        <v>0.71470379843389198</v>
      </c>
      <c r="R3888">
        <v>0.887965881453191</v>
      </c>
      <c r="S3888" t="s">
        <v>10173</v>
      </c>
      <c r="T3888" t="s">
        <v>12568</v>
      </c>
      <c r="U3888" t="s">
        <v>12568</v>
      </c>
      <c r="V3888" t="s">
        <v>12568</v>
      </c>
      <c r="W3888" t="s">
        <v>16412</v>
      </c>
      <c r="X3888">
        <v>7</v>
      </c>
      <c r="Y3888" t="s">
        <v>22530</v>
      </c>
      <c r="Z3888" t="s">
        <v>28758</v>
      </c>
      <c r="AA3888">
        <v>0.8107549946927386</v>
      </c>
      <c r="AB3888" t="str">
        <f>HYPERLINK("Melting_Curves/meltCurve_Q86TB3_ALPK2.pdf", "Melting_Curves/meltCurve_Q86TB3_ALPK2.pdf")</f>
        <v>Melting_Curves/meltCurve_Q86TB3_ALPK2.pdf</v>
      </c>
    </row>
    <row r="3889" spans="1:28" x14ac:dyDescent="0.25">
      <c r="A3889" t="s">
        <v>3893</v>
      </c>
      <c r="B3889">
        <v>0.99352677808782597</v>
      </c>
      <c r="C3889">
        <v>1.0249932276592999</v>
      </c>
      <c r="D3889">
        <v>0.97499967773903295</v>
      </c>
      <c r="E3889">
        <v>0.72865471893368805</v>
      </c>
      <c r="F3889">
        <v>0.63039436335781696</v>
      </c>
      <c r="G3889">
        <v>0.50582080217018699</v>
      </c>
      <c r="H3889">
        <v>0.424792664065544</v>
      </c>
      <c r="I3889">
        <v>0.43849987137744001</v>
      </c>
      <c r="J3889">
        <v>0.36488695828614198</v>
      </c>
      <c r="K3889">
        <v>0.29821655096864202</v>
      </c>
      <c r="L3889">
        <v>786.49845219246595</v>
      </c>
      <c r="M3889">
        <v>15.0632713566617</v>
      </c>
      <c r="N3889">
        <v>56.625080213470198</v>
      </c>
      <c r="O3889">
        <v>51.318703760806002</v>
      </c>
      <c r="P3889">
        <v>-4.8040810678058897E-2</v>
      </c>
      <c r="Q3889">
        <v>0.34538865725912399</v>
      </c>
      <c r="R3889">
        <v>0.97889105065666704</v>
      </c>
      <c r="S3889" t="s">
        <v>10174</v>
      </c>
      <c r="T3889" t="s">
        <v>12568</v>
      </c>
      <c r="U3889" t="s">
        <v>12568</v>
      </c>
      <c r="V3889" t="s">
        <v>12568</v>
      </c>
      <c r="W3889" t="s">
        <v>16413</v>
      </c>
      <c r="X3889">
        <v>9</v>
      </c>
      <c r="Y3889" t="s">
        <v>22531</v>
      </c>
      <c r="Z3889" t="s">
        <v>28759</v>
      </c>
      <c r="AA3889">
        <v>0.62631384272585977</v>
      </c>
      <c r="AB3889" t="str">
        <f>HYPERLINK("Melting_Curves/meltCurve_Q86TB9_PATL1.pdf", "Melting_Curves/meltCurve_Q86TB9_PATL1.pdf")</f>
        <v>Melting_Curves/meltCurve_Q86TB9_PATL1.pdf</v>
      </c>
    </row>
    <row r="3890" spans="1:28" x14ac:dyDescent="0.25">
      <c r="A3890" t="s">
        <v>3894</v>
      </c>
      <c r="B3890">
        <v>0.99352677808782597</v>
      </c>
      <c r="C3890">
        <v>0.94842822837609597</v>
      </c>
      <c r="D3890">
        <v>0.98342279977490699</v>
      </c>
      <c r="E3890">
        <v>0.69107739095290899</v>
      </c>
      <c r="F3890">
        <v>0.60971531644497601</v>
      </c>
      <c r="G3890">
        <v>0.51849079774876705</v>
      </c>
      <c r="H3890">
        <v>0.484188589902532</v>
      </c>
      <c r="I3890">
        <v>0.52465473877217905</v>
      </c>
      <c r="J3890">
        <v>0.49012388447022398</v>
      </c>
      <c r="K3890">
        <v>0.47498965726287201</v>
      </c>
      <c r="L3890">
        <v>1278.0964651479601</v>
      </c>
      <c r="M3890">
        <v>25.759075109397202</v>
      </c>
      <c r="N3890">
        <v>61.307655934056797</v>
      </c>
      <c r="O3890">
        <v>49.321190059732103</v>
      </c>
      <c r="P3890">
        <v>-6.5765217407363796E-2</v>
      </c>
      <c r="Q3890">
        <v>0.49632044703571998</v>
      </c>
      <c r="R3890">
        <v>0.98335712478705795</v>
      </c>
      <c r="S3890" t="s">
        <v>10175</v>
      </c>
      <c r="T3890" t="s">
        <v>12568</v>
      </c>
      <c r="U3890" t="s">
        <v>12568</v>
      </c>
      <c r="V3890" t="s">
        <v>12568</v>
      </c>
      <c r="W3890" t="s">
        <v>16414</v>
      </c>
      <c r="X3890">
        <v>8</v>
      </c>
      <c r="Y3890" t="s">
        <v>22531</v>
      </c>
      <c r="Z3890" t="s">
        <v>28760</v>
      </c>
      <c r="AA3890">
        <v>0.66200973557213705</v>
      </c>
      <c r="AB3890" t="str">
        <f>HYPERLINK("Melting_Curves/meltCurve_Q86TB9_4_PATL1.pdf", "Melting_Curves/meltCurve_Q86TB9_4_PATL1.pdf")</f>
        <v>Melting_Curves/meltCurve_Q86TB9_4_PATL1.pdf</v>
      </c>
    </row>
    <row r="3891" spans="1:28" x14ac:dyDescent="0.25">
      <c r="A3891" t="s">
        <v>3895</v>
      </c>
      <c r="B3891">
        <v>0.99352677808782597</v>
      </c>
      <c r="C3891">
        <v>0.71856660064850097</v>
      </c>
      <c r="D3891">
        <v>0.52343029854471701</v>
      </c>
      <c r="E3891">
        <v>0.35377738297969102</v>
      </c>
      <c r="F3891">
        <v>0.332545238139689</v>
      </c>
      <c r="G3891">
        <v>0.21171415159790599</v>
      </c>
      <c r="H3891">
        <v>0.21711090006318201</v>
      </c>
      <c r="I3891">
        <v>0.22454695858020801</v>
      </c>
      <c r="J3891">
        <v>0.227190241821697</v>
      </c>
      <c r="K3891">
        <v>0.14257265707196901</v>
      </c>
      <c r="L3891">
        <v>721.54654320858697</v>
      </c>
      <c r="M3891">
        <v>15.9759103684103</v>
      </c>
      <c r="N3891">
        <v>46.692356264300699</v>
      </c>
      <c r="O3891">
        <v>44.474780992590901</v>
      </c>
      <c r="P3891">
        <v>-7.1530040429884006E-2</v>
      </c>
      <c r="Q3891">
        <v>0.203542876693217</v>
      </c>
      <c r="R3891">
        <v>0.97332841163644102</v>
      </c>
      <c r="S3891" t="s">
        <v>10176</v>
      </c>
      <c r="T3891" t="s">
        <v>12568</v>
      </c>
      <c r="U3891" t="s">
        <v>12568</v>
      </c>
      <c r="V3891" t="s">
        <v>12568</v>
      </c>
      <c r="W3891" t="s">
        <v>16415</v>
      </c>
      <c r="X3891">
        <v>4</v>
      </c>
      <c r="Y3891" t="s">
        <v>22532</v>
      </c>
      <c r="Z3891" t="s">
        <v>28761</v>
      </c>
      <c r="AA3891">
        <v>0.36263299674959248</v>
      </c>
      <c r="AB3891" t="str">
        <f>HYPERLINK("Melting_Curves/meltCurve_Q86TG7_2_PEG10.pdf", "Melting_Curves/meltCurve_Q86TG7_2_PEG10.pdf")</f>
        <v>Melting_Curves/meltCurve_Q86TG7_2_PEG10.pdf</v>
      </c>
    </row>
    <row r="3892" spans="1:28" x14ac:dyDescent="0.25">
      <c r="A3892" t="s">
        <v>3896</v>
      </c>
      <c r="B3892">
        <v>0.99352677808782597</v>
      </c>
      <c r="C3892">
        <v>0.96131412891697199</v>
      </c>
      <c r="D3892">
        <v>1.04029181470104</v>
      </c>
      <c r="E3892">
        <v>1.0510625639951701</v>
      </c>
      <c r="F3892">
        <v>0.91847290036040996</v>
      </c>
      <c r="G3892">
        <v>0.92008706794935102</v>
      </c>
      <c r="H3892">
        <v>0.97442845469637895</v>
      </c>
      <c r="I3892">
        <v>1.11389448470226</v>
      </c>
      <c r="J3892">
        <v>1.08254773498465</v>
      </c>
      <c r="K3892">
        <v>0.84072789420494398</v>
      </c>
      <c r="L3892">
        <v>15000</v>
      </c>
      <c r="M3892">
        <v>212.62200094142199</v>
      </c>
      <c r="Q3892">
        <v>0</v>
      </c>
      <c r="R3892">
        <v>0.382325800596652</v>
      </c>
      <c r="S3892" t="s">
        <v>10177</v>
      </c>
      <c r="T3892" t="s">
        <v>12568</v>
      </c>
      <c r="U3892" t="s">
        <v>12568</v>
      </c>
      <c r="V3892" t="s">
        <v>12568</v>
      </c>
      <c r="W3892" t="s">
        <v>16416</v>
      </c>
      <c r="X3892">
        <v>2</v>
      </c>
      <c r="Y3892" t="s">
        <v>22533</v>
      </c>
      <c r="Z3892" t="s">
        <v>28762</v>
      </c>
      <c r="AA3892">
        <v>0.99812917112554622</v>
      </c>
      <c r="AB3892" t="str">
        <f>HYPERLINK("Melting_Curves/meltCurve_Q86TI0_2_TBC1D1.pdf", "Melting_Curves/meltCurve_Q86TI0_2_TBC1D1.pdf")</f>
        <v>Melting_Curves/meltCurve_Q86TI0_2_TBC1D1.pdf</v>
      </c>
    </row>
    <row r="3893" spans="1:28" x14ac:dyDescent="0.25">
      <c r="A3893" t="s">
        <v>3897</v>
      </c>
      <c r="B3893">
        <v>0.99352677808782597</v>
      </c>
      <c r="C3893">
        <v>1.0155276098353001</v>
      </c>
      <c r="D3893">
        <v>0.91498984041661902</v>
      </c>
      <c r="E3893">
        <v>0.32347135797592103</v>
      </c>
      <c r="F3893">
        <v>0.23354245956513001</v>
      </c>
      <c r="G3893">
        <v>0.145602388235164</v>
      </c>
      <c r="H3893">
        <v>9.1715297335968102E-2</v>
      </c>
      <c r="I3893">
        <v>8.1788381456046902E-2</v>
      </c>
      <c r="J3893">
        <v>6.7127102480473502E-2</v>
      </c>
      <c r="K3893">
        <v>5.5585478797891497E-2</v>
      </c>
      <c r="L3893">
        <v>1624.89430229907</v>
      </c>
      <c r="M3893">
        <v>33.370473121782197</v>
      </c>
      <c r="N3893">
        <v>49.008784216844901</v>
      </c>
      <c r="O3893">
        <v>48.518691938430798</v>
      </c>
      <c r="P3893">
        <v>-0.15529333718209301</v>
      </c>
      <c r="Q3893">
        <v>9.6854196878134499E-2</v>
      </c>
      <c r="R3893">
        <v>0.99073956089950699</v>
      </c>
      <c r="S3893" t="s">
        <v>10178</v>
      </c>
      <c r="T3893" t="s">
        <v>12568</v>
      </c>
      <c r="U3893" t="s">
        <v>12568</v>
      </c>
      <c r="V3893" t="s">
        <v>12568</v>
      </c>
      <c r="W3893" t="s">
        <v>16417</v>
      </c>
      <c r="X3893">
        <v>10</v>
      </c>
      <c r="Y3893" t="s">
        <v>22534</v>
      </c>
      <c r="Z3893" t="s">
        <v>28763</v>
      </c>
      <c r="AA3893">
        <v>0.36294512900343862</v>
      </c>
      <c r="AB3893" t="str">
        <f>HYPERLINK("Melting_Curves/meltCurve_Q86TI2_2_DPP9.pdf", "Melting_Curves/meltCurve_Q86TI2_2_DPP9.pdf")</f>
        <v>Melting_Curves/meltCurve_Q86TI2_2_DPP9.pdf</v>
      </c>
    </row>
    <row r="3894" spans="1:28" x14ac:dyDescent="0.25">
      <c r="A3894" t="s">
        <v>3898</v>
      </c>
      <c r="B3894">
        <v>0.99352677808782597</v>
      </c>
      <c r="C3894">
        <v>0.97162248056642797</v>
      </c>
      <c r="D3894">
        <v>0.90362326770929502</v>
      </c>
      <c r="E3894">
        <v>0.39667859922197202</v>
      </c>
      <c r="F3894">
        <v>0.33395676042114603</v>
      </c>
      <c r="G3894">
        <v>0.21133879584866799</v>
      </c>
      <c r="H3894">
        <v>0.161211665013061</v>
      </c>
      <c r="I3894">
        <v>0.14762546207072899</v>
      </c>
      <c r="J3894">
        <v>0.123727308452626</v>
      </c>
      <c r="K3894">
        <v>9.0739770372644302E-2</v>
      </c>
      <c r="L3894">
        <v>1180.0644022593899</v>
      </c>
      <c r="M3894">
        <v>24.088734071952501</v>
      </c>
      <c r="N3894">
        <v>49.6866905726922</v>
      </c>
      <c r="O3894">
        <v>48.654370301222897</v>
      </c>
      <c r="P3894">
        <v>-0.105999444773018</v>
      </c>
      <c r="Q3894">
        <v>0.14362372186601199</v>
      </c>
      <c r="R3894">
        <v>0.98560354138890405</v>
      </c>
      <c r="S3894" t="s">
        <v>10179</v>
      </c>
      <c r="T3894" t="s">
        <v>12568</v>
      </c>
      <c r="U3894" t="s">
        <v>12568</v>
      </c>
      <c r="V3894" t="s">
        <v>12568</v>
      </c>
      <c r="W3894" t="s">
        <v>16418</v>
      </c>
      <c r="X3894">
        <v>10</v>
      </c>
      <c r="Y3894" t="s">
        <v>22535</v>
      </c>
      <c r="Z3894" t="s">
        <v>28764</v>
      </c>
      <c r="AA3894">
        <v>0.40839225181433819</v>
      </c>
      <c r="AB3894" t="str">
        <f>HYPERLINK("Melting_Curves/meltCurve_Q86TP1_PRUNE.pdf", "Melting_Curves/meltCurve_Q86TP1_PRUNE.pdf")</f>
        <v>Melting_Curves/meltCurve_Q86TP1_PRUNE.pdf</v>
      </c>
    </row>
    <row r="3895" spans="1:28" x14ac:dyDescent="0.25">
      <c r="A3895" t="s">
        <v>3899</v>
      </c>
      <c r="B3895">
        <v>0.99352677808782597</v>
      </c>
      <c r="C3895">
        <v>0.912140764488789</v>
      </c>
      <c r="D3895">
        <v>0.88639184311833696</v>
      </c>
      <c r="E3895">
        <v>0.29170183718163001</v>
      </c>
      <c r="F3895">
        <v>0.23096015922164301</v>
      </c>
      <c r="G3895">
        <v>0.15727131193523999</v>
      </c>
      <c r="H3895">
        <v>0.10667973161215701</v>
      </c>
      <c r="I3895">
        <v>9.9628437571938899E-2</v>
      </c>
      <c r="J3895">
        <v>8.8554427388581394E-2</v>
      </c>
      <c r="K3895">
        <v>7.0154096503480895E-2</v>
      </c>
      <c r="L3895">
        <v>1543.9689301292799</v>
      </c>
      <c r="M3895">
        <v>31.973981693466101</v>
      </c>
      <c r="N3895">
        <v>48.669875103992801</v>
      </c>
      <c r="O3895">
        <v>48.1006000260044</v>
      </c>
      <c r="P3895">
        <v>-0.147759653640128</v>
      </c>
      <c r="Q3895">
        <v>0.110865921056189</v>
      </c>
      <c r="R3895">
        <v>0.98696615319972802</v>
      </c>
      <c r="S3895" t="s">
        <v>10180</v>
      </c>
      <c r="T3895" t="s">
        <v>12568</v>
      </c>
      <c r="U3895" t="s">
        <v>12568</v>
      </c>
      <c r="V3895" t="s">
        <v>12568</v>
      </c>
      <c r="W3895" t="s">
        <v>16419</v>
      </c>
      <c r="X3895">
        <v>13</v>
      </c>
      <c r="Y3895" t="s">
        <v>22536</v>
      </c>
      <c r="Z3895" t="s">
        <v>28765</v>
      </c>
      <c r="AA3895">
        <v>0.36121599444100999</v>
      </c>
      <c r="AB3895" t="str">
        <f>HYPERLINK("Melting_Curves/meltCurve_Q86TU7_SETD3.pdf", "Melting_Curves/meltCurve_Q86TU7_SETD3.pdf")</f>
        <v>Melting_Curves/meltCurve_Q86TU7_SETD3.pdf</v>
      </c>
    </row>
    <row r="3896" spans="1:28" x14ac:dyDescent="0.25">
      <c r="A3896" t="s">
        <v>3900</v>
      </c>
      <c r="B3896">
        <v>0.99352677808782597</v>
      </c>
      <c r="C3896">
        <v>0.95579786121389998</v>
      </c>
      <c r="D3896">
        <v>0.94813135604433496</v>
      </c>
      <c r="E3896">
        <v>0.49441099181618497</v>
      </c>
      <c r="F3896">
        <v>0.422723574603309</v>
      </c>
      <c r="G3896">
        <v>0.303692988851271</v>
      </c>
      <c r="H3896">
        <v>0.198922569453129</v>
      </c>
      <c r="I3896">
        <v>0.19595801884547501</v>
      </c>
      <c r="J3896">
        <v>0.220406533502639</v>
      </c>
      <c r="K3896">
        <v>0.17795846824269099</v>
      </c>
      <c r="L3896">
        <v>1056.1950506844501</v>
      </c>
      <c r="M3896">
        <v>21.2708581481956</v>
      </c>
      <c r="N3896">
        <v>50.925009614685898</v>
      </c>
      <c r="O3896">
        <v>49.221947516066699</v>
      </c>
      <c r="P3896">
        <v>-8.5794212942678597E-2</v>
      </c>
      <c r="Q3896">
        <v>0.20589018187000299</v>
      </c>
      <c r="R3896">
        <v>0.98233510520990297</v>
      </c>
      <c r="S3896" t="s">
        <v>10181</v>
      </c>
      <c r="T3896" t="s">
        <v>12568</v>
      </c>
      <c r="U3896" t="s">
        <v>12568</v>
      </c>
      <c r="V3896" t="s">
        <v>12568</v>
      </c>
      <c r="W3896" t="s">
        <v>16420</v>
      </c>
      <c r="X3896">
        <v>8</v>
      </c>
      <c r="Y3896" t="s">
        <v>22537</v>
      </c>
      <c r="Z3896" t="s">
        <v>28766</v>
      </c>
      <c r="AA3896">
        <v>0.47124485259184012</v>
      </c>
      <c r="AB3896" t="str">
        <f>HYPERLINK("Melting_Curves/meltCurve_Q86TV2_LGMN.pdf", "Melting_Curves/meltCurve_Q86TV2_LGMN.pdf")</f>
        <v>Melting_Curves/meltCurve_Q86TV2_LGMN.pdf</v>
      </c>
    </row>
    <row r="3897" spans="1:28" x14ac:dyDescent="0.25">
      <c r="A3897" t="s">
        <v>3901</v>
      </c>
      <c r="B3897">
        <v>0.99352677808782597</v>
      </c>
      <c r="C3897">
        <v>0.978137158018209</v>
      </c>
      <c r="D3897">
        <v>1.00408984747935</v>
      </c>
      <c r="E3897">
        <v>0.50572143804565906</v>
      </c>
      <c r="F3897">
        <v>0.44108090857625398</v>
      </c>
      <c r="G3897">
        <v>0.149968862024939</v>
      </c>
      <c r="H3897">
        <v>0.13079326187279</v>
      </c>
      <c r="I3897">
        <v>0.107118918251583</v>
      </c>
      <c r="J3897">
        <v>0.13751098753184199</v>
      </c>
      <c r="K3897">
        <v>7.3916601894616005E-2</v>
      </c>
      <c r="L3897">
        <v>1085.4214341715201</v>
      </c>
      <c r="M3897">
        <v>21.4535336615081</v>
      </c>
      <c r="N3897">
        <v>51.150033253399698</v>
      </c>
      <c r="O3897">
        <v>50.160622382788603</v>
      </c>
      <c r="P3897">
        <v>-9.5806775549742595E-2</v>
      </c>
      <c r="Q3897">
        <v>0.10399675344925</v>
      </c>
      <c r="R3897">
        <v>0.97810563320820099</v>
      </c>
      <c r="S3897" t="s">
        <v>10182</v>
      </c>
      <c r="T3897" t="s">
        <v>12568</v>
      </c>
      <c r="U3897" t="s">
        <v>12568</v>
      </c>
      <c r="V3897" t="s">
        <v>12568</v>
      </c>
      <c r="W3897" t="s">
        <v>16421</v>
      </c>
      <c r="X3897">
        <v>18</v>
      </c>
      <c r="Y3897" t="s">
        <v>22538</v>
      </c>
      <c r="Z3897" t="s">
        <v>28767</v>
      </c>
      <c r="AA3897">
        <v>0.43128835524270248</v>
      </c>
      <c r="AB3897" t="str">
        <f>HYPERLINK("Melting_Curves/meltCurve_Q86TX2_ACOT1.pdf", "Melting_Curves/meltCurve_Q86TX2_ACOT1.pdf")</f>
        <v>Melting_Curves/meltCurve_Q86TX2_ACOT1.pdf</v>
      </c>
    </row>
    <row r="3898" spans="1:28" x14ac:dyDescent="0.25">
      <c r="A3898" t="s">
        <v>3902</v>
      </c>
      <c r="B3898">
        <v>0.99352677808782597</v>
      </c>
      <c r="C3898">
        <v>0.95546636694716203</v>
      </c>
      <c r="D3898">
        <v>0.829742149273894</v>
      </c>
      <c r="E3898">
        <v>0.60355778358272705</v>
      </c>
      <c r="F3898">
        <v>0.28975008446843697</v>
      </c>
      <c r="G3898">
        <v>0.34834886787362801</v>
      </c>
      <c r="H3898">
        <v>0.21018072912671601</v>
      </c>
      <c r="I3898">
        <v>0.231722682236362</v>
      </c>
      <c r="J3898">
        <v>0.194559920240959</v>
      </c>
      <c r="K3898">
        <v>0.22213868052588201</v>
      </c>
      <c r="L3898">
        <v>966.95403818725003</v>
      </c>
      <c r="M3898">
        <v>19.609091117401402</v>
      </c>
      <c r="N3898">
        <v>50.7640148262183</v>
      </c>
      <c r="O3898">
        <v>48.807261043759901</v>
      </c>
      <c r="P3898">
        <v>-7.8879606938211902E-2</v>
      </c>
      <c r="Q3898">
        <v>0.21469844382422301</v>
      </c>
      <c r="R3898">
        <v>0.98158954110895102</v>
      </c>
      <c r="S3898" t="s">
        <v>10183</v>
      </c>
      <c r="T3898" t="s">
        <v>12568</v>
      </c>
      <c r="U3898" t="s">
        <v>12568</v>
      </c>
      <c r="V3898" t="s">
        <v>12568</v>
      </c>
      <c r="W3898" t="s">
        <v>16422</v>
      </c>
      <c r="X3898">
        <v>1</v>
      </c>
      <c r="Y3898" t="s">
        <v>22539</v>
      </c>
      <c r="Z3898" t="s">
        <v>28768</v>
      </c>
      <c r="AA3898">
        <v>0.46985833246444142</v>
      </c>
      <c r="AB3898" t="str">
        <f>HYPERLINK("Melting_Curves/meltCurve_Q86TZ8_TINF2.pdf", "Melting_Curves/meltCurve_Q86TZ8_TINF2.pdf")</f>
        <v>Melting_Curves/meltCurve_Q86TZ8_TINF2.pdf</v>
      </c>
    </row>
    <row r="3899" spans="1:28" x14ac:dyDescent="0.25">
      <c r="A3899" t="s">
        <v>3903</v>
      </c>
      <c r="B3899">
        <v>0.99352677808782597</v>
      </c>
      <c r="C3899">
        <v>0.99847147388304203</v>
      </c>
      <c r="D3899">
        <v>0.99977996393423596</v>
      </c>
      <c r="E3899">
        <v>0.91445786433498399</v>
      </c>
      <c r="F3899">
        <v>0.86553902907834601</v>
      </c>
      <c r="G3899">
        <v>0.78258945177579398</v>
      </c>
      <c r="H3899">
        <v>0.58831883841758503</v>
      </c>
      <c r="I3899">
        <v>0.62211101107862399</v>
      </c>
      <c r="J3899">
        <v>0.62330316023397903</v>
      </c>
      <c r="K3899">
        <v>0.52334626226112402</v>
      </c>
      <c r="L3899">
        <v>806.16696009140901</v>
      </c>
      <c r="M3899">
        <v>14.286908445817099</v>
      </c>
      <c r="O3899">
        <v>55.355995479156398</v>
      </c>
      <c r="P3899">
        <v>-3.03715570043308E-2</v>
      </c>
      <c r="Q3899">
        <v>0.52934749776434897</v>
      </c>
      <c r="R3899">
        <v>0.96956180975045902</v>
      </c>
      <c r="S3899" t="s">
        <v>10184</v>
      </c>
      <c r="T3899" t="s">
        <v>12568</v>
      </c>
      <c r="U3899" t="s">
        <v>12568</v>
      </c>
      <c r="V3899" t="s">
        <v>12568</v>
      </c>
      <c r="W3899" t="s">
        <v>16423</v>
      </c>
      <c r="X3899">
        <v>9</v>
      </c>
      <c r="Y3899" t="s">
        <v>22540</v>
      </c>
      <c r="Z3899" t="s">
        <v>28769</v>
      </c>
      <c r="AA3899">
        <v>0.79532062823921879</v>
      </c>
      <c r="AB3899" t="str">
        <f>HYPERLINK("Melting_Curves/meltCurve_Q86U28_ISCA2.pdf", "Melting_Curves/meltCurve_Q86U28_ISCA2.pdf")</f>
        <v>Melting_Curves/meltCurve_Q86U28_ISCA2.pdf</v>
      </c>
    </row>
    <row r="3900" spans="1:28" x14ac:dyDescent="0.25">
      <c r="A3900" t="s">
        <v>3904</v>
      </c>
      <c r="B3900">
        <v>0.99352677808782597</v>
      </c>
      <c r="C3900">
        <v>0.87313752568710901</v>
      </c>
      <c r="D3900">
        <v>0.84646081384780003</v>
      </c>
      <c r="E3900">
        <v>0.47979813076681799</v>
      </c>
      <c r="F3900">
        <v>0.38551620681626803</v>
      </c>
      <c r="G3900">
        <v>0.23652105142000299</v>
      </c>
      <c r="H3900">
        <v>0.19366004476343099</v>
      </c>
      <c r="I3900">
        <v>0.210620357496452</v>
      </c>
      <c r="J3900">
        <v>0.19479103787038901</v>
      </c>
      <c r="K3900">
        <v>0.15678975478048901</v>
      </c>
      <c r="L3900">
        <v>817.85241038689901</v>
      </c>
      <c r="M3900">
        <v>16.679258095856898</v>
      </c>
      <c r="N3900">
        <v>50.315624946177898</v>
      </c>
      <c r="O3900">
        <v>48.345514614974903</v>
      </c>
      <c r="P3900">
        <v>-7.1329019164671895E-2</v>
      </c>
      <c r="Q3900">
        <v>0.173054679435582</v>
      </c>
      <c r="R3900">
        <v>0.98961747097924802</v>
      </c>
      <c r="S3900" t="s">
        <v>10185</v>
      </c>
      <c r="T3900" t="s">
        <v>12568</v>
      </c>
      <c r="U3900" t="s">
        <v>12568</v>
      </c>
      <c r="V3900" t="s">
        <v>12568</v>
      </c>
      <c r="W3900" t="s">
        <v>16424</v>
      </c>
      <c r="X3900">
        <v>8</v>
      </c>
      <c r="Y3900" t="s">
        <v>22541</v>
      </c>
      <c r="Z3900" t="s">
        <v>28770</v>
      </c>
      <c r="AA3900">
        <v>0.43871274636082402</v>
      </c>
      <c r="AB3900" t="str">
        <f>HYPERLINK("Melting_Curves/meltCurve_Q86U44_METTL3.pdf", "Melting_Curves/meltCurve_Q86U44_METTL3.pdf")</f>
        <v>Melting_Curves/meltCurve_Q86U44_METTL3.pdf</v>
      </c>
    </row>
    <row r="3901" spans="1:28" x14ac:dyDescent="0.25">
      <c r="A3901" t="s">
        <v>3905</v>
      </c>
      <c r="B3901">
        <v>0.99352677808782597</v>
      </c>
      <c r="C3901">
        <v>1.0225629042699</v>
      </c>
      <c r="D3901">
        <v>0.97426531443602804</v>
      </c>
      <c r="E3901">
        <v>0.78732543103708197</v>
      </c>
      <c r="F3901">
        <v>0.70874228807358297</v>
      </c>
      <c r="G3901">
        <v>0.41332974011543</v>
      </c>
      <c r="H3901">
        <v>0.43817389654773597</v>
      </c>
      <c r="I3901">
        <v>0.40479334989110299</v>
      </c>
      <c r="J3901">
        <v>0.39985376171235398</v>
      </c>
      <c r="K3901">
        <v>0.27219239531920902</v>
      </c>
      <c r="L3901">
        <v>954.633354475087</v>
      </c>
      <c r="M3901">
        <v>18.086264432311498</v>
      </c>
      <c r="N3901">
        <v>56.404785305819601</v>
      </c>
      <c r="O3901">
        <v>52.149650808599297</v>
      </c>
      <c r="P3901">
        <v>-5.6923377428962398E-2</v>
      </c>
      <c r="Q3901">
        <v>0.34350389760144201</v>
      </c>
      <c r="R3901">
        <v>0.97255025316061805</v>
      </c>
      <c r="S3901" t="s">
        <v>10186</v>
      </c>
      <c r="T3901" t="s">
        <v>12568</v>
      </c>
      <c r="U3901" t="s">
        <v>12568</v>
      </c>
      <c r="V3901" t="s">
        <v>12568</v>
      </c>
      <c r="W3901" t="s">
        <v>16425</v>
      </c>
      <c r="X3901">
        <v>5</v>
      </c>
      <c r="Y3901" t="s">
        <v>22542</v>
      </c>
      <c r="Z3901" t="s">
        <v>28771</v>
      </c>
      <c r="AA3901">
        <v>0.63392887435802947</v>
      </c>
      <c r="AB3901" t="str">
        <f>HYPERLINK("Melting_Curves/meltCurve_Q86U70_3_LDB1.pdf", "Melting_Curves/meltCurve_Q86U70_3_LDB1.pdf")</f>
        <v>Melting_Curves/meltCurve_Q86U70_3_LDB1.pdf</v>
      </c>
    </row>
    <row r="3902" spans="1:28" x14ac:dyDescent="0.25">
      <c r="A3902" t="s">
        <v>3906</v>
      </c>
      <c r="B3902">
        <v>0.99352677808782597</v>
      </c>
      <c r="C3902">
        <v>0.98042709373681003</v>
      </c>
      <c r="D3902">
        <v>0.98650489166978705</v>
      </c>
      <c r="E3902">
        <v>0.45153868287418297</v>
      </c>
      <c r="F3902">
        <v>0.35213296353908302</v>
      </c>
      <c r="G3902">
        <v>0.14262511703450501</v>
      </c>
      <c r="H3902">
        <v>7.5803999605935105E-2</v>
      </c>
      <c r="I3902">
        <v>6.9304545029034104E-2</v>
      </c>
      <c r="J3902">
        <v>5.6696640787628802E-2</v>
      </c>
      <c r="K3902">
        <v>5.1848965469010203E-2</v>
      </c>
      <c r="L3902">
        <v>1141.33541607455</v>
      </c>
      <c r="M3902">
        <v>22.773486691209701</v>
      </c>
      <c r="N3902">
        <v>50.436292680680999</v>
      </c>
      <c r="O3902">
        <v>49.735214420662501</v>
      </c>
      <c r="P3902">
        <v>-0.106787794175581</v>
      </c>
      <c r="Q3902">
        <v>6.7159005608778299E-2</v>
      </c>
      <c r="R3902">
        <v>0.98432997735509598</v>
      </c>
      <c r="S3902" t="s">
        <v>10187</v>
      </c>
      <c r="T3902" t="s">
        <v>12568</v>
      </c>
      <c r="U3902" t="s">
        <v>12568</v>
      </c>
      <c r="V3902" t="s">
        <v>12568</v>
      </c>
      <c r="W3902" t="s">
        <v>16426</v>
      </c>
      <c r="X3902">
        <v>10</v>
      </c>
      <c r="Y3902" t="s">
        <v>22543</v>
      </c>
      <c r="Z3902" t="s">
        <v>28772</v>
      </c>
      <c r="AA3902">
        <v>0.3917957748495412</v>
      </c>
      <c r="AB3902" t="str">
        <f>HYPERLINK("Melting_Curves/meltCurve_Q86U90_YRDC.pdf", "Melting_Curves/meltCurve_Q86U90_YRDC.pdf")</f>
        <v>Melting_Curves/meltCurve_Q86U90_YRDC.pdf</v>
      </c>
    </row>
    <row r="3903" spans="1:28" x14ac:dyDescent="0.25">
      <c r="A3903" t="s">
        <v>3907</v>
      </c>
      <c r="B3903">
        <v>0.99352677808782597</v>
      </c>
      <c r="C3903">
        <v>1.0327924958438599</v>
      </c>
      <c r="D3903">
        <v>0.92360478234729804</v>
      </c>
      <c r="E3903">
        <v>0.34585553178717199</v>
      </c>
      <c r="F3903">
        <v>0.26060367267351903</v>
      </c>
      <c r="G3903">
        <v>0.16405215324706601</v>
      </c>
      <c r="H3903">
        <v>0.101727021787135</v>
      </c>
      <c r="I3903">
        <v>0.10311215665420501</v>
      </c>
      <c r="J3903">
        <v>7.6688935720717694E-2</v>
      </c>
      <c r="K3903">
        <v>5.8981456961586298E-2</v>
      </c>
      <c r="L3903">
        <v>1573.0463374552201</v>
      </c>
      <c r="M3903">
        <v>32.221939226349797</v>
      </c>
      <c r="N3903">
        <v>49.195263827192697</v>
      </c>
      <c r="O3903">
        <v>48.632223746384902</v>
      </c>
      <c r="P3903">
        <v>-0.14755592314254701</v>
      </c>
      <c r="Q3903">
        <v>0.10918611371199299</v>
      </c>
      <c r="R3903">
        <v>0.98772007990805299</v>
      </c>
      <c r="S3903" t="s">
        <v>10188</v>
      </c>
      <c r="T3903" t="s">
        <v>12568</v>
      </c>
      <c r="U3903" t="s">
        <v>12568</v>
      </c>
      <c r="V3903" t="s">
        <v>12568</v>
      </c>
      <c r="W3903" t="s">
        <v>16427</v>
      </c>
      <c r="X3903">
        <v>14</v>
      </c>
      <c r="Y3903" t="s">
        <v>22544</v>
      </c>
      <c r="Z3903" t="s">
        <v>28773</v>
      </c>
      <c r="AA3903">
        <v>0.3757330355967945</v>
      </c>
      <c r="AB3903" t="str">
        <f>HYPERLINK("Melting_Curves/meltCurve_Q86UA1_PRPF39.pdf", "Melting_Curves/meltCurve_Q86UA1_PRPF39.pdf")</f>
        <v>Melting_Curves/meltCurve_Q86UA1_PRPF39.pdf</v>
      </c>
    </row>
    <row r="3904" spans="1:28" x14ac:dyDescent="0.25">
      <c r="A3904" t="s">
        <v>3908</v>
      </c>
      <c r="B3904">
        <v>0.99352677808782597</v>
      </c>
      <c r="C3904">
        <v>1.00677638508023</v>
      </c>
      <c r="D3904">
        <v>0.94131404263604501</v>
      </c>
      <c r="E3904">
        <v>0.98995758074795603</v>
      </c>
      <c r="F3904">
        <v>0.84083854368502697</v>
      </c>
      <c r="G3904">
        <v>0.76658639372681203</v>
      </c>
      <c r="H3904">
        <v>0.55237836513993899</v>
      </c>
      <c r="I3904">
        <v>0.49934091622446902</v>
      </c>
      <c r="J3904">
        <v>0.37008403966675901</v>
      </c>
      <c r="K3904">
        <v>0.26379046144385399</v>
      </c>
      <c r="L3904">
        <v>634.08813411347705</v>
      </c>
      <c r="M3904">
        <v>10.028582331228799</v>
      </c>
      <c r="N3904">
        <v>63.2281164854869</v>
      </c>
      <c r="O3904">
        <v>60.8682881639591</v>
      </c>
      <c r="P3904">
        <v>-4.1209501047732897E-2</v>
      </c>
      <c r="Q3904">
        <v>0</v>
      </c>
      <c r="R3904">
        <v>0.98786094968181903</v>
      </c>
      <c r="S3904" t="s">
        <v>10189</v>
      </c>
      <c r="T3904" t="s">
        <v>12568</v>
      </c>
      <c r="U3904" t="s">
        <v>12568</v>
      </c>
      <c r="V3904" t="s">
        <v>12568</v>
      </c>
      <c r="W3904" t="s">
        <v>16428</v>
      </c>
      <c r="X3904">
        <v>2</v>
      </c>
      <c r="Y3904" t="s">
        <v>22545</v>
      </c>
      <c r="Z3904" t="s">
        <v>28774</v>
      </c>
      <c r="AA3904">
        <v>0.74081771700583821</v>
      </c>
      <c r="AB3904" t="str">
        <f>HYPERLINK("Melting_Curves/meltCurve_Q86UA6_3_RPAIN.pdf", "Melting_Curves/meltCurve_Q86UA6_3_RPAIN.pdf")</f>
        <v>Melting_Curves/meltCurve_Q86UA6_3_RPAIN.pdf</v>
      </c>
    </row>
    <row r="3905" spans="1:28" x14ac:dyDescent="0.25">
      <c r="A3905" t="s">
        <v>3909</v>
      </c>
      <c r="B3905">
        <v>0.99352677808782597</v>
      </c>
      <c r="C3905">
        <v>0.88089817256143699</v>
      </c>
      <c r="D3905">
        <v>0.94872900344302902</v>
      </c>
      <c r="E3905">
        <v>0.72366799495328704</v>
      </c>
      <c r="F3905">
        <v>0.59664956845602302</v>
      </c>
      <c r="G3905">
        <v>0.53413064753997797</v>
      </c>
      <c r="H3905">
        <v>0.39852392568629202</v>
      </c>
      <c r="I3905">
        <v>0.312166276853442</v>
      </c>
      <c r="J3905">
        <v>0.26299071529076701</v>
      </c>
      <c r="K3905">
        <v>0.22322171664938301</v>
      </c>
      <c r="L3905">
        <v>477.53657009576398</v>
      </c>
      <c r="M3905">
        <v>8.5913884872789392</v>
      </c>
      <c r="N3905">
        <v>57.013817910106603</v>
      </c>
      <c r="O3905">
        <v>52.817603972087703</v>
      </c>
      <c r="P3905">
        <v>-3.67540464348853E-2</v>
      </c>
      <c r="Q3905">
        <v>9.6964880968698694E-2</v>
      </c>
      <c r="R3905">
        <v>0.98192274164010795</v>
      </c>
      <c r="S3905" t="s">
        <v>10190</v>
      </c>
      <c r="T3905" t="s">
        <v>12568</v>
      </c>
      <c r="U3905" t="s">
        <v>12568</v>
      </c>
      <c r="V3905" t="s">
        <v>12568</v>
      </c>
      <c r="W3905" t="s">
        <v>16429</v>
      </c>
      <c r="X3905">
        <v>3</v>
      </c>
      <c r="Y3905" t="s">
        <v>22546</v>
      </c>
      <c r="Z3905" t="s">
        <v>28775</v>
      </c>
      <c r="AA3905">
        <v>0.58702421214450617</v>
      </c>
      <c r="AB3905" t="str">
        <f>HYPERLINK("Melting_Curves/meltCurve_Q86UD0_SAPCD2.pdf", "Melting_Curves/meltCurve_Q86UD0_SAPCD2.pdf")</f>
        <v>Melting_Curves/meltCurve_Q86UD0_SAPCD2.pdf</v>
      </c>
    </row>
    <row r="3906" spans="1:28" x14ac:dyDescent="0.25">
      <c r="A3906" t="s">
        <v>3910</v>
      </c>
      <c r="B3906">
        <v>0.99352677808782597</v>
      </c>
      <c r="C3906">
        <v>0.86968258025748102</v>
      </c>
      <c r="D3906">
        <v>0.79576817850035797</v>
      </c>
      <c r="E3906">
        <v>0.47073259841852499</v>
      </c>
      <c r="F3906">
        <v>0.40431346923457201</v>
      </c>
      <c r="G3906">
        <v>0.27454096539685302</v>
      </c>
      <c r="H3906">
        <v>0.230904070822403</v>
      </c>
      <c r="I3906">
        <v>0.226296416581688</v>
      </c>
      <c r="J3906">
        <v>0.203652275596645</v>
      </c>
      <c r="K3906">
        <v>0.162796541323037</v>
      </c>
      <c r="L3906">
        <v>709.69609823923497</v>
      </c>
      <c r="M3906">
        <v>14.564841191574001</v>
      </c>
      <c r="N3906">
        <v>50.313833689496697</v>
      </c>
      <c r="O3906">
        <v>47.835749353035702</v>
      </c>
      <c r="P3906">
        <v>-6.2106030112738998E-2</v>
      </c>
      <c r="Q3906">
        <v>0.18418573814763001</v>
      </c>
      <c r="R3906">
        <v>0.99150436038354905</v>
      </c>
      <c r="S3906" t="s">
        <v>10191</v>
      </c>
      <c r="T3906" t="s">
        <v>12568</v>
      </c>
      <c r="U3906" t="s">
        <v>12568</v>
      </c>
      <c r="V3906" t="s">
        <v>12568</v>
      </c>
      <c r="W3906" t="s">
        <v>16430</v>
      </c>
      <c r="X3906">
        <v>9</v>
      </c>
      <c r="Y3906" t="s">
        <v>22547</v>
      </c>
      <c r="Z3906" t="s">
        <v>28776</v>
      </c>
      <c r="AA3906">
        <v>0.44301270523591962</v>
      </c>
      <c r="AB3906" t="str">
        <f>HYPERLINK("Melting_Curves/meltCurve_Q86UE8_2_TLK2.pdf", "Melting_Curves/meltCurve_Q86UE8_2_TLK2.pdf")</f>
        <v>Melting_Curves/meltCurve_Q86UE8_2_TLK2.pdf</v>
      </c>
    </row>
    <row r="3907" spans="1:28" x14ac:dyDescent="0.25">
      <c r="A3907" t="s">
        <v>3911</v>
      </c>
      <c r="B3907">
        <v>0.99352677808782597</v>
      </c>
      <c r="C3907">
        <v>0.95019544845954995</v>
      </c>
      <c r="D3907">
        <v>0.851475518570315</v>
      </c>
      <c r="E3907">
        <v>0.60194159898595201</v>
      </c>
      <c r="F3907">
        <v>0.49106517111301301</v>
      </c>
      <c r="G3907">
        <v>0.388733028665666</v>
      </c>
      <c r="H3907">
        <v>0.36889703459123702</v>
      </c>
      <c r="I3907">
        <v>0.39407838444765603</v>
      </c>
      <c r="J3907">
        <v>0.387860300990582</v>
      </c>
      <c r="K3907">
        <v>0.34541514450227701</v>
      </c>
      <c r="L3907">
        <v>932.76976640881696</v>
      </c>
      <c r="M3907">
        <v>19.134216439590901</v>
      </c>
      <c r="N3907">
        <v>52.352663444498504</v>
      </c>
      <c r="O3907">
        <v>48.225681689410898</v>
      </c>
      <c r="P3907">
        <v>-6.2884167174350802E-2</v>
      </c>
      <c r="Q3907">
        <v>0.36605416631205301</v>
      </c>
      <c r="R3907">
        <v>0.996811668388209</v>
      </c>
      <c r="S3907" t="s">
        <v>10192</v>
      </c>
      <c r="T3907" t="s">
        <v>12568</v>
      </c>
      <c r="U3907" t="s">
        <v>12568</v>
      </c>
      <c r="V3907" t="s">
        <v>12568</v>
      </c>
      <c r="W3907" t="s">
        <v>16431</v>
      </c>
      <c r="X3907">
        <v>10</v>
      </c>
      <c r="Y3907" t="s">
        <v>22547</v>
      </c>
      <c r="Z3907" t="s">
        <v>28777</v>
      </c>
      <c r="AA3907">
        <v>0.5606774338350029</v>
      </c>
      <c r="AB3907" t="str">
        <f>HYPERLINK("Melting_Curves/meltCurve_Q86UE8_3_TLK2.pdf", "Melting_Curves/meltCurve_Q86UE8_3_TLK2.pdf")</f>
        <v>Melting_Curves/meltCurve_Q86UE8_3_TLK2.pdf</v>
      </c>
    </row>
    <row r="3908" spans="1:28" x14ac:dyDescent="0.25">
      <c r="A3908" t="s">
        <v>3912</v>
      </c>
      <c r="B3908">
        <v>0.99352677808782597</v>
      </c>
      <c r="C3908">
        <v>0.94437397534538303</v>
      </c>
      <c r="D3908">
        <v>0.95951066626785397</v>
      </c>
      <c r="E3908">
        <v>0.42189681230287102</v>
      </c>
      <c r="F3908">
        <v>0.34417626771575899</v>
      </c>
      <c r="G3908">
        <v>0.20550981812747701</v>
      </c>
      <c r="H3908">
        <v>0.159887358395391</v>
      </c>
      <c r="I3908">
        <v>0.14506234518893399</v>
      </c>
      <c r="J3908">
        <v>0.14511794468299299</v>
      </c>
      <c r="K3908">
        <v>0.113900369207127</v>
      </c>
      <c r="L3908">
        <v>1315.5128941028299</v>
      </c>
      <c r="M3908">
        <v>26.715378708381699</v>
      </c>
      <c r="N3908">
        <v>49.934227104441398</v>
      </c>
      <c r="O3908">
        <v>48.968364099284102</v>
      </c>
      <c r="P3908">
        <v>-0.11527945138500501</v>
      </c>
      <c r="Q3908">
        <v>0.15479586587768901</v>
      </c>
      <c r="R3908">
        <v>0.98348683225401701</v>
      </c>
      <c r="S3908" t="s">
        <v>10193</v>
      </c>
      <c r="T3908" t="s">
        <v>12568</v>
      </c>
      <c r="U3908" t="s">
        <v>12568</v>
      </c>
      <c r="V3908" t="s">
        <v>12568</v>
      </c>
      <c r="W3908" t="s">
        <v>16432</v>
      </c>
      <c r="X3908">
        <v>16</v>
      </c>
      <c r="Y3908" t="s">
        <v>19460</v>
      </c>
      <c r="Z3908" t="s">
        <v>28778</v>
      </c>
      <c r="AA3908">
        <v>0.42171803806972391</v>
      </c>
      <c r="AB3908" t="str">
        <f>HYPERLINK("Melting_Curves/meltCurve_Q86UK7_3_ZNF598.pdf", "Melting_Curves/meltCurve_Q86UK7_3_ZNF598.pdf")</f>
        <v>Melting_Curves/meltCurve_Q86UK7_3_ZNF598.pdf</v>
      </c>
    </row>
    <row r="3909" spans="1:28" x14ac:dyDescent="0.25">
      <c r="A3909" t="s">
        <v>3913</v>
      </c>
      <c r="B3909">
        <v>0.99352677808782597</v>
      </c>
      <c r="C3909">
        <v>0.99977237238576899</v>
      </c>
      <c r="D3909">
        <v>0.98621598455540505</v>
      </c>
      <c r="E3909">
        <v>0.89167744844918695</v>
      </c>
      <c r="F3909">
        <v>0.83267011483036901</v>
      </c>
      <c r="G3909">
        <v>0.62882250398864203</v>
      </c>
      <c r="H3909">
        <v>0.754642353837778</v>
      </c>
      <c r="I3909">
        <v>0.783184699008038</v>
      </c>
      <c r="J3909">
        <v>0.98517376640354304</v>
      </c>
      <c r="K3909">
        <v>0.73504781843385403</v>
      </c>
      <c r="L3909">
        <v>1962.06623068161</v>
      </c>
      <c r="M3909">
        <v>39.148192540701203</v>
      </c>
      <c r="O3909">
        <v>49.988705576969899</v>
      </c>
      <c r="P3909">
        <v>-4.27362581422501E-2</v>
      </c>
      <c r="Q3909">
        <v>0.78171913001228199</v>
      </c>
      <c r="R3909">
        <v>0.55879391493687702</v>
      </c>
      <c r="S3909" t="s">
        <v>10194</v>
      </c>
      <c r="T3909" t="s">
        <v>12568</v>
      </c>
      <c r="U3909" t="s">
        <v>12568</v>
      </c>
      <c r="V3909" t="s">
        <v>12568</v>
      </c>
      <c r="W3909" t="s">
        <v>16433</v>
      </c>
      <c r="X3909">
        <v>62</v>
      </c>
      <c r="Y3909" t="s">
        <v>22548</v>
      </c>
      <c r="Z3909" t="s">
        <v>28779</v>
      </c>
      <c r="AA3909">
        <v>0.85613489211908134</v>
      </c>
      <c r="AB3909" t="str">
        <f>HYPERLINK("Melting_Curves/meltCurve_Q86UP2_KTN1.pdf", "Melting_Curves/meltCurve_Q86UP2_KTN1.pdf")</f>
        <v>Melting_Curves/meltCurve_Q86UP2_KTN1.pdf</v>
      </c>
    </row>
    <row r="3910" spans="1:28" x14ac:dyDescent="0.25">
      <c r="A3910" t="s">
        <v>3914</v>
      </c>
      <c r="B3910">
        <v>0.99352677808782597</v>
      </c>
      <c r="C3910">
        <v>0.94053097623311499</v>
      </c>
      <c r="D3910">
        <v>0.92825568297249395</v>
      </c>
      <c r="E3910">
        <v>0.40745884573033903</v>
      </c>
      <c r="F3910">
        <v>0.34630300633869698</v>
      </c>
      <c r="G3910">
        <v>0.229256935174975</v>
      </c>
      <c r="H3910">
        <v>0.18410618396096201</v>
      </c>
      <c r="I3910">
        <v>0.18965339103432699</v>
      </c>
      <c r="J3910">
        <v>0.174859952848297</v>
      </c>
      <c r="K3910">
        <v>0.149509728295911</v>
      </c>
      <c r="L3910">
        <v>1367.74022783537</v>
      </c>
      <c r="M3910">
        <v>28.014858545892601</v>
      </c>
      <c r="N3910">
        <v>49.664826477096298</v>
      </c>
      <c r="O3910">
        <v>48.575228130341003</v>
      </c>
      <c r="P3910">
        <v>-0.116905086690492</v>
      </c>
      <c r="Q3910">
        <v>0.18919568007378601</v>
      </c>
      <c r="R3910">
        <v>0.98556256267801501</v>
      </c>
      <c r="S3910" t="s">
        <v>10195</v>
      </c>
      <c r="T3910" t="s">
        <v>12568</v>
      </c>
      <c r="U3910" t="s">
        <v>12568</v>
      </c>
      <c r="V3910" t="s">
        <v>12568</v>
      </c>
      <c r="W3910" t="s">
        <v>16434</v>
      </c>
      <c r="X3910">
        <v>14</v>
      </c>
      <c r="Y3910" t="s">
        <v>22549</v>
      </c>
      <c r="Z3910" t="s">
        <v>28780</v>
      </c>
      <c r="AA3910">
        <v>0.4332970156097436</v>
      </c>
      <c r="AB3910" t="str">
        <f>HYPERLINK("Melting_Curves/meltCurve_Q86US8_SMG6.pdf", "Melting_Curves/meltCurve_Q86US8_SMG6.pdf")</f>
        <v>Melting_Curves/meltCurve_Q86US8_SMG6.pdf</v>
      </c>
    </row>
    <row r="3911" spans="1:28" x14ac:dyDescent="0.25">
      <c r="A3911" t="s">
        <v>3915</v>
      </c>
      <c r="B3911">
        <v>0.99352677808782597</v>
      </c>
      <c r="C3911">
        <v>0.97142530117214199</v>
      </c>
      <c r="D3911">
        <v>0.99591408206557797</v>
      </c>
      <c r="E3911">
        <v>1.0300443410043001</v>
      </c>
      <c r="F3911">
        <v>0.88652412030365702</v>
      </c>
      <c r="G3911">
        <v>0.84355955188494203</v>
      </c>
      <c r="H3911">
        <v>0.86246651572475297</v>
      </c>
      <c r="I3911">
        <v>0.90875632364551995</v>
      </c>
      <c r="J3911">
        <v>1.0326256046362201</v>
      </c>
      <c r="K3911">
        <v>0.87235300664345605</v>
      </c>
      <c r="L3911">
        <v>6124.5635546614903</v>
      </c>
      <c r="M3911">
        <v>118.698401360457</v>
      </c>
      <c r="O3911">
        <v>51.583054593194298</v>
      </c>
      <c r="P3911">
        <v>-5.71775606612119E-2</v>
      </c>
      <c r="Q3911">
        <v>0.900608841636934</v>
      </c>
      <c r="R3911">
        <v>0.46721939295075199</v>
      </c>
      <c r="S3911" t="s">
        <v>10196</v>
      </c>
      <c r="T3911" t="s">
        <v>12568</v>
      </c>
      <c r="U3911" t="s">
        <v>12568</v>
      </c>
      <c r="V3911" t="s">
        <v>12568</v>
      </c>
      <c r="W3911" t="s">
        <v>16435</v>
      </c>
      <c r="X3911">
        <v>19</v>
      </c>
      <c r="Y3911" t="s">
        <v>22550</v>
      </c>
      <c r="Z3911" t="s">
        <v>28781</v>
      </c>
      <c r="AA3911">
        <v>0.93907239815041188</v>
      </c>
      <c r="AB3911" t="str">
        <f>HYPERLINK("Melting_Curves/meltCurve_Q86UU0_4_BCL9L.pdf", "Melting_Curves/meltCurve_Q86UU0_4_BCL9L.pdf")</f>
        <v>Melting_Curves/meltCurve_Q86UU0_4_BCL9L.pdf</v>
      </c>
    </row>
    <row r="3912" spans="1:28" x14ac:dyDescent="0.25">
      <c r="A3912" t="s">
        <v>3916</v>
      </c>
      <c r="B3912">
        <v>0.99352677808782597</v>
      </c>
      <c r="C3912">
        <v>0.95196075786048195</v>
      </c>
      <c r="D3912">
        <v>0.96473436975780302</v>
      </c>
      <c r="E3912">
        <v>0.76974110735133805</v>
      </c>
      <c r="F3912">
        <v>0.69820646045171397</v>
      </c>
      <c r="G3912">
        <v>0.45839676294506398</v>
      </c>
      <c r="H3912">
        <v>0.41348735266571102</v>
      </c>
      <c r="I3912">
        <v>0.43399735343439599</v>
      </c>
      <c r="J3912">
        <v>0.40829973990674401</v>
      </c>
      <c r="K3912">
        <v>0.356990853006799</v>
      </c>
      <c r="L3912">
        <v>877.47708432634795</v>
      </c>
      <c r="M3912">
        <v>16.782939767315401</v>
      </c>
      <c r="N3912">
        <v>56.942754602313101</v>
      </c>
      <c r="O3912">
        <v>51.558474389607902</v>
      </c>
      <c r="P3912">
        <v>-5.0999474349507398E-2</v>
      </c>
      <c r="Q3912">
        <v>0.37334341811542998</v>
      </c>
      <c r="R3912">
        <v>0.98585858767477896</v>
      </c>
      <c r="S3912" t="s">
        <v>10197</v>
      </c>
      <c r="T3912" t="s">
        <v>12568</v>
      </c>
      <c r="U3912" t="s">
        <v>12568</v>
      </c>
      <c r="V3912" t="s">
        <v>12568</v>
      </c>
      <c r="W3912" t="s">
        <v>16436</v>
      </c>
      <c r="X3912">
        <v>26</v>
      </c>
      <c r="Y3912" t="s">
        <v>22551</v>
      </c>
      <c r="Z3912" t="s">
        <v>28782</v>
      </c>
      <c r="AA3912">
        <v>0.64158774451991385</v>
      </c>
      <c r="AB3912" t="str">
        <f>HYPERLINK("Melting_Curves/meltCurve_Q86UU1_2_PHLDB1.pdf", "Melting_Curves/meltCurve_Q86UU1_2_PHLDB1.pdf")</f>
        <v>Melting_Curves/meltCurve_Q86UU1_2_PHLDB1.pdf</v>
      </c>
    </row>
    <row r="3913" spans="1:28" x14ac:dyDescent="0.25">
      <c r="A3913" t="s">
        <v>3917</v>
      </c>
      <c r="B3913">
        <v>0.99352677808782597</v>
      </c>
      <c r="C3913">
        <v>0.98009315449999201</v>
      </c>
      <c r="D3913">
        <v>0.76342256154056198</v>
      </c>
      <c r="E3913">
        <v>0.26289337813472802</v>
      </c>
      <c r="F3913">
        <v>0.197220451126397</v>
      </c>
      <c r="G3913">
        <v>0.12307283291022</v>
      </c>
      <c r="H3913">
        <v>8.2150424442626199E-2</v>
      </c>
      <c r="I3913">
        <v>7.8112457205653102E-2</v>
      </c>
      <c r="J3913">
        <v>6.5458405906761302E-2</v>
      </c>
      <c r="K3913">
        <v>5.4899906940683099E-2</v>
      </c>
      <c r="L3913">
        <v>1291.59805557915</v>
      </c>
      <c r="M3913">
        <v>27.047435194830999</v>
      </c>
      <c r="N3913">
        <v>48.078247260231599</v>
      </c>
      <c r="O3913">
        <v>47.494324949248202</v>
      </c>
      <c r="P3913">
        <v>-0.130472478072131</v>
      </c>
      <c r="Q3913">
        <v>8.3589107236161198E-2</v>
      </c>
      <c r="R3913">
        <v>0.995345268671748</v>
      </c>
      <c r="S3913" t="s">
        <v>10198</v>
      </c>
      <c r="T3913" t="s">
        <v>12568</v>
      </c>
      <c r="U3913" t="s">
        <v>12568</v>
      </c>
      <c r="V3913" t="s">
        <v>12568</v>
      </c>
      <c r="W3913" t="s">
        <v>16437</v>
      </c>
      <c r="X3913">
        <v>7</v>
      </c>
      <c r="Y3913" t="s">
        <v>22552</v>
      </c>
      <c r="Z3913" t="s">
        <v>28783</v>
      </c>
      <c r="AA3913">
        <v>0.32727585871450687</v>
      </c>
      <c r="AB3913" t="str">
        <f>HYPERLINK("Melting_Curves/meltCurve_Q86UV5_USP48.pdf", "Melting_Curves/meltCurve_Q86UV5_USP48.pdf")</f>
        <v>Melting_Curves/meltCurve_Q86UV5_USP48.pdf</v>
      </c>
    </row>
    <row r="3914" spans="1:28" x14ac:dyDescent="0.25">
      <c r="A3914" t="s">
        <v>3918</v>
      </c>
      <c r="B3914">
        <v>0.99352677808782597</v>
      </c>
      <c r="C3914">
        <v>0.89245630648584096</v>
      </c>
      <c r="D3914">
        <v>0.82114959297085799</v>
      </c>
      <c r="E3914">
        <v>0.32945420413134902</v>
      </c>
      <c r="F3914">
        <v>0.304696167457571</v>
      </c>
      <c r="G3914">
        <v>0.20353507820538599</v>
      </c>
      <c r="H3914">
        <v>0.14996034165783001</v>
      </c>
      <c r="I3914">
        <v>0.15148475168539699</v>
      </c>
      <c r="J3914">
        <v>0.13592098629903401</v>
      </c>
      <c r="K3914">
        <v>0.106978259395426</v>
      </c>
      <c r="L3914">
        <v>1044.1555801858999</v>
      </c>
      <c r="M3914">
        <v>21.724753660245099</v>
      </c>
      <c r="N3914">
        <v>48.8258277681905</v>
      </c>
      <c r="O3914">
        <v>47.661260664946496</v>
      </c>
      <c r="P3914">
        <v>-9.7556619238305498E-2</v>
      </c>
      <c r="Q3914">
        <v>0.14391436886942999</v>
      </c>
      <c r="R3914">
        <v>0.98455066196237195</v>
      </c>
      <c r="S3914" t="s">
        <v>10199</v>
      </c>
      <c r="T3914" t="s">
        <v>12568</v>
      </c>
      <c r="U3914" t="s">
        <v>12568</v>
      </c>
      <c r="V3914" t="s">
        <v>12568</v>
      </c>
      <c r="W3914" t="s">
        <v>16438</v>
      </c>
      <c r="X3914">
        <v>11</v>
      </c>
      <c r="Y3914" t="s">
        <v>22553</v>
      </c>
      <c r="Z3914" t="s">
        <v>28784</v>
      </c>
      <c r="AA3914">
        <v>0.38419533489000302</v>
      </c>
      <c r="AB3914" t="str">
        <f>HYPERLINK("Melting_Curves/meltCurve_Q86UX6_STK32C.pdf", "Melting_Curves/meltCurve_Q86UX6_STK32C.pdf")</f>
        <v>Melting_Curves/meltCurve_Q86UX6_STK32C.pdf</v>
      </c>
    </row>
    <row r="3915" spans="1:28" x14ac:dyDescent="0.25">
      <c r="A3915" t="s">
        <v>3919</v>
      </c>
      <c r="B3915">
        <v>0.99352677808782597</v>
      </c>
      <c r="C3915">
        <v>1.0119465197632</v>
      </c>
      <c r="D3915">
        <v>0.977706688875559</v>
      </c>
      <c r="E3915">
        <v>0.907719652587752</v>
      </c>
      <c r="F3915">
        <v>0.80627883507637399</v>
      </c>
      <c r="G3915">
        <v>0.69202347321903801</v>
      </c>
      <c r="H3915">
        <v>0.57352447564096998</v>
      </c>
      <c r="I3915">
        <v>0.51790877998080798</v>
      </c>
      <c r="J3915">
        <v>0.46305316060448898</v>
      </c>
      <c r="K3915">
        <v>0.31664022271847603</v>
      </c>
      <c r="L3915">
        <v>523.28630585666701</v>
      </c>
      <c r="M3915">
        <v>8.4486393329371303</v>
      </c>
      <c r="N3915">
        <v>63.862381392523197</v>
      </c>
      <c r="O3915">
        <v>58.759353802900101</v>
      </c>
      <c r="P3915">
        <v>-3.1934506413999898E-2</v>
      </c>
      <c r="Q3915">
        <v>0.11241442270176299</v>
      </c>
      <c r="R3915">
        <v>0.98816344645676901</v>
      </c>
      <c r="S3915" t="s">
        <v>10200</v>
      </c>
      <c r="T3915" t="s">
        <v>12568</v>
      </c>
      <c r="U3915" t="s">
        <v>12568</v>
      </c>
      <c r="V3915" t="s">
        <v>12568</v>
      </c>
      <c r="W3915" t="s">
        <v>16439</v>
      </c>
      <c r="X3915">
        <v>16</v>
      </c>
      <c r="Y3915" t="s">
        <v>22554</v>
      </c>
      <c r="Z3915" t="s">
        <v>28785</v>
      </c>
      <c r="AA3915">
        <v>0.73311302881184015</v>
      </c>
      <c r="AB3915" t="str">
        <f>HYPERLINK("Melting_Curves/meltCurve_Q86UY0_TXNDC5.pdf", "Melting_Curves/meltCurve_Q86UY0_TXNDC5.pdf")</f>
        <v>Melting_Curves/meltCurve_Q86UY0_TXNDC5.pdf</v>
      </c>
    </row>
    <row r="3916" spans="1:28" x14ac:dyDescent="0.25">
      <c r="A3916" t="s">
        <v>3920</v>
      </c>
      <c r="B3916">
        <v>0.99352677808782597</v>
      </c>
      <c r="C3916">
        <v>0.60873449964802595</v>
      </c>
      <c r="D3916">
        <v>0.436662631668495</v>
      </c>
      <c r="E3916">
        <v>0.18733622969997399</v>
      </c>
      <c r="F3916">
        <v>0.17420403146948499</v>
      </c>
      <c r="G3916">
        <v>0.104426336205291</v>
      </c>
      <c r="H3916">
        <v>7.2229066139409007E-2</v>
      </c>
      <c r="I3916">
        <v>9.1588804726538603E-2</v>
      </c>
      <c r="J3916">
        <v>6.7606516194026897E-2</v>
      </c>
      <c r="K3916">
        <v>5.5172024700384598E-2</v>
      </c>
      <c r="L3916">
        <v>799.00647122698501</v>
      </c>
      <c r="M3916">
        <v>17.948026757505598</v>
      </c>
      <c r="N3916">
        <v>44.952396819545697</v>
      </c>
      <c r="O3916">
        <v>43.976165700364803</v>
      </c>
      <c r="P3916">
        <v>-9.3910056044321205E-2</v>
      </c>
      <c r="Q3916">
        <v>7.9653963833154803E-2</v>
      </c>
      <c r="R3916">
        <v>0.97614017184036905</v>
      </c>
      <c r="S3916" t="s">
        <v>10201</v>
      </c>
      <c r="T3916" t="s">
        <v>12568</v>
      </c>
      <c r="U3916" t="s">
        <v>12568</v>
      </c>
      <c r="V3916" t="s">
        <v>12568</v>
      </c>
      <c r="W3916" t="s">
        <v>16440</v>
      </c>
      <c r="X3916">
        <v>2</v>
      </c>
      <c r="Y3916" t="s">
        <v>22555</v>
      </c>
      <c r="Z3916" t="s">
        <v>28786</v>
      </c>
      <c r="AA3916">
        <v>0.23944480682051861</v>
      </c>
      <c r="AB3916" t="str">
        <f>HYPERLINK("Melting_Curves/meltCurve_Q86UY6_NAA40.pdf", "Melting_Curves/meltCurve_Q86UY6_NAA40.pdf")</f>
        <v>Melting_Curves/meltCurve_Q86UY6_NAA40.pdf</v>
      </c>
    </row>
    <row r="3917" spans="1:28" x14ac:dyDescent="0.25">
      <c r="A3917" t="s">
        <v>3921</v>
      </c>
      <c r="B3917">
        <v>0.99352677808782597</v>
      </c>
      <c r="C3917">
        <v>1.0449835417942599</v>
      </c>
      <c r="D3917">
        <v>1.0104883516134</v>
      </c>
      <c r="E3917">
        <v>0.95410515140128405</v>
      </c>
      <c r="F3917">
        <v>0.80424469877603699</v>
      </c>
      <c r="G3917">
        <v>0.47421356563102002</v>
      </c>
      <c r="H3917">
        <v>0.232532446949688</v>
      </c>
      <c r="I3917">
        <v>0.188718724763559</v>
      </c>
      <c r="J3917">
        <v>0.17435958294884499</v>
      </c>
      <c r="K3917">
        <v>0.12039080753958301</v>
      </c>
      <c r="L3917">
        <v>1306.5226940802199</v>
      </c>
      <c r="M3917">
        <v>23.382472815879499</v>
      </c>
      <c r="N3917">
        <v>56.646039466705297</v>
      </c>
      <c r="O3917">
        <v>55.472278580936297</v>
      </c>
      <c r="P3917">
        <v>-9.1036155332093402E-2</v>
      </c>
      <c r="Q3917">
        <v>0.136123152069585</v>
      </c>
      <c r="R3917">
        <v>0.99741691546796896</v>
      </c>
      <c r="S3917" t="s">
        <v>10202</v>
      </c>
      <c r="T3917" t="s">
        <v>12568</v>
      </c>
      <c r="U3917" t="s">
        <v>12568</v>
      </c>
      <c r="V3917" t="s">
        <v>12568</v>
      </c>
      <c r="W3917" t="s">
        <v>16441</v>
      </c>
      <c r="X3917">
        <v>6</v>
      </c>
      <c r="Y3917" t="s">
        <v>22556</v>
      </c>
      <c r="Z3917" t="s">
        <v>28787</v>
      </c>
      <c r="AA3917">
        <v>0.60215118453109151</v>
      </c>
      <c r="AB3917" t="str">
        <f>HYPERLINK("Melting_Curves/meltCurve_Q86UY8_2_NT5DC3.pdf", "Melting_Curves/meltCurve_Q86UY8_2_NT5DC3.pdf")</f>
        <v>Melting_Curves/meltCurve_Q86UY8_2_NT5DC3.pdf</v>
      </c>
    </row>
    <row r="3918" spans="1:28" x14ac:dyDescent="0.25">
      <c r="A3918" t="s">
        <v>3922</v>
      </c>
      <c r="B3918">
        <v>0.99352677808782597</v>
      </c>
      <c r="C3918">
        <v>0.76000219596177698</v>
      </c>
      <c r="D3918">
        <v>0.33186658045369599</v>
      </c>
      <c r="E3918">
        <v>0.18813544850700301</v>
      </c>
      <c r="F3918">
        <v>0.13952969207707899</v>
      </c>
      <c r="G3918">
        <v>8.6808148013960501E-2</v>
      </c>
      <c r="H3918">
        <v>6.0306301905825199E-2</v>
      </c>
      <c r="I3918">
        <v>5.8145218835700098E-2</v>
      </c>
      <c r="J3918">
        <v>5.3052725063308999E-2</v>
      </c>
      <c r="K3918">
        <v>4.12749219895941E-2</v>
      </c>
      <c r="L3918">
        <v>1149.2335990797201</v>
      </c>
      <c r="M3918">
        <v>25.773394867101601</v>
      </c>
      <c r="N3918">
        <v>44.876166888506098</v>
      </c>
      <c r="O3918">
        <v>44.324085037008899</v>
      </c>
      <c r="P3918">
        <v>-0.1343522676376</v>
      </c>
      <c r="Q3918">
        <v>7.5795884765878396E-2</v>
      </c>
      <c r="R3918">
        <v>0.98933421803016597</v>
      </c>
      <c r="S3918" t="s">
        <v>10203</v>
      </c>
      <c r="T3918" t="s">
        <v>12568</v>
      </c>
      <c r="U3918" t="s">
        <v>12568</v>
      </c>
      <c r="V3918" t="s">
        <v>12568</v>
      </c>
      <c r="W3918" t="s">
        <v>16442</v>
      </c>
      <c r="X3918">
        <v>15</v>
      </c>
      <c r="Y3918" t="s">
        <v>22557</v>
      </c>
      <c r="Z3918" t="s">
        <v>28788</v>
      </c>
      <c r="AA3918">
        <v>0.2261689509807665</v>
      </c>
      <c r="AB3918" t="str">
        <f>HYPERLINK("Melting_Curves/meltCurve_Q86V21_AACS.pdf", "Melting_Curves/meltCurve_Q86V21_AACS.pdf")</f>
        <v>Melting_Curves/meltCurve_Q86V21_AACS.pdf</v>
      </c>
    </row>
    <row r="3919" spans="1:28" x14ac:dyDescent="0.25">
      <c r="A3919" t="s">
        <v>3923</v>
      </c>
      <c r="B3919">
        <v>0.99352677808782597</v>
      </c>
      <c r="C3919">
        <v>0.92419552575187403</v>
      </c>
      <c r="D3919">
        <v>0.96307650221730001</v>
      </c>
      <c r="E3919">
        <v>0.94633823963459396</v>
      </c>
      <c r="F3919">
        <v>0.86327656935105901</v>
      </c>
      <c r="G3919">
        <v>0.76781647384601504</v>
      </c>
      <c r="H3919">
        <v>0.69073022842450404</v>
      </c>
      <c r="I3919">
        <v>0.71466207650278502</v>
      </c>
      <c r="J3919">
        <v>0.76608096699730799</v>
      </c>
      <c r="K3919">
        <v>0.61682917895400802</v>
      </c>
      <c r="L3919">
        <v>633.34817416375301</v>
      </c>
      <c r="M3919">
        <v>11.5558251460136</v>
      </c>
      <c r="O3919">
        <v>53.243495686580196</v>
      </c>
      <c r="P3919">
        <v>-1.92193280183879E-2</v>
      </c>
      <c r="Q3919">
        <v>0.64588635723325905</v>
      </c>
      <c r="R3919">
        <v>0.89108768981740005</v>
      </c>
      <c r="S3919" t="s">
        <v>10204</v>
      </c>
      <c r="T3919" t="s">
        <v>12568</v>
      </c>
      <c r="U3919" t="s">
        <v>12568</v>
      </c>
      <c r="V3919" t="s">
        <v>12568</v>
      </c>
      <c r="W3919" t="s">
        <v>16443</v>
      </c>
      <c r="X3919">
        <v>59</v>
      </c>
      <c r="Y3919" t="s">
        <v>22558</v>
      </c>
      <c r="Z3919" t="s">
        <v>28789</v>
      </c>
      <c r="AA3919">
        <v>0.82939944594293569</v>
      </c>
      <c r="AB3919" t="str">
        <f>HYPERLINK("Melting_Curves/meltCurve_Q86V48_LUZP1.pdf", "Melting_Curves/meltCurve_Q86V48_LUZP1.pdf")</f>
        <v>Melting_Curves/meltCurve_Q86V48_LUZP1.pdf</v>
      </c>
    </row>
    <row r="3920" spans="1:28" x14ac:dyDescent="0.25">
      <c r="A3920" t="s">
        <v>3924</v>
      </c>
      <c r="B3920">
        <v>0.99352677808782597</v>
      </c>
      <c r="C3920">
        <v>0.79068654024811802</v>
      </c>
      <c r="D3920">
        <v>0.99958358858579599</v>
      </c>
      <c r="E3920">
        <v>1.25507409025796</v>
      </c>
      <c r="F3920">
        <v>1.41394422228171</v>
      </c>
      <c r="G3920">
        <v>1.5754282098649199</v>
      </c>
      <c r="H3920">
        <v>1.4593779757253</v>
      </c>
      <c r="I3920">
        <v>1.50534636746367</v>
      </c>
      <c r="J3920">
        <v>1.26499182651413</v>
      </c>
      <c r="K3920">
        <v>1.11402651334084</v>
      </c>
      <c r="L3920">
        <v>12467.7315270539</v>
      </c>
      <c r="M3920">
        <v>250</v>
      </c>
      <c r="O3920">
        <v>49.8677352065923</v>
      </c>
      <c r="P3920">
        <v>0.48735487626301799</v>
      </c>
      <c r="Q3920">
        <v>1.3888525383304899</v>
      </c>
      <c r="R3920">
        <v>0.68463141881363399</v>
      </c>
      <c r="S3920" t="s">
        <v>10205</v>
      </c>
      <c r="T3920" t="s">
        <v>12568</v>
      </c>
      <c r="U3920" t="s">
        <v>12568</v>
      </c>
      <c r="V3920" t="s">
        <v>12568</v>
      </c>
      <c r="W3920" t="s">
        <v>16444</v>
      </c>
      <c r="X3920">
        <v>1</v>
      </c>
      <c r="Y3920" t="s">
        <v>22559</v>
      </c>
      <c r="Z3920" t="s">
        <v>28790</v>
      </c>
      <c r="AA3920">
        <v>1.2608740158116829</v>
      </c>
      <c r="AB3920" t="str">
        <f>HYPERLINK("Melting_Curves/meltCurve_Q86V59_PNMAL1.pdf", "Melting_Curves/meltCurve_Q86V59_PNMAL1.pdf")</f>
        <v>Melting_Curves/meltCurve_Q86V59_PNMAL1.pdf</v>
      </c>
    </row>
    <row r="3921" spans="1:28" x14ac:dyDescent="0.25">
      <c r="A3921" t="s">
        <v>3925</v>
      </c>
      <c r="B3921">
        <v>0.99352677808782597</v>
      </c>
      <c r="C3921">
        <v>1.0925991666178301</v>
      </c>
      <c r="D3921">
        <v>1.0903070840083999</v>
      </c>
      <c r="E3921">
        <v>1.0903662757097301</v>
      </c>
      <c r="F3921">
        <v>0</v>
      </c>
      <c r="G3921">
        <v>0.495464182122828</v>
      </c>
      <c r="H3921">
        <v>0.15248381711380701</v>
      </c>
      <c r="I3921">
        <v>0.11061625853701899</v>
      </c>
      <c r="J3921">
        <v>7.8051492869198796E-2</v>
      </c>
      <c r="K3921">
        <v>7.8127765187485404E-2</v>
      </c>
      <c r="L3921">
        <v>12852.234432740799</v>
      </c>
      <c r="M3921">
        <v>250</v>
      </c>
      <c r="N3921">
        <v>51.483788685873797</v>
      </c>
      <c r="O3921">
        <v>51.405647189301398</v>
      </c>
      <c r="P3921">
        <v>-1.0305205246670699</v>
      </c>
      <c r="Q3921">
        <v>0.15240679707580199</v>
      </c>
      <c r="R3921">
        <v>0.91742774198112798</v>
      </c>
      <c r="S3921" t="s">
        <v>10206</v>
      </c>
      <c r="T3921" t="s">
        <v>12568</v>
      </c>
      <c r="U3921" t="s">
        <v>12568</v>
      </c>
      <c r="V3921" t="s">
        <v>12568</v>
      </c>
      <c r="W3921" t="s">
        <v>16445</v>
      </c>
      <c r="X3921">
        <v>2</v>
      </c>
      <c r="Y3921" t="s">
        <v>22560</v>
      </c>
      <c r="Z3921" t="s">
        <v>28791</v>
      </c>
      <c r="AA3921">
        <v>0.47482120431113439</v>
      </c>
      <c r="AB3921" t="str">
        <f>HYPERLINK("Melting_Curves/meltCurve_Q86V87_FAM160B2.pdf", "Melting_Curves/meltCurve_Q86V87_FAM160B2.pdf")</f>
        <v>Melting_Curves/meltCurve_Q86V87_FAM160B2.pdf</v>
      </c>
    </row>
    <row r="3922" spans="1:28" x14ac:dyDescent="0.25">
      <c r="A3922" t="s">
        <v>3926</v>
      </c>
      <c r="B3922">
        <v>0.99352677808782597</v>
      </c>
      <c r="C3922">
        <v>1.09064090265406</v>
      </c>
      <c r="D3922">
        <v>1.0094307088118499</v>
      </c>
      <c r="E3922">
        <v>0.82237037419181502</v>
      </c>
      <c r="F3922">
        <v>0.86689343475241898</v>
      </c>
      <c r="G3922">
        <v>0.64444058777272895</v>
      </c>
      <c r="H3922">
        <v>0.65932089090024804</v>
      </c>
      <c r="I3922">
        <v>0.59000978805208004</v>
      </c>
      <c r="J3922">
        <v>0.56482752892604104</v>
      </c>
      <c r="K3922">
        <v>0.49466240233245201</v>
      </c>
      <c r="L3922">
        <v>740.09783399773096</v>
      </c>
      <c r="M3922">
        <v>13.4546137402632</v>
      </c>
      <c r="O3922">
        <v>53.834492166073602</v>
      </c>
      <c r="P3922">
        <v>-3.0633133029332599E-2</v>
      </c>
      <c r="Q3922">
        <v>0.50979957522016905</v>
      </c>
      <c r="R3922">
        <v>0.93076739637167305</v>
      </c>
      <c r="S3922" t="s">
        <v>10207</v>
      </c>
      <c r="T3922" t="s">
        <v>12568</v>
      </c>
      <c r="U3922" t="s">
        <v>12568</v>
      </c>
      <c r="V3922" t="s">
        <v>12568</v>
      </c>
      <c r="W3922" t="s">
        <v>16446</v>
      </c>
      <c r="X3922">
        <v>2</v>
      </c>
      <c r="Y3922" t="s">
        <v>22561</v>
      </c>
      <c r="Z3922" t="s">
        <v>28792</v>
      </c>
      <c r="AA3922">
        <v>0.76551421415887622</v>
      </c>
      <c r="AB3922" t="str">
        <f>HYPERLINK("Melting_Curves/meltCurve_Q86VG3_C11orf74.pdf", "Melting_Curves/meltCurve_Q86VG3_C11orf74.pdf")</f>
        <v>Melting_Curves/meltCurve_Q86VG3_C11orf74.pdf</v>
      </c>
    </row>
    <row r="3923" spans="1:28" x14ac:dyDescent="0.25">
      <c r="A3923" t="s">
        <v>3927</v>
      </c>
      <c r="B3923">
        <v>0.99352677808782597</v>
      </c>
      <c r="C3923">
        <v>0.90939478224138004</v>
      </c>
      <c r="D3923">
        <v>1.6942473818772901</v>
      </c>
      <c r="E3923">
        <v>0.61588719497109801</v>
      </c>
      <c r="F3923">
        <v>0.58749821075294295</v>
      </c>
      <c r="G3923">
        <v>0.20689348134310701</v>
      </c>
      <c r="H3923">
        <v>0.103026265692893</v>
      </c>
      <c r="I3923">
        <v>8.0179574232884104E-2</v>
      </c>
      <c r="J3923">
        <v>2.91122356789103E-2</v>
      </c>
      <c r="K3923">
        <v>4.7967983734225103E-2</v>
      </c>
      <c r="L3923">
        <v>1359.15332842156</v>
      </c>
      <c r="M3923">
        <v>25.6586612853317</v>
      </c>
      <c r="N3923">
        <v>53.226882880304899</v>
      </c>
      <c r="O3923">
        <v>52.651939113971103</v>
      </c>
      <c r="P3923">
        <v>-0.114752057923794</v>
      </c>
      <c r="Q3923">
        <v>5.8119990941133501E-2</v>
      </c>
      <c r="R3923">
        <v>0.78917774262776197</v>
      </c>
      <c r="S3923" t="s">
        <v>10208</v>
      </c>
      <c r="T3923" t="s">
        <v>12568</v>
      </c>
      <c r="U3923" t="s">
        <v>12568</v>
      </c>
      <c r="V3923" t="s">
        <v>12568</v>
      </c>
      <c r="W3923" t="s">
        <v>16447</v>
      </c>
      <c r="X3923">
        <v>4</v>
      </c>
      <c r="Y3923" t="s">
        <v>22562</v>
      </c>
      <c r="Z3923" t="s">
        <v>28793</v>
      </c>
      <c r="AA3923">
        <v>0.47359849191722608</v>
      </c>
      <c r="AB3923" t="str">
        <f>HYPERLINK("Melting_Curves/meltCurve_Q86VI3_IQGAP3.pdf", "Melting_Curves/meltCurve_Q86VI3_IQGAP3.pdf")</f>
        <v>Melting_Curves/meltCurve_Q86VI3_IQGAP3.pdf</v>
      </c>
    </row>
    <row r="3924" spans="1:28" x14ac:dyDescent="0.25">
      <c r="A3924" t="s">
        <v>3928</v>
      </c>
      <c r="B3924">
        <v>0.99352677808782597</v>
      </c>
      <c r="C3924">
        <v>0.93823609996444401</v>
      </c>
      <c r="D3924">
        <v>1.0227414193781199</v>
      </c>
      <c r="E3924">
        <v>1.1623652948494601</v>
      </c>
      <c r="F3924">
        <v>1.05072923656707</v>
      </c>
      <c r="G3924">
        <v>0.99308824763495496</v>
      </c>
      <c r="H3924">
        <v>0.89978980325103997</v>
      </c>
      <c r="I3924">
        <v>0.89268827652245097</v>
      </c>
      <c r="J3924">
        <v>1.0245985969181699</v>
      </c>
      <c r="K3924">
        <v>0.94547081385151899</v>
      </c>
      <c r="L3924">
        <v>14365.518063785101</v>
      </c>
      <c r="M3924">
        <v>250</v>
      </c>
      <c r="O3924">
        <v>57.4583950564124</v>
      </c>
      <c r="P3924">
        <v>-6.4571856994273605E-2</v>
      </c>
      <c r="Q3924">
        <v>0.94063687576285004</v>
      </c>
      <c r="R3924">
        <v>0.23408121499127299</v>
      </c>
      <c r="S3924" t="s">
        <v>10209</v>
      </c>
      <c r="T3924" t="s">
        <v>12568</v>
      </c>
      <c r="U3924" t="s">
        <v>12568</v>
      </c>
      <c r="V3924" t="s">
        <v>12568</v>
      </c>
      <c r="W3924" t="s">
        <v>16448</v>
      </c>
      <c r="X3924">
        <v>8</v>
      </c>
      <c r="Y3924" t="s">
        <v>22563</v>
      </c>
      <c r="Z3924" t="s">
        <v>28794</v>
      </c>
      <c r="AA3924">
        <v>0.97519630106363608</v>
      </c>
      <c r="AB3924" t="str">
        <f>HYPERLINK("Melting_Curves/meltCurve_Q86VM9_ZC3H18.pdf", "Melting_Curves/meltCurve_Q86VM9_ZC3H18.pdf")</f>
        <v>Melting_Curves/meltCurve_Q86VM9_ZC3H18.pdf</v>
      </c>
    </row>
    <row r="3925" spans="1:28" x14ac:dyDescent="0.25">
      <c r="A3925" t="s">
        <v>3929</v>
      </c>
      <c r="B3925">
        <v>0.99352677808782597</v>
      </c>
      <c r="C3925">
        <v>0.97320734606232395</v>
      </c>
      <c r="D3925">
        <v>0.93586784002739598</v>
      </c>
      <c r="E3925">
        <v>0.44944699727138798</v>
      </c>
      <c r="F3925">
        <v>0.37273833357181402</v>
      </c>
      <c r="G3925">
        <v>0.20134139380477001</v>
      </c>
      <c r="H3925">
        <v>0.145569755000304</v>
      </c>
      <c r="I3925">
        <v>0.12824166054521099</v>
      </c>
      <c r="J3925">
        <v>0.11465218293488</v>
      </c>
      <c r="K3925">
        <v>9.2074356993451803E-2</v>
      </c>
      <c r="L3925">
        <v>1061.32595782115</v>
      </c>
      <c r="M3925">
        <v>21.349673311336002</v>
      </c>
      <c r="N3925">
        <v>50.377290025052197</v>
      </c>
      <c r="O3925">
        <v>49.281589279387198</v>
      </c>
      <c r="P3925">
        <v>-9.4995268313415995E-2</v>
      </c>
      <c r="Q3925">
        <v>0.122909019181954</v>
      </c>
      <c r="R3925">
        <v>0.98615082953172095</v>
      </c>
      <c r="S3925" t="s">
        <v>10210</v>
      </c>
      <c r="T3925" t="s">
        <v>12568</v>
      </c>
      <c r="U3925" t="s">
        <v>12568</v>
      </c>
      <c r="V3925" t="s">
        <v>12568</v>
      </c>
      <c r="W3925" t="s">
        <v>16449</v>
      </c>
      <c r="X3925">
        <v>11</v>
      </c>
      <c r="Y3925" t="s">
        <v>22564</v>
      </c>
      <c r="Z3925" t="s">
        <v>28795</v>
      </c>
      <c r="AA3925">
        <v>0.41757949485651152</v>
      </c>
      <c r="AB3925" t="str">
        <f>HYPERLINK("Melting_Curves/meltCurve_Q86VN1_VPS36.pdf", "Melting_Curves/meltCurve_Q86VN1_VPS36.pdf")</f>
        <v>Melting_Curves/meltCurve_Q86VN1_VPS36.pdf</v>
      </c>
    </row>
    <row r="3926" spans="1:28" x14ac:dyDescent="0.25">
      <c r="A3926" t="s">
        <v>3930</v>
      </c>
      <c r="B3926">
        <v>0.99352677808782597</v>
      </c>
      <c r="C3926">
        <v>1.00304156324425</v>
      </c>
      <c r="D3926">
        <v>0.99027451406007405</v>
      </c>
      <c r="E3926">
        <v>0.85766103005851102</v>
      </c>
      <c r="F3926">
        <v>0.75133114062740902</v>
      </c>
      <c r="G3926">
        <v>0.43943593989420898</v>
      </c>
      <c r="H3926">
        <v>0.286985155091601</v>
      </c>
      <c r="I3926">
        <v>0.28221865334028401</v>
      </c>
      <c r="J3926">
        <v>0.278998308239505</v>
      </c>
      <c r="K3926">
        <v>0.234733800366795</v>
      </c>
      <c r="L3926">
        <v>1144.56191588662</v>
      </c>
      <c r="M3926">
        <v>21.058412611952399</v>
      </c>
      <c r="N3926">
        <v>56.1033540049918</v>
      </c>
      <c r="O3926">
        <v>53.868757202505201</v>
      </c>
      <c r="P3926">
        <v>-7.4187299601820897E-2</v>
      </c>
      <c r="Q3926">
        <v>0.24091687267133999</v>
      </c>
      <c r="R3926">
        <v>0.99606801419392099</v>
      </c>
      <c r="S3926" t="s">
        <v>10211</v>
      </c>
      <c r="T3926" t="s">
        <v>12568</v>
      </c>
      <c r="U3926" t="s">
        <v>12568</v>
      </c>
      <c r="V3926" t="s">
        <v>12568</v>
      </c>
      <c r="W3926" t="s">
        <v>16450</v>
      </c>
      <c r="X3926">
        <v>7</v>
      </c>
      <c r="Y3926" t="s">
        <v>22565</v>
      </c>
      <c r="Z3926" t="s">
        <v>28796</v>
      </c>
      <c r="AA3926">
        <v>0.61349732193267703</v>
      </c>
      <c r="AB3926" t="str">
        <f>HYPERLINK("Melting_Curves/meltCurve_Q86VP1_2_TAX1BP1.pdf", "Melting_Curves/meltCurve_Q86VP1_2_TAX1BP1.pdf")</f>
        <v>Melting_Curves/meltCurve_Q86VP1_2_TAX1BP1.pdf</v>
      </c>
    </row>
    <row r="3927" spans="1:28" x14ac:dyDescent="0.25">
      <c r="A3927" t="s">
        <v>3931</v>
      </c>
      <c r="B3927">
        <v>0.99352677808782597</v>
      </c>
      <c r="C3927">
        <v>1.0457161755033899</v>
      </c>
      <c r="D3927">
        <v>0.90771550932908496</v>
      </c>
      <c r="E3927">
        <v>1.01810285739127</v>
      </c>
      <c r="F3927">
        <v>0.85053246275540295</v>
      </c>
      <c r="G3927">
        <v>0.81629574752919098</v>
      </c>
      <c r="H3927">
        <v>0.45823236331358402</v>
      </c>
      <c r="I3927">
        <v>0.13967187027090799</v>
      </c>
      <c r="J3927">
        <v>9.4159550087896601E-2</v>
      </c>
      <c r="K3927">
        <v>7.5521257519280904E-2</v>
      </c>
      <c r="L3927">
        <v>1451.1888397672501</v>
      </c>
      <c r="M3927">
        <v>24.1372409034512</v>
      </c>
      <c r="N3927">
        <v>60.203912995354699</v>
      </c>
      <c r="O3927">
        <v>59.714265142202301</v>
      </c>
      <c r="P3927">
        <v>-9.9430430204027698E-2</v>
      </c>
      <c r="Q3927">
        <v>1.6072347974419799E-2</v>
      </c>
      <c r="R3927">
        <v>0.97961121029013898</v>
      </c>
      <c r="S3927" t="s">
        <v>10212</v>
      </c>
      <c r="T3927" t="s">
        <v>12568</v>
      </c>
      <c r="U3927" t="s">
        <v>12568</v>
      </c>
      <c r="V3927" t="s">
        <v>12568</v>
      </c>
      <c r="W3927" t="s">
        <v>16451</v>
      </c>
      <c r="X3927">
        <v>64</v>
      </c>
      <c r="Y3927" t="s">
        <v>22566</v>
      </c>
      <c r="Z3927" t="s">
        <v>28797</v>
      </c>
      <c r="AA3927">
        <v>0.68342320384395827</v>
      </c>
      <c r="AB3927" t="str">
        <f>HYPERLINK("Melting_Curves/meltCurve_Q86VP6_CAND1.pdf", "Melting_Curves/meltCurve_Q86VP6_CAND1.pdf")</f>
        <v>Melting_Curves/meltCurve_Q86VP6_CAND1.pdf</v>
      </c>
    </row>
    <row r="3928" spans="1:28" x14ac:dyDescent="0.25">
      <c r="A3928" t="s">
        <v>3932</v>
      </c>
      <c r="B3928">
        <v>0.99352677808782597</v>
      </c>
      <c r="C3928">
        <v>1.00651639044126</v>
      </c>
      <c r="D3928">
        <v>0.92348381319726003</v>
      </c>
      <c r="E3928">
        <v>0.96512889545841296</v>
      </c>
      <c r="F3928">
        <v>0.80874529365779302</v>
      </c>
      <c r="G3928">
        <v>0.70413426474571505</v>
      </c>
      <c r="H3928">
        <v>0.87752097724047895</v>
      </c>
      <c r="I3928">
        <v>0.79662954219002102</v>
      </c>
      <c r="J3928">
        <v>0.792262929021888</v>
      </c>
      <c r="K3928">
        <v>0.363161969914017</v>
      </c>
      <c r="L3928">
        <v>417.42540961583597</v>
      </c>
      <c r="M3928">
        <v>5.6715489049679002</v>
      </c>
      <c r="O3928">
        <v>65.982970803358796</v>
      </c>
      <c r="P3928">
        <v>-2.1573653092964998E-2</v>
      </c>
      <c r="Q3928">
        <v>0</v>
      </c>
      <c r="R3928">
        <v>0.62767415997818399</v>
      </c>
      <c r="S3928" t="s">
        <v>10213</v>
      </c>
      <c r="T3928" t="s">
        <v>12568</v>
      </c>
      <c r="U3928" t="s">
        <v>12568</v>
      </c>
      <c r="V3928" t="s">
        <v>12568</v>
      </c>
      <c r="W3928" t="s">
        <v>16452</v>
      </c>
      <c r="X3928">
        <v>2</v>
      </c>
      <c r="Y3928" t="s">
        <v>22567</v>
      </c>
      <c r="Z3928" t="s">
        <v>28798</v>
      </c>
      <c r="AA3928">
        <v>0.83891930090627342</v>
      </c>
      <c r="AB3928" t="str">
        <f>HYPERLINK("Melting_Curves/meltCurve_Q86VQ6_TXNRD3.pdf", "Melting_Curves/meltCurve_Q86VQ6_TXNRD3.pdf")</f>
        <v>Melting_Curves/meltCurve_Q86VQ6_TXNRD3.pdf</v>
      </c>
    </row>
    <row r="3929" spans="1:28" x14ac:dyDescent="0.25">
      <c r="A3929" t="s">
        <v>3933</v>
      </c>
      <c r="B3929">
        <v>0.99352677808782597</v>
      </c>
      <c r="C3929">
        <v>0.83187798552348002</v>
      </c>
      <c r="D3929">
        <v>0.78344997810594097</v>
      </c>
      <c r="E3929">
        <v>0.65450227054880405</v>
      </c>
      <c r="F3929">
        <v>0.57613913076121204</v>
      </c>
      <c r="G3929">
        <v>0.37299680139130498</v>
      </c>
      <c r="H3929">
        <v>0.25480093159842598</v>
      </c>
      <c r="I3929">
        <v>0.26699932574037299</v>
      </c>
      <c r="J3929">
        <v>0.26389047836269403</v>
      </c>
      <c r="K3929">
        <v>0.22370326965628801</v>
      </c>
      <c r="L3929">
        <v>481.39833468024</v>
      </c>
      <c r="M3929">
        <v>9.3094155343968108</v>
      </c>
      <c r="N3929">
        <v>53.672426220415502</v>
      </c>
      <c r="O3929">
        <v>49.492941082412102</v>
      </c>
      <c r="P3929">
        <v>-4.0269092479667597E-2</v>
      </c>
      <c r="Q3929">
        <v>0.14419404054930501</v>
      </c>
      <c r="R3929">
        <v>0.98159359911350896</v>
      </c>
      <c r="S3929" t="s">
        <v>10214</v>
      </c>
      <c r="T3929" t="s">
        <v>12568</v>
      </c>
      <c r="U3929" t="s">
        <v>12568</v>
      </c>
      <c r="V3929" t="s">
        <v>12568</v>
      </c>
      <c r="W3929" t="s">
        <v>16453</v>
      </c>
      <c r="X3929">
        <v>1</v>
      </c>
      <c r="Y3929" t="s">
        <v>22568</v>
      </c>
      <c r="Z3929" t="s">
        <v>28799</v>
      </c>
      <c r="AA3929">
        <v>0.51437933703142102</v>
      </c>
      <c r="AB3929" t="str">
        <f>HYPERLINK("Melting_Curves/meltCurve_Q86VR2_FAM134C.pdf", "Melting_Curves/meltCurve_Q86VR2_FAM134C.pdf")</f>
        <v>Melting_Curves/meltCurve_Q86VR2_FAM134C.pdf</v>
      </c>
    </row>
    <row r="3930" spans="1:28" x14ac:dyDescent="0.25">
      <c r="A3930" t="s">
        <v>3934</v>
      </c>
      <c r="B3930">
        <v>0.99352677808782597</v>
      </c>
      <c r="C3930">
        <v>0.999890207514878</v>
      </c>
      <c r="D3930">
        <v>0.90217768448900904</v>
      </c>
      <c r="E3930">
        <v>0.82990019573473095</v>
      </c>
      <c r="F3930">
        <v>0.73395022867039394</v>
      </c>
      <c r="G3930">
        <v>0.55728821233915204</v>
      </c>
      <c r="H3930">
        <v>0.40011291550926298</v>
      </c>
      <c r="I3930">
        <v>0.33334849002304401</v>
      </c>
      <c r="J3930">
        <v>0.33675260884859098</v>
      </c>
      <c r="K3930">
        <v>0.25206291885271298</v>
      </c>
      <c r="L3930">
        <v>631.47845843646303</v>
      </c>
      <c r="M3930">
        <v>11.2917230514492</v>
      </c>
      <c r="N3930">
        <v>58.416148957736098</v>
      </c>
      <c r="O3930">
        <v>54.256124822685102</v>
      </c>
      <c r="P3930">
        <v>-4.2097512758759698E-2</v>
      </c>
      <c r="Q3930">
        <v>0.191141650809662</v>
      </c>
      <c r="R3930">
        <v>0.99457727111301097</v>
      </c>
      <c r="S3930" t="s">
        <v>10215</v>
      </c>
      <c r="T3930" t="s">
        <v>12568</v>
      </c>
      <c r="U3930" t="s">
        <v>12568</v>
      </c>
      <c r="V3930" t="s">
        <v>12568</v>
      </c>
      <c r="W3930" t="s">
        <v>16454</v>
      </c>
      <c r="X3930">
        <v>34</v>
      </c>
      <c r="Y3930" t="s">
        <v>22569</v>
      </c>
      <c r="Z3930" t="s">
        <v>28800</v>
      </c>
      <c r="AA3930">
        <v>0.63753383392141427</v>
      </c>
      <c r="AB3930" t="str">
        <f>HYPERLINK("Melting_Curves/meltCurve_Q86VS8_HOOK3.pdf", "Melting_Curves/meltCurve_Q86VS8_HOOK3.pdf")</f>
        <v>Melting_Curves/meltCurve_Q86VS8_HOOK3.pdf</v>
      </c>
    </row>
    <row r="3931" spans="1:28" x14ac:dyDescent="0.25">
      <c r="A3931" t="s">
        <v>3935</v>
      </c>
      <c r="B3931">
        <v>0.99352677808782597</v>
      </c>
      <c r="C3931">
        <v>0.98330106040615495</v>
      </c>
      <c r="D3931">
        <v>0.825225472342352</v>
      </c>
      <c r="E3931">
        <v>0.49658679946135598</v>
      </c>
      <c r="F3931">
        <v>0.467242185513848</v>
      </c>
      <c r="G3931">
        <v>0.31301553680015998</v>
      </c>
      <c r="H3931">
        <v>0.218236243806154</v>
      </c>
      <c r="I3931">
        <v>0.194887994058242</v>
      </c>
      <c r="J3931">
        <v>0.18067517521964599</v>
      </c>
      <c r="K3931">
        <v>0.1554616207774</v>
      </c>
      <c r="L3931">
        <v>731.26055770032997</v>
      </c>
      <c r="M3931">
        <v>14.6465010013538</v>
      </c>
      <c r="N3931">
        <v>51.332425007167998</v>
      </c>
      <c r="O3931">
        <v>49.024296081106598</v>
      </c>
      <c r="P3931">
        <v>-6.2362220578348303E-2</v>
      </c>
      <c r="Q3931">
        <v>0.165145341512941</v>
      </c>
      <c r="R3931">
        <v>0.986161720710652</v>
      </c>
      <c r="S3931" t="s">
        <v>10216</v>
      </c>
      <c r="T3931" t="s">
        <v>12568</v>
      </c>
      <c r="U3931" t="s">
        <v>12568</v>
      </c>
      <c r="V3931" t="s">
        <v>12568</v>
      </c>
      <c r="W3931" t="s">
        <v>16455</v>
      </c>
      <c r="X3931">
        <v>4</v>
      </c>
      <c r="Y3931" t="s">
        <v>22570</v>
      </c>
      <c r="Z3931" t="s">
        <v>28801</v>
      </c>
      <c r="AA3931">
        <v>0.46222294254411911</v>
      </c>
      <c r="AB3931" t="str">
        <f>HYPERLINK("Melting_Curves/meltCurve_Q86VU3_MAP4K2.pdf", "Melting_Curves/meltCurve_Q86VU3_MAP4K2.pdf")</f>
        <v>Melting_Curves/meltCurve_Q86VU3_MAP4K2.pdf</v>
      </c>
    </row>
    <row r="3932" spans="1:28" x14ac:dyDescent="0.25">
      <c r="A3932" t="s">
        <v>3936</v>
      </c>
      <c r="B3932">
        <v>0.99352677808782597</v>
      </c>
      <c r="C3932">
        <v>0.96492681909885603</v>
      </c>
      <c r="D3932">
        <v>0.96063845422045602</v>
      </c>
      <c r="E3932">
        <v>0.41840869658901297</v>
      </c>
      <c r="F3932">
        <v>0.305445617055075</v>
      </c>
      <c r="G3932">
        <v>0.21367495518945301</v>
      </c>
      <c r="H3932">
        <v>0.13962756524991499</v>
      </c>
      <c r="I3932">
        <v>0.11227835079498</v>
      </c>
      <c r="J3932">
        <v>9.7996864071354703E-2</v>
      </c>
      <c r="K3932">
        <v>6.4291676659692903E-2</v>
      </c>
      <c r="L3932">
        <v>1310.41041453858</v>
      </c>
      <c r="M3932">
        <v>26.5523400334733</v>
      </c>
      <c r="N3932">
        <v>49.881930105319803</v>
      </c>
      <c r="O3932">
        <v>49.074599038723498</v>
      </c>
      <c r="P3932">
        <v>-0.118642982912759</v>
      </c>
      <c r="Q3932">
        <v>0.122895459052105</v>
      </c>
      <c r="R3932">
        <v>0.983491133672869</v>
      </c>
      <c r="S3932" t="s">
        <v>10217</v>
      </c>
      <c r="T3932" t="s">
        <v>12568</v>
      </c>
      <c r="U3932" t="s">
        <v>12568</v>
      </c>
      <c r="V3932" t="s">
        <v>12568</v>
      </c>
      <c r="W3932" t="s">
        <v>16456</v>
      </c>
      <c r="X3932">
        <v>2</v>
      </c>
      <c r="Y3932" t="s">
        <v>22571</v>
      </c>
      <c r="Z3932" t="s">
        <v>28802</v>
      </c>
      <c r="AA3932">
        <v>0.40320757925308298</v>
      </c>
      <c r="AB3932" t="str">
        <f>HYPERLINK("Melting_Curves/meltCurve_Q86VW0_SESTD1.pdf", "Melting_Curves/meltCurve_Q86VW0_SESTD1.pdf")</f>
        <v>Melting_Curves/meltCurve_Q86VW0_SESTD1.pdf</v>
      </c>
    </row>
    <row r="3933" spans="1:28" x14ac:dyDescent="0.25">
      <c r="A3933" t="s">
        <v>3937</v>
      </c>
      <c r="B3933">
        <v>0.99352677808782597</v>
      </c>
      <c r="C3933">
        <v>0.93641640688980698</v>
      </c>
      <c r="D3933">
        <v>0.92983271534280298</v>
      </c>
      <c r="E3933">
        <v>1.37841236241992</v>
      </c>
      <c r="F3933">
        <v>1.4952472760783</v>
      </c>
      <c r="G3933">
        <v>1.3626622208856001</v>
      </c>
      <c r="H3933">
        <v>0.30590107050260001</v>
      </c>
      <c r="I3933">
        <v>0.27888300005979799</v>
      </c>
      <c r="J3933">
        <v>0.20982442300738099</v>
      </c>
      <c r="K3933">
        <v>0.19543729685684699</v>
      </c>
      <c r="L3933">
        <v>15000</v>
      </c>
      <c r="M3933">
        <v>248.08939818456099</v>
      </c>
      <c r="N3933">
        <v>60.610856129245398</v>
      </c>
      <c r="O3933">
        <v>60.458146757207999</v>
      </c>
      <c r="P3933">
        <v>-0.79192489097118401</v>
      </c>
      <c r="Q3933">
        <v>0.228047443880915</v>
      </c>
      <c r="R3933">
        <v>0.78122533512792602</v>
      </c>
      <c r="S3933" t="s">
        <v>10218</v>
      </c>
      <c r="T3933" t="s">
        <v>12568</v>
      </c>
      <c r="U3933" t="s">
        <v>12568</v>
      </c>
      <c r="V3933" t="s">
        <v>12568</v>
      </c>
      <c r="W3933" t="s">
        <v>16457</v>
      </c>
      <c r="X3933">
        <v>2</v>
      </c>
      <c r="Y3933" t="s">
        <v>22572</v>
      </c>
      <c r="Z3933" t="s">
        <v>28803</v>
      </c>
      <c r="AA3933">
        <v>0.75465567999024363</v>
      </c>
      <c r="AB3933" t="str">
        <f>HYPERLINK("Melting_Curves/meltCurve_Q86VX2_2_COMMD7.pdf", "Melting_Curves/meltCurve_Q86VX2_2_COMMD7.pdf")</f>
        <v>Melting_Curves/meltCurve_Q86VX2_2_COMMD7.pdf</v>
      </c>
    </row>
    <row r="3934" spans="1:28" x14ac:dyDescent="0.25">
      <c r="A3934" t="s">
        <v>3938</v>
      </c>
      <c r="B3934">
        <v>0.99352677808782597</v>
      </c>
      <c r="C3934">
        <v>0.98343539370047806</v>
      </c>
      <c r="D3934">
        <v>1.0173413401122999</v>
      </c>
      <c r="E3934">
        <v>0.64910950111477494</v>
      </c>
      <c r="F3934">
        <v>0.53269200591207899</v>
      </c>
      <c r="G3934">
        <v>0.35440134666430301</v>
      </c>
      <c r="H3934">
        <v>0.349394620343142</v>
      </c>
      <c r="I3934">
        <v>0.35414546159343402</v>
      </c>
      <c r="J3934">
        <v>0.29177617202165501</v>
      </c>
      <c r="K3934">
        <v>0.250708220722625</v>
      </c>
      <c r="L3934">
        <v>1160.03990132639</v>
      </c>
      <c r="M3934">
        <v>22.883935783843</v>
      </c>
      <c r="N3934">
        <v>52.893274184472503</v>
      </c>
      <c r="O3934">
        <v>50.310000217687097</v>
      </c>
      <c r="P3934">
        <v>-7.8799014295963796E-2</v>
      </c>
      <c r="Q3934">
        <v>0.307059589589251</v>
      </c>
      <c r="R3934">
        <v>0.98026700426012403</v>
      </c>
      <c r="S3934" t="s">
        <v>10219</v>
      </c>
      <c r="T3934" t="s">
        <v>12568</v>
      </c>
      <c r="U3934" t="s">
        <v>12568</v>
      </c>
      <c r="V3934" t="s">
        <v>12568</v>
      </c>
      <c r="W3934" t="s">
        <v>16458</v>
      </c>
      <c r="X3934">
        <v>3</v>
      </c>
      <c r="Y3934" t="s">
        <v>22573</v>
      </c>
      <c r="Z3934" t="s">
        <v>28804</v>
      </c>
      <c r="AA3934">
        <v>0.56145639269003078</v>
      </c>
      <c r="AB3934" t="str">
        <f>HYPERLINK("Melting_Curves/meltCurve_Q86VY4_TSPYL5.pdf", "Melting_Curves/meltCurve_Q86VY4_TSPYL5.pdf")</f>
        <v>Melting_Curves/meltCurve_Q86VY4_TSPYL5.pdf</v>
      </c>
    </row>
    <row r="3935" spans="1:28" x14ac:dyDescent="0.25">
      <c r="A3935" t="s">
        <v>3939</v>
      </c>
      <c r="B3935">
        <v>0.99352677808782597</v>
      </c>
      <c r="C3935">
        <v>0.92233561504817296</v>
      </c>
      <c r="D3935">
        <v>0.90785307069943799</v>
      </c>
      <c r="E3935">
        <v>0.350150524937341</v>
      </c>
      <c r="F3935">
        <v>0.26796181705037297</v>
      </c>
      <c r="G3935">
        <v>0.121418792644181</v>
      </c>
      <c r="H3935">
        <v>8.9633369229936796E-2</v>
      </c>
      <c r="I3935">
        <v>8.2041024086766098E-2</v>
      </c>
      <c r="J3935">
        <v>7.75135924093273E-2</v>
      </c>
      <c r="K3935">
        <v>4.9090506056074602E-2</v>
      </c>
      <c r="L3935">
        <v>1259.24026185204</v>
      </c>
      <c r="M3935">
        <v>25.7550512580722</v>
      </c>
      <c r="N3935">
        <v>49.2447016379258</v>
      </c>
      <c r="O3935">
        <v>48.6010364222969</v>
      </c>
      <c r="P3935">
        <v>-0.121352422231183</v>
      </c>
      <c r="Q3935">
        <v>8.4019219576732099E-2</v>
      </c>
      <c r="R3935">
        <v>0.98745966554192799</v>
      </c>
      <c r="S3935" t="s">
        <v>10220</v>
      </c>
      <c r="T3935" t="s">
        <v>12568</v>
      </c>
      <c r="U3935" t="s">
        <v>12568</v>
      </c>
      <c r="V3935" t="s">
        <v>12568</v>
      </c>
      <c r="W3935" t="s">
        <v>16459</v>
      </c>
      <c r="X3935">
        <v>4</v>
      </c>
      <c r="Y3935" t="s">
        <v>22574</v>
      </c>
      <c r="Z3935" t="s">
        <v>28805</v>
      </c>
      <c r="AA3935">
        <v>0.36317265417337469</v>
      </c>
      <c r="AB3935" t="str">
        <f>HYPERLINK("Melting_Curves/meltCurve_Q86W34_AMZ2.pdf", "Melting_Curves/meltCurve_Q86W34_AMZ2.pdf")</f>
        <v>Melting_Curves/meltCurve_Q86W34_AMZ2.pdf</v>
      </c>
    </row>
    <row r="3936" spans="1:28" x14ac:dyDescent="0.25">
      <c r="A3936" t="s">
        <v>3940</v>
      </c>
      <c r="B3936">
        <v>0.99352677808782597</v>
      </c>
      <c r="C3936">
        <v>0.99847710499764097</v>
      </c>
      <c r="D3936">
        <v>0.84612592417809396</v>
      </c>
      <c r="E3936">
        <v>0.61937528120779695</v>
      </c>
      <c r="F3936">
        <v>0.52735238425081998</v>
      </c>
      <c r="G3936">
        <v>0.24173939332779801</v>
      </c>
      <c r="H3936">
        <v>0.12970176449089599</v>
      </c>
      <c r="I3936">
        <v>0.15279800712644301</v>
      </c>
      <c r="J3936">
        <v>8.9229311983353404E-2</v>
      </c>
      <c r="K3936">
        <v>6.5534116960938596E-2</v>
      </c>
      <c r="L3936">
        <v>717.32896148070097</v>
      </c>
      <c r="M3936">
        <v>13.768405405014899</v>
      </c>
      <c r="N3936">
        <v>52.468810355687701</v>
      </c>
      <c r="O3936">
        <v>51.037470673402602</v>
      </c>
      <c r="P3936">
        <v>-6.4338225885802999E-2</v>
      </c>
      <c r="Q3936">
        <v>4.6165038635648602E-2</v>
      </c>
      <c r="R3936">
        <v>0.99167567558372205</v>
      </c>
      <c r="S3936" t="s">
        <v>10221</v>
      </c>
      <c r="T3936" t="s">
        <v>12568</v>
      </c>
      <c r="U3936" t="s">
        <v>12568</v>
      </c>
      <c r="V3936" t="s">
        <v>12568</v>
      </c>
      <c r="W3936" t="s">
        <v>16460</v>
      </c>
      <c r="X3936">
        <v>3</v>
      </c>
      <c r="Y3936" t="s">
        <v>22575</v>
      </c>
      <c r="Z3936" t="s">
        <v>28806</v>
      </c>
      <c r="AA3936">
        <v>0.45496653400024328</v>
      </c>
      <c r="AB3936" t="str">
        <f>HYPERLINK("Melting_Curves/meltCurve_Q86W42_THOC6.pdf", "Melting_Curves/meltCurve_Q86W42_THOC6.pdf")</f>
        <v>Melting_Curves/meltCurve_Q86W42_THOC6.pdf</v>
      </c>
    </row>
    <row r="3937" spans="1:28" x14ac:dyDescent="0.25">
      <c r="A3937" t="s">
        <v>3941</v>
      </c>
      <c r="B3937">
        <v>0.99352677808782597</v>
      </c>
      <c r="C3937">
        <v>1.0063034691884301</v>
      </c>
      <c r="D3937">
        <v>0.96793291097726897</v>
      </c>
      <c r="E3937">
        <v>0.55278951261605402</v>
      </c>
      <c r="F3937">
        <v>0.452120467366458</v>
      </c>
      <c r="G3937">
        <v>0.188193257219987</v>
      </c>
      <c r="H3937">
        <v>0.109981693727742</v>
      </c>
      <c r="I3937">
        <v>0.104621130351452</v>
      </c>
      <c r="J3937">
        <v>8.2574234458019799E-2</v>
      </c>
      <c r="K3937">
        <v>6.2507367950639298E-2</v>
      </c>
      <c r="L3937">
        <v>959.674099516919</v>
      </c>
      <c r="M3937">
        <v>18.747548525737798</v>
      </c>
      <c r="N3937">
        <v>51.619062609083699</v>
      </c>
      <c r="O3937">
        <v>50.617552694878803</v>
      </c>
      <c r="P3937">
        <v>-8.5907427093199595E-2</v>
      </c>
      <c r="Q3937">
        <v>7.2253957488186499E-2</v>
      </c>
      <c r="R3937">
        <v>0.98862773781464697</v>
      </c>
      <c r="S3937" t="s">
        <v>10222</v>
      </c>
      <c r="T3937" t="s">
        <v>12568</v>
      </c>
      <c r="U3937" t="s">
        <v>12568</v>
      </c>
      <c r="V3937" t="s">
        <v>12568</v>
      </c>
      <c r="W3937" t="s">
        <v>16461</v>
      </c>
      <c r="X3937">
        <v>12</v>
      </c>
      <c r="Y3937" t="s">
        <v>22576</v>
      </c>
      <c r="Z3937" t="s">
        <v>28807</v>
      </c>
      <c r="AA3937">
        <v>0.43277748200296728</v>
      </c>
      <c r="AB3937" t="str">
        <f>HYPERLINK("Melting_Curves/meltCurve_Q86W50_METTL16.pdf", "Melting_Curves/meltCurve_Q86W50_METTL16.pdf")</f>
        <v>Melting_Curves/meltCurve_Q86W50_METTL16.pdf</v>
      </c>
    </row>
    <row r="3938" spans="1:28" x14ac:dyDescent="0.25">
      <c r="A3938" t="s">
        <v>3942</v>
      </c>
      <c r="B3938">
        <v>0.99352677808782597</v>
      </c>
      <c r="C3938">
        <v>0.93736720685618702</v>
      </c>
      <c r="D3938">
        <v>0.95359335891568398</v>
      </c>
      <c r="E3938">
        <v>0.687981794682196</v>
      </c>
      <c r="F3938">
        <v>0.60921702564077795</v>
      </c>
      <c r="G3938">
        <v>0.54333437460798095</v>
      </c>
      <c r="H3938">
        <v>0.50276361708558703</v>
      </c>
      <c r="I3938">
        <v>0.52804991453060102</v>
      </c>
      <c r="J3938">
        <v>0.53589329025624499</v>
      </c>
      <c r="K3938">
        <v>0.48840352599043302</v>
      </c>
      <c r="L3938">
        <v>1151.8328941964301</v>
      </c>
      <c r="M3938">
        <v>23.417491142280301</v>
      </c>
      <c r="O3938">
        <v>48.832368416629699</v>
      </c>
      <c r="P3938">
        <v>-5.8126594461979798E-2</v>
      </c>
      <c r="Q3938">
        <v>0.51516400644164695</v>
      </c>
      <c r="R3938">
        <v>0.98415448470546296</v>
      </c>
      <c r="S3938" t="s">
        <v>10223</v>
      </c>
      <c r="T3938" t="s">
        <v>12568</v>
      </c>
      <c r="U3938" t="s">
        <v>12568</v>
      </c>
      <c r="V3938" t="s">
        <v>12568</v>
      </c>
      <c r="W3938" t="s">
        <v>16462</v>
      </c>
      <c r="X3938">
        <v>11</v>
      </c>
      <c r="Y3938" t="s">
        <v>22577</v>
      </c>
      <c r="Z3938" t="s">
        <v>28808</v>
      </c>
      <c r="AA3938">
        <v>0.66855343144244406</v>
      </c>
      <c r="AB3938" t="str">
        <f>HYPERLINK("Melting_Curves/meltCurve_Q86W56_PARG.pdf", "Melting_Curves/meltCurve_Q86W56_PARG.pdf")</f>
        <v>Melting_Curves/meltCurve_Q86W56_PARG.pdf</v>
      </c>
    </row>
    <row r="3939" spans="1:28" x14ac:dyDescent="0.25">
      <c r="A3939" t="s">
        <v>3943</v>
      </c>
      <c r="B3939">
        <v>0.99352677808782597</v>
      </c>
      <c r="C3939">
        <v>0.90255202940818502</v>
      </c>
      <c r="D3939">
        <v>0.96247302754919195</v>
      </c>
      <c r="E3939">
        <v>0.76164459321664402</v>
      </c>
      <c r="F3939">
        <v>0.77338670686719202</v>
      </c>
      <c r="G3939">
        <v>0.60239404351285197</v>
      </c>
      <c r="H3939">
        <v>0.57009356649222998</v>
      </c>
      <c r="I3939">
        <v>0.69661648520526898</v>
      </c>
      <c r="J3939">
        <v>0.54957847075315203</v>
      </c>
      <c r="K3939">
        <v>0.54755751888426396</v>
      </c>
      <c r="L3939">
        <v>631.81477874020698</v>
      </c>
      <c r="M3939">
        <v>12.413631954517699</v>
      </c>
      <c r="O3939">
        <v>49.630149410470899</v>
      </c>
      <c r="P3939">
        <v>-2.7746472469812399E-2</v>
      </c>
      <c r="Q3939">
        <v>0.55636817282377005</v>
      </c>
      <c r="R3939">
        <v>0.89768423959004395</v>
      </c>
      <c r="S3939" t="s">
        <v>10224</v>
      </c>
      <c r="T3939" t="s">
        <v>12568</v>
      </c>
      <c r="U3939" t="s">
        <v>12568</v>
      </c>
      <c r="V3939" t="s">
        <v>12568</v>
      </c>
      <c r="W3939" t="s">
        <v>16463</v>
      </c>
      <c r="X3939">
        <v>22</v>
      </c>
      <c r="Y3939" t="s">
        <v>22578</v>
      </c>
      <c r="Z3939" t="s">
        <v>28809</v>
      </c>
      <c r="AA3939">
        <v>0.73136341055295151</v>
      </c>
      <c r="AB3939" t="str">
        <f>HYPERLINK("Melting_Curves/meltCurve_Q86W92_2_PPFIBP1.pdf", "Melting_Curves/meltCurve_Q86W92_2_PPFIBP1.pdf")</f>
        <v>Melting_Curves/meltCurve_Q86W92_2_PPFIBP1.pdf</v>
      </c>
    </row>
    <row r="3940" spans="1:28" x14ac:dyDescent="0.25">
      <c r="A3940" t="s">
        <v>3944</v>
      </c>
      <c r="B3940">
        <v>0.99352677808782597</v>
      </c>
      <c r="C3940">
        <v>0.97579118130739395</v>
      </c>
      <c r="D3940">
        <v>0.91505447424045905</v>
      </c>
      <c r="E3940">
        <v>0.74467805990137603</v>
      </c>
      <c r="F3940">
        <v>0.65696811553427303</v>
      </c>
      <c r="G3940">
        <v>0.53610422635677202</v>
      </c>
      <c r="H3940">
        <v>0.46875251350764202</v>
      </c>
      <c r="I3940">
        <v>0.48573642744492201</v>
      </c>
      <c r="J3940">
        <v>0.40199547506522898</v>
      </c>
      <c r="K3940">
        <v>0.49957646471338402</v>
      </c>
      <c r="L3940">
        <v>793.16307852973398</v>
      </c>
      <c r="M3940">
        <v>15.5850119833615</v>
      </c>
      <c r="N3940">
        <v>59.3489815633231</v>
      </c>
      <c r="O3940">
        <v>50.076873187288797</v>
      </c>
      <c r="P3940">
        <v>-4.3129041159738798E-2</v>
      </c>
      <c r="Q3940">
        <v>0.44572907892528502</v>
      </c>
      <c r="R3940">
        <v>0.98574825746395001</v>
      </c>
      <c r="S3940" t="s">
        <v>10225</v>
      </c>
      <c r="T3940" t="s">
        <v>12568</v>
      </c>
      <c r="U3940" t="s">
        <v>12568</v>
      </c>
      <c r="V3940" t="s">
        <v>12568</v>
      </c>
      <c r="W3940" t="s">
        <v>16464</v>
      </c>
      <c r="X3940">
        <v>22</v>
      </c>
      <c r="Y3940" t="s">
        <v>22578</v>
      </c>
      <c r="Z3940" t="s">
        <v>28810</v>
      </c>
      <c r="AA3940">
        <v>0.65902707850903985</v>
      </c>
      <c r="AB3940" t="str">
        <f>HYPERLINK("Melting_Curves/meltCurve_Q86W92_4_PPFIBP1.pdf", "Melting_Curves/meltCurve_Q86W92_4_PPFIBP1.pdf")</f>
        <v>Melting_Curves/meltCurve_Q86W92_4_PPFIBP1.pdf</v>
      </c>
    </row>
    <row r="3941" spans="1:28" x14ac:dyDescent="0.25">
      <c r="A3941" t="s">
        <v>3945</v>
      </c>
      <c r="B3941">
        <v>0.99352677808782597</v>
      </c>
      <c r="C3941">
        <v>0.91837001482798897</v>
      </c>
      <c r="D3941">
        <v>0.991485561630295</v>
      </c>
      <c r="E3941">
        <v>0.43450573049123098</v>
      </c>
      <c r="F3941">
        <v>0.31658768055400799</v>
      </c>
      <c r="G3941">
        <v>0.108394203997785</v>
      </c>
      <c r="H3941">
        <v>7.9907829964493901E-2</v>
      </c>
      <c r="I3941">
        <v>8.3077504950882897E-2</v>
      </c>
      <c r="J3941">
        <v>6.1416526639374497E-2</v>
      </c>
      <c r="K3941">
        <v>4.0723958063229398E-2</v>
      </c>
      <c r="L3941">
        <v>1240.1489863100901</v>
      </c>
      <c r="M3941">
        <v>24.893144957123599</v>
      </c>
      <c r="N3941">
        <v>50.122114389997897</v>
      </c>
      <c r="O3941">
        <v>49.500734082602797</v>
      </c>
      <c r="P3941">
        <v>-0.11693466883272</v>
      </c>
      <c r="Q3941">
        <v>6.9901023498917997E-2</v>
      </c>
      <c r="R3941">
        <v>0.98233092662001897</v>
      </c>
      <c r="S3941" t="s">
        <v>10226</v>
      </c>
      <c r="T3941" t="s">
        <v>12568</v>
      </c>
      <c r="U3941" t="s">
        <v>12568</v>
      </c>
      <c r="V3941" t="s">
        <v>12568</v>
      </c>
      <c r="W3941" t="s">
        <v>16465</v>
      </c>
      <c r="X3941">
        <v>10</v>
      </c>
      <c r="Y3941" t="s">
        <v>22579</v>
      </c>
      <c r="Z3941" t="s">
        <v>28811</v>
      </c>
      <c r="AA3941">
        <v>0.38268929987642919</v>
      </c>
      <c r="AB3941" t="str">
        <f>HYPERLINK("Melting_Curves/meltCurve_Q86WA6_2_BPHL.pdf", "Melting_Curves/meltCurve_Q86WA6_2_BPHL.pdf")</f>
        <v>Melting_Curves/meltCurve_Q86WA6_2_BPHL.pdf</v>
      </c>
    </row>
    <row r="3942" spans="1:28" x14ac:dyDescent="0.25">
      <c r="A3942" t="s">
        <v>3946</v>
      </c>
      <c r="B3942">
        <v>0.99352677808782597</v>
      </c>
      <c r="C3942">
        <v>0.92176879199818296</v>
      </c>
      <c r="D3942">
        <v>0.74002000118439504</v>
      </c>
      <c r="E3942">
        <v>0.26965801976296</v>
      </c>
      <c r="F3942">
        <v>0.21995727637979001</v>
      </c>
      <c r="G3942">
        <v>0.124329031333658</v>
      </c>
      <c r="H3942">
        <v>0.106583076159855</v>
      </c>
      <c r="I3942">
        <v>9.1278126607337598E-2</v>
      </c>
      <c r="J3942">
        <v>7.8578313775733794E-2</v>
      </c>
      <c r="K3942">
        <v>5.7132937615396902E-2</v>
      </c>
      <c r="L3942">
        <v>1106.6353079851201</v>
      </c>
      <c r="M3942">
        <v>23.252048820892199</v>
      </c>
      <c r="N3942">
        <v>48.001999530664001</v>
      </c>
      <c r="O3942">
        <v>47.245204992042503</v>
      </c>
      <c r="P3942">
        <v>-0.111985047092416</v>
      </c>
      <c r="Q3942">
        <v>8.9859080458350907E-2</v>
      </c>
      <c r="R3942">
        <v>0.99446095229131903</v>
      </c>
      <c r="S3942" t="s">
        <v>10227</v>
      </c>
      <c r="T3942" t="s">
        <v>12568</v>
      </c>
      <c r="U3942" t="s">
        <v>12568</v>
      </c>
      <c r="V3942" t="s">
        <v>12568</v>
      </c>
      <c r="W3942" t="s">
        <v>16466</v>
      </c>
      <c r="X3942">
        <v>17</v>
      </c>
      <c r="Y3942" t="s">
        <v>22580</v>
      </c>
      <c r="Z3942" t="s">
        <v>28812</v>
      </c>
      <c r="AA3942">
        <v>0.32964363890960779</v>
      </c>
      <c r="AB3942" t="str">
        <f>HYPERLINK("Melting_Curves/meltCurve_Q86WJ1_2_CHD1L.pdf", "Melting_Curves/meltCurve_Q86WJ1_2_CHD1L.pdf")</f>
        <v>Melting_Curves/meltCurve_Q86WJ1_2_CHD1L.pdf</v>
      </c>
    </row>
    <row r="3943" spans="1:28" x14ac:dyDescent="0.25">
      <c r="A3943" t="s">
        <v>3947</v>
      </c>
      <c r="B3943">
        <v>0.99352677808782597</v>
      </c>
      <c r="C3943">
        <v>1.0291247168200099</v>
      </c>
      <c r="D3943">
        <v>0.87582898393477004</v>
      </c>
      <c r="E3943">
        <v>0.61948103341191396</v>
      </c>
      <c r="F3943">
        <v>0.45750758409162801</v>
      </c>
      <c r="G3943">
        <v>0.21390637403120999</v>
      </c>
      <c r="H3943">
        <v>0.16672504172839001</v>
      </c>
      <c r="I3943">
        <v>0.193169395383087</v>
      </c>
      <c r="J3943">
        <v>0.18519651700244499</v>
      </c>
      <c r="K3943">
        <v>0.10821767348509399</v>
      </c>
      <c r="L3943">
        <v>936.90268967764098</v>
      </c>
      <c r="M3943">
        <v>18.415448474757699</v>
      </c>
      <c r="N3943">
        <v>51.816090988455102</v>
      </c>
      <c r="O3943">
        <v>50.2873818192001</v>
      </c>
      <c r="P3943">
        <v>-7.8552340226193396E-2</v>
      </c>
      <c r="Q3943">
        <v>0.14202203349989201</v>
      </c>
      <c r="R3943">
        <v>0.99161256601258396</v>
      </c>
      <c r="S3943" t="s">
        <v>10228</v>
      </c>
      <c r="T3943" t="s">
        <v>12568</v>
      </c>
      <c r="U3943" t="s">
        <v>12568</v>
      </c>
      <c r="V3943" t="s">
        <v>12568</v>
      </c>
      <c r="W3943" t="s">
        <v>16467</v>
      </c>
      <c r="X3943">
        <v>1</v>
      </c>
      <c r="Y3943" t="s">
        <v>22581</v>
      </c>
      <c r="Z3943" t="s">
        <v>28813</v>
      </c>
      <c r="AA3943">
        <v>0.46695236882316787</v>
      </c>
      <c r="AB3943" t="str">
        <f>HYPERLINK("Melting_Curves/meltCurve_Q86WN1_3_FCHSD1.pdf", "Melting_Curves/meltCurve_Q86WN1_3_FCHSD1.pdf")</f>
        <v>Melting_Curves/meltCurve_Q86WN1_3_FCHSD1.pdf</v>
      </c>
    </row>
    <row r="3944" spans="1:28" x14ac:dyDescent="0.25">
      <c r="A3944" t="s">
        <v>3948</v>
      </c>
      <c r="B3944">
        <v>0.99352677808782597</v>
      </c>
      <c r="C3944">
        <v>0.96517863059873399</v>
      </c>
      <c r="D3944">
        <v>0.96942305497078296</v>
      </c>
      <c r="E3944">
        <v>1.0580182692362301</v>
      </c>
      <c r="F3944">
        <v>0.98855173479825198</v>
      </c>
      <c r="G3944">
        <v>0.84188828663372794</v>
      </c>
      <c r="H3944">
        <v>0.82353735255320504</v>
      </c>
      <c r="I3944">
        <v>0.92001677615677502</v>
      </c>
      <c r="J3944">
        <v>0.89112036639676695</v>
      </c>
      <c r="K3944">
        <v>0.73662970078968804</v>
      </c>
      <c r="L3944">
        <v>13384.8943047096</v>
      </c>
      <c r="M3944">
        <v>250</v>
      </c>
      <c r="O3944">
        <v>53.536151021717799</v>
      </c>
      <c r="P3944">
        <v>-0.18370940543386199</v>
      </c>
      <c r="Q3944">
        <v>0.84263848855304702</v>
      </c>
      <c r="R3944">
        <v>0.69460981646281394</v>
      </c>
      <c r="S3944" t="s">
        <v>10229</v>
      </c>
      <c r="T3944" t="s">
        <v>12568</v>
      </c>
      <c r="U3944" t="s">
        <v>12568</v>
      </c>
      <c r="V3944" t="s">
        <v>12568</v>
      </c>
      <c r="W3944" t="s">
        <v>16468</v>
      </c>
      <c r="X3944">
        <v>5</v>
      </c>
      <c r="Y3944" t="s">
        <v>22582</v>
      </c>
      <c r="Z3944" t="s">
        <v>28814</v>
      </c>
      <c r="AA3944">
        <v>0.91367355226795932</v>
      </c>
      <c r="AB3944" t="str">
        <f>HYPERLINK("Melting_Curves/meltCurve_Q86WP2_GPBP1.pdf", "Melting_Curves/meltCurve_Q86WP2_GPBP1.pdf")</f>
        <v>Melting_Curves/meltCurve_Q86WP2_GPBP1.pdf</v>
      </c>
    </row>
    <row r="3945" spans="1:28" x14ac:dyDescent="0.25">
      <c r="A3945" t="s">
        <v>3949</v>
      </c>
      <c r="B3945">
        <v>0.99352677808782597</v>
      </c>
      <c r="C3945">
        <v>0.96513885115326903</v>
      </c>
      <c r="D3945">
        <v>1.00881618780219</v>
      </c>
      <c r="E3945">
        <v>0.38687123230372</v>
      </c>
      <c r="F3945">
        <v>0.33518649831971598</v>
      </c>
      <c r="G3945">
        <v>0.147950967589313</v>
      </c>
      <c r="H3945">
        <v>0.12937965896338399</v>
      </c>
      <c r="I3945">
        <v>0.14194898544523199</v>
      </c>
      <c r="J3945">
        <v>8.6185601645604806E-2</v>
      </c>
      <c r="K3945">
        <v>5.0329068677776298E-2</v>
      </c>
      <c r="L3945">
        <v>1530.5813977171899</v>
      </c>
      <c r="M3945">
        <v>31.038532849460999</v>
      </c>
      <c r="N3945">
        <v>49.759399732756002</v>
      </c>
      <c r="O3945">
        <v>49.108959372519202</v>
      </c>
      <c r="P3945">
        <v>-0.138780849545763</v>
      </c>
      <c r="Q3945">
        <v>0.12169246431752299</v>
      </c>
      <c r="R3945">
        <v>0.97392877963845303</v>
      </c>
      <c r="S3945" t="s">
        <v>10230</v>
      </c>
      <c r="T3945" t="s">
        <v>12568</v>
      </c>
      <c r="U3945" t="s">
        <v>12568</v>
      </c>
      <c r="V3945" t="s">
        <v>12568</v>
      </c>
      <c r="W3945" t="s">
        <v>16469</v>
      </c>
      <c r="X3945">
        <v>4</v>
      </c>
      <c r="Y3945" t="s">
        <v>22583</v>
      </c>
      <c r="Z3945" t="s">
        <v>28815</v>
      </c>
      <c r="AA3945">
        <v>0.39934153014417562</v>
      </c>
      <c r="AB3945" t="str">
        <f>HYPERLINK("Melting_Curves/meltCurve_Q86WQ0_NR2C2AP.pdf", "Melting_Curves/meltCurve_Q86WQ0_NR2C2AP.pdf")</f>
        <v>Melting_Curves/meltCurve_Q86WQ0_NR2C2AP.pdf</v>
      </c>
    </row>
    <row r="3946" spans="1:28" x14ac:dyDescent="0.25">
      <c r="A3946" t="s">
        <v>3950</v>
      </c>
      <c r="B3946">
        <v>0.99352677808782597</v>
      </c>
      <c r="C3946">
        <v>0.73729326311601595</v>
      </c>
      <c r="D3946">
        <v>0.98536134974138401</v>
      </c>
      <c r="E3946">
        <v>0.42772436123290197</v>
      </c>
      <c r="F3946">
        <v>0.33082715275344299</v>
      </c>
      <c r="G3946">
        <v>0.140221729084544</v>
      </c>
      <c r="H3946">
        <v>9.5729608330962307E-2</v>
      </c>
      <c r="I3946">
        <v>8.6661821809342898E-2</v>
      </c>
      <c r="J3946">
        <v>8.3962881418751703E-2</v>
      </c>
      <c r="K3946">
        <v>6.5253099692930694E-2</v>
      </c>
      <c r="L3946">
        <v>924.89810278295204</v>
      </c>
      <c r="M3946">
        <v>18.6139247383175</v>
      </c>
      <c r="N3946">
        <v>50.088983207854596</v>
      </c>
      <c r="O3946">
        <v>49.125662974139601</v>
      </c>
      <c r="P3946">
        <v>-8.8180553331355493E-2</v>
      </c>
      <c r="Q3946">
        <v>6.9139692715022599E-2</v>
      </c>
      <c r="R3946">
        <v>0.93822204113219998</v>
      </c>
      <c r="S3946" t="s">
        <v>10231</v>
      </c>
      <c r="T3946" t="s">
        <v>12568</v>
      </c>
      <c r="U3946" t="s">
        <v>12568</v>
      </c>
      <c r="V3946" t="s">
        <v>12568</v>
      </c>
      <c r="W3946" t="s">
        <v>16470</v>
      </c>
      <c r="X3946">
        <v>10</v>
      </c>
      <c r="Y3946" t="s">
        <v>22584</v>
      </c>
      <c r="Z3946" t="s">
        <v>28816</v>
      </c>
      <c r="AA3946">
        <v>0.38470068395302692</v>
      </c>
      <c r="AB3946" t="str">
        <f>HYPERLINK("Melting_Curves/meltCurve_Q86WR0_CCDC25.pdf", "Melting_Curves/meltCurve_Q86WR0_CCDC25.pdf")</f>
        <v>Melting_Curves/meltCurve_Q86WR0_CCDC25.pdf</v>
      </c>
    </row>
    <row r="3947" spans="1:28" x14ac:dyDescent="0.25">
      <c r="A3947" t="s">
        <v>3951</v>
      </c>
      <c r="B3947">
        <v>0.99352677808782597</v>
      </c>
      <c r="C3947">
        <v>0.97964330909818698</v>
      </c>
      <c r="D3947">
        <v>0.98888860060415495</v>
      </c>
      <c r="E3947">
        <v>0.88638380080613799</v>
      </c>
      <c r="F3947">
        <v>0.82630118575422595</v>
      </c>
      <c r="G3947">
        <v>0.74122533995885398</v>
      </c>
      <c r="H3947">
        <v>0.67987440145565103</v>
      </c>
      <c r="I3947">
        <v>0.776853621524636</v>
      </c>
      <c r="J3947">
        <v>0.75945164589960001</v>
      </c>
      <c r="K3947">
        <v>0.66594970486732097</v>
      </c>
      <c r="L3947">
        <v>1085.1961752551999</v>
      </c>
      <c r="M3947">
        <v>21.142882125101501</v>
      </c>
      <c r="O3947">
        <v>50.874238693379603</v>
      </c>
      <c r="P3947">
        <v>-2.94494543054932E-2</v>
      </c>
      <c r="Q3947">
        <v>0.71656096975261896</v>
      </c>
      <c r="R3947">
        <v>0.92730231755374004</v>
      </c>
      <c r="S3947" t="s">
        <v>10232</v>
      </c>
      <c r="T3947" t="s">
        <v>12568</v>
      </c>
      <c r="U3947" t="s">
        <v>12568</v>
      </c>
      <c r="V3947" t="s">
        <v>12568</v>
      </c>
      <c r="W3947" t="s">
        <v>16471</v>
      </c>
      <c r="X3947">
        <v>10</v>
      </c>
      <c r="Y3947" t="s">
        <v>22585</v>
      </c>
      <c r="Z3947" t="s">
        <v>28817</v>
      </c>
      <c r="AA3947">
        <v>0.82712071626807604</v>
      </c>
      <c r="AB3947" t="str">
        <f>HYPERLINK("Melting_Curves/meltCurve_Q86WR7_PROSER2.pdf", "Melting_Curves/meltCurve_Q86WR7_PROSER2.pdf")</f>
        <v>Melting_Curves/meltCurve_Q86WR7_PROSER2.pdf</v>
      </c>
    </row>
    <row r="3948" spans="1:28" x14ac:dyDescent="0.25">
      <c r="A3948" t="s">
        <v>3952</v>
      </c>
      <c r="B3948">
        <v>0.99352677808782597</v>
      </c>
      <c r="C3948">
        <v>0.96434589413188299</v>
      </c>
      <c r="D3948">
        <v>0.93430213097796599</v>
      </c>
      <c r="E3948">
        <v>0.86591311807921301</v>
      </c>
      <c r="F3948">
        <v>0.74321432341446103</v>
      </c>
      <c r="G3948">
        <v>0.531639710119441</v>
      </c>
      <c r="H3948">
        <v>0.38480869846728699</v>
      </c>
      <c r="I3948">
        <v>0.35795140475246401</v>
      </c>
      <c r="J3948">
        <v>0.264336366689578</v>
      </c>
      <c r="K3948">
        <v>0.194765298336669</v>
      </c>
      <c r="L3948">
        <v>643.558956601506</v>
      </c>
      <c r="M3948">
        <v>11.3134238246843</v>
      </c>
      <c r="N3948">
        <v>58.334596911072502</v>
      </c>
      <c r="O3948">
        <v>55.194193809597103</v>
      </c>
      <c r="P3948">
        <v>-4.4976387637361503E-2</v>
      </c>
      <c r="Q3948">
        <v>0.122570212796728</v>
      </c>
      <c r="R3948">
        <v>0.99559592544269604</v>
      </c>
      <c r="S3948" t="s">
        <v>10233</v>
      </c>
      <c r="T3948" t="s">
        <v>12568</v>
      </c>
      <c r="U3948" t="s">
        <v>12568</v>
      </c>
      <c r="V3948" t="s">
        <v>12568</v>
      </c>
      <c r="W3948" t="s">
        <v>16472</v>
      </c>
      <c r="X3948">
        <v>1</v>
      </c>
      <c r="Y3948" t="s">
        <v>22586</v>
      </c>
      <c r="Z3948" t="s">
        <v>28818</v>
      </c>
      <c r="AA3948">
        <v>0.63149593602871035</v>
      </c>
      <c r="AB3948" t="str">
        <f>HYPERLINK("Melting_Curves/meltCurve_Q86WT1_TTC30A.pdf", "Melting_Curves/meltCurve_Q86WT1_TTC30A.pdf")</f>
        <v>Melting_Curves/meltCurve_Q86WT1_TTC30A.pdf</v>
      </c>
    </row>
    <row r="3949" spans="1:28" x14ac:dyDescent="0.25">
      <c r="A3949" t="s">
        <v>3953</v>
      </c>
      <c r="B3949">
        <v>0.99352677808782597</v>
      </c>
      <c r="C3949">
        <v>1.0088827752160201</v>
      </c>
      <c r="D3949">
        <v>0.82950819802602005</v>
      </c>
      <c r="E3949">
        <v>0.70668324308971697</v>
      </c>
      <c r="F3949">
        <v>0.70554598909438504</v>
      </c>
      <c r="G3949">
        <v>0.47174535147960101</v>
      </c>
      <c r="H3949">
        <v>0.48265743254737897</v>
      </c>
      <c r="I3949">
        <v>0.35630629246418399</v>
      </c>
      <c r="J3949">
        <v>0.28754178503045402</v>
      </c>
      <c r="K3949">
        <v>0.103837514759195</v>
      </c>
      <c r="L3949">
        <v>442.75877076274298</v>
      </c>
      <c r="M3949">
        <v>7.6617622785535202</v>
      </c>
      <c r="N3949">
        <v>57.7881223371731</v>
      </c>
      <c r="O3949">
        <v>54.246259823011698</v>
      </c>
      <c r="P3949">
        <v>-3.5357002482029699E-2</v>
      </c>
      <c r="Q3949">
        <v>0</v>
      </c>
      <c r="R3949">
        <v>0.95635094416329902</v>
      </c>
      <c r="S3949" t="s">
        <v>10234</v>
      </c>
      <c r="T3949" t="s">
        <v>12568</v>
      </c>
      <c r="U3949" t="s">
        <v>12568</v>
      </c>
      <c r="V3949" t="s">
        <v>12568</v>
      </c>
      <c r="W3949" t="s">
        <v>16473</v>
      </c>
      <c r="X3949">
        <v>2</v>
      </c>
      <c r="Y3949" t="s">
        <v>22587</v>
      </c>
      <c r="Z3949" t="s">
        <v>28819</v>
      </c>
      <c r="AA3949">
        <v>0.59689283816050742</v>
      </c>
      <c r="AB3949" t="str">
        <f>HYPERLINK("Melting_Curves/meltCurve_Q86WU2_2_LDHD.pdf", "Melting_Curves/meltCurve_Q86WU2_2_LDHD.pdf")</f>
        <v>Melting_Curves/meltCurve_Q86WU2_2_LDHD.pdf</v>
      </c>
    </row>
    <row r="3950" spans="1:28" x14ac:dyDescent="0.25">
      <c r="A3950" t="s">
        <v>3954</v>
      </c>
      <c r="B3950">
        <v>0.99352677808782597</v>
      </c>
      <c r="C3950">
        <v>0.97072332411937501</v>
      </c>
      <c r="D3950">
        <v>1.17721874835009</v>
      </c>
      <c r="E3950">
        <v>0.94771638404468095</v>
      </c>
      <c r="F3950">
        <v>0.86050278631122001</v>
      </c>
      <c r="G3950">
        <v>0.69050756510246902</v>
      </c>
      <c r="H3950">
        <v>0.49571139168344602</v>
      </c>
      <c r="I3950">
        <v>0.55538747439728597</v>
      </c>
      <c r="J3950">
        <v>0.49791725448098501</v>
      </c>
      <c r="K3950">
        <v>0.55323476360010004</v>
      </c>
      <c r="L3950">
        <v>1466.14556360035</v>
      </c>
      <c r="M3950">
        <v>26.605491123505601</v>
      </c>
      <c r="O3950">
        <v>54.798353163588999</v>
      </c>
      <c r="P3950">
        <v>-5.8510292092267102E-2</v>
      </c>
      <c r="Q3950">
        <v>0.51795885644393302</v>
      </c>
      <c r="R3950">
        <v>0.92562490945136799</v>
      </c>
      <c r="S3950" t="s">
        <v>10235</v>
      </c>
      <c r="T3950" t="s">
        <v>12568</v>
      </c>
      <c r="U3950" t="s">
        <v>12568</v>
      </c>
      <c r="V3950" t="s">
        <v>12568</v>
      </c>
      <c r="W3950" t="s">
        <v>16474</v>
      </c>
      <c r="X3950">
        <v>1</v>
      </c>
      <c r="Y3950" t="s">
        <v>22588</v>
      </c>
      <c r="Z3950" t="s">
        <v>28820</v>
      </c>
      <c r="AA3950">
        <v>0.7646893769338301</v>
      </c>
      <c r="AB3950" t="str">
        <f>HYPERLINK("Melting_Curves/meltCurve_Q86WX3_RPS19BP1.pdf", "Melting_Curves/meltCurve_Q86WX3_RPS19BP1.pdf")</f>
        <v>Melting_Curves/meltCurve_Q86WX3_RPS19BP1.pdf</v>
      </c>
    </row>
    <row r="3951" spans="1:28" x14ac:dyDescent="0.25">
      <c r="A3951" t="s">
        <v>3955</v>
      </c>
      <c r="B3951">
        <v>0.99352677808782597</v>
      </c>
      <c r="C3951">
        <v>0.97688632312680401</v>
      </c>
      <c r="D3951">
        <v>0.95755760005957602</v>
      </c>
      <c r="E3951">
        <v>0.83008186160534303</v>
      </c>
      <c r="F3951">
        <v>0.72427396940958499</v>
      </c>
      <c r="G3951">
        <v>0.56942754588577005</v>
      </c>
      <c r="H3951">
        <v>0.477367183737474</v>
      </c>
      <c r="I3951">
        <v>0.42853031039122802</v>
      </c>
      <c r="J3951">
        <v>0.48502488993238002</v>
      </c>
      <c r="K3951">
        <v>0.435556276803165</v>
      </c>
      <c r="L3951">
        <v>855.78846535238904</v>
      </c>
      <c r="M3951">
        <v>16.161735314867901</v>
      </c>
      <c r="N3951">
        <v>60.153276478594101</v>
      </c>
      <c r="O3951">
        <v>52.160736017411999</v>
      </c>
      <c r="P3951">
        <v>-4.4327952626944701E-2</v>
      </c>
      <c r="Q3951">
        <v>0.42778314485424601</v>
      </c>
      <c r="R3951">
        <v>0.99384851226836202</v>
      </c>
      <c r="S3951" t="s">
        <v>10236</v>
      </c>
      <c r="T3951" t="s">
        <v>12568</v>
      </c>
      <c r="U3951" t="s">
        <v>12568</v>
      </c>
      <c r="V3951" t="s">
        <v>12568</v>
      </c>
      <c r="W3951" t="s">
        <v>16475</v>
      </c>
      <c r="X3951">
        <v>12</v>
      </c>
      <c r="Y3951" t="s">
        <v>22589</v>
      </c>
      <c r="Z3951" t="s">
        <v>28821</v>
      </c>
      <c r="AA3951">
        <v>0.68589832971751008</v>
      </c>
      <c r="AB3951" t="str">
        <f>HYPERLINK("Melting_Curves/meltCurve_Q86X02_CDR2L.pdf", "Melting_Curves/meltCurve_Q86X02_CDR2L.pdf")</f>
        <v>Melting_Curves/meltCurve_Q86X02_CDR2L.pdf</v>
      </c>
    </row>
    <row r="3952" spans="1:28" x14ac:dyDescent="0.25">
      <c r="A3952" t="s">
        <v>3956</v>
      </c>
      <c r="B3952">
        <v>0.99352677808782597</v>
      </c>
      <c r="C3952">
        <v>0.97338430209445903</v>
      </c>
      <c r="D3952">
        <v>0.93807128114132299</v>
      </c>
      <c r="E3952">
        <v>0.53508399359821601</v>
      </c>
      <c r="F3952">
        <v>0.41183012925811902</v>
      </c>
      <c r="G3952">
        <v>0.22167458466040299</v>
      </c>
      <c r="H3952">
        <v>0.13700544151281499</v>
      </c>
      <c r="I3952">
        <v>0.122450351600251</v>
      </c>
      <c r="J3952">
        <v>8.6827631267183597E-2</v>
      </c>
      <c r="K3952">
        <v>7.9161933715899205E-2</v>
      </c>
      <c r="L3952">
        <v>911.21786699671395</v>
      </c>
      <c r="M3952">
        <v>17.963381194801599</v>
      </c>
      <c r="N3952">
        <v>51.298719017236998</v>
      </c>
      <c r="O3952">
        <v>50.1102933734347</v>
      </c>
      <c r="P3952">
        <v>-8.1485778812056001E-2</v>
      </c>
      <c r="Q3952">
        <v>9.0800745750881498E-2</v>
      </c>
      <c r="R3952">
        <v>0.99187654129597702</v>
      </c>
      <c r="S3952" t="s">
        <v>10237</v>
      </c>
      <c r="T3952" t="s">
        <v>12568</v>
      </c>
      <c r="U3952" t="s">
        <v>12568</v>
      </c>
      <c r="V3952" t="s">
        <v>12568</v>
      </c>
      <c r="W3952" t="s">
        <v>16476</v>
      </c>
      <c r="X3952">
        <v>5</v>
      </c>
      <c r="Y3952" t="s">
        <v>22590</v>
      </c>
      <c r="Z3952" t="s">
        <v>28822</v>
      </c>
      <c r="AA3952">
        <v>0.4313079221852108</v>
      </c>
      <c r="AB3952" t="str">
        <f>HYPERLINK("Melting_Curves/meltCurve_Q86X10_RALGAPB.pdf", "Melting_Curves/meltCurve_Q86X10_RALGAPB.pdf")</f>
        <v>Melting_Curves/meltCurve_Q86X10_RALGAPB.pdf</v>
      </c>
    </row>
    <row r="3953" spans="1:28" x14ac:dyDescent="0.25">
      <c r="A3953" t="s">
        <v>3957</v>
      </c>
      <c r="B3953">
        <v>0.99352677808782597</v>
      </c>
      <c r="C3953">
        <v>0.86995017753857895</v>
      </c>
      <c r="D3953">
        <v>0.90226490710797402</v>
      </c>
      <c r="E3953">
        <v>0.50083138065089705</v>
      </c>
      <c r="F3953">
        <v>0.46886162612786503</v>
      </c>
      <c r="G3953">
        <v>0.234504353790251</v>
      </c>
      <c r="H3953">
        <v>0.16855735476404701</v>
      </c>
      <c r="I3953">
        <v>0.136947447177869</v>
      </c>
      <c r="J3953">
        <v>0.108000395292662</v>
      </c>
      <c r="K3953">
        <v>9.0785804200429199E-2</v>
      </c>
      <c r="L3953">
        <v>686.22385374072496</v>
      </c>
      <c r="M3953">
        <v>13.5134683898704</v>
      </c>
      <c r="N3953">
        <v>51.414486283660402</v>
      </c>
      <c r="O3953">
        <v>49.707382273441603</v>
      </c>
      <c r="P3953">
        <v>-6.2760410842164702E-2</v>
      </c>
      <c r="Q3953">
        <v>7.6718780177471399E-2</v>
      </c>
      <c r="R3953">
        <v>0.98090496617447498</v>
      </c>
      <c r="S3953" t="s">
        <v>10238</v>
      </c>
      <c r="T3953" t="s">
        <v>12568</v>
      </c>
      <c r="U3953" t="s">
        <v>12568</v>
      </c>
      <c r="V3953" t="s">
        <v>12568</v>
      </c>
      <c r="W3953" t="s">
        <v>16477</v>
      </c>
      <c r="X3953">
        <v>5</v>
      </c>
      <c r="Y3953" t="s">
        <v>22591</v>
      </c>
      <c r="Z3953" t="s">
        <v>28823</v>
      </c>
      <c r="AA3953">
        <v>0.43397494425892408</v>
      </c>
      <c r="AB3953" t="str">
        <f>HYPERLINK("Melting_Curves/meltCurve_Q86X27_RALGPS2.pdf", "Melting_Curves/meltCurve_Q86X27_RALGPS2.pdf")</f>
        <v>Melting_Curves/meltCurve_Q86X27_RALGPS2.pdf</v>
      </c>
    </row>
    <row r="3954" spans="1:28" x14ac:dyDescent="0.25">
      <c r="A3954" t="s">
        <v>3958</v>
      </c>
      <c r="B3954">
        <v>0.99352677808782597</v>
      </c>
      <c r="C3954">
        <v>1.1921881748509</v>
      </c>
      <c r="D3954">
        <v>0.95779359377697804</v>
      </c>
      <c r="E3954">
        <v>0.333427504512884</v>
      </c>
      <c r="F3954">
        <v>0.356557745040531</v>
      </c>
      <c r="G3954">
        <v>0.18899994762726099</v>
      </c>
      <c r="H3954">
        <v>0.20798233985926501</v>
      </c>
      <c r="I3954">
        <v>0.26626416339640202</v>
      </c>
      <c r="J3954">
        <v>0.160070705547257</v>
      </c>
      <c r="K3954">
        <v>8.5746259040807002E-2</v>
      </c>
      <c r="L3954">
        <v>2352.4019598483001</v>
      </c>
      <c r="M3954">
        <v>48.5152122709002</v>
      </c>
      <c r="N3954">
        <v>49.0235122111864</v>
      </c>
      <c r="O3954">
        <v>48.4057554077635</v>
      </c>
      <c r="P3954">
        <v>-0.19902269342418499</v>
      </c>
      <c r="Q3954">
        <v>0.205706076944523</v>
      </c>
      <c r="R3954">
        <v>0.94814107226510702</v>
      </c>
      <c r="S3954" t="s">
        <v>10239</v>
      </c>
      <c r="T3954" t="s">
        <v>12568</v>
      </c>
      <c r="U3954" t="s">
        <v>12568</v>
      </c>
      <c r="V3954" t="s">
        <v>12568</v>
      </c>
      <c r="W3954" t="s">
        <v>16478</v>
      </c>
      <c r="X3954">
        <v>2</v>
      </c>
      <c r="Y3954" t="s">
        <v>22592</v>
      </c>
      <c r="Z3954" t="s">
        <v>28824</v>
      </c>
      <c r="AA3954">
        <v>0.43224194466081173</v>
      </c>
      <c r="AB3954" t="str">
        <f>HYPERLINK("Melting_Curves/meltCurve_Q86X40_3_LRRC28.pdf", "Melting_Curves/meltCurve_Q86X40_3_LRRC28.pdf")</f>
        <v>Melting_Curves/meltCurve_Q86X40_3_LRRC28.pdf</v>
      </c>
    </row>
    <row r="3955" spans="1:28" x14ac:dyDescent="0.25">
      <c r="A3955" t="s">
        <v>3959</v>
      </c>
      <c r="B3955">
        <v>0.99352677808782597</v>
      </c>
      <c r="C3955">
        <v>0.94121211074576205</v>
      </c>
      <c r="D3955">
        <v>0.91747170375462395</v>
      </c>
      <c r="E3955">
        <v>0.66325744288252397</v>
      </c>
      <c r="F3955">
        <v>0.58646961431142797</v>
      </c>
      <c r="G3955">
        <v>0.40589178801262699</v>
      </c>
      <c r="H3955">
        <v>0.36497425044394699</v>
      </c>
      <c r="I3955">
        <v>0.311501463269585</v>
      </c>
      <c r="J3955">
        <v>0.31411628653940699</v>
      </c>
      <c r="K3955">
        <v>0.26604554352528598</v>
      </c>
      <c r="L3955">
        <v>711.48731328220299</v>
      </c>
      <c r="M3955">
        <v>13.842394131257</v>
      </c>
      <c r="N3955">
        <v>54.4685030280679</v>
      </c>
      <c r="O3955">
        <v>50.362056423542199</v>
      </c>
      <c r="P3955">
        <v>-5.0113166344201598E-2</v>
      </c>
      <c r="Q3955">
        <v>0.27080433329606102</v>
      </c>
      <c r="R3955">
        <v>0.99260099008243796</v>
      </c>
      <c r="S3955" t="s">
        <v>10240</v>
      </c>
      <c r="T3955" t="s">
        <v>12568</v>
      </c>
      <c r="U3955" t="s">
        <v>12568</v>
      </c>
      <c r="V3955" t="s">
        <v>12568</v>
      </c>
      <c r="W3955" t="s">
        <v>16479</v>
      </c>
      <c r="X3955">
        <v>3</v>
      </c>
      <c r="Y3955" t="s">
        <v>22593</v>
      </c>
      <c r="Z3955" t="s">
        <v>28825</v>
      </c>
      <c r="AA3955">
        <v>0.56674023733306145</v>
      </c>
      <c r="AB3955" t="str">
        <f>HYPERLINK("Melting_Curves/meltCurve_Q86X53_ERICH1.pdf", "Melting_Curves/meltCurve_Q86X53_ERICH1.pdf")</f>
        <v>Melting_Curves/meltCurve_Q86X53_ERICH1.pdf</v>
      </c>
    </row>
    <row r="3956" spans="1:28" x14ac:dyDescent="0.25">
      <c r="A3956" t="s">
        <v>3960</v>
      </c>
      <c r="B3956">
        <v>0.99352677808782597</v>
      </c>
      <c r="C3956">
        <v>1.0617087060922601</v>
      </c>
      <c r="D3956">
        <v>0.90135895763058105</v>
      </c>
      <c r="E3956">
        <v>0.78122866730829199</v>
      </c>
      <c r="F3956">
        <v>0.61721217251439797</v>
      </c>
      <c r="G3956">
        <v>0.28583648389107202</v>
      </c>
      <c r="H3956">
        <v>0.110284110725759</v>
      </c>
      <c r="I3956">
        <v>9.1624305088778099E-2</v>
      </c>
      <c r="J3956">
        <v>7.1744722954774395E-2</v>
      </c>
      <c r="K3956">
        <v>5.0435205193909101E-2</v>
      </c>
      <c r="L3956">
        <v>944.51117742205395</v>
      </c>
      <c r="M3956">
        <v>17.541565468851001</v>
      </c>
      <c r="N3956">
        <v>54.027975555007302</v>
      </c>
      <c r="O3956">
        <v>53.159026058230403</v>
      </c>
      <c r="P3956">
        <v>-8.0110671332596695E-2</v>
      </c>
      <c r="Q3956">
        <v>2.8963937295568499E-2</v>
      </c>
      <c r="R3956">
        <v>0.99311624880338101</v>
      </c>
      <c r="S3956" t="s">
        <v>10241</v>
      </c>
      <c r="T3956" t="s">
        <v>12568</v>
      </c>
      <c r="U3956" t="s">
        <v>12568</v>
      </c>
      <c r="V3956" t="s">
        <v>12568</v>
      </c>
      <c r="W3956" t="s">
        <v>16480</v>
      </c>
      <c r="X3956">
        <v>12</v>
      </c>
      <c r="Y3956" t="s">
        <v>22594</v>
      </c>
      <c r="Z3956" t="s">
        <v>28826</v>
      </c>
      <c r="AA3956">
        <v>0.49328263851602849</v>
      </c>
      <c r="AB3956" t="str">
        <f>HYPERLINK("Melting_Curves/meltCurve_Q86X55_1_CARM1.pdf", "Melting_Curves/meltCurve_Q86X55_1_CARM1.pdf")</f>
        <v>Melting_Curves/meltCurve_Q86X55_1_CARM1.pdf</v>
      </c>
    </row>
    <row r="3957" spans="1:28" x14ac:dyDescent="0.25">
      <c r="A3957" t="s">
        <v>3961</v>
      </c>
      <c r="B3957">
        <v>0.99352677808782597</v>
      </c>
      <c r="C3957">
        <v>1.0070787348654</v>
      </c>
      <c r="D3957">
        <v>0.93989677683364303</v>
      </c>
      <c r="E3957">
        <v>0.77944370522944495</v>
      </c>
      <c r="F3957">
        <v>0.68996059114580599</v>
      </c>
      <c r="G3957">
        <v>0.54194188386740105</v>
      </c>
      <c r="H3957">
        <v>0.58865555222780996</v>
      </c>
      <c r="I3957">
        <v>0.55755725235801801</v>
      </c>
      <c r="J3957">
        <v>0.41619215042449897</v>
      </c>
      <c r="K3957">
        <v>0.13584077113239101</v>
      </c>
      <c r="L3957">
        <v>415.67495250784702</v>
      </c>
      <c r="M3957">
        <v>6.7800260934703296</v>
      </c>
      <c r="N3957">
        <v>61.3087540919744</v>
      </c>
      <c r="O3957">
        <v>56.637846129150603</v>
      </c>
      <c r="P3957">
        <v>-2.99894547254188E-2</v>
      </c>
      <c r="Q3957">
        <v>0</v>
      </c>
      <c r="R3957">
        <v>0.89821355837818495</v>
      </c>
      <c r="S3957" t="s">
        <v>10242</v>
      </c>
      <c r="T3957" t="s">
        <v>12568</v>
      </c>
      <c r="U3957" t="s">
        <v>12568</v>
      </c>
      <c r="V3957" t="s">
        <v>12568</v>
      </c>
      <c r="W3957" t="s">
        <v>16481</v>
      </c>
      <c r="X3957">
        <v>10</v>
      </c>
      <c r="Y3957" t="s">
        <v>22595</v>
      </c>
      <c r="Z3957" t="s">
        <v>28827</v>
      </c>
      <c r="AA3957">
        <v>0.6687873364843242</v>
      </c>
      <c r="AB3957" t="str">
        <f>HYPERLINK("Melting_Curves/meltCurve_Q86X76_2_NIT1.pdf", "Melting_Curves/meltCurve_Q86X76_2_NIT1.pdf")</f>
        <v>Melting_Curves/meltCurve_Q86X76_2_NIT1.pdf</v>
      </c>
    </row>
    <row r="3958" spans="1:28" x14ac:dyDescent="0.25">
      <c r="A3958" t="s">
        <v>3962</v>
      </c>
      <c r="B3958">
        <v>0.99352677808782597</v>
      </c>
      <c r="C3958">
        <v>0.96438664035945798</v>
      </c>
      <c r="D3958">
        <v>0.92659326138008702</v>
      </c>
      <c r="E3958">
        <v>0.47156750547544501</v>
      </c>
      <c r="F3958">
        <v>0.42648717584905799</v>
      </c>
      <c r="G3958">
        <v>0.16032544842938001</v>
      </c>
      <c r="H3958">
        <v>8.8193567216671306E-2</v>
      </c>
      <c r="I3958">
        <v>8.9664901681430403E-2</v>
      </c>
      <c r="J3958">
        <v>5.0929617480758901E-2</v>
      </c>
      <c r="K3958">
        <v>3.61199995948287E-2</v>
      </c>
      <c r="L3958">
        <v>867.10828028973299</v>
      </c>
      <c r="M3958">
        <v>17.123442004847998</v>
      </c>
      <c r="N3958">
        <v>50.917006320076901</v>
      </c>
      <c r="O3958">
        <v>49.9631613521302</v>
      </c>
      <c r="P3958">
        <v>-8.1857129466312503E-2</v>
      </c>
      <c r="Q3958">
        <v>4.4679142367569001E-2</v>
      </c>
      <c r="R3958">
        <v>0.98452012779909204</v>
      </c>
      <c r="S3958" t="s">
        <v>10243</v>
      </c>
      <c r="T3958" t="s">
        <v>12568</v>
      </c>
      <c r="U3958" t="s">
        <v>12568</v>
      </c>
      <c r="V3958" t="s">
        <v>12568</v>
      </c>
      <c r="W3958" t="s">
        <v>16482</v>
      </c>
      <c r="X3958">
        <v>3</v>
      </c>
      <c r="Y3958" t="s">
        <v>22596</v>
      </c>
      <c r="Z3958" t="s">
        <v>28828</v>
      </c>
      <c r="AA3958">
        <v>0.40116016269097821</v>
      </c>
      <c r="AB3958" t="str">
        <f>HYPERLINK("Melting_Curves/meltCurve_Q86X83_COMMD2.pdf", "Melting_Curves/meltCurve_Q86X83_COMMD2.pdf")</f>
        <v>Melting_Curves/meltCurve_Q86X83_COMMD2.pdf</v>
      </c>
    </row>
    <row r="3959" spans="1:28" x14ac:dyDescent="0.25">
      <c r="A3959" t="s">
        <v>3963</v>
      </c>
      <c r="B3959">
        <v>0.99352677808782597</v>
      </c>
      <c r="C3959">
        <v>1.04490783529145</v>
      </c>
      <c r="D3959">
        <v>0.98163214926723596</v>
      </c>
      <c r="E3959">
        <v>0.94661390982817994</v>
      </c>
      <c r="F3959">
        <v>0.86904922876993895</v>
      </c>
      <c r="G3959">
        <v>0.67016085325893704</v>
      </c>
      <c r="H3959">
        <v>0.563804500144791</v>
      </c>
      <c r="I3959">
        <v>0.59324376104087495</v>
      </c>
      <c r="J3959">
        <v>0.60450673760815699</v>
      </c>
      <c r="K3959">
        <v>0.53581097100033404</v>
      </c>
      <c r="L3959">
        <v>1431.53951891465</v>
      </c>
      <c r="M3959">
        <v>26.272989421804599</v>
      </c>
      <c r="O3959">
        <v>54.174392399709902</v>
      </c>
      <c r="P3959">
        <v>-5.2659198676810098E-2</v>
      </c>
      <c r="Q3959">
        <v>0.56567583207187899</v>
      </c>
      <c r="R3959">
        <v>0.984131203130298</v>
      </c>
      <c r="S3959" t="s">
        <v>10244</v>
      </c>
      <c r="T3959" t="s">
        <v>12568</v>
      </c>
      <c r="U3959" t="s">
        <v>12568</v>
      </c>
      <c r="V3959" t="s">
        <v>12568</v>
      </c>
      <c r="W3959" t="s">
        <v>16483</v>
      </c>
      <c r="X3959">
        <v>2</v>
      </c>
      <c r="Y3959" t="s">
        <v>22597</v>
      </c>
      <c r="Z3959" t="s">
        <v>28829</v>
      </c>
      <c r="AA3959">
        <v>0.77908897675146593</v>
      </c>
      <c r="AB3959" t="str">
        <f>HYPERLINK("Melting_Curves/meltCurve_Q86X95_2_CIR1.pdf", "Melting_Curves/meltCurve_Q86X95_2_CIR1.pdf")</f>
        <v>Melting_Curves/meltCurve_Q86X95_2_CIR1.pdf</v>
      </c>
    </row>
    <row r="3960" spans="1:28" x14ac:dyDescent="0.25">
      <c r="A3960" t="s">
        <v>3964</v>
      </c>
      <c r="B3960">
        <v>0.99352677808782597</v>
      </c>
      <c r="C3960">
        <v>0.98646865744520396</v>
      </c>
      <c r="D3960">
        <v>0.83826211107172499</v>
      </c>
      <c r="E3960">
        <v>0.37626952785171303</v>
      </c>
      <c r="F3960">
        <v>0.302366302240482</v>
      </c>
      <c r="G3960">
        <v>0.179299796640845</v>
      </c>
      <c r="H3960">
        <v>0.102411668141665</v>
      </c>
      <c r="I3960">
        <v>9.2866807025183004E-2</v>
      </c>
      <c r="J3960">
        <v>7.9910240557454701E-2</v>
      </c>
      <c r="K3960">
        <v>6.6509588272178205E-2</v>
      </c>
      <c r="L3960">
        <v>1029.9196294324399</v>
      </c>
      <c r="M3960">
        <v>21.059425470557201</v>
      </c>
      <c r="N3960">
        <v>49.390586606844899</v>
      </c>
      <c r="O3960">
        <v>48.470839384929498</v>
      </c>
      <c r="P3960">
        <v>-9.84723344856933E-2</v>
      </c>
      <c r="Q3960">
        <v>9.3439800314923993E-2</v>
      </c>
      <c r="R3960">
        <v>0.99036948112158396</v>
      </c>
      <c r="S3960" t="s">
        <v>10245</v>
      </c>
      <c r="T3960" t="s">
        <v>12568</v>
      </c>
      <c r="U3960" t="s">
        <v>12568</v>
      </c>
      <c r="V3960" t="s">
        <v>12568</v>
      </c>
      <c r="W3960" t="s">
        <v>16484</v>
      </c>
      <c r="X3960">
        <v>18</v>
      </c>
      <c r="Y3960" t="s">
        <v>22598</v>
      </c>
      <c r="Z3960" t="s">
        <v>28830</v>
      </c>
      <c r="AA3960">
        <v>0.37398514617536321</v>
      </c>
      <c r="AB3960" t="str">
        <f>HYPERLINK("Melting_Curves/meltCurve_Q86XA9_HEATR5A.pdf", "Melting_Curves/meltCurve_Q86XA9_HEATR5A.pdf")</f>
        <v>Melting_Curves/meltCurve_Q86XA9_HEATR5A.pdf</v>
      </c>
    </row>
    <row r="3961" spans="1:28" x14ac:dyDescent="0.25">
      <c r="A3961" t="s">
        <v>3965</v>
      </c>
      <c r="B3961">
        <v>0.99352677808782597</v>
      </c>
      <c r="C3961">
        <v>0.93761833408841799</v>
      </c>
      <c r="D3961">
        <v>0.80154599539757498</v>
      </c>
      <c r="E3961">
        <v>0.76563649376618503</v>
      </c>
      <c r="F3961">
        <v>0.65546258123678303</v>
      </c>
      <c r="G3961">
        <v>0.60820391023730702</v>
      </c>
      <c r="H3961">
        <v>0.82679919071680696</v>
      </c>
      <c r="I3961">
        <v>0.80362207829420396</v>
      </c>
      <c r="J3961">
        <v>0.86708101514284797</v>
      </c>
      <c r="K3961">
        <v>0.69000224192706905</v>
      </c>
      <c r="L3961">
        <v>1561.62215104861</v>
      </c>
      <c r="M3961">
        <v>35.240854133515903</v>
      </c>
      <c r="O3961">
        <v>44.170872748252698</v>
      </c>
      <c r="P3961">
        <v>-5.0933410499856002E-2</v>
      </c>
      <c r="Q3961">
        <v>0.74464121096253499</v>
      </c>
      <c r="R3961">
        <v>0.58273553989121396</v>
      </c>
      <c r="S3961" t="s">
        <v>10246</v>
      </c>
      <c r="T3961" t="s">
        <v>12568</v>
      </c>
      <c r="U3961" t="s">
        <v>12568</v>
      </c>
      <c r="V3961" t="s">
        <v>12568</v>
      </c>
      <c r="W3961" t="s">
        <v>16485</v>
      </c>
      <c r="X3961">
        <v>3</v>
      </c>
      <c r="Y3961" t="s">
        <v>22599</v>
      </c>
      <c r="Z3961" t="s">
        <v>28831</v>
      </c>
      <c r="AA3961">
        <v>0.78254616835431057</v>
      </c>
      <c r="AB3961" t="str">
        <f>HYPERLINK("Melting_Curves/meltCurve_Q86XI2_NCAPG2.pdf", "Melting_Curves/meltCurve_Q86XI2_NCAPG2.pdf")</f>
        <v>Melting_Curves/meltCurve_Q86XI2_NCAPG2.pdf</v>
      </c>
    </row>
    <row r="3962" spans="1:28" x14ac:dyDescent="0.25">
      <c r="A3962" t="s">
        <v>3966</v>
      </c>
      <c r="B3962">
        <v>0.99352677808782597</v>
      </c>
      <c r="C3962">
        <v>0.91639722349264696</v>
      </c>
      <c r="D3962">
        <v>0.85575150827931401</v>
      </c>
      <c r="E3962">
        <v>0.50384638370285495</v>
      </c>
      <c r="F3962">
        <v>0.43317458198209502</v>
      </c>
      <c r="G3962">
        <v>0.29042234611249501</v>
      </c>
      <c r="H3962">
        <v>0.219826556263682</v>
      </c>
      <c r="I3962">
        <v>0.20602540854856799</v>
      </c>
      <c r="J3962">
        <v>0.14874050292820901</v>
      </c>
      <c r="K3962">
        <v>0.145318979495106</v>
      </c>
      <c r="L3962">
        <v>725.49240760595796</v>
      </c>
      <c r="M3962">
        <v>14.5401354109145</v>
      </c>
      <c r="N3962">
        <v>51.174616770101203</v>
      </c>
      <c r="O3962">
        <v>48.980543359535702</v>
      </c>
      <c r="P3962">
        <v>-6.2916588887812097E-2</v>
      </c>
      <c r="Q3962">
        <v>0.152322324625247</v>
      </c>
      <c r="R3962">
        <v>0.99038948665654303</v>
      </c>
      <c r="S3962" t="s">
        <v>10247</v>
      </c>
      <c r="T3962" t="s">
        <v>12568</v>
      </c>
      <c r="U3962" t="s">
        <v>12568</v>
      </c>
      <c r="V3962" t="s">
        <v>12568</v>
      </c>
      <c r="W3962" t="s">
        <v>16486</v>
      </c>
      <c r="X3962">
        <v>2</v>
      </c>
      <c r="Y3962" t="s">
        <v>22600</v>
      </c>
      <c r="Z3962" t="s">
        <v>28832</v>
      </c>
      <c r="AA3962">
        <v>0.45337030500403003</v>
      </c>
      <c r="AB3962" t="str">
        <f>HYPERLINK("Melting_Curves/meltCurve_Q86XN8_MEX3D.pdf", "Melting_Curves/meltCurve_Q86XN8_MEX3D.pdf")</f>
        <v>Melting_Curves/meltCurve_Q86XN8_MEX3D.pdf</v>
      </c>
    </row>
    <row r="3963" spans="1:28" x14ac:dyDescent="0.25">
      <c r="A3963" t="s">
        <v>3967</v>
      </c>
      <c r="B3963">
        <v>0.99352677808782597</v>
      </c>
      <c r="C3963">
        <v>0.96923764549422198</v>
      </c>
      <c r="D3963">
        <v>0.97513440707029297</v>
      </c>
      <c r="E3963">
        <v>0.37506792414140999</v>
      </c>
      <c r="F3963">
        <v>0.31058057802479999</v>
      </c>
      <c r="G3963">
        <v>0.24369182872230299</v>
      </c>
      <c r="H3963">
        <v>0.203022264288128</v>
      </c>
      <c r="I3963">
        <v>0.22150114728658099</v>
      </c>
      <c r="J3963">
        <v>0.187057646981417</v>
      </c>
      <c r="K3963">
        <v>0.176001448819819</v>
      </c>
      <c r="L3963">
        <v>2348.1307012111201</v>
      </c>
      <c r="M3963">
        <v>48.238430000297797</v>
      </c>
      <c r="N3963">
        <v>49.2663868806453</v>
      </c>
      <c r="O3963">
        <v>48.594172008106703</v>
      </c>
      <c r="P3963">
        <v>-0.193803609673942</v>
      </c>
      <c r="Q3963">
        <v>0.219069635599805</v>
      </c>
      <c r="R3963">
        <v>0.99047415266737704</v>
      </c>
      <c r="S3963" t="s">
        <v>10248</v>
      </c>
      <c r="T3963" t="s">
        <v>12568</v>
      </c>
      <c r="U3963" t="s">
        <v>12568</v>
      </c>
      <c r="V3963" t="s">
        <v>12568</v>
      </c>
      <c r="W3963" t="s">
        <v>16487</v>
      </c>
      <c r="X3963">
        <v>31</v>
      </c>
      <c r="Y3963" t="s">
        <v>22601</v>
      </c>
      <c r="Z3963" t="s">
        <v>28833</v>
      </c>
      <c r="AA3963">
        <v>0.44675891635168341</v>
      </c>
      <c r="AB3963" t="str">
        <f>HYPERLINK("Melting_Curves/meltCurve_Q86XP3_DDX42.pdf", "Melting_Curves/meltCurve_Q86XP3_DDX42.pdf")</f>
        <v>Melting_Curves/meltCurve_Q86XP3_DDX42.pdf</v>
      </c>
    </row>
    <row r="3964" spans="1:28" x14ac:dyDescent="0.25">
      <c r="A3964" t="s">
        <v>3968</v>
      </c>
      <c r="B3964">
        <v>0.99352677808782597</v>
      </c>
      <c r="C3964">
        <v>0.98347632347645098</v>
      </c>
      <c r="D3964">
        <v>1.0214271803856101</v>
      </c>
      <c r="E3964">
        <v>0.981530289143421</v>
      </c>
      <c r="F3964">
        <v>0.823021090601879</v>
      </c>
      <c r="G3964">
        <v>0.81965739291098405</v>
      </c>
      <c r="H3964">
        <v>0.66964150571104097</v>
      </c>
      <c r="I3964">
        <v>0.72699512039694603</v>
      </c>
      <c r="J3964">
        <v>0.74548418754384405</v>
      </c>
      <c r="K3964">
        <v>0.68141844023243803</v>
      </c>
      <c r="L3964">
        <v>1240.7270622316501</v>
      </c>
      <c r="M3964">
        <v>23.2100674032665</v>
      </c>
      <c r="O3964">
        <v>53.064334649026598</v>
      </c>
      <c r="P3964">
        <v>-3.1963860117221597E-2</v>
      </c>
      <c r="Q3964">
        <v>0.70769401068052895</v>
      </c>
      <c r="R3964">
        <v>0.92936885041039397</v>
      </c>
      <c r="S3964" t="s">
        <v>10249</v>
      </c>
      <c r="T3964" t="s">
        <v>12568</v>
      </c>
      <c r="U3964" t="s">
        <v>12568</v>
      </c>
      <c r="V3964" t="s">
        <v>12568</v>
      </c>
      <c r="W3964" t="s">
        <v>16488</v>
      </c>
      <c r="X3964">
        <v>4</v>
      </c>
      <c r="Y3964" t="s">
        <v>22602</v>
      </c>
      <c r="Z3964" t="s">
        <v>28834</v>
      </c>
      <c r="AA3964">
        <v>0.84189835952273462</v>
      </c>
      <c r="AB3964" t="str">
        <f>HYPERLINK("Melting_Curves/meltCurve_Q86XZ4_SPATS2.pdf", "Melting_Curves/meltCurve_Q86XZ4_SPATS2.pdf")</f>
        <v>Melting_Curves/meltCurve_Q86XZ4_SPATS2.pdf</v>
      </c>
    </row>
    <row r="3965" spans="1:28" x14ac:dyDescent="0.25">
      <c r="A3965" t="s">
        <v>3969</v>
      </c>
      <c r="B3965">
        <v>0.99352677808782597</v>
      </c>
      <c r="C3965">
        <v>0.92037271366274898</v>
      </c>
      <c r="D3965">
        <v>0.84197300131108099</v>
      </c>
      <c r="E3965">
        <v>0.45355391421972302</v>
      </c>
      <c r="F3965">
        <v>0.39491879913265698</v>
      </c>
      <c r="G3965">
        <v>0.27305592471595203</v>
      </c>
      <c r="H3965">
        <v>0.14445125180528101</v>
      </c>
      <c r="I3965">
        <v>0.169217532839742</v>
      </c>
      <c r="J3965">
        <v>0.12396928888848099</v>
      </c>
      <c r="K3965">
        <v>9.6732336391860199E-2</v>
      </c>
      <c r="L3965">
        <v>745.72654772027101</v>
      </c>
      <c r="M3965">
        <v>15.024632826286</v>
      </c>
      <c r="N3965">
        <v>50.5150964243009</v>
      </c>
      <c r="O3965">
        <v>48.779232999086702</v>
      </c>
      <c r="P3965">
        <v>-6.8130438253981906E-2</v>
      </c>
      <c r="Q3965">
        <v>0.11531498177009</v>
      </c>
      <c r="R3965">
        <v>0.98701030162700598</v>
      </c>
      <c r="S3965" t="s">
        <v>10250</v>
      </c>
      <c r="T3965" t="s">
        <v>12568</v>
      </c>
      <c r="U3965" t="s">
        <v>12568</v>
      </c>
      <c r="V3965" t="s">
        <v>12568</v>
      </c>
      <c r="W3965" t="s">
        <v>16489</v>
      </c>
      <c r="X3965">
        <v>3</v>
      </c>
      <c r="Y3965" t="s">
        <v>22603</v>
      </c>
      <c r="Z3965" t="s">
        <v>28835</v>
      </c>
      <c r="AA3965">
        <v>0.42069351593506638</v>
      </c>
      <c r="AB3965" t="str">
        <f>HYPERLINK("Melting_Curves/meltCurve_Q86Y07_4_VRK2.pdf", "Melting_Curves/meltCurve_Q86Y07_4_VRK2.pdf")</f>
        <v>Melting_Curves/meltCurve_Q86Y07_4_VRK2.pdf</v>
      </c>
    </row>
    <row r="3966" spans="1:28" x14ac:dyDescent="0.25">
      <c r="A3966" t="s">
        <v>3970</v>
      </c>
      <c r="B3966">
        <v>0.99352677808782597</v>
      </c>
      <c r="C3966">
        <v>0.94266337892040597</v>
      </c>
      <c r="D3966">
        <v>0.94839321374924002</v>
      </c>
      <c r="E3966">
        <v>0.315042976589407</v>
      </c>
      <c r="F3966">
        <v>0.24023858875236501</v>
      </c>
      <c r="G3966">
        <v>0.118624331712949</v>
      </c>
      <c r="H3966">
        <v>7.3555683974353095E-2</v>
      </c>
      <c r="I3966">
        <v>6.5790876786007299E-2</v>
      </c>
      <c r="J3966">
        <v>6.2945512148020202E-2</v>
      </c>
      <c r="K3966">
        <v>4.6074716417676902E-2</v>
      </c>
      <c r="L3966">
        <v>1678.69856430718</v>
      </c>
      <c r="M3966">
        <v>34.400106125757297</v>
      </c>
      <c r="N3966">
        <v>49.0640013919556</v>
      </c>
      <c r="O3966">
        <v>48.635221366266997</v>
      </c>
      <c r="P3966">
        <v>-0.161847910105682</v>
      </c>
      <c r="Q3966">
        <v>8.4714961821608106E-2</v>
      </c>
      <c r="R3966">
        <v>0.98658488540602796</v>
      </c>
      <c r="S3966" t="s">
        <v>10251</v>
      </c>
      <c r="T3966" t="s">
        <v>12568</v>
      </c>
      <c r="U3966" t="s">
        <v>12568</v>
      </c>
      <c r="V3966" t="s">
        <v>12568</v>
      </c>
      <c r="W3966" t="s">
        <v>16490</v>
      </c>
      <c r="X3966">
        <v>6</v>
      </c>
      <c r="Y3966" t="s">
        <v>22604</v>
      </c>
      <c r="Z3966" t="s">
        <v>28836</v>
      </c>
      <c r="AA3966">
        <v>0.35737519630155601</v>
      </c>
      <c r="AB3966" t="str">
        <f>HYPERLINK("Melting_Curves/meltCurve_Q86Y37_CACUL1.pdf", "Melting_Curves/meltCurve_Q86Y37_CACUL1.pdf")</f>
        <v>Melting_Curves/meltCurve_Q86Y37_CACUL1.pdf</v>
      </c>
    </row>
    <row r="3967" spans="1:28" x14ac:dyDescent="0.25">
      <c r="A3967" t="s">
        <v>3971</v>
      </c>
      <c r="B3967">
        <v>0.99352677808782597</v>
      </c>
      <c r="C3967">
        <v>0.83172694647758505</v>
      </c>
      <c r="D3967">
        <v>0.47600897734698999</v>
      </c>
      <c r="E3967">
        <v>0.21724575667030999</v>
      </c>
      <c r="F3967">
        <v>0.166259929316879</v>
      </c>
      <c r="G3967">
        <v>0.10248942799734299</v>
      </c>
      <c r="H3967">
        <v>8.0310964410243102E-2</v>
      </c>
      <c r="I3967">
        <v>7.2267745147762297E-2</v>
      </c>
      <c r="J3967">
        <v>7.2000213476891006E-2</v>
      </c>
      <c r="K3967">
        <v>5.0392548090183002E-2</v>
      </c>
      <c r="L3967">
        <v>982.17345807445895</v>
      </c>
      <c r="M3967">
        <v>21.4991196967779</v>
      </c>
      <c r="N3967">
        <v>46.054677906616099</v>
      </c>
      <c r="O3967">
        <v>45.294627702325101</v>
      </c>
      <c r="P3967">
        <v>-0.10924610241727301</v>
      </c>
      <c r="Q3967">
        <v>7.9378337198664106E-2</v>
      </c>
      <c r="R3967">
        <v>0.99497269560261403</v>
      </c>
      <c r="S3967" t="s">
        <v>10252</v>
      </c>
      <c r="T3967" t="s">
        <v>12568</v>
      </c>
      <c r="U3967" t="s">
        <v>12568</v>
      </c>
      <c r="V3967" t="s">
        <v>12568</v>
      </c>
      <c r="W3967" t="s">
        <v>16491</v>
      </c>
      <c r="X3967">
        <v>23</v>
      </c>
      <c r="Y3967" t="s">
        <v>22605</v>
      </c>
      <c r="Z3967" t="s">
        <v>28837</v>
      </c>
      <c r="AA3967">
        <v>0.26614462223659963</v>
      </c>
      <c r="AB3967" t="str">
        <f>HYPERLINK("Melting_Curves/meltCurve_Q86Y56_HEATR2.pdf", "Melting_Curves/meltCurve_Q86Y56_HEATR2.pdf")</f>
        <v>Melting_Curves/meltCurve_Q86Y56_HEATR2.pdf</v>
      </c>
    </row>
    <row r="3968" spans="1:28" x14ac:dyDescent="0.25">
      <c r="A3968" t="s">
        <v>3972</v>
      </c>
      <c r="B3968">
        <v>0.99352677808782597</v>
      </c>
      <c r="C3968">
        <v>0.83474591048935398</v>
      </c>
      <c r="D3968">
        <v>0.83749381295817205</v>
      </c>
      <c r="E3968">
        <v>0.35517938252631498</v>
      </c>
      <c r="F3968">
        <v>0.34069286019499001</v>
      </c>
      <c r="G3968">
        <v>0.24350252688912899</v>
      </c>
      <c r="H3968">
        <v>0.19449621222364299</v>
      </c>
      <c r="I3968">
        <v>0.143388131920996</v>
      </c>
      <c r="J3968">
        <v>0.111497502675654</v>
      </c>
      <c r="K3968">
        <v>8.2109828745792396E-2</v>
      </c>
      <c r="L3968">
        <v>763.83430390979095</v>
      </c>
      <c r="M3968">
        <v>15.742025592187399</v>
      </c>
      <c r="N3968">
        <v>49.395996479499601</v>
      </c>
      <c r="O3968">
        <v>47.759212969724601</v>
      </c>
      <c r="P3968">
        <v>-7.23925617477581E-2</v>
      </c>
      <c r="Q3968">
        <v>0.12155580424337201</v>
      </c>
      <c r="R3968">
        <v>0.96862953888465797</v>
      </c>
      <c r="S3968" t="s">
        <v>10253</v>
      </c>
      <c r="T3968" t="s">
        <v>12568</v>
      </c>
      <c r="U3968" t="s">
        <v>12568</v>
      </c>
      <c r="V3968" t="s">
        <v>12568</v>
      </c>
      <c r="W3968" t="s">
        <v>16492</v>
      </c>
      <c r="X3968">
        <v>2</v>
      </c>
      <c r="Y3968" t="s">
        <v>22606</v>
      </c>
      <c r="Z3968" t="s">
        <v>28838</v>
      </c>
      <c r="AA3968">
        <v>0.39120004066978292</v>
      </c>
      <c r="AB3968" t="str">
        <f>HYPERLINK("Melting_Curves/meltCurve_Q86Y79_PTRH1.pdf", "Melting_Curves/meltCurve_Q86Y79_PTRH1.pdf")</f>
        <v>Melting_Curves/meltCurve_Q86Y79_PTRH1.pdf</v>
      </c>
    </row>
    <row r="3969" spans="1:28" x14ac:dyDescent="0.25">
      <c r="A3969" t="s">
        <v>3973</v>
      </c>
      <c r="B3969">
        <v>0.99352677808782597</v>
      </c>
      <c r="C3969">
        <v>0.99699010664138399</v>
      </c>
      <c r="D3969">
        <v>0.99885557805727099</v>
      </c>
      <c r="E3969">
        <v>1.0080579386759101</v>
      </c>
      <c r="F3969">
        <v>0.93768468890551304</v>
      </c>
      <c r="G3969">
        <v>0.91049258485575801</v>
      </c>
      <c r="H3969">
        <v>0.80310885557876499</v>
      </c>
      <c r="I3969">
        <v>0.95993670532086695</v>
      </c>
      <c r="J3969">
        <v>0.86397847347605194</v>
      </c>
      <c r="K3969">
        <v>0.74922645325909498</v>
      </c>
      <c r="L3969">
        <v>384.83474045600701</v>
      </c>
      <c r="M3969">
        <v>4.1670443881279997</v>
      </c>
      <c r="Q3969">
        <v>0</v>
      </c>
      <c r="R3969">
        <v>0.68640309599937399</v>
      </c>
      <c r="S3969" t="s">
        <v>10254</v>
      </c>
      <c r="T3969" t="s">
        <v>12568</v>
      </c>
      <c r="U3969" t="s">
        <v>12568</v>
      </c>
      <c r="V3969" t="s">
        <v>12568</v>
      </c>
      <c r="W3969" t="s">
        <v>16493</v>
      </c>
      <c r="X3969">
        <v>4</v>
      </c>
      <c r="Y3969" t="s">
        <v>22607</v>
      </c>
      <c r="Z3969" t="s">
        <v>28839</v>
      </c>
      <c r="AA3969">
        <v>0.92643143559382624</v>
      </c>
      <c r="AB3969" t="str">
        <f>HYPERLINK("Melting_Curves/meltCurve_Q86Y82_STX12.pdf", "Melting_Curves/meltCurve_Q86Y82_STX12.pdf")</f>
        <v>Melting_Curves/meltCurve_Q86Y82_STX12.pdf</v>
      </c>
    </row>
    <row r="3970" spans="1:28" x14ac:dyDescent="0.25">
      <c r="A3970" t="s">
        <v>3974</v>
      </c>
      <c r="B3970">
        <v>0.99352677808782597</v>
      </c>
      <c r="C3970">
        <v>0.95864176079653296</v>
      </c>
      <c r="D3970">
        <v>0.97254920562290903</v>
      </c>
      <c r="E3970">
        <v>0.90594491026214397</v>
      </c>
      <c r="F3970">
        <v>0.89110218112699702</v>
      </c>
      <c r="G3970">
        <v>0.65236266666873099</v>
      </c>
      <c r="H3970">
        <v>0.52355105908106203</v>
      </c>
      <c r="I3970">
        <v>0.50944013836283697</v>
      </c>
      <c r="J3970">
        <v>0.60202488037341695</v>
      </c>
      <c r="K3970">
        <v>0.47399805754848601</v>
      </c>
      <c r="L3970">
        <v>1312.5469683812601</v>
      </c>
      <c r="M3970">
        <v>23.891332121774699</v>
      </c>
      <c r="O3970">
        <v>54.557651860487901</v>
      </c>
      <c r="P3970">
        <v>-5.3455811813629697E-2</v>
      </c>
      <c r="Q3970">
        <v>0.51172641935682195</v>
      </c>
      <c r="R3970">
        <v>0.96120262479250995</v>
      </c>
      <c r="S3970" t="s">
        <v>10255</v>
      </c>
      <c r="T3970" t="s">
        <v>12568</v>
      </c>
      <c r="U3970" t="s">
        <v>12568</v>
      </c>
      <c r="V3970" t="s">
        <v>12568</v>
      </c>
      <c r="W3970" t="s">
        <v>16494</v>
      </c>
      <c r="X3970">
        <v>2</v>
      </c>
      <c r="Y3970" t="s">
        <v>22608</v>
      </c>
      <c r="Z3970" t="s">
        <v>28840</v>
      </c>
      <c r="AA3970">
        <v>0.75974561171177235</v>
      </c>
      <c r="AB3970" t="str">
        <f>HYPERLINK("Melting_Curves/meltCurve_Q86YC2_PALB2.pdf", "Melting_Curves/meltCurve_Q86YC2_PALB2.pdf")</f>
        <v>Melting_Curves/meltCurve_Q86YC2_PALB2.pdf</v>
      </c>
    </row>
    <row r="3971" spans="1:28" x14ac:dyDescent="0.25">
      <c r="A3971" t="s">
        <v>3975</v>
      </c>
      <c r="B3971">
        <v>0.99352677808782597</v>
      </c>
      <c r="C3971">
        <v>0.99277865034422796</v>
      </c>
      <c r="D3971">
        <v>0.93932354997789902</v>
      </c>
      <c r="E3971">
        <v>0.74998582569533301</v>
      </c>
      <c r="F3971">
        <v>0.61506168434878605</v>
      </c>
      <c r="G3971">
        <v>0.38879746857763398</v>
      </c>
      <c r="H3971">
        <v>0.25038107777768698</v>
      </c>
      <c r="I3971">
        <v>0.186271262045201</v>
      </c>
      <c r="J3971">
        <v>0.14535045003882199</v>
      </c>
      <c r="K3971">
        <v>0.20835864827345499</v>
      </c>
      <c r="L3971">
        <v>813.40509637800801</v>
      </c>
      <c r="M3971">
        <v>15.2231401221638</v>
      </c>
      <c r="N3971">
        <v>54.619716726476597</v>
      </c>
      <c r="O3971">
        <v>52.5355557135019</v>
      </c>
      <c r="P3971">
        <v>-6.2241405053185997E-2</v>
      </c>
      <c r="Q3971">
        <v>0.140893169340262</v>
      </c>
      <c r="R3971">
        <v>0.99571566267555001</v>
      </c>
      <c r="S3971" t="s">
        <v>10256</v>
      </c>
      <c r="T3971" t="s">
        <v>12568</v>
      </c>
      <c r="U3971" t="s">
        <v>12568</v>
      </c>
      <c r="V3971" t="s">
        <v>12568</v>
      </c>
      <c r="W3971" t="s">
        <v>16495</v>
      </c>
      <c r="X3971">
        <v>2</v>
      </c>
      <c r="Y3971" t="s">
        <v>22609</v>
      </c>
      <c r="Z3971" t="s">
        <v>28841</v>
      </c>
      <c r="AA3971">
        <v>0.54332938939902808</v>
      </c>
      <c r="AB3971" t="str">
        <f>HYPERLINK("Melting_Curves/meltCurve_Q86YH6_PDSS2.pdf", "Melting_Curves/meltCurve_Q86YH6_PDSS2.pdf")</f>
        <v>Melting_Curves/meltCurve_Q86YH6_PDSS2.pdf</v>
      </c>
    </row>
    <row r="3972" spans="1:28" x14ac:dyDescent="0.25">
      <c r="A3972" t="s">
        <v>3976</v>
      </c>
      <c r="B3972">
        <v>0.99352677808782597</v>
      </c>
      <c r="C3972">
        <v>0.94019373941823903</v>
      </c>
      <c r="D3972">
        <v>0.90109144931410901</v>
      </c>
      <c r="E3972">
        <v>0.970166665147697</v>
      </c>
      <c r="F3972">
        <v>0.896024472980542</v>
      </c>
      <c r="G3972">
        <v>0.76069356070257799</v>
      </c>
      <c r="H3972">
        <v>0.70866562929414201</v>
      </c>
      <c r="I3972">
        <v>0.64260298836643304</v>
      </c>
      <c r="J3972">
        <v>0.83182675392856498</v>
      </c>
      <c r="K3972">
        <v>0.68053558128694003</v>
      </c>
      <c r="L3972">
        <v>1529.2567257011899</v>
      </c>
      <c r="M3972">
        <v>28.4057543049211</v>
      </c>
      <c r="O3972">
        <v>53.571463162860397</v>
      </c>
      <c r="P3972">
        <v>-3.80713545637891E-2</v>
      </c>
      <c r="Q3972">
        <v>0.71280163285137799</v>
      </c>
      <c r="R3972">
        <v>0.76839015338398997</v>
      </c>
      <c r="S3972" t="s">
        <v>10257</v>
      </c>
      <c r="T3972" t="s">
        <v>12568</v>
      </c>
      <c r="U3972" t="s">
        <v>12568</v>
      </c>
      <c r="V3972" t="s">
        <v>12568</v>
      </c>
      <c r="W3972" t="s">
        <v>16496</v>
      </c>
      <c r="X3972">
        <v>1</v>
      </c>
      <c r="Y3972" t="s">
        <v>22610</v>
      </c>
      <c r="Z3972" t="s">
        <v>28842</v>
      </c>
      <c r="AA3972">
        <v>0.84735032165638413</v>
      </c>
      <c r="AB3972" t="str">
        <f>HYPERLINK("Melting_Curves/meltCurve_Q86YL5_TDRP.pdf", "Melting_Curves/meltCurve_Q86YL5_TDRP.pdf")</f>
        <v>Melting_Curves/meltCurve_Q86YL5_TDRP.pdf</v>
      </c>
    </row>
    <row r="3973" spans="1:28" x14ac:dyDescent="0.25">
      <c r="A3973" t="s">
        <v>3977</v>
      </c>
      <c r="B3973">
        <v>0.99352677808782597</v>
      </c>
      <c r="C3973">
        <v>0.97857671659187595</v>
      </c>
      <c r="D3973">
        <v>0.95487735065393697</v>
      </c>
      <c r="E3973">
        <v>0.82987499712177404</v>
      </c>
      <c r="F3973">
        <v>0.74297321650969395</v>
      </c>
      <c r="G3973">
        <v>0.68381546682189498</v>
      </c>
      <c r="H3973">
        <v>0.51603558485524204</v>
      </c>
      <c r="I3973">
        <v>0.46207041308112401</v>
      </c>
      <c r="J3973">
        <v>0.35570241826709098</v>
      </c>
      <c r="K3973">
        <v>0.24985145849250701</v>
      </c>
      <c r="L3973">
        <v>474.75884212940298</v>
      </c>
      <c r="M3973">
        <v>7.6998344839792896</v>
      </c>
      <c r="N3973">
        <v>61.658317321439199</v>
      </c>
      <c r="O3973">
        <v>57.912875040238603</v>
      </c>
      <c r="P3973">
        <v>-3.32822192434616E-2</v>
      </c>
      <c r="Q3973">
        <v>0</v>
      </c>
      <c r="R3973">
        <v>0.99066689993267298</v>
      </c>
      <c r="S3973" t="s">
        <v>10258</v>
      </c>
      <c r="T3973" t="s">
        <v>12568</v>
      </c>
      <c r="U3973" t="s">
        <v>12568</v>
      </c>
      <c r="V3973" t="s">
        <v>12568</v>
      </c>
      <c r="W3973" t="s">
        <v>16497</v>
      </c>
      <c r="X3973">
        <v>7</v>
      </c>
      <c r="Y3973" t="s">
        <v>22611</v>
      </c>
      <c r="Z3973" t="s">
        <v>28843</v>
      </c>
      <c r="AA3973">
        <v>0.68620927282544841</v>
      </c>
      <c r="AB3973" t="str">
        <f>HYPERLINK("Melting_Curves/meltCurve_Q86YM7_HOMER1.pdf", "Melting_Curves/meltCurve_Q86YM7_HOMER1.pdf")</f>
        <v>Melting_Curves/meltCurve_Q86YM7_HOMER1.pdf</v>
      </c>
    </row>
    <row r="3974" spans="1:28" x14ac:dyDescent="0.25">
      <c r="A3974" t="s">
        <v>3978</v>
      </c>
      <c r="B3974">
        <v>0.99352677808782597</v>
      </c>
      <c r="C3974">
        <v>0.87339109285793104</v>
      </c>
      <c r="D3974">
        <v>0.76802444238647605</v>
      </c>
      <c r="E3974">
        <v>0.59721820008405302</v>
      </c>
      <c r="F3974">
        <v>0.53266469296340602</v>
      </c>
      <c r="G3974">
        <v>0.482675468765426</v>
      </c>
      <c r="H3974">
        <v>0.40802098881649601</v>
      </c>
      <c r="I3974">
        <v>0.433183865190161</v>
      </c>
      <c r="J3974">
        <v>0.42868740701486702</v>
      </c>
      <c r="K3974">
        <v>0.40193031213631902</v>
      </c>
      <c r="L3974">
        <v>653.30417571290604</v>
      </c>
      <c r="M3974">
        <v>13.753867281406</v>
      </c>
      <c r="N3974">
        <v>54.160985166678302</v>
      </c>
      <c r="O3974">
        <v>46.529309435933598</v>
      </c>
      <c r="P3974">
        <v>-4.3762669340665201E-2</v>
      </c>
      <c r="Q3974">
        <v>0.40788790401634101</v>
      </c>
      <c r="R3974">
        <v>0.99222435011918697</v>
      </c>
      <c r="S3974" t="s">
        <v>10259</v>
      </c>
      <c r="T3974" t="s">
        <v>12568</v>
      </c>
      <c r="U3974" t="s">
        <v>12568</v>
      </c>
      <c r="V3974" t="s">
        <v>12568</v>
      </c>
      <c r="W3974" t="s">
        <v>16498</v>
      </c>
      <c r="X3974">
        <v>12</v>
      </c>
      <c r="Y3974" t="s">
        <v>22612</v>
      </c>
      <c r="Z3974" t="s">
        <v>28844</v>
      </c>
      <c r="AA3974">
        <v>0.5744713841417981</v>
      </c>
      <c r="AB3974" t="str">
        <f>HYPERLINK("Melting_Curves/meltCurve_Q86YP4_2_GATAD2A.pdf", "Melting_Curves/meltCurve_Q86YP4_2_GATAD2A.pdf")</f>
        <v>Melting_Curves/meltCurve_Q86YP4_2_GATAD2A.pdf</v>
      </c>
    </row>
    <row r="3975" spans="1:28" x14ac:dyDescent="0.25">
      <c r="A3975" t="s">
        <v>3979</v>
      </c>
      <c r="B3975">
        <v>0.99352677808782597</v>
      </c>
      <c r="C3975">
        <v>0.92823426867094305</v>
      </c>
      <c r="D3975">
        <v>0.69987669547544396</v>
      </c>
      <c r="E3975">
        <v>0.414818425263066</v>
      </c>
      <c r="F3975">
        <v>0.32838693376950701</v>
      </c>
      <c r="G3975">
        <v>0.26125322585451</v>
      </c>
      <c r="H3975">
        <v>0.217029392142745</v>
      </c>
      <c r="I3975">
        <v>0.22913649959051399</v>
      </c>
      <c r="J3975">
        <v>0.24798707714111501</v>
      </c>
      <c r="K3975">
        <v>0.204328584564933</v>
      </c>
      <c r="L3975">
        <v>938.54464551143997</v>
      </c>
      <c r="M3975">
        <v>19.864070407872099</v>
      </c>
      <c r="N3975">
        <v>48.725134438936799</v>
      </c>
      <c r="O3975">
        <v>46.7773208663506</v>
      </c>
      <c r="P3975">
        <v>-8.2156429082670901E-2</v>
      </c>
      <c r="Q3975">
        <v>0.22615474928309101</v>
      </c>
      <c r="R3975">
        <v>0.99685559351689401</v>
      </c>
      <c r="S3975" t="s">
        <v>10260</v>
      </c>
      <c r="T3975" t="s">
        <v>12568</v>
      </c>
      <c r="U3975" t="s">
        <v>12568</v>
      </c>
      <c r="V3975" t="s">
        <v>12568</v>
      </c>
      <c r="W3975" t="s">
        <v>16499</v>
      </c>
      <c r="X3975">
        <v>2</v>
      </c>
      <c r="Y3975" t="s">
        <v>22613</v>
      </c>
      <c r="Z3975" t="s">
        <v>28845</v>
      </c>
      <c r="AA3975">
        <v>0.42451774806766512</v>
      </c>
      <c r="AB3975" t="str">
        <f>HYPERLINK("Melting_Curves/meltCurve_Q86YR5_4_GPSM1.pdf", "Melting_Curves/meltCurve_Q86YR5_4_GPSM1.pdf")</f>
        <v>Melting_Curves/meltCurve_Q86YR5_4_GPSM1.pdf</v>
      </c>
    </row>
    <row r="3976" spans="1:28" x14ac:dyDescent="0.25">
      <c r="A3976" t="s">
        <v>3980</v>
      </c>
      <c r="B3976">
        <v>0.99352677808782597</v>
      </c>
      <c r="C3976">
        <v>0.92548455018673803</v>
      </c>
      <c r="D3976">
        <v>0.86525260004863003</v>
      </c>
      <c r="E3976">
        <v>0.50706891953743205</v>
      </c>
      <c r="F3976">
        <v>0.429295623095441</v>
      </c>
      <c r="G3976">
        <v>0.26700844944475099</v>
      </c>
      <c r="H3976">
        <v>0.17930465053790501</v>
      </c>
      <c r="I3976">
        <v>0.15073278868457701</v>
      </c>
      <c r="J3976">
        <v>0.13432410245737</v>
      </c>
      <c r="K3976">
        <v>0.107334763988283</v>
      </c>
      <c r="L3976">
        <v>731.96286638054096</v>
      </c>
      <c r="M3976">
        <v>14.5557804213291</v>
      </c>
      <c r="N3976">
        <v>51.177975628455499</v>
      </c>
      <c r="O3976">
        <v>49.3661913875886</v>
      </c>
      <c r="P3976">
        <v>-6.5468419821855903E-2</v>
      </c>
      <c r="Q3976">
        <v>0.111951588934307</v>
      </c>
      <c r="R3976">
        <v>0.99209840895283496</v>
      </c>
      <c r="S3976" t="s">
        <v>10261</v>
      </c>
      <c r="T3976" t="s">
        <v>12568</v>
      </c>
      <c r="U3976" t="s">
        <v>12568</v>
      </c>
      <c r="V3976" t="s">
        <v>12568</v>
      </c>
      <c r="W3976" t="s">
        <v>16500</v>
      </c>
      <c r="X3976">
        <v>9</v>
      </c>
      <c r="Y3976" t="s">
        <v>22614</v>
      </c>
      <c r="Z3976" t="s">
        <v>28846</v>
      </c>
      <c r="AA3976">
        <v>0.43855670467241781</v>
      </c>
      <c r="AB3976" t="str">
        <f>HYPERLINK("Melting_Curves/meltCurve_Q86YS7_C2CD5.pdf", "Melting_Curves/meltCurve_Q86YS7_C2CD5.pdf")</f>
        <v>Melting_Curves/meltCurve_Q86YS7_C2CD5.pdf</v>
      </c>
    </row>
    <row r="3977" spans="1:28" x14ac:dyDescent="0.25">
      <c r="A3977" t="s">
        <v>3981</v>
      </c>
      <c r="B3977">
        <v>0.99352677808782597</v>
      </c>
      <c r="C3977">
        <v>0.95817507161565496</v>
      </c>
      <c r="D3977">
        <v>0.92035634033396096</v>
      </c>
      <c r="E3977">
        <v>0.77671366781927098</v>
      </c>
      <c r="F3977">
        <v>0.69249763107877904</v>
      </c>
      <c r="G3977">
        <v>0.59266376628925499</v>
      </c>
      <c r="H3977">
        <v>0.56240787160327899</v>
      </c>
      <c r="I3977">
        <v>0.56079761065392097</v>
      </c>
      <c r="J3977">
        <v>0.63392480793411199</v>
      </c>
      <c r="K3977">
        <v>0.52628743806379497</v>
      </c>
      <c r="L3977">
        <v>840.47669360580005</v>
      </c>
      <c r="M3977">
        <v>16.825903226943101</v>
      </c>
      <c r="O3977">
        <v>49.261788059473297</v>
      </c>
      <c r="P3977">
        <v>-3.7626518877192199E-2</v>
      </c>
      <c r="Q3977">
        <v>0.55938642972028496</v>
      </c>
      <c r="R3977">
        <v>0.97538507370168204</v>
      </c>
      <c r="S3977" t="s">
        <v>10262</v>
      </c>
      <c r="T3977" t="s">
        <v>12568</v>
      </c>
      <c r="U3977" t="s">
        <v>12568</v>
      </c>
      <c r="V3977" t="s">
        <v>12568</v>
      </c>
      <c r="W3977" t="s">
        <v>16501</v>
      </c>
      <c r="X3977">
        <v>22</v>
      </c>
      <c r="Y3977" t="s">
        <v>22615</v>
      </c>
      <c r="Z3977" t="s">
        <v>28847</v>
      </c>
      <c r="AA3977">
        <v>0.71408049542866747</v>
      </c>
      <c r="AB3977" t="str">
        <f>HYPERLINK("Melting_Curves/meltCurve_Q86YV5_SGK223.pdf", "Melting_Curves/meltCurve_Q86YV5_SGK223.pdf")</f>
        <v>Melting_Curves/meltCurve_Q86YV5_SGK223.pdf</v>
      </c>
    </row>
    <row r="3978" spans="1:28" x14ac:dyDescent="0.25">
      <c r="A3978" t="s">
        <v>3982</v>
      </c>
      <c r="B3978">
        <v>0.99352677808782597</v>
      </c>
      <c r="C3978">
        <v>0.87814487783920703</v>
      </c>
      <c r="D3978">
        <v>0.73072970538767901</v>
      </c>
      <c r="E3978">
        <v>0.35847320645328201</v>
      </c>
      <c r="F3978">
        <v>0.30952733732693799</v>
      </c>
      <c r="G3978">
        <v>0.182120711012558</v>
      </c>
      <c r="H3978">
        <v>0.13139711731498199</v>
      </c>
      <c r="I3978">
        <v>0.12095732763421101</v>
      </c>
      <c r="J3978">
        <v>9.4810425870937104E-2</v>
      </c>
      <c r="K3978">
        <v>5.71324154165333E-2</v>
      </c>
      <c r="L3978">
        <v>757.24967803874904</v>
      </c>
      <c r="M3978">
        <v>15.714435956734199</v>
      </c>
      <c r="N3978">
        <v>48.800191569204102</v>
      </c>
      <c r="O3978">
        <v>47.428015022639698</v>
      </c>
      <c r="P3978">
        <v>-7.5430980976420398E-2</v>
      </c>
      <c r="Q3978">
        <v>8.9437904703678295E-2</v>
      </c>
      <c r="R3978">
        <v>0.99176108949449104</v>
      </c>
      <c r="S3978" t="s">
        <v>10263</v>
      </c>
      <c r="T3978" t="s">
        <v>12568</v>
      </c>
      <c r="U3978" t="s">
        <v>12568</v>
      </c>
      <c r="V3978" t="s">
        <v>12568</v>
      </c>
      <c r="W3978" t="s">
        <v>16502</v>
      </c>
      <c r="X3978">
        <v>3</v>
      </c>
      <c r="Y3978" t="s">
        <v>22616</v>
      </c>
      <c r="Z3978" t="s">
        <v>28848</v>
      </c>
      <c r="AA3978">
        <v>0.3591515912438582</v>
      </c>
      <c r="AB3978" t="str">
        <f>HYPERLINK("Melting_Curves/meltCurve_Q86YV9_HPS6.pdf", "Melting_Curves/meltCurve_Q86YV9_HPS6.pdf")</f>
        <v>Melting_Curves/meltCurve_Q86YV9_HPS6.pdf</v>
      </c>
    </row>
    <row r="3979" spans="1:28" x14ac:dyDescent="0.25">
      <c r="A3979" t="s">
        <v>3983</v>
      </c>
      <c r="B3979">
        <v>0.99352677808782597</v>
      </c>
      <c r="C3979">
        <v>0.59418732726410795</v>
      </c>
      <c r="D3979">
        <v>0.25503155755601298</v>
      </c>
      <c r="E3979">
        <v>0.81775563220200598</v>
      </c>
      <c r="F3979">
        <v>3.3692452598839999</v>
      </c>
      <c r="G3979">
        <v>1.28861424157931</v>
      </c>
      <c r="H3979">
        <v>1.33272174320972</v>
      </c>
      <c r="I3979">
        <v>2.0124878380324298</v>
      </c>
      <c r="J3979">
        <v>1.8562612892888899</v>
      </c>
      <c r="K3979">
        <v>2.8747262443719399</v>
      </c>
      <c r="L3979">
        <v>12805.0076834589</v>
      </c>
      <c r="M3979">
        <v>250</v>
      </c>
      <c r="O3979">
        <v>51.216765684679402</v>
      </c>
      <c r="P3979">
        <v>0.61015191673328095</v>
      </c>
      <c r="Q3979">
        <v>1.5</v>
      </c>
      <c r="R3979">
        <v>0.26034880776226499</v>
      </c>
      <c r="S3979" t="s">
        <v>10264</v>
      </c>
      <c r="T3979" t="s">
        <v>12568</v>
      </c>
      <c r="U3979" t="s">
        <v>12568</v>
      </c>
      <c r="V3979" t="s">
        <v>12568</v>
      </c>
      <c r="W3979" t="s">
        <v>16503</v>
      </c>
      <c r="X3979">
        <v>1</v>
      </c>
      <c r="Y3979" t="s">
        <v>22617</v>
      </c>
      <c r="Z3979" t="s">
        <v>28849</v>
      </c>
      <c r="AA3979">
        <v>1.3129545425910181</v>
      </c>
      <c r="AB3979" t="str">
        <f>HYPERLINK("Melting_Curves/meltCurve_Q86YZ3_HRNR.pdf", "Melting_Curves/meltCurve_Q86YZ3_HRNR.pdf")</f>
        <v>Melting_Curves/meltCurve_Q86YZ3_HRNR.pdf</v>
      </c>
    </row>
    <row r="3980" spans="1:28" x14ac:dyDescent="0.25">
      <c r="A3980" t="s">
        <v>3984</v>
      </c>
      <c r="B3980">
        <v>0.99352677808782597</v>
      </c>
      <c r="C3980">
        <v>0.96775055390545595</v>
      </c>
      <c r="D3980">
        <v>0.90626570291918995</v>
      </c>
      <c r="E3980">
        <v>0.66209352407291999</v>
      </c>
      <c r="F3980">
        <v>0.57763228810871103</v>
      </c>
      <c r="G3980">
        <v>0.49655770650502801</v>
      </c>
      <c r="H3980">
        <v>0.41776659771288599</v>
      </c>
      <c r="I3980">
        <v>0.40807724844441301</v>
      </c>
      <c r="J3980">
        <v>0.41297985052537101</v>
      </c>
      <c r="K3980">
        <v>0.34406610645649899</v>
      </c>
      <c r="L3980">
        <v>769.54857960675997</v>
      </c>
      <c r="M3980">
        <v>15.3135127249256</v>
      </c>
      <c r="N3980">
        <v>55.3900247921353</v>
      </c>
      <c r="O3980">
        <v>49.419337450510298</v>
      </c>
      <c r="P3980">
        <v>-4.8098278600848698E-2</v>
      </c>
      <c r="Q3980">
        <v>0.379172301910222</v>
      </c>
      <c r="R3980">
        <v>0.98988506627233597</v>
      </c>
      <c r="S3980" t="s">
        <v>10265</v>
      </c>
      <c r="T3980" t="s">
        <v>12568</v>
      </c>
      <c r="U3980" t="s">
        <v>12568</v>
      </c>
      <c r="V3980" t="s">
        <v>12568</v>
      </c>
      <c r="W3980" t="s">
        <v>16504</v>
      </c>
      <c r="X3980">
        <v>19</v>
      </c>
      <c r="Y3980" t="s">
        <v>22618</v>
      </c>
      <c r="Z3980" t="s">
        <v>28850</v>
      </c>
      <c r="AA3980">
        <v>0.6055115660417274</v>
      </c>
      <c r="AB3980" t="str">
        <f>HYPERLINK("Melting_Curves/meltCurve_Q8IU81_IRF2BP1.pdf", "Melting_Curves/meltCurve_Q8IU81_IRF2BP1.pdf")</f>
        <v>Melting_Curves/meltCurve_Q8IU81_IRF2BP1.pdf</v>
      </c>
    </row>
    <row r="3981" spans="1:28" x14ac:dyDescent="0.25">
      <c r="A3981" t="s">
        <v>3985</v>
      </c>
      <c r="B3981">
        <v>0.99352677808782597</v>
      </c>
      <c r="C3981">
        <v>0.99300920155688599</v>
      </c>
      <c r="D3981">
        <v>0.94292114169247299</v>
      </c>
      <c r="E3981">
        <v>0.63725335852071596</v>
      </c>
      <c r="F3981">
        <v>0.53258386594611296</v>
      </c>
      <c r="G3981">
        <v>0.38094693560736897</v>
      </c>
      <c r="H3981">
        <v>0.272355984574636</v>
      </c>
      <c r="I3981">
        <v>0.22110142688867801</v>
      </c>
      <c r="J3981">
        <v>0.189922850999416</v>
      </c>
      <c r="K3981">
        <v>0.110392055513404</v>
      </c>
      <c r="L3981">
        <v>691.12598658005402</v>
      </c>
      <c r="M3981">
        <v>13.1620114048859</v>
      </c>
      <c r="N3981">
        <v>53.733156794059802</v>
      </c>
      <c r="O3981">
        <v>51.341411917175499</v>
      </c>
      <c r="P3981">
        <v>-5.5798663403604898E-2</v>
      </c>
      <c r="Q3981">
        <v>0.12952508881439101</v>
      </c>
      <c r="R3981">
        <v>0.98762949925946797</v>
      </c>
      <c r="S3981" t="s">
        <v>10266</v>
      </c>
      <c r="T3981" t="s">
        <v>12568</v>
      </c>
      <c r="U3981" t="s">
        <v>12568</v>
      </c>
      <c r="V3981" t="s">
        <v>12568</v>
      </c>
      <c r="W3981" t="s">
        <v>16505</v>
      </c>
      <c r="X3981">
        <v>13</v>
      </c>
      <c r="Y3981" t="s">
        <v>22619</v>
      </c>
      <c r="Z3981" t="s">
        <v>28851</v>
      </c>
      <c r="AA3981">
        <v>0.51538439423351934</v>
      </c>
      <c r="AB3981" t="str">
        <f>HYPERLINK("Melting_Curves/meltCurve_Q8IU85_2_CAMK1D.pdf", "Melting_Curves/meltCurve_Q8IU85_2_CAMK1D.pdf")</f>
        <v>Melting_Curves/meltCurve_Q8IU85_2_CAMK1D.pdf</v>
      </c>
    </row>
    <row r="3982" spans="1:28" x14ac:dyDescent="0.25">
      <c r="A3982" t="s">
        <v>3986</v>
      </c>
      <c r="B3982">
        <v>0.99352677808782597</v>
      </c>
      <c r="C3982">
        <v>0.84385616497670302</v>
      </c>
      <c r="D3982">
        <v>0.78963621983189303</v>
      </c>
      <c r="E3982">
        <v>0.46755147340155301</v>
      </c>
      <c r="F3982">
        <v>0.36422852321580201</v>
      </c>
      <c r="G3982">
        <v>0.176283065642513</v>
      </c>
      <c r="H3982">
        <v>0.13758065872948699</v>
      </c>
      <c r="I3982">
        <v>0.156181171502351</v>
      </c>
      <c r="J3982">
        <v>0.11802523998004399</v>
      </c>
      <c r="K3982">
        <v>7.2860554082125398E-2</v>
      </c>
      <c r="L3982">
        <v>680.69331020349205</v>
      </c>
      <c r="M3982">
        <v>13.816481436815399</v>
      </c>
      <c r="N3982">
        <v>49.929861352186002</v>
      </c>
      <c r="O3982">
        <v>48.269092884718901</v>
      </c>
      <c r="P3982">
        <v>-6.5570644807889295E-2</v>
      </c>
      <c r="Q3982">
        <v>8.3820396265358102E-2</v>
      </c>
      <c r="R3982">
        <v>0.99092097149298397</v>
      </c>
      <c r="S3982" t="s">
        <v>10267</v>
      </c>
      <c r="T3982" t="s">
        <v>12568</v>
      </c>
      <c r="U3982" t="s">
        <v>12568</v>
      </c>
      <c r="V3982" t="s">
        <v>12568</v>
      </c>
      <c r="W3982" t="s">
        <v>16506</v>
      </c>
      <c r="X3982">
        <v>15</v>
      </c>
      <c r="Y3982" t="s">
        <v>22620</v>
      </c>
      <c r="Z3982" t="s">
        <v>28852</v>
      </c>
      <c r="AA3982">
        <v>0.39282522473289661</v>
      </c>
      <c r="AB3982" t="str">
        <f>HYPERLINK("Melting_Curves/meltCurve_Q8IUC4_RHPN2.pdf", "Melting_Curves/meltCurve_Q8IUC4_RHPN2.pdf")</f>
        <v>Melting_Curves/meltCurve_Q8IUC4_RHPN2.pdf</v>
      </c>
    </row>
    <row r="3983" spans="1:28" x14ac:dyDescent="0.25">
      <c r="A3983" t="s">
        <v>3987</v>
      </c>
      <c r="B3983">
        <v>0.99352677808782597</v>
      </c>
      <c r="C3983">
        <v>0.97950103684105105</v>
      </c>
      <c r="D3983">
        <v>0.92824180608887896</v>
      </c>
      <c r="E3983">
        <v>0.75671904242546695</v>
      </c>
      <c r="F3983">
        <v>0.662752310732174</v>
      </c>
      <c r="G3983">
        <v>0.46995856628737998</v>
      </c>
      <c r="H3983">
        <v>0.39877000988568501</v>
      </c>
      <c r="I3983">
        <v>0.37775129809964098</v>
      </c>
      <c r="J3983">
        <v>0.43364040303415302</v>
      </c>
      <c r="K3983">
        <v>0.34856204631341697</v>
      </c>
      <c r="L3983">
        <v>827.77627943743505</v>
      </c>
      <c r="M3983">
        <v>15.937140165784299</v>
      </c>
      <c r="N3983">
        <v>56.490914847252498</v>
      </c>
      <c r="O3983">
        <v>51.142939878513801</v>
      </c>
      <c r="P3983">
        <v>-4.9744744351513E-2</v>
      </c>
      <c r="Q3983">
        <v>0.36151912416025</v>
      </c>
      <c r="R3983">
        <v>0.99071841077192002</v>
      </c>
      <c r="S3983" t="s">
        <v>10268</v>
      </c>
      <c r="T3983" t="s">
        <v>12568</v>
      </c>
      <c r="U3983" t="s">
        <v>12568</v>
      </c>
      <c r="V3983" t="s">
        <v>12568</v>
      </c>
      <c r="W3983" t="s">
        <v>16507</v>
      </c>
      <c r="X3983">
        <v>40</v>
      </c>
      <c r="Y3983" t="s">
        <v>22621</v>
      </c>
      <c r="Z3983" t="s">
        <v>28853</v>
      </c>
      <c r="AA3983">
        <v>0.62864429660813648</v>
      </c>
      <c r="AB3983" t="str">
        <f>HYPERLINK("Melting_Curves/meltCurve_Q8IUD2_ERC1.pdf", "Melting_Curves/meltCurve_Q8IUD2_ERC1.pdf")</f>
        <v>Melting_Curves/meltCurve_Q8IUD2_ERC1.pdf</v>
      </c>
    </row>
    <row r="3984" spans="1:28" x14ac:dyDescent="0.25">
      <c r="A3984" t="s">
        <v>3988</v>
      </c>
      <c r="B3984">
        <v>0.99352677808782597</v>
      </c>
      <c r="C3984">
        <v>0.89513842269917199</v>
      </c>
      <c r="D3984">
        <v>0.80628696912277098</v>
      </c>
      <c r="E3984">
        <v>0.245400600749447</v>
      </c>
      <c r="F3984">
        <v>0.185695056716316</v>
      </c>
      <c r="G3984">
        <v>0.11280915680105499</v>
      </c>
      <c r="H3984">
        <v>8.2565178517915602E-2</v>
      </c>
      <c r="I3984">
        <v>7.8759125316925693E-2</v>
      </c>
      <c r="J3984">
        <v>4.5292918723732402E-2</v>
      </c>
      <c r="K3984">
        <v>2.5342653494777601E-2</v>
      </c>
      <c r="L3984">
        <v>1277.91108888695</v>
      </c>
      <c r="M3984">
        <v>26.6985809400935</v>
      </c>
      <c r="N3984">
        <v>48.1323532797757</v>
      </c>
      <c r="O3984">
        <v>47.598272221367999</v>
      </c>
      <c r="P3984">
        <v>-0.130545877923882</v>
      </c>
      <c r="Q3984">
        <v>6.9060020930995697E-2</v>
      </c>
      <c r="R3984">
        <v>0.98921751649943701</v>
      </c>
      <c r="S3984" t="s">
        <v>10269</v>
      </c>
      <c r="T3984" t="s">
        <v>12568</v>
      </c>
      <c r="U3984" t="s">
        <v>12568</v>
      </c>
      <c r="V3984" t="s">
        <v>12568</v>
      </c>
      <c r="W3984" t="s">
        <v>16508</v>
      </c>
      <c r="X3984">
        <v>1</v>
      </c>
      <c r="Y3984" t="s">
        <v>22622</v>
      </c>
      <c r="Z3984" t="s">
        <v>28854</v>
      </c>
      <c r="AA3984">
        <v>0.32025941774573552</v>
      </c>
      <c r="AB3984" t="str">
        <f>HYPERLINK("Melting_Curves/meltCurve_Q8IUD6_RNF135.pdf", "Melting_Curves/meltCurve_Q8IUD6_RNF135.pdf")</f>
        <v>Melting_Curves/meltCurve_Q8IUD6_RNF135.pdf</v>
      </c>
    </row>
    <row r="3985" spans="1:28" x14ac:dyDescent="0.25">
      <c r="A3985" t="s">
        <v>3989</v>
      </c>
      <c r="B3985">
        <v>0.99352677808782597</v>
      </c>
      <c r="C3985">
        <v>0.95710443927161404</v>
      </c>
      <c r="D3985">
        <v>0.93022045371708095</v>
      </c>
      <c r="E3985">
        <v>0.325642303514455</v>
      </c>
      <c r="F3985">
        <v>0.24163143456233599</v>
      </c>
      <c r="G3985">
        <v>0.14958425360257899</v>
      </c>
      <c r="H3985">
        <v>0.10768207485069101</v>
      </c>
      <c r="I3985">
        <v>0.104450267014181</v>
      </c>
      <c r="J3985">
        <v>9.1503884923827702E-2</v>
      </c>
      <c r="K3985">
        <v>7.7496950244740404E-2</v>
      </c>
      <c r="L3985">
        <v>1717.0695909634801</v>
      </c>
      <c r="M3985">
        <v>35.2966695793287</v>
      </c>
      <c r="N3985">
        <v>49.011909967571199</v>
      </c>
      <c r="O3985">
        <v>48.491430711154699</v>
      </c>
      <c r="P3985">
        <v>-0.160936394864268</v>
      </c>
      <c r="Q3985">
        <v>0.115609544013274</v>
      </c>
      <c r="R3985">
        <v>0.99071763468530805</v>
      </c>
      <c r="S3985" t="s">
        <v>10270</v>
      </c>
      <c r="T3985" t="s">
        <v>12568</v>
      </c>
      <c r="U3985" t="s">
        <v>12568</v>
      </c>
      <c r="V3985" t="s">
        <v>12568</v>
      </c>
      <c r="W3985" t="s">
        <v>16509</v>
      </c>
      <c r="X3985">
        <v>5</v>
      </c>
      <c r="Y3985" t="s">
        <v>22623</v>
      </c>
      <c r="Z3985" t="s">
        <v>28855</v>
      </c>
      <c r="AA3985">
        <v>0.3743549501233237</v>
      </c>
      <c r="AB3985" t="str">
        <f>HYPERLINK("Melting_Curves/meltCurve_Q8IUF8_4_MINA.pdf", "Melting_Curves/meltCurve_Q8IUF8_4_MINA.pdf")</f>
        <v>Melting_Curves/meltCurve_Q8IUF8_4_MINA.pdf</v>
      </c>
    </row>
    <row r="3986" spans="1:28" x14ac:dyDescent="0.25">
      <c r="A3986" t="s">
        <v>3990</v>
      </c>
      <c r="B3986">
        <v>0.99352677808782597</v>
      </c>
      <c r="C3986">
        <v>0.96448367369922905</v>
      </c>
      <c r="D3986">
        <v>0.972687894879816</v>
      </c>
      <c r="E3986">
        <v>0.33093258817740501</v>
      </c>
      <c r="F3986">
        <v>0.26140138928471901</v>
      </c>
      <c r="G3986">
        <v>0.15257342858016201</v>
      </c>
      <c r="H3986">
        <v>0.109408448275403</v>
      </c>
      <c r="I3986">
        <v>9.6211562720055405E-2</v>
      </c>
      <c r="J3986">
        <v>9.0192699645355506E-2</v>
      </c>
      <c r="K3986">
        <v>6.8585134981993701E-2</v>
      </c>
      <c r="L3986">
        <v>1944.53090609369</v>
      </c>
      <c r="M3986">
        <v>39.824550752641201</v>
      </c>
      <c r="N3986">
        <v>49.161371039809403</v>
      </c>
      <c r="O3986">
        <v>48.704789959613201</v>
      </c>
      <c r="P3986">
        <v>-0.18019329703422499</v>
      </c>
      <c r="Q3986">
        <v>0.118507394847763</v>
      </c>
      <c r="R3986">
        <v>0.98613261479665504</v>
      </c>
      <c r="S3986" t="s">
        <v>10271</v>
      </c>
      <c r="T3986" t="s">
        <v>12568</v>
      </c>
      <c r="U3986" t="s">
        <v>12568</v>
      </c>
      <c r="V3986" t="s">
        <v>12568</v>
      </c>
      <c r="W3986" t="s">
        <v>16510</v>
      </c>
      <c r="X3986">
        <v>9</v>
      </c>
      <c r="Y3986" t="s">
        <v>22624</v>
      </c>
      <c r="Z3986" t="s">
        <v>28856</v>
      </c>
      <c r="AA3986">
        <v>0.38089042848901461</v>
      </c>
      <c r="AB3986" t="str">
        <f>HYPERLINK("Melting_Curves/meltCurve_Q8IUI8_CRLF3.pdf", "Melting_Curves/meltCurve_Q8IUI8_CRLF3.pdf")</f>
        <v>Melting_Curves/meltCurve_Q8IUI8_CRLF3.pdf</v>
      </c>
    </row>
    <row r="3987" spans="1:28" x14ac:dyDescent="0.25">
      <c r="A3987" t="s">
        <v>3991</v>
      </c>
      <c r="B3987">
        <v>0.99352677808782597</v>
      </c>
      <c r="C3987">
        <v>0.93888203230246503</v>
      </c>
      <c r="D3987">
        <v>0.96625983435271601</v>
      </c>
      <c r="E3987">
        <v>1.00099160195137</v>
      </c>
      <c r="F3987">
        <v>0.97909762974470205</v>
      </c>
      <c r="G3987">
        <v>0.83833538421505605</v>
      </c>
      <c r="H3987">
        <v>0.51938298075549205</v>
      </c>
      <c r="I3987">
        <v>0.36184479495013</v>
      </c>
      <c r="J3987">
        <v>0.18825647584419899</v>
      </c>
      <c r="K3987">
        <v>0.157981689654039</v>
      </c>
      <c r="L3987">
        <v>1341.6763368045499</v>
      </c>
      <c r="M3987">
        <v>22.056056745895301</v>
      </c>
      <c r="N3987">
        <v>61.494692351106899</v>
      </c>
      <c r="O3987">
        <v>60.336866285263199</v>
      </c>
      <c r="P3987">
        <v>-8.1700181567960398E-2</v>
      </c>
      <c r="Q3987">
        <v>0.106019064666743</v>
      </c>
      <c r="R3987">
        <v>0.99370544060254395</v>
      </c>
      <c r="S3987" t="s">
        <v>10272</v>
      </c>
      <c r="T3987" t="s">
        <v>12568</v>
      </c>
      <c r="U3987" t="s">
        <v>12568</v>
      </c>
      <c r="V3987" t="s">
        <v>12568</v>
      </c>
      <c r="W3987" t="s">
        <v>16511</v>
      </c>
      <c r="X3987">
        <v>4</v>
      </c>
      <c r="Y3987" t="s">
        <v>22625</v>
      </c>
      <c r="Z3987" t="s">
        <v>28857</v>
      </c>
      <c r="AA3987">
        <v>0.73274087727231396</v>
      </c>
      <c r="AB3987" t="str">
        <f>HYPERLINK("Melting_Curves/meltCurve_Q8IUQ4_SIAH1.pdf", "Melting_Curves/meltCurve_Q8IUQ4_SIAH1.pdf")</f>
        <v>Melting_Curves/meltCurve_Q8IUQ4_SIAH1.pdf</v>
      </c>
    </row>
    <row r="3988" spans="1:28" x14ac:dyDescent="0.25">
      <c r="A3988" t="s">
        <v>3992</v>
      </c>
      <c r="B3988">
        <v>0.99352677808782597</v>
      </c>
      <c r="C3988">
        <v>0.95591470343334894</v>
      </c>
      <c r="D3988">
        <v>0.79131635543360201</v>
      </c>
      <c r="E3988">
        <v>0.34523979084677098</v>
      </c>
      <c r="F3988">
        <v>0.246861617142452</v>
      </c>
      <c r="G3988">
        <v>0.129541087423857</v>
      </c>
      <c r="H3988">
        <v>7.3926843052811303E-2</v>
      </c>
      <c r="I3988">
        <v>5.9514342781273703E-2</v>
      </c>
      <c r="J3988">
        <v>4.8189635805445503E-2</v>
      </c>
      <c r="K3988">
        <v>4.15691460530326E-2</v>
      </c>
      <c r="L3988">
        <v>999.42102331752596</v>
      </c>
      <c r="M3988">
        <v>20.581747909975899</v>
      </c>
      <c r="N3988">
        <v>48.857808649462399</v>
      </c>
      <c r="O3988">
        <v>48.107172725368201</v>
      </c>
      <c r="P3988">
        <v>-0.100627688605813</v>
      </c>
      <c r="Q3988">
        <v>5.9210547894203498E-2</v>
      </c>
      <c r="R3988">
        <v>0.99536437020983604</v>
      </c>
      <c r="S3988" t="s">
        <v>10273</v>
      </c>
      <c r="T3988" t="s">
        <v>12568</v>
      </c>
      <c r="U3988" t="s">
        <v>12568</v>
      </c>
      <c r="V3988" t="s">
        <v>12568</v>
      </c>
      <c r="W3988" t="s">
        <v>16512</v>
      </c>
      <c r="X3988">
        <v>3</v>
      </c>
      <c r="Y3988" t="s">
        <v>22626</v>
      </c>
      <c r="Z3988" t="s">
        <v>28858</v>
      </c>
      <c r="AA3988">
        <v>0.34008513819670649</v>
      </c>
      <c r="AB3988" t="str">
        <f>HYPERLINK("Melting_Curves/meltCurve_Q8IUR0_TRAPPC5.pdf", "Melting_Curves/meltCurve_Q8IUR0_TRAPPC5.pdf")</f>
        <v>Melting_Curves/meltCurve_Q8IUR0_TRAPPC5.pdf</v>
      </c>
    </row>
    <row r="3989" spans="1:28" x14ac:dyDescent="0.25">
      <c r="A3989" t="s">
        <v>3993</v>
      </c>
      <c r="B3989">
        <v>0.99352677808782597</v>
      </c>
      <c r="C3989">
        <v>0.93218198476939995</v>
      </c>
      <c r="D3989">
        <v>0.728919592052091</v>
      </c>
      <c r="E3989">
        <v>1.3905773214429999</v>
      </c>
      <c r="F3989">
        <v>1.1670368340577899</v>
      </c>
      <c r="G3989">
        <v>0.514800566891361</v>
      </c>
      <c r="H3989">
        <v>0.22743472844526799</v>
      </c>
      <c r="I3989">
        <v>0.23409416767123001</v>
      </c>
      <c r="J3989">
        <v>0.10364700481509399</v>
      </c>
      <c r="K3989">
        <v>8.8215327228704302E-2</v>
      </c>
      <c r="L3989">
        <v>10003.472032428999</v>
      </c>
      <c r="M3989">
        <v>175.82197105962899</v>
      </c>
      <c r="N3989">
        <v>57.0237507935732</v>
      </c>
      <c r="O3989">
        <v>56.8881003497347</v>
      </c>
      <c r="P3989">
        <v>-0.64645416250948795</v>
      </c>
      <c r="Q3989">
        <v>0.163345768323503</v>
      </c>
      <c r="R3989">
        <v>0.86169850516077195</v>
      </c>
      <c r="S3989" t="s">
        <v>10274</v>
      </c>
      <c r="T3989" t="s">
        <v>12568</v>
      </c>
      <c r="U3989" t="s">
        <v>12568</v>
      </c>
      <c r="V3989" t="s">
        <v>12568</v>
      </c>
      <c r="W3989" t="s">
        <v>16513</v>
      </c>
      <c r="X3989">
        <v>5</v>
      </c>
      <c r="Y3989" t="s">
        <v>22627</v>
      </c>
      <c r="Z3989" t="s">
        <v>28859</v>
      </c>
      <c r="AA3989">
        <v>0.63470332799910845</v>
      </c>
      <c r="AB3989" t="str">
        <f>HYPERLINK("Melting_Curves/meltCurve_Q8IUR7_7_ARMC8.pdf", "Melting_Curves/meltCurve_Q8IUR7_7_ARMC8.pdf")</f>
        <v>Melting_Curves/meltCurve_Q8IUR7_7_ARMC8.pdf</v>
      </c>
    </row>
    <row r="3990" spans="1:28" x14ac:dyDescent="0.25">
      <c r="A3990" t="s">
        <v>3994</v>
      </c>
      <c r="B3990">
        <v>0.99352677808782597</v>
      </c>
      <c r="C3990">
        <v>0.991657909706955</v>
      </c>
      <c r="D3990">
        <v>1.0490486191831601</v>
      </c>
      <c r="E3990">
        <v>0.50971948338432005</v>
      </c>
      <c r="F3990">
        <v>0.39439144433997098</v>
      </c>
      <c r="G3990">
        <v>0.20567492647656099</v>
      </c>
      <c r="H3990">
        <v>0.14533438004451599</v>
      </c>
      <c r="I3990">
        <v>0.13166117564911201</v>
      </c>
      <c r="J3990">
        <v>0.125854470282623</v>
      </c>
      <c r="K3990">
        <v>8.9532971934190506E-2</v>
      </c>
      <c r="L3990">
        <v>1258.85533099655</v>
      </c>
      <c r="M3990">
        <v>25.002879697993201</v>
      </c>
      <c r="N3990">
        <v>50.969467415876402</v>
      </c>
      <c r="O3990">
        <v>50.029654830052202</v>
      </c>
      <c r="P3990">
        <v>-0.108535572703998</v>
      </c>
      <c r="Q3990">
        <v>0.13131223082041801</v>
      </c>
      <c r="R3990">
        <v>0.97796052707902104</v>
      </c>
      <c r="S3990" t="s">
        <v>10275</v>
      </c>
      <c r="T3990" t="s">
        <v>12568</v>
      </c>
      <c r="U3990" t="s">
        <v>12568</v>
      </c>
      <c r="V3990" t="s">
        <v>12568</v>
      </c>
      <c r="W3990" t="s">
        <v>16514</v>
      </c>
      <c r="X3990">
        <v>2</v>
      </c>
      <c r="Y3990" t="s">
        <v>22628</v>
      </c>
      <c r="Z3990" t="s">
        <v>28860</v>
      </c>
      <c r="AA3990">
        <v>0.43875414127954582</v>
      </c>
      <c r="AB3990" t="str">
        <f>HYPERLINK("Melting_Curves/meltCurve_Q8IUW1_ANKRD10.pdf", "Melting_Curves/meltCurve_Q8IUW1_ANKRD10.pdf")</f>
        <v>Melting_Curves/meltCurve_Q8IUW1_ANKRD10.pdf</v>
      </c>
    </row>
    <row r="3991" spans="1:28" x14ac:dyDescent="0.25">
      <c r="A3991" t="s">
        <v>3995</v>
      </c>
      <c r="B3991">
        <v>0.99352677808782597</v>
      </c>
      <c r="C3991">
        <v>0.88867306473903696</v>
      </c>
      <c r="D3991">
        <v>0.65220939105661302</v>
      </c>
      <c r="E3991">
        <v>0.52728735139226401</v>
      </c>
      <c r="F3991">
        <v>0.53493558995995705</v>
      </c>
      <c r="G3991">
        <v>0.47559483954912302</v>
      </c>
      <c r="H3991">
        <v>0.42761381794798298</v>
      </c>
      <c r="I3991">
        <v>0.36973498687933698</v>
      </c>
      <c r="J3991">
        <v>0.361768968081216</v>
      </c>
      <c r="K3991">
        <v>0.30664451083404598</v>
      </c>
      <c r="L3991">
        <v>588.31236411424902</v>
      </c>
      <c r="M3991">
        <v>12.5192536742165</v>
      </c>
      <c r="N3991">
        <v>52.253280808039797</v>
      </c>
      <c r="O3991">
        <v>45.841947889483301</v>
      </c>
      <c r="P3991">
        <v>-4.3825264340233802E-2</v>
      </c>
      <c r="Q3991">
        <v>0.35822886369913898</v>
      </c>
      <c r="R3991">
        <v>0.95350283608809205</v>
      </c>
      <c r="S3991" t="s">
        <v>10276</v>
      </c>
      <c r="T3991" t="s">
        <v>12568</v>
      </c>
      <c r="U3991" t="s">
        <v>12568</v>
      </c>
      <c r="V3991" t="s">
        <v>12568</v>
      </c>
      <c r="W3991" t="s">
        <v>16515</v>
      </c>
      <c r="X3991">
        <v>2</v>
      </c>
      <c r="Y3991" t="s">
        <v>22629</v>
      </c>
      <c r="Z3991" t="s">
        <v>28861</v>
      </c>
      <c r="AA3991">
        <v>0.53273773096123866</v>
      </c>
      <c r="AB3991" t="str">
        <f>HYPERLINK("Melting_Curves/meltCurve_Q8IUW3_SPATA2L.pdf", "Melting_Curves/meltCurve_Q8IUW3_SPATA2L.pdf")</f>
        <v>Melting_Curves/meltCurve_Q8IUW3_SPATA2L.pdf</v>
      </c>
    </row>
    <row r="3992" spans="1:28" x14ac:dyDescent="0.25">
      <c r="A3992" t="s">
        <v>3996</v>
      </c>
      <c r="B3992">
        <v>0.99352677808782597</v>
      </c>
      <c r="C3992">
        <v>0.98058778507785804</v>
      </c>
      <c r="D3992">
        <v>0.93234521597928599</v>
      </c>
      <c r="E3992">
        <v>0.52238636248562298</v>
      </c>
      <c r="F3992">
        <v>0.42832378802570098</v>
      </c>
      <c r="G3992">
        <v>0.26098463942153599</v>
      </c>
      <c r="H3992">
        <v>0.15383569255826701</v>
      </c>
      <c r="I3992">
        <v>0.142358515921132</v>
      </c>
      <c r="J3992">
        <v>0.12618736582853299</v>
      </c>
      <c r="K3992">
        <v>9.7657002926211295E-2</v>
      </c>
      <c r="L3992">
        <v>884.15366666495504</v>
      </c>
      <c r="M3992">
        <v>17.477097637021501</v>
      </c>
      <c r="N3992">
        <v>51.371299458196901</v>
      </c>
      <c r="O3992">
        <v>49.940887891656402</v>
      </c>
      <c r="P3992">
        <v>-7.7274428295727907E-2</v>
      </c>
      <c r="Q3992">
        <v>0.116800792946395</v>
      </c>
      <c r="R3992">
        <v>0.98861700865615199</v>
      </c>
      <c r="S3992" t="s">
        <v>10277</v>
      </c>
      <c r="T3992" t="s">
        <v>12568</v>
      </c>
      <c r="U3992" t="s">
        <v>12568</v>
      </c>
      <c r="V3992" t="s">
        <v>12568</v>
      </c>
      <c r="W3992" t="s">
        <v>16516</v>
      </c>
      <c r="X3992">
        <v>7</v>
      </c>
      <c r="Y3992" t="s">
        <v>22630</v>
      </c>
      <c r="Z3992" t="s">
        <v>28862</v>
      </c>
      <c r="AA3992">
        <v>0.44433182268320731</v>
      </c>
      <c r="AB3992" t="str">
        <f>HYPERLINK("Melting_Curves/meltCurve_Q8IV08_PLD3.pdf", "Melting_Curves/meltCurve_Q8IV08_PLD3.pdf")</f>
        <v>Melting_Curves/meltCurve_Q8IV08_PLD3.pdf</v>
      </c>
    </row>
    <row r="3993" spans="1:28" x14ac:dyDescent="0.25">
      <c r="A3993" t="s">
        <v>3997</v>
      </c>
      <c r="B3993">
        <v>0.99352677808782597</v>
      </c>
      <c r="C3993">
        <v>0.858885073365935</v>
      </c>
      <c r="D3993">
        <v>0.80045600430758201</v>
      </c>
      <c r="E3993">
        <v>0.59937208451519597</v>
      </c>
      <c r="F3993">
        <v>0.63996374935692102</v>
      </c>
      <c r="G3993">
        <v>0.43660143304807802</v>
      </c>
      <c r="H3993">
        <v>0.32687331309392198</v>
      </c>
      <c r="I3993">
        <v>0.22017369483200699</v>
      </c>
      <c r="J3993">
        <v>0.14449266294208299</v>
      </c>
      <c r="K3993">
        <v>9.7433378254187394E-2</v>
      </c>
      <c r="L3993">
        <v>441.09519390555897</v>
      </c>
      <c r="M3993">
        <v>8.0959194957173199</v>
      </c>
      <c r="N3993">
        <v>54.483643718135397</v>
      </c>
      <c r="O3993">
        <v>51.4615905077316</v>
      </c>
      <c r="P3993">
        <v>-3.9372455633903403E-2</v>
      </c>
      <c r="Q3993">
        <v>0</v>
      </c>
      <c r="R3993">
        <v>0.97603880500673901</v>
      </c>
      <c r="S3993" t="s">
        <v>10278</v>
      </c>
      <c r="T3993" t="s">
        <v>12568</v>
      </c>
      <c r="U3993" t="s">
        <v>12568</v>
      </c>
      <c r="V3993" t="s">
        <v>12568</v>
      </c>
      <c r="W3993" t="s">
        <v>16517</v>
      </c>
      <c r="X3993">
        <v>2</v>
      </c>
      <c r="Y3993" t="s">
        <v>22631</v>
      </c>
      <c r="Z3993" t="s">
        <v>28863</v>
      </c>
      <c r="AA3993">
        <v>0.51348130417482585</v>
      </c>
      <c r="AB3993" t="str">
        <f>HYPERLINK("Melting_Curves/meltCurve_Q8IV20_LACC1.pdf", "Melting_Curves/meltCurve_Q8IV20_LACC1.pdf")</f>
        <v>Melting_Curves/meltCurve_Q8IV20_LACC1.pdf</v>
      </c>
    </row>
    <row r="3994" spans="1:28" x14ac:dyDescent="0.25">
      <c r="A3994" t="s">
        <v>3998</v>
      </c>
      <c r="B3994">
        <v>0.99352677808782597</v>
      </c>
      <c r="C3994">
        <v>1.19118226957451</v>
      </c>
      <c r="D3994">
        <v>1.0766608173705601</v>
      </c>
      <c r="E3994">
        <v>0.39095433965989801</v>
      </c>
      <c r="F3994">
        <v>0.35559700923529303</v>
      </c>
      <c r="G3994">
        <v>0.146358816839565</v>
      </c>
      <c r="H3994">
        <v>0.178058695353915</v>
      </c>
      <c r="I3994">
        <v>0.100518570286682</v>
      </c>
      <c r="J3994">
        <v>9.4725340096512803E-2</v>
      </c>
      <c r="K3994">
        <v>7.3939361309441398E-2</v>
      </c>
      <c r="L3994">
        <v>2241.8537018463599</v>
      </c>
      <c r="M3994">
        <v>45.489173910350502</v>
      </c>
      <c r="N3994">
        <v>49.661937187613802</v>
      </c>
      <c r="O3994">
        <v>49.188274508015603</v>
      </c>
      <c r="P3994">
        <v>-0.19731604251915</v>
      </c>
      <c r="Q3994">
        <v>0.14655529099620801</v>
      </c>
      <c r="R3994">
        <v>0.948547777146733</v>
      </c>
      <c r="S3994" t="s">
        <v>10279</v>
      </c>
      <c r="T3994" t="s">
        <v>12568</v>
      </c>
      <c r="U3994" t="s">
        <v>12568</v>
      </c>
      <c r="V3994" t="s">
        <v>12568</v>
      </c>
      <c r="W3994" t="s">
        <v>16518</v>
      </c>
      <c r="X3994">
        <v>2</v>
      </c>
      <c r="Y3994" t="s">
        <v>22632</v>
      </c>
      <c r="Z3994" t="s">
        <v>28864</v>
      </c>
      <c r="AA3994">
        <v>0.41289081114608289</v>
      </c>
      <c r="AB3994" t="str">
        <f>HYPERLINK("Melting_Curves/meltCurve_Q8IV36_3_HID1.pdf", "Melting_Curves/meltCurve_Q8IV36_3_HID1.pdf")</f>
        <v>Melting_Curves/meltCurve_Q8IV36_3_HID1.pdf</v>
      </c>
    </row>
    <row r="3995" spans="1:28" x14ac:dyDescent="0.25">
      <c r="A3995" t="s">
        <v>3999</v>
      </c>
      <c r="B3995">
        <v>0.99352677808782597</v>
      </c>
      <c r="C3995">
        <v>0.45118869559917701</v>
      </c>
      <c r="D3995">
        <v>1.12909398008916</v>
      </c>
      <c r="E3995">
        <v>0.31032430969939101</v>
      </c>
      <c r="F3995">
        <v>0.23513888023667001</v>
      </c>
      <c r="G3995">
        <v>0.12831822921689001</v>
      </c>
      <c r="H3995">
        <v>7.0309222650546704E-2</v>
      </c>
      <c r="I3995">
        <v>6.3535155249136804E-2</v>
      </c>
      <c r="J3995">
        <v>5.3400479301161201E-2</v>
      </c>
      <c r="K3995">
        <v>4.5557926565035503E-2</v>
      </c>
      <c r="L3995">
        <v>4486.9625627789701</v>
      </c>
      <c r="M3995">
        <v>90.9063737634538</v>
      </c>
      <c r="N3995">
        <v>49.477830016264598</v>
      </c>
      <c r="O3995">
        <v>49.334213584857899</v>
      </c>
      <c r="P3995">
        <v>-0.41516683166156898</v>
      </c>
      <c r="Q3995">
        <v>9.8768646004367106E-2</v>
      </c>
      <c r="R3995">
        <v>0.76036935676283501</v>
      </c>
      <c r="S3995" t="s">
        <v>10280</v>
      </c>
      <c r="T3995" t="s">
        <v>12568</v>
      </c>
      <c r="U3995" t="s">
        <v>12568</v>
      </c>
      <c r="V3995" t="s">
        <v>12568</v>
      </c>
      <c r="W3995" t="s">
        <v>16519</v>
      </c>
      <c r="X3995">
        <v>8</v>
      </c>
      <c r="Y3995" t="s">
        <v>22633</v>
      </c>
      <c r="Z3995" t="s">
        <v>28865</v>
      </c>
      <c r="AA3995">
        <v>0.38048592937749243</v>
      </c>
      <c r="AB3995" t="str">
        <f>HYPERLINK("Melting_Curves/meltCurve_Q8IV38_ANKMY2.pdf", "Melting_Curves/meltCurve_Q8IV38_ANKMY2.pdf")</f>
        <v>Melting_Curves/meltCurve_Q8IV38_ANKMY2.pdf</v>
      </c>
    </row>
    <row r="3996" spans="1:28" x14ac:dyDescent="0.25">
      <c r="A3996" t="s">
        <v>4000</v>
      </c>
      <c r="B3996">
        <v>0.99352677808782597</v>
      </c>
      <c r="C3996">
        <v>0.60450816638079297</v>
      </c>
      <c r="D3996">
        <v>0.61856408037154498</v>
      </c>
      <c r="E3996">
        <v>0.33789808133341898</v>
      </c>
      <c r="F3996">
        <v>0.32201994781179799</v>
      </c>
      <c r="G3996">
        <v>0.20617751849799801</v>
      </c>
      <c r="H3996">
        <v>0.145306150684197</v>
      </c>
      <c r="I3996">
        <v>0.188844027381706</v>
      </c>
      <c r="J3996">
        <v>0.136705080438277</v>
      </c>
      <c r="K3996">
        <v>0.100962920146892</v>
      </c>
      <c r="L3996">
        <v>535.40887636822004</v>
      </c>
      <c r="M3996">
        <v>11.612259400536001</v>
      </c>
      <c r="N3996">
        <v>47.195577684373298</v>
      </c>
      <c r="O3996">
        <v>44.803501318126401</v>
      </c>
      <c r="P3996">
        <v>-5.7200002606411997E-2</v>
      </c>
      <c r="Q3996">
        <v>0.117464412792165</v>
      </c>
      <c r="R3996">
        <v>0.94367821435561094</v>
      </c>
      <c r="S3996" t="s">
        <v>10281</v>
      </c>
      <c r="T3996" t="s">
        <v>12568</v>
      </c>
      <c r="U3996" t="s">
        <v>12568</v>
      </c>
      <c r="V3996" t="s">
        <v>12568</v>
      </c>
      <c r="W3996" t="s">
        <v>16520</v>
      </c>
      <c r="X3996">
        <v>3</v>
      </c>
      <c r="Y3996" t="s">
        <v>22634</v>
      </c>
      <c r="Z3996" t="s">
        <v>28866</v>
      </c>
      <c r="AA3996">
        <v>0.33939341007250817</v>
      </c>
      <c r="AB3996" t="str">
        <f>HYPERLINK("Melting_Curves/meltCurve_Q8IV48_ERI1.pdf", "Melting_Curves/meltCurve_Q8IV48_ERI1.pdf")</f>
        <v>Melting_Curves/meltCurve_Q8IV48_ERI1.pdf</v>
      </c>
    </row>
    <row r="3997" spans="1:28" x14ac:dyDescent="0.25">
      <c r="A3997" t="s">
        <v>4001</v>
      </c>
      <c r="B3997">
        <v>0.99352677808782597</v>
      </c>
      <c r="C3997">
        <v>1.05647298802853</v>
      </c>
      <c r="D3997">
        <v>1.02808748475847</v>
      </c>
      <c r="E3997">
        <v>0.94356499995028398</v>
      </c>
      <c r="F3997">
        <v>0.82722581002633999</v>
      </c>
      <c r="G3997">
        <v>0.773544157429222</v>
      </c>
      <c r="H3997">
        <v>0.678169195298296</v>
      </c>
      <c r="I3997">
        <v>0.72850402237698897</v>
      </c>
      <c r="J3997">
        <v>0.76329046974205195</v>
      </c>
      <c r="K3997">
        <v>0.61153836056704802</v>
      </c>
      <c r="L3997">
        <v>1231.02131539025</v>
      </c>
      <c r="M3997">
        <v>23.2079472032677</v>
      </c>
      <c r="O3997">
        <v>52.653974125400602</v>
      </c>
      <c r="P3997">
        <v>-3.3762337085241997E-2</v>
      </c>
      <c r="Q3997">
        <v>0.69360683144551005</v>
      </c>
      <c r="R3997">
        <v>0.91194341100145504</v>
      </c>
      <c r="S3997" t="s">
        <v>10282</v>
      </c>
      <c r="T3997" t="s">
        <v>12568</v>
      </c>
      <c r="U3997" t="s">
        <v>12568</v>
      </c>
      <c r="V3997" t="s">
        <v>12568</v>
      </c>
      <c r="W3997" t="s">
        <v>16521</v>
      </c>
      <c r="X3997">
        <v>7</v>
      </c>
      <c r="Y3997" t="s">
        <v>22635</v>
      </c>
      <c r="Z3997" t="s">
        <v>28867</v>
      </c>
      <c r="AA3997">
        <v>0.83005587303420181</v>
      </c>
      <c r="AB3997" t="str">
        <f>HYPERLINK("Melting_Curves/meltCurve_Q8IV50_LYSMD2.pdf", "Melting_Curves/meltCurve_Q8IV50_LYSMD2.pdf")</f>
        <v>Melting_Curves/meltCurve_Q8IV50_LYSMD2.pdf</v>
      </c>
    </row>
    <row r="3998" spans="1:28" x14ac:dyDescent="0.25">
      <c r="A3998" t="s">
        <v>4002</v>
      </c>
      <c r="B3998">
        <v>0.99352677808782597</v>
      </c>
      <c r="C3998">
        <v>0.91877923210524004</v>
      </c>
      <c r="D3998">
        <v>1.0035678176005001</v>
      </c>
      <c r="E3998">
        <v>0.85487348424590803</v>
      </c>
      <c r="F3998">
        <v>0.75475879258504497</v>
      </c>
      <c r="G3998">
        <v>0.68100922846127399</v>
      </c>
      <c r="H3998">
        <v>0.60007504167570802</v>
      </c>
      <c r="I3998">
        <v>0.59742183276292105</v>
      </c>
      <c r="J3998">
        <v>0.64432463492026804</v>
      </c>
      <c r="K3998">
        <v>0.53438652721967195</v>
      </c>
      <c r="L3998">
        <v>802.66666230297301</v>
      </c>
      <c r="M3998">
        <v>15.326033265319699</v>
      </c>
      <c r="O3998">
        <v>51.505394760347301</v>
      </c>
      <c r="P3998">
        <v>-3.1817055947457699E-2</v>
      </c>
      <c r="Q3998">
        <v>0.57233607944957199</v>
      </c>
      <c r="R3998">
        <v>0.95178261873337999</v>
      </c>
      <c r="S3998" t="s">
        <v>10283</v>
      </c>
      <c r="T3998" t="s">
        <v>12568</v>
      </c>
      <c r="U3998" t="s">
        <v>12568</v>
      </c>
      <c r="V3998" t="s">
        <v>12568</v>
      </c>
      <c r="W3998" t="s">
        <v>16522</v>
      </c>
      <c r="X3998">
        <v>4</v>
      </c>
      <c r="Y3998" t="s">
        <v>22636</v>
      </c>
      <c r="Z3998" t="s">
        <v>28868</v>
      </c>
      <c r="AA3998">
        <v>0.75785169056967372</v>
      </c>
      <c r="AB3998" t="str">
        <f>HYPERLINK("Melting_Curves/meltCurve_Q8IV56_PRR15.pdf", "Melting_Curves/meltCurve_Q8IV56_PRR15.pdf")</f>
        <v>Melting_Curves/meltCurve_Q8IV56_PRR15.pdf</v>
      </c>
    </row>
    <row r="3999" spans="1:28" x14ac:dyDescent="0.25">
      <c r="A3999" t="s">
        <v>4003</v>
      </c>
      <c r="B3999">
        <v>0.99352677808782597</v>
      </c>
      <c r="C3999">
        <v>1.03287472915225</v>
      </c>
      <c r="D3999">
        <v>0.89449144093336996</v>
      </c>
      <c r="E3999">
        <v>0.466403188516892</v>
      </c>
      <c r="F3999">
        <v>0.31223308095471097</v>
      </c>
      <c r="G3999">
        <v>0.35322744899011799</v>
      </c>
      <c r="H3999">
        <v>0.141581255487327</v>
      </c>
      <c r="I3999">
        <v>9.4236980221556202E-2</v>
      </c>
      <c r="J3999">
        <v>7.7048326389055205E-2</v>
      </c>
      <c r="K3999">
        <v>4.7488338625019E-2</v>
      </c>
      <c r="L3999">
        <v>888.37514762235696</v>
      </c>
      <c r="M3999">
        <v>17.771907340729999</v>
      </c>
      <c r="N3999">
        <v>50.610616278639597</v>
      </c>
      <c r="O3999">
        <v>49.367575243143698</v>
      </c>
      <c r="P3999">
        <v>-8.1160132844493901E-2</v>
      </c>
      <c r="Q3999">
        <v>9.8246131301973599E-2</v>
      </c>
      <c r="R3999">
        <v>0.96531938359272795</v>
      </c>
      <c r="S3999" t="s">
        <v>10284</v>
      </c>
      <c r="T3999" t="s">
        <v>12568</v>
      </c>
      <c r="U3999" t="s">
        <v>12568</v>
      </c>
      <c r="V3999" t="s">
        <v>12568</v>
      </c>
      <c r="W3999" t="s">
        <v>16523</v>
      </c>
      <c r="X3999">
        <v>3</v>
      </c>
      <c r="Y3999" t="s">
        <v>22637</v>
      </c>
      <c r="Z3999" t="s">
        <v>28869</v>
      </c>
      <c r="AA3999">
        <v>0.41421537868393521</v>
      </c>
      <c r="AB3999" t="str">
        <f>HYPERLINK("Melting_Curves/meltCurve_Q8IV63_3_VRK3.pdf", "Melting_Curves/meltCurve_Q8IV63_3_VRK3.pdf")</f>
        <v>Melting_Curves/meltCurve_Q8IV63_3_VRK3.pdf</v>
      </c>
    </row>
    <row r="4000" spans="1:28" x14ac:dyDescent="0.25">
      <c r="A4000" t="s">
        <v>4004</v>
      </c>
      <c r="B4000">
        <v>0.99352677808782597</v>
      </c>
      <c r="C4000">
        <v>0.84985145598380896</v>
      </c>
      <c r="D4000">
        <v>0.68061981888989997</v>
      </c>
      <c r="E4000">
        <v>0.22932389887541399</v>
      </c>
      <c r="F4000">
        <v>0.20283511020745201</v>
      </c>
      <c r="G4000">
        <v>0.13606469772007901</v>
      </c>
      <c r="H4000">
        <v>0.12686896258100999</v>
      </c>
      <c r="I4000">
        <v>0.11594623745950799</v>
      </c>
      <c r="J4000">
        <v>0.108764094294517</v>
      </c>
      <c r="K4000">
        <v>8.5915984533400894E-2</v>
      </c>
      <c r="L4000">
        <v>1050.0047949084999</v>
      </c>
      <c r="M4000">
        <v>22.444881332407899</v>
      </c>
      <c r="N4000">
        <v>47.306134769063497</v>
      </c>
      <c r="O4000">
        <v>46.414879162129097</v>
      </c>
      <c r="P4000">
        <v>-0.107574854060771</v>
      </c>
      <c r="Q4000">
        <v>0.110181024533526</v>
      </c>
      <c r="R4000">
        <v>0.992052388278305</v>
      </c>
      <c r="S4000" t="s">
        <v>10285</v>
      </c>
      <c r="T4000" t="s">
        <v>12568</v>
      </c>
      <c r="U4000" t="s">
        <v>12568</v>
      </c>
      <c r="V4000" t="s">
        <v>12568</v>
      </c>
      <c r="W4000" t="s">
        <v>16524</v>
      </c>
      <c r="X4000">
        <v>2</v>
      </c>
      <c r="Y4000" t="s">
        <v>22638</v>
      </c>
      <c r="Z4000" t="s">
        <v>28870</v>
      </c>
      <c r="AA4000">
        <v>0.32148305702649738</v>
      </c>
      <c r="AB4000" t="str">
        <f>HYPERLINK("Melting_Curves/meltCurve_Q8IVB5_LIX1L.pdf", "Melting_Curves/meltCurve_Q8IVB5_LIX1L.pdf")</f>
        <v>Melting_Curves/meltCurve_Q8IVB5_LIX1L.pdf</v>
      </c>
    </row>
    <row r="4001" spans="1:28" x14ac:dyDescent="0.25">
      <c r="A4001" t="s">
        <v>4005</v>
      </c>
      <c r="B4001">
        <v>0.99352677808782597</v>
      </c>
      <c r="C4001">
        <v>0.98590772863516596</v>
      </c>
      <c r="D4001">
        <v>1.03644154235353</v>
      </c>
      <c r="E4001">
        <v>0.67568596776980205</v>
      </c>
      <c r="F4001">
        <v>0.59520838844173096</v>
      </c>
      <c r="G4001">
        <v>0.31762722696816897</v>
      </c>
      <c r="H4001">
        <v>0.17110652175589999</v>
      </c>
      <c r="I4001">
        <v>0.153476218676971</v>
      </c>
      <c r="J4001">
        <v>0.13040292599589301</v>
      </c>
      <c r="K4001">
        <v>9.2043582380243794E-2</v>
      </c>
      <c r="L4001">
        <v>887.66617507463695</v>
      </c>
      <c r="M4001">
        <v>16.7108795712318</v>
      </c>
      <c r="N4001">
        <v>53.774267023500201</v>
      </c>
      <c r="O4001">
        <v>52.375839548500998</v>
      </c>
      <c r="P4001">
        <v>-7.2421855083768902E-2</v>
      </c>
      <c r="Q4001">
        <v>9.2110863340214594E-2</v>
      </c>
      <c r="R4001">
        <v>0.98532645664629603</v>
      </c>
      <c r="S4001" t="s">
        <v>10286</v>
      </c>
      <c r="T4001" t="s">
        <v>12568</v>
      </c>
      <c r="U4001" t="s">
        <v>12568</v>
      </c>
      <c r="V4001" t="s">
        <v>12568</v>
      </c>
      <c r="W4001" t="s">
        <v>16525</v>
      </c>
      <c r="X4001">
        <v>13</v>
      </c>
      <c r="Y4001" t="s">
        <v>22639</v>
      </c>
      <c r="Z4001" t="s">
        <v>28871</v>
      </c>
      <c r="AA4001">
        <v>0.50577000244603143</v>
      </c>
      <c r="AB4001" t="str">
        <f>HYPERLINK("Melting_Curves/meltCurve_Q8IVD9_NUDCD3.pdf", "Melting_Curves/meltCurve_Q8IVD9_NUDCD3.pdf")</f>
        <v>Melting_Curves/meltCurve_Q8IVD9_NUDCD3.pdf</v>
      </c>
    </row>
    <row r="4002" spans="1:28" x14ac:dyDescent="0.25">
      <c r="A4002" t="s">
        <v>4006</v>
      </c>
      <c r="B4002">
        <v>0.99352677808782597</v>
      </c>
      <c r="C4002">
        <v>0.92911419764535597</v>
      </c>
      <c r="D4002">
        <v>0.83869009272877204</v>
      </c>
      <c r="E4002">
        <v>0.89164122493742703</v>
      </c>
      <c r="F4002">
        <v>0.90752672447356297</v>
      </c>
      <c r="G4002">
        <v>0.66923196351130498</v>
      </c>
      <c r="H4002">
        <v>0.73646737903311399</v>
      </c>
      <c r="I4002">
        <v>0.738375774837573</v>
      </c>
      <c r="J4002">
        <v>0.68664557712999297</v>
      </c>
      <c r="K4002">
        <v>0.68751136164341198</v>
      </c>
      <c r="L4002">
        <v>355.027807071751</v>
      </c>
      <c r="M4002">
        <v>6.57696906974369</v>
      </c>
      <c r="O4002">
        <v>49.643183015756101</v>
      </c>
      <c r="P4002">
        <v>-1.2942801899456E-2</v>
      </c>
      <c r="Q4002">
        <v>0.61013642507603305</v>
      </c>
      <c r="R4002">
        <v>0.79093906297485195</v>
      </c>
      <c r="S4002" t="s">
        <v>10287</v>
      </c>
      <c r="T4002" t="s">
        <v>12568</v>
      </c>
      <c r="U4002" t="s">
        <v>12568</v>
      </c>
      <c r="V4002" t="s">
        <v>12568</v>
      </c>
      <c r="W4002" t="s">
        <v>16526</v>
      </c>
      <c r="X4002">
        <v>1</v>
      </c>
      <c r="Y4002" t="s">
        <v>22640</v>
      </c>
      <c r="Z4002" t="s">
        <v>28872</v>
      </c>
      <c r="AA4002">
        <v>0.80605779454353166</v>
      </c>
      <c r="AB4002" t="str">
        <f>HYPERLINK("Melting_Curves/meltCurve_Q8IVE3_3_PLEKHH2.pdf", "Melting_Curves/meltCurve_Q8IVE3_3_PLEKHH2.pdf")</f>
        <v>Melting_Curves/meltCurve_Q8IVE3_3_PLEKHH2.pdf</v>
      </c>
    </row>
    <row r="4003" spans="1:28" x14ac:dyDescent="0.25">
      <c r="A4003" t="s">
        <v>4007</v>
      </c>
      <c r="B4003">
        <v>0.99352677808782597</v>
      </c>
      <c r="C4003">
        <v>1.0290368877788201</v>
      </c>
      <c r="D4003">
        <v>0.981658524428906</v>
      </c>
      <c r="E4003">
        <v>0.91435496571208097</v>
      </c>
      <c r="F4003">
        <v>0.81219863865983799</v>
      </c>
      <c r="G4003">
        <v>0.65257755347273905</v>
      </c>
      <c r="H4003">
        <v>0.778106251041219</v>
      </c>
      <c r="I4003">
        <v>0.77209648632167105</v>
      </c>
      <c r="J4003">
        <v>1.0352343012116401</v>
      </c>
      <c r="K4003">
        <v>0.70536225011359999</v>
      </c>
      <c r="L4003">
        <v>2641.6793249280199</v>
      </c>
      <c r="M4003">
        <v>52.454577622620697</v>
      </c>
      <c r="O4003">
        <v>50.2882489867415</v>
      </c>
      <c r="P4003">
        <v>-5.4750705122172998E-2</v>
      </c>
      <c r="Q4003">
        <v>0.79004200373918798</v>
      </c>
      <c r="R4003">
        <v>0.50546758983375895</v>
      </c>
      <c r="S4003" t="s">
        <v>10288</v>
      </c>
      <c r="T4003" t="s">
        <v>12568</v>
      </c>
      <c r="U4003" t="s">
        <v>12568</v>
      </c>
      <c r="V4003" t="s">
        <v>12568</v>
      </c>
      <c r="W4003" t="s">
        <v>16527</v>
      </c>
      <c r="X4003">
        <v>175</v>
      </c>
      <c r="Y4003" t="s">
        <v>22641</v>
      </c>
      <c r="Z4003" t="s">
        <v>28873</v>
      </c>
      <c r="AA4003">
        <v>0.86297997521932213</v>
      </c>
      <c r="AB4003" t="str">
        <f>HYPERLINK("Melting_Curves/meltCurve_Q8IVF2_3_AHNAK2.pdf", "Melting_Curves/meltCurve_Q8IVF2_3_AHNAK2.pdf")</f>
        <v>Melting_Curves/meltCurve_Q8IVF2_3_AHNAK2.pdf</v>
      </c>
    </row>
    <row r="4004" spans="1:28" x14ac:dyDescent="0.25">
      <c r="A4004" t="s">
        <v>4008</v>
      </c>
      <c r="B4004">
        <v>0.99352677808782597</v>
      </c>
      <c r="C4004">
        <v>0.59282263828945603</v>
      </c>
      <c r="D4004">
        <v>0.47341428123756102</v>
      </c>
      <c r="E4004">
        <v>0.51539878249012305</v>
      </c>
      <c r="F4004">
        <v>0.52672191344742503</v>
      </c>
      <c r="G4004">
        <v>0.52266130053466398</v>
      </c>
      <c r="H4004">
        <v>0.67196800600412898</v>
      </c>
      <c r="I4004">
        <v>0.37845409525757301</v>
      </c>
      <c r="J4004">
        <v>8.6300859067460406E-2</v>
      </c>
      <c r="K4004">
        <v>4.3651404674674599E-2</v>
      </c>
      <c r="L4004">
        <v>233.803616765112</v>
      </c>
      <c r="M4004">
        <v>4.4508970048004102</v>
      </c>
      <c r="N4004">
        <v>52.529549958320104</v>
      </c>
      <c r="O4004">
        <v>44.510516498991798</v>
      </c>
      <c r="P4004">
        <v>-2.5225897588136301E-2</v>
      </c>
      <c r="Q4004">
        <v>0</v>
      </c>
      <c r="R4004">
        <v>0.571226804053937</v>
      </c>
      <c r="S4004" t="s">
        <v>10289</v>
      </c>
      <c r="T4004" t="s">
        <v>12568</v>
      </c>
      <c r="U4004" t="s">
        <v>12568</v>
      </c>
      <c r="V4004" t="s">
        <v>12568</v>
      </c>
      <c r="W4004" t="s">
        <v>16528</v>
      </c>
      <c r="X4004">
        <v>1</v>
      </c>
      <c r="Y4004" t="s">
        <v>22642</v>
      </c>
      <c r="Z4004" t="s">
        <v>28874</v>
      </c>
      <c r="AA4004">
        <v>0.47770654171909771</v>
      </c>
      <c r="AB4004" t="str">
        <f>HYPERLINK("Melting_Curves/meltCurve_Q8IVF6_ANKRD18A.pdf", "Melting_Curves/meltCurve_Q8IVF6_ANKRD18A.pdf")</f>
        <v>Melting_Curves/meltCurve_Q8IVF6_ANKRD18A.pdf</v>
      </c>
    </row>
    <row r="4005" spans="1:28" x14ac:dyDescent="0.25">
      <c r="A4005" t="s">
        <v>4009</v>
      </c>
      <c r="B4005">
        <v>0.99352677808782597</v>
      </c>
      <c r="C4005">
        <v>0.865473489130687</v>
      </c>
      <c r="D4005">
        <v>0.77749047781594105</v>
      </c>
      <c r="E4005">
        <v>0.31725449889762403</v>
      </c>
      <c r="F4005">
        <v>0.23461354898370701</v>
      </c>
      <c r="G4005">
        <v>0.144948650703594</v>
      </c>
      <c r="H4005">
        <v>8.4130284725104199E-2</v>
      </c>
      <c r="I4005">
        <v>7.50463371419723E-2</v>
      </c>
      <c r="J4005">
        <v>5.39730187418321E-2</v>
      </c>
      <c r="K4005">
        <v>5.88006172576006E-2</v>
      </c>
      <c r="L4005">
        <v>910.33275905583798</v>
      </c>
      <c r="M4005">
        <v>18.922763498071699</v>
      </c>
      <c r="N4005">
        <v>48.477043644251097</v>
      </c>
      <c r="O4005">
        <v>47.5801975404096</v>
      </c>
      <c r="P4005">
        <v>-9.27564129477806E-2</v>
      </c>
      <c r="Q4005">
        <v>6.7115186779200503E-2</v>
      </c>
      <c r="R4005">
        <v>0.991206444449101</v>
      </c>
      <c r="S4005" t="s">
        <v>10290</v>
      </c>
      <c r="T4005" t="s">
        <v>12568</v>
      </c>
      <c r="U4005" t="s">
        <v>12568</v>
      </c>
      <c r="V4005" t="s">
        <v>12568</v>
      </c>
      <c r="W4005" t="s">
        <v>16529</v>
      </c>
      <c r="X4005">
        <v>6</v>
      </c>
      <c r="Y4005" t="s">
        <v>22643</v>
      </c>
      <c r="Z4005" t="s">
        <v>28875</v>
      </c>
      <c r="AA4005">
        <v>0.33410075705026843</v>
      </c>
      <c r="AB4005" t="str">
        <f>HYPERLINK("Melting_Curves/meltCurve_Q8IVH8_3_MAP4K3.pdf", "Melting_Curves/meltCurve_Q8IVH8_3_MAP4K3.pdf")</f>
        <v>Melting_Curves/meltCurve_Q8IVH8_3_MAP4K3.pdf</v>
      </c>
    </row>
    <row r="4006" spans="1:28" x14ac:dyDescent="0.25">
      <c r="A4006" t="s">
        <v>4010</v>
      </c>
      <c r="B4006">
        <v>0.99352677808782597</v>
      </c>
      <c r="C4006">
        <v>0.91421386265141003</v>
      </c>
      <c r="D4006">
        <v>0.99597305412894099</v>
      </c>
      <c r="E4006">
        <v>0.77098807766339605</v>
      </c>
      <c r="F4006">
        <v>0.72864201371465498</v>
      </c>
      <c r="G4006">
        <v>0.681032327770139</v>
      </c>
      <c r="H4006">
        <v>0.60561522868987505</v>
      </c>
      <c r="I4006">
        <v>0.66589199146298395</v>
      </c>
      <c r="J4006">
        <v>0.66229702924228895</v>
      </c>
      <c r="K4006">
        <v>0.55899963511086104</v>
      </c>
      <c r="L4006">
        <v>867.53865966233604</v>
      </c>
      <c r="M4006">
        <v>17.357998535289099</v>
      </c>
      <c r="O4006">
        <v>49.329988334390002</v>
      </c>
      <c r="P4006">
        <v>-3.3528642887627302E-2</v>
      </c>
      <c r="Q4006">
        <v>0.61887922242306204</v>
      </c>
      <c r="R4006">
        <v>0.91850259788945698</v>
      </c>
      <c r="S4006" t="s">
        <v>10291</v>
      </c>
      <c r="T4006" t="s">
        <v>12568</v>
      </c>
      <c r="U4006" t="s">
        <v>12568</v>
      </c>
      <c r="V4006" t="s">
        <v>12568</v>
      </c>
      <c r="W4006" t="s">
        <v>16530</v>
      </c>
      <c r="X4006">
        <v>10</v>
      </c>
      <c r="Y4006" t="s">
        <v>22644</v>
      </c>
      <c r="Z4006" t="s">
        <v>28876</v>
      </c>
      <c r="AA4006">
        <v>0.75261828598306224</v>
      </c>
      <c r="AB4006" t="str">
        <f>HYPERLINK("Melting_Curves/meltCurve_Q8IVL1_4_NAV2.pdf", "Melting_Curves/meltCurve_Q8IVL1_4_NAV2.pdf")</f>
        <v>Melting_Curves/meltCurve_Q8IVL1_4_NAV2.pdf</v>
      </c>
    </row>
    <row r="4007" spans="1:28" x14ac:dyDescent="0.25">
      <c r="A4007" t="s">
        <v>4011</v>
      </c>
      <c r="B4007">
        <v>0.99352677808782597</v>
      </c>
      <c r="C4007">
        <v>0.85062757075923501</v>
      </c>
      <c r="D4007">
        <v>0.696430633814067</v>
      </c>
      <c r="E4007">
        <v>0.408945399319051</v>
      </c>
      <c r="F4007">
        <v>0.37526630535123301</v>
      </c>
      <c r="G4007">
        <v>0.22662154583288699</v>
      </c>
      <c r="H4007">
        <v>0.13262693192087599</v>
      </c>
      <c r="I4007">
        <v>0.128123290466686</v>
      </c>
      <c r="J4007">
        <v>0.12995270132876099</v>
      </c>
      <c r="K4007">
        <v>0.110420763191237</v>
      </c>
      <c r="L4007">
        <v>630.63252160185198</v>
      </c>
      <c r="M4007">
        <v>13.0250043405177</v>
      </c>
      <c r="N4007">
        <v>49.254492137351399</v>
      </c>
      <c r="O4007">
        <v>47.318444978367701</v>
      </c>
      <c r="P4007">
        <v>-6.1991647022608398E-2</v>
      </c>
      <c r="Q4007">
        <v>9.9322367087901903E-2</v>
      </c>
      <c r="R4007">
        <v>0.99095094814712803</v>
      </c>
      <c r="S4007" t="s">
        <v>10292</v>
      </c>
      <c r="T4007" t="s">
        <v>12568</v>
      </c>
      <c r="U4007" t="s">
        <v>12568</v>
      </c>
      <c r="V4007" t="s">
        <v>12568</v>
      </c>
      <c r="W4007" t="s">
        <v>16531</v>
      </c>
      <c r="X4007">
        <v>3</v>
      </c>
      <c r="Y4007" t="s">
        <v>22645</v>
      </c>
      <c r="Z4007" t="s">
        <v>28877</v>
      </c>
      <c r="AA4007">
        <v>0.38168989521678032</v>
      </c>
      <c r="AB4007" t="str">
        <f>HYPERLINK("Melting_Curves/meltCurve_Q8IVL5_LEPREL1.pdf", "Melting_Curves/meltCurve_Q8IVL5_LEPREL1.pdf")</f>
        <v>Melting_Curves/meltCurve_Q8IVL5_LEPREL1.pdf</v>
      </c>
    </row>
    <row r="4008" spans="1:28" x14ac:dyDescent="0.25">
      <c r="A4008" t="s">
        <v>4012</v>
      </c>
      <c r="B4008">
        <v>0.99352677808782597</v>
      </c>
      <c r="C4008">
        <v>0.96934105164557005</v>
      </c>
      <c r="D4008">
        <v>0.97856751534545094</v>
      </c>
      <c r="E4008">
        <v>0.85137851361634498</v>
      </c>
      <c r="F4008">
        <v>0.82991192347183496</v>
      </c>
      <c r="G4008">
        <v>0.72463125568273301</v>
      </c>
      <c r="H4008">
        <v>0.68458169878141095</v>
      </c>
      <c r="I4008">
        <v>0.71769009683721596</v>
      </c>
      <c r="J4008">
        <v>0.733725467154143</v>
      </c>
      <c r="K4008">
        <v>0.61596296455407595</v>
      </c>
      <c r="L4008">
        <v>729.99682644156201</v>
      </c>
      <c r="M4008">
        <v>14.073246855621401</v>
      </c>
      <c r="O4008">
        <v>50.857587675831297</v>
      </c>
      <c r="P4008">
        <v>-2.3075642294046801E-2</v>
      </c>
      <c r="Q4008">
        <v>0.66648226231654895</v>
      </c>
      <c r="R4008">
        <v>0.94065257836928295</v>
      </c>
      <c r="S4008" t="s">
        <v>10293</v>
      </c>
      <c r="T4008" t="s">
        <v>12568</v>
      </c>
      <c r="U4008" t="s">
        <v>12568</v>
      </c>
      <c r="V4008" t="s">
        <v>12568</v>
      </c>
      <c r="W4008" t="s">
        <v>16532</v>
      </c>
      <c r="X4008">
        <v>19</v>
      </c>
      <c r="Y4008" t="s">
        <v>22646</v>
      </c>
      <c r="Z4008" t="s">
        <v>28878</v>
      </c>
      <c r="AA4008">
        <v>0.80670543246066007</v>
      </c>
      <c r="AB4008" t="str">
        <f>HYPERLINK("Melting_Curves/meltCurve_Q8IVM0_CCDC50.pdf", "Melting_Curves/meltCurve_Q8IVM0_CCDC50.pdf")</f>
        <v>Melting_Curves/meltCurve_Q8IVM0_CCDC50.pdf</v>
      </c>
    </row>
    <row r="4009" spans="1:28" x14ac:dyDescent="0.25">
      <c r="A4009" t="s">
        <v>4013</v>
      </c>
      <c r="B4009">
        <v>0.99352677808782597</v>
      </c>
      <c r="C4009">
        <v>1.0403978970696901</v>
      </c>
      <c r="D4009">
        <v>1.0057798102764099</v>
      </c>
      <c r="E4009">
        <v>0.81527240960268499</v>
      </c>
      <c r="F4009">
        <v>0.69158979293039502</v>
      </c>
      <c r="G4009">
        <v>0.55222940092815398</v>
      </c>
      <c r="H4009">
        <v>0.78779442543130596</v>
      </c>
      <c r="I4009">
        <v>0.86930615181047499</v>
      </c>
      <c r="J4009">
        <v>0.89611941794738104</v>
      </c>
      <c r="K4009">
        <v>0.46154632111206201</v>
      </c>
      <c r="L4009">
        <v>12471.9952852686</v>
      </c>
      <c r="M4009">
        <v>250</v>
      </c>
      <c r="O4009">
        <v>49.884789019193498</v>
      </c>
      <c r="P4009">
        <v>-0.36363259768119499</v>
      </c>
      <c r="Q4009">
        <v>0.70976423588602899</v>
      </c>
      <c r="R4009">
        <v>0.54276188979769202</v>
      </c>
      <c r="S4009" t="s">
        <v>10294</v>
      </c>
      <c r="T4009" t="s">
        <v>12568</v>
      </c>
      <c r="U4009" t="s">
        <v>12568</v>
      </c>
      <c r="V4009" t="s">
        <v>12568</v>
      </c>
      <c r="W4009" t="s">
        <v>16533</v>
      </c>
      <c r="X4009">
        <v>4</v>
      </c>
      <c r="Y4009" t="s">
        <v>22647</v>
      </c>
      <c r="Z4009" t="s">
        <v>28879</v>
      </c>
      <c r="AA4009">
        <v>0.80545117219144358</v>
      </c>
      <c r="AB4009" t="str">
        <f>HYPERLINK("Melting_Curves/meltCurve_Q8IVS2_MCAT.pdf", "Melting_Curves/meltCurve_Q8IVS2_MCAT.pdf")</f>
        <v>Melting_Curves/meltCurve_Q8IVS2_MCAT.pdf</v>
      </c>
    </row>
    <row r="4010" spans="1:28" x14ac:dyDescent="0.25">
      <c r="A4010" t="s">
        <v>4014</v>
      </c>
      <c r="B4010">
        <v>0.99352677808782597</v>
      </c>
      <c r="C4010">
        <v>0.96558920314722396</v>
      </c>
      <c r="D4010">
        <v>0.97671394446878101</v>
      </c>
      <c r="E4010">
        <v>0.905364363742582</v>
      </c>
      <c r="F4010">
        <v>0.83566730194743399</v>
      </c>
      <c r="G4010">
        <v>0.75060021313120895</v>
      </c>
      <c r="H4010">
        <v>0.69015988785503302</v>
      </c>
      <c r="I4010">
        <v>0.78630791379605203</v>
      </c>
      <c r="J4010">
        <v>0.79238946981536695</v>
      </c>
      <c r="K4010">
        <v>0.72054229720227803</v>
      </c>
      <c r="L4010">
        <v>1209.15634540107</v>
      </c>
      <c r="M4010">
        <v>23.632254561553498</v>
      </c>
      <c r="O4010">
        <v>50.803348599701202</v>
      </c>
      <c r="P4010">
        <v>-2.9772319611514799E-2</v>
      </c>
      <c r="Q4010">
        <v>0.74399250457218302</v>
      </c>
      <c r="R4010">
        <v>0.91597495899743298</v>
      </c>
      <c r="S4010" t="s">
        <v>10295</v>
      </c>
      <c r="T4010" t="s">
        <v>12568</v>
      </c>
      <c r="U4010" t="s">
        <v>12568</v>
      </c>
      <c r="V4010" t="s">
        <v>12568</v>
      </c>
      <c r="W4010" t="s">
        <v>16534</v>
      </c>
      <c r="X4010">
        <v>23</v>
      </c>
      <c r="Y4010" t="s">
        <v>22648</v>
      </c>
      <c r="Z4010" t="s">
        <v>28880</v>
      </c>
      <c r="AA4010">
        <v>0.84186006602454511</v>
      </c>
      <c r="AB4010" t="str">
        <f>HYPERLINK("Melting_Curves/meltCurve_Q8IVT2_C19orf21.pdf", "Melting_Curves/meltCurve_Q8IVT2_C19orf21.pdf")</f>
        <v>Melting_Curves/meltCurve_Q8IVT2_C19orf21.pdf</v>
      </c>
    </row>
    <row r="4011" spans="1:28" x14ac:dyDescent="0.25">
      <c r="A4011" t="s">
        <v>4015</v>
      </c>
      <c r="B4011">
        <v>0.99352677808782597</v>
      </c>
      <c r="C4011">
        <v>1.09394962183773</v>
      </c>
      <c r="D4011">
        <v>0.86441088741031502</v>
      </c>
      <c r="E4011">
        <v>1.0125697310424699</v>
      </c>
      <c r="F4011">
        <v>0.84161132189746202</v>
      </c>
      <c r="G4011">
        <v>0.69363322636235103</v>
      </c>
      <c r="H4011">
        <v>0.21257909639509401</v>
      </c>
      <c r="I4011">
        <v>0.10703082059597099</v>
      </c>
      <c r="J4011">
        <v>8.5495934878307006E-2</v>
      </c>
      <c r="K4011">
        <v>4.5769059104000399E-2</v>
      </c>
      <c r="L4011">
        <v>1508.5788630530101</v>
      </c>
      <c r="M4011">
        <v>25.9467234163406</v>
      </c>
      <c r="N4011">
        <v>58.290578562802501</v>
      </c>
      <c r="O4011">
        <v>57.799338089491698</v>
      </c>
      <c r="P4011">
        <v>-0.108623765804981</v>
      </c>
      <c r="Q4011">
        <v>3.2123053255000297E-2</v>
      </c>
      <c r="R4011">
        <v>0.97584936374119102</v>
      </c>
      <c r="S4011" t="s">
        <v>10296</v>
      </c>
      <c r="T4011" t="s">
        <v>12568</v>
      </c>
      <c r="U4011" t="s">
        <v>12568</v>
      </c>
      <c r="V4011" t="s">
        <v>12568</v>
      </c>
      <c r="W4011" t="s">
        <v>16535</v>
      </c>
      <c r="X4011">
        <v>1</v>
      </c>
      <c r="Y4011" t="s">
        <v>22649</v>
      </c>
      <c r="Z4011" t="s">
        <v>28881</v>
      </c>
      <c r="AA4011">
        <v>0.62535085571156779</v>
      </c>
      <c r="AB4011" t="str">
        <f>HYPERLINK("Melting_Curves/meltCurve_Q8IVV2_LOXHD1.pdf", "Melting_Curves/meltCurve_Q8IVV2_LOXHD1.pdf")</f>
        <v>Melting_Curves/meltCurve_Q8IVV2_LOXHD1.pdf</v>
      </c>
    </row>
    <row r="4012" spans="1:28" x14ac:dyDescent="0.25">
      <c r="A4012" t="s">
        <v>4016</v>
      </c>
      <c r="B4012">
        <v>0.99352677808782597</v>
      </c>
      <c r="C4012">
        <v>0.87322788305370702</v>
      </c>
      <c r="D4012">
        <v>0.86531930298967497</v>
      </c>
      <c r="E4012">
        <v>0.43590169028602799</v>
      </c>
      <c r="F4012">
        <v>0.421871643470622</v>
      </c>
      <c r="G4012">
        <v>0.20141641597191001</v>
      </c>
      <c r="H4012">
        <v>0.15808526452306501</v>
      </c>
      <c r="I4012">
        <v>0.136146404502859</v>
      </c>
      <c r="J4012">
        <v>0.17083614557079399</v>
      </c>
      <c r="K4012">
        <v>0.10175059128012399</v>
      </c>
      <c r="L4012">
        <v>773.27645233190003</v>
      </c>
      <c r="M4012">
        <v>15.63532392184</v>
      </c>
      <c r="N4012">
        <v>50.3413362811932</v>
      </c>
      <c r="O4012">
        <v>48.6691808468711</v>
      </c>
      <c r="P4012">
        <v>-7.0675916739907502E-2</v>
      </c>
      <c r="Q4012">
        <v>0.120083852144452</v>
      </c>
      <c r="R4012">
        <v>0.97831173111731895</v>
      </c>
      <c r="S4012" t="s">
        <v>10297</v>
      </c>
      <c r="T4012" t="s">
        <v>12568</v>
      </c>
      <c r="U4012" t="s">
        <v>12568</v>
      </c>
      <c r="V4012" t="s">
        <v>12568</v>
      </c>
      <c r="W4012" t="s">
        <v>16536</v>
      </c>
      <c r="X4012">
        <v>1</v>
      </c>
      <c r="Y4012" t="s">
        <v>22650</v>
      </c>
      <c r="Z4012" t="s">
        <v>28882</v>
      </c>
      <c r="AA4012">
        <v>0.41725144719967261</v>
      </c>
      <c r="AB4012" t="str">
        <f>HYPERLINK("Melting_Curves/meltCurve_Q8IW19_APLF.pdf", "Melting_Curves/meltCurve_Q8IW19_APLF.pdf")</f>
        <v>Melting_Curves/meltCurve_Q8IW19_APLF.pdf</v>
      </c>
    </row>
    <row r="4013" spans="1:28" x14ac:dyDescent="0.25">
      <c r="A4013" t="s">
        <v>4017</v>
      </c>
      <c r="B4013">
        <v>0.99352677808782597</v>
      </c>
      <c r="C4013">
        <v>0.98002327051022398</v>
      </c>
      <c r="D4013">
        <v>0.92220885773855699</v>
      </c>
      <c r="E4013">
        <v>0.33692084667025501</v>
      </c>
      <c r="F4013">
        <v>0.238028093545115</v>
      </c>
      <c r="G4013">
        <v>0.13263127270257899</v>
      </c>
      <c r="H4013">
        <v>0.113456749761946</v>
      </c>
      <c r="I4013">
        <v>0.105626490504779</v>
      </c>
      <c r="J4013">
        <v>8.1645843916791805E-2</v>
      </c>
      <c r="K4013">
        <v>6.07708238069651E-2</v>
      </c>
      <c r="L4013">
        <v>1624.35074087765</v>
      </c>
      <c r="M4013">
        <v>33.336864916318</v>
      </c>
      <c r="N4013">
        <v>49.0782731587665</v>
      </c>
      <c r="O4013">
        <v>48.5510494394319</v>
      </c>
      <c r="P4013">
        <v>-0.15336477955738201</v>
      </c>
      <c r="Q4013">
        <v>0.106576309200761</v>
      </c>
      <c r="R4013">
        <v>0.99227867320113505</v>
      </c>
      <c r="S4013" t="s">
        <v>10298</v>
      </c>
      <c r="T4013" t="s">
        <v>12568</v>
      </c>
      <c r="U4013" t="s">
        <v>12568</v>
      </c>
      <c r="V4013" t="s">
        <v>12568</v>
      </c>
      <c r="W4013" t="s">
        <v>16537</v>
      </c>
      <c r="X4013">
        <v>1</v>
      </c>
      <c r="Y4013" t="s">
        <v>22651</v>
      </c>
      <c r="Z4013" t="s">
        <v>28883</v>
      </c>
      <c r="AA4013">
        <v>0.37079047927171072</v>
      </c>
      <c r="AB4013" t="str">
        <f>HYPERLINK("Melting_Curves/meltCurve_Q8IW41_2_MAPKAPK5.pdf", "Melting_Curves/meltCurve_Q8IW41_2_MAPKAPK5.pdf")</f>
        <v>Melting_Curves/meltCurve_Q8IW41_2_MAPKAPK5.pdf</v>
      </c>
    </row>
    <row r="4014" spans="1:28" x14ac:dyDescent="0.25">
      <c r="A4014" t="s">
        <v>4018</v>
      </c>
      <c r="B4014">
        <v>0.99352677808782597</v>
      </c>
      <c r="C4014">
        <v>1.0465454192943</v>
      </c>
      <c r="D4014">
        <v>0.90474402822699695</v>
      </c>
      <c r="E4014">
        <v>0.84366315906772105</v>
      </c>
      <c r="F4014">
        <v>0.65362104179949698</v>
      </c>
      <c r="G4014">
        <v>0.56764528515234602</v>
      </c>
      <c r="H4014">
        <v>0.83945667817061898</v>
      </c>
      <c r="I4014">
        <v>0.85620074321394402</v>
      </c>
      <c r="J4014">
        <v>1.0375475998998001</v>
      </c>
      <c r="K4014">
        <v>0.75384668142674605</v>
      </c>
      <c r="L4014">
        <v>11507.2858467428</v>
      </c>
      <c r="M4014">
        <v>250</v>
      </c>
      <c r="O4014">
        <v>46.026197587100299</v>
      </c>
      <c r="P4014">
        <v>-0.28089957511472802</v>
      </c>
      <c r="Q4014">
        <v>0.79314016962191702</v>
      </c>
      <c r="R4014">
        <v>0.36712556706048499</v>
      </c>
      <c r="S4014" t="s">
        <v>10299</v>
      </c>
      <c r="T4014" t="s">
        <v>12568</v>
      </c>
      <c r="U4014" t="s">
        <v>12568</v>
      </c>
      <c r="V4014" t="s">
        <v>12568</v>
      </c>
      <c r="W4014" t="s">
        <v>16538</v>
      </c>
      <c r="X4014">
        <v>4</v>
      </c>
      <c r="Y4014" t="s">
        <v>22652</v>
      </c>
      <c r="Z4014" t="s">
        <v>28884</v>
      </c>
      <c r="AA4014">
        <v>0.8347297991264877</v>
      </c>
      <c r="AB4014" t="str">
        <f>HYPERLINK("Melting_Curves/meltCurve_Q8IW45_CARKD.pdf", "Melting_Curves/meltCurve_Q8IW45_CARKD.pdf")</f>
        <v>Melting_Curves/meltCurve_Q8IW45_CARKD.pdf</v>
      </c>
    </row>
    <row r="4015" spans="1:28" x14ac:dyDescent="0.25">
      <c r="A4015" t="s">
        <v>4019</v>
      </c>
      <c r="B4015">
        <v>0.99352677808782597</v>
      </c>
      <c r="C4015">
        <v>1.01794196067029</v>
      </c>
      <c r="D4015">
        <v>1.04648670664982</v>
      </c>
      <c r="E4015">
        <v>0.72512312743459295</v>
      </c>
      <c r="F4015">
        <v>0.59031274250298305</v>
      </c>
      <c r="G4015">
        <v>0.60552994915921399</v>
      </c>
      <c r="H4015">
        <v>0.46015207366393401</v>
      </c>
      <c r="I4015">
        <v>0.38747591924677499</v>
      </c>
      <c r="J4015">
        <v>0.49694547067596001</v>
      </c>
      <c r="K4015">
        <v>0.44715344682893199</v>
      </c>
      <c r="L4015">
        <v>1305.8304955521601</v>
      </c>
      <c r="M4015">
        <v>25.853311014341202</v>
      </c>
      <c r="N4015">
        <v>56.570654838396699</v>
      </c>
      <c r="O4015">
        <v>50.209925570597697</v>
      </c>
      <c r="P4015">
        <v>-6.8396418420237998E-2</v>
      </c>
      <c r="Q4015">
        <v>0.46867329305209499</v>
      </c>
      <c r="R4015">
        <v>0.947941213536177</v>
      </c>
      <c r="S4015" t="s">
        <v>10300</v>
      </c>
      <c r="T4015" t="s">
        <v>12568</v>
      </c>
      <c r="U4015" t="s">
        <v>12568</v>
      </c>
      <c r="V4015" t="s">
        <v>12568</v>
      </c>
      <c r="W4015" t="s">
        <v>16539</v>
      </c>
      <c r="X4015">
        <v>1</v>
      </c>
      <c r="Y4015" t="s">
        <v>22653</v>
      </c>
      <c r="Z4015" t="s">
        <v>28885</v>
      </c>
      <c r="AA4015">
        <v>0.65926652399332908</v>
      </c>
      <c r="AB4015" t="str">
        <f>HYPERLINK("Melting_Curves/meltCurve_Q8IW50_7_FAM219A.pdf", "Melting_Curves/meltCurve_Q8IW50_7_FAM219A.pdf")</f>
        <v>Melting_Curves/meltCurve_Q8IW50_7_FAM219A.pdf</v>
      </c>
    </row>
    <row r="4016" spans="1:28" x14ac:dyDescent="0.25">
      <c r="A4016" t="s">
        <v>4020</v>
      </c>
      <c r="B4016">
        <v>0.99352677808782597</v>
      </c>
      <c r="C4016">
        <v>1.0920354968896799</v>
      </c>
      <c r="D4016">
        <v>1.06540255551028</v>
      </c>
      <c r="E4016">
        <v>0.83189649021702095</v>
      </c>
      <c r="F4016">
        <v>0.72470000733448703</v>
      </c>
      <c r="G4016">
        <v>0.58062534342513905</v>
      </c>
      <c r="H4016">
        <v>0.26712420591382502</v>
      </c>
      <c r="I4016">
        <v>0.14972944140641001</v>
      </c>
      <c r="J4016">
        <v>0.13202266694328299</v>
      </c>
      <c r="K4016">
        <v>9.3562301634412301E-2</v>
      </c>
      <c r="L4016">
        <v>848.884867103906</v>
      </c>
      <c r="M4016">
        <v>14.887691438388501</v>
      </c>
      <c r="N4016">
        <v>57.197727871652802</v>
      </c>
      <c r="O4016">
        <v>56.020131397645301</v>
      </c>
      <c r="P4016">
        <v>-6.4937788534457197E-2</v>
      </c>
      <c r="Q4016">
        <v>2.2697374299383601E-2</v>
      </c>
      <c r="R4016">
        <v>0.97956482802607903</v>
      </c>
      <c r="S4016" t="s">
        <v>10301</v>
      </c>
      <c r="T4016" t="s">
        <v>12568</v>
      </c>
      <c r="U4016" t="s">
        <v>12568</v>
      </c>
      <c r="V4016" t="s">
        <v>12568</v>
      </c>
      <c r="W4016" t="s">
        <v>16540</v>
      </c>
      <c r="X4016">
        <v>1</v>
      </c>
      <c r="Y4016" t="s">
        <v>22654</v>
      </c>
      <c r="Z4016" t="s">
        <v>28886</v>
      </c>
      <c r="AA4016">
        <v>0.592613754388152</v>
      </c>
      <c r="AB4016" t="str">
        <f>HYPERLINK("Melting_Curves/meltCurve_Q8IWB7_WDFY1.pdf", "Melting_Curves/meltCurve_Q8IWB7_WDFY1.pdf")</f>
        <v>Melting_Curves/meltCurve_Q8IWB7_WDFY1.pdf</v>
      </c>
    </row>
    <row r="4017" spans="1:28" x14ac:dyDescent="0.25">
      <c r="A4017" t="s">
        <v>4021</v>
      </c>
      <c r="B4017">
        <v>0.99352677808782597</v>
      </c>
      <c r="C4017">
        <v>0.92147407469943698</v>
      </c>
      <c r="D4017">
        <v>1.0836321382337799</v>
      </c>
      <c r="E4017">
        <v>1.1533201548802701</v>
      </c>
      <c r="F4017">
        <v>0.99980742363131503</v>
      </c>
      <c r="G4017">
        <v>0.99209975956016605</v>
      </c>
      <c r="H4017">
        <v>0.95774999560672802</v>
      </c>
      <c r="I4017">
        <v>0.99663923433393997</v>
      </c>
      <c r="J4017">
        <v>0.95903709769862799</v>
      </c>
      <c r="K4017">
        <v>1.01885621397628</v>
      </c>
      <c r="L4017">
        <v>11105.2527920925</v>
      </c>
      <c r="M4017">
        <v>250</v>
      </c>
      <c r="O4017">
        <v>44.4181685360454</v>
      </c>
      <c r="P4017">
        <v>2.8339094633342499E-2</v>
      </c>
      <c r="Q4017">
        <v>1.0201403308736701</v>
      </c>
      <c r="R4017">
        <v>6.6591655001663405E-2</v>
      </c>
      <c r="S4017" t="s">
        <v>10302</v>
      </c>
      <c r="T4017" t="s">
        <v>12568</v>
      </c>
      <c r="U4017" t="s">
        <v>12568</v>
      </c>
      <c r="V4017" t="s">
        <v>12568</v>
      </c>
      <c r="W4017" t="s">
        <v>16541</v>
      </c>
      <c r="X4017">
        <v>1</v>
      </c>
      <c r="Y4017" t="s">
        <v>22655</v>
      </c>
      <c r="Z4017" t="s">
        <v>28887</v>
      </c>
      <c r="AA4017">
        <v>1.0171707398458261</v>
      </c>
      <c r="AB4017" t="str">
        <f>HYPERLINK("Melting_Curves/meltCurve_Q8IWB9_TEX2.pdf", "Melting_Curves/meltCurve_Q8IWB9_TEX2.pdf")</f>
        <v>Melting_Curves/meltCurve_Q8IWB9_TEX2.pdf</v>
      </c>
    </row>
    <row r="4018" spans="1:28" x14ac:dyDescent="0.25">
      <c r="A4018" t="s">
        <v>4022</v>
      </c>
      <c r="B4018">
        <v>0.99352677808782597</v>
      </c>
      <c r="C4018">
        <v>0.95701377493015405</v>
      </c>
      <c r="D4018">
        <v>1.0230781044152399</v>
      </c>
      <c r="E4018">
        <v>0.93717006647228696</v>
      </c>
      <c r="F4018">
        <v>0.80076978860875903</v>
      </c>
      <c r="G4018">
        <v>0.72706867331421299</v>
      </c>
      <c r="H4018">
        <v>0.66028141056290601</v>
      </c>
      <c r="I4018">
        <v>0.71936011141685097</v>
      </c>
      <c r="J4018">
        <v>0.68463858003814204</v>
      </c>
      <c r="K4018">
        <v>0.59763020377896503</v>
      </c>
      <c r="L4018">
        <v>1283.5728568867401</v>
      </c>
      <c r="M4018">
        <v>24.365728898092001</v>
      </c>
      <c r="O4018">
        <v>52.328431719816201</v>
      </c>
      <c r="P4018">
        <v>-3.92424546653267E-2</v>
      </c>
      <c r="Q4018">
        <v>0.66289276068063696</v>
      </c>
      <c r="R4018">
        <v>0.94769233875748804</v>
      </c>
      <c r="S4018" t="s">
        <v>10303</v>
      </c>
      <c r="T4018" t="s">
        <v>12568</v>
      </c>
      <c r="U4018" t="s">
        <v>12568</v>
      </c>
      <c r="V4018" t="s">
        <v>12568</v>
      </c>
      <c r="W4018" t="s">
        <v>16542</v>
      </c>
      <c r="X4018">
        <v>10</v>
      </c>
      <c r="Y4018" t="s">
        <v>22656</v>
      </c>
      <c r="Z4018" t="s">
        <v>28888</v>
      </c>
      <c r="AA4018">
        <v>0.80862048549146126</v>
      </c>
      <c r="AB4018" t="str">
        <f>HYPERLINK("Melting_Curves/meltCurve_Q8IWC1_2_MAP7D3.pdf", "Melting_Curves/meltCurve_Q8IWC1_2_MAP7D3.pdf")</f>
        <v>Melting_Curves/meltCurve_Q8IWC1_2_MAP7D3.pdf</v>
      </c>
    </row>
    <row r="4019" spans="1:28" x14ac:dyDescent="0.25">
      <c r="A4019" t="s">
        <v>4023</v>
      </c>
      <c r="B4019">
        <v>0.99352677808782597</v>
      </c>
      <c r="C4019">
        <v>0.89736106150278205</v>
      </c>
      <c r="D4019">
        <v>0.89580985705395999</v>
      </c>
      <c r="E4019">
        <v>0.74072245682835502</v>
      </c>
      <c r="F4019">
        <v>0.67317863995327798</v>
      </c>
      <c r="G4019">
        <v>0.71103580817345102</v>
      </c>
      <c r="H4019">
        <v>0.71346408337613598</v>
      </c>
      <c r="I4019">
        <v>0.90170800089492698</v>
      </c>
      <c r="J4019">
        <v>0.97716120132036099</v>
      </c>
      <c r="K4019">
        <v>1.0253838234766901</v>
      </c>
      <c r="L4019">
        <v>1295.3951375331201</v>
      </c>
      <c r="M4019">
        <v>30.147646216806098</v>
      </c>
      <c r="O4019">
        <v>42.780656490615897</v>
      </c>
      <c r="P4019">
        <v>-3.0774427566885101E-2</v>
      </c>
      <c r="Q4019">
        <v>0.82532085818104295</v>
      </c>
      <c r="R4019">
        <v>0.17571379030093601</v>
      </c>
      <c r="S4019" t="s">
        <v>10304</v>
      </c>
      <c r="T4019" t="s">
        <v>12568</v>
      </c>
      <c r="U4019" t="s">
        <v>12568</v>
      </c>
      <c r="V4019" t="s">
        <v>12568</v>
      </c>
      <c r="W4019" t="s">
        <v>16543</v>
      </c>
      <c r="X4019">
        <v>3</v>
      </c>
      <c r="Y4019" t="s">
        <v>22657</v>
      </c>
      <c r="Z4019" t="s">
        <v>28889</v>
      </c>
      <c r="AA4019">
        <v>0.8442113828706368</v>
      </c>
      <c r="AB4019" t="str">
        <f>HYPERLINK("Melting_Curves/meltCurve_Q8IWD4_CCDC117.pdf", "Melting_Curves/meltCurve_Q8IWD4_CCDC117.pdf")</f>
        <v>Melting_Curves/meltCurve_Q8IWD4_CCDC117.pdf</v>
      </c>
    </row>
    <row r="4020" spans="1:28" x14ac:dyDescent="0.25">
      <c r="A4020" t="s">
        <v>4024</v>
      </c>
      <c r="B4020">
        <v>0.99352677808782597</v>
      </c>
      <c r="C4020">
        <v>1.0166290710410599</v>
      </c>
      <c r="D4020">
        <v>1.02269394458199</v>
      </c>
      <c r="E4020">
        <v>0.90312071140530603</v>
      </c>
      <c r="F4020">
        <v>0.79833557047251902</v>
      </c>
      <c r="G4020">
        <v>0.54936271287753202</v>
      </c>
      <c r="H4020">
        <v>0.28411779443592799</v>
      </c>
      <c r="I4020">
        <v>0.24536931651197599</v>
      </c>
      <c r="J4020">
        <v>0.24195808683832801</v>
      </c>
      <c r="K4020">
        <v>0.186818200197018</v>
      </c>
      <c r="L4020">
        <v>1102.41758251943</v>
      </c>
      <c r="M4020">
        <v>19.668176288690301</v>
      </c>
      <c r="N4020">
        <v>57.362893525187097</v>
      </c>
      <c r="O4020">
        <v>55.481041882885002</v>
      </c>
      <c r="P4020">
        <v>-7.2573899748077597E-2</v>
      </c>
      <c r="Q4020">
        <v>0.181147142525347</v>
      </c>
      <c r="R4020">
        <v>0.99559686943708403</v>
      </c>
      <c r="S4020" t="s">
        <v>10305</v>
      </c>
      <c r="T4020" t="s">
        <v>12568</v>
      </c>
      <c r="U4020" t="s">
        <v>12568</v>
      </c>
      <c r="V4020" t="s">
        <v>12568</v>
      </c>
      <c r="W4020" t="s">
        <v>16544</v>
      </c>
      <c r="X4020">
        <v>12</v>
      </c>
      <c r="Y4020" t="s">
        <v>22658</v>
      </c>
      <c r="Z4020" t="s">
        <v>28890</v>
      </c>
      <c r="AA4020">
        <v>0.63002017927191578</v>
      </c>
      <c r="AB4020" t="str">
        <f>HYPERLINK("Melting_Curves/meltCurve_Q8IWE2_FAM114A1.pdf", "Melting_Curves/meltCurve_Q8IWE2_FAM114A1.pdf")</f>
        <v>Melting_Curves/meltCurve_Q8IWE2_FAM114A1.pdf</v>
      </c>
    </row>
    <row r="4021" spans="1:28" x14ac:dyDescent="0.25">
      <c r="A4021" t="s">
        <v>4025</v>
      </c>
      <c r="B4021">
        <v>0.99352677808782597</v>
      </c>
      <c r="C4021">
        <v>0.93008016288211603</v>
      </c>
      <c r="D4021">
        <v>1.07790444546215</v>
      </c>
      <c r="E4021">
        <v>0.97948363270966399</v>
      </c>
      <c r="F4021">
        <v>0.77624930228135303</v>
      </c>
      <c r="G4021">
        <v>0.72810919226124804</v>
      </c>
      <c r="H4021">
        <v>0.74057960414257396</v>
      </c>
      <c r="I4021">
        <v>0.81613056085314795</v>
      </c>
      <c r="J4021">
        <v>0.85008634107536496</v>
      </c>
      <c r="K4021">
        <v>0.71175503748598701</v>
      </c>
      <c r="L4021">
        <v>5152.8946448974602</v>
      </c>
      <c r="M4021">
        <v>100.728738732726</v>
      </c>
      <c r="O4021">
        <v>51.135997554611698</v>
      </c>
      <c r="P4021">
        <v>-0.11357957457845</v>
      </c>
      <c r="Q4021">
        <v>0.76936057696316096</v>
      </c>
      <c r="R4021">
        <v>0.82636558680390704</v>
      </c>
      <c r="S4021" t="s">
        <v>10306</v>
      </c>
      <c r="T4021" t="s">
        <v>12568</v>
      </c>
      <c r="U4021" t="s">
        <v>12568</v>
      </c>
      <c r="V4021" t="s">
        <v>12568</v>
      </c>
      <c r="W4021" t="s">
        <v>16545</v>
      </c>
      <c r="X4021">
        <v>12</v>
      </c>
      <c r="Y4021" t="s">
        <v>22659</v>
      </c>
      <c r="Z4021" t="s">
        <v>28891</v>
      </c>
      <c r="AA4021">
        <v>0.85525655235522358</v>
      </c>
      <c r="AB4021" t="str">
        <f>HYPERLINK("Melting_Curves/meltCurve_Q8IWI9_MGA.pdf", "Melting_Curves/meltCurve_Q8IWI9_MGA.pdf")</f>
        <v>Melting_Curves/meltCurve_Q8IWI9_MGA.pdf</v>
      </c>
    </row>
    <row r="4022" spans="1:28" x14ac:dyDescent="0.25">
      <c r="A4022" t="s">
        <v>4026</v>
      </c>
      <c r="B4022">
        <v>0.99352677808782597</v>
      </c>
      <c r="C4022">
        <v>1.0004451473436</v>
      </c>
      <c r="D4022">
        <v>0.84363354487605402</v>
      </c>
      <c r="E4022">
        <v>0.71559395210962795</v>
      </c>
      <c r="F4022">
        <v>0.614054991734867</v>
      </c>
      <c r="G4022">
        <v>0.479329191365511</v>
      </c>
      <c r="H4022">
        <v>0.45410528656780702</v>
      </c>
      <c r="I4022">
        <v>0.42896146552456998</v>
      </c>
      <c r="J4022">
        <v>0.51952930184494295</v>
      </c>
      <c r="K4022">
        <v>0.42768894188947498</v>
      </c>
      <c r="L4022">
        <v>812.01796264643201</v>
      </c>
      <c r="M4022">
        <v>16.343500335353301</v>
      </c>
      <c r="N4022">
        <v>57.311856052745199</v>
      </c>
      <c r="O4022">
        <v>48.958468325126098</v>
      </c>
      <c r="P4022">
        <v>-4.6471519304851598E-2</v>
      </c>
      <c r="Q4022">
        <v>0.44320108430931099</v>
      </c>
      <c r="R4022">
        <v>0.97782987075540495</v>
      </c>
      <c r="S4022" t="s">
        <v>10307</v>
      </c>
      <c r="T4022" t="s">
        <v>12568</v>
      </c>
      <c r="U4022" t="s">
        <v>12568</v>
      </c>
      <c r="V4022" t="s">
        <v>12568</v>
      </c>
      <c r="W4022" t="s">
        <v>16546</v>
      </c>
      <c r="X4022">
        <v>62</v>
      </c>
      <c r="Y4022" t="s">
        <v>22660</v>
      </c>
      <c r="Z4022" t="s">
        <v>28892</v>
      </c>
      <c r="AA4022">
        <v>0.63440160466782602</v>
      </c>
      <c r="AB4022" t="str">
        <f>HYPERLINK("Melting_Curves/meltCurve_Q8IWJ2_GCC2.pdf", "Melting_Curves/meltCurve_Q8IWJ2_GCC2.pdf")</f>
        <v>Melting_Curves/meltCurve_Q8IWJ2_GCC2.pdf</v>
      </c>
    </row>
    <row r="4023" spans="1:28" x14ac:dyDescent="0.25">
      <c r="A4023" t="s">
        <v>4027</v>
      </c>
      <c r="B4023">
        <v>0.99352677808782597</v>
      </c>
      <c r="C4023">
        <v>0.91834749753690803</v>
      </c>
      <c r="D4023">
        <v>0.97471686670800795</v>
      </c>
      <c r="E4023">
        <v>0.66398113563828798</v>
      </c>
      <c r="F4023">
        <v>0.59215661822523302</v>
      </c>
      <c r="G4023">
        <v>0.43246009113428102</v>
      </c>
      <c r="H4023">
        <v>0.31543044010224502</v>
      </c>
      <c r="I4023">
        <v>0.28689304621399297</v>
      </c>
      <c r="J4023">
        <v>0.25485746548477001</v>
      </c>
      <c r="K4023">
        <v>0.20500768397153801</v>
      </c>
      <c r="L4023">
        <v>668.19460757358502</v>
      </c>
      <c r="M4023">
        <v>12.6908499047722</v>
      </c>
      <c r="N4023">
        <v>54.8076737011598</v>
      </c>
      <c r="O4023">
        <v>51.395709177496599</v>
      </c>
      <c r="P4023">
        <v>-4.9610475165083899E-2</v>
      </c>
      <c r="Q4023">
        <v>0.196501139153655</v>
      </c>
      <c r="R4023">
        <v>0.98362184406841202</v>
      </c>
      <c r="S4023" t="s">
        <v>10308</v>
      </c>
      <c r="T4023" t="s">
        <v>12568</v>
      </c>
      <c r="U4023" t="s">
        <v>12568</v>
      </c>
      <c r="V4023" t="s">
        <v>12568</v>
      </c>
      <c r="W4023" t="s">
        <v>16547</v>
      </c>
      <c r="X4023">
        <v>8</v>
      </c>
      <c r="Y4023" t="s">
        <v>22661</v>
      </c>
      <c r="Z4023" t="s">
        <v>28893</v>
      </c>
      <c r="AA4023">
        <v>0.55730531832629326</v>
      </c>
      <c r="AB4023" t="str">
        <f>HYPERLINK("Melting_Curves/meltCurve_Q8IWL3_HSCB.pdf", "Melting_Curves/meltCurve_Q8IWL3_HSCB.pdf")</f>
        <v>Melting_Curves/meltCurve_Q8IWL3_HSCB.pdf</v>
      </c>
    </row>
    <row r="4024" spans="1:28" x14ac:dyDescent="0.25">
      <c r="A4024" t="s">
        <v>4028</v>
      </c>
      <c r="B4024">
        <v>0.99352677808782597</v>
      </c>
      <c r="C4024">
        <v>0.89047004200157698</v>
      </c>
      <c r="D4024">
        <v>0.89135594119762795</v>
      </c>
      <c r="E4024">
        <v>0.47252882357715298</v>
      </c>
      <c r="F4024">
        <v>0.42957926697558002</v>
      </c>
      <c r="G4024">
        <v>0.35378346825714102</v>
      </c>
      <c r="H4024">
        <v>0.27727136683706399</v>
      </c>
      <c r="I4024">
        <v>0.20893252768874801</v>
      </c>
      <c r="J4024">
        <v>0.18844134268849</v>
      </c>
      <c r="K4024">
        <v>0.19535925106265101</v>
      </c>
      <c r="L4024">
        <v>762.27264089384698</v>
      </c>
      <c r="M4024">
        <v>15.436418932793901</v>
      </c>
      <c r="N4024">
        <v>51.126736592792099</v>
      </c>
      <c r="O4024">
        <v>48.574957613171797</v>
      </c>
      <c r="P4024">
        <v>-6.3181731631576601E-2</v>
      </c>
      <c r="Q4024">
        <v>0.20479667545469901</v>
      </c>
      <c r="R4024">
        <v>0.97342546875301705</v>
      </c>
      <c r="S4024" t="s">
        <v>10309</v>
      </c>
      <c r="T4024" t="s">
        <v>12568</v>
      </c>
      <c r="U4024" t="s">
        <v>12568</v>
      </c>
      <c r="V4024" t="s">
        <v>12568</v>
      </c>
      <c r="W4024" t="s">
        <v>16548</v>
      </c>
      <c r="X4024">
        <v>1</v>
      </c>
      <c r="Y4024" t="s">
        <v>22662</v>
      </c>
      <c r="Z4024" t="s">
        <v>28894</v>
      </c>
      <c r="AA4024">
        <v>0.4718259811823502</v>
      </c>
      <c r="AB4024" t="str">
        <f>HYPERLINK("Melting_Curves/meltCurve_Q8IWQ3_3_BRSK2.pdf", "Melting_Curves/meltCurve_Q8IWQ3_3_BRSK2.pdf")</f>
        <v>Melting_Curves/meltCurve_Q8IWQ3_3_BRSK2.pdf</v>
      </c>
    </row>
    <row r="4025" spans="1:28" x14ac:dyDescent="0.25">
      <c r="A4025" t="s">
        <v>4029</v>
      </c>
      <c r="B4025">
        <v>0.99352677808782597</v>
      </c>
      <c r="C4025">
        <v>0.99868561479674101</v>
      </c>
      <c r="D4025">
        <v>1.0167569631615401</v>
      </c>
      <c r="E4025">
        <v>0.52146686219614102</v>
      </c>
      <c r="F4025">
        <v>0.44544739407561701</v>
      </c>
      <c r="G4025">
        <v>0.20934844785224699</v>
      </c>
      <c r="H4025">
        <v>0.15002594789402801</v>
      </c>
      <c r="I4025">
        <v>0.138839437841355</v>
      </c>
      <c r="J4025">
        <v>0.107223256234296</v>
      </c>
      <c r="K4025">
        <v>8.56292594968832E-2</v>
      </c>
      <c r="L4025">
        <v>1049.6777919598901</v>
      </c>
      <c r="M4025">
        <v>20.670080261185198</v>
      </c>
      <c r="N4025">
        <v>51.429979818206</v>
      </c>
      <c r="O4025">
        <v>50.314344491467097</v>
      </c>
      <c r="P4025">
        <v>-9.0940957591321703E-2</v>
      </c>
      <c r="Q4025">
        <v>0.114565146251426</v>
      </c>
      <c r="R4025">
        <v>0.97887280750973604</v>
      </c>
      <c r="S4025" t="s">
        <v>10310</v>
      </c>
      <c r="T4025" t="s">
        <v>12568</v>
      </c>
      <c r="U4025" t="s">
        <v>12568</v>
      </c>
      <c r="V4025" t="s">
        <v>12568</v>
      </c>
      <c r="W4025" t="s">
        <v>16549</v>
      </c>
      <c r="X4025">
        <v>3</v>
      </c>
      <c r="Y4025" t="s">
        <v>22663</v>
      </c>
      <c r="Z4025" t="s">
        <v>28895</v>
      </c>
      <c r="AA4025">
        <v>0.44435669128130478</v>
      </c>
      <c r="AB4025" t="str">
        <f>HYPERLINK("Melting_Curves/meltCurve_Q8IWT0_ZBTB8OS.pdf", "Melting_Curves/meltCurve_Q8IWT0_ZBTB8OS.pdf")</f>
        <v>Melting_Curves/meltCurve_Q8IWT0_ZBTB8OS.pdf</v>
      </c>
    </row>
    <row r="4026" spans="1:28" x14ac:dyDescent="0.25">
      <c r="A4026" t="s">
        <v>4030</v>
      </c>
      <c r="B4026">
        <v>0.99352677808782597</v>
      </c>
      <c r="C4026">
        <v>0.95761021281560998</v>
      </c>
      <c r="D4026">
        <v>0.92282190453367097</v>
      </c>
      <c r="E4026">
        <v>0.84488565396445203</v>
      </c>
      <c r="F4026">
        <v>0.74751155268563796</v>
      </c>
      <c r="G4026">
        <v>0.68089375083700698</v>
      </c>
      <c r="H4026">
        <v>0.70409428097100302</v>
      </c>
      <c r="I4026">
        <v>0.72621005397349003</v>
      </c>
      <c r="J4026">
        <v>0.83700375749649603</v>
      </c>
      <c r="K4026">
        <v>0.718876638430476</v>
      </c>
      <c r="L4026">
        <v>1037.12618780342</v>
      </c>
      <c r="M4026">
        <v>21.544178092586598</v>
      </c>
      <c r="O4026">
        <v>47.730511623297197</v>
      </c>
      <c r="P4026">
        <v>-3.0285493383513901E-2</v>
      </c>
      <c r="Q4026">
        <v>0.731619921979904</v>
      </c>
      <c r="R4026">
        <v>0.85050622889415495</v>
      </c>
      <c r="S4026" t="s">
        <v>10311</v>
      </c>
      <c r="T4026" t="s">
        <v>12568</v>
      </c>
      <c r="U4026" t="s">
        <v>12568</v>
      </c>
      <c r="V4026" t="s">
        <v>12568</v>
      </c>
      <c r="W4026" t="s">
        <v>16550</v>
      </c>
      <c r="X4026">
        <v>6</v>
      </c>
      <c r="Y4026" t="s">
        <v>22664</v>
      </c>
      <c r="Z4026" t="s">
        <v>28896</v>
      </c>
      <c r="AA4026">
        <v>0.80768623990524457</v>
      </c>
      <c r="AB4026" t="str">
        <f>HYPERLINK("Melting_Curves/meltCurve_Q8IWU2_LMTK2.pdf", "Melting_Curves/meltCurve_Q8IWU2_LMTK2.pdf")</f>
        <v>Melting_Curves/meltCurve_Q8IWU2_LMTK2.pdf</v>
      </c>
    </row>
    <row r="4027" spans="1:28" x14ac:dyDescent="0.25">
      <c r="A4027" t="s">
        <v>4031</v>
      </c>
      <c r="B4027">
        <v>0.99352677808782597</v>
      </c>
      <c r="C4027">
        <v>1.00302704956307</v>
      </c>
      <c r="D4027">
        <v>0.83995202823630499</v>
      </c>
      <c r="E4027">
        <v>0.423833966041475</v>
      </c>
      <c r="F4027">
        <v>0.33928857011446401</v>
      </c>
      <c r="G4027">
        <v>0.16560371629109399</v>
      </c>
      <c r="H4027">
        <v>9.0054834716962004E-2</v>
      </c>
      <c r="I4027">
        <v>7.8785221850985798E-2</v>
      </c>
      <c r="J4027">
        <v>6.4862172706521101E-2</v>
      </c>
      <c r="K4027">
        <v>4.9859386269569303E-2</v>
      </c>
      <c r="L4027">
        <v>918.67024341197396</v>
      </c>
      <c r="M4027">
        <v>18.5391036757979</v>
      </c>
      <c r="N4027">
        <v>49.935641883356801</v>
      </c>
      <c r="O4027">
        <v>48.987354100229901</v>
      </c>
      <c r="P4027">
        <v>-8.8352521361034497E-2</v>
      </c>
      <c r="Q4027">
        <v>6.6197448167915604E-2</v>
      </c>
      <c r="R4027">
        <v>0.99100288253076996</v>
      </c>
      <c r="S4027" t="s">
        <v>10312</v>
      </c>
      <c r="T4027" t="s">
        <v>12568</v>
      </c>
      <c r="U4027" t="s">
        <v>12568</v>
      </c>
      <c r="V4027" t="s">
        <v>12568</v>
      </c>
      <c r="W4027" t="s">
        <v>16551</v>
      </c>
      <c r="X4027">
        <v>10</v>
      </c>
      <c r="Y4027" t="s">
        <v>22665</v>
      </c>
      <c r="Z4027" t="s">
        <v>28897</v>
      </c>
      <c r="AA4027">
        <v>0.37868369446249639</v>
      </c>
      <c r="AB4027" t="str">
        <f>HYPERLINK("Melting_Curves/meltCurve_Q8IWV7_UBR1.pdf", "Melting_Curves/meltCurve_Q8IWV7_UBR1.pdf")</f>
        <v>Melting_Curves/meltCurve_Q8IWV7_UBR1.pdf</v>
      </c>
    </row>
    <row r="4028" spans="1:28" x14ac:dyDescent="0.25">
      <c r="A4028" t="s">
        <v>4032</v>
      </c>
      <c r="B4028">
        <v>0.99352677808782597</v>
      </c>
      <c r="C4028">
        <v>0.94009837574164201</v>
      </c>
      <c r="D4028">
        <v>0.764866634820628</v>
      </c>
      <c r="E4028">
        <v>0.37754563153496701</v>
      </c>
      <c r="F4028">
        <v>0.30335171824033602</v>
      </c>
      <c r="G4028">
        <v>0.18323789800878601</v>
      </c>
      <c r="H4028">
        <v>0.119275868568851</v>
      </c>
      <c r="I4028">
        <v>9.1898180324183606E-2</v>
      </c>
      <c r="J4028">
        <v>7.7087318664566001E-2</v>
      </c>
      <c r="K4028">
        <v>6.2480380728793798E-2</v>
      </c>
      <c r="L4028">
        <v>842.28061692343601</v>
      </c>
      <c r="M4028">
        <v>17.3195630819278</v>
      </c>
      <c r="N4028">
        <v>49.148943145664902</v>
      </c>
      <c r="O4028">
        <v>47.9973248140751</v>
      </c>
      <c r="P4028">
        <v>-8.2700806529228094E-2</v>
      </c>
      <c r="Q4028">
        <v>8.3305276462233194E-2</v>
      </c>
      <c r="R4028">
        <v>0.99340102014447595</v>
      </c>
      <c r="S4028" t="s">
        <v>10313</v>
      </c>
      <c r="T4028" t="s">
        <v>12568</v>
      </c>
      <c r="U4028" t="s">
        <v>12568</v>
      </c>
      <c r="V4028" t="s">
        <v>12568</v>
      </c>
      <c r="W4028" t="s">
        <v>16552</v>
      </c>
      <c r="X4028">
        <v>13</v>
      </c>
      <c r="Y4028" t="s">
        <v>22666</v>
      </c>
      <c r="Z4028" t="s">
        <v>28898</v>
      </c>
      <c r="AA4028">
        <v>0.36435473322972589</v>
      </c>
      <c r="AB4028" t="str">
        <f>HYPERLINK("Melting_Curves/meltCurve_Q8IWV8_4_UBR2.pdf", "Melting_Curves/meltCurve_Q8IWV8_4_UBR2.pdf")</f>
        <v>Melting_Curves/meltCurve_Q8IWV8_4_UBR2.pdf</v>
      </c>
    </row>
    <row r="4029" spans="1:28" x14ac:dyDescent="0.25">
      <c r="A4029" t="s">
        <v>4033</v>
      </c>
      <c r="B4029">
        <v>0.99352677808782597</v>
      </c>
      <c r="C4029">
        <v>0.64924711992536099</v>
      </c>
      <c r="D4029">
        <v>1.02098535674028</v>
      </c>
      <c r="E4029">
        <v>0.77926141108108704</v>
      </c>
      <c r="F4029">
        <v>0.71836663637528897</v>
      </c>
      <c r="G4029">
        <v>0.35552923534492198</v>
      </c>
      <c r="H4029">
        <v>0.250339997086786</v>
      </c>
      <c r="I4029">
        <v>0.224157369200433</v>
      </c>
      <c r="J4029">
        <v>0.18446644007433899</v>
      </c>
      <c r="K4029">
        <v>0.14533127098142201</v>
      </c>
      <c r="L4029">
        <v>684.42567245702605</v>
      </c>
      <c r="M4029">
        <v>12.5134864239407</v>
      </c>
      <c r="N4029">
        <v>55.4915262901972</v>
      </c>
      <c r="O4029">
        <v>53.354587763543599</v>
      </c>
      <c r="P4029">
        <v>-5.3824850964488698E-2</v>
      </c>
      <c r="Q4029">
        <v>8.2201784059151004E-2</v>
      </c>
      <c r="R4029">
        <v>0.87664000552740096</v>
      </c>
      <c r="S4029" t="s">
        <v>10314</v>
      </c>
      <c r="T4029" t="s">
        <v>12568</v>
      </c>
      <c r="U4029" t="s">
        <v>12568</v>
      </c>
      <c r="V4029" t="s">
        <v>12568</v>
      </c>
      <c r="W4029" t="s">
        <v>16553</v>
      </c>
      <c r="X4029">
        <v>16</v>
      </c>
      <c r="Y4029" t="s">
        <v>22667</v>
      </c>
      <c r="Z4029" t="s">
        <v>28899</v>
      </c>
      <c r="AA4029">
        <v>0.55334131259307218</v>
      </c>
      <c r="AB4029" t="str">
        <f>HYPERLINK("Melting_Curves/meltCurve_Q8IWW6_2_ARHGAP12.pdf", "Melting_Curves/meltCurve_Q8IWW6_2_ARHGAP12.pdf")</f>
        <v>Melting_Curves/meltCurve_Q8IWW6_2_ARHGAP12.pdf</v>
      </c>
    </row>
    <row r="4030" spans="1:28" x14ac:dyDescent="0.25">
      <c r="A4030" t="s">
        <v>4034</v>
      </c>
      <c r="B4030">
        <v>0.99352677808782597</v>
      </c>
      <c r="C4030">
        <v>0.95085931374491395</v>
      </c>
      <c r="D4030">
        <v>0.97841910246804298</v>
      </c>
      <c r="E4030">
        <v>0.82666515972800303</v>
      </c>
      <c r="F4030">
        <v>0.71202979780345299</v>
      </c>
      <c r="G4030">
        <v>0.56268001077041196</v>
      </c>
      <c r="H4030">
        <v>0.441774747333113</v>
      </c>
      <c r="I4030">
        <v>0.44961942571305802</v>
      </c>
      <c r="J4030">
        <v>0.45612202397828799</v>
      </c>
      <c r="K4030">
        <v>0.42277340612005399</v>
      </c>
      <c r="L4030">
        <v>887.89003728456498</v>
      </c>
      <c r="M4030">
        <v>16.7873272612124</v>
      </c>
      <c r="N4030">
        <v>59.256218815917997</v>
      </c>
      <c r="O4030">
        <v>52.157069125874301</v>
      </c>
      <c r="P4030">
        <v>-4.6863420239644703E-2</v>
      </c>
      <c r="Q4030">
        <v>0.41763214669112098</v>
      </c>
      <c r="R4030">
        <v>0.99265275237398298</v>
      </c>
      <c r="S4030" t="s">
        <v>10315</v>
      </c>
      <c r="T4030" t="s">
        <v>12568</v>
      </c>
      <c r="U4030" t="s">
        <v>12568</v>
      </c>
      <c r="V4030" t="s">
        <v>12568</v>
      </c>
      <c r="W4030" t="s">
        <v>16554</v>
      </c>
      <c r="X4030">
        <v>12</v>
      </c>
      <c r="Y4030" t="s">
        <v>22668</v>
      </c>
      <c r="Z4030" t="s">
        <v>28900</v>
      </c>
      <c r="AA4030">
        <v>0.6785310082088194</v>
      </c>
      <c r="AB4030" t="str">
        <f>HYPERLINK("Melting_Curves/meltCurve_Q8IWX8_CHERP.pdf", "Melting_Curves/meltCurve_Q8IWX8_CHERP.pdf")</f>
        <v>Melting_Curves/meltCurve_Q8IWX8_CHERP.pdf</v>
      </c>
    </row>
    <row r="4031" spans="1:28" x14ac:dyDescent="0.25">
      <c r="A4031" t="s">
        <v>4035</v>
      </c>
      <c r="B4031">
        <v>0.99352677808782597</v>
      </c>
      <c r="C4031">
        <v>1.0497030039505399</v>
      </c>
      <c r="D4031">
        <v>0.73775222601763302</v>
      </c>
      <c r="E4031">
        <v>0.38189586142583298</v>
      </c>
      <c r="F4031">
        <v>0.28891815219414102</v>
      </c>
      <c r="G4031">
        <v>0.21249180610148699</v>
      </c>
      <c r="H4031">
        <v>0.120001944179562</v>
      </c>
      <c r="I4031">
        <v>2.15511311101079E-2</v>
      </c>
      <c r="J4031">
        <v>7.8638140443576393E-2</v>
      </c>
      <c r="K4031">
        <v>5.27494065809355E-2</v>
      </c>
      <c r="L4031">
        <v>905.16781802754997</v>
      </c>
      <c r="M4031">
        <v>18.563641260848499</v>
      </c>
      <c r="N4031">
        <v>49.200505290510399</v>
      </c>
      <c r="O4031">
        <v>48.204981758088302</v>
      </c>
      <c r="P4031">
        <v>-8.8911106654269198E-2</v>
      </c>
      <c r="Q4031">
        <v>7.6523577380698204E-2</v>
      </c>
      <c r="R4031">
        <v>0.97757895526745797</v>
      </c>
      <c r="S4031" t="s">
        <v>10316</v>
      </c>
      <c r="T4031" t="s">
        <v>12568</v>
      </c>
      <c r="U4031" t="s">
        <v>12568</v>
      </c>
      <c r="V4031" t="s">
        <v>12568</v>
      </c>
      <c r="W4031" t="s">
        <v>16555</v>
      </c>
      <c r="X4031">
        <v>2</v>
      </c>
      <c r="Y4031" t="s">
        <v>22669</v>
      </c>
      <c r="Z4031" t="s">
        <v>28901</v>
      </c>
      <c r="AA4031">
        <v>0.36128633884419059</v>
      </c>
      <c r="AB4031" t="str">
        <f>HYPERLINK("Melting_Curves/meltCurve_Q8IWY9_1_CDAN1.pdf", "Melting_Curves/meltCurve_Q8IWY9_1_CDAN1.pdf")</f>
        <v>Melting_Curves/meltCurve_Q8IWY9_1_CDAN1.pdf</v>
      </c>
    </row>
    <row r="4032" spans="1:28" x14ac:dyDescent="0.25">
      <c r="A4032" t="s">
        <v>4036</v>
      </c>
      <c r="B4032">
        <v>0.99352677808782597</v>
      </c>
      <c r="C4032">
        <v>0.96407807450163197</v>
      </c>
      <c r="D4032">
        <v>0.82651014600674899</v>
      </c>
      <c r="E4032">
        <v>0.52033051741557901</v>
      </c>
      <c r="F4032">
        <v>0.42442446778313803</v>
      </c>
      <c r="G4032">
        <v>0.30706115707117998</v>
      </c>
      <c r="H4032">
        <v>0.22384043485989899</v>
      </c>
      <c r="I4032">
        <v>0.21325662261129399</v>
      </c>
      <c r="J4032">
        <v>0.21255026589503101</v>
      </c>
      <c r="K4032">
        <v>0.181617575630275</v>
      </c>
      <c r="L4032">
        <v>805.48579037418097</v>
      </c>
      <c r="M4032">
        <v>16.285305849161102</v>
      </c>
      <c r="N4032">
        <v>51.0200809792792</v>
      </c>
      <c r="O4032">
        <v>48.733134856462897</v>
      </c>
      <c r="P4032">
        <v>-6.71712124749618E-2</v>
      </c>
      <c r="Q4032">
        <v>0.196030027822921</v>
      </c>
      <c r="R4032">
        <v>0.99515919702951605</v>
      </c>
      <c r="S4032" t="s">
        <v>10317</v>
      </c>
      <c r="T4032" t="s">
        <v>12568</v>
      </c>
      <c r="U4032" t="s">
        <v>12568</v>
      </c>
      <c r="V4032" t="s">
        <v>12568</v>
      </c>
      <c r="W4032" t="s">
        <v>16556</v>
      </c>
      <c r="X4032">
        <v>37</v>
      </c>
      <c r="Y4032" t="s">
        <v>19070</v>
      </c>
      <c r="Z4032" t="s">
        <v>28902</v>
      </c>
      <c r="AA4032">
        <v>0.46631987417953191</v>
      </c>
      <c r="AB4032" t="str">
        <f>HYPERLINK("Melting_Curves/meltCurve_Q8IWZ3_6_ANKHD1.pdf", "Melting_Curves/meltCurve_Q8IWZ3_6_ANKHD1.pdf")</f>
        <v>Melting_Curves/meltCurve_Q8IWZ3_6_ANKHD1.pdf</v>
      </c>
    </row>
    <row r="4033" spans="1:28" x14ac:dyDescent="0.25">
      <c r="A4033" t="s">
        <v>4037</v>
      </c>
      <c r="B4033">
        <v>0.99352677808782597</v>
      </c>
      <c r="C4033">
        <v>0.93613121089825002</v>
      </c>
      <c r="D4033">
        <v>0.91503571280816198</v>
      </c>
      <c r="E4033">
        <v>0.78503500143803295</v>
      </c>
      <c r="F4033">
        <v>0.67439360319719899</v>
      </c>
      <c r="G4033">
        <v>0.51061472044240497</v>
      </c>
      <c r="H4033">
        <v>0.3705841542876</v>
      </c>
      <c r="I4033">
        <v>0.32562382537969398</v>
      </c>
      <c r="J4033">
        <v>0.32019878906659899</v>
      </c>
      <c r="K4033">
        <v>0.25408090978738201</v>
      </c>
      <c r="L4033">
        <v>603.24129475493305</v>
      </c>
      <c r="M4033">
        <v>11.057591341501301</v>
      </c>
      <c r="N4033">
        <v>57.215026585154902</v>
      </c>
      <c r="O4033">
        <v>52.861356084113901</v>
      </c>
      <c r="P4033">
        <v>-4.1797410833893003E-2</v>
      </c>
      <c r="Q4033">
        <v>0.20100591201302201</v>
      </c>
      <c r="R4033">
        <v>0.99697865198311797</v>
      </c>
      <c r="S4033" t="s">
        <v>10318</v>
      </c>
      <c r="T4033" t="s">
        <v>12568</v>
      </c>
      <c r="U4033" t="s">
        <v>12568</v>
      </c>
      <c r="V4033" t="s">
        <v>12568</v>
      </c>
      <c r="W4033" t="s">
        <v>16557</v>
      </c>
      <c r="X4033">
        <v>16</v>
      </c>
      <c r="Y4033" t="s">
        <v>22670</v>
      </c>
      <c r="Z4033" t="s">
        <v>28903</v>
      </c>
      <c r="AA4033">
        <v>0.60958622223005388</v>
      </c>
      <c r="AB4033" t="str">
        <f>HYPERLINK("Melting_Curves/meltCurve_Q8IWZ8_SUGP1.pdf", "Melting_Curves/meltCurve_Q8IWZ8_SUGP1.pdf")</f>
        <v>Melting_Curves/meltCurve_Q8IWZ8_SUGP1.pdf</v>
      </c>
    </row>
    <row r="4034" spans="1:28" x14ac:dyDescent="0.25">
      <c r="A4034" t="s">
        <v>4038</v>
      </c>
      <c r="B4034">
        <v>0.99352677808782597</v>
      </c>
      <c r="C4034">
        <v>0.99315887895555499</v>
      </c>
      <c r="D4034">
        <v>0.91959491271266602</v>
      </c>
      <c r="E4034">
        <v>0.63715899201304604</v>
      </c>
      <c r="F4034">
        <v>0.60106694274428996</v>
      </c>
      <c r="G4034">
        <v>0.45424875489688499</v>
      </c>
      <c r="H4034">
        <v>0.39908200235303198</v>
      </c>
      <c r="I4034">
        <v>0.333651129360784</v>
      </c>
      <c r="J4034">
        <v>0.32466007056337098</v>
      </c>
      <c r="K4034">
        <v>0.275686715585026</v>
      </c>
      <c r="L4034">
        <v>692.71311735649397</v>
      </c>
      <c r="M4034">
        <v>13.464476464996901</v>
      </c>
      <c r="N4034">
        <v>54.996475975708201</v>
      </c>
      <c r="O4034">
        <v>50.352367274448099</v>
      </c>
      <c r="P4034">
        <v>-4.7452259604882203E-2</v>
      </c>
      <c r="Q4034">
        <v>0.29029065242150798</v>
      </c>
      <c r="R4034">
        <v>0.98354725143719801</v>
      </c>
      <c r="S4034" t="s">
        <v>10319</v>
      </c>
      <c r="T4034" t="s">
        <v>12568</v>
      </c>
      <c r="U4034" t="s">
        <v>12568</v>
      </c>
      <c r="V4034" t="s">
        <v>12568</v>
      </c>
      <c r="W4034" t="s">
        <v>16558</v>
      </c>
      <c r="X4034">
        <v>9</v>
      </c>
      <c r="Y4034" t="s">
        <v>22671</v>
      </c>
      <c r="Z4034" t="s">
        <v>28904</v>
      </c>
      <c r="AA4034">
        <v>0.5802017925712003</v>
      </c>
      <c r="AB4034" t="str">
        <f>HYPERLINK("Melting_Curves/meltCurve_Q8IX01_4_SUGP2.pdf", "Melting_Curves/meltCurve_Q8IX01_4_SUGP2.pdf")</f>
        <v>Melting_Curves/meltCurve_Q8IX01_4_SUGP2.pdf</v>
      </c>
    </row>
    <row r="4035" spans="1:28" x14ac:dyDescent="0.25">
      <c r="A4035" t="s">
        <v>4039</v>
      </c>
      <c r="B4035">
        <v>0.99352677808782597</v>
      </c>
      <c r="C4035">
        <v>0.93749371849767604</v>
      </c>
      <c r="D4035">
        <v>0.809752139419888</v>
      </c>
      <c r="E4035">
        <v>0.39252121740346801</v>
      </c>
      <c r="F4035">
        <v>0.32906080344641397</v>
      </c>
      <c r="G4035">
        <v>0.232258905017804</v>
      </c>
      <c r="H4035">
        <v>0.17112951025954401</v>
      </c>
      <c r="I4035">
        <v>0.170041862563788</v>
      </c>
      <c r="J4035">
        <v>0.14791664322235301</v>
      </c>
      <c r="K4035">
        <v>0.11165028646806099</v>
      </c>
      <c r="L4035">
        <v>953.43537755988405</v>
      </c>
      <c r="M4035">
        <v>19.683220738541699</v>
      </c>
      <c r="N4035">
        <v>49.3613795703234</v>
      </c>
      <c r="O4035">
        <v>47.947323739940202</v>
      </c>
      <c r="P4035">
        <v>-8.6840288699016804E-2</v>
      </c>
      <c r="Q4035">
        <v>0.15387524113884499</v>
      </c>
      <c r="R4035">
        <v>0.99101783217957595</v>
      </c>
      <c r="S4035" t="s">
        <v>10320</v>
      </c>
      <c r="T4035" t="s">
        <v>12568</v>
      </c>
      <c r="U4035" t="s">
        <v>12568</v>
      </c>
      <c r="V4035" t="s">
        <v>12568</v>
      </c>
      <c r="W4035" t="s">
        <v>16559</v>
      </c>
      <c r="X4035">
        <v>7</v>
      </c>
      <c r="Y4035" t="s">
        <v>22672</v>
      </c>
      <c r="Z4035" t="s">
        <v>28905</v>
      </c>
      <c r="AA4035">
        <v>0.40422453500823219</v>
      </c>
      <c r="AB4035" t="str">
        <f>HYPERLINK("Melting_Curves/meltCurve_Q8IX03_2_WWC1.pdf", "Melting_Curves/meltCurve_Q8IX03_2_WWC1.pdf")</f>
        <v>Melting_Curves/meltCurve_Q8IX03_2_WWC1.pdf</v>
      </c>
    </row>
    <row r="4036" spans="1:28" x14ac:dyDescent="0.25">
      <c r="A4036" t="s">
        <v>4040</v>
      </c>
      <c r="B4036">
        <v>0.99352677808782597</v>
      </c>
      <c r="C4036">
        <v>1.00123218384805</v>
      </c>
      <c r="D4036">
        <v>0.99418761752139995</v>
      </c>
      <c r="E4036">
        <v>0.58216076450374499</v>
      </c>
      <c r="F4036">
        <v>0.48558255988967303</v>
      </c>
      <c r="G4036">
        <v>0.192976629921287</v>
      </c>
      <c r="H4036">
        <v>0.116398611382179</v>
      </c>
      <c r="I4036">
        <v>8.7254255094564401E-2</v>
      </c>
      <c r="J4036">
        <v>7.5173062185777004E-2</v>
      </c>
      <c r="K4036">
        <v>5.2956525848917697E-2</v>
      </c>
      <c r="L4036">
        <v>950.13966128649804</v>
      </c>
      <c r="M4036">
        <v>18.374440036623099</v>
      </c>
      <c r="N4036">
        <v>52.061707751985097</v>
      </c>
      <c r="O4036">
        <v>51.109045528830997</v>
      </c>
      <c r="P4036">
        <v>-8.4634471953519599E-2</v>
      </c>
      <c r="Q4036">
        <v>5.8389740552325001E-2</v>
      </c>
      <c r="R4036">
        <v>0.987376658592649</v>
      </c>
      <c r="S4036" t="s">
        <v>10321</v>
      </c>
      <c r="T4036" t="s">
        <v>12568</v>
      </c>
      <c r="U4036" t="s">
        <v>12568</v>
      </c>
      <c r="V4036" t="s">
        <v>12568</v>
      </c>
      <c r="W4036" t="s">
        <v>16560</v>
      </c>
      <c r="X4036">
        <v>8</v>
      </c>
      <c r="Y4036" t="s">
        <v>22673</v>
      </c>
      <c r="Z4036" t="s">
        <v>28906</v>
      </c>
      <c r="AA4036">
        <v>0.44110233889744321</v>
      </c>
      <c r="AB4036" t="str">
        <f>HYPERLINK("Melting_Curves/meltCurve_Q8IX04_6_UEVLD.pdf", "Melting_Curves/meltCurve_Q8IX04_6_UEVLD.pdf")</f>
        <v>Melting_Curves/meltCurve_Q8IX04_6_UEVLD.pdf</v>
      </c>
    </row>
    <row r="4037" spans="1:28" x14ac:dyDescent="0.25">
      <c r="A4037" t="s">
        <v>4041</v>
      </c>
      <c r="B4037">
        <v>0.99352677808782597</v>
      </c>
      <c r="C4037">
        <v>1.0087540948409399</v>
      </c>
      <c r="D4037">
        <v>1.03621609834214</v>
      </c>
      <c r="E4037">
        <v>0.93470551988792505</v>
      </c>
      <c r="F4037">
        <v>0.95112417338682698</v>
      </c>
      <c r="G4037">
        <v>0.68567100731520603</v>
      </c>
      <c r="H4037">
        <v>0.67840093715440097</v>
      </c>
      <c r="I4037">
        <v>0.62335837892298396</v>
      </c>
      <c r="J4037">
        <v>0.72976767738179005</v>
      </c>
      <c r="K4037">
        <v>0.54619473290546905</v>
      </c>
      <c r="L4037">
        <v>2543.4177847548199</v>
      </c>
      <c r="M4037">
        <v>46.377498578363998</v>
      </c>
      <c r="O4037">
        <v>54.739963741937999</v>
      </c>
      <c r="P4037">
        <v>-7.5873857245860807E-2</v>
      </c>
      <c r="Q4037">
        <v>0.64178084645974698</v>
      </c>
      <c r="R4037">
        <v>0.92162753237279804</v>
      </c>
      <c r="S4037" t="s">
        <v>10322</v>
      </c>
      <c r="T4037" t="s">
        <v>12568</v>
      </c>
      <c r="U4037" t="s">
        <v>12568</v>
      </c>
      <c r="V4037" t="s">
        <v>12568</v>
      </c>
      <c r="W4037" t="s">
        <v>16561</v>
      </c>
      <c r="X4037">
        <v>1</v>
      </c>
      <c r="Y4037" t="s">
        <v>22674</v>
      </c>
      <c r="Z4037" t="s">
        <v>28907</v>
      </c>
      <c r="AA4037">
        <v>0.82000651469649932</v>
      </c>
      <c r="AB4037" t="str">
        <f>HYPERLINK("Melting_Curves/meltCurve_Q8IX07_ZFPM1.pdf", "Melting_Curves/meltCurve_Q8IX07_ZFPM1.pdf")</f>
        <v>Melting_Curves/meltCurve_Q8IX07_ZFPM1.pdf</v>
      </c>
    </row>
    <row r="4038" spans="1:28" x14ac:dyDescent="0.25">
      <c r="A4038" t="s">
        <v>4042</v>
      </c>
      <c r="B4038">
        <v>0.99352677808782597</v>
      </c>
      <c r="C4038">
        <v>0.99708074719598305</v>
      </c>
      <c r="D4038">
        <v>1.0452701775893201</v>
      </c>
      <c r="E4038">
        <v>0.89276441237472504</v>
      </c>
      <c r="F4038">
        <v>0.74460823141758403</v>
      </c>
      <c r="G4038">
        <v>0.58823310984939903</v>
      </c>
      <c r="H4038">
        <v>0.50055298962349004</v>
      </c>
      <c r="I4038">
        <v>0.47556052794373699</v>
      </c>
      <c r="J4038">
        <v>0.48876375270403599</v>
      </c>
      <c r="K4038">
        <v>0.39285684703902202</v>
      </c>
      <c r="L4038">
        <v>1055.8014904919301</v>
      </c>
      <c r="M4038">
        <v>19.623647954949099</v>
      </c>
      <c r="N4038">
        <v>60.391598311829</v>
      </c>
      <c r="O4038">
        <v>53.253134927281202</v>
      </c>
      <c r="P4038">
        <v>-5.1477683650141701E-2</v>
      </c>
      <c r="Q4038">
        <v>0.44123501466761</v>
      </c>
      <c r="R4038">
        <v>0.98423891898409499</v>
      </c>
      <c r="S4038" t="s">
        <v>10323</v>
      </c>
      <c r="T4038" t="s">
        <v>12568</v>
      </c>
      <c r="U4038" t="s">
        <v>12568</v>
      </c>
      <c r="V4038" t="s">
        <v>12568</v>
      </c>
      <c r="W4038" t="s">
        <v>16562</v>
      </c>
      <c r="X4038">
        <v>11</v>
      </c>
      <c r="Y4038" t="s">
        <v>22675</v>
      </c>
      <c r="Z4038" t="s">
        <v>28908</v>
      </c>
      <c r="AA4038">
        <v>0.70616838496717738</v>
      </c>
      <c r="AB4038" t="str">
        <f>HYPERLINK("Melting_Curves/meltCurve_Q8IX12_2_CCAR1.pdf", "Melting_Curves/meltCurve_Q8IX12_2_CCAR1.pdf")</f>
        <v>Melting_Curves/meltCurve_Q8IX12_2_CCAR1.pdf</v>
      </c>
    </row>
    <row r="4039" spans="1:28" x14ac:dyDescent="0.25">
      <c r="A4039" t="s">
        <v>4043</v>
      </c>
      <c r="B4039">
        <v>0.99352677808782597</v>
      </c>
      <c r="C4039">
        <v>0.95624722766317305</v>
      </c>
      <c r="D4039">
        <v>0.85068501599840296</v>
      </c>
      <c r="E4039">
        <v>0.599084062537941</v>
      </c>
      <c r="F4039">
        <v>0.49754878280741699</v>
      </c>
      <c r="G4039">
        <v>0.33899936435115002</v>
      </c>
      <c r="H4039">
        <v>0.22160888972251</v>
      </c>
      <c r="I4039">
        <v>0.22315064532413401</v>
      </c>
      <c r="J4039">
        <v>0.20630345631244801</v>
      </c>
      <c r="K4039">
        <v>0.169459392399058</v>
      </c>
      <c r="L4039">
        <v>692.12194641929</v>
      </c>
      <c r="M4039">
        <v>13.5828473807929</v>
      </c>
      <c r="N4039">
        <v>52.486580361645103</v>
      </c>
      <c r="O4039">
        <v>49.889161813835599</v>
      </c>
      <c r="P4039">
        <v>-5.6940621331876398E-2</v>
      </c>
      <c r="Q4039">
        <v>0.163563826678677</v>
      </c>
      <c r="R4039">
        <v>0.996266210381335</v>
      </c>
      <c r="S4039" t="s">
        <v>10324</v>
      </c>
      <c r="T4039" t="s">
        <v>12568</v>
      </c>
      <c r="U4039" t="s">
        <v>12568</v>
      </c>
      <c r="V4039" t="s">
        <v>12568</v>
      </c>
      <c r="W4039" t="s">
        <v>16563</v>
      </c>
      <c r="X4039">
        <v>1</v>
      </c>
      <c r="Y4039" t="s">
        <v>22676</v>
      </c>
      <c r="Z4039" t="s">
        <v>28909</v>
      </c>
      <c r="AA4039">
        <v>0.49172970170181379</v>
      </c>
      <c r="AB4039" t="str">
        <f>HYPERLINK("Melting_Curves/meltCurve_Q8IX15_HOMEZ.pdf", "Melting_Curves/meltCurve_Q8IX15_HOMEZ.pdf")</f>
        <v>Melting_Curves/meltCurve_Q8IX15_HOMEZ.pdf</v>
      </c>
    </row>
    <row r="4040" spans="1:28" x14ac:dyDescent="0.25">
      <c r="A4040" t="s">
        <v>4044</v>
      </c>
      <c r="B4040">
        <v>0.99352677808782597</v>
      </c>
      <c r="C4040">
        <v>0.96659251770352606</v>
      </c>
      <c r="D4040">
        <v>0.81315312177479904</v>
      </c>
      <c r="E4040">
        <v>0.34519552629094902</v>
      </c>
      <c r="F4040">
        <v>0.25176519712941098</v>
      </c>
      <c r="G4040">
        <v>0.16161821219029401</v>
      </c>
      <c r="H4040">
        <v>8.1804919188741207E-2</v>
      </c>
      <c r="I4040">
        <v>6.8724078539541697E-2</v>
      </c>
      <c r="J4040">
        <v>6.7108504610508504E-2</v>
      </c>
      <c r="K4040">
        <v>5.8186895103948401E-2</v>
      </c>
      <c r="L4040">
        <v>1068.22934864897</v>
      </c>
      <c r="M4040">
        <v>22.002620441046901</v>
      </c>
      <c r="N4040">
        <v>48.934045105969702</v>
      </c>
      <c r="O4040">
        <v>48.154406532775901</v>
      </c>
      <c r="P4040">
        <v>-0.10517592485387001</v>
      </c>
      <c r="Q4040">
        <v>7.9278856924892199E-2</v>
      </c>
      <c r="R4040">
        <v>0.99336119900225395</v>
      </c>
      <c r="S4040" t="s">
        <v>10325</v>
      </c>
      <c r="T4040" t="s">
        <v>12568</v>
      </c>
      <c r="U4040" t="s">
        <v>12568</v>
      </c>
      <c r="V4040" t="s">
        <v>12568</v>
      </c>
      <c r="W4040" t="s">
        <v>16564</v>
      </c>
      <c r="X4040">
        <v>8</v>
      </c>
      <c r="Y4040" t="s">
        <v>22677</v>
      </c>
      <c r="Z4040" t="s">
        <v>28910</v>
      </c>
      <c r="AA4040">
        <v>0.35231647459751808</v>
      </c>
      <c r="AB4040" t="str">
        <f>HYPERLINK("Melting_Curves/meltCurve_Q8IX18_3_DHX40.pdf", "Melting_Curves/meltCurve_Q8IX18_3_DHX40.pdf")</f>
        <v>Melting_Curves/meltCurve_Q8IX18_3_DHX40.pdf</v>
      </c>
    </row>
    <row r="4041" spans="1:28" x14ac:dyDescent="0.25">
      <c r="A4041" t="s">
        <v>4045</v>
      </c>
      <c r="B4041">
        <v>0.99352677808782597</v>
      </c>
      <c r="C4041">
        <v>0.78037583003560496</v>
      </c>
      <c r="D4041">
        <v>0.62811279745281401</v>
      </c>
      <c r="E4041">
        <v>0.50413891789299003</v>
      </c>
      <c r="F4041">
        <v>0.39451668566117198</v>
      </c>
      <c r="G4041">
        <v>0.44541744342160999</v>
      </c>
      <c r="H4041">
        <v>0.46964036071259402</v>
      </c>
      <c r="I4041">
        <v>0.490028548881146</v>
      </c>
      <c r="J4041">
        <v>0.60891111657113195</v>
      </c>
      <c r="K4041">
        <v>0.61427400296642598</v>
      </c>
      <c r="L4041">
        <v>1242.7417672670599</v>
      </c>
      <c r="M4041">
        <v>28.5313237542866</v>
      </c>
      <c r="O4041">
        <v>43.344814442289497</v>
      </c>
      <c r="P4041">
        <v>-8.1521866990697606E-2</v>
      </c>
      <c r="Q4041">
        <v>0.50461162187514397</v>
      </c>
      <c r="R4041">
        <v>0.85093657219984598</v>
      </c>
      <c r="S4041" t="s">
        <v>10326</v>
      </c>
      <c r="T4041" t="s">
        <v>12568</v>
      </c>
      <c r="U4041" t="s">
        <v>12568</v>
      </c>
      <c r="V4041" t="s">
        <v>12568</v>
      </c>
      <c r="W4041" t="s">
        <v>16565</v>
      </c>
      <c r="X4041">
        <v>5</v>
      </c>
      <c r="Y4041" t="s">
        <v>22678</v>
      </c>
      <c r="Z4041" t="s">
        <v>28911</v>
      </c>
      <c r="AA4041">
        <v>0.56782772194791165</v>
      </c>
      <c r="AB4041" t="str">
        <f>HYPERLINK("Melting_Curves/meltCurve_Q8IX90_SKA3.pdf", "Melting_Curves/meltCurve_Q8IX90_SKA3.pdf")</f>
        <v>Melting_Curves/meltCurve_Q8IX90_SKA3.pdf</v>
      </c>
    </row>
    <row r="4042" spans="1:28" x14ac:dyDescent="0.25">
      <c r="A4042" t="s">
        <v>4046</v>
      </c>
      <c r="B4042">
        <v>0.99352677808782597</v>
      </c>
      <c r="C4042">
        <v>0.86612729671166999</v>
      </c>
      <c r="D4042">
        <v>0.91697373440825303</v>
      </c>
      <c r="E4042">
        <v>0.57179418121234304</v>
      </c>
      <c r="F4042">
        <v>0.50584076033090297</v>
      </c>
      <c r="G4042">
        <v>0.29196071837085302</v>
      </c>
      <c r="H4042">
        <v>0.14107101504441499</v>
      </c>
      <c r="I4042">
        <v>0.13867087528599101</v>
      </c>
      <c r="J4042">
        <v>0.117302382989538</v>
      </c>
      <c r="K4042">
        <v>9.01343186357451E-2</v>
      </c>
      <c r="L4042">
        <v>651.76758103902603</v>
      </c>
      <c r="M4042">
        <v>12.5640366999971</v>
      </c>
      <c r="N4042">
        <v>52.339838618203501</v>
      </c>
      <c r="O4042">
        <v>50.614084989028697</v>
      </c>
      <c r="P4042">
        <v>-5.8798064089804002E-2</v>
      </c>
      <c r="Q4042">
        <v>5.2721644444657198E-2</v>
      </c>
      <c r="R4042">
        <v>0.98415903978217301</v>
      </c>
      <c r="S4042" t="s">
        <v>10327</v>
      </c>
      <c r="T4042" t="s">
        <v>12568</v>
      </c>
      <c r="U4042" t="s">
        <v>12568</v>
      </c>
      <c r="V4042" t="s">
        <v>12568</v>
      </c>
      <c r="W4042" t="s">
        <v>16566</v>
      </c>
      <c r="X4042">
        <v>3</v>
      </c>
      <c r="Y4042" t="s">
        <v>22679</v>
      </c>
      <c r="Z4042" t="s">
        <v>28912</v>
      </c>
      <c r="AA4042">
        <v>0.45520748873237998</v>
      </c>
      <c r="AB4042" t="str">
        <f>HYPERLINK("Melting_Curves/meltCurve_Q8IXB1_DNAJC10.pdf", "Melting_Curves/meltCurve_Q8IXB1_DNAJC10.pdf")</f>
        <v>Melting_Curves/meltCurve_Q8IXB1_DNAJC10.pdf</v>
      </c>
    </row>
    <row r="4043" spans="1:28" x14ac:dyDescent="0.25">
      <c r="A4043" t="s">
        <v>4047</v>
      </c>
      <c r="B4043">
        <v>0.99352677808782597</v>
      </c>
      <c r="C4043">
        <v>0.91610526810380799</v>
      </c>
      <c r="D4043">
        <v>0.76163117622587195</v>
      </c>
      <c r="E4043">
        <v>0.25153385081594298</v>
      </c>
      <c r="F4043">
        <v>0.18420019709077601</v>
      </c>
      <c r="G4043">
        <v>0.10347493978465699</v>
      </c>
      <c r="H4043">
        <v>4.9894614699182598E-2</v>
      </c>
      <c r="I4043">
        <v>5.0224850910643201E-2</v>
      </c>
      <c r="J4043">
        <v>4.2229979661676402E-2</v>
      </c>
      <c r="K4043">
        <v>3.3404669288441297E-2</v>
      </c>
      <c r="L4043">
        <v>1142.34853085638</v>
      </c>
      <c r="M4043">
        <v>23.902492188900901</v>
      </c>
      <c r="N4043">
        <v>48.0186727196593</v>
      </c>
      <c r="O4043">
        <v>47.461276462354903</v>
      </c>
      <c r="P4043">
        <v>-0.119191020430886</v>
      </c>
      <c r="Q4043">
        <v>5.3342720244944901E-2</v>
      </c>
      <c r="R4043">
        <v>0.99447516820148096</v>
      </c>
      <c r="S4043" t="s">
        <v>10328</v>
      </c>
      <c r="T4043" t="s">
        <v>12568</v>
      </c>
      <c r="U4043" t="s">
        <v>12568</v>
      </c>
      <c r="V4043" t="s">
        <v>12568</v>
      </c>
      <c r="W4043" t="s">
        <v>16567</v>
      </c>
      <c r="X4043">
        <v>6</v>
      </c>
      <c r="Y4043" t="s">
        <v>22680</v>
      </c>
      <c r="Z4043" t="s">
        <v>28913</v>
      </c>
      <c r="AA4043">
        <v>0.30844078521221452</v>
      </c>
      <c r="AB4043" t="str">
        <f>HYPERLINK("Melting_Curves/meltCurve_Q8IXH7_4_NELFCD.pdf", "Melting_Curves/meltCurve_Q8IXH7_4_NELFCD.pdf")</f>
        <v>Melting_Curves/meltCurve_Q8IXH7_4_NELFCD.pdf</v>
      </c>
    </row>
    <row r="4044" spans="1:28" x14ac:dyDescent="0.25">
      <c r="A4044" t="s">
        <v>4048</v>
      </c>
      <c r="B4044">
        <v>0.99352677808782597</v>
      </c>
      <c r="C4044">
        <v>0.97585202344078403</v>
      </c>
      <c r="D4044">
        <v>0.95104639432205795</v>
      </c>
      <c r="E4044">
        <v>0.50342330795378298</v>
      </c>
      <c r="F4044">
        <v>0.39328984886650897</v>
      </c>
      <c r="G4044">
        <v>0.26515673542260698</v>
      </c>
      <c r="H4044">
        <v>0.19175749033216499</v>
      </c>
      <c r="I4044">
        <v>0.18744904773558199</v>
      </c>
      <c r="J4044">
        <v>0.173741073647038</v>
      </c>
      <c r="K4044">
        <v>0.132178774338327</v>
      </c>
      <c r="L4044">
        <v>1097.23629499958</v>
      </c>
      <c r="M4044">
        <v>22.023980662654299</v>
      </c>
      <c r="N4044">
        <v>50.824656760884302</v>
      </c>
      <c r="O4044">
        <v>49.414790467690601</v>
      </c>
      <c r="P4044">
        <v>-9.1762956777374102E-2</v>
      </c>
      <c r="Q4044">
        <v>0.17647103726907301</v>
      </c>
      <c r="R4044">
        <v>0.98752727074140501</v>
      </c>
      <c r="S4044" t="s">
        <v>10329</v>
      </c>
      <c r="T4044" t="s">
        <v>12568</v>
      </c>
      <c r="U4044" t="s">
        <v>12568</v>
      </c>
      <c r="V4044" t="s">
        <v>12568</v>
      </c>
      <c r="W4044" t="s">
        <v>16568</v>
      </c>
      <c r="X4044">
        <v>6</v>
      </c>
      <c r="Y4044" t="s">
        <v>22681</v>
      </c>
      <c r="Z4044" t="s">
        <v>28914</v>
      </c>
      <c r="AA4044">
        <v>0.45551953889611158</v>
      </c>
      <c r="AB4044" t="str">
        <f>HYPERLINK("Melting_Curves/meltCurve_Q8IXJ6_2_SIRT2.pdf", "Melting_Curves/meltCurve_Q8IXJ6_2_SIRT2.pdf")</f>
        <v>Melting_Curves/meltCurve_Q8IXJ6_2_SIRT2.pdf</v>
      </c>
    </row>
    <row r="4045" spans="1:28" x14ac:dyDescent="0.25">
      <c r="A4045" t="s">
        <v>4049</v>
      </c>
      <c r="B4045">
        <v>0.99352677808782597</v>
      </c>
      <c r="C4045">
        <v>0.99382316382910296</v>
      </c>
      <c r="D4045">
        <v>1.0006482910468799</v>
      </c>
      <c r="E4045">
        <v>0.67774596986782198</v>
      </c>
      <c r="F4045">
        <v>0.61064125078742804</v>
      </c>
      <c r="G4045">
        <v>0.47551303572570602</v>
      </c>
      <c r="H4045">
        <v>0.36447200507618499</v>
      </c>
      <c r="I4045">
        <v>0.356992804366079</v>
      </c>
      <c r="J4045">
        <v>0.35220027443594598</v>
      </c>
      <c r="K4045">
        <v>0.31226716971628399</v>
      </c>
      <c r="L4045">
        <v>877.51412724610304</v>
      </c>
      <c r="M4045">
        <v>17.019289496250401</v>
      </c>
      <c r="N4045">
        <v>55.057700794084496</v>
      </c>
      <c r="O4045">
        <v>50.863923128882703</v>
      </c>
      <c r="P4045">
        <v>-5.6015572152475102E-2</v>
      </c>
      <c r="Q4045">
        <v>0.330407658921687</v>
      </c>
      <c r="R4045">
        <v>0.98112384485303406</v>
      </c>
      <c r="S4045" t="s">
        <v>10330</v>
      </c>
      <c r="T4045" t="s">
        <v>12568</v>
      </c>
      <c r="U4045" t="s">
        <v>12568</v>
      </c>
      <c r="V4045" t="s">
        <v>12568</v>
      </c>
      <c r="W4045" t="s">
        <v>16569</v>
      </c>
      <c r="X4045">
        <v>4</v>
      </c>
      <c r="Y4045" t="s">
        <v>22682</v>
      </c>
      <c r="Z4045" t="s">
        <v>28915</v>
      </c>
      <c r="AA4045">
        <v>0.60076807474515759</v>
      </c>
      <c r="AB4045" t="str">
        <f>HYPERLINK("Melting_Curves/meltCurve_Q8IXK0_2_PHC2.pdf", "Melting_Curves/meltCurve_Q8IXK0_2_PHC2.pdf")</f>
        <v>Melting_Curves/meltCurve_Q8IXK0_2_PHC2.pdf</v>
      </c>
    </row>
    <row r="4046" spans="1:28" x14ac:dyDescent="0.25">
      <c r="A4046" t="s">
        <v>4050</v>
      </c>
      <c r="B4046">
        <v>0.99352677808782597</v>
      </c>
      <c r="C4046">
        <v>1.00058396627588</v>
      </c>
      <c r="D4046">
        <v>1.0632174396784499</v>
      </c>
      <c r="E4046">
        <v>0.796945515533797</v>
      </c>
      <c r="F4046">
        <v>0.50865799130384104</v>
      </c>
      <c r="G4046">
        <v>0.28586476332395</v>
      </c>
      <c r="H4046">
        <v>0.156704103450414</v>
      </c>
      <c r="I4046">
        <v>0.17217289950988299</v>
      </c>
      <c r="J4046">
        <v>9.5846226157118103E-2</v>
      </c>
      <c r="K4046">
        <v>4.2864272243691701E-2</v>
      </c>
      <c r="L4046">
        <v>1149.78332048578</v>
      </c>
      <c r="M4046">
        <v>21.7289998421154</v>
      </c>
      <c r="N4046">
        <v>53.455993756739801</v>
      </c>
      <c r="O4046">
        <v>52.472632848612903</v>
      </c>
      <c r="P4046">
        <v>-9.3304156741583696E-2</v>
      </c>
      <c r="Q4046">
        <v>9.8752828388665906E-2</v>
      </c>
      <c r="R4046">
        <v>0.98828052595561899</v>
      </c>
      <c r="S4046" t="s">
        <v>10331</v>
      </c>
      <c r="T4046" t="s">
        <v>12568</v>
      </c>
      <c r="U4046" t="s">
        <v>12568</v>
      </c>
      <c r="V4046" t="s">
        <v>12568</v>
      </c>
      <c r="W4046" t="s">
        <v>16570</v>
      </c>
      <c r="X4046">
        <v>1</v>
      </c>
      <c r="Y4046" t="s">
        <v>22683</v>
      </c>
      <c r="Z4046" t="s">
        <v>28916</v>
      </c>
      <c r="AA4046">
        <v>0.49745880064780063</v>
      </c>
      <c r="AB4046" t="str">
        <f>HYPERLINK("Melting_Curves/meltCurve_Q8IXN7_RIMKLA.pdf", "Melting_Curves/meltCurve_Q8IXN7_RIMKLA.pdf")</f>
        <v>Melting_Curves/meltCurve_Q8IXN7_RIMKLA.pdf</v>
      </c>
    </row>
    <row r="4047" spans="1:28" x14ac:dyDescent="0.25">
      <c r="A4047" t="s">
        <v>4051</v>
      </c>
      <c r="B4047">
        <v>0.99352677808782597</v>
      </c>
      <c r="C4047">
        <v>0.95055087215867695</v>
      </c>
      <c r="D4047">
        <v>0.95460645771987995</v>
      </c>
      <c r="E4047">
        <v>0.95369495872806898</v>
      </c>
      <c r="F4047">
        <v>0.94199795640579298</v>
      </c>
      <c r="G4047">
        <v>0.88438752132370801</v>
      </c>
      <c r="H4047">
        <v>0.88151416473074495</v>
      </c>
      <c r="I4047">
        <v>0.91625412022100805</v>
      </c>
      <c r="J4047">
        <v>0.87594902218679804</v>
      </c>
      <c r="K4047">
        <v>0.80020961272695601</v>
      </c>
      <c r="L4047">
        <v>214.202472217294</v>
      </c>
      <c r="M4047">
        <v>1.42545562003016</v>
      </c>
      <c r="Q4047">
        <v>0</v>
      </c>
      <c r="R4047">
        <v>0.80731519736731905</v>
      </c>
      <c r="S4047" t="s">
        <v>10332</v>
      </c>
      <c r="T4047" t="s">
        <v>12568</v>
      </c>
      <c r="U4047" t="s">
        <v>12568</v>
      </c>
      <c r="V4047" t="s">
        <v>12568</v>
      </c>
      <c r="W4047" t="s">
        <v>16571</v>
      </c>
      <c r="X4047">
        <v>4</v>
      </c>
      <c r="Y4047" t="s">
        <v>22684</v>
      </c>
      <c r="Z4047" t="s">
        <v>28917</v>
      </c>
      <c r="AA4047">
        <v>0.91751996944308423</v>
      </c>
      <c r="AB4047" t="str">
        <f>HYPERLINK("Melting_Curves/meltCurve_Q8IXQ3_C9orf40.pdf", "Melting_Curves/meltCurve_Q8IXQ3_C9orf40.pdf")</f>
        <v>Melting_Curves/meltCurve_Q8IXQ3_C9orf40.pdf</v>
      </c>
    </row>
    <row r="4048" spans="1:28" x14ac:dyDescent="0.25">
      <c r="A4048" t="s">
        <v>4052</v>
      </c>
      <c r="B4048">
        <v>0.99352677808782597</v>
      </c>
      <c r="C4048">
        <v>0.94585962863063</v>
      </c>
      <c r="D4048">
        <v>0.99725702498798796</v>
      </c>
      <c r="E4048">
        <v>0.99192090130100696</v>
      </c>
      <c r="F4048">
        <v>0.91038644152554804</v>
      </c>
      <c r="G4048">
        <v>0.85319562897744405</v>
      </c>
      <c r="H4048">
        <v>0.86585059666775699</v>
      </c>
      <c r="I4048">
        <v>0.90241072483589901</v>
      </c>
      <c r="J4048">
        <v>1.02168601398991</v>
      </c>
      <c r="K4048">
        <v>0.86958454498045701</v>
      </c>
      <c r="L4048">
        <v>4355.4123082586102</v>
      </c>
      <c r="M4048">
        <v>84.678549171797897</v>
      </c>
      <c r="O4048">
        <v>51.405985323154702</v>
      </c>
      <c r="P4048">
        <v>-4.01054347563434E-2</v>
      </c>
      <c r="Q4048">
        <v>0.90261243195323404</v>
      </c>
      <c r="R4048">
        <v>0.38062441463966901</v>
      </c>
      <c r="S4048" t="s">
        <v>10333</v>
      </c>
      <c r="T4048" t="s">
        <v>12568</v>
      </c>
      <c r="U4048" t="s">
        <v>12568</v>
      </c>
      <c r="V4048" t="s">
        <v>12568</v>
      </c>
      <c r="W4048" t="s">
        <v>16572</v>
      </c>
      <c r="X4048">
        <v>14</v>
      </c>
      <c r="Y4048" t="s">
        <v>22685</v>
      </c>
      <c r="Z4048" t="s">
        <v>28918</v>
      </c>
      <c r="AA4048">
        <v>0.93980897544372866</v>
      </c>
      <c r="AB4048" t="str">
        <f>HYPERLINK("Melting_Curves/meltCurve_Q8IXQ4_KIAA1704.pdf", "Melting_Curves/meltCurve_Q8IXQ4_KIAA1704.pdf")</f>
        <v>Melting_Curves/meltCurve_Q8IXQ4_KIAA1704.pdf</v>
      </c>
    </row>
    <row r="4049" spans="1:28" x14ac:dyDescent="0.25">
      <c r="A4049" t="s">
        <v>4053</v>
      </c>
      <c r="B4049">
        <v>0.99352677808782597</v>
      </c>
      <c r="C4049">
        <v>0.93683364252932899</v>
      </c>
      <c r="D4049">
        <v>0.92966803064331205</v>
      </c>
      <c r="E4049">
        <v>0.52138795900625401</v>
      </c>
      <c r="F4049">
        <v>0.451730610664133</v>
      </c>
      <c r="G4049">
        <v>0.308457936609631</v>
      </c>
      <c r="H4049">
        <v>0.239967391161205</v>
      </c>
      <c r="I4049">
        <v>0.22336036572288701</v>
      </c>
      <c r="J4049">
        <v>0.190830586442263</v>
      </c>
      <c r="K4049">
        <v>0.19131754372950699</v>
      </c>
      <c r="L4049">
        <v>897.48697199867604</v>
      </c>
      <c r="M4049">
        <v>17.9689705572539</v>
      </c>
      <c r="N4049">
        <v>51.443007932984202</v>
      </c>
      <c r="O4049">
        <v>49.340206178053897</v>
      </c>
      <c r="P4049">
        <v>-7.2517334230662797E-2</v>
      </c>
      <c r="Q4049">
        <v>0.20355082595319199</v>
      </c>
      <c r="R4049">
        <v>0.98548818598689703</v>
      </c>
      <c r="S4049" t="s">
        <v>10334</v>
      </c>
      <c r="T4049" t="s">
        <v>12568</v>
      </c>
      <c r="U4049" t="s">
        <v>12568</v>
      </c>
      <c r="V4049" t="s">
        <v>12568</v>
      </c>
      <c r="W4049" t="s">
        <v>16573</v>
      </c>
      <c r="X4049">
        <v>3</v>
      </c>
      <c r="Y4049" t="s">
        <v>22686</v>
      </c>
      <c r="Z4049" t="s">
        <v>28919</v>
      </c>
      <c r="AA4049">
        <v>0.48124979667351109</v>
      </c>
      <c r="AB4049" t="str">
        <f>HYPERLINK("Melting_Curves/meltCurve_Q8IXW5_2_RPAP2.pdf", "Melting_Curves/meltCurve_Q8IXW5_2_RPAP2.pdf")</f>
        <v>Melting_Curves/meltCurve_Q8IXW5_2_RPAP2.pdf</v>
      </c>
    </row>
    <row r="4050" spans="1:28" x14ac:dyDescent="0.25">
      <c r="A4050" t="s">
        <v>4054</v>
      </c>
      <c r="B4050">
        <v>0.99352677808782597</v>
      </c>
      <c r="C4050">
        <v>0.80571434868798997</v>
      </c>
      <c r="D4050">
        <v>0.48715359988243401</v>
      </c>
      <c r="E4050">
        <v>0.15929195184712</v>
      </c>
      <c r="F4050">
        <v>0.11481831252007001</v>
      </c>
      <c r="G4050">
        <v>6.0663522288995998E-2</v>
      </c>
      <c r="H4050">
        <v>3.59767455625538E-2</v>
      </c>
      <c r="I4050">
        <v>3.16531659740081E-2</v>
      </c>
      <c r="J4050">
        <v>2.7085781661438799E-2</v>
      </c>
      <c r="K4050">
        <v>1.7503199791142302E-2</v>
      </c>
      <c r="L4050">
        <v>982.24744498569203</v>
      </c>
      <c r="M4050">
        <v>21.4649338458707</v>
      </c>
      <c r="N4050">
        <v>45.912106848625598</v>
      </c>
      <c r="O4050">
        <v>45.368940594775701</v>
      </c>
      <c r="P4050">
        <v>-0.114237872298784</v>
      </c>
      <c r="Q4050">
        <v>3.4197124896710403E-2</v>
      </c>
      <c r="R4050">
        <v>0.99745065693788104</v>
      </c>
      <c r="S4050" t="s">
        <v>10335</v>
      </c>
      <c r="T4050" t="s">
        <v>12568</v>
      </c>
      <c r="U4050" t="s">
        <v>12568</v>
      </c>
      <c r="V4050" t="s">
        <v>12568</v>
      </c>
      <c r="W4050" t="s">
        <v>16574</v>
      </c>
      <c r="X4050">
        <v>6</v>
      </c>
      <c r="Y4050" t="s">
        <v>22687</v>
      </c>
      <c r="Z4050" t="s">
        <v>28920</v>
      </c>
      <c r="AA4050">
        <v>0.2325549203850763</v>
      </c>
      <c r="AB4050" t="str">
        <f>HYPERLINK("Melting_Curves/meltCurve_Q8IY22_CMIP.pdf", "Melting_Curves/meltCurve_Q8IY22_CMIP.pdf")</f>
        <v>Melting_Curves/meltCurve_Q8IY22_CMIP.pdf</v>
      </c>
    </row>
    <row r="4051" spans="1:28" x14ac:dyDescent="0.25">
      <c r="A4051" t="s">
        <v>4055</v>
      </c>
      <c r="B4051">
        <v>0.99352677808782597</v>
      </c>
      <c r="C4051">
        <v>1.0819290851966099</v>
      </c>
      <c r="D4051">
        <v>1.09971150935733</v>
      </c>
      <c r="E4051">
        <v>1.0877699072659399</v>
      </c>
      <c r="F4051">
        <v>0.90861657308645905</v>
      </c>
      <c r="G4051">
        <v>0.75200538856606403</v>
      </c>
      <c r="H4051">
        <v>0.55749862899008495</v>
      </c>
      <c r="I4051">
        <v>0.53369061601571599</v>
      </c>
      <c r="J4051">
        <v>0.62169426827769003</v>
      </c>
      <c r="K4051">
        <v>0.538584718212471</v>
      </c>
      <c r="L4051">
        <v>1920.4507314119801</v>
      </c>
      <c r="M4051">
        <v>34.114487235385603</v>
      </c>
      <c r="O4051">
        <v>56.1019034141001</v>
      </c>
      <c r="P4051">
        <v>-6.7534366787768793E-2</v>
      </c>
      <c r="Q4051">
        <v>0.555755689312048</v>
      </c>
      <c r="R4051">
        <v>0.93605353089287402</v>
      </c>
      <c r="S4051" t="s">
        <v>10336</v>
      </c>
      <c r="T4051" t="s">
        <v>12568</v>
      </c>
      <c r="U4051" t="s">
        <v>12568</v>
      </c>
      <c r="V4051" t="s">
        <v>12568</v>
      </c>
      <c r="W4051" t="s">
        <v>16575</v>
      </c>
      <c r="X4051">
        <v>2</v>
      </c>
      <c r="Y4051" t="s">
        <v>22688</v>
      </c>
      <c r="Z4051" t="s">
        <v>28921</v>
      </c>
      <c r="AA4051">
        <v>0.7993777527759941</v>
      </c>
      <c r="AB4051" t="str">
        <f>HYPERLINK("Melting_Curves/meltCurve_Q8IY31_IFT20.pdf", "Melting_Curves/meltCurve_Q8IY31_IFT20.pdf")</f>
        <v>Melting_Curves/meltCurve_Q8IY31_IFT20.pdf</v>
      </c>
    </row>
    <row r="4052" spans="1:28" x14ac:dyDescent="0.25">
      <c r="A4052" t="s">
        <v>4056</v>
      </c>
      <c r="B4052">
        <v>0.99352677808782597</v>
      </c>
      <c r="C4052">
        <v>0.79588664505449302</v>
      </c>
      <c r="D4052">
        <v>0.80963502082135697</v>
      </c>
      <c r="E4052">
        <v>0.57678066338059197</v>
      </c>
      <c r="F4052">
        <v>0.56703927565093504</v>
      </c>
      <c r="G4052">
        <v>0.34512728956675198</v>
      </c>
      <c r="H4052">
        <v>0.24286978900939901</v>
      </c>
      <c r="I4052">
        <v>0.27386563063992297</v>
      </c>
      <c r="J4052">
        <v>0.23346882275894701</v>
      </c>
      <c r="K4052">
        <v>0.21980394308133</v>
      </c>
      <c r="L4052">
        <v>484.09562369031698</v>
      </c>
      <c r="M4052">
        <v>9.50841955579053</v>
      </c>
      <c r="N4052">
        <v>52.859131907838197</v>
      </c>
      <c r="O4052">
        <v>48.812962838495501</v>
      </c>
      <c r="P4052">
        <v>-4.1528716988606502E-2</v>
      </c>
      <c r="Q4052">
        <v>0.14772569641630201</v>
      </c>
      <c r="R4052">
        <v>0.97109646757332002</v>
      </c>
      <c r="S4052" t="s">
        <v>10337</v>
      </c>
      <c r="T4052" t="s">
        <v>12568</v>
      </c>
      <c r="U4052" t="s">
        <v>12568</v>
      </c>
      <c r="V4052" t="s">
        <v>12568</v>
      </c>
      <c r="W4052" t="s">
        <v>16576</v>
      </c>
      <c r="X4052">
        <v>4</v>
      </c>
      <c r="Y4052" t="s">
        <v>22689</v>
      </c>
      <c r="Z4052" t="s">
        <v>28922</v>
      </c>
      <c r="AA4052">
        <v>0.49571872688306939</v>
      </c>
      <c r="AB4052" t="str">
        <f>HYPERLINK("Melting_Curves/meltCurve_Q8IY37_DHX37.pdf", "Melting_Curves/meltCurve_Q8IY37_DHX37.pdf")</f>
        <v>Melting_Curves/meltCurve_Q8IY37_DHX37.pdf</v>
      </c>
    </row>
    <row r="4053" spans="1:28" x14ac:dyDescent="0.25">
      <c r="A4053" t="s">
        <v>4057</v>
      </c>
      <c r="B4053">
        <v>0.99352677808782597</v>
      </c>
      <c r="C4053">
        <v>0.98483872755535695</v>
      </c>
      <c r="D4053">
        <v>0.88626580298142499</v>
      </c>
      <c r="E4053">
        <v>0.70489013099662701</v>
      </c>
      <c r="F4053">
        <v>0.54027864887513299</v>
      </c>
      <c r="G4053">
        <v>0.26764585913364902</v>
      </c>
      <c r="H4053">
        <v>0.119619130596798</v>
      </c>
      <c r="I4053">
        <v>7.2495018528390701E-2</v>
      </c>
      <c r="J4053">
        <v>6.07419018750463E-2</v>
      </c>
      <c r="K4053">
        <v>5.3986213411898E-2</v>
      </c>
      <c r="L4053">
        <v>784.16295896284601</v>
      </c>
      <c r="M4053">
        <v>14.7701144978121</v>
      </c>
      <c r="N4053">
        <v>53.166976745990503</v>
      </c>
      <c r="O4053">
        <v>52.146484798375099</v>
      </c>
      <c r="P4053">
        <v>-7.0080682489202406E-2</v>
      </c>
      <c r="Q4053">
        <v>1.0415668746446401E-2</v>
      </c>
      <c r="R4053">
        <v>0.99830639589608305</v>
      </c>
      <c r="S4053" t="s">
        <v>10338</v>
      </c>
      <c r="T4053" t="s">
        <v>12568</v>
      </c>
      <c r="U4053" t="s">
        <v>12568</v>
      </c>
      <c r="V4053" t="s">
        <v>12568</v>
      </c>
      <c r="W4053" t="s">
        <v>16577</v>
      </c>
      <c r="X4053">
        <v>1</v>
      </c>
      <c r="Y4053" t="s">
        <v>22690</v>
      </c>
      <c r="Z4053" t="s">
        <v>28923</v>
      </c>
      <c r="AA4053">
        <v>0.46390890861028178</v>
      </c>
      <c r="AB4053" t="str">
        <f>HYPERLINK("Melting_Curves/meltCurve_Q8IY47_KBTBD2.pdf", "Melting_Curves/meltCurve_Q8IY47_KBTBD2.pdf")</f>
        <v>Melting_Curves/meltCurve_Q8IY47_KBTBD2.pdf</v>
      </c>
    </row>
    <row r="4054" spans="1:28" x14ac:dyDescent="0.25">
      <c r="A4054" t="s">
        <v>4058</v>
      </c>
      <c r="B4054">
        <v>0.99352677808782597</v>
      </c>
      <c r="C4054">
        <v>0.93158583793136196</v>
      </c>
      <c r="D4054">
        <v>0.92439552257280699</v>
      </c>
      <c r="E4054">
        <v>0.80436561986250599</v>
      </c>
      <c r="F4054">
        <v>0.77080729860163799</v>
      </c>
      <c r="G4054">
        <v>0.581473492691581</v>
      </c>
      <c r="H4054">
        <v>0.55584833705673398</v>
      </c>
      <c r="I4054">
        <v>0.61525300124964499</v>
      </c>
      <c r="J4054">
        <v>0.547772775705057</v>
      </c>
      <c r="K4054">
        <v>0.446339221656601</v>
      </c>
      <c r="L4054">
        <v>542.06257638388604</v>
      </c>
      <c r="M4054">
        <v>10.1981572067318</v>
      </c>
      <c r="O4054">
        <v>51.2307559806938</v>
      </c>
      <c r="P4054">
        <v>-2.6901895170289E-2</v>
      </c>
      <c r="Q4054">
        <v>0.45967371074596203</v>
      </c>
      <c r="R4054">
        <v>0.952487310270413</v>
      </c>
      <c r="S4054" t="s">
        <v>10339</v>
      </c>
      <c r="T4054" t="s">
        <v>12568</v>
      </c>
      <c r="U4054" t="s">
        <v>12568</v>
      </c>
      <c r="V4054" t="s">
        <v>12568</v>
      </c>
      <c r="W4054" t="s">
        <v>16578</v>
      </c>
      <c r="X4054">
        <v>3</v>
      </c>
      <c r="Y4054" t="s">
        <v>22691</v>
      </c>
      <c r="Z4054" t="s">
        <v>28924</v>
      </c>
      <c r="AA4054">
        <v>0.71442306062195826</v>
      </c>
      <c r="AB4054" t="str">
        <f>HYPERLINK("Melting_Curves/meltCurve_Q8IY63_2_AMOTL1.pdf", "Melting_Curves/meltCurve_Q8IY63_2_AMOTL1.pdf")</f>
        <v>Melting_Curves/meltCurve_Q8IY63_2_AMOTL1.pdf</v>
      </c>
    </row>
    <row r="4055" spans="1:28" x14ac:dyDescent="0.25">
      <c r="A4055" t="s">
        <v>4059</v>
      </c>
      <c r="B4055">
        <v>0.99352677808782597</v>
      </c>
      <c r="C4055">
        <v>0.93907739276898206</v>
      </c>
      <c r="D4055">
        <v>0.93156806801702796</v>
      </c>
      <c r="E4055">
        <v>0.37551809255123603</v>
      </c>
      <c r="F4055">
        <v>0.30962763464083398</v>
      </c>
      <c r="G4055">
        <v>0.184392508633033</v>
      </c>
      <c r="H4055">
        <v>0.13818728675039799</v>
      </c>
      <c r="I4055">
        <v>0.13853380943084601</v>
      </c>
      <c r="J4055">
        <v>0.13551060997522901</v>
      </c>
      <c r="K4055">
        <v>0.106074223188363</v>
      </c>
      <c r="L4055">
        <v>1414.74113221124</v>
      </c>
      <c r="M4055">
        <v>28.965905786699</v>
      </c>
      <c r="N4055">
        <v>49.429838896627402</v>
      </c>
      <c r="O4055">
        <v>48.610594493176102</v>
      </c>
      <c r="P4055">
        <v>-0.12725228708609301</v>
      </c>
      <c r="Q4055">
        <v>0.14578726605541401</v>
      </c>
      <c r="R4055">
        <v>0.985722078755502</v>
      </c>
      <c r="S4055" t="s">
        <v>10340</v>
      </c>
      <c r="T4055" t="s">
        <v>12568</v>
      </c>
      <c r="U4055" t="s">
        <v>12568</v>
      </c>
      <c r="V4055" t="s">
        <v>12568</v>
      </c>
      <c r="W4055" t="s">
        <v>16579</v>
      </c>
      <c r="X4055">
        <v>6</v>
      </c>
      <c r="Y4055" t="s">
        <v>22692</v>
      </c>
      <c r="Z4055" t="s">
        <v>28925</v>
      </c>
      <c r="AA4055">
        <v>0.40312039884419892</v>
      </c>
      <c r="AB4055" t="str">
        <f>HYPERLINK("Melting_Curves/meltCurve_Q8IY81_FTSJ3.pdf", "Melting_Curves/meltCurve_Q8IY81_FTSJ3.pdf")</f>
        <v>Melting_Curves/meltCurve_Q8IY81_FTSJ3.pdf</v>
      </c>
    </row>
    <row r="4056" spans="1:28" x14ac:dyDescent="0.25">
      <c r="A4056" t="s">
        <v>4060</v>
      </c>
      <c r="B4056">
        <v>0.99352677808782597</v>
      </c>
      <c r="C4056">
        <v>0.94201983142156498</v>
      </c>
      <c r="D4056">
        <v>0.82417991401706303</v>
      </c>
      <c r="E4056">
        <v>0.97574855148670103</v>
      </c>
      <c r="F4056">
        <v>1.1664920319927401</v>
      </c>
      <c r="G4056">
        <v>0.69647814751890502</v>
      </c>
      <c r="H4056">
        <v>0.78768871484660796</v>
      </c>
      <c r="I4056">
        <v>0.89027517326562899</v>
      </c>
      <c r="J4056">
        <v>1.12376683362409</v>
      </c>
      <c r="K4056">
        <v>0.71040086767069599</v>
      </c>
      <c r="L4056">
        <v>140.57647796409699</v>
      </c>
      <c r="M4056">
        <v>0.21641470816802599</v>
      </c>
      <c r="O4056">
        <v>56.922880754505002</v>
      </c>
      <c r="P4056">
        <v>-3.7326713136933498E-3</v>
      </c>
      <c r="Q4056">
        <v>0</v>
      </c>
      <c r="R4056">
        <v>5.3516378461039703E-2</v>
      </c>
      <c r="S4056" t="s">
        <v>10341</v>
      </c>
      <c r="T4056" t="s">
        <v>12568</v>
      </c>
      <c r="U4056" t="s">
        <v>12568</v>
      </c>
      <c r="V4056" t="s">
        <v>12568</v>
      </c>
      <c r="W4056" t="s">
        <v>16580</v>
      </c>
      <c r="X4056">
        <v>1</v>
      </c>
      <c r="Y4056" t="s">
        <v>22693</v>
      </c>
      <c r="Z4056" t="s">
        <v>28926</v>
      </c>
      <c r="AA4056">
        <v>0.91171959755843957</v>
      </c>
      <c r="AB4056" t="str">
        <f>HYPERLINK("Melting_Curves/meltCurve_Q8IY85_EFCAB13.pdf", "Melting_Curves/meltCurve_Q8IY85_EFCAB13.pdf")</f>
        <v>Melting_Curves/meltCurve_Q8IY85_EFCAB13.pdf</v>
      </c>
    </row>
    <row r="4057" spans="1:28" x14ac:dyDescent="0.25">
      <c r="A4057" t="s">
        <v>4061</v>
      </c>
      <c r="B4057">
        <v>0.99352677808782597</v>
      </c>
      <c r="C4057">
        <v>0.95753315131783101</v>
      </c>
      <c r="D4057">
        <v>1.02712446853596</v>
      </c>
      <c r="E4057">
        <v>0.92309883259541903</v>
      </c>
      <c r="F4057">
        <v>0.87945392032775105</v>
      </c>
      <c r="G4057">
        <v>0.79762450891488201</v>
      </c>
      <c r="H4057">
        <v>0.71922360050576195</v>
      </c>
      <c r="I4057">
        <v>0.805509387938529</v>
      </c>
      <c r="J4057">
        <v>0.76014449432430997</v>
      </c>
      <c r="K4057">
        <v>0.64933188648983398</v>
      </c>
      <c r="L4057">
        <v>766.18146083533497</v>
      </c>
      <c r="M4057">
        <v>14.081759478528101</v>
      </c>
      <c r="O4057">
        <v>53.347483452467898</v>
      </c>
      <c r="P4057">
        <v>-1.9612074058866402E-2</v>
      </c>
      <c r="Q4057">
        <v>0.70284410198060598</v>
      </c>
      <c r="R4057">
        <v>0.88645602466377504</v>
      </c>
      <c r="S4057" t="s">
        <v>10342</v>
      </c>
      <c r="T4057" t="s">
        <v>12568</v>
      </c>
      <c r="U4057" t="s">
        <v>12568</v>
      </c>
      <c r="V4057" t="s">
        <v>12568</v>
      </c>
      <c r="W4057" t="s">
        <v>16581</v>
      </c>
      <c r="X4057">
        <v>4</v>
      </c>
      <c r="Y4057" t="s">
        <v>22694</v>
      </c>
      <c r="Z4057" t="s">
        <v>28927</v>
      </c>
      <c r="AA4057">
        <v>0.8519672945311576</v>
      </c>
      <c r="AB4057" t="str">
        <f>HYPERLINK("Melting_Curves/meltCurve_Q8IY92_SLX4.pdf", "Melting_Curves/meltCurve_Q8IY92_SLX4.pdf")</f>
        <v>Melting_Curves/meltCurve_Q8IY92_SLX4.pdf</v>
      </c>
    </row>
    <row r="4058" spans="1:28" x14ac:dyDescent="0.25">
      <c r="A4058" t="s">
        <v>4062</v>
      </c>
      <c r="B4058">
        <v>0.99352677808782597</v>
      </c>
      <c r="C4058">
        <v>0.93025542221731905</v>
      </c>
      <c r="D4058">
        <v>0.94976280363897003</v>
      </c>
      <c r="E4058">
        <v>0.99944793905920803</v>
      </c>
      <c r="F4058">
        <v>0.87878068775021001</v>
      </c>
      <c r="G4058">
        <v>0.89124217554499097</v>
      </c>
      <c r="H4058">
        <v>0.80476705803864101</v>
      </c>
      <c r="I4058">
        <v>0.913504782796148</v>
      </c>
      <c r="J4058">
        <v>0.89930033163727097</v>
      </c>
      <c r="K4058">
        <v>0.807607679534176</v>
      </c>
      <c r="L4058">
        <v>307.48269920435501</v>
      </c>
      <c r="M4058">
        <v>5.4558952546461201</v>
      </c>
      <c r="O4058">
        <v>50.1370985036977</v>
      </c>
      <c r="P4058">
        <v>-5.71280237733567E-3</v>
      </c>
      <c r="Q4058">
        <v>0.79095539262178804</v>
      </c>
      <c r="R4058">
        <v>0.53548371859612898</v>
      </c>
      <c r="S4058" t="s">
        <v>10343</v>
      </c>
      <c r="T4058" t="s">
        <v>12568</v>
      </c>
      <c r="U4058" t="s">
        <v>12568</v>
      </c>
      <c r="V4058" t="s">
        <v>12568</v>
      </c>
      <c r="W4058" t="s">
        <v>16582</v>
      </c>
      <c r="X4058">
        <v>2</v>
      </c>
      <c r="Y4058" t="s">
        <v>22695</v>
      </c>
      <c r="Z4058" t="s">
        <v>28928</v>
      </c>
      <c r="AA4058">
        <v>0.90665861187621177</v>
      </c>
      <c r="AB4058" t="str">
        <f>HYPERLINK("Melting_Curves/meltCurve_Q8IYA6_CKAP2L.pdf", "Melting_Curves/meltCurve_Q8IYA6_CKAP2L.pdf")</f>
        <v>Melting_Curves/meltCurve_Q8IYA6_CKAP2L.pdf</v>
      </c>
    </row>
    <row r="4059" spans="1:28" x14ac:dyDescent="0.25">
      <c r="A4059" t="s">
        <v>4063</v>
      </c>
      <c r="B4059">
        <v>0.99352677808782597</v>
      </c>
      <c r="C4059">
        <v>0.95859570712714304</v>
      </c>
      <c r="D4059">
        <v>0.870135092630276</v>
      </c>
      <c r="E4059">
        <v>0.80261257858558599</v>
      </c>
      <c r="F4059">
        <v>0.67828559302677705</v>
      </c>
      <c r="G4059">
        <v>0.508605660641409</v>
      </c>
      <c r="H4059">
        <v>0.46741823490054502</v>
      </c>
      <c r="I4059">
        <v>0.36865091077485201</v>
      </c>
      <c r="J4059">
        <v>0.27305304467561298</v>
      </c>
      <c r="K4059">
        <v>8.7691772203562696E-2</v>
      </c>
      <c r="L4059">
        <v>483.52141881470499</v>
      </c>
      <c r="M4059">
        <v>8.3105342245196407</v>
      </c>
      <c r="N4059">
        <v>58.181749557661803</v>
      </c>
      <c r="O4059">
        <v>55.104994366722202</v>
      </c>
      <c r="P4059">
        <v>-3.7740156962558703E-2</v>
      </c>
      <c r="Q4059">
        <v>0</v>
      </c>
      <c r="R4059">
        <v>0.97483799777024804</v>
      </c>
      <c r="S4059" t="s">
        <v>10344</v>
      </c>
      <c r="T4059" t="s">
        <v>12568</v>
      </c>
      <c r="U4059" t="s">
        <v>12568</v>
      </c>
      <c r="V4059" t="s">
        <v>12568</v>
      </c>
      <c r="W4059" t="s">
        <v>16583</v>
      </c>
      <c r="X4059">
        <v>3</v>
      </c>
      <c r="Y4059" t="s">
        <v>22696</v>
      </c>
      <c r="Z4059" t="s">
        <v>28929</v>
      </c>
      <c r="AA4059">
        <v>0.60943507816377163</v>
      </c>
      <c r="AB4059" t="str">
        <f>HYPERLINK("Melting_Curves/meltCurve_Q8IYB1_MB21D2.pdf", "Melting_Curves/meltCurve_Q8IYB1_MB21D2.pdf")</f>
        <v>Melting_Curves/meltCurve_Q8IYB1_MB21D2.pdf</v>
      </c>
    </row>
    <row r="4060" spans="1:28" x14ac:dyDescent="0.25">
      <c r="A4060" t="s">
        <v>4064</v>
      </c>
      <c r="B4060">
        <v>0.99352677808782597</v>
      </c>
      <c r="C4060">
        <v>0.937752461976052</v>
      </c>
      <c r="D4060">
        <v>1.1034839981646001</v>
      </c>
      <c r="E4060">
        <v>0.86519489963589302</v>
      </c>
      <c r="F4060">
        <v>0.73840104541544405</v>
      </c>
      <c r="G4060">
        <v>0.33194561534387101</v>
      </c>
      <c r="H4060">
        <v>0.115841386044522</v>
      </c>
      <c r="I4060">
        <v>9.8496479456723796E-2</v>
      </c>
      <c r="J4060">
        <v>8.2047004100223003E-2</v>
      </c>
      <c r="K4060">
        <v>6.3299634186400403E-2</v>
      </c>
      <c r="L4060">
        <v>1328.4029480808399</v>
      </c>
      <c r="M4060">
        <v>24.214489630082699</v>
      </c>
      <c r="N4060">
        <v>55.1556013125861</v>
      </c>
      <c r="O4060">
        <v>54.489792438303901</v>
      </c>
      <c r="P4060">
        <v>-0.104333947853733</v>
      </c>
      <c r="Q4060">
        <v>6.0884994487292399E-2</v>
      </c>
      <c r="R4060">
        <v>0.98797733307463298</v>
      </c>
      <c r="S4060" t="s">
        <v>10345</v>
      </c>
      <c r="T4060" t="s">
        <v>12568</v>
      </c>
      <c r="U4060" t="s">
        <v>12568</v>
      </c>
      <c r="V4060" t="s">
        <v>12568</v>
      </c>
      <c r="W4060" t="s">
        <v>16584</v>
      </c>
      <c r="X4060">
        <v>5</v>
      </c>
      <c r="Y4060" t="s">
        <v>22697</v>
      </c>
      <c r="Z4060" t="s">
        <v>28930</v>
      </c>
      <c r="AA4060">
        <v>0.53524558597679028</v>
      </c>
      <c r="AB4060" t="str">
        <f>HYPERLINK("Melting_Curves/meltCurve_Q8IYB5_3_SMAP1.pdf", "Melting_Curves/meltCurve_Q8IYB5_3_SMAP1.pdf")</f>
        <v>Melting_Curves/meltCurve_Q8IYB5_3_SMAP1.pdf</v>
      </c>
    </row>
    <row r="4061" spans="1:28" x14ac:dyDescent="0.25">
      <c r="A4061" t="s">
        <v>4065</v>
      </c>
      <c r="B4061">
        <v>0.99352677808782597</v>
      </c>
      <c r="C4061">
        <v>0.90538476771877496</v>
      </c>
      <c r="D4061">
        <v>0.85141478464785103</v>
      </c>
      <c r="E4061">
        <v>0.34861559388032398</v>
      </c>
      <c r="F4061">
        <v>0.27789212652337902</v>
      </c>
      <c r="G4061">
        <v>0.171817556630423</v>
      </c>
      <c r="H4061">
        <v>0.107987919999597</v>
      </c>
      <c r="I4061">
        <v>9.6570168817001895E-2</v>
      </c>
      <c r="J4061">
        <v>8.0834563526181805E-2</v>
      </c>
      <c r="K4061">
        <v>6.3296714315542596E-2</v>
      </c>
      <c r="L4061">
        <v>1031.9920114264401</v>
      </c>
      <c r="M4061">
        <v>21.222417488179499</v>
      </c>
      <c r="N4061">
        <v>49.107025007855498</v>
      </c>
      <c r="O4061">
        <v>48.201850297503398</v>
      </c>
      <c r="P4061">
        <v>-9.97710837236995E-2</v>
      </c>
      <c r="Q4061">
        <v>9.3594586569218804E-2</v>
      </c>
      <c r="R4061">
        <v>0.98765756496025303</v>
      </c>
      <c r="S4061" t="s">
        <v>10346</v>
      </c>
      <c r="T4061" t="s">
        <v>12568</v>
      </c>
      <c r="U4061" t="s">
        <v>12568</v>
      </c>
      <c r="V4061" t="s">
        <v>12568</v>
      </c>
      <c r="W4061" t="s">
        <v>16585</v>
      </c>
      <c r="X4061">
        <v>25</v>
      </c>
      <c r="Y4061" t="s">
        <v>22698</v>
      </c>
      <c r="Z4061" t="s">
        <v>28931</v>
      </c>
      <c r="AA4061">
        <v>0.36553483142410942</v>
      </c>
      <c r="AB4061" t="str">
        <f>HYPERLINK("Melting_Curves/meltCurve_Q8IYB7_DIS3L2.pdf", "Melting_Curves/meltCurve_Q8IYB7_DIS3L2.pdf")</f>
        <v>Melting_Curves/meltCurve_Q8IYB7_DIS3L2.pdf</v>
      </c>
    </row>
    <row r="4062" spans="1:28" x14ac:dyDescent="0.25">
      <c r="A4062" t="s">
        <v>4066</v>
      </c>
      <c r="B4062">
        <v>0.99352677808782597</v>
      </c>
      <c r="C4062">
        <v>0.963900263202073</v>
      </c>
      <c r="D4062">
        <v>0.93693099298488602</v>
      </c>
      <c r="E4062">
        <v>0.61198738192274604</v>
      </c>
      <c r="F4062">
        <v>0.50884656763856295</v>
      </c>
      <c r="G4062">
        <v>0.185484400887031</v>
      </c>
      <c r="H4062">
        <v>9.7806498198837105E-2</v>
      </c>
      <c r="I4062">
        <v>8.86100813853411E-2</v>
      </c>
      <c r="J4062">
        <v>7.7056217065344795E-2</v>
      </c>
      <c r="K4062">
        <v>5.83273296860242E-2</v>
      </c>
      <c r="L4062">
        <v>875.19918473701898</v>
      </c>
      <c r="M4062">
        <v>16.850813220095102</v>
      </c>
      <c r="N4062">
        <v>52.219025639451097</v>
      </c>
      <c r="O4062">
        <v>51.223172803301601</v>
      </c>
      <c r="P4062">
        <v>-7.8683363984124302E-2</v>
      </c>
      <c r="Q4062">
        <v>4.3333130415223901E-2</v>
      </c>
      <c r="R4062">
        <v>0.99232848109368499</v>
      </c>
      <c r="S4062" t="s">
        <v>10347</v>
      </c>
      <c r="T4062" t="s">
        <v>12568</v>
      </c>
      <c r="U4062" t="s">
        <v>12568</v>
      </c>
      <c r="V4062" t="s">
        <v>12568</v>
      </c>
      <c r="W4062" t="s">
        <v>16586</v>
      </c>
      <c r="X4062">
        <v>8</v>
      </c>
      <c r="Y4062" t="s">
        <v>22699</v>
      </c>
      <c r="Z4062" t="s">
        <v>28932</v>
      </c>
      <c r="AA4062">
        <v>0.44182941848781171</v>
      </c>
      <c r="AB4062" t="str">
        <f>HYPERLINK("Melting_Curves/meltCurve_Q8IYB8_SUPV3L1.pdf", "Melting_Curves/meltCurve_Q8IYB8_SUPV3L1.pdf")</f>
        <v>Melting_Curves/meltCurve_Q8IYB8_SUPV3L1.pdf</v>
      </c>
    </row>
    <row r="4063" spans="1:28" x14ac:dyDescent="0.25">
      <c r="A4063" t="s">
        <v>4067</v>
      </c>
      <c r="B4063">
        <v>0.99352677808782597</v>
      </c>
      <c r="C4063">
        <v>0.94685614507396698</v>
      </c>
      <c r="D4063">
        <v>0.91553960827215397</v>
      </c>
      <c r="E4063">
        <v>0.37548826054324702</v>
      </c>
      <c r="F4063">
        <v>0.294782502700914</v>
      </c>
      <c r="G4063">
        <v>0.18706496575838899</v>
      </c>
      <c r="H4063">
        <v>0.119906600327845</v>
      </c>
      <c r="I4063">
        <v>0.106863600691841</v>
      </c>
      <c r="J4063">
        <v>9.6251114695274601E-2</v>
      </c>
      <c r="K4063">
        <v>8.0975400532809605E-2</v>
      </c>
      <c r="L4063">
        <v>1258.6082805789099</v>
      </c>
      <c r="M4063">
        <v>25.710486620665701</v>
      </c>
      <c r="N4063">
        <v>49.466047500594399</v>
      </c>
      <c r="O4063">
        <v>48.659838483273802</v>
      </c>
      <c r="P4063">
        <v>-0.11663800477854</v>
      </c>
      <c r="Q4063">
        <v>0.117011138605216</v>
      </c>
      <c r="R4063">
        <v>0.98670394225884295</v>
      </c>
      <c r="S4063" t="s">
        <v>10348</v>
      </c>
      <c r="T4063" t="s">
        <v>12568</v>
      </c>
      <c r="U4063" t="s">
        <v>12568</v>
      </c>
      <c r="V4063" t="s">
        <v>12568</v>
      </c>
      <c r="W4063" t="s">
        <v>16587</v>
      </c>
      <c r="X4063">
        <v>19</v>
      </c>
      <c r="Y4063" t="s">
        <v>22700</v>
      </c>
      <c r="Z4063" t="s">
        <v>28933</v>
      </c>
      <c r="AA4063">
        <v>0.38791053975345158</v>
      </c>
      <c r="AB4063" t="str">
        <f>HYPERLINK("Melting_Curves/meltCurve_Q8IYD1_GSPT2.pdf", "Melting_Curves/meltCurve_Q8IYD1_GSPT2.pdf")</f>
        <v>Melting_Curves/meltCurve_Q8IYD1_GSPT2.pdf</v>
      </c>
    </row>
    <row r="4064" spans="1:28" x14ac:dyDescent="0.25">
      <c r="A4064" t="s">
        <v>4068</v>
      </c>
      <c r="B4064">
        <v>0.99352677808782597</v>
      </c>
      <c r="C4064">
        <v>0.89062694357749705</v>
      </c>
      <c r="D4064">
        <v>0.97984447159884902</v>
      </c>
      <c r="E4064">
        <v>0.89923647793982697</v>
      </c>
      <c r="F4064">
        <v>0.86084527898526597</v>
      </c>
      <c r="G4064">
        <v>0.78757060587674199</v>
      </c>
      <c r="H4064">
        <v>0.73774559316673405</v>
      </c>
      <c r="I4064">
        <v>0.84664101034606498</v>
      </c>
      <c r="J4064">
        <v>0.85611268647298999</v>
      </c>
      <c r="K4064">
        <v>0.74016911789457895</v>
      </c>
      <c r="L4064">
        <v>503.79827009247998</v>
      </c>
      <c r="M4064">
        <v>10.124270542526601</v>
      </c>
      <c r="O4064">
        <v>47.937083579422797</v>
      </c>
      <c r="P4064">
        <v>-1.1979271182153599E-2</v>
      </c>
      <c r="Q4064">
        <v>0.77322414752111401</v>
      </c>
      <c r="R4064">
        <v>0.67251645543611605</v>
      </c>
      <c r="S4064" t="s">
        <v>10349</v>
      </c>
      <c r="T4064" t="s">
        <v>12568</v>
      </c>
      <c r="U4064" t="s">
        <v>12568</v>
      </c>
      <c r="V4064" t="s">
        <v>12568</v>
      </c>
      <c r="W4064" t="s">
        <v>16588</v>
      </c>
      <c r="X4064">
        <v>2</v>
      </c>
      <c r="Y4064" t="s">
        <v>22701</v>
      </c>
      <c r="Z4064" t="s">
        <v>28934</v>
      </c>
      <c r="AA4064">
        <v>0.85728390559399525</v>
      </c>
      <c r="AB4064" t="str">
        <f>HYPERLINK("Melting_Curves/meltCurve_Q8IYH5_4_ZZZ3.pdf", "Melting_Curves/meltCurve_Q8IYH5_4_ZZZ3.pdf")</f>
        <v>Melting_Curves/meltCurve_Q8IYH5_4_ZZZ3.pdf</v>
      </c>
    </row>
    <row r="4065" spans="1:28" x14ac:dyDescent="0.25">
      <c r="A4065" t="s">
        <v>4069</v>
      </c>
      <c r="B4065">
        <v>0.99352677808782597</v>
      </c>
      <c r="C4065">
        <v>0.922593412560757</v>
      </c>
      <c r="D4065">
        <v>0.81696864078078202</v>
      </c>
      <c r="E4065">
        <v>0.40291427591823997</v>
      </c>
      <c r="F4065">
        <v>0.32631279492688697</v>
      </c>
      <c r="G4065">
        <v>0.190584510336094</v>
      </c>
      <c r="H4065">
        <v>0.12279880972700299</v>
      </c>
      <c r="I4065">
        <v>0.110386271620956</v>
      </c>
      <c r="J4065">
        <v>0.101488394598439</v>
      </c>
      <c r="K4065">
        <v>7.3299010622076902E-2</v>
      </c>
      <c r="L4065">
        <v>858.57814667836999</v>
      </c>
      <c r="M4065">
        <v>17.535408110935698</v>
      </c>
      <c r="N4065">
        <v>49.560889858343103</v>
      </c>
      <c r="O4065">
        <v>48.3390831396773</v>
      </c>
      <c r="P4065">
        <v>-8.2042458276200103E-2</v>
      </c>
      <c r="Q4065">
        <v>9.53982130977757E-2</v>
      </c>
      <c r="R4065">
        <v>0.99271136753565403</v>
      </c>
      <c r="S4065" t="s">
        <v>10350</v>
      </c>
      <c r="T4065" t="s">
        <v>12568</v>
      </c>
      <c r="U4065" t="s">
        <v>12568</v>
      </c>
      <c r="V4065" t="s">
        <v>12568</v>
      </c>
      <c r="W4065" t="s">
        <v>16589</v>
      </c>
      <c r="X4065">
        <v>17</v>
      </c>
      <c r="Y4065" t="s">
        <v>22702</v>
      </c>
      <c r="Z4065" t="s">
        <v>28935</v>
      </c>
      <c r="AA4065">
        <v>0.38216693807602742</v>
      </c>
      <c r="AB4065" t="str">
        <f>HYPERLINK("Melting_Curves/meltCurve_Q8IYI6_EXOC8.pdf", "Melting_Curves/meltCurve_Q8IYI6_EXOC8.pdf")</f>
        <v>Melting_Curves/meltCurve_Q8IYI6_EXOC8.pdf</v>
      </c>
    </row>
    <row r="4066" spans="1:28" x14ac:dyDescent="0.25">
      <c r="A4066" t="s">
        <v>4070</v>
      </c>
      <c r="B4066">
        <v>0.99352677808782597</v>
      </c>
      <c r="C4066">
        <v>0.96696901394677903</v>
      </c>
      <c r="D4066">
        <v>1.06575216725398</v>
      </c>
      <c r="E4066">
        <v>1.1404800896934999</v>
      </c>
      <c r="F4066">
        <v>0.96558458184547002</v>
      </c>
      <c r="G4066">
        <v>1.0413157050798201</v>
      </c>
      <c r="H4066">
        <v>0.98044586432040004</v>
      </c>
      <c r="I4066">
        <v>1.1189171963153099</v>
      </c>
      <c r="J4066">
        <v>1.1548987129214401</v>
      </c>
      <c r="K4066">
        <v>1.0245388457987701</v>
      </c>
      <c r="L4066">
        <v>258.80775306155499</v>
      </c>
      <c r="M4066">
        <v>4.1479720250598797</v>
      </c>
      <c r="O4066">
        <v>51.802710445293499</v>
      </c>
      <c r="P4066">
        <v>2.61350723670619E-3</v>
      </c>
      <c r="Q4066">
        <v>1.1290814150049699</v>
      </c>
      <c r="R4066">
        <v>0.132179131298027</v>
      </c>
      <c r="S4066" t="s">
        <v>10351</v>
      </c>
      <c r="T4066" t="s">
        <v>12568</v>
      </c>
      <c r="U4066" t="s">
        <v>12568</v>
      </c>
      <c r="V4066" t="s">
        <v>12568</v>
      </c>
      <c r="W4066" t="s">
        <v>16590</v>
      </c>
      <c r="X4066">
        <v>4</v>
      </c>
      <c r="Y4066" t="s">
        <v>22703</v>
      </c>
      <c r="Z4066" t="s">
        <v>28936</v>
      </c>
      <c r="AA4066">
        <v>1.0461588841670471</v>
      </c>
      <c r="AB4066" t="str">
        <f>HYPERLINK("Melting_Curves/meltCurve_Q8IYL3_C1orf174.pdf", "Melting_Curves/meltCurve_Q8IYL3_C1orf174.pdf")</f>
        <v>Melting_Curves/meltCurve_Q8IYL3_C1orf174.pdf</v>
      </c>
    </row>
    <row r="4067" spans="1:28" x14ac:dyDescent="0.25">
      <c r="A4067" t="s">
        <v>4071</v>
      </c>
      <c r="B4067">
        <v>0.99352677808782597</v>
      </c>
      <c r="C4067">
        <v>0.90179469697782599</v>
      </c>
      <c r="D4067">
        <v>0.94986234256045798</v>
      </c>
      <c r="E4067">
        <v>0.92320269304231095</v>
      </c>
      <c r="F4067">
        <v>0.82513096183120005</v>
      </c>
      <c r="G4067">
        <v>0.7736657069474</v>
      </c>
      <c r="H4067">
        <v>0.61479736400075902</v>
      </c>
      <c r="I4067">
        <v>0.68775872210577005</v>
      </c>
      <c r="J4067">
        <v>0.70530244307928602</v>
      </c>
      <c r="K4067">
        <v>0.67985054524294197</v>
      </c>
      <c r="L4067">
        <v>697.68948547105003</v>
      </c>
      <c r="M4067">
        <v>13.185537826239599</v>
      </c>
      <c r="O4067">
        <v>51.740561888023002</v>
      </c>
      <c r="P4067">
        <v>-2.22289493574165E-2</v>
      </c>
      <c r="Q4067">
        <v>0.65114928441009201</v>
      </c>
      <c r="R4067">
        <v>0.88627071746377895</v>
      </c>
      <c r="S4067" t="s">
        <v>10352</v>
      </c>
      <c r="T4067" t="s">
        <v>12568</v>
      </c>
      <c r="U4067" t="s">
        <v>12568</v>
      </c>
      <c r="V4067" t="s">
        <v>12568</v>
      </c>
      <c r="W4067" t="s">
        <v>16591</v>
      </c>
      <c r="X4067">
        <v>3</v>
      </c>
      <c r="Y4067" t="s">
        <v>22704</v>
      </c>
      <c r="Z4067" t="s">
        <v>28937</v>
      </c>
      <c r="AA4067">
        <v>0.81024798718601576</v>
      </c>
      <c r="AB4067" t="str">
        <f>HYPERLINK("Melting_Curves/meltCurve_Q8IYN2_TCEAL8.pdf", "Melting_Curves/meltCurve_Q8IYN2_TCEAL8.pdf")</f>
        <v>Melting_Curves/meltCurve_Q8IYN2_TCEAL8.pdf</v>
      </c>
    </row>
    <row r="4068" spans="1:28" x14ac:dyDescent="0.25">
      <c r="A4068" t="s">
        <v>4072</v>
      </c>
      <c r="B4068">
        <v>0.99352677808782597</v>
      </c>
      <c r="C4068">
        <v>0.96687203314189296</v>
      </c>
      <c r="D4068">
        <v>0.97432588233264406</v>
      </c>
      <c r="E4068">
        <v>0.62923227546212102</v>
      </c>
      <c r="F4068">
        <v>0.53299122881427197</v>
      </c>
      <c r="G4068">
        <v>0.26130891821489299</v>
      </c>
      <c r="H4068">
        <v>0.17611694319332299</v>
      </c>
      <c r="I4068">
        <v>0.14748406372935299</v>
      </c>
      <c r="J4068">
        <v>0.121886184559982</v>
      </c>
      <c r="K4068">
        <v>8.0444205614290998E-2</v>
      </c>
      <c r="L4068">
        <v>842.36950375029596</v>
      </c>
      <c r="M4068">
        <v>16.139328275729198</v>
      </c>
      <c r="N4068">
        <v>52.8380269854906</v>
      </c>
      <c r="O4068">
        <v>51.412013511016198</v>
      </c>
      <c r="P4068">
        <v>-7.1474340404125994E-2</v>
      </c>
      <c r="Q4068">
        <v>8.9339740435128004E-2</v>
      </c>
      <c r="R4068">
        <v>0.99045411037282305</v>
      </c>
      <c r="S4068" t="s">
        <v>10353</v>
      </c>
      <c r="T4068" t="s">
        <v>12568</v>
      </c>
      <c r="U4068" t="s">
        <v>12568</v>
      </c>
      <c r="V4068" t="s">
        <v>12568</v>
      </c>
      <c r="W4068" t="s">
        <v>16592</v>
      </c>
      <c r="X4068">
        <v>36</v>
      </c>
      <c r="Y4068" t="s">
        <v>22705</v>
      </c>
      <c r="Z4068" t="s">
        <v>28938</v>
      </c>
      <c r="AA4068">
        <v>0.47754254519816097</v>
      </c>
      <c r="AB4068" t="str">
        <f>HYPERLINK("Melting_Curves/meltCurve_Q8IYN9_PTK2.pdf", "Melting_Curves/meltCurve_Q8IYN9_PTK2.pdf")</f>
        <v>Melting_Curves/meltCurve_Q8IYN9_PTK2.pdf</v>
      </c>
    </row>
    <row r="4069" spans="1:28" x14ac:dyDescent="0.25">
      <c r="A4069" t="s">
        <v>4073</v>
      </c>
      <c r="B4069">
        <v>0.99352677808782597</v>
      </c>
      <c r="C4069">
        <v>0.96009879154082001</v>
      </c>
      <c r="D4069">
        <v>0.83387774575440599</v>
      </c>
      <c r="E4069">
        <v>0.53141769078769496</v>
      </c>
      <c r="F4069">
        <v>0.43327070076753899</v>
      </c>
      <c r="G4069">
        <v>0.27642948364953301</v>
      </c>
      <c r="H4069">
        <v>0.203848161603328</v>
      </c>
      <c r="I4069">
        <v>0.16360693352356001</v>
      </c>
      <c r="J4069">
        <v>0.13944017992233701</v>
      </c>
      <c r="K4069">
        <v>9.2575001275924204E-2</v>
      </c>
      <c r="L4069">
        <v>702.64589354093596</v>
      </c>
      <c r="M4069">
        <v>13.9202118187574</v>
      </c>
      <c r="N4069">
        <v>51.397777869415897</v>
      </c>
      <c r="O4069">
        <v>49.469170940793198</v>
      </c>
      <c r="P4069">
        <v>-6.25905329815028E-2</v>
      </c>
      <c r="Q4069">
        <v>0.110391983504761</v>
      </c>
      <c r="R4069">
        <v>0.99396093480593295</v>
      </c>
      <c r="S4069" t="s">
        <v>10354</v>
      </c>
      <c r="T4069" t="s">
        <v>12568</v>
      </c>
      <c r="U4069" t="s">
        <v>12568</v>
      </c>
      <c r="V4069" t="s">
        <v>12568</v>
      </c>
      <c r="W4069" t="s">
        <v>16593</v>
      </c>
      <c r="X4069">
        <v>6</v>
      </c>
      <c r="Y4069" t="s">
        <v>22706</v>
      </c>
      <c r="Z4069" t="s">
        <v>28939</v>
      </c>
      <c r="AA4069">
        <v>0.44475721781408162</v>
      </c>
      <c r="AB4069" t="str">
        <f>HYPERLINK("Melting_Curves/meltCurve_Q8IYQ7_THNSL1.pdf", "Melting_Curves/meltCurve_Q8IYQ7_THNSL1.pdf")</f>
        <v>Melting_Curves/meltCurve_Q8IYQ7_THNSL1.pdf</v>
      </c>
    </row>
    <row r="4070" spans="1:28" x14ac:dyDescent="0.25">
      <c r="A4070" t="s">
        <v>4074</v>
      </c>
      <c r="B4070">
        <v>0.99352677808782597</v>
      </c>
      <c r="C4070">
        <v>0.84717230604138105</v>
      </c>
      <c r="D4070">
        <v>0.52808353104987804</v>
      </c>
      <c r="E4070">
        <v>0.38126096659511199</v>
      </c>
      <c r="F4070">
        <v>0.35135314097430598</v>
      </c>
      <c r="G4070">
        <v>0.21802111219767301</v>
      </c>
      <c r="H4070">
        <v>0.198170557984577</v>
      </c>
      <c r="I4070">
        <v>0.169358174498312</v>
      </c>
      <c r="J4070">
        <v>0.11553015852149</v>
      </c>
      <c r="K4070">
        <v>7.1482772276175097E-2</v>
      </c>
      <c r="L4070">
        <v>621.13996902956603</v>
      </c>
      <c r="M4070">
        <v>13.232566501428501</v>
      </c>
      <c r="N4070">
        <v>47.981930078399202</v>
      </c>
      <c r="O4070">
        <v>45.907073889941799</v>
      </c>
      <c r="P4070">
        <v>-6.3075321539104501E-2</v>
      </c>
      <c r="Q4070">
        <v>0.12484841870211399</v>
      </c>
      <c r="R4070">
        <v>0.96910733647339498</v>
      </c>
      <c r="S4070" t="s">
        <v>10355</v>
      </c>
      <c r="T4070" t="s">
        <v>12568</v>
      </c>
      <c r="U4070" t="s">
        <v>12568</v>
      </c>
      <c r="V4070" t="s">
        <v>12568</v>
      </c>
      <c r="W4070" t="s">
        <v>16594</v>
      </c>
      <c r="X4070">
        <v>4</v>
      </c>
      <c r="Y4070" t="s">
        <v>22707</v>
      </c>
      <c r="Z4070" t="s">
        <v>28940</v>
      </c>
      <c r="AA4070">
        <v>0.35799098479076708</v>
      </c>
      <c r="AB4070" t="str">
        <f>HYPERLINK("Melting_Curves/meltCurve_Q8IYR2_SMYD4.pdf", "Melting_Curves/meltCurve_Q8IYR2_SMYD4.pdf")</f>
        <v>Melting_Curves/meltCurve_Q8IYR2_SMYD4.pdf</v>
      </c>
    </row>
    <row r="4071" spans="1:28" x14ac:dyDescent="0.25">
      <c r="A4071" t="s">
        <v>4075</v>
      </c>
      <c r="B4071">
        <v>0.99352677808782597</v>
      </c>
      <c r="C4071">
        <v>0.92979657730881204</v>
      </c>
      <c r="D4071">
        <v>0.82523256786588395</v>
      </c>
      <c r="E4071">
        <v>0.52703754685453397</v>
      </c>
      <c r="F4071">
        <v>0.44589828207186</v>
      </c>
      <c r="G4071">
        <v>0.19482313728885101</v>
      </c>
      <c r="H4071">
        <v>9.2782769885111499E-2</v>
      </c>
      <c r="I4071">
        <v>8.9211134444613593E-2</v>
      </c>
      <c r="J4071">
        <v>6.8884159552208807E-2</v>
      </c>
      <c r="K4071">
        <v>5.98552479837028E-2</v>
      </c>
      <c r="L4071">
        <v>694.57879752647705</v>
      </c>
      <c r="M4071">
        <v>13.6442219501512</v>
      </c>
      <c r="N4071">
        <v>51.122472929077297</v>
      </c>
      <c r="O4071">
        <v>49.850282873311102</v>
      </c>
      <c r="P4071">
        <v>-6.6518973246131902E-2</v>
      </c>
      <c r="Q4071">
        <v>2.8012379847242301E-2</v>
      </c>
      <c r="R4071">
        <v>0.99434351300133395</v>
      </c>
      <c r="S4071" t="s">
        <v>10356</v>
      </c>
      <c r="T4071" t="s">
        <v>12568</v>
      </c>
      <c r="U4071" t="s">
        <v>12568</v>
      </c>
      <c r="V4071" t="s">
        <v>12568</v>
      </c>
      <c r="W4071" t="s">
        <v>16595</v>
      </c>
      <c r="X4071">
        <v>9</v>
      </c>
      <c r="Y4071" t="s">
        <v>22708</v>
      </c>
      <c r="Z4071" t="s">
        <v>28941</v>
      </c>
      <c r="AA4071">
        <v>0.40763827176616141</v>
      </c>
      <c r="AB4071" t="str">
        <f>HYPERLINK("Melting_Curves/meltCurve_Q8IYS1_PM20D2.pdf", "Melting_Curves/meltCurve_Q8IYS1_PM20D2.pdf")</f>
        <v>Melting_Curves/meltCurve_Q8IYS1_PM20D2.pdf</v>
      </c>
    </row>
    <row r="4072" spans="1:28" x14ac:dyDescent="0.25">
      <c r="A4072" t="s">
        <v>4076</v>
      </c>
      <c r="B4072">
        <v>0.99352677808782597</v>
      </c>
      <c r="C4072">
        <v>0.82554502334233604</v>
      </c>
      <c r="D4072">
        <v>0.61635262421951198</v>
      </c>
      <c r="E4072">
        <v>0.29127483880522897</v>
      </c>
      <c r="F4072">
        <v>0.24242358556303101</v>
      </c>
      <c r="G4072">
        <v>0.16159483699751301</v>
      </c>
      <c r="H4072">
        <v>0.131074791638468</v>
      </c>
      <c r="I4072">
        <v>9.2504057055774094E-2</v>
      </c>
      <c r="J4072">
        <v>7.4364044663344994E-2</v>
      </c>
      <c r="K4072">
        <v>0.16242219574618799</v>
      </c>
      <c r="L4072">
        <v>831.99416004834598</v>
      </c>
      <c r="M4072">
        <v>17.8563660985068</v>
      </c>
      <c r="N4072">
        <v>47.288558107207201</v>
      </c>
      <c r="O4072">
        <v>46.0211137500619</v>
      </c>
      <c r="P4072">
        <v>-8.5812253210458198E-2</v>
      </c>
      <c r="Q4072">
        <v>0.11539129619013</v>
      </c>
      <c r="R4072">
        <v>0.99102598623203897</v>
      </c>
      <c r="S4072" t="s">
        <v>10357</v>
      </c>
      <c r="T4072" t="s">
        <v>12568</v>
      </c>
      <c r="U4072" t="s">
        <v>12568</v>
      </c>
      <c r="V4072" t="s">
        <v>12568</v>
      </c>
      <c r="W4072" t="s">
        <v>16596</v>
      </c>
      <c r="X4072">
        <v>1</v>
      </c>
      <c r="Y4072" t="s">
        <v>22709</v>
      </c>
      <c r="Z4072" t="s">
        <v>28942</v>
      </c>
      <c r="AA4072">
        <v>0.32679984606906171</v>
      </c>
      <c r="AB4072" t="str">
        <f>HYPERLINK("Melting_Curves/meltCurve_Q8IYT2_FTSJD1.pdf", "Melting_Curves/meltCurve_Q8IYT2_FTSJD1.pdf")</f>
        <v>Melting_Curves/meltCurve_Q8IYT2_FTSJD1.pdf</v>
      </c>
    </row>
    <row r="4073" spans="1:28" x14ac:dyDescent="0.25">
      <c r="A4073" t="s">
        <v>4077</v>
      </c>
      <c r="B4073">
        <v>0.99352677808782597</v>
      </c>
      <c r="C4073">
        <v>1.06666325613304</v>
      </c>
      <c r="D4073">
        <v>0.98894317743980997</v>
      </c>
      <c r="E4073">
        <v>0.39640175778771097</v>
      </c>
      <c r="F4073">
        <v>0.31464794954690301</v>
      </c>
      <c r="G4073">
        <v>0.18074997389598799</v>
      </c>
      <c r="H4073">
        <v>0.154074712994064</v>
      </c>
      <c r="I4073">
        <v>0.155074388033205</v>
      </c>
      <c r="J4073">
        <v>0.12590480922410799</v>
      </c>
      <c r="K4073">
        <v>0.100366708240845</v>
      </c>
      <c r="L4073">
        <v>1853.83683101721</v>
      </c>
      <c r="M4073">
        <v>37.760510136201702</v>
      </c>
      <c r="N4073">
        <v>49.591518490496597</v>
      </c>
      <c r="O4073">
        <v>48.957486375704597</v>
      </c>
      <c r="P4073">
        <v>-0.162449948111304</v>
      </c>
      <c r="Q4073">
        <v>0.15751948249540401</v>
      </c>
      <c r="R4073">
        <v>0.98238109991467704</v>
      </c>
      <c r="S4073" t="s">
        <v>10358</v>
      </c>
      <c r="T4073" t="s">
        <v>12568</v>
      </c>
      <c r="U4073" t="s">
        <v>12568</v>
      </c>
      <c r="V4073" t="s">
        <v>12568</v>
      </c>
      <c r="W4073" t="s">
        <v>16597</v>
      </c>
      <c r="X4073">
        <v>2</v>
      </c>
      <c r="Y4073" t="s">
        <v>22710</v>
      </c>
      <c r="Z4073" t="s">
        <v>28943</v>
      </c>
      <c r="AA4073">
        <v>0.41613596639747757</v>
      </c>
      <c r="AB4073" t="str">
        <f>HYPERLINK("Melting_Curves/meltCurve_Q8IYU8_MICU2.pdf", "Melting_Curves/meltCurve_Q8IYU8_MICU2.pdf")</f>
        <v>Melting_Curves/meltCurve_Q8IYU8_MICU2.pdf</v>
      </c>
    </row>
    <row r="4074" spans="1:28" x14ac:dyDescent="0.25">
      <c r="A4074" t="s">
        <v>4078</v>
      </c>
      <c r="B4074">
        <v>0.99352677808782597</v>
      </c>
      <c r="C4074">
        <v>0.89658878727623004</v>
      </c>
      <c r="D4074">
        <v>0.96714489500075396</v>
      </c>
      <c r="E4074">
        <v>0.78911919752103798</v>
      </c>
      <c r="F4074">
        <v>0.76592593027081901</v>
      </c>
      <c r="G4074">
        <v>0.56000195469858505</v>
      </c>
      <c r="H4074">
        <v>0.45644043917113297</v>
      </c>
      <c r="I4074">
        <v>0.27588186663516301</v>
      </c>
      <c r="J4074">
        <v>0.62522471820760805</v>
      </c>
      <c r="K4074">
        <v>0.35221125424316102</v>
      </c>
      <c r="L4074">
        <v>752.850564286392</v>
      </c>
      <c r="M4074">
        <v>14.1085289407175</v>
      </c>
      <c r="N4074">
        <v>59.517757959287898</v>
      </c>
      <c r="O4074">
        <v>52.323642450888002</v>
      </c>
      <c r="P4074">
        <v>-4.1542868857299797E-2</v>
      </c>
      <c r="Q4074">
        <v>0.38380669826931701</v>
      </c>
      <c r="R4074">
        <v>0.85362815737148501</v>
      </c>
      <c r="S4074" t="s">
        <v>10359</v>
      </c>
      <c r="T4074" t="s">
        <v>12568</v>
      </c>
      <c r="U4074" t="s">
        <v>12568</v>
      </c>
      <c r="V4074" t="s">
        <v>12568</v>
      </c>
      <c r="W4074" t="s">
        <v>16598</v>
      </c>
      <c r="X4074">
        <v>1</v>
      </c>
      <c r="Y4074" t="s">
        <v>22711</v>
      </c>
      <c r="Z4074" t="s">
        <v>28944</v>
      </c>
      <c r="AA4074">
        <v>0.67237888785265854</v>
      </c>
      <c r="AB4074" t="str">
        <f>HYPERLINK("Melting_Curves/meltCurve_Q8IYW5_RNF168.pdf", "Melting_Curves/meltCurve_Q8IYW5_RNF168.pdf")</f>
        <v>Melting_Curves/meltCurve_Q8IYW5_RNF168.pdf</v>
      </c>
    </row>
    <row r="4075" spans="1:28" x14ac:dyDescent="0.25">
      <c r="A4075" t="s">
        <v>4079</v>
      </c>
      <c r="B4075">
        <v>0.99352677808782597</v>
      </c>
      <c r="C4075">
        <v>0.973834830272581</v>
      </c>
      <c r="D4075">
        <v>0.92220459811962996</v>
      </c>
      <c r="E4075">
        <v>0.53931740901627301</v>
      </c>
      <c r="F4075">
        <v>0.44532596023213</v>
      </c>
      <c r="G4075">
        <v>0.24258719701449599</v>
      </c>
      <c r="H4075">
        <v>0.15853356993086601</v>
      </c>
      <c r="I4075">
        <v>0.120865804331513</v>
      </c>
      <c r="J4075">
        <v>0.121832127109008</v>
      </c>
      <c r="K4075">
        <v>9.2488914129891603E-2</v>
      </c>
      <c r="L4075">
        <v>847.14150651245097</v>
      </c>
      <c r="M4075">
        <v>16.658849537855801</v>
      </c>
      <c r="N4075">
        <v>51.5486450090511</v>
      </c>
      <c r="O4075">
        <v>50.136515282732397</v>
      </c>
      <c r="P4075">
        <v>-7.4703334673487595E-2</v>
      </c>
      <c r="Q4075">
        <v>0.10075082428424401</v>
      </c>
      <c r="R4075">
        <v>0.99133375369298504</v>
      </c>
      <c r="S4075" t="s">
        <v>10360</v>
      </c>
      <c r="T4075" t="s">
        <v>12568</v>
      </c>
      <c r="U4075" t="s">
        <v>12568</v>
      </c>
      <c r="V4075" t="s">
        <v>12568</v>
      </c>
      <c r="W4075" t="s">
        <v>16599</v>
      </c>
      <c r="X4075">
        <v>5</v>
      </c>
      <c r="Y4075" t="s">
        <v>22712</v>
      </c>
      <c r="Z4075" t="s">
        <v>28945</v>
      </c>
      <c r="AA4075">
        <v>0.44348327613508731</v>
      </c>
      <c r="AB4075" t="str">
        <f>HYPERLINK("Melting_Curves/meltCurve_Q8IZ07_ANKRD13A.pdf", "Melting_Curves/meltCurve_Q8IZ07_ANKRD13A.pdf")</f>
        <v>Melting_Curves/meltCurve_Q8IZ07_ANKRD13A.pdf</v>
      </c>
    </row>
    <row r="4076" spans="1:28" x14ac:dyDescent="0.25">
      <c r="A4076" t="s">
        <v>4080</v>
      </c>
      <c r="B4076">
        <v>0.99352677808782597</v>
      </c>
      <c r="C4076">
        <v>0.973757638584413</v>
      </c>
      <c r="D4076">
        <v>0.92169035490094098</v>
      </c>
      <c r="E4076">
        <v>0.87621373222698595</v>
      </c>
      <c r="F4076">
        <v>0.79077520188884598</v>
      </c>
      <c r="G4076">
        <v>0.70836260554515196</v>
      </c>
      <c r="H4076">
        <v>0.70543008510485306</v>
      </c>
      <c r="I4076">
        <v>0.72417679606910101</v>
      </c>
      <c r="J4076">
        <v>0.70695651732790199</v>
      </c>
      <c r="K4076">
        <v>0.61666628868555295</v>
      </c>
      <c r="L4076">
        <v>617.41622699148502</v>
      </c>
      <c r="M4076">
        <v>12.0071032853205</v>
      </c>
      <c r="O4076">
        <v>50.0568910294961</v>
      </c>
      <c r="P4076">
        <v>-2.0668946808285099E-2</v>
      </c>
      <c r="Q4076">
        <v>0.65541249794045997</v>
      </c>
      <c r="R4076">
        <v>0.95665421633321301</v>
      </c>
      <c r="S4076" t="s">
        <v>10361</v>
      </c>
      <c r="T4076" t="s">
        <v>12568</v>
      </c>
      <c r="U4076" t="s">
        <v>12568</v>
      </c>
      <c r="V4076" t="s">
        <v>12568</v>
      </c>
      <c r="W4076" t="s">
        <v>16600</v>
      </c>
      <c r="X4076">
        <v>23</v>
      </c>
      <c r="Y4076" t="s">
        <v>22713</v>
      </c>
      <c r="Z4076" t="s">
        <v>28946</v>
      </c>
      <c r="AA4076">
        <v>0.79753670389573394</v>
      </c>
      <c r="AB4076" t="str">
        <f>HYPERLINK("Melting_Curves/meltCurve_Q8IZ21_3_PHACTR4.pdf", "Melting_Curves/meltCurve_Q8IZ21_3_PHACTR4.pdf")</f>
        <v>Melting_Curves/meltCurve_Q8IZ21_3_PHACTR4.pdf</v>
      </c>
    </row>
    <row r="4077" spans="1:28" x14ac:dyDescent="0.25">
      <c r="A4077" t="s">
        <v>4081</v>
      </c>
      <c r="B4077">
        <v>0.99352677808782597</v>
      </c>
      <c r="C4077">
        <v>1.02614508504283</v>
      </c>
      <c r="D4077">
        <v>1.0058807028749199</v>
      </c>
      <c r="E4077">
        <v>0.79017572254392598</v>
      </c>
      <c r="F4077">
        <v>0.74543820011086503</v>
      </c>
      <c r="G4077">
        <v>0.59085652710569903</v>
      </c>
      <c r="H4077">
        <v>0.52655346888217203</v>
      </c>
      <c r="I4077">
        <v>0.64746450266622302</v>
      </c>
      <c r="J4077">
        <v>0.70253984186404606</v>
      </c>
      <c r="K4077">
        <v>0.55083229949516699</v>
      </c>
      <c r="L4077">
        <v>1326.2555796935301</v>
      </c>
      <c r="M4077">
        <v>26.253634055613499</v>
      </c>
      <c r="O4077">
        <v>50.226663749038501</v>
      </c>
      <c r="P4077">
        <v>-5.1731033079355601E-2</v>
      </c>
      <c r="Q4077">
        <v>0.60413123653897405</v>
      </c>
      <c r="R4077">
        <v>0.91458280355460797</v>
      </c>
      <c r="S4077" t="s">
        <v>10362</v>
      </c>
      <c r="T4077" t="s">
        <v>12568</v>
      </c>
      <c r="U4077" t="s">
        <v>12568</v>
      </c>
      <c r="V4077" t="s">
        <v>12568</v>
      </c>
      <c r="W4077" t="s">
        <v>16601</v>
      </c>
      <c r="X4077">
        <v>3</v>
      </c>
      <c r="Y4077" t="s">
        <v>22714</v>
      </c>
      <c r="Z4077" t="s">
        <v>28947</v>
      </c>
      <c r="AA4077">
        <v>0.7461369707948059</v>
      </c>
      <c r="AB4077" t="str">
        <f>HYPERLINK("Melting_Curves/meltCurve_Q8IZ41_RASEF.pdf", "Melting_Curves/meltCurve_Q8IZ41_RASEF.pdf")</f>
        <v>Melting_Curves/meltCurve_Q8IZ41_RASEF.pdf</v>
      </c>
    </row>
    <row r="4078" spans="1:28" x14ac:dyDescent="0.25">
      <c r="A4078" t="s">
        <v>4082</v>
      </c>
      <c r="B4078">
        <v>0.99352677808782597</v>
      </c>
      <c r="C4078">
        <v>0.980430742318951</v>
      </c>
      <c r="D4078">
        <v>0.86052227501425105</v>
      </c>
      <c r="E4078">
        <v>0.45722813581435801</v>
      </c>
      <c r="F4078">
        <v>0.37239962523897302</v>
      </c>
      <c r="G4078">
        <v>0.27724371697801298</v>
      </c>
      <c r="H4078">
        <v>0.21812933549559299</v>
      </c>
      <c r="I4078">
        <v>0.166722304466039</v>
      </c>
      <c r="J4078">
        <v>0.12322809465875099</v>
      </c>
      <c r="K4078">
        <v>8.7644337257218E-2</v>
      </c>
      <c r="L4078">
        <v>866.10005121985398</v>
      </c>
      <c r="M4078">
        <v>17.500868783754001</v>
      </c>
      <c r="N4078">
        <v>50.463454340061901</v>
      </c>
      <c r="O4078">
        <v>48.856386888208</v>
      </c>
      <c r="P4078">
        <v>-7.6716375018124894E-2</v>
      </c>
      <c r="Q4078">
        <v>0.143384804527485</v>
      </c>
      <c r="R4078">
        <v>0.98351961013176104</v>
      </c>
      <c r="S4078" t="s">
        <v>10363</v>
      </c>
      <c r="T4078" t="s">
        <v>12568</v>
      </c>
      <c r="U4078" t="s">
        <v>12568</v>
      </c>
      <c r="V4078" t="s">
        <v>12568</v>
      </c>
      <c r="W4078" t="s">
        <v>16602</v>
      </c>
      <c r="X4078">
        <v>4</v>
      </c>
      <c r="Y4078" t="s">
        <v>22715</v>
      </c>
      <c r="Z4078" t="s">
        <v>28948</v>
      </c>
      <c r="AA4078">
        <v>0.42987077126078982</v>
      </c>
      <c r="AB4078" t="str">
        <f>HYPERLINK("Melting_Curves/meltCurve_Q8IZ69_TRMT2A.pdf", "Melting_Curves/meltCurve_Q8IZ69_TRMT2A.pdf")</f>
        <v>Melting_Curves/meltCurve_Q8IZ69_TRMT2A.pdf</v>
      </c>
    </row>
    <row r="4079" spans="1:28" x14ac:dyDescent="0.25">
      <c r="A4079" t="s">
        <v>4083</v>
      </c>
      <c r="B4079">
        <v>0.99352677808782597</v>
      </c>
      <c r="C4079">
        <v>0.999276420520949</v>
      </c>
      <c r="D4079">
        <v>0.95559261914813398</v>
      </c>
      <c r="E4079">
        <v>0.91202343728524504</v>
      </c>
      <c r="F4079">
        <v>0.82822686392426303</v>
      </c>
      <c r="G4079">
        <v>0.58395014644563903</v>
      </c>
      <c r="H4079">
        <v>0.24239960021170601</v>
      </c>
      <c r="I4079">
        <v>0.207856249545918</v>
      </c>
      <c r="J4079">
        <v>0.17213212976974501</v>
      </c>
      <c r="K4079">
        <v>0.15648199472931101</v>
      </c>
      <c r="L4079">
        <v>1159.52064050933</v>
      </c>
      <c r="M4079">
        <v>20.4370994454423</v>
      </c>
      <c r="N4079">
        <v>57.555714111000498</v>
      </c>
      <c r="O4079">
        <v>56.201241259201197</v>
      </c>
      <c r="P4079">
        <v>-7.9434549147287495E-2</v>
      </c>
      <c r="Q4079">
        <v>0.12625837851660801</v>
      </c>
      <c r="R4079">
        <v>0.994038682532984</v>
      </c>
      <c r="S4079" t="s">
        <v>10364</v>
      </c>
      <c r="T4079" t="s">
        <v>12568</v>
      </c>
      <c r="U4079" t="s">
        <v>12568</v>
      </c>
      <c r="V4079" t="s">
        <v>12568</v>
      </c>
      <c r="W4079" t="s">
        <v>16603</v>
      </c>
      <c r="X4079">
        <v>11</v>
      </c>
      <c r="Y4079" t="s">
        <v>22716</v>
      </c>
      <c r="Z4079" t="s">
        <v>28949</v>
      </c>
      <c r="AA4079">
        <v>0.62426470147586055</v>
      </c>
      <c r="AB4079" t="str">
        <f>HYPERLINK("Melting_Curves/meltCurve_Q8IZ73_RPUSD2.pdf", "Melting_Curves/meltCurve_Q8IZ73_RPUSD2.pdf")</f>
        <v>Melting_Curves/meltCurve_Q8IZ73_RPUSD2.pdf</v>
      </c>
    </row>
    <row r="4080" spans="1:28" x14ac:dyDescent="0.25">
      <c r="A4080" t="s">
        <v>4084</v>
      </c>
      <c r="B4080">
        <v>0.99352677808782597</v>
      </c>
      <c r="C4080">
        <v>0.91007487625999595</v>
      </c>
      <c r="D4080">
        <v>0.75141688120394401</v>
      </c>
      <c r="E4080">
        <v>1.67212040142999</v>
      </c>
      <c r="F4080">
        <v>1.27206210951888</v>
      </c>
      <c r="G4080">
        <v>1.61785233899322</v>
      </c>
      <c r="H4080">
        <v>1.57701413708848</v>
      </c>
      <c r="I4080">
        <v>0.79595247904524002</v>
      </c>
      <c r="J4080">
        <v>0.174300332681149</v>
      </c>
      <c r="K4080">
        <v>0.16568506574386899</v>
      </c>
      <c r="L4080">
        <v>15000</v>
      </c>
      <c r="M4080">
        <v>233.253931574956</v>
      </c>
      <c r="N4080">
        <v>64.422321395366893</v>
      </c>
      <c r="O4080">
        <v>64.302869439083807</v>
      </c>
      <c r="P4080">
        <v>-0.75273023028010499</v>
      </c>
      <c r="Q4080">
        <v>0.16995672369266199</v>
      </c>
      <c r="R4080">
        <v>0.51988642537013197</v>
      </c>
      <c r="S4080" t="s">
        <v>10365</v>
      </c>
      <c r="T4080" t="s">
        <v>12568</v>
      </c>
      <c r="U4080" t="s">
        <v>12568</v>
      </c>
      <c r="V4080" t="s">
        <v>12568</v>
      </c>
      <c r="W4080" t="s">
        <v>16604</v>
      </c>
      <c r="X4080">
        <v>14</v>
      </c>
      <c r="Y4080" t="s">
        <v>22717</v>
      </c>
      <c r="Z4080" t="s">
        <v>28950</v>
      </c>
      <c r="AA4080">
        <v>0.84260960715561017</v>
      </c>
      <c r="AB4080" t="str">
        <f>HYPERLINK("Melting_Curves/meltCurve_Q8IZ83_ALDH16A1.pdf", "Melting_Curves/meltCurve_Q8IZ83_ALDH16A1.pdf")</f>
        <v>Melting_Curves/meltCurve_Q8IZ83_ALDH16A1.pdf</v>
      </c>
    </row>
    <row r="4081" spans="1:28" x14ac:dyDescent="0.25">
      <c r="A4081" t="s">
        <v>4085</v>
      </c>
      <c r="B4081">
        <v>0.99352677808782597</v>
      </c>
      <c r="C4081">
        <v>1.0027088299386899</v>
      </c>
      <c r="D4081">
        <v>0.98095077726553004</v>
      </c>
      <c r="E4081">
        <v>0.78530585420727606</v>
      </c>
      <c r="F4081">
        <v>0.72823212145210303</v>
      </c>
      <c r="G4081">
        <v>0.52924661334413603</v>
      </c>
      <c r="H4081">
        <v>0.484881696535856</v>
      </c>
      <c r="I4081">
        <v>0.53997395490921296</v>
      </c>
      <c r="J4081">
        <v>0.53373164097334003</v>
      </c>
      <c r="K4081">
        <v>0.40301914685090001</v>
      </c>
      <c r="L4081">
        <v>950.00760156066599</v>
      </c>
      <c r="M4081">
        <v>18.297479078767498</v>
      </c>
      <c r="N4081">
        <v>61.640016776161801</v>
      </c>
      <c r="O4081">
        <v>51.311918079209903</v>
      </c>
      <c r="P4081">
        <v>-4.7065292191586797E-2</v>
      </c>
      <c r="Q4081">
        <v>0.47208079843560402</v>
      </c>
      <c r="R4081">
        <v>0.96604329538776501</v>
      </c>
      <c r="S4081" t="s">
        <v>10366</v>
      </c>
      <c r="T4081" t="s">
        <v>12568</v>
      </c>
      <c r="U4081" t="s">
        <v>12568</v>
      </c>
      <c r="V4081" t="s">
        <v>12568</v>
      </c>
      <c r="W4081" t="s">
        <v>16605</v>
      </c>
      <c r="X4081">
        <v>3</v>
      </c>
      <c r="Y4081" t="s">
        <v>22718</v>
      </c>
      <c r="Z4081" t="s">
        <v>28951</v>
      </c>
      <c r="AA4081">
        <v>0.69039309471138877</v>
      </c>
      <c r="AB4081" t="str">
        <f>HYPERLINK("Melting_Curves/meltCurve_Q8IZD2_6_MLL5.pdf", "Melting_Curves/meltCurve_Q8IZD2_6_MLL5.pdf")</f>
        <v>Melting_Curves/meltCurve_Q8IZD2_6_MLL5.pdf</v>
      </c>
    </row>
    <row r="4082" spans="1:28" x14ac:dyDescent="0.25">
      <c r="A4082" t="s">
        <v>4086</v>
      </c>
      <c r="B4082">
        <v>0.99352677808782597</v>
      </c>
      <c r="C4082">
        <v>0.89888788240901496</v>
      </c>
      <c r="D4082">
        <v>0.95296367984160901</v>
      </c>
      <c r="E4082">
        <v>0.622940353234956</v>
      </c>
      <c r="F4082">
        <v>0.56265630830052704</v>
      </c>
      <c r="G4082">
        <v>0.402820846667857</v>
      </c>
      <c r="H4082">
        <v>0.30855888754718203</v>
      </c>
      <c r="I4082">
        <v>0.33607144749469098</v>
      </c>
      <c r="J4082">
        <v>0.31432455977030199</v>
      </c>
      <c r="K4082">
        <v>0.24477027626853501</v>
      </c>
      <c r="L4082">
        <v>747.526620437259</v>
      </c>
      <c r="M4082">
        <v>14.676358385085001</v>
      </c>
      <c r="N4082">
        <v>53.789252139331097</v>
      </c>
      <c r="O4082">
        <v>50.016466265577201</v>
      </c>
      <c r="P4082">
        <v>-5.35147262815939E-2</v>
      </c>
      <c r="Q4082">
        <v>0.27057572871123697</v>
      </c>
      <c r="R4082">
        <v>0.97682416876561295</v>
      </c>
      <c r="S4082" t="s">
        <v>10367</v>
      </c>
      <c r="T4082" t="s">
        <v>12568</v>
      </c>
      <c r="U4082" t="s">
        <v>12568</v>
      </c>
      <c r="V4082" t="s">
        <v>12568</v>
      </c>
      <c r="W4082" t="s">
        <v>16606</v>
      </c>
      <c r="X4082">
        <v>5</v>
      </c>
      <c r="Y4082" t="s">
        <v>22719</v>
      </c>
      <c r="Z4082" t="s">
        <v>28952</v>
      </c>
      <c r="AA4082">
        <v>0.55393601025968564</v>
      </c>
      <c r="AB4082" t="str">
        <f>HYPERLINK("Melting_Curves/meltCurve_Q8IZD4_DCP1B.pdf", "Melting_Curves/meltCurve_Q8IZD4_DCP1B.pdf")</f>
        <v>Melting_Curves/meltCurve_Q8IZD4_DCP1B.pdf</v>
      </c>
    </row>
    <row r="4083" spans="1:28" x14ac:dyDescent="0.25">
      <c r="A4083" t="s">
        <v>4087</v>
      </c>
      <c r="B4083">
        <v>0.99352677808782597</v>
      </c>
      <c r="C4083">
        <v>0.98098690480093897</v>
      </c>
      <c r="D4083">
        <v>0.87898539277182597</v>
      </c>
      <c r="E4083">
        <v>0.34699438670314398</v>
      </c>
      <c r="F4083">
        <v>0.28590876567812201</v>
      </c>
      <c r="G4083">
        <v>0.148350208701269</v>
      </c>
      <c r="H4083">
        <v>0.104434714792843</v>
      </c>
      <c r="I4083">
        <v>7.8172172740735596E-2</v>
      </c>
      <c r="J4083">
        <v>5.6991248423343403E-2</v>
      </c>
      <c r="K4083">
        <v>3.7539403740763498E-2</v>
      </c>
      <c r="L4083">
        <v>1167.0569145320901</v>
      </c>
      <c r="M4083">
        <v>23.867942647790301</v>
      </c>
      <c r="N4083">
        <v>49.266470621230702</v>
      </c>
      <c r="O4083">
        <v>48.557059865146002</v>
      </c>
      <c r="P4083">
        <v>-0.112803502814735</v>
      </c>
      <c r="Q4083">
        <v>8.2062892548637703E-2</v>
      </c>
      <c r="R4083">
        <v>0.98706372121907004</v>
      </c>
      <c r="S4083" t="s">
        <v>10368</v>
      </c>
      <c r="T4083" t="s">
        <v>12568</v>
      </c>
      <c r="U4083" t="s">
        <v>12568</v>
      </c>
      <c r="V4083" t="s">
        <v>12568</v>
      </c>
      <c r="W4083" t="s">
        <v>16607</v>
      </c>
      <c r="X4083">
        <v>6</v>
      </c>
      <c r="Y4083" t="s">
        <v>22720</v>
      </c>
      <c r="Z4083" t="s">
        <v>28953</v>
      </c>
      <c r="AA4083">
        <v>0.36322067038911388</v>
      </c>
      <c r="AB4083" t="str">
        <f>HYPERLINK("Melting_Curves/meltCurve_Q8IZH2_2_XRN1.pdf", "Melting_Curves/meltCurve_Q8IZH2_2_XRN1.pdf")</f>
        <v>Melting_Curves/meltCurve_Q8IZH2_2_XRN1.pdf</v>
      </c>
    </row>
    <row r="4084" spans="1:28" x14ac:dyDescent="0.25">
      <c r="A4084" t="s">
        <v>4088</v>
      </c>
      <c r="B4084">
        <v>0.99352677808782597</v>
      </c>
      <c r="C4084">
        <v>0.95315313930805501</v>
      </c>
      <c r="D4084">
        <v>0.90852964338055797</v>
      </c>
      <c r="E4084">
        <v>0.95133983325997695</v>
      </c>
      <c r="F4084">
        <v>0.77440901469625101</v>
      </c>
      <c r="G4084">
        <v>0.53966050860024894</v>
      </c>
      <c r="H4084">
        <v>0.31514852592802101</v>
      </c>
      <c r="I4084">
        <v>0.28383164669354799</v>
      </c>
      <c r="J4084">
        <v>0.28186868417298599</v>
      </c>
      <c r="K4084">
        <v>0.20091208915019601</v>
      </c>
      <c r="L4084">
        <v>1030.52333020933</v>
      </c>
      <c r="M4084">
        <v>18.468524129928799</v>
      </c>
      <c r="N4084">
        <v>57.4809934075219</v>
      </c>
      <c r="O4084">
        <v>55.157041837803298</v>
      </c>
      <c r="P4084">
        <v>-6.6236901418253197E-2</v>
      </c>
      <c r="Q4084">
        <v>0.208757856077328</v>
      </c>
      <c r="R4084">
        <v>0.98736462138229397</v>
      </c>
      <c r="S4084" t="s">
        <v>10369</v>
      </c>
      <c r="T4084" t="s">
        <v>12568</v>
      </c>
      <c r="U4084" t="s">
        <v>12568</v>
      </c>
      <c r="V4084" t="s">
        <v>12568</v>
      </c>
      <c r="W4084" t="s">
        <v>16608</v>
      </c>
      <c r="X4084">
        <v>13</v>
      </c>
      <c r="Y4084" t="s">
        <v>22721</v>
      </c>
      <c r="Z4084" t="s">
        <v>28954</v>
      </c>
      <c r="AA4084">
        <v>0.63686839133217288</v>
      </c>
      <c r="AB4084" t="str">
        <f>HYPERLINK("Melting_Curves/meltCurve_Q8IZP0_10_ABI1.pdf", "Melting_Curves/meltCurve_Q8IZP0_10_ABI1.pdf")</f>
        <v>Melting_Curves/meltCurve_Q8IZP0_10_ABI1.pdf</v>
      </c>
    </row>
    <row r="4085" spans="1:28" x14ac:dyDescent="0.25">
      <c r="A4085" t="s">
        <v>4089</v>
      </c>
      <c r="B4085">
        <v>0.99352677808782597</v>
      </c>
      <c r="C4085">
        <v>0.92302906244856198</v>
      </c>
      <c r="D4085">
        <v>0.75174511157024204</v>
      </c>
      <c r="E4085">
        <v>0.36414543932980598</v>
      </c>
      <c r="F4085">
        <v>0.31429257591573301</v>
      </c>
      <c r="G4085">
        <v>0.20770237659388999</v>
      </c>
      <c r="H4085">
        <v>0.16574937286444499</v>
      </c>
      <c r="I4085">
        <v>0.195495268311458</v>
      </c>
      <c r="J4085">
        <v>0.11085628205896</v>
      </c>
      <c r="K4085">
        <v>8.7552250174518703E-2</v>
      </c>
      <c r="L4085">
        <v>887.869343122332</v>
      </c>
      <c r="M4085">
        <v>18.491351861275401</v>
      </c>
      <c r="N4085">
        <v>48.881157308251801</v>
      </c>
      <c r="O4085">
        <v>47.464396153820999</v>
      </c>
      <c r="P4085">
        <v>-8.3798812609967396E-2</v>
      </c>
      <c r="Q4085">
        <v>0.139644608119358</v>
      </c>
      <c r="R4085">
        <v>0.98819120823363604</v>
      </c>
      <c r="S4085" t="s">
        <v>10370</v>
      </c>
      <c r="T4085" t="s">
        <v>12568</v>
      </c>
      <c r="U4085" t="s">
        <v>12568</v>
      </c>
      <c r="V4085" t="s">
        <v>12568</v>
      </c>
      <c r="W4085" t="s">
        <v>16609</v>
      </c>
      <c r="X4085">
        <v>3</v>
      </c>
      <c r="Y4085" t="s">
        <v>22722</v>
      </c>
      <c r="Z4085" t="s">
        <v>28955</v>
      </c>
      <c r="AA4085">
        <v>0.38393569254977439</v>
      </c>
      <c r="AB4085" t="str">
        <f>HYPERLINK("Melting_Curves/meltCurve_Q8IZQ1_2_WDFY3.pdf", "Melting_Curves/meltCurve_Q8IZQ1_2_WDFY3.pdf")</f>
        <v>Melting_Curves/meltCurve_Q8IZQ1_2_WDFY3.pdf</v>
      </c>
    </row>
    <row r="4086" spans="1:28" x14ac:dyDescent="0.25">
      <c r="A4086" t="s">
        <v>4090</v>
      </c>
      <c r="B4086">
        <v>0.99352677808782597</v>
      </c>
      <c r="C4086">
        <v>0.94757306615487502</v>
      </c>
      <c r="D4086">
        <v>0.789430784469911</v>
      </c>
      <c r="E4086">
        <v>0.60331944885030797</v>
      </c>
      <c r="F4086">
        <v>0.41189937459679299</v>
      </c>
      <c r="G4086">
        <v>0.19863882589484699</v>
      </c>
      <c r="H4086">
        <v>9.6934623126866196E-2</v>
      </c>
      <c r="I4086">
        <v>0.14978446372135501</v>
      </c>
      <c r="J4086">
        <v>9.1559826483364706E-2</v>
      </c>
      <c r="K4086">
        <v>8.8270028404911105E-2</v>
      </c>
      <c r="L4086">
        <v>732.302655436946</v>
      </c>
      <c r="M4086">
        <v>14.4325404088466</v>
      </c>
      <c r="N4086">
        <v>51.229790206895501</v>
      </c>
      <c r="O4086">
        <v>49.795404472727299</v>
      </c>
      <c r="P4086">
        <v>-6.7794872317313806E-2</v>
      </c>
      <c r="Q4086">
        <v>6.4481678556639804E-2</v>
      </c>
      <c r="R4086">
        <v>0.99448175142197304</v>
      </c>
      <c r="S4086" t="s">
        <v>10371</v>
      </c>
      <c r="T4086" t="s">
        <v>12568</v>
      </c>
      <c r="U4086" t="s">
        <v>12568</v>
      </c>
      <c r="V4086" t="s">
        <v>12568</v>
      </c>
      <c r="W4086" t="s">
        <v>16610</v>
      </c>
      <c r="X4086">
        <v>2</v>
      </c>
      <c r="Y4086" t="s">
        <v>22723</v>
      </c>
      <c r="Z4086" t="s">
        <v>28956</v>
      </c>
      <c r="AA4086">
        <v>0.42262789430302911</v>
      </c>
      <c r="AB4086" t="str">
        <f>HYPERLINK("Melting_Curves/meltCurve_Q8IZT6_2_ASPM.pdf", "Melting_Curves/meltCurve_Q8IZT6_2_ASPM.pdf")</f>
        <v>Melting_Curves/meltCurve_Q8IZT6_2_ASPM.pdf</v>
      </c>
    </row>
    <row r="4087" spans="1:28" x14ac:dyDescent="0.25">
      <c r="A4087" t="s">
        <v>4091</v>
      </c>
      <c r="B4087">
        <v>0.99352677808782597</v>
      </c>
      <c r="C4087">
        <v>0.90374043580694996</v>
      </c>
      <c r="D4087">
        <v>0.881250952506347</v>
      </c>
      <c r="E4087">
        <v>0.47052938054765198</v>
      </c>
      <c r="F4087">
        <v>0.37808222414644299</v>
      </c>
      <c r="G4087">
        <v>0.30548399944972598</v>
      </c>
      <c r="H4087">
        <v>0.26718813318020801</v>
      </c>
      <c r="I4087">
        <v>0.27962375124724898</v>
      </c>
      <c r="J4087">
        <v>0.25768999377484297</v>
      </c>
      <c r="K4087">
        <v>0.24658645227113299</v>
      </c>
      <c r="L4087">
        <v>1134.7277377508201</v>
      </c>
      <c r="M4087">
        <v>23.412084042387299</v>
      </c>
      <c r="N4087">
        <v>50.090518781418197</v>
      </c>
      <c r="O4087">
        <v>48.118145498456599</v>
      </c>
      <c r="P4087">
        <v>-8.9305469546366895E-2</v>
      </c>
      <c r="Q4087">
        <v>0.26582538955983798</v>
      </c>
      <c r="R4087">
        <v>0.98947568143481002</v>
      </c>
      <c r="S4087" t="s">
        <v>10372</v>
      </c>
      <c r="T4087" t="s">
        <v>12568</v>
      </c>
      <c r="U4087" t="s">
        <v>12568</v>
      </c>
      <c r="V4087" t="s">
        <v>12568</v>
      </c>
      <c r="W4087" t="s">
        <v>16611</v>
      </c>
      <c r="X4087">
        <v>14</v>
      </c>
      <c r="Y4087" t="s">
        <v>22724</v>
      </c>
      <c r="Z4087" t="s">
        <v>28957</v>
      </c>
      <c r="AA4087">
        <v>0.48049462481691041</v>
      </c>
      <c r="AB4087" t="str">
        <f>HYPERLINK("Melting_Curves/meltCurve_Q8IZW8_TNS4.pdf", "Melting_Curves/meltCurve_Q8IZW8_TNS4.pdf")</f>
        <v>Melting_Curves/meltCurve_Q8IZW8_TNS4.pdf</v>
      </c>
    </row>
    <row r="4088" spans="1:28" x14ac:dyDescent="0.25">
      <c r="A4088" t="s">
        <v>4092</v>
      </c>
      <c r="B4088">
        <v>0.99352677808782597</v>
      </c>
      <c r="C4088">
        <v>1.19874589915632</v>
      </c>
      <c r="D4088">
        <v>1.0537828794506201</v>
      </c>
      <c r="E4088">
        <v>1.1337050464532099</v>
      </c>
      <c r="F4088">
        <v>0.83011632492259202</v>
      </c>
      <c r="G4088">
        <v>0.77513630299782199</v>
      </c>
      <c r="H4088">
        <v>0.39749765652341701</v>
      </c>
      <c r="I4088">
        <v>0.37278303697322002</v>
      </c>
      <c r="J4088">
        <v>0.32563371158962501</v>
      </c>
      <c r="K4088">
        <v>0.44144789475846202</v>
      </c>
      <c r="L4088">
        <v>1896.9554017512</v>
      </c>
      <c r="M4088">
        <v>32.995975392059101</v>
      </c>
      <c r="N4088">
        <v>59.818643964703703</v>
      </c>
      <c r="O4088">
        <v>57.280549775666302</v>
      </c>
      <c r="P4088">
        <v>-9.1941784668945301E-2</v>
      </c>
      <c r="Q4088">
        <v>0.361564000222867</v>
      </c>
      <c r="R4088">
        <v>0.912385360316322</v>
      </c>
      <c r="S4088" t="s">
        <v>10373</v>
      </c>
      <c r="T4088" t="s">
        <v>12568</v>
      </c>
      <c r="U4088" t="s">
        <v>12568</v>
      </c>
      <c r="V4088" t="s">
        <v>12568</v>
      </c>
      <c r="W4088" t="s">
        <v>16612</v>
      </c>
      <c r="X4088">
        <v>3</v>
      </c>
      <c r="Y4088" t="s">
        <v>22725</v>
      </c>
      <c r="Z4088" t="s">
        <v>28958</v>
      </c>
      <c r="AA4088">
        <v>0.73736485550837694</v>
      </c>
      <c r="AB4088" t="str">
        <f>HYPERLINK("Melting_Curves/meltCurve_Q8N0T1_C8orf59.pdf", "Melting_Curves/meltCurve_Q8N0T1_C8orf59.pdf")</f>
        <v>Melting_Curves/meltCurve_Q8N0T1_C8orf59.pdf</v>
      </c>
    </row>
    <row r="4089" spans="1:28" x14ac:dyDescent="0.25">
      <c r="A4089" t="s">
        <v>4093</v>
      </c>
      <c r="B4089">
        <v>0.99352677808782597</v>
      </c>
      <c r="C4089">
        <v>0.97136401021917596</v>
      </c>
      <c r="D4089">
        <v>0.93915600488168105</v>
      </c>
      <c r="E4089">
        <v>0.71167143575819203</v>
      </c>
      <c r="F4089">
        <v>0.67705977717523103</v>
      </c>
      <c r="G4089">
        <v>0.44636930302372801</v>
      </c>
      <c r="H4089">
        <v>0.25292381668392699</v>
      </c>
      <c r="I4089">
        <v>0.23257684181687399</v>
      </c>
      <c r="J4089">
        <v>0.214161742163235</v>
      </c>
      <c r="K4089">
        <v>0.15680058451034101</v>
      </c>
      <c r="L4089">
        <v>666.46529302083297</v>
      </c>
      <c r="M4089">
        <v>12.2409529080862</v>
      </c>
      <c r="N4089">
        <v>55.540393739777102</v>
      </c>
      <c r="O4089">
        <v>53.053641018944397</v>
      </c>
      <c r="P4089">
        <v>-5.1510026488077301E-2</v>
      </c>
      <c r="Q4089">
        <v>0.107198713156946</v>
      </c>
      <c r="R4089">
        <v>0.99053205673749101</v>
      </c>
      <c r="S4089" t="s">
        <v>10374</v>
      </c>
      <c r="T4089" t="s">
        <v>12568</v>
      </c>
      <c r="U4089" t="s">
        <v>12568</v>
      </c>
      <c r="V4089" t="s">
        <v>12568</v>
      </c>
      <c r="W4089" t="s">
        <v>16613</v>
      </c>
      <c r="X4089">
        <v>1</v>
      </c>
      <c r="Y4089" t="s">
        <v>22726</v>
      </c>
      <c r="Z4089" t="s">
        <v>28959</v>
      </c>
      <c r="AA4089">
        <v>0.55902554736771537</v>
      </c>
      <c r="AB4089" t="str">
        <f>HYPERLINK("Melting_Curves/meltCurve_Q8N0U4_3_FAM185A.pdf", "Melting_Curves/meltCurve_Q8N0U4_3_FAM185A.pdf")</f>
        <v>Melting_Curves/meltCurve_Q8N0U4_3_FAM185A.pdf</v>
      </c>
    </row>
    <row r="4090" spans="1:28" x14ac:dyDescent="0.25">
      <c r="A4090" t="s">
        <v>4094</v>
      </c>
      <c r="B4090">
        <v>0.99352677808782597</v>
      </c>
      <c r="C4090">
        <v>1.07094097674004</v>
      </c>
      <c r="D4090">
        <v>0.90134718135667502</v>
      </c>
      <c r="E4090">
        <v>0.91597999194646595</v>
      </c>
      <c r="F4090">
        <v>1.07005715642987</v>
      </c>
      <c r="G4090">
        <v>0.62090911635687396</v>
      </c>
      <c r="H4090">
        <v>1.0937165152922299</v>
      </c>
      <c r="I4090">
        <v>1.3504718784982599</v>
      </c>
      <c r="J4090">
        <v>0.16714405844355501</v>
      </c>
      <c r="K4090">
        <v>0.15640468180409101</v>
      </c>
      <c r="L4090">
        <v>15000</v>
      </c>
      <c r="M4090">
        <v>227.26019338459699</v>
      </c>
      <c r="N4090">
        <v>66.105763432178705</v>
      </c>
      <c r="O4090">
        <v>65.998535598648601</v>
      </c>
      <c r="P4090">
        <v>-0.733419764324865</v>
      </c>
      <c r="Q4090">
        <v>0.14803160837108501</v>
      </c>
      <c r="R4090">
        <v>0.78859482661292002</v>
      </c>
      <c r="S4090" t="s">
        <v>10375</v>
      </c>
      <c r="T4090" t="s">
        <v>12568</v>
      </c>
      <c r="U4090" t="s">
        <v>12568</v>
      </c>
      <c r="V4090" t="s">
        <v>12568</v>
      </c>
      <c r="W4090" t="s">
        <v>16614</v>
      </c>
      <c r="X4090">
        <v>8</v>
      </c>
      <c r="Y4090" t="s">
        <v>22727</v>
      </c>
      <c r="Z4090" t="s">
        <v>28960</v>
      </c>
      <c r="AA4090">
        <v>0.88662699737353989</v>
      </c>
      <c r="AB4090" t="str">
        <f>HYPERLINK("Melting_Curves/meltCurve_Q8N0W3_FUK.pdf", "Melting_Curves/meltCurve_Q8N0W3_FUK.pdf")</f>
        <v>Melting_Curves/meltCurve_Q8N0W3_FUK.pdf</v>
      </c>
    </row>
    <row r="4091" spans="1:28" x14ac:dyDescent="0.25">
      <c r="A4091" t="s">
        <v>4095</v>
      </c>
      <c r="B4091">
        <v>0.99352677808782597</v>
      </c>
      <c r="C4091">
        <v>0.99709934626168295</v>
      </c>
      <c r="D4091">
        <v>0.98337342052113497</v>
      </c>
      <c r="E4091">
        <v>0.70433121961044698</v>
      </c>
      <c r="F4091">
        <v>0.60796089549337395</v>
      </c>
      <c r="G4091">
        <v>0.42622713076027702</v>
      </c>
      <c r="H4091">
        <v>0.30700609318247801</v>
      </c>
      <c r="I4091">
        <v>0.29493683909757801</v>
      </c>
      <c r="J4091">
        <v>0.27938749564638599</v>
      </c>
      <c r="K4091">
        <v>0.23144309779965999</v>
      </c>
      <c r="L4091">
        <v>829.79487671241202</v>
      </c>
      <c r="M4091">
        <v>15.8180323107457</v>
      </c>
      <c r="N4091">
        <v>54.755063073461699</v>
      </c>
      <c r="O4091">
        <v>51.641837604668098</v>
      </c>
      <c r="P4091">
        <v>-5.8015270422138797E-2</v>
      </c>
      <c r="Q4091">
        <v>0.24244195315716099</v>
      </c>
      <c r="R4091">
        <v>0.99067491475283198</v>
      </c>
      <c r="S4091" t="s">
        <v>10376</v>
      </c>
      <c r="T4091" t="s">
        <v>12568</v>
      </c>
      <c r="U4091" t="s">
        <v>12568</v>
      </c>
      <c r="V4091" t="s">
        <v>12568</v>
      </c>
      <c r="W4091" t="s">
        <v>16615</v>
      </c>
      <c r="X4091">
        <v>13</v>
      </c>
      <c r="Y4091" t="s">
        <v>22728</v>
      </c>
      <c r="Z4091" t="s">
        <v>28961</v>
      </c>
      <c r="AA4091">
        <v>0.57243515584647042</v>
      </c>
      <c r="AB4091" t="str">
        <f>HYPERLINK("Melting_Curves/meltCurve_Q8N0X7_SPG20.pdf", "Melting_Curves/meltCurve_Q8N0X7_SPG20.pdf")</f>
        <v>Melting_Curves/meltCurve_Q8N0X7_SPG20.pdf</v>
      </c>
    </row>
    <row r="4092" spans="1:28" x14ac:dyDescent="0.25">
      <c r="A4092" t="s">
        <v>4096</v>
      </c>
      <c r="B4092">
        <v>0.99352677808782597</v>
      </c>
      <c r="C4092">
        <v>1.18621569700138</v>
      </c>
      <c r="D4092">
        <v>1.13675815444203</v>
      </c>
      <c r="E4092">
        <v>1.0290971330043801</v>
      </c>
      <c r="F4092">
        <v>0.80859835554222603</v>
      </c>
      <c r="G4092">
        <v>0.70528068576234504</v>
      </c>
      <c r="H4092">
        <v>0.60045220878416405</v>
      </c>
      <c r="I4092">
        <v>0.57329526109474604</v>
      </c>
      <c r="J4092">
        <v>0.63545805372604103</v>
      </c>
      <c r="K4092">
        <v>0.47252570226399299</v>
      </c>
      <c r="L4092">
        <v>1384.5854235776401</v>
      </c>
      <c r="M4092">
        <v>25.283275019230199</v>
      </c>
      <c r="O4092">
        <v>54.423757054483502</v>
      </c>
      <c r="P4092">
        <v>-5.1083474463011203E-2</v>
      </c>
      <c r="Q4092">
        <v>0.56016475749191097</v>
      </c>
      <c r="R4092">
        <v>0.86992355970567403</v>
      </c>
      <c r="S4092" t="s">
        <v>10377</v>
      </c>
      <c r="T4092" t="s">
        <v>12568</v>
      </c>
      <c r="U4092" t="s">
        <v>12568</v>
      </c>
      <c r="V4092" t="s">
        <v>12568</v>
      </c>
      <c r="W4092" t="s">
        <v>16616</v>
      </c>
      <c r="X4092">
        <v>3</v>
      </c>
      <c r="Y4092" t="s">
        <v>22729</v>
      </c>
      <c r="Z4092" t="s">
        <v>28962</v>
      </c>
      <c r="AA4092">
        <v>0.78059744875578485</v>
      </c>
      <c r="AB4092" t="str">
        <f>HYPERLINK("Melting_Curves/meltCurve_Q8N0Z3_SPICE1.pdf", "Melting_Curves/meltCurve_Q8N0Z3_SPICE1.pdf")</f>
        <v>Melting_Curves/meltCurve_Q8N0Z3_SPICE1.pdf</v>
      </c>
    </row>
    <row r="4093" spans="1:28" x14ac:dyDescent="0.25">
      <c r="A4093" t="s">
        <v>4097</v>
      </c>
      <c r="B4093">
        <v>0.99352677808782597</v>
      </c>
      <c r="C4093">
        <v>0.96093090478930698</v>
      </c>
      <c r="D4093">
        <v>0.97075499140616495</v>
      </c>
      <c r="E4093">
        <v>0.45551586862849403</v>
      </c>
      <c r="F4093">
        <v>0.43300656922173703</v>
      </c>
      <c r="G4093">
        <v>0.27166932919695203</v>
      </c>
      <c r="H4093">
        <v>0.20134124501712899</v>
      </c>
      <c r="I4093">
        <v>0.201116490472729</v>
      </c>
      <c r="J4093">
        <v>0.20239443648977801</v>
      </c>
      <c r="K4093">
        <v>0.15464823711931999</v>
      </c>
      <c r="L4093">
        <v>1140.9693484219499</v>
      </c>
      <c r="M4093">
        <v>23.041955818716701</v>
      </c>
      <c r="N4093">
        <v>50.645703072011997</v>
      </c>
      <c r="O4093">
        <v>49.148592021267298</v>
      </c>
      <c r="P4093">
        <v>-9.3672189937262104E-2</v>
      </c>
      <c r="Q4093">
        <v>0.20080203865687599</v>
      </c>
      <c r="R4093">
        <v>0.97377525657976705</v>
      </c>
      <c r="S4093" t="s">
        <v>10378</v>
      </c>
      <c r="T4093" t="s">
        <v>12568</v>
      </c>
      <c r="U4093" t="s">
        <v>12568</v>
      </c>
      <c r="V4093" t="s">
        <v>12568</v>
      </c>
      <c r="W4093" t="s">
        <v>16617</v>
      </c>
      <c r="X4093">
        <v>6</v>
      </c>
      <c r="Y4093" t="s">
        <v>22730</v>
      </c>
      <c r="Z4093" t="s">
        <v>28963</v>
      </c>
      <c r="AA4093">
        <v>0.46272552870946021</v>
      </c>
      <c r="AB4093" t="str">
        <f>HYPERLINK("Melting_Curves/meltCurve_Q8N0Z6_TTC5.pdf", "Melting_Curves/meltCurve_Q8N0Z6_TTC5.pdf")</f>
        <v>Melting_Curves/meltCurve_Q8N0Z6_TTC5.pdf</v>
      </c>
    </row>
    <row r="4094" spans="1:28" x14ac:dyDescent="0.25">
      <c r="A4094" t="s">
        <v>4098</v>
      </c>
      <c r="B4094">
        <v>0.99352677808782597</v>
      </c>
      <c r="C4094">
        <v>0.97316724935370402</v>
      </c>
      <c r="D4094">
        <v>0.88395157441658201</v>
      </c>
      <c r="E4094">
        <v>0.81996568057147601</v>
      </c>
      <c r="F4094">
        <v>0.76885761009101805</v>
      </c>
      <c r="G4094">
        <v>0.64173535236588897</v>
      </c>
      <c r="H4094">
        <v>0.60285164827954896</v>
      </c>
      <c r="I4094">
        <v>0.64002957100267399</v>
      </c>
      <c r="J4094">
        <v>0.62663972998106099</v>
      </c>
      <c r="K4094">
        <v>0.56188744904642096</v>
      </c>
      <c r="L4094">
        <v>608.59106368163498</v>
      </c>
      <c r="M4094">
        <v>11.910468119161999</v>
      </c>
      <c r="O4094">
        <v>49.720620036196799</v>
      </c>
      <c r="P4094">
        <v>-2.5537080627735201E-2</v>
      </c>
      <c r="Q4094">
        <v>0.57368447095615205</v>
      </c>
      <c r="R4094">
        <v>0.97512213714210305</v>
      </c>
      <c r="S4094" t="s">
        <v>10379</v>
      </c>
      <c r="T4094" t="s">
        <v>12568</v>
      </c>
      <c r="U4094" t="s">
        <v>12568</v>
      </c>
      <c r="V4094" t="s">
        <v>12568</v>
      </c>
      <c r="W4094" t="s">
        <v>16618</v>
      </c>
      <c r="X4094">
        <v>6</v>
      </c>
      <c r="Y4094" t="s">
        <v>22731</v>
      </c>
      <c r="Z4094" t="s">
        <v>28964</v>
      </c>
      <c r="AA4094">
        <v>0.74534968844403404</v>
      </c>
      <c r="AB4094" t="str">
        <f>HYPERLINK("Melting_Curves/meltCurve_Q8N108_17_MIER1.pdf", "Melting_Curves/meltCurve_Q8N108_17_MIER1.pdf")</f>
        <v>Melting_Curves/meltCurve_Q8N108_17_MIER1.pdf</v>
      </c>
    </row>
    <row r="4095" spans="1:28" x14ac:dyDescent="0.25">
      <c r="A4095" t="s">
        <v>4099</v>
      </c>
      <c r="B4095">
        <v>0.99352677808782597</v>
      </c>
      <c r="C4095">
        <v>0.97023070656723198</v>
      </c>
      <c r="D4095">
        <v>0.39394550906563403</v>
      </c>
      <c r="E4095">
        <v>0.41535621806126499</v>
      </c>
      <c r="F4095">
        <v>0.33390238844134401</v>
      </c>
      <c r="G4095">
        <v>0.21084342620118299</v>
      </c>
      <c r="H4095">
        <v>0.123394932972465</v>
      </c>
      <c r="I4095">
        <v>0.16367888634699199</v>
      </c>
      <c r="J4095">
        <v>7.5887690600767693E-2</v>
      </c>
      <c r="K4095">
        <v>9.09888120188352E-2</v>
      </c>
      <c r="L4095">
        <v>718.50818652691703</v>
      </c>
      <c r="M4095">
        <v>15.4203207056952</v>
      </c>
      <c r="N4095">
        <v>47.4913271700594</v>
      </c>
      <c r="O4095">
        <v>45.832394586501501</v>
      </c>
      <c r="P4095">
        <v>-7.3498506144911699E-2</v>
      </c>
      <c r="Q4095">
        <v>0.126268391577077</v>
      </c>
      <c r="R4095">
        <v>0.91245643252292097</v>
      </c>
      <c r="S4095" t="s">
        <v>10380</v>
      </c>
      <c r="T4095" t="s">
        <v>12568</v>
      </c>
      <c r="U4095" t="s">
        <v>12568</v>
      </c>
      <c r="V4095" t="s">
        <v>12568</v>
      </c>
      <c r="W4095" t="s">
        <v>16619</v>
      </c>
      <c r="X4095">
        <v>4</v>
      </c>
      <c r="Y4095" t="s">
        <v>22732</v>
      </c>
      <c r="Z4095" t="s">
        <v>28965</v>
      </c>
      <c r="AA4095">
        <v>0.34135406162273702</v>
      </c>
      <c r="AB4095" t="str">
        <f>HYPERLINK("Melting_Curves/meltCurve_Q8N122_RPTOR.pdf", "Melting_Curves/meltCurve_Q8N122_RPTOR.pdf")</f>
        <v>Melting_Curves/meltCurve_Q8N122_RPTOR.pdf</v>
      </c>
    </row>
    <row r="4096" spans="1:28" x14ac:dyDescent="0.25">
      <c r="A4096" t="s">
        <v>4100</v>
      </c>
      <c r="B4096">
        <v>0.99352677808782597</v>
      </c>
      <c r="C4096">
        <v>0.98643149820948295</v>
      </c>
      <c r="D4096">
        <v>0.92494838090495901</v>
      </c>
      <c r="E4096">
        <v>0.85671487873151697</v>
      </c>
      <c r="F4096">
        <v>0.80264951328938905</v>
      </c>
      <c r="G4096">
        <v>0.69159721136890795</v>
      </c>
      <c r="H4096">
        <v>0.62531977987993204</v>
      </c>
      <c r="I4096">
        <v>0.65475907349743701</v>
      </c>
      <c r="J4096">
        <v>0.67857072381525196</v>
      </c>
      <c r="K4096">
        <v>0.55965239966104596</v>
      </c>
      <c r="L4096">
        <v>640.391407352589</v>
      </c>
      <c r="M4096">
        <v>12.184486387726</v>
      </c>
      <c r="O4096">
        <v>51.202312302098498</v>
      </c>
      <c r="P4096">
        <v>-2.4323419073482299E-2</v>
      </c>
      <c r="Q4096">
        <v>0.59123990636328505</v>
      </c>
      <c r="R4096">
        <v>0.96265239735943098</v>
      </c>
      <c r="S4096" t="s">
        <v>10381</v>
      </c>
      <c r="T4096" t="s">
        <v>12568</v>
      </c>
      <c r="U4096" t="s">
        <v>12568</v>
      </c>
      <c r="V4096" t="s">
        <v>12568</v>
      </c>
      <c r="W4096" t="s">
        <v>16620</v>
      </c>
      <c r="X4096">
        <v>7</v>
      </c>
      <c r="Y4096" t="s">
        <v>22733</v>
      </c>
      <c r="Z4096" t="s">
        <v>28966</v>
      </c>
      <c r="AA4096">
        <v>0.77415921425656842</v>
      </c>
      <c r="AB4096" t="str">
        <f>HYPERLINK("Melting_Curves/meltCurve_Q8N129_CNPY4.pdf", "Melting_Curves/meltCurve_Q8N129_CNPY4.pdf")</f>
        <v>Melting_Curves/meltCurve_Q8N129_CNPY4.pdf</v>
      </c>
    </row>
    <row r="4097" spans="1:28" x14ac:dyDescent="0.25">
      <c r="A4097" t="s">
        <v>4101</v>
      </c>
      <c r="B4097">
        <v>0.99352677808782597</v>
      </c>
      <c r="C4097">
        <v>0.98266521852748001</v>
      </c>
      <c r="D4097">
        <v>0.86370896252913398</v>
      </c>
      <c r="E4097">
        <v>1.04677772016858</v>
      </c>
      <c r="F4097">
        <v>0.96483529021135905</v>
      </c>
      <c r="G4097">
        <v>0.88883853527115697</v>
      </c>
      <c r="H4097">
        <v>0.83868658677616803</v>
      </c>
      <c r="I4097">
        <v>0.38260179023322799</v>
      </c>
      <c r="J4097">
        <v>0.132452429915353</v>
      </c>
      <c r="K4097">
        <v>0.13773207917302399</v>
      </c>
      <c r="L4097">
        <v>2969.9280953750399</v>
      </c>
      <c r="M4097">
        <v>47.2388014947214</v>
      </c>
      <c r="N4097">
        <v>63.204346354664899</v>
      </c>
      <c r="O4097">
        <v>62.758170573133498</v>
      </c>
      <c r="P4097">
        <v>-0.16740237186951201</v>
      </c>
      <c r="Q4097">
        <v>0.110404711766882</v>
      </c>
      <c r="R4097">
        <v>0.97075533230495403</v>
      </c>
      <c r="S4097" t="s">
        <v>10382</v>
      </c>
      <c r="T4097" t="s">
        <v>12568</v>
      </c>
      <c r="U4097" t="s">
        <v>12568</v>
      </c>
      <c r="V4097" t="s">
        <v>12568</v>
      </c>
      <c r="W4097" t="s">
        <v>16621</v>
      </c>
      <c r="X4097">
        <v>2</v>
      </c>
      <c r="Y4097" t="s">
        <v>22734</v>
      </c>
      <c r="Z4097" t="s">
        <v>28967</v>
      </c>
      <c r="AA4097">
        <v>0.79093739734449975</v>
      </c>
      <c r="AB4097" t="str">
        <f>HYPERLINK("Melting_Curves/meltCurve_Q8N130_SLC34A3.pdf", "Melting_Curves/meltCurve_Q8N130_SLC34A3.pdf")</f>
        <v>Melting_Curves/meltCurve_Q8N130_SLC34A3.pdf</v>
      </c>
    </row>
    <row r="4098" spans="1:28" x14ac:dyDescent="0.25">
      <c r="A4098" t="s">
        <v>4102</v>
      </c>
      <c r="B4098">
        <v>0.99352677808782597</v>
      </c>
      <c r="C4098">
        <v>0.93738234092637096</v>
      </c>
      <c r="D4098">
        <v>0.84043076188589005</v>
      </c>
      <c r="E4098">
        <v>0.39293954430146799</v>
      </c>
      <c r="F4098">
        <v>0.31412327063672901</v>
      </c>
      <c r="G4098">
        <v>0.16075181273841899</v>
      </c>
      <c r="H4098">
        <v>0.100835142096076</v>
      </c>
      <c r="I4098">
        <v>0.101737997606827</v>
      </c>
      <c r="J4098">
        <v>8.3505135632755897E-2</v>
      </c>
      <c r="K4098">
        <v>6.3646981293966495E-2</v>
      </c>
      <c r="L4098">
        <v>942.37871816577501</v>
      </c>
      <c r="M4098">
        <v>19.218129638578699</v>
      </c>
      <c r="N4098">
        <v>49.516222283414997</v>
      </c>
      <c r="O4098">
        <v>48.514243660338302</v>
      </c>
      <c r="P4098">
        <v>-9.0615636683680403E-2</v>
      </c>
      <c r="Q4098">
        <v>8.5034473255482301E-2</v>
      </c>
      <c r="R4098">
        <v>0.99227497751270699</v>
      </c>
      <c r="S4098" t="s">
        <v>10383</v>
      </c>
      <c r="T4098" t="s">
        <v>12568</v>
      </c>
      <c r="U4098" t="s">
        <v>12568</v>
      </c>
      <c r="V4098" t="s">
        <v>12568</v>
      </c>
      <c r="W4098" t="s">
        <v>16622</v>
      </c>
      <c r="X4098">
        <v>6</v>
      </c>
      <c r="Y4098" t="s">
        <v>22735</v>
      </c>
      <c r="Z4098" t="s">
        <v>28968</v>
      </c>
      <c r="AA4098">
        <v>0.37450892403060593</v>
      </c>
      <c r="AB4098" t="str">
        <f>HYPERLINK("Melting_Curves/meltCurve_Q8N142_ADSSL1.pdf", "Melting_Curves/meltCurve_Q8N142_ADSSL1.pdf")</f>
        <v>Melting_Curves/meltCurve_Q8N142_ADSSL1.pdf</v>
      </c>
    </row>
    <row r="4099" spans="1:28" x14ac:dyDescent="0.25">
      <c r="A4099" t="s">
        <v>4103</v>
      </c>
      <c r="B4099">
        <v>0.99352677808782597</v>
      </c>
      <c r="C4099">
        <v>0.80770073681343502</v>
      </c>
      <c r="D4099">
        <v>0.79568325020977804</v>
      </c>
      <c r="E4099">
        <v>0.57578383063011995</v>
      </c>
      <c r="F4099">
        <v>0.52967395258048</v>
      </c>
      <c r="G4099">
        <v>0.29955342896920201</v>
      </c>
      <c r="H4099">
        <v>0.19621188752759</v>
      </c>
      <c r="I4099">
        <v>0.170372623571131</v>
      </c>
      <c r="J4099">
        <v>0.15269543192208301</v>
      </c>
      <c r="K4099">
        <v>0.115937705041956</v>
      </c>
      <c r="L4099">
        <v>477.40740976035499</v>
      </c>
      <c r="M4099">
        <v>9.1870888364211591</v>
      </c>
      <c r="N4099">
        <v>52.269639164864003</v>
      </c>
      <c r="O4099">
        <v>49.680700833744801</v>
      </c>
      <c r="P4099">
        <v>-4.5055877795904399E-2</v>
      </c>
      <c r="Q4099">
        <v>2.6065837156894801E-2</v>
      </c>
      <c r="R4099">
        <v>0.98472744857473904</v>
      </c>
      <c r="S4099" t="s">
        <v>10384</v>
      </c>
      <c r="T4099" t="s">
        <v>12568</v>
      </c>
      <c r="U4099" t="s">
        <v>12568</v>
      </c>
      <c r="V4099" t="s">
        <v>12568</v>
      </c>
      <c r="W4099" t="s">
        <v>16623</v>
      </c>
      <c r="X4099">
        <v>18</v>
      </c>
      <c r="Y4099" t="s">
        <v>22736</v>
      </c>
      <c r="Z4099" t="s">
        <v>28969</v>
      </c>
      <c r="AA4099">
        <v>0.45503878123719033</v>
      </c>
      <c r="AB4099" t="str">
        <f>HYPERLINK("Melting_Curves/meltCurve_Q8N163_KIAA1967.pdf", "Melting_Curves/meltCurve_Q8N163_KIAA1967.pdf")</f>
        <v>Melting_Curves/meltCurve_Q8N163_KIAA1967.pdf</v>
      </c>
    </row>
    <row r="4100" spans="1:28" x14ac:dyDescent="0.25">
      <c r="A4100" t="s">
        <v>4104</v>
      </c>
      <c r="B4100">
        <v>0.99352677808782597</v>
      </c>
      <c r="C4100">
        <v>1.0060115916118499</v>
      </c>
      <c r="D4100">
        <v>0.89387303646151595</v>
      </c>
      <c r="E4100">
        <v>0.43155232206982902</v>
      </c>
      <c r="F4100">
        <v>0.36263982868280298</v>
      </c>
      <c r="G4100">
        <v>0.23150684844300401</v>
      </c>
      <c r="H4100">
        <v>0.18459288927687201</v>
      </c>
      <c r="I4100">
        <v>0.182171187295978</v>
      </c>
      <c r="J4100">
        <v>0.151837079374463</v>
      </c>
      <c r="K4100">
        <v>0.104986317268871</v>
      </c>
      <c r="L4100">
        <v>1129.50780200388</v>
      </c>
      <c r="M4100">
        <v>22.987241370697301</v>
      </c>
      <c r="N4100">
        <v>50.008539108742603</v>
      </c>
      <c r="O4100">
        <v>48.768963923303403</v>
      </c>
      <c r="P4100">
        <v>-9.8377933679897001E-2</v>
      </c>
      <c r="Q4100">
        <v>0.165154301030599</v>
      </c>
      <c r="R4100">
        <v>0.98586265105280402</v>
      </c>
      <c r="S4100" t="s">
        <v>10385</v>
      </c>
      <c r="T4100" t="s">
        <v>12568</v>
      </c>
      <c r="U4100" t="s">
        <v>12568</v>
      </c>
      <c r="V4100" t="s">
        <v>12568</v>
      </c>
      <c r="W4100" t="s">
        <v>16624</v>
      </c>
      <c r="X4100">
        <v>8</v>
      </c>
      <c r="Y4100" t="s">
        <v>22737</v>
      </c>
      <c r="Z4100" t="s">
        <v>28970</v>
      </c>
      <c r="AA4100">
        <v>0.42819688565378861</v>
      </c>
      <c r="AB4100" t="str">
        <f>HYPERLINK("Melting_Curves/meltCurve_Q8N1B4_VPS52.pdf", "Melting_Curves/meltCurve_Q8N1B4_VPS52.pdf")</f>
        <v>Melting_Curves/meltCurve_Q8N1B4_VPS52.pdf</v>
      </c>
    </row>
    <row r="4101" spans="1:28" x14ac:dyDescent="0.25">
      <c r="A4101" t="s">
        <v>4105</v>
      </c>
      <c r="B4101">
        <v>0.99352677808782597</v>
      </c>
      <c r="C4101">
        <v>0.91512452666687905</v>
      </c>
      <c r="D4101">
        <v>0.79569495330941398</v>
      </c>
      <c r="E4101">
        <v>0.31484513149836602</v>
      </c>
      <c r="F4101">
        <v>0.243222612021815</v>
      </c>
      <c r="G4101">
        <v>0.15009986014447599</v>
      </c>
      <c r="H4101">
        <v>0.104767762067711</v>
      </c>
      <c r="I4101">
        <v>9.8374874825071304E-2</v>
      </c>
      <c r="J4101">
        <v>8.9521386864042998E-2</v>
      </c>
      <c r="K4101">
        <v>7.0067823349530003E-2</v>
      </c>
      <c r="L4101">
        <v>1079.23597451811</v>
      </c>
      <c r="M4101">
        <v>22.4455271181745</v>
      </c>
      <c r="N4101">
        <v>48.549566641523803</v>
      </c>
      <c r="O4101">
        <v>47.7056700565266</v>
      </c>
      <c r="P4101">
        <v>-0.10620405695309899</v>
      </c>
      <c r="Q4101">
        <v>9.71152028313816E-2</v>
      </c>
      <c r="R4101">
        <v>0.99329075537759204</v>
      </c>
      <c r="S4101" t="s">
        <v>10386</v>
      </c>
      <c r="T4101" t="s">
        <v>12568</v>
      </c>
      <c r="U4101" t="s">
        <v>12568</v>
      </c>
      <c r="V4101" t="s">
        <v>12568</v>
      </c>
      <c r="W4101" t="s">
        <v>16625</v>
      </c>
      <c r="X4101">
        <v>29</v>
      </c>
      <c r="Y4101" t="s">
        <v>22738</v>
      </c>
      <c r="Z4101" t="s">
        <v>28971</v>
      </c>
      <c r="AA4101">
        <v>0.35039594101592397</v>
      </c>
      <c r="AB4101" t="str">
        <f>HYPERLINK("Melting_Curves/meltCurve_Q8N1F7_NUP93.pdf", "Melting_Curves/meltCurve_Q8N1F7_NUP93.pdf")</f>
        <v>Melting_Curves/meltCurve_Q8N1F7_NUP93.pdf</v>
      </c>
    </row>
    <row r="4102" spans="1:28" x14ac:dyDescent="0.25">
      <c r="A4102" t="s">
        <v>4106</v>
      </c>
      <c r="B4102">
        <v>0.99352677808782597</v>
      </c>
      <c r="C4102">
        <v>1.0617373291922501</v>
      </c>
      <c r="D4102">
        <v>0.99628090783669898</v>
      </c>
      <c r="E4102">
        <v>1.1825678221255</v>
      </c>
      <c r="F4102">
        <v>0.89018222262011903</v>
      </c>
      <c r="G4102">
        <v>0.91027945472440297</v>
      </c>
      <c r="H4102">
        <v>0.86714844652231204</v>
      </c>
      <c r="I4102">
        <v>1.02375925005178</v>
      </c>
      <c r="J4102">
        <v>0.94557217251229198</v>
      </c>
      <c r="K4102">
        <v>0.92733185475629698</v>
      </c>
      <c r="L4102">
        <v>3781.8380369383499</v>
      </c>
      <c r="M4102">
        <v>72.677304435435502</v>
      </c>
      <c r="O4102">
        <v>51.996681144402302</v>
      </c>
      <c r="P4102">
        <v>-2.47059305531744E-2</v>
      </c>
      <c r="Q4102">
        <v>0.92929700170389096</v>
      </c>
      <c r="R4102">
        <v>0.312177183582801</v>
      </c>
      <c r="S4102" t="s">
        <v>10387</v>
      </c>
      <c r="T4102" t="s">
        <v>12568</v>
      </c>
      <c r="U4102" t="s">
        <v>12568</v>
      </c>
      <c r="V4102" t="s">
        <v>12568</v>
      </c>
      <c r="W4102" t="s">
        <v>16626</v>
      </c>
      <c r="X4102">
        <v>2</v>
      </c>
      <c r="Y4102" t="s">
        <v>22739</v>
      </c>
      <c r="Z4102" t="s">
        <v>28972</v>
      </c>
      <c r="AA4102">
        <v>0.95773968858541791</v>
      </c>
      <c r="AB4102" t="str">
        <f>HYPERLINK("Melting_Curves/meltCurve_Q8N1G0_ZNF687.pdf", "Melting_Curves/meltCurve_Q8N1G0_ZNF687.pdf")</f>
        <v>Melting_Curves/meltCurve_Q8N1G0_ZNF687.pdf</v>
      </c>
    </row>
    <row r="4103" spans="1:28" x14ac:dyDescent="0.25">
      <c r="A4103" t="s">
        <v>4107</v>
      </c>
      <c r="B4103">
        <v>0.99352677808782597</v>
      </c>
      <c r="C4103">
        <v>0.86665602046552503</v>
      </c>
      <c r="D4103">
        <v>0.92119242356698405</v>
      </c>
      <c r="E4103">
        <v>0.80877115722883197</v>
      </c>
      <c r="F4103">
        <v>0.75378403173300401</v>
      </c>
      <c r="G4103">
        <v>0.58907704519781801</v>
      </c>
      <c r="H4103">
        <v>0.59970697071357304</v>
      </c>
      <c r="I4103">
        <v>0.64513630941922495</v>
      </c>
      <c r="J4103">
        <v>0.55331766266518401</v>
      </c>
      <c r="K4103">
        <v>0.54806957826471803</v>
      </c>
      <c r="L4103">
        <v>497.43888664243201</v>
      </c>
      <c r="M4103">
        <v>9.6613950746627602</v>
      </c>
      <c r="O4103">
        <v>49.426557969556598</v>
      </c>
      <c r="P4103">
        <v>-2.34147376157397E-2</v>
      </c>
      <c r="Q4103">
        <v>0.52111752255809496</v>
      </c>
      <c r="R4103">
        <v>0.93111350891407796</v>
      </c>
      <c r="S4103" t="s">
        <v>10388</v>
      </c>
      <c r="T4103" t="s">
        <v>12568</v>
      </c>
      <c r="U4103" t="s">
        <v>12568</v>
      </c>
      <c r="V4103" t="s">
        <v>12568</v>
      </c>
      <c r="W4103" t="s">
        <v>16627</v>
      </c>
      <c r="X4103">
        <v>1</v>
      </c>
      <c r="Y4103" t="s">
        <v>22740</v>
      </c>
      <c r="Z4103" t="s">
        <v>28973</v>
      </c>
      <c r="AA4103">
        <v>0.72433012228715199</v>
      </c>
      <c r="AB4103" t="str">
        <f>HYPERLINK("Melting_Curves/meltCurve_Q8N1G1_REXO1.pdf", "Melting_Curves/meltCurve_Q8N1G1_REXO1.pdf")</f>
        <v>Melting_Curves/meltCurve_Q8N1G1_REXO1.pdf</v>
      </c>
    </row>
    <row r="4104" spans="1:28" x14ac:dyDescent="0.25">
      <c r="A4104" t="s">
        <v>4108</v>
      </c>
      <c r="B4104">
        <v>0.99352677808782597</v>
      </c>
      <c r="C4104">
        <v>0.9102306390646</v>
      </c>
      <c r="D4104">
        <v>0.75436927983165603</v>
      </c>
      <c r="E4104">
        <v>0.373781880292339</v>
      </c>
      <c r="F4104">
        <v>0.32932896076497498</v>
      </c>
      <c r="G4104">
        <v>0.216465340876523</v>
      </c>
      <c r="H4104">
        <v>0.18695206095273501</v>
      </c>
      <c r="I4104">
        <v>0.197201154599705</v>
      </c>
      <c r="J4104">
        <v>0.168671525792879</v>
      </c>
      <c r="K4104">
        <v>0.158892836661926</v>
      </c>
      <c r="L4104">
        <v>932.75431359663696</v>
      </c>
      <c r="M4104">
        <v>19.535945758513101</v>
      </c>
      <c r="N4104">
        <v>48.8440566783582</v>
      </c>
      <c r="O4104">
        <v>47.253716384926399</v>
      </c>
      <c r="P4104">
        <v>-8.4985141474770001E-2</v>
      </c>
      <c r="Q4104">
        <v>0.177778387193535</v>
      </c>
      <c r="R4104">
        <v>0.99410212216707605</v>
      </c>
      <c r="S4104" t="s">
        <v>10389</v>
      </c>
      <c r="T4104" t="s">
        <v>12568</v>
      </c>
      <c r="U4104" t="s">
        <v>12568</v>
      </c>
      <c r="V4104" t="s">
        <v>12568</v>
      </c>
      <c r="W4104" t="s">
        <v>16628</v>
      </c>
      <c r="X4104">
        <v>17</v>
      </c>
      <c r="Y4104" t="s">
        <v>22741</v>
      </c>
      <c r="Z4104" t="s">
        <v>28974</v>
      </c>
      <c r="AA4104">
        <v>0.40242179093489938</v>
      </c>
      <c r="AB4104" t="str">
        <f>HYPERLINK("Melting_Curves/meltCurve_Q8N1G2_FTSJD2.pdf", "Melting_Curves/meltCurve_Q8N1G2_FTSJD2.pdf")</f>
        <v>Melting_Curves/meltCurve_Q8N1G2_FTSJD2.pdf</v>
      </c>
    </row>
    <row r="4105" spans="1:28" x14ac:dyDescent="0.25">
      <c r="A4105" t="s">
        <v>4109</v>
      </c>
      <c r="B4105">
        <v>0.99352677808782597</v>
      </c>
      <c r="C4105">
        <v>0.968244297861515</v>
      </c>
      <c r="D4105">
        <v>0.95403566848103305</v>
      </c>
      <c r="E4105">
        <v>0.67230758488683395</v>
      </c>
      <c r="F4105">
        <v>0.60463477613514105</v>
      </c>
      <c r="G4105">
        <v>0.209707371307677</v>
      </c>
      <c r="H4105">
        <v>0.10150476586613701</v>
      </c>
      <c r="I4105">
        <v>8.5852159831123001E-2</v>
      </c>
      <c r="J4105">
        <v>6.9356275274324794E-2</v>
      </c>
      <c r="K4105">
        <v>5.7643070422298298E-2</v>
      </c>
      <c r="L4105">
        <v>901.59509900829403</v>
      </c>
      <c r="M4105">
        <v>17.008594813228999</v>
      </c>
      <c r="N4105">
        <v>53.202794253169202</v>
      </c>
      <c r="O4105">
        <v>52.2917240982623</v>
      </c>
      <c r="P4105">
        <v>-7.8868735809644097E-2</v>
      </c>
      <c r="Q4105">
        <v>3.01543738432382E-2</v>
      </c>
      <c r="R4105">
        <v>0.98885308286541995</v>
      </c>
      <c r="S4105" t="s">
        <v>10390</v>
      </c>
      <c r="T4105" t="s">
        <v>12568</v>
      </c>
      <c r="U4105" t="s">
        <v>12568</v>
      </c>
      <c r="V4105" t="s">
        <v>12568</v>
      </c>
      <c r="W4105" t="s">
        <v>16629</v>
      </c>
      <c r="X4105">
        <v>24</v>
      </c>
      <c r="Y4105" t="s">
        <v>22742</v>
      </c>
      <c r="Z4105" t="s">
        <v>28975</v>
      </c>
      <c r="AA4105">
        <v>0.46804009611894742</v>
      </c>
      <c r="AB4105" t="str">
        <f>HYPERLINK("Melting_Curves/meltCurve_Q8N1G4_LRRC47.pdf", "Melting_Curves/meltCurve_Q8N1G4_LRRC47.pdf")</f>
        <v>Melting_Curves/meltCurve_Q8N1G4_LRRC47.pdf</v>
      </c>
    </row>
    <row r="4106" spans="1:28" x14ac:dyDescent="0.25">
      <c r="A4106" t="s">
        <v>4110</v>
      </c>
      <c r="B4106">
        <v>0.99352677808782597</v>
      </c>
      <c r="C4106">
        <v>0.98934727640940401</v>
      </c>
      <c r="D4106">
        <v>0.97635703833658605</v>
      </c>
      <c r="E4106">
        <v>0.83845432164285905</v>
      </c>
      <c r="F4106">
        <v>0.75037223580735901</v>
      </c>
      <c r="G4106">
        <v>0.46802589588392202</v>
      </c>
      <c r="H4106">
        <v>0.31040523511836299</v>
      </c>
      <c r="I4106">
        <v>0.21473671793672899</v>
      </c>
      <c r="J4106">
        <v>0.160084717411558</v>
      </c>
      <c r="K4106">
        <v>0.117537698886003</v>
      </c>
      <c r="L4106">
        <v>795.10285214372902</v>
      </c>
      <c r="M4106">
        <v>14.1452280098733</v>
      </c>
      <c r="N4106">
        <v>56.819303501513602</v>
      </c>
      <c r="O4106">
        <v>55.1223381678248</v>
      </c>
      <c r="P4106">
        <v>-5.9646683457000103E-2</v>
      </c>
      <c r="Q4106">
        <v>7.0373161138220106E-2</v>
      </c>
      <c r="R4106">
        <v>0.998138041984452</v>
      </c>
      <c r="S4106" t="s">
        <v>10391</v>
      </c>
      <c r="T4106" t="s">
        <v>12568</v>
      </c>
      <c r="U4106" t="s">
        <v>12568</v>
      </c>
      <c r="V4106" t="s">
        <v>12568</v>
      </c>
      <c r="W4106" t="s">
        <v>16630</v>
      </c>
      <c r="X4106">
        <v>2</v>
      </c>
      <c r="Y4106" t="s">
        <v>22743</v>
      </c>
      <c r="Z4106" t="s">
        <v>28976</v>
      </c>
      <c r="AA4106">
        <v>0.58954323332280267</v>
      </c>
      <c r="AB4106" t="str">
        <f>HYPERLINK("Melting_Curves/meltCurve_Q8N1I0_DOCK4.pdf", "Melting_Curves/meltCurve_Q8N1I0_DOCK4.pdf")</f>
        <v>Melting_Curves/meltCurve_Q8N1I0_DOCK4.pdf</v>
      </c>
    </row>
    <row r="4107" spans="1:28" x14ac:dyDescent="0.25">
      <c r="A4107" t="s">
        <v>4111</v>
      </c>
      <c r="B4107">
        <v>0.99352677808782597</v>
      </c>
      <c r="C4107">
        <v>0.91526154483898903</v>
      </c>
      <c r="D4107">
        <v>0.96617627330190403</v>
      </c>
      <c r="E4107">
        <v>0.53251772901711303</v>
      </c>
      <c r="F4107">
        <v>0.447429841794379</v>
      </c>
      <c r="G4107">
        <v>0.388112267592854</v>
      </c>
      <c r="H4107">
        <v>0.32039779614776898</v>
      </c>
      <c r="I4107">
        <v>0.32920173761470101</v>
      </c>
      <c r="J4107">
        <v>0.31895507004602802</v>
      </c>
      <c r="K4107">
        <v>0.31748023125478902</v>
      </c>
      <c r="L4107">
        <v>1462.1786294216799</v>
      </c>
      <c r="M4107">
        <v>29.8436068457973</v>
      </c>
      <c r="N4107">
        <v>50.904241701397503</v>
      </c>
      <c r="O4107">
        <v>48.776268870886803</v>
      </c>
      <c r="P4107">
        <v>-0.101448318288082</v>
      </c>
      <c r="Q4107">
        <v>0.33677722264736698</v>
      </c>
      <c r="R4107">
        <v>0.98028176027204705</v>
      </c>
      <c r="S4107" t="s">
        <v>10392</v>
      </c>
      <c r="T4107" t="s">
        <v>12568</v>
      </c>
      <c r="U4107" t="s">
        <v>12568</v>
      </c>
      <c r="V4107" t="s">
        <v>12568</v>
      </c>
      <c r="W4107" t="s">
        <v>16631</v>
      </c>
      <c r="X4107">
        <v>6</v>
      </c>
      <c r="Y4107" t="s">
        <v>22744</v>
      </c>
      <c r="Z4107" t="s">
        <v>28977</v>
      </c>
      <c r="AA4107">
        <v>0.53970959238680538</v>
      </c>
      <c r="AB4107" t="str">
        <f>HYPERLINK("Melting_Curves/meltCurve_Q8N1W1_4_ARHGEF28.pdf", "Melting_Curves/meltCurve_Q8N1W1_4_ARHGEF28.pdf")</f>
        <v>Melting_Curves/meltCurve_Q8N1W1_4_ARHGEF28.pdf</v>
      </c>
    </row>
    <row r="4108" spans="1:28" x14ac:dyDescent="0.25">
      <c r="A4108" t="s">
        <v>4112</v>
      </c>
      <c r="B4108">
        <v>0.99352677808782597</v>
      </c>
      <c r="C4108">
        <v>0.88391473884009097</v>
      </c>
      <c r="D4108">
        <v>0.90521591148762703</v>
      </c>
      <c r="E4108">
        <v>0.599550889580033</v>
      </c>
      <c r="F4108">
        <v>0.54708481760480099</v>
      </c>
      <c r="G4108">
        <v>0.47651252777356801</v>
      </c>
      <c r="H4108">
        <v>0.344834572975382</v>
      </c>
      <c r="I4108">
        <v>0.39303245949771398</v>
      </c>
      <c r="J4108">
        <v>0.35748509898209102</v>
      </c>
      <c r="K4108">
        <v>0.34941531668659698</v>
      </c>
      <c r="L4108">
        <v>704.87915988923601</v>
      </c>
      <c r="M4108">
        <v>14.2032979341936</v>
      </c>
      <c r="N4108">
        <v>54.082545120488199</v>
      </c>
      <c r="O4108">
        <v>48.675152789415201</v>
      </c>
      <c r="P4108">
        <v>-4.7802339085770203E-2</v>
      </c>
      <c r="Q4108">
        <v>0.34480140951605698</v>
      </c>
      <c r="R4108">
        <v>0.97427184404167</v>
      </c>
      <c r="S4108" t="s">
        <v>10393</v>
      </c>
      <c r="T4108" t="s">
        <v>12568</v>
      </c>
      <c r="U4108" t="s">
        <v>12568</v>
      </c>
      <c r="V4108" t="s">
        <v>12568</v>
      </c>
      <c r="W4108" t="s">
        <v>16632</v>
      </c>
      <c r="X4108">
        <v>4</v>
      </c>
      <c r="Y4108" t="s">
        <v>22745</v>
      </c>
      <c r="Z4108" t="s">
        <v>28978</v>
      </c>
      <c r="AA4108">
        <v>0.57251332614684314</v>
      </c>
      <c r="AB4108" t="str">
        <f>HYPERLINK("Melting_Curves/meltCurve_Q8N201_INTS1.pdf", "Melting_Curves/meltCurve_Q8N201_INTS1.pdf")</f>
        <v>Melting_Curves/meltCurve_Q8N201_INTS1.pdf</v>
      </c>
    </row>
    <row r="4109" spans="1:28" x14ac:dyDescent="0.25">
      <c r="A4109" t="s">
        <v>4113</v>
      </c>
      <c r="B4109">
        <v>0.99352677808782597</v>
      </c>
      <c r="C4109">
        <v>0.98156964414797598</v>
      </c>
      <c r="D4109">
        <v>1.0344091601068099</v>
      </c>
      <c r="E4109">
        <v>0.64876869818165195</v>
      </c>
      <c r="F4109">
        <v>0.61302417780459695</v>
      </c>
      <c r="G4109">
        <v>0.208456139180555</v>
      </c>
      <c r="H4109">
        <v>0.15303040180409699</v>
      </c>
      <c r="I4109">
        <v>0.122951536473933</v>
      </c>
      <c r="J4109">
        <v>0.109163806335676</v>
      </c>
      <c r="K4109">
        <v>9.8229659325997004E-2</v>
      </c>
      <c r="L4109">
        <v>996.51415687721601</v>
      </c>
      <c r="M4109">
        <v>18.919413869292999</v>
      </c>
      <c r="N4109">
        <v>53.2088192952925</v>
      </c>
      <c r="O4109">
        <v>52.093645629829801</v>
      </c>
      <c r="P4109">
        <v>-8.2903557548473297E-2</v>
      </c>
      <c r="Q4109">
        <v>8.6954064823315899E-2</v>
      </c>
      <c r="R4109">
        <v>0.97810337106428302</v>
      </c>
      <c r="S4109" t="s">
        <v>10394</v>
      </c>
      <c r="T4109" t="s">
        <v>12568</v>
      </c>
      <c r="U4109" t="s">
        <v>12568</v>
      </c>
      <c r="V4109" t="s">
        <v>12568</v>
      </c>
      <c r="W4109" t="s">
        <v>16633</v>
      </c>
      <c r="X4109">
        <v>2</v>
      </c>
      <c r="Y4109" t="s">
        <v>22746</v>
      </c>
      <c r="Z4109" t="s">
        <v>28979</v>
      </c>
      <c r="AA4109">
        <v>0.48645438127435031</v>
      </c>
      <c r="AB4109" t="str">
        <f>HYPERLINK("Melting_Curves/meltCurve_Q8N2F6_4_ARMC10.pdf", "Melting_Curves/meltCurve_Q8N2F6_4_ARMC10.pdf")</f>
        <v>Melting_Curves/meltCurve_Q8N2F6_4_ARMC10.pdf</v>
      </c>
    </row>
    <row r="4110" spans="1:28" x14ac:dyDescent="0.25">
      <c r="A4110" t="s">
        <v>4114</v>
      </c>
      <c r="B4110">
        <v>0.99352677808782597</v>
      </c>
      <c r="C4110">
        <v>1.00761248016545</v>
      </c>
      <c r="D4110">
        <v>0.83789449951231898</v>
      </c>
      <c r="E4110">
        <v>0.84513501323489704</v>
      </c>
      <c r="F4110">
        <v>0.82005031393938799</v>
      </c>
      <c r="G4110">
        <v>0.61904846538555203</v>
      </c>
      <c r="H4110">
        <v>0.83527698660405802</v>
      </c>
      <c r="I4110">
        <v>0.75163681363953605</v>
      </c>
      <c r="J4110">
        <v>0.72263941051706904</v>
      </c>
      <c r="K4110">
        <v>0.176208279213105</v>
      </c>
      <c r="L4110">
        <v>374.83829895523201</v>
      </c>
      <c r="M4110">
        <v>5.4175589392013599</v>
      </c>
      <c r="N4110">
        <v>69.189522524791201</v>
      </c>
      <c r="O4110">
        <v>61.462946127302899</v>
      </c>
      <c r="P4110">
        <v>-2.21381947586465E-2</v>
      </c>
      <c r="Q4110">
        <v>0</v>
      </c>
      <c r="R4110">
        <v>0.58457219858621801</v>
      </c>
      <c r="S4110" t="s">
        <v>10395</v>
      </c>
      <c r="T4110" t="s">
        <v>12568</v>
      </c>
      <c r="U4110" t="s">
        <v>12568</v>
      </c>
      <c r="V4110" t="s">
        <v>12568</v>
      </c>
      <c r="W4110" t="s">
        <v>16634</v>
      </c>
      <c r="X4110">
        <v>3</v>
      </c>
      <c r="Y4110" t="s">
        <v>22747</v>
      </c>
      <c r="Z4110" t="s">
        <v>28980</v>
      </c>
      <c r="AA4110">
        <v>0.77679537149667444</v>
      </c>
      <c r="AB4110" t="str">
        <f>HYPERLINK("Melting_Curves/meltCurve_Q8N2W9_PIAS4.pdf", "Melting_Curves/meltCurve_Q8N2W9_PIAS4.pdf")</f>
        <v>Melting_Curves/meltCurve_Q8N2W9_PIAS4.pdf</v>
      </c>
    </row>
    <row r="4111" spans="1:28" x14ac:dyDescent="0.25">
      <c r="A4111" t="s">
        <v>4115</v>
      </c>
      <c r="B4111">
        <v>0.99352677808782597</v>
      </c>
      <c r="C4111">
        <v>0.88398243283172595</v>
      </c>
      <c r="D4111">
        <v>0.60544931107839395</v>
      </c>
      <c r="E4111">
        <v>0.79935755843863798</v>
      </c>
      <c r="F4111">
        <v>0.92308786109357499</v>
      </c>
      <c r="G4111">
        <v>0.734268308474887</v>
      </c>
      <c r="H4111">
        <v>0.69497330447075201</v>
      </c>
      <c r="I4111">
        <v>0.721893262408144</v>
      </c>
      <c r="J4111">
        <v>0.24821632866483301</v>
      </c>
      <c r="K4111">
        <v>0.249566873407988</v>
      </c>
      <c r="L4111">
        <v>385.04117973157003</v>
      </c>
      <c r="M4111">
        <v>5.9711120456703402</v>
      </c>
      <c r="N4111">
        <v>64.483998419681797</v>
      </c>
      <c r="O4111">
        <v>58.365136253127602</v>
      </c>
      <c r="P4111">
        <v>-2.56608033348266E-2</v>
      </c>
      <c r="Q4111">
        <v>0</v>
      </c>
      <c r="R4111">
        <v>0.59826462645659495</v>
      </c>
      <c r="S4111" t="s">
        <v>10396</v>
      </c>
      <c r="T4111" t="s">
        <v>12568</v>
      </c>
      <c r="U4111" t="s">
        <v>12568</v>
      </c>
      <c r="V4111" t="s">
        <v>12568</v>
      </c>
      <c r="W4111" t="s">
        <v>16635</v>
      </c>
      <c r="X4111">
        <v>2</v>
      </c>
      <c r="Y4111" t="s">
        <v>22748</v>
      </c>
      <c r="Z4111" t="s">
        <v>28981</v>
      </c>
      <c r="AA4111">
        <v>0.71649581331004508</v>
      </c>
      <c r="AB4111" t="str">
        <f>HYPERLINK("Melting_Curves/meltCurve_Q8N2Y8_RUSC2.pdf", "Melting_Curves/meltCurve_Q8N2Y8_RUSC2.pdf")</f>
        <v>Melting_Curves/meltCurve_Q8N2Y8_RUSC2.pdf</v>
      </c>
    </row>
    <row r="4112" spans="1:28" x14ac:dyDescent="0.25">
      <c r="A4112" t="s">
        <v>4116</v>
      </c>
      <c r="B4112">
        <v>0.99352677808782597</v>
      </c>
      <c r="C4112">
        <v>0.92201397919333805</v>
      </c>
      <c r="D4112">
        <v>0.90405540412029195</v>
      </c>
      <c r="E4112">
        <v>0.40978350096118998</v>
      </c>
      <c r="F4112">
        <v>0.303793898023975</v>
      </c>
      <c r="G4112">
        <v>0.22991171484887801</v>
      </c>
      <c r="H4112">
        <v>0.17332417156700899</v>
      </c>
      <c r="I4112">
        <v>0.154290656313715</v>
      </c>
      <c r="J4112">
        <v>0.146607846517261</v>
      </c>
      <c r="K4112">
        <v>0.115791663234979</v>
      </c>
      <c r="L4112">
        <v>1222.0868654903099</v>
      </c>
      <c r="M4112">
        <v>25.024818333056199</v>
      </c>
      <c r="N4112">
        <v>49.596620275497997</v>
      </c>
      <c r="O4112">
        <v>48.526354229996997</v>
      </c>
      <c r="P4112">
        <v>-0.108357616471268</v>
      </c>
      <c r="Q4112">
        <v>0.15953367799236701</v>
      </c>
      <c r="R4112">
        <v>0.98769655873056705</v>
      </c>
      <c r="S4112" t="s">
        <v>10397</v>
      </c>
      <c r="T4112" t="s">
        <v>12568</v>
      </c>
      <c r="U4112" t="s">
        <v>12568</v>
      </c>
      <c r="V4112" t="s">
        <v>12568</v>
      </c>
      <c r="W4112" t="s">
        <v>16636</v>
      </c>
      <c r="X4112">
        <v>4</v>
      </c>
      <c r="Y4112" t="s">
        <v>22749</v>
      </c>
      <c r="Z4112" t="s">
        <v>28982</v>
      </c>
      <c r="AA4112">
        <v>0.41447606122753822</v>
      </c>
      <c r="AB4112" t="str">
        <f>HYPERLINK("Melting_Curves/meltCurve_Q8N2Z9_APITD1.pdf", "Melting_Curves/meltCurve_Q8N2Z9_APITD1.pdf")</f>
        <v>Melting_Curves/meltCurve_Q8N2Z9_APITD1.pdf</v>
      </c>
    </row>
    <row r="4113" spans="1:28" x14ac:dyDescent="0.25">
      <c r="A4113" t="s">
        <v>4117</v>
      </c>
      <c r="B4113">
        <v>0.99352677808782597</v>
      </c>
      <c r="C4113">
        <v>0.99388334407970802</v>
      </c>
      <c r="D4113">
        <v>0.99104844109124002</v>
      </c>
      <c r="E4113">
        <v>0.93960130278649401</v>
      </c>
      <c r="F4113">
        <v>0.83158746254855498</v>
      </c>
      <c r="G4113">
        <v>0.80480932101573699</v>
      </c>
      <c r="H4113">
        <v>0.73826418884267897</v>
      </c>
      <c r="I4113">
        <v>0.73527893775133502</v>
      </c>
      <c r="J4113">
        <v>0.68073986376353401</v>
      </c>
      <c r="K4113">
        <v>0.61360319944378505</v>
      </c>
      <c r="L4113">
        <v>512.47920397369603</v>
      </c>
      <c r="M4113">
        <v>8.7036934177641303</v>
      </c>
      <c r="O4113">
        <v>56.020197241938398</v>
      </c>
      <c r="P4113">
        <v>-1.7421781281380701E-2</v>
      </c>
      <c r="Q4113">
        <v>0.55183719540360598</v>
      </c>
      <c r="R4113">
        <v>0.96996113119280503</v>
      </c>
      <c r="S4113" t="s">
        <v>10398</v>
      </c>
      <c r="T4113" t="s">
        <v>12568</v>
      </c>
      <c r="U4113" t="s">
        <v>12568</v>
      </c>
      <c r="V4113" t="s">
        <v>12568</v>
      </c>
      <c r="W4113" t="s">
        <v>16637</v>
      </c>
      <c r="X4113">
        <v>2</v>
      </c>
      <c r="Y4113" t="s">
        <v>22750</v>
      </c>
      <c r="Z4113" t="s">
        <v>28983</v>
      </c>
      <c r="AA4113">
        <v>0.83356780176217871</v>
      </c>
      <c r="AB4113" t="str">
        <f>HYPERLINK("Melting_Curves/meltCurve_Q8N300_CCDC23.pdf", "Melting_Curves/meltCurve_Q8N300_CCDC23.pdf")</f>
        <v>Melting_Curves/meltCurve_Q8N300_CCDC23.pdf</v>
      </c>
    </row>
    <row r="4114" spans="1:28" x14ac:dyDescent="0.25">
      <c r="A4114" t="s">
        <v>4118</v>
      </c>
      <c r="B4114">
        <v>0.99352677808782597</v>
      </c>
      <c r="C4114">
        <v>0.99408140401512002</v>
      </c>
      <c r="D4114">
        <v>0.94114272149543599</v>
      </c>
      <c r="E4114">
        <v>0.90150053683196396</v>
      </c>
      <c r="F4114">
        <v>0.84632320795375804</v>
      </c>
      <c r="G4114">
        <v>0.66312921909262601</v>
      </c>
      <c r="H4114">
        <v>0.515015566507532</v>
      </c>
      <c r="I4114">
        <v>0.45641282456923399</v>
      </c>
      <c r="J4114">
        <v>0.523592251690701</v>
      </c>
      <c r="K4114">
        <v>0.43083801839746</v>
      </c>
      <c r="L4114">
        <v>898.33400067448395</v>
      </c>
      <c r="M4114">
        <v>16.174017301170799</v>
      </c>
      <c r="N4114">
        <v>63.181559667079597</v>
      </c>
      <c r="O4114">
        <v>54.713558113633198</v>
      </c>
      <c r="P4114">
        <v>-4.2182016187893703E-2</v>
      </c>
      <c r="Q4114">
        <v>0.42926864075514098</v>
      </c>
      <c r="R4114">
        <v>0.98300343779571797</v>
      </c>
      <c r="S4114" t="s">
        <v>10399</v>
      </c>
      <c r="T4114" t="s">
        <v>12568</v>
      </c>
      <c r="U4114" t="s">
        <v>12568</v>
      </c>
      <c r="V4114" t="s">
        <v>12568</v>
      </c>
      <c r="W4114" t="s">
        <v>16638</v>
      </c>
      <c r="X4114">
        <v>5</v>
      </c>
      <c r="Y4114" t="s">
        <v>22751</v>
      </c>
      <c r="Z4114" t="s">
        <v>28984</v>
      </c>
      <c r="AA4114">
        <v>0.73471457084697467</v>
      </c>
      <c r="AB4114" t="str">
        <f>HYPERLINK("Melting_Curves/meltCurve_Q8N302_AGGF1.pdf", "Melting_Curves/meltCurve_Q8N302_AGGF1.pdf")</f>
        <v>Melting_Curves/meltCurve_Q8N302_AGGF1.pdf</v>
      </c>
    </row>
    <row r="4115" spans="1:28" x14ac:dyDescent="0.25">
      <c r="A4115" t="s">
        <v>4119</v>
      </c>
      <c r="B4115">
        <v>0.99352677808782597</v>
      </c>
      <c r="C4115">
        <v>0.95956454662158197</v>
      </c>
      <c r="D4115">
        <v>0.49524159212214403</v>
      </c>
      <c r="E4115">
        <v>0.239781860834133</v>
      </c>
      <c r="F4115">
        <v>0.18687113970255401</v>
      </c>
      <c r="G4115">
        <v>0.114454431709528</v>
      </c>
      <c r="H4115">
        <v>7.9663507566033603E-2</v>
      </c>
      <c r="I4115">
        <v>8.07860742521717E-2</v>
      </c>
      <c r="J4115">
        <v>6.6685254988125706E-2</v>
      </c>
      <c r="K4115">
        <v>5.9804061514092503E-2</v>
      </c>
      <c r="L4115">
        <v>1220.8941614139001</v>
      </c>
      <c r="M4115">
        <v>26.516706724459802</v>
      </c>
      <c r="N4115">
        <v>46.413310164520396</v>
      </c>
      <c r="O4115">
        <v>45.782981163356801</v>
      </c>
      <c r="P4115">
        <v>-0.13097363913694701</v>
      </c>
      <c r="Q4115">
        <v>9.5468397846136005E-2</v>
      </c>
      <c r="R4115">
        <v>0.98521153525511795</v>
      </c>
      <c r="S4115" t="s">
        <v>10400</v>
      </c>
      <c r="T4115" t="s">
        <v>12568</v>
      </c>
      <c r="U4115" t="s">
        <v>12568</v>
      </c>
      <c r="V4115" t="s">
        <v>12568</v>
      </c>
      <c r="W4115" t="s">
        <v>16639</v>
      </c>
      <c r="X4115">
        <v>14</v>
      </c>
      <c r="Y4115" t="s">
        <v>22752</v>
      </c>
      <c r="Z4115" t="s">
        <v>28985</v>
      </c>
      <c r="AA4115">
        <v>0.28493832484654602</v>
      </c>
      <c r="AB4115" t="str">
        <f>HYPERLINK("Melting_Curves/meltCurve_Q8N335_GPD1L.pdf", "Melting_Curves/meltCurve_Q8N335_GPD1L.pdf")</f>
        <v>Melting_Curves/meltCurve_Q8N335_GPD1L.pdf</v>
      </c>
    </row>
    <row r="4116" spans="1:28" x14ac:dyDescent="0.25">
      <c r="A4116" t="s">
        <v>4120</v>
      </c>
      <c r="B4116">
        <v>0.99352677808782597</v>
      </c>
      <c r="C4116">
        <v>0.98830318693859898</v>
      </c>
      <c r="D4116">
        <v>0.92356522546396502</v>
      </c>
      <c r="E4116">
        <v>0.69742884197519495</v>
      </c>
      <c r="F4116">
        <v>0.54313795282222299</v>
      </c>
      <c r="G4116">
        <v>0.27671187844825301</v>
      </c>
      <c r="H4116">
        <v>0.177808772648228</v>
      </c>
      <c r="I4116">
        <v>0.17187119396261699</v>
      </c>
      <c r="J4116">
        <v>0.14612972622392101</v>
      </c>
      <c r="K4116">
        <v>0.110921556358741</v>
      </c>
      <c r="L4116">
        <v>865.16426796888697</v>
      </c>
      <c r="M4116">
        <v>16.5179808599888</v>
      </c>
      <c r="N4116">
        <v>53.185428209259001</v>
      </c>
      <c r="O4116">
        <v>51.627499576107397</v>
      </c>
      <c r="P4116">
        <v>-7.1112502319674004E-2</v>
      </c>
      <c r="Q4116">
        <v>0.111003538375996</v>
      </c>
      <c r="R4116">
        <v>0.99771497951006005</v>
      </c>
      <c r="S4116" t="s">
        <v>10401</v>
      </c>
      <c r="T4116" t="s">
        <v>12568</v>
      </c>
      <c r="U4116" t="s">
        <v>12568</v>
      </c>
      <c r="V4116" t="s">
        <v>12568</v>
      </c>
      <c r="W4116" t="s">
        <v>16640</v>
      </c>
      <c r="X4116">
        <v>3</v>
      </c>
      <c r="Y4116" t="s">
        <v>22753</v>
      </c>
      <c r="Z4116" t="s">
        <v>28986</v>
      </c>
      <c r="AA4116">
        <v>0.49469485043187128</v>
      </c>
      <c r="AB4116" t="str">
        <f>HYPERLINK("Melting_Curves/meltCurve_Q8N371_KDM8.pdf", "Melting_Curves/meltCurve_Q8N371_KDM8.pdf")</f>
        <v>Melting_Curves/meltCurve_Q8N371_KDM8.pdf</v>
      </c>
    </row>
    <row r="4117" spans="1:28" x14ac:dyDescent="0.25">
      <c r="A4117" t="s">
        <v>4121</v>
      </c>
      <c r="B4117">
        <v>0.99352677808782597</v>
      </c>
      <c r="C4117">
        <v>0.93448694320603898</v>
      </c>
      <c r="D4117">
        <v>0.94511873324987805</v>
      </c>
      <c r="E4117">
        <v>0.30246933778524598</v>
      </c>
      <c r="F4117">
        <v>0.237953328611195</v>
      </c>
      <c r="G4117">
        <v>0.15459503783546499</v>
      </c>
      <c r="H4117">
        <v>0.110995352589055</v>
      </c>
      <c r="I4117">
        <v>0.112148844339263</v>
      </c>
      <c r="J4117">
        <v>9.8394710659135798E-2</v>
      </c>
      <c r="K4117">
        <v>8.4642045341910194E-2</v>
      </c>
      <c r="L4117">
        <v>1993.09090484886</v>
      </c>
      <c r="M4117">
        <v>41.055618901457201</v>
      </c>
      <c r="N4117">
        <v>48.888255794665902</v>
      </c>
      <c r="O4117">
        <v>48.4313736418056</v>
      </c>
      <c r="P4117">
        <v>-0.18546486174972299</v>
      </c>
      <c r="Q4117">
        <v>0.124865222778027</v>
      </c>
      <c r="R4117">
        <v>0.98839659914869504</v>
      </c>
      <c r="S4117" t="s">
        <v>10402</v>
      </c>
      <c r="T4117" t="s">
        <v>12568</v>
      </c>
      <c r="U4117" t="s">
        <v>12568</v>
      </c>
      <c r="V4117" t="s">
        <v>12568</v>
      </c>
      <c r="W4117" t="s">
        <v>16641</v>
      </c>
      <c r="X4117">
        <v>25</v>
      </c>
      <c r="Y4117" t="s">
        <v>22754</v>
      </c>
      <c r="Z4117" t="s">
        <v>28987</v>
      </c>
      <c r="AA4117">
        <v>0.37695572386664278</v>
      </c>
      <c r="AB4117" t="str">
        <f>HYPERLINK("Melting_Curves/meltCurve_Q8N392_ARHGAP18.pdf", "Melting_Curves/meltCurve_Q8N392_ARHGAP18.pdf")</f>
        <v>Melting_Curves/meltCurve_Q8N392_ARHGAP18.pdf</v>
      </c>
    </row>
    <row r="4118" spans="1:28" x14ac:dyDescent="0.25">
      <c r="A4118" t="s">
        <v>4122</v>
      </c>
      <c r="B4118">
        <v>0.99352677808782597</v>
      </c>
      <c r="C4118">
        <v>0.96025824136042803</v>
      </c>
      <c r="D4118">
        <v>0.87179696791973604</v>
      </c>
      <c r="E4118">
        <v>0.42948100685264101</v>
      </c>
      <c r="F4118">
        <v>0.29764814483726398</v>
      </c>
      <c r="G4118">
        <v>0.183423683850232</v>
      </c>
      <c r="H4118">
        <v>0.155476126224948</v>
      </c>
      <c r="I4118">
        <v>0.176703778953582</v>
      </c>
      <c r="J4118">
        <v>0.122357231292335</v>
      </c>
      <c r="K4118">
        <v>8.5180051206302801E-2</v>
      </c>
      <c r="L4118">
        <v>1135.2450065400701</v>
      </c>
      <c r="M4118">
        <v>23.1816465661949</v>
      </c>
      <c r="N4118">
        <v>49.659014940320297</v>
      </c>
      <c r="O4118">
        <v>48.611658116847998</v>
      </c>
      <c r="P4118">
        <v>-0.102859980022595</v>
      </c>
      <c r="Q4118">
        <v>0.137230663748068</v>
      </c>
      <c r="R4118">
        <v>0.99330377213447496</v>
      </c>
      <c r="S4118" t="s">
        <v>10403</v>
      </c>
      <c r="T4118" t="s">
        <v>12568</v>
      </c>
      <c r="U4118" t="s">
        <v>12568</v>
      </c>
      <c r="V4118" t="s">
        <v>12568</v>
      </c>
      <c r="W4118" t="s">
        <v>16642</v>
      </c>
      <c r="X4118">
        <v>1</v>
      </c>
      <c r="Y4118" t="s">
        <v>22755</v>
      </c>
      <c r="Z4118" t="s">
        <v>28988</v>
      </c>
      <c r="AA4118">
        <v>0.40417966072053058</v>
      </c>
      <c r="AB4118" t="str">
        <f>HYPERLINK("Melting_Curves/meltCurve_Q8N3C0_ASCC3.pdf", "Melting_Curves/meltCurve_Q8N3C0_ASCC3.pdf")</f>
        <v>Melting_Curves/meltCurve_Q8N3C0_ASCC3.pdf</v>
      </c>
    </row>
    <row r="4119" spans="1:28" x14ac:dyDescent="0.25">
      <c r="A4119" t="s">
        <v>4123</v>
      </c>
      <c r="B4119">
        <v>0.99352677808782597</v>
      </c>
      <c r="C4119">
        <v>1.3620918435192</v>
      </c>
      <c r="D4119">
        <v>1.3563267787103701</v>
      </c>
      <c r="E4119">
        <v>0.62909135944916905</v>
      </c>
      <c r="F4119">
        <v>0.65848875102231197</v>
      </c>
      <c r="G4119">
        <v>0.16613815776413601</v>
      </c>
      <c r="H4119">
        <v>0.42797345613016402</v>
      </c>
      <c r="I4119">
        <v>8.5378862592213195E-2</v>
      </c>
      <c r="J4119">
        <v>6.6844573663016493E-2</v>
      </c>
      <c r="K4119">
        <v>4.5537621486614797E-2</v>
      </c>
      <c r="L4119">
        <v>1195.66700110429</v>
      </c>
      <c r="M4119">
        <v>22.519364102429702</v>
      </c>
      <c r="N4119">
        <v>53.733112033548601</v>
      </c>
      <c r="O4119">
        <v>52.681688552169902</v>
      </c>
      <c r="P4119">
        <v>-9.4329910363973798E-2</v>
      </c>
      <c r="Q4119">
        <v>0.11731826728707399</v>
      </c>
      <c r="R4119">
        <v>0.82334977250567298</v>
      </c>
      <c r="S4119" t="s">
        <v>10404</v>
      </c>
      <c r="T4119" t="s">
        <v>12568</v>
      </c>
      <c r="U4119" t="s">
        <v>12568</v>
      </c>
      <c r="V4119" t="s">
        <v>12568</v>
      </c>
      <c r="W4119" t="s">
        <v>16643</v>
      </c>
      <c r="X4119">
        <v>1</v>
      </c>
      <c r="Y4119" t="s">
        <v>22756</v>
      </c>
      <c r="Z4119" t="s">
        <v>28989</v>
      </c>
      <c r="AA4119">
        <v>0.51246512695233537</v>
      </c>
      <c r="AB4119" t="str">
        <f>HYPERLINK("Melting_Curves/meltCurve_Q8N3C7_CLIP4.pdf", "Melting_Curves/meltCurve_Q8N3C7_CLIP4.pdf")</f>
        <v>Melting_Curves/meltCurve_Q8N3C7_CLIP4.pdf</v>
      </c>
    </row>
    <row r="4120" spans="1:28" x14ac:dyDescent="0.25">
      <c r="A4120" t="s">
        <v>4124</v>
      </c>
      <c r="B4120">
        <v>0.99352677808782597</v>
      </c>
      <c r="C4120">
        <v>0.93796741677557405</v>
      </c>
      <c r="D4120">
        <v>0.89917184672273198</v>
      </c>
      <c r="E4120">
        <v>0.60374203357130596</v>
      </c>
      <c r="F4120">
        <v>0.53095051398850801</v>
      </c>
      <c r="G4120">
        <v>0.42364489260482902</v>
      </c>
      <c r="H4120">
        <v>0.320144962385432</v>
      </c>
      <c r="I4120">
        <v>0.31205508214157901</v>
      </c>
      <c r="J4120">
        <v>0.30071443348514199</v>
      </c>
      <c r="K4120">
        <v>0.25876985953576997</v>
      </c>
      <c r="L4120">
        <v>717.92719424575102</v>
      </c>
      <c r="M4120">
        <v>14.2228653929213</v>
      </c>
      <c r="N4120">
        <v>53.4124819150313</v>
      </c>
      <c r="O4120">
        <v>49.5105432132993</v>
      </c>
      <c r="P4120">
        <v>-5.2348339504168E-2</v>
      </c>
      <c r="Q4120">
        <v>0.27118119499974402</v>
      </c>
      <c r="R4120">
        <v>0.98985932798440601</v>
      </c>
      <c r="S4120" t="s">
        <v>10405</v>
      </c>
      <c r="T4120" t="s">
        <v>12568</v>
      </c>
      <c r="U4120" t="s">
        <v>12568</v>
      </c>
      <c r="V4120" t="s">
        <v>12568</v>
      </c>
      <c r="W4120" t="s">
        <v>16644</v>
      </c>
      <c r="X4120">
        <v>32</v>
      </c>
      <c r="Y4120" t="s">
        <v>22757</v>
      </c>
      <c r="Z4120" t="s">
        <v>28990</v>
      </c>
      <c r="AA4120">
        <v>0.54443956329513743</v>
      </c>
      <c r="AB4120" t="str">
        <f>HYPERLINK("Melting_Curves/meltCurve_Q8N3D4_EHBP1L1.pdf", "Melting_Curves/meltCurve_Q8N3D4_EHBP1L1.pdf")</f>
        <v>Melting_Curves/meltCurve_Q8N3D4_EHBP1L1.pdf</v>
      </c>
    </row>
    <row r="4121" spans="1:28" x14ac:dyDescent="0.25">
      <c r="A4121" t="s">
        <v>4125</v>
      </c>
      <c r="B4121">
        <v>0.99352677808782597</v>
      </c>
      <c r="C4121">
        <v>0.92491411719087102</v>
      </c>
      <c r="D4121">
        <v>0.94623012418723795</v>
      </c>
      <c r="E4121">
        <v>0.56363408488158995</v>
      </c>
      <c r="F4121">
        <v>0.496845095033009</v>
      </c>
      <c r="G4121">
        <v>0.34316270800654602</v>
      </c>
      <c r="H4121">
        <v>0.27662819061588201</v>
      </c>
      <c r="I4121">
        <v>0.29495140187572499</v>
      </c>
      <c r="J4121">
        <v>0.26077613738586902</v>
      </c>
      <c r="K4121">
        <v>0.22190393279701201</v>
      </c>
      <c r="L4121">
        <v>893.82680852698104</v>
      </c>
      <c r="M4121">
        <v>17.839349932001198</v>
      </c>
      <c r="N4121">
        <v>52.1676851894211</v>
      </c>
      <c r="O4121">
        <v>49.487346667558199</v>
      </c>
      <c r="P4121">
        <v>-6.7314652764014202E-2</v>
      </c>
      <c r="Q4121">
        <v>0.25309986424533099</v>
      </c>
      <c r="R4121">
        <v>0.98221535755549305</v>
      </c>
      <c r="S4121" t="s">
        <v>10406</v>
      </c>
      <c r="T4121" t="s">
        <v>12568</v>
      </c>
      <c r="U4121" t="s">
        <v>12568</v>
      </c>
      <c r="V4121" t="s">
        <v>12568</v>
      </c>
      <c r="W4121" t="s">
        <v>16645</v>
      </c>
      <c r="X4121">
        <v>16</v>
      </c>
      <c r="Y4121" t="s">
        <v>22758</v>
      </c>
      <c r="Z4121" t="s">
        <v>28991</v>
      </c>
      <c r="AA4121">
        <v>0.51759856007949689</v>
      </c>
      <c r="AB4121" t="str">
        <f>HYPERLINK("Melting_Curves/meltCurve_Q8N3F8_MICALL1.pdf", "Melting_Curves/meltCurve_Q8N3F8_MICALL1.pdf")</f>
        <v>Melting_Curves/meltCurve_Q8N3F8_MICALL1.pdf</v>
      </c>
    </row>
    <row r="4122" spans="1:28" x14ac:dyDescent="0.25">
      <c r="A4122" t="s">
        <v>4126</v>
      </c>
      <c r="B4122">
        <v>0.99352677808782597</v>
      </c>
      <c r="C4122">
        <v>0.98904122402992301</v>
      </c>
      <c r="D4122">
        <v>0.870694178672893</v>
      </c>
      <c r="E4122">
        <v>0.48398865045168099</v>
      </c>
      <c r="F4122">
        <v>0.38904981406698502</v>
      </c>
      <c r="G4122">
        <v>0.215118612315438</v>
      </c>
      <c r="H4122">
        <v>0.13822695526752299</v>
      </c>
      <c r="I4122">
        <v>0.12599561762858899</v>
      </c>
      <c r="J4122">
        <v>0.11244937219015801</v>
      </c>
      <c r="K4122">
        <v>8.1479171774815506E-2</v>
      </c>
      <c r="L4122">
        <v>880.91360188352996</v>
      </c>
      <c r="M4122">
        <v>17.6209445645325</v>
      </c>
      <c r="N4122">
        <v>50.656007552520002</v>
      </c>
      <c r="O4122">
        <v>49.361876036452699</v>
      </c>
      <c r="P4122">
        <v>-8.0050177494231906E-2</v>
      </c>
      <c r="Q4122">
        <v>0.103063886046402</v>
      </c>
      <c r="R4122">
        <v>0.99228070007576596</v>
      </c>
      <c r="S4122" t="s">
        <v>10407</v>
      </c>
      <c r="T4122" t="s">
        <v>12568</v>
      </c>
      <c r="U4122" t="s">
        <v>12568</v>
      </c>
      <c r="V4122" t="s">
        <v>12568</v>
      </c>
      <c r="W4122" t="s">
        <v>16646</v>
      </c>
      <c r="X4122">
        <v>6</v>
      </c>
      <c r="Y4122" t="s">
        <v>22759</v>
      </c>
      <c r="Z4122" t="s">
        <v>28992</v>
      </c>
      <c r="AA4122">
        <v>0.4177423709216625</v>
      </c>
      <c r="AB4122" t="str">
        <f>HYPERLINK("Melting_Curves/meltCurve_Q8N3P4_3_VPS8.pdf", "Melting_Curves/meltCurve_Q8N3P4_3_VPS8.pdf")</f>
        <v>Melting_Curves/meltCurve_Q8N3P4_3_VPS8.pdf</v>
      </c>
    </row>
    <row r="4123" spans="1:28" x14ac:dyDescent="0.25">
      <c r="A4123" t="s">
        <v>4127</v>
      </c>
      <c r="B4123">
        <v>0.99352677808782597</v>
      </c>
      <c r="C4123">
        <v>0.89565678762893897</v>
      </c>
      <c r="D4123">
        <v>0.63002352829873298</v>
      </c>
      <c r="E4123">
        <v>0.34356021230929701</v>
      </c>
      <c r="F4123">
        <v>0.28832658020639301</v>
      </c>
      <c r="G4123">
        <v>0.20130764296964099</v>
      </c>
      <c r="H4123">
        <v>0.16241978373983801</v>
      </c>
      <c r="I4123">
        <v>0.147603610577107</v>
      </c>
      <c r="J4123">
        <v>0.12214292985562</v>
      </c>
      <c r="K4123">
        <v>0.111409215525553</v>
      </c>
      <c r="L4123">
        <v>824.89352771518099</v>
      </c>
      <c r="M4123">
        <v>17.521744863498199</v>
      </c>
      <c r="N4123">
        <v>47.963097739084901</v>
      </c>
      <c r="O4123">
        <v>46.477893872666101</v>
      </c>
      <c r="P4123">
        <v>-8.1236552604003601E-2</v>
      </c>
      <c r="Q4123">
        <v>0.13810025724757399</v>
      </c>
      <c r="R4123">
        <v>0.99312292821241299</v>
      </c>
      <c r="S4123" t="s">
        <v>10408</v>
      </c>
      <c r="T4123" t="s">
        <v>12568</v>
      </c>
      <c r="U4123" t="s">
        <v>12568</v>
      </c>
      <c r="V4123" t="s">
        <v>12568</v>
      </c>
      <c r="W4123" t="s">
        <v>16647</v>
      </c>
      <c r="X4123">
        <v>4</v>
      </c>
      <c r="Y4123" t="s">
        <v>22760</v>
      </c>
      <c r="Z4123" t="s">
        <v>28993</v>
      </c>
      <c r="AA4123">
        <v>0.35825113561262961</v>
      </c>
      <c r="AB4123" t="str">
        <f>HYPERLINK("Melting_Curves/meltCurve_Q8N3R9_MPP5.pdf", "Melting_Curves/meltCurve_Q8N3R9_MPP5.pdf")</f>
        <v>Melting_Curves/meltCurve_Q8N3R9_MPP5.pdf</v>
      </c>
    </row>
    <row r="4124" spans="1:28" x14ac:dyDescent="0.25">
      <c r="A4124" t="s">
        <v>4128</v>
      </c>
      <c r="B4124">
        <v>0.99352677808782597</v>
      </c>
      <c r="C4124">
        <v>0.95063154399665695</v>
      </c>
      <c r="D4124">
        <v>0.98645347308210296</v>
      </c>
      <c r="E4124">
        <v>0.90896794264931802</v>
      </c>
      <c r="F4124">
        <v>0.81875491968855796</v>
      </c>
      <c r="G4124">
        <v>0.75415587802204598</v>
      </c>
      <c r="H4124">
        <v>0.65211052714543505</v>
      </c>
      <c r="I4124">
        <v>0.68725159573193695</v>
      </c>
      <c r="J4124">
        <v>0.669966448955156</v>
      </c>
      <c r="K4124">
        <v>0.59305529620658104</v>
      </c>
      <c r="L4124">
        <v>684.94639152226705</v>
      </c>
      <c r="M4124">
        <v>12.6201980605379</v>
      </c>
      <c r="O4124">
        <v>52.965192657540001</v>
      </c>
      <c r="P4124">
        <v>-2.3480551068067099E-2</v>
      </c>
      <c r="Q4124">
        <v>0.60589988744983003</v>
      </c>
      <c r="R4124">
        <v>0.96871472625121002</v>
      </c>
      <c r="S4124" t="s">
        <v>10409</v>
      </c>
      <c r="T4124" t="s">
        <v>12568</v>
      </c>
      <c r="U4124" t="s">
        <v>12568</v>
      </c>
      <c r="V4124" t="s">
        <v>12568</v>
      </c>
      <c r="W4124" t="s">
        <v>16648</v>
      </c>
      <c r="X4124">
        <v>16</v>
      </c>
      <c r="Y4124" t="s">
        <v>22761</v>
      </c>
      <c r="Z4124" t="s">
        <v>28994</v>
      </c>
      <c r="AA4124">
        <v>0.80298446213369556</v>
      </c>
      <c r="AB4124" t="str">
        <f>HYPERLINK("Melting_Curves/meltCurve_Q8N3V7_2_SYNPO.pdf", "Melting_Curves/meltCurve_Q8N3V7_2_SYNPO.pdf")</f>
        <v>Melting_Curves/meltCurve_Q8N3V7_2_SYNPO.pdf</v>
      </c>
    </row>
    <row r="4125" spans="1:28" x14ac:dyDescent="0.25">
      <c r="A4125" t="s">
        <v>4129</v>
      </c>
      <c r="B4125">
        <v>0.99352677808782597</v>
      </c>
      <c r="C4125">
        <v>0.98795967388907402</v>
      </c>
      <c r="D4125">
        <v>0.95189524049474905</v>
      </c>
      <c r="E4125">
        <v>0.95214994116593998</v>
      </c>
      <c r="F4125">
        <v>0.84421313443500201</v>
      </c>
      <c r="G4125">
        <v>0.68289606529888203</v>
      </c>
      <c r="H4125">
        <v>0.82506779818179798</v>
      </c>
      <c r="I4125">
        <v>0.84556578031367002</v>
      </c>
      <c r="J4125">
        <v>1.00275746190524</v>
      </c>
      <c r="K4125">
        <v>0.786638945537106</v>
      </c>
      <c r="L4125">
        <v>3166.6722355101601</v>
      </c>
      <c r="M4125">
        <v>62.391230990801198</v>
      </c>
      <c r="O4125">
        <v>50.7030296274596</v>
      </c>
      <c r="P4125">
        <v>-5.2530159001424603E-2</v>
      </c>
      <c r="Q4125">
        <v>0.82924287883826298</v>
      </c>
      <c r="R4125">
        <v>0.452095115995296</v>
      </c>
      <c r="S4125" t="s">
        <v>10410</v>
      </c>
      <c r="T4125" t="s">
        <v>12568</v>
      </c>
      <c r="U4125" t="s">
        <v>12568</v>
      </c>
      <c r="V4125" t="s">
        <v>12568</v>
      </c>
      <c r="W4125" t="s">
        <v>16649</v>
      </c>
      <c r="X4125">
        <v>19</v>
      </c>
      <c r="Y4125" t="s">
        <v>22762</v>
      </c>
      <c r="Z4125" t="s">
        <v>28995</v>
      </c>
      <c r="AA4125">
        <v>0.8907048210461378</v>
      </c>
      <c r="AB4125" t="str">
        <f>HYPERLINK("Melting_Curves/meltCurve_Q8N3X1_FNBP4.pdf", "Melting_Curves/meltCurve_Q8N3X1_FNBP4.pdf")</f>
        <v>Melting_Curves/meltCurve_Q8N3X1_FNBP4.pdf</v>
      </c>
    </row>
    <row r="4126" spans="1:28" x14ac:dyDescent="0.25">
      <c r="A4126" t="s">
        <v>4130</v>
      </c>
      <c r="B4126">
        <v>0.99352677808782597</v>
      </c>
      <c r="C4126">
        <v>0.88726375244978795</v>
      </c>
      <c r="D4126">
        <v>0.74307880359294098</v>
      </c>
      <c r="E4126">
        <v>0.47107042588433201</v>
      </c>
      <c r="F4126">
        <v>0.37570105199636</v>
      </c>
      <c r="G4126">
        <v>0.267247748152388</v>
      </c>
      <c r="H4126">
        <v>0.141287092645944</v>
      </c>
      <c r="I4126">
        <v>0.14129761156571899</v>
      </c>
      <c r="J4126">
        <v>0.13571852108556501</v>
      </c>
      <c r="K4126">
        <v>0.10661938978032701</v>
      </c>
      <c r="L4126">
        <v>640.34301406982604</v>
      </c>
      <c r="M4126">
        <v>13.002844142133601</v>
      </c>
      <c r="N4126">
        <v>50.101277883665503</v>
      </c>
      <c r="O4126">
        <v>48.125226486828197</v>
      </c>
      <c r="P4126">
        <v>-6.0837311897081102E-2</v>
      </c>
      <c r="Q4126">
        <v>9.9491213574324805E-2</v>
      </c>
      <c r="R4126">
        <v>0.99494749734228505</v>
      </c>
      <c r="S4126" t="s">
        <v>10411</v>
      </c>
      <c r="T4126" t="s">
        <v>12568</v>
      </c>
      <c r="U4126" t="s">
        <v>12568</v>
      </c>
      <c r="V4126" t="s">
        <v>12568</v>
      </c>
      <c r="W4126" t="s">
        <v>16650</v>
      </c>
      <c r="X4126">
        <v>2</v>
      </c>
      <c r="Y4126" t="s">
        <v>22763</v>
      </c>
      <c r="Z4126" t="s">
        <v>28996</v>
      </c>
      <c r="AA4126">
        <v>0.40550222168710021</v>
      </c>
      <c r="AB4126" t="str">
        <f>HYPERLINK("Melting_Curves/meltCurve_Q8N3Y1_FBXW8.pdf", "Melting_Curves/meltCurve_Q8N3Y1_FBXW8.pdf")</f>
        <v>Melting_Curves/meltCurve_Q8N3Y1_FBXW8.pdf</v>
      </c>
    </row>
    <row r="4127" spans="1:28" x14ac:dyDescent="0.25">
      <c r="A4127" t="s">
        <v>4131</v>
      </c>
      <c r="B4127">
        <v>0.99352677808782597</v>
      </c>
      <c r="C4127">
        <v>1.01953226639826</v>
      </c>
      <c r="D4127">
        <v>0.97171843451353201</v>
      </c>
      <c r="E4127">
        <v>0.68609855802479602</v>
      </c>
      <c r="F4127">
        <v>0.61490345186546802</v>
      </c>
      <c r="G4127">
        <v>0.30879693328230601</v>
      </c>
      <c r="H4127">
        <v>0.270340100032054</v>
      </c>
      <c r="I4127">
        <v>0.23160605341264401</v>
      </c>
      <c r="J4127">
        <v>0.161912486569257</v>
      </c>
      <c r="K4127">
        <v>9.8490618422902701E-2</v>
      </c>
      <c r="L4127">
        <v>797.89519726410299</v>
      </c>
      <c r="M4127">
        <v>15.0273602554948</v>
      </c>
      <c r="N4127">
        <v>54.131945870972601</v>
      </c>
      <c r="O4127">
        <v>52.182521155896602</v>
      </c>
      <c r="P4127">
        <v>-6.3005132604274303E-2</v>
      </c>
      <c r="Q4127">
        <v>0.124946272327848</v>
      </c>
      <c r="R4127">
        <v>0.98445561290581696</v>
      </c>
      <c r="S4127" t="s">
        <v>10412</v>
      </c>
      <c r="T4127" t="s">
        <v>12568</v>
      </c>
      <c r="U4127" t="s">
        <v>12568</v>
      </c>
      <c r="V4127" t="s">
        <v>12568</v>
      </c>
      <c r="W4127" t="s">
        <v>16651</v>
      </c>
      <c r="X4127">
        <v>3</v>
      </c>
      <c r="Y4127" t="s">
        <v>22764</v>
      </c>
      <c r="Z4127" t="s">
        <v>28997</v>
      </c>
      <c r="AA4127">
        <v>0.52564711792074015</v>
      </c>
      <c r="AB4127" t="str">
        <f>HYPERLINK("Melting_Curves/meltCurve_Q8N465_D2HGDH.pdf", "Melting_Curves/meltCurve_Q8N465_D2HGDH.pdf")</f>
        <v>Melting_Curves/meltCurve_Q8N465_D2HGDH.pdf</v>
      </c>
    </row>
    <row r="4128" spans="1:28" x14ac:dyDescent="0.25">
      <c r="A4128" t="s">
        <v>4132</v>
      </c>
      <c r="B4128">
        <v>0.99352677808782597</v>
      </c>
      <c r="C4128">
        <v>0.96746899152256205</v>
      </c>
      <c r="D4128">
        <v>0.96938642353541904</v>
      </c>
      <c r="E4128">
        <v>0.87332060440553805</v>
      </c>
      <c r="F4128">
        <v>0.83905784816755702</v>
      </c>
      <c r="G4128">
        <v>0.73299102852680897</v>
      </c>
      <c r="H4128">
        <v>0.631767480384826</v>
      </c>
      <c r="I4128">
        <v>0.66890871192142298</v>
      </c>
      <c r="J4128">
        <v>0.61629942522127101</v>
      </c>
      <c r="K4128">
        <v>0.52290499412915903</v>
      </c>
      <c r="L4128">
        <v>504.91972673925898</v>
      </c>
      <c r="M4128">
        <v>8.7846659710666195</v>
      </c>
      <c r="O4128">
        <v>54.732363354747797</v>
      </c>
      <c r="P4128">
        <v>-2.1354004575929099E-2</v>
      </c>
      <c r="Q4128">
        <v>0.46824353880442199</v>
      </c>
      <c r="R4128">
        <v>0.973973506467951</v>
      </c>
      <c r="S4128" t="s">
        <v>10413</v>
      </c>
      <c r="T4128" t="s">
        <v>12568</v>
      </c>
      <c r="U4128" t="s">
        <v>12568</v>
      </c>
      <c r="V4128" t="s">
        <v>12568</v>
      </c>
      <c r="W4128" t="s">
        <v>16652</v>
      </c>
      <c r="X4128">
        <v>6</v>
      </c>
      <c r="Y4128" t="s">
        <v>22765</v>
      </c>
      <c r="Z4128" t="s">
        <v>28998</v>
      </c>
      <c r="AA4128">
        <v>0.78362609284575491</v>
      </c>
      <c r="AB4128" t="str">
        <f>HYPERLINK("Melting_Curves/meltCurve_Q8N488_RYBP.pdf", "Melting_Curves/meltCurve_Q8N488_RYBP.pdf")</f>
        <v>Melting_Curves/meltCurve_Q8N488_RYBP.pdf</v>
      </c>
    </row>
    <row r="4129" spans="1:28" x14ac:dyDescent="0.25">
      <c r="A4129" t="s">
        <v>4133</v>
      </c>
      <c r="B4129">
        <v>0.99352677808782597</v>
      </c>
      <c r="C4129">
        <v>0.85688316311011004</v>
      </c>
      <c r="D4129">
        <v>0.78968887645239905</v>
      </c>
      <c r="E4129">
        <v>0.57069937477491695</v>
      </c>
      <c r="F4129">
        <v>0.50863532798702704</v>
      </c>
      <c r="G4129">
        <v>0.47132634475000401</v>
      </c>
      <c r="H4129">
        <v>0.41679960059443399</v>
      </c>
      <c r="I4129">
        <v>0.459590969860313</v>
      </c>
      <c r="J4129">
        <v>0.43273356434016902</v>
      </c>
      <c r="K4129">
        <v>0.37584306408378598</v>
      </c>
      <c r="L4129">
        <v>704.24227426163998</v>
      </c>
      <c r="M4129">
        <v>14.920255896400199</v>
      </c>
      <c r="N4129">
        <v>53.450773482012202</v>
      </c>
      <c r="O4129">
        <v>46.3768661208099</v>
      </c>
      <c r="P4129">
        <v>-4.7244796623839097E-2</v>
      </c>
      <c r="Q4129">
        <v>0.41265373276886602</v>
      </c>
      <c r="R4129">
        <v>0.98306612228488</v>
      </c>
      <c r="S4129" t="s">
        <v>10414</v>
      </c>
      <c r="T4129" t="s">
        <v>12568</v>
      </c>
      <c r="U4129" t="s">
        <v>12568</v>
      </c>
      <c r="V4129" t="s">
        <v>12568</v>
      </c>
      <c r="W4129" t="s">
        <v>16653</v>
      </c>
      <c r="X4129">
        <v>17</v>
      </c>
      <c r="Y4129" t="s">
        <v>22766</v>
      </c>
      <c r="Z4129" t="s">
        <v>28999</v>
      </c>
      <c r="AA4129">
        <v>0.56956274261490047</v>
      </c>
      <c r="AB4129" t="str">
        <f>HYPERLINK("Melting_Curves/meltCurve_Q8N4C8_MINK1.pdf", "Melting_Curves/meltCurve_Q8N4C8_MINK1.pdf")</f>
        <v>Melting_Curves/meltCurve_Q8N4C8_MINK1.pdf</v>
      </c>
    </row>
    <row r="4130" spans="1:28" x14ac:dyDescent="0.25">
      <c r="A4130" t="s">
        <v>4134</v>
      </c>
      <c r="B4130">
        <v>0.99352677808782597</v>
      </c>
      <c r="C4130">
        <v>0.93925749885296606</v>
      </c>
      <c r="D4130">
        <v>0.95223212559140902</v>
      </c>
      <c r="E4130">
        <v>0.58608173752045301</v>
      </c>
      <c r="F4130">
        <v>0.51414385417395903</v>
      </c>
      <c r="G4130">
        <v>0.154441003252273</v>
      </c>
      <c r="H4130">
        <v>9.0697205004340795E-2</v>
      </c>
      <c r="I4130">
        <v>8.0068130483170796E-2</v>
      </c>
      <c r="J4130">
        <v>6.8484800973789797E-2</v>
      </c>
      <c r="K4130">
        <v>4.7657301938333597E-2</v>
      </c>
      <c r="L4130">
        <v>879.58262641403996</v>
      </c>
      <c r="M4130">
        <v>16.970391247457901</v>
      </c>
      <c r="N4130">
        <v>52.046838316509103</v>
      </c>
      <c r="O4130">
        <v>51.1267776818462</v>
      </c>
      <c r="P4130">
        <v>-8.0160081739158895E-2</v>
      </c>
      <c r="Q4130">
        <v>3.4065481049139097E-2</v>
      </c>
      <c r="R4130">
        <v>0.98625071144426202</v>
      </c>
      <c r="S4130" t="s">
        <v>10415</v>
      </c>
      <c r="T4130" t="s">
        <v>12568</v>
      </c>
      <c r="U4130" t="s">
        <v>12568</v>
      </c>
      <c r="V4130" t="s">
        <v>12568</v>
      </c>
      <c r="W4130" t="s">
        <v>16654</v>
      </c>
      <c r="X4130">
        <v>3</v>
      </c>
      <c r="Y4130" t="s">
        <v>22767</v>
      </c>
      <c r="Z4130" t="s">
        <v>29000</v>
      </c>
      <c r="AA4130">
        <v>0.43278367086038788</v>
      </c>
      <c r="AB4130" t="str">
        <f>HYPERLINK("Melting_Curves/meltCurve_Q8N4J0_C9orf41.pdf", "Melting_Curves/meltCurve_Q8N4J0_C9orf41.pdf")</f>
        <v>Melting_Curves/meltCurve_Q8N4J0_C9orf41.pdf</v>
      </c>
    </row>
    <row r="4131" spans="1:28" x14ac:dyDescent="0.25">
      <c r="A4131" t="s">
        <v>4135</v>
      </c>
      <c r="B4131">
        <v>0.99352677808782597</v>
      </c>
      <c r="C4131">
        <v>0.99476339187858098</v>
      </c>
      <c r="D4131">
        <v>1.03723966653786</v>
      </c>
      <c r="E4131">
        <v>1.1369881302090199</v>
      </c>
      <c r="F4131">
        <v>1.02402388993921</v>
      </c>
      <c r="G4131">
        <v>1.0755290790129099</v>
      </c>
      <c r="H4131">
        <v>0.896479056251274</v>
      </c>
      <c r="I4131">
        <v>0.93505688071922399</v>
      </c>
      <c r="J4131">
        <v>1.1567592472124899</v>
      </c>
      <c r="K4131">
        <v>0.98873948792804001</v>
      </c>
      <c r="L4131">
        <v>11098.258603369601</v>
      </c>
      <c r="M4131">
        <v>250</v>
      </c>
      <c r="O4131">
        <v>44.390193619951901</v>
      </c>
      <c r="P4131">
        <v>4.4148303581476298E-2</v>
      </c>
      <c r="Q4131">
        <v>1.03135602782006</v>
      </c>
      <c r="R4131">
        <v>3.55221850202979E-2</v>
      </c>
      <c r="S4131" t="s">
        <v>10416</v>
      </c>
      <c r="T4131" t="s">
        <v>12568</v>
      </c>
      <c r="U4131" t="s">
        <v>12568</v>
      </c>
      <c r="V4131" t="s">
        <v>12568</v>
      </c>
      <c r="W4131" t="s">
        <v>16655</v>
      </c>
      <c r="X4131">
        <v>2</v>
      </c>
      <c r="Y4131" t="s">
        <v>22768</v>
      </c>
      <c r="Z4131" t="s">
        <v>29001</v>
      </c>
      <c r="AA4131">
        <v>1.026761981257855</v>
      </c>
      <c r="AB4131" t="str">
        <f>HYPERLINK("Melting_Curves/meltCurve_Q8N4N3_KLHL36.pdf", "Melting_Curves/meltCurve_Q8N4N3_KLHL36.pdf")</f>
        <v>Melting_Curves/meltCurve_Q8N4N3_KLHL36.pdf</v>
      </c>
    </row>
    <row r="4132" spans="1:28" x14ac:dyDescent="0.25">
      <c r="A4132" t="s">
        <v>4136</v>
      </c>
      <c r="B4132">
        <v>0.99352677808782597</v>
      </c>
      <c r="C4132">
        <v>0.97184376603216305</v>
      </c>
      <c r="D4132">
        <v>0.92379402999052396</v>
      </c>
      <c r="E4132">
        <v>0.56525735458763604</v>
      </c>
      <c r="F4132">
        <v>0.45837657612878902</v>
      </c>
      <c r="G4132">
        <v>0.27449713710611101</v>
      </c>
      <c r="H4132">
        <v>0.17420505935390401</v>
      </c>
      <c r="I4132">
        <v>0.165952349092959</v>
      </c>
      <c r="J4132">
        <v>0.14679205718035501</v>
      </c>
      <c r="K4132">
        <v>0.105179600435743</v>
      </c>
      <c r="L4132">
        <v>833.57778432862403</v>
      </c>
      <c r="M4132">
        <v>16.355040369325501</v>
      </c>
      <c r="N4132">
        <v>51.869121964690997</v>
      </c>
      <c r="O4132">
        <v>50.223944359869698</v>
      </c>
      <c r="P4132">
        <v>-7.1344380387474898E-2</v>
      </c>
      <c r="Q4132">
        <v>0.123710436399653</v>
      </c>
      <c r="R4132">
        <v>0.99219777758675098</v>
      </c>
      <c r="S4132" t="s">
        <v>10417</v>
      </c>
      <c r="T4132" t="s">
        <v>12568</v>
      </c>
      <c r="U4132" t="s">
        <v>12568</v>
      </c>
      <c r="V4132" t="s">
        <v>12568</v>
      </c>
      <c r="W4132" t="s">
        <v>16656</v>
      </c>
      <c r="X4132">
        <v>5</v>
      </c>
      <c r="Y4132" t="s">
        <v>22769</v>
      </c>
      <c r="Z4132" t="s">
        <v>29002</v>
      </c>
      <c r="AA4132">
        <v>0.46157365860005423</v>
      </c>
      <c r="AB4132" t="str">
        <f>HYPERLINK("Melting_Curves/meltCurve_Q8N4P3_HDDC3.pdf", "Melting_Curves/meltCurve_Q8N4P3_HDDC3.pdf")</f>
        <v>Melting_Curves/meltCurve_Q8N4P3_HDDC3.pdf</v>
      </c>
    </row>
    <row r="4133" spans="1:28" x14ac:dyDescent="0.25">
      <c r="A4133" t="s">
        <v>4137</v>
      </c>
      <c r="B4133">
        <v>0.99352677808782597</v>
      </c>
      <c r="C4133">
        <v>0.85867941259449199</v>
      </c>
      <c r="D4133">
        <v>0.83439711227128099</v>
      </c>
      <c r="E4133">
        <v>0.31804431474281802</v>
      </c>
      <c r="F4133">
        <v>0.26690321831896102</v>
      </c>
      <c r="G4133">
        <v>0.11652455234727201</v>
      </c>
      <c r="H4133">
        <v>0.12574545251007399</v>
      </c>
      <c r="I4133">
        <v>9.5489738219486905E-2</v>
      </c>
      <c r="J4133">
        <v>0.123636367952311</v>
      </c>
      <c r="K4133">
        <v>6.8914211291970201E-2</v>
      </c>
      <c r="L4133">
        <v>1055.66488774857</v>
      </c>
      <c r="M4133">
        <v>21.8992587856415</v>
      </c>
      <c r="N4133">
        <v>48.705672549415901</v>
      </c>
      <c r="O4133">
        <v>47.808942559633202</v>
      </c>
      <c r="P4133">
        <v>-0.10298596572372</v>
      </c>
      <c r="Q4133">
        <v>0.100693183151998</v>
      </c>
      <c r="R4133">
        <v>0.98237672509407403</v>
      </c>
      <c r="S4133" t="s">
        <v>10418</v>
      </c>
      <c r="T4133" t="s">
        <v>12568</v>
      </c>
      <c r="U4133" t="s">
        <v>12568</v>
      </c>
      <c r="V4133" t="s">
        <v>12568</v>
      </c>
      <c r="W4133" t="s">
        <v>16657</v>
      </c>
      <c r="X4133">
        <v>1</v>
      </c>
      <c r="Y4133" t="s">
        <v>22770</v>
      </c>
      <c r="Z4133" t="s">
        <v>29003</v>
      </c>
      <c r="AA4133">
        <v>0.35718194678750831</v>
      </c>
      <c r="AB4133" t="str">
        <f>HYPERLINK("Melting_Curves/meltCurve_Q8N4Q0_ZADH2.pdf", "Melting_Curves/meltCurve_Q8N4Q0_ZADH2.pdf")</f>
        <v>Melting_Curves/meltCurve_Q8N4Q0_ZADH2.pdf</v>
      </c>
    </row>
    <row r="4134" spans="1:28" x14ac:dyDescent="0.25">
      <c r="A4134" t="s">
        <v>4138</v>
      </c>
      <c r="B4134">
        <v>0.99352677808782597</v>
      </c>
      <c r="C4134">
        <v>0.99744333618554704</v>
      </c>
      <c r="D4134">
        <v>0.94150074963902497</v>
      </c>
      <c r="E4134">
        <v>0.92944203557456895</v>
      </c>
      <c r="F4134">
        <v>0.88722441581316702</v>
      </c>
      <c r="G4134">
        <v>0.87830917050417601</v>
      </c>
      <c r="H4134">
        <v>0.76107263649646895</v>
      </c>
      <c r="I4134">
        <v>0.812384885046601</v>
      </c>
      <c r="J4134">
        <v>0.691780934341371</v>
      </c>
      <c r="K4134">
        <v>0.63815625906544204</v>
      </c>
      <c r="L4134">
        <v>351.97051313600002</v>
      </c>
      <c r="M4134">
        <v>4.3915862870794697</v>
      </c>
      <c r="O4134">
        <v>67.658720545030206</v>
      </c>
      <c r="P4134">
        <v>-1.6380851111318699E-2</v>
      </c>
      <c r="Q4134">
        <v>0</v>
      </c>
      <c r="R4134">
        <v>0.94836418831426395</v>
      </c>
      <c r="S4134" t="s">
        <v>10419</v>
      </c>
      <c r="T4134" t="s">
        <v>12568</v>
      </c>
      <c r="U4134" t="s">
        <v>12568</v>
      </c>
      <c r="V4134" t="s">
        <v>12568</v>
      </c>
      <c r="W4134" t="s">
        <v>16658</v>
      </c>
      <c r="X4134">
        <v>1</v>
      </c>
      <c r="Y4134" t="s">
        <v>22771</v>
      </c>
      <c r="Z4134" t="s">
        <v>29004</v>
      </c>
      <c r="AA4134">
        <v>0.86002860203763842</v>
      </c>
      <c r="AB4134" t="str">
        <f>HYPERLINK("Melting_Curves/meltCurve_Q8N4Q1_CHCHD4.pdf", "Melting_Curves/meltCurve_Q8N4Q1_CHCHD4.pdf")</f>
        <v>Melting_Curves/meltCurve_Q8N4Q1_CHCHD4.pdf</v>
      </c>
    </row>
    <row r="4135" spans="1:28" x14ac:dyDescent="0.25">
      <c r="A4135" t="s">
        <v>4139</v>
      </c>
      <c r="B4135">
        <v>0.99352677808782597</v>
      </c>
      <c r="C4135">
        <v>1.01081932739045</v>
      </c>
      <c r="D4135">
        <v>0.96674598126478595</v>
      </c>
      <c r="E4135">
        <v>0.87763028188275705</v>
      </c>
      <c r="F4135">
        <v>0.75963054861603396</v>
      </c>
      <c r="G4135">
        <v>0.62468210919707801</v>
      </c>
      <c r="H4135">
        <v>0.63376641826368496</v>
      </c>
      <c r="I4135">
        <v>0.60384670513523597</v>
      </c>
      <c r="J4135">
        <v>0.49901738837725901</v>
      </c>
      <c r="K4135">
        <v>0.27189218604708298</v>
      </c>
      <c r="L4135">
        <v>425.25201327617401</v>
      </c>
      <c r="M4135">
        <v>6.5803720263913696</v>
      </c>
      <c r="N4135">
        <v>64.624311699575699</v>
      </c>
      <c r="O4135">
        <v>59.436497456968702</v>
      </c>
      <c r="P4135">
        <v>-2.7742452211158598E-2</v>
      </c>
      <c r="Q4135">
        <v>0</v>
      </c>
      <c r="R4135">
        <v>0.93225406889853402</v>
      </c>
      <c r="S4135" t="s">
        <v>10420</v>
      </c>
      <c r="T4135" t="s">
        <v>12568</v>
      </c>
      <c r="U4135" t="s">
        <v>12568</v>
      </c>
      <c r="V4135" t="s">
        <v>12568</v>
      </c>
      <c r="W4135" t="s">
        <v>16659</v>
      </c>
      <c r="X4135">
        <v>3</v>
      </c>
      <c r="Y4135" t="s">
        <v>22772</v>
      </c>
      <c r="Z4135" t="s">
        <v>29005</v>
      </c>
      <c r="AA4135">
        <v>0.72993930410821239</v>
      </c>
      <c r="AB4135" t="str">
        <f>HYPERLINK("Melting_Curves/meltCurve_Q8N4T8_CBR4.pdf", "Melting_Curves/meltCurve_Q8N4T8_CBR4.pdf")</f>
        <v>Melting_Curves/meltCurve_Q8N4T8_CBR4.pdf</v>
      </c>
    </row>
    <row r="4136" spans="1:28" x14ac:dyDescent="0.25">
      <c r="A4136" t="s">
        <v>4140</v>
      </c>
      <c r="B4136">
        <v>0.99352677808782597</v>
      </c>
      <c r="C4136">
        <v>0.98912824721009296</v>
      </c>
      <c r="D4136">
        <v>0.98332511502049202</v>
      </c>
      <c r="E4136">
        <v>0.75214856501222405</v>
      </c>
      <c r="F4136">
        <v>0.66563375251740697</v>
      </c>
      <c r="G4136">
        <v>0.47676695292249099</v>
      </c>
      <c r="H4136">
        <v>0.34186480342445402</v>
      </c>
      <c r="I4136">
        <v>0.32421721052915098</v>
      </c>
      <c r="J4136">
        <v>0.33934614682799602</v>
      </c>
      <c r="K4136">
        <v>0.279052673546406</v>
      </c>
      <c r="L4136">
        <v>826.14482458231896</v>
      </c>
      <c r="M4136">
        <v>15.569169798886801</v>
      </c>
      <c r="N4136">
        <v>56.031635501656297</v>
      </c>
      <c r="O4136">
        <v>52.210585311600497</v>
      </c>
      <c r="P4136">
        <v>-5.3616219634392899E-2</v>
      </c>
      <c r="Q4136">
        <v>0.28086343008794601</v>
      </c>
      <c r="R4136">
        <v>0.99166272019593205</v>
      </c>
      <c r="S4136" t="s">
        <v>10421</v>
      </c>
      <c r="T4136" t="s">
        <v>12568</v>
      </c>
      <c r="U4136" t="s">
        <v>12568</v>
      </c>
      <c r="V4136" t="s">
        <v>12568</v>
      </c>
      <c r="W4136" t="s">
        <v>16660</v>
      </c>
      <c r="X4136">
        <v>30</v>
      </c>
      <c r="Y4136" t="s">
        <v>22773</v>
      </c>
      <c r="Z4136" t="s">
        <v>29006</v>
      </c>
      <c r="AA4136">
        <v>0.60864291855039465</v>
      </c>
      <c r="AB4136" t="str">
        <f>HYPERLINK("Melting_Curves/meltCurve_Q8N4X5_AFAP1L2.pdf", "Melting_Curves/meltCurve_Q8N4X5_AFAP1L2.pdf")</f>
        <v>Melting_Curves/meltCurve_Q8N4X5_AFAP1L2.pdf</v>
      </c>
    </row>
    <row r="4137" spans="1:28" x14ac:dyDescent="0.25">
      <c r="A4137" t="s">
        <v>4141</v>
      </c>
      <c r="B4137">
        <v>0.99352677808782597</v>
      </c>
      <c r="C4137">
        <v>0.91784538767286705</v>
      </c>
      <c r="D4137">
        <v>0.78998524113163904</v>
      </c>
      <c r="E4137">
        <v>0.61201473149363705</v>
      </c>
      <c r="F4137">
        <v>0.56739078066615201</v>
      </c>
      <c r="G4137">
        <v>0.421253164832602</v>
      </c>
      <c r="H4137">
        <v>0.25917740797140099</v>
      </c>
      <c r="I4137">
        <v>0.16271835586734901</v>
      </c>
      <c r="J4137">
        <v>0.13155822557150701</v>
      </c>
      <c r="K4137">
        <v>9.6181015809210305E-2</v>
      </c>
      <c r="L4137">
        <v>482.66852789324798</v>
      </c>
      <c r="M4137">
        <v>8.9808050111467708</v>
      </c>
      <c r="N4137">
        <v>53.744461047379197</v>
      </c>
      <c r="O4137">
        <v>51.280323439004597</v>
      </c>
      <c r="P4137">
        <v>-4.38149537839281E-2</v>
      </c>
      <c r="Q4137">
        <v>0</v>
      </c>
      <c r="R4137">
        <v>0.99037216331410005</v>
      </c>
      <c r="S4137" t="s">
        <v>10422</v>
      </c>
      <c r="T4137" t="s">
        <v>12568</v>
      </c>
      <c r="U4137" t="s">
        <v>12568</v>
      </c>
      <c r="V4137" t="s">
        <v>12568</v>
      </c>
      <c r="W4137" t="s">
        <v>16661</v>
      </c>
      <c r="X4137">
        <v>13</v>
      </c>
      <c r="Y4137" t="s">
        <v>22774</v>
      </c>
      <c r="Z4137" t="s">
        <v>29007</v>
      </c>
      <c r="AA4137">
        <v>0.49176243486630689</v>
      </c>
      <c r="AB4137" t="str">
        <f>HYPERLINK("Melting_Curves/meltCurve_Q8N543_OGFOD1.pdf", "Melting_Curves/meltCurve_Q8N543_OGFOD1.pdf")</f>
        <v>Melting_Curves/meltCurve_Q8N543_OGFOD1.pdf</v>
      </c>
    </row>
    <row r="4138" spans="1:28" x14ac:dyDescent="0.25">
      <c r="A4138" t="s">
        <v>4142</v>
      </c>
      <c r="B4138">
        <v>0.99352677808782597</v>
      </c>
      <c r="C4138">
        <v>0.98564997042403502</v>
      </c>
      <c r="D4138">
        <v>0.94109501444493204</v>
      </c>
      <c r="E4138">
        <v>0.785940692866548</v>
      </c>
      <c r="F4138">
        <v>0.71060375209188698</v>
      </c>
      <c r="G4138">
        <v>0.52391527623538103</v>
      </c>
      <c r="H4138">
        <v>0.38393707749175998</v>
      </c>
      <c r="I4138">
        <v>0.42955296907907298</v>
      </c>
      <c r="J4138">
        <v>0.41171033844042698</v>
      </c>
      <c r="K4138">
        <v>0.37265531641026001</v>
      </c>
      <c r="L4138">
        <v>807.94356986772596</v>
      </c>
      <c r="M4138">
        <v>15.2843878355073</v>
      </c>
      <c r="N4138">
        <v>57.807272106175098</v>
      </c>
      <c r="O4138">
        <v>51.980616843713499</v>
      </c>
      <c r="P4138">
        <v>-4.6697652692254003E-2</v>
      </c>
      <c r="Q4138">
        <v>0.36480413907486697</v>
      </c>
      <c r="R4138">
        <v>0.99016700276649205</v>
      </c>
      <c r="S4138" t="s">
        <v>10423</v>
      </c>
      <c r="T4138" t="s">
        <v>12568</v>
      </c>
      <c r="U4138" t="s">
        <v>12568</v>
      </c>
      <c r="V4138" t="s">
        <v>12568</v>
      </c>
      <c r="W4138" t="s">
        <v>16662</v>
      </c>
      <c r="X4138">
        <v>10</v>
      </c>
      <c r="Y4138" t="s">
        <v>22775</v>
      </c>
      <c r="Z4138" t="s">
        <v>29008</v>
      </c>
      <c r="AA4138">
        <v>0.65049185836833534</v>
      </c>
      <c r="AB4138" t="str">
        <f>HYPERLINK("Melting_Curves/meltCurve_Q8N556_AFAP1.pdf", "Melting_Curves/meltCurve_Q8N556_AFAP1.pdf")</f>
        <v>Melting_Curves/meltCurve_Q8N556_AFAP1.pdf</v>
      </c>
    </row>
    <row r="4139" spans="1:28" x14ac:dyDescent="0.25">
      <c r="A4139" t="s">
        <v>4143</v>
      </c>
      <c r="B4139">
        <v>0.99352677808782597</v>
      </c>
      <c r="C4139">
        <v>1.0006415229810699</v>
      </c>
      <c r="D4139">
        <v>0.95447887832818001</v>
      </c>
      <c r="E4139">
        <v>0.91394559751357096</v>
      </c>
      <c r="F4139">
        <v>0.77685267360170396</v>
      </c>
      <c r="G4139">
        <v>0.66108136458798195</v>
      </c>
      <c r="H4139">
        <v>0.46367667924544897</v>
      </c>
      <c r="I4139">
        <v>0.37792229930850302</v>
      </c>
      <c r="J4139">
        <v>0.374454007316743</v>
      </c>
      <c r="K4139">
        <v>0.30046133940609898</v>
      </c>
      <c r="L4139">
        <v>737.77717435452996</v>
      </c>
      <c r="M4139">
        <v>12.890923101153501</v>
      </c>
      <c r="N4139">
        <v>60.3716117822337</v>
      </c>
      <c r="O4139">
        <v>55.907501712650898</v>
      </c>
      <c r="P4139">
        <v>-4.35735989485935E-2</v>
      </c>
      <c r="Q4139">
        <v>0.24422901280767201</v>
      </c>
      <c r="R4139">
        <v>0.99490801431187603</v>
      </c>
      <c r="S4139" t="s">
        <v>10424</v>
      </c>
      <c r="T4139" t="s">
        <v>12568</v>
      </c>
      <c r="U4139" t="s">
        <v>12568</v>
      </c>
      <c r="V4139" t="s">
        <v>12568</v>
      </c>
      <c r="W4139" t="s">
        <v>16663</v>
      </c>
      <c r="X4139">
        <v>11</v>
      </c>
      <c r="Y4139" t="s">
        <v>22776</v>
      </c>
      <c r="Z4139" t="s">
        <v>29009</v>
      </c>
      <c r="AA4139">
        <v>0.69043129314897367</v>
      </c>
      <c r="AB4139" t="str">
        <f>HYPERLINK("Melting_Curves/meltCurve_Q8N573_2_OXR1.pdf", "Melting_Curves/meltCurve_Q8N573_2_OXR1.pdf")</f>
        <v>Melting_Curves/meltCurve_Q8N573_2_OXR1.pdf</v>
      </c>
    </row>
    <row r="4140" spans="1:28" x14ac:dyDescent="0.25">
      <c r="A4140" t="s">
        <v>4144</v>
      </c>
      <c r="B4140">
        <v>0.99352677808782597</v>
      </c>
      <c r="C4140">
        <v>1.0230279197651</v>
      </c>
      <c r="D4140">
        <v>1.0099529171725901</v>
      </c>
      <c r="E4140">
        <v>0.89621910297655405</v>
      </c>
      <c r="F4140">
        <v>0.81954330610324</v>
      </c>
      <c r="G4140">
        <v>0.65955284557461702</v>
      </c>
      <c r="H4140">
        <v>0.43925912122976302</v>
      </c>
      <c r="I4140">
        <v>0.28031867805725902</v>
      </c>
      <c r="J4140">
        <v>0.20001255943604901</v>
      </c>
      <c r="K4140">
        <v>0.147550142332592</v>
      </c>
      <c r="L4140">
        <v>765.12298912979099</v>
      </c>
      <c r="M4140">
        <v>12.854457658175001</v>
      </c>
      <c r="N4140">
        <v>59.646061283903997</v>
      </c>
      <c r="O4140">
        <v>58.136669788986801</v>
      </c>
      <c r="P4140">
        <v>-5.4557772839570202E-2</v>
      </c>
      <c r="Q4140">
        <v>1.31915443628193E-2</v>
      </c>
      <c r="R4140">
        <v>0.99687311576177295</v>
      </c>
      <c r="S4140" t="s">
        <v>10425</v>
      </c>
      <c r="T4140" t="s">
        <v>12568</v>
      </c>
      <c r="U4140" t="s">
        <v>12568</v>
      </c>
      <c r="V4140" t="s">
        <v>12568</v>
      </c>
      <c r="W4140" t="s">
        <v>16664</v>
      </c>
      <c r="X4140">
        <v>7</v>
      </c>
      <c r="Y4140" t="s">
        <v>22777</v>
      </c>
      <c r="Z4140" t="s">
        <v>29010</v>
      </c>
      <c r="AA4140">
        <v>0.66182728117276779</v>
      </c>
      <c r="AB4140" t="str">
        <f>HYPERLINK("Melting_Curves/meltCurve_Q8N584_2_TTC39C.pdf", "Melting_Curves/meltCurve_Q8N584_2_TTC39C.pdf")</f>
        <v>Melting_Curves/meltCurve_Q8N584_2_TTC39C.pdf</v>
      </c>
    </row>
    <row r="4141" spans="1:28" x14ac:dyDescent="0.25">
      <c r="A4141" t="s">
        <v>4145</v>
      </c>
      <c r="B4141">
        <v>0.99352677808782597</v>
      </c>
      <c r="C4141">
        <v>0.94161178227823095</v>
      </c>
      <c r="D4141">
        <v>0.87494662824082803</v>
      </c>
      <c r="E4141">
        <v>0.57308855628424105</v>
      </c>
      <c r="F4141">
        <v>0.49369105819239401</v>
      </c>
      <c r="G4141">
        <v>0.364767761656069</v>
      </c>
      <c r="H4141">
        <v>0.32239308205046902</v>
      </c>
      <c r="I4141">
        <v>0.33631071455320199</v>
      </c>
      <c r="J4141">
        <v>0.34258993436623097</v>
      </c>
      <c r="K4141">
        <v>0.28548639224614802</v>
      </c>
      <c r="L4141">
        <v>888.59615089057695</v>
      </c>
      <c r="M4141">
        <v>18.0524968901417</v>
      </c>
      <c r="N4141">
        <v>52.067241388070997</v>
      </c>
      <c r="O4141">
        <v>48.6308091302067</v>
      </c>
      <c r="P4141">
        <v>-6.3712904307755794E-2</v>
      </c>
      <c r="Q4141">
        <v>0.31350018690437098</v>
      </c>
      <c r="R4141">
        <v>0.99292954680650203</v>
      </c>
      <c r="S4141" t="s">
        <v>10426</v>
      </c>
      <c r="T4141" t="s">
        <v>12568</v>
      </c>
      <c r="U4141" t="s">
        <v>12568</v>
      </c>
      <c r="V4141" t="s">
        <v>12568</v>
      </c>
      <c r="W4141" t="s">
        <v>16665</v>
      </c>
      <c r="X4141">
        <v>8</v>
      </c>
      <c r="Y4141" t="s">
        <v>22778</v>
      </c>
      <c r="Z4141" t="s">
        <v>29011</v>
      </c>
      <c r="AA4141">
        <v>0.53632603368738396</v>
      </c>
      <c r="AB4141" t="str">
        <f>HYPERLINK("Melting_Curves/meltCurve_Q8N5A5_3_ZGPAT.pdf", "Melting_Curves/meltCurve_Q8N5A5_3_ZGPAT.pdf")</f>
        <v>Melting_Curves/meltCurve_Q8N5A5_3_ZGPAT.pdf</v>
      </c>
    </row>
    <row r="4142" spans="1:28" x14ac:dyDescent="0.25">
      <c r="A4142" t="s">
        <v>4146</v>
      </c>
      <c r="B4142">
        <v>0.99352677808782597</v>
      </c>
      <c r="C4142">
        <v>0.95394440009010595</v>
      </c>
      <c r="D4142">
        <v>0.96309308644945202</v>
      </c>
      <c r="E4142">
        <v>0.57173748774219801</v>
      </c>
      <c r="F4142">
        <v>0.52575487280840705</v>
      </c>
      <c r="G4142">
        <v>0.374709351960544</v>
      </c>
      <c r="H4142">
        <v>0.342711453687636</v>
      </c>
      <c r="I4142">
        <v>0.34722000192131702</v>
      </c>
      <c r="J4142">
        <v>0.390695152253828</v>
      </c>
      <c r="K4142">
        <v>0.31274090700002699</v>
      </c>
      <c r="L4142">
        <v>1180.82968261772</v>
      </c>
      <c r="M4142">
        <v>23.883101445321401</v>
      </c>
      <c r="N4142">
        <v>52.0908560557477</v>
      </c>
      <c r="O4142">
        <v>49.0993393894327</v>
      </c>
      <c r="P4142">
        <v>-7.8855043005303896E-2</v>
      </c>
      <c r="Q4142">
        <v>0.351563595867731</v>
      </c>
      <c r="R4142">
        <v>0.97867320470978703</v>
      </c>
      <c r="S4142" t="s">
        <v>10427</v>
      </c>
      <c r="T4142" t="s">
        <v>12568</v>
      </c>
      <c r="U4142" t="s">
        <v>12568</v>
      </c>
      <c r="V4142" t="s">
        <v>12568</v>
      </c>
      <c r="W4142" t="s">
        <v>16666</v>
      </c>
      <c r="X4142">
        <v>3</v>
      </c>
      <c r="Y4142" t="s">
        <v>22779</v>
      </c>
      <c r="Z4142" t="s">
        <v>29012</v>
      </c>
      <c r="AA4142">
        <v>0.56197675849211071</v>
      </c>
      <c r="AB4142" t="str">
        <f>HYPERLINK("Melting_Curves/meltCurve_Q8N5C8_2_TAB3.pdf", "Melting_Curves/meltCurve_Q8N5C8_2_TAB3.pdf")</f>
        <v>Melting_Curves/meltCurve_Q8N5C8_2_TAB3.pdf</v>
      </c>
    </row>
    <row r="4143" spans="1:28" x14ac:dyDescent="0.25">
      <c r="A4143" t="s">
        <v>4147</v>
      </c>
      <c r="B4143">
        <v>0.99352677808782597</v>
      </c>
      <c r="C4143">
        <v>0.933808443066242</v>
      </c>
      <c r="D4143">
        <v>1.1327562062957599</v>
      </c>
      <c r="E4143">
        <v>0.99327035020648102</v>
      </c>
      <c r="F4143">
        <v>0.91547607839676504</v>
      </c>
      <c r="G4143">
        <v>0.74042600240626899</v>
      </c>
      <c r="H4143">
        <v>0.60034788171662101</v>
      </c>
      <c r="I4143">
        <v>0.65159326209647594</v>
      </c>
      <c r="J4143">
        <v>0.65213147965286999</v>
      </c>
      <c r="K4143">
        <v>0.67240573550677396</v>
      </c>
      <c r="L4143">
        <v>1960.1473572898401</v>
      </c>
      <c r="M4143">
        <v>35.643672716277997</v>
      </c>
      <c r="O4143">
        <v>54.820617556560201</v>
      </c>
      <c r="P4143">
        <v>-5.7862540612240498E-2</v>
      </c>
      <c r="Q4143">
        <v>0.64402660481727103</v>
      </c>
      <c r="R4143">
        <v>0.91556782787637803</v>
      </c>
      <c r="S4143" t="s">
        <v>10428</v>
      </c>
      <c r="T4143" t="s">
        <v>12568</v>
      </c>
      <c r="U4143" t="s">
        <v>12568</v>
      </c>
      <c r="V4143" t="s">
        <v>12568</v>
      </c>
      <c r="W4143" t="s">
        <v>16667</v>
      </c>
      <c r="X4143">
        <v>5</v>
      </c>
      <c r="Y4143" t="s">
        <v>22780</v>
      </c>
      <c r="Z4143" t="s">
        <v>29013</v>
      </c>
      <c r="AA4143">
        <v>0.82362174098719221</v>
      </c>
      <c r="AB4143" t="str">
        <f>HYPERLINK("Melting_Curves/meltCurve_Q8N5F7_NKAP.pdf", "Melting_Curves/meltCurve_Q8N5F7_NKAP.pdf")</f>
        <v>Melting_Curves/meltCurve_Q8N5F7_NKAP.pdf</v>
      </c>
    </row>
    <row r="4144" spans="1:28" x14ac:dyDescent="0.25">
      <c r="A4144" t="s">
        <v>4148</v>
      </c>
      <c r="B4144">
        <v>0.99352677808782597</v>
      </c>
      <c r="C4144">
        <v>0.90273098970495402</v>
      </c>
      <c r="D4144">
        <v>0.95168098134416501</v>
      </c>
      <c r="E4144">
        <v>0.80280952453563104</v>
      </c>
      <c r="F4144">
        <v>0.721530783495968</v>
      </c>
      <c r="G4144">
        <v>0.581193013493296</v>
      </c>
      <c r="H4144">
        <v>0.62451922303952601</v>
      </c>
      <c r="I4144">
        <v>0.59836211462226696</v>
      </c>
      <c r="J4144">
        <v>0.600908172368668</v>
      </c>
      <c r="K4144">
        <v>0.45766027168394402</v>
      </c>
      <c r="L4144">
        <v>583.01273089512597</v>
      </c>
      <c r="M4144">
        <v>11.273155783439099</v>
      </c>
      <c r="O4144">
        <v>50.169661086376799</v>
      </c>
      <c r="P4144">
        <v>-2.7397480551391701E-2</v>
      </c>
      <c r="Q4144">
        <v>0.51243459679299297</v>
      </c>
      <c r="R4144">
        <v>0.93034642718889904</v>
      </c>
      <c r="S4144" t="s">
        <v>10429</v>
      </c>
      <c r="T4144" t="s">
        <v>12568</v>
      </c>
      <c r="U4144" t="s">
        <v>12568</v>
      </c>
      <c r="V4144" t="s">
        <v>12568</v>
      </c>
      <c r="W4144" t="s">
        <v>16668</v>
      </c>
      <c r="X4144">
        <v>2</v>
      </c>
      <c r="Y4144" t="s">
        <v>22781</v>
      </c>
      <c r="Z4144" t="s">
        <v>29014</v>
      </c>
      <c r="AA4144">
        <v>0.71934143198872647</v>
      </c>
      <c r="AB4144" t="str">
        <f>HYPERLINK("Melting_Curves/meltCurve_Q8N5G2_TMEM57.pdf", "Melting_Curves/meltCurve_Q8N5G2_TMEM57.pdf")</f>
        <v>Melting_Curves/meltCurve_Q8N5G2_TMEM57.pdf</v>
      </c>
    </row>
    <row r="4145" spans="1:28" x14ac:dyDescent="0.25">
      <c r="A4145" t="s">
        <v>4149</v>
      </c>
      <c r="B4145">
        <v>0.99352677808782597</v>
      </c>
      <c r="C4145">
        <v>0.90012566509396796</v>
      </c>
      <c r="D4145">
        <v>0.94628677558496399</v>
      </c>
      <c r="E4145">
        <v>0.82061147923075095</v>
      </c>
      <c r="F4145">
        <v>0.74954996738268298</v>
      </c>
      <c r="G4145">
        <v>0.65408662150268304</v>
      </c>
      <c r="H4145">
        <v>0.65602933456465196</v>
      </c>
      <c r="I4145">
        <v>0.67713119225519702</v>
      </c>
      <c r="J4145">
        <v>0.63862987358249201</v>
      </c>
      <c r="K4145">
        <v>0.59444271357373502</v>
      </c>
      <c r="L4145">
        <v>600.42142029740899</v>
      </c>
      <c r="M4145">
        <v>11.8902035120825</v>
      </c>
      <c r="O4145">
        <v>49.132341112683797</v>
      </c>
      <c r="P4145">
        <v>-2.3701892178393101E-2</v>
      </c>
      <c r="Q4145">
        <v>0.60833685727826203</v>
      </c>
      <c r="R4145">
        <v>0.95315922954414201</v>
      </c>
      <c r="S4145" t="s">
        <v>10430</v>
      </c>
      <c r="T4145" t="s">
        <v>12568</v>
      </c>
      <c r="U4145" t="s">
        <v>12568</v>
      </c>
      <c r="V4145" t="s">
        <v>12568</v>
      </c>
      <c r="W4145" t="s">
        <v>16669</v>
      </c>
      <c r="X4145">
        <v>7</v>
      </c>
      <c r="Y4145" t="s">
        <v>22782</v>
      </c>
      <c r="Z4145" t="s">
        <v>29015</v>
      </c>
      <c r="AA4145">
        <v>0.75872942921538211</v>
      </c>
      <c r="AB4145" t="str">
        <f>HYPERLINK("Melting_Curves/meltCurve_Q8N5I9_C12orf45.pdf", "Melting_Curves/meltCurve_Q8N5I9_C12orf45.pdf")</f>
        <v>Melting_Curves/meltCurve_Q8N5I9_C12orf45.pdf</v>
      </c>
    </row>
    <row r="4146" spans="1:28" x14ac:dyDescent="0.25">
      <c r="A4146" t="s">
        <v>4150</v>
      </c>
      <c r="B4146">
        <v>0.99352677808782597</v>
      </c>
      <c r="C4146">
        <v>1.0173168662457499</v>
      </c>
      <c r="D4146">
        <v>0.96475932473922499</v>
      </c>
      <c r="E4146">
        <v>0.95054705090385405</v>
      </c>
      <c r="F4146">
        <v>0.79343131121442501</v>
      </c>
      <c r="G4146">
        <v>0.67891345209377196</v>
      </c>
      <c r="H4146">
        <v>0.35983357255387299</v>
      </c>
      <c r="I4146">
        <v>0.16006644562730099</v>
      </c>
      <c r="J4146">
        <v>0.102599837856548</v>
      </c>
      <c r="K4146">
        <v>7.4973209477118705E-2</v>
      </c>
      <c r="L4146">
        <v>979.25213482105903</v>
      </c>
      <c r="M4146">
        <v>16.673630870804299</v>
      </c>
      <c r="N4146">
        <v>58.730588019498299</v>
      </c>
      <c r="O4146">
        <v>57.9052929882087</v>
      </c>
      <c r="P4146">
        <v>-7.19914454690989E-2</v>
      </c>
      <c r="Q4146">
        <v>0</v>
      </c>
      <c r="R4146">
        <v>0.99255769848528097</v>
      </c>
      <c r="S4146" t="s">
        <v>10431</v>
      </c>
      <c r="T4146" t="s">
        <v>12568</v>
      </c>
      <c r="U4146" t="s">
        <v>12568</v>
      </c>
      <c r="V4146" t="s">
        <v>12568</v>
      </c>
      <c r="W4146" t="s">
        <v>16670</v>
      </c>
      <c r="X4146">
        <v>5</v>
      </c>
      <c r="Y4146" t="s">
        <v>22783</v>
      </c>
      <c r="Z4146" t="s">
        <v>29016</v>
      </c>
      <c r="AA4146">
        <v>0.63573036297226626</v>
      </c>
      <c r="AB4146" t="str">
        <f>HYPERLINK("Melting_Curves/meltCurve_Q8N5M1_ATPAF2.pdf", "Melting_Curves/meltCurve_Q8N5M1_ATPAF2.pdf")</f>
        <v>Melting_Curves/meltCurve_Q8N5M1_ATPAF2.pdf</v>
      </c>
    </row>
    <row r="4147" spans="1:28" x14ac:dyDescent="0.25">
      <c r="A4147" t="s">
        <v>4151</v>
      </c>
      <c r="B4147">
        <v>0.99352677808782597</v>
      </c>
      <c r="C4147">
        <v>1.02731353959912</v>
      </c>
      <c r="D4147">
        <v>1.0644735400584699</v>
      </c>
      <c r="E4147">
        <v>1.46245338655396</v>
      </c>
      <c r="F4147">
        <v>1.22093008440249</v>
      </c>
      <c r="G4147">
        <v>1.1974993277017001</v>
      </c>
      <c r="H4147">
        <v>0.87530336485605298</v>
      </c>
      <c r="I4147">
        <v>0.91500028653876997</v>
      </c>
      <c r="J4147">
        <v>0.87569012759602405</v>
      </c>
      <c r="K4147">
        <v>0.74844456013364302</v>
      </c>
      <c r="L4147">
        <v>1521.1767586864701</v>
      </c>
      <c r="M4147">
        <v>22.408080689295002</v>
      </c>
      <c r="O4147">
        <v>67.351465649357905</v>
      </c>
      <c r="P4147">
        <v>-3.02314888031926E-2</v>
      </c>
      <c r="Q4147">
        <v>0.63654307168352997</v>
      </c>
      <c r="R4147">
        <v>0.18767195969778999</v>
      </c>
      <c r="S4147" t="s">
        <v>10432</v>
      </c>
      <c r="T4147" t="s">
        <v>12568</v>
      </c>
      <c r="U4147" t="s">
        <v>12568</v>
      </c>
      <c r="V4147" t="s">
        <v>12568</v>
      </c>
      <c r="W4147" t="s">
        <v>16671</v>
      </c>
      <c r="X4147">
        <v>3</v>
      </c>
      <c r="Y4147" t="s">
        <v>22784</v>
      </c>
      <c r="Z4147" t="s">
        <v>29017</v>
      </c>
      <c r="AA4147">
        <v>0.9619588557400941</v>
      </c>
      <c r="AB4147" t="str">
        <f>HYPERLINK("Melting_Curves/meltCurve_Q8N5N7_MRPL50.pdf", "Melting_Curves/meltCurve_Q8N5N7_MRPL50.pdf")</f>
        <v>Melting_Curves/meltCurve_Q8N5N7_MRPL50.pdf</v>
      </c>
    </row>
    <row r="4148" spans="1:28" x14ac:dyDescent="0.25">
      <c r="A4148" t="s">
        <v>4152</v>
      </c>
      <c r="B4148">
        <v>0.99352677808782597</v>
      </c>
      <c r="C4148">
        <v>0.94468875400511998</v>
      </c>
      <c r="D4148">
        <v>0.97055830932840104</v>
      </c>
      <c r="E4148">
        <v>0.92870356874159199</v>
      </c>
      <c r="F4148">
        <v>1.0889370712111801</v>
      </c>
      <c r="G4148">
        <v>0.86771766743567502</v>
      </c>
      <c r="H4148">
        <v>0.89337885143606599</v>
      </c>
      <c r="I4148">
        <v>0.90532898545067697</v>
      </c>
      <c r="J4148">
        <v>0.99604745732982802</v>
      </c>
      <c r="K4148">
        <v>0.81118288613001199</v>
      </c>
      <c r="L4148">
        <v>251.17223017836801</v>
      </c>
      <c r="M4148">
        <v>1.63410446152938</v>
      </c>
      <c r="Q4148">
        <v>0</v>
      </c>
      <c r="R4148">
        <v>0.231772672783915</v>
      </c>
      <c r="S4148" t="s">
        <v>10433</v>
      </c>
      <c r="T4148" t="s">
        <v>12568</v>
      </c>
      <c r="U4148" t="s">
        <v>12568</v>
      </c>
      <c r="V4148" t="s">
        <v>12568</v>
      </c>
      <c r="W4148" t="s">
        <v>16672</v>
      </c>
      <c r="X4148">
        <v>3</v>
      </c>
      <c r="Y4148" t="s">
        <v>22785</v>
      </c>
      <c r="Z4148" t="s">
        <v>29018</v>
      </c>
      <c r="AA4148">
        <v>0.94389956472808834</v>
      </c>
      <c r="AB4148" t="str">
        <f>HYPERLINK("Melting_Curves/meltCurve_Q8N5P1_ZC3H8.pdf", "Melting_Curves/meltCurve_Q8N5P1_ZC3H8.pdf")</f>
        <v>Melting_Curves/meltCurve_Q8N5P1_ZC3H8.pdf</v>
      </c>
    </row>
    <row r="4149" spans="1:28" x14ac:dyDescent="0.25">
      <c r="A4149" t="s">
        <v>4153</v>
      </c>
      <c r="B4149">
        <v>0.99352677808782597</v>
      </c>
      <c r="C4149">
        <v>0.96617982651925305</v>
      </c>
      <c r="D4149">
        <v>0.92427061025409196</v>
      </c>
      <c r="E4149">
        <v>0.36618973765739798</v>
      </c>
      <c r="F4149">
        <v>0.29547401826501102</v>
      </c>
      <c r="G4149">
        <v>0.17562770455315299</v>
      </c>
      <c r="H4149">
        <v>0.12612440087662799</v>
      </c>
      <c r="I4149">
        <v>0.101308095918481</v>
      </c>
      <c r="J4149">
        <v>9.18650072374365E-2</v>
      </c>
      <c r="K4149">
        <v>7.71677044891695E-2</v>
      </c>
      <c r="L4149">
        <v>1346.62467618701</v>
      </c>
      <c r="M4149">
        <v>27.519891991045</v>
      </c>
      <c r="N4149">
        <v>49.4130038273872</v>
      </c>
      <c r="O4149">
        <v>48.676594005048997</v>
      </c>
      <c r="P4149">
        <v>-0.124756903083426</v>
      </c>
      <c r="Q4149">
        <v>0.11733897970632801</v>
      </c>
      <c r="R4149">
        <v>0.98629371406283395</v>
      </c>
      <c r="S4149" t="s">
        <v>10434</v>
      </c>
      <c r="T4149" t="s">
        <v>12568</v>
      </c>
      <c r="U4149" t="s">
        <v>12568</v>
      </c>
      <c r="V4149" t="s">
        <v>12568</v>
      </c>
      <c r="W4149" t="s">
        <v>16673</v>
      </c>
      <c r="X4149">
        <v>8</v>
      </c>
      <c r="Y4149" t="s">
        <v>22786</v>
      </c>
      <c r="Z4149" t="s">
        <v>29019</v>
      </c>
      <c r="AA4149">
        <v>0.38657286002108671</v>
      </c>
      <c r="AB4149" t="str">
        <f>HYPERLINK("Melting_Curves/meltCurve_Q8N5S9_CAMKK1.pdf", "Melting_Curves/meltCurve_Q8N5S9_CAMKK1.pdf")</f>
        <v>Melting_Curves/meltCurve_Q8N5S9_CAMKK1.pdf</v>
      </c>
    </row>
    <row r="4150" spans="1:28" x14ac:dyDescent="0.25">
      <c r="A4150" t="s">
        <v>4154</v>
      </c>
      <c r="B4150">
        <v>0.99352677808782597</v>
      </c>
      <c r="C4150">
        <v>1.0364032438691599</v>
      </c>
      <c r="D4150">
        <v>0.99747491671988497</v>
      </c>
      <c r="E4150">
        <v>0.71160876603033596</v>
      </c>
      <c r="F4150">
        <v>0.61489431872903</v>
      </c>
      <c r="G4150">
        <v>0.34511597451519199</v>
      </c>
      <c r="H4150">
        <v>0.23576826687916499</v>
      </c>
      <c r="I4150">
        <v>0.24645637156791</v>
      </c>
      <c r="J4150">
        <v>0.24530668056942301</v>
      </c>
      <c r="K4150">
        <v>0.30685412796387701</v>
      </c>
      <c r="L4150">
        <v>1082.7052709443201</v>
      </c>
      <c r="M4150">
        <v>20.783446024900702</v>
      </c>
      <c r="N4150">
        <v>53.852856910169599</v>
      </c>
      <c r="O4150">
        <v>51.619501932537503</v>
      </c>
      <c r="P4150">
        <v>-7.5864650614002493E-2</v>
      </c>
      <c r="Q4150">
        <v>0.24632594430541299</v>
      </c>
      <c r="R4150">
        <v>0.98347525323822604</v>
      </c>
      <c r="S4150" t="s">
        <v>10435</v>
      </c>
      <c r="T4150" t="s">
        <v>12568</v>
      </c>
      <c r="U4150" t="s">
        <v>12568</v>
      </c>
      <c r="V4150" t="s">
        <v>12568</v>
      </c>
      <c r="W4150" t="s">
        <v>16674</v>
      </c>
      <c r="X4150">
        <v>1</v>
      </c>
      <c r="Y4150" t="s">
        <v>22787</v>
      </c>
      <c r="Z4150" t="s">
        <v>29020</v>
      </c>
      <c r="AA4150">
        <v>0.55990149483506146</v>
      </c>
      <c r="AB4150" t="str">
        <f>HYPERLINK("Melting_Curves/meltCurve_Q8N5W9_FAM101B.pdf", "Melting_Curves/meltCurve_Q8N5W9_FAM101B.pdf")</f>
        <v>Melting_Curves/meltCurve_Q8N5W9_FAM101B.pdf</v>
      </c>
    </row>
    <row r="4151" spans="1:28" x14ac:dyDescent="0.25">
      <c r="A4151" t="s">
        <v>4155</v>
      </c>
      <c r="B4151">
        <v>0.99352677808782597</v>
      </c>
      <c r="C4151">
        <v>0</v>
      </c>
      <c r="D4151">
        <v>0.88678632643939803</v>
      </c>
      <c r="E4151">
        <v>0.55971554658203704</v>
      </c>
      <c r="F4151">
        <v>0.55467962696581496</v>
      </c>
      <c r="G4151">
        <v>0.14922253370347799</v>
      </c>
      <c r="H4151">
        <v>0.101908276779446</v>
      </c>
      <c r="I4151">
        <v>7.8542873927701998E-2</v>
      </c>
      <c r="J4151">
        <v>8.4651394320932299E-2</v>
      </c>
      <c r="K4151">
        <v>4.5155757137127397E-2</v>
      </c>
      <c r="L4151">
        <v>309.08274590176501</v>
      </c>
      <c r="M4151">
        <v>6.5050220241545</v>
      </c>
      <c r="N4151">
        <v>47.514481395906401</v>
      </c>
      <c r="O4151">
        <v>43.622952097282898</v>
      </c>
      <c r="P4151">
        <v>-3.73700992357364E-2</v>
      </c>
      <c r="Q4151">
        <v>0</v>
      </c>
      <c r="R4151">
        <v>0.43603596682832901</v>
      </c>
      <c r="S4151" t="s">
        <v>10436</v>
      </c>
      <c r="T4151" t="s">
        <v>12568</v>
      </c>
      <c r="U4151" t="s">
        <v>12568</v>
      </c>
      <c r="V4151" t="s">
        <v>12568</v>
      </c>
      <c r="W4151" t="s">
        <v>16675</v>
      </c>
      <c r="X4151">
        <v>2</v>
      </c>
      <c r="Y4151" t="s">
        <v>22788</v>
      </c>
      <c r="Z4151" t="s">
        <v>29021</v>
      </c>
      <c r="AA4151">
        <v>0.34745821739818139</v>
      </c>
      <c r="AB4151" t="str">
        <f>HYPERLINK("Melting_Curves/meltCurve_Q8N5X7_EIF4E3.pdf", "Melting_Curves/meltCurve_Q8N5X7_EIF4E3.pdf")</f>
        <v>Melting_Curves/meltCurve_Q8N5X7_EIF4E3.pdf</v>
      </c>
    </row>
    <row r="4152" spans="1:28" x14ac:dyDescent="0.25">
      <c r="A4152" t="s">
        <v>4156</v>
      </c>
      <c r="B4152">
        <v>0.99352677808782597</v>
      </c>
      <c r="C4152">
        <v>0.98980243872909701</v>
      </c>
      <c r="D4152">
        <v>0.874053284187437</v>
      </c>
      <c r="E4152">
        <v>0.49045918669891397</v>
      </c>
      <c r="F4152">
        <v>0.42012993701784401</v>
      </c>
      <c r="G4152">
        <v>0.29864840801501702</v>
      </c>
      <c r="H4152">
        <v>0.241428792928786</v>
      </c>
      <c r="I4152">
        <v>0.25540623520459999</v>
      </c>
      <c r="J4152">
        <v>0.20287308239503901</v>
      </c>
      <c r="K4152">
        <v>0.16874011713522699</v>
      </c>
      <c r="L4152">
        <v>966.04143296112898</v>
      </c>
      <c r="M4152">
        <v>19.605982735303101</v>
      </c>
      <c r="N4152">
        <v>50.7522507400015</v>
      </c>
      <c r="O4152">
        <v>48.768756215434998</v>
      </c>
      <c r="P4152">
        <v>-7.8631007238933404E-2</v>
      </c>
      <c r="Q4152">
        <v>0.21766678312965701</v>
      </c>
      <c r="R4152">
        <v>0.98738717674496801</v>
      </c>
      <c r="S4152" t="s">
        <v>10437</v>
      </c>
      <c r="T4152" t="s">
        <v>12568</v>
      </c>
      <c r="U4152" t="s">
        <v>12568</v>
      </c>
      <c r="V4152" t="s">
        <v>12568</v>
      </c>
      <c r="W4152" t="s">
        <v>16676</v>
      </c>
      <c r="X4152">
        <v>7</v>
      </c>
      <c r="Y4152" t="s">
        <v>22789</v>
      </c>
      <c r="Z4152" t="s">
        <v>29022</v>
      </c>
      <c r="AA4152">
        <v>0.47085975408626352</v>
      </c>
      <c r="AB4152" t="str">
        <f>HYPERLINK("Melting_Curves/meltCurve_Q8N612_FAM160A2.pdf", "Melting_Curves/meltCurve_Q8N612_FAM160A2.pdf")</f>
        <v>Melting_Curves/meltCurve_Q8N612_FAM160A2.pdf</v>
      </c>
    </row>
    <row r="4153" spans="1:28" x14ac:dyDescent="0.25">
      <c r="A4153" t="s">
        <v>4157</v>
      </c>
      <c r="B4153">
        <v>0.99352677808782597</v>
      </c>
      <c r="C4153">
        <v>1.03226067343581</v>
      </c>
      <c r="D4153">
        <v>0.64275515884971401</v>
      </c>
      <c r="E4153">
        <v>0.362527638113397</v>
      </c>
      <c r="F4153">
        <v>0.25374768146077897</v>
      </c>
      <c r="G4153">
        <v>0.15131496741513401</v>
      </c>
      <c r="H4153">
        <v>9.2851056017243805E-2</v>
      </c>
      <c r="I4153">
        <v>3.96536493369221E-2</v>
      </c>
      <c r="J4153">
        <v>0</v>
      </c>
      <c r="K4153">
        <v>3.2784434780843003E-2</v>
      </c>
      <c r="L4153">
        <v>841.32935238032201</v>
      </c>
      <c r="M4153">
        <v>17.412220943207998</v>
      </c>
      <c r="N4153">
        <v>48.5651978545554</v>
      </c>
      <c r="O4153">
        <v>47.694521143273903</v>
      </c>
      <c r="P4153">
        <v>-8.7408891576794503E-2</v>
      </c>
      <c r="Q4153">
        <v>4.2352883751478103E-2</v>
      </c>
      <c r="R4153">
        <v>0.97825742940987104</v>
      </c>
      <c r="S4153" t="s">
        <v>10438</v>
      </c>
      <c r="T4153" t="s">
        <v>12568</v>
      </c>
      <c r="U4153" t="s">
        <v>12568</v>
      </c>
      <c r="V4153" t="s">
        <v>12568</v>
      </c>
      <c r="W4153" t="s">
        <v>16677</v>
      </c>
      <c r="X4153">
        <v>2</v>
      </c>
      <c r="Y4153" t="s">
        <v>22790</v>
      </c>
      <c r="Z4153" t="s">
        <v>29023</v>
      </c>
      <c r="AA4153">
        <v>0.32591348421772692</v>
      </c>
      <c r="AB4153" t="str">
        <f>HYPERLINK("Melting_Curves/meltCurve_Q8N653_LZTR1.pdf", "Melting_Curves/meltCurve_Q8N653_LZTR1.pdf")</f>
        <v>Melting_Curves/meltCurve_Q8N653_LZTR1.pdf</v>
      </c>
    </row>
    <row r="4154" spans="1:28" x14ac:dyDescent="0.25">
      <c r="A4154" t="s">
        <v>4158</v>
      </c>
      <c r="B4154">
        <v>0.99352677808782597</v>
      </c>
      <c r="C4154">
        <v>0.83898745475093095</v>
      </c>
      <c r="D4154">
        <v>0.97632244439863602</v>
      </c>
      <c r="E4154">
        <v>1.2160527512061099</v>
      </c>
      <c r="F4154">
        <v>1.27893464667108</v>
      </c>
      <c r="G4154">
        <v>1.3472488836966401</v>
      </c>
      <c r="H4154">
        <v>1.38003309164541</v>
      </c>
      <c r="I4154">
        <v>1.46403832411658</v>
      </c>
      <c r="J4154">
        <v>1.4721406237025201</v>
      </c>
      <c r="K4154">
        <v>1.4087043690236101</v>
      </c>
      <c r="L4154">
        <v>1181.7743507506</v>
      </c>
      <c r="M4154">
        <v>23.133844458735599</v>
      </c>
      <c r="O4154">
        <v>50.707074123771001</v>
      </c>
      <c r="P4154">
        <v>4.8586325767255099E-2</v>
      </c>
      <c r="Q4154">
        <v>1.42597784449161</v>
      </c>
      <c r="R4154">
        <v>0.90909796366761697</v>
      </c>
      <c r="S4154" t="s">
        <v>10439</v>
      </c>
      <c r="T4154" t="s">
        <v>12568</v>
      </c>
      <c r="U4154" t="s">
        <v>12568</v>
      </c>
      <c r="V4154" t="s">
        <v>12568</v>
      </c>
      <c r="W4154" t="s">
        <v>16678</v>
      </c>
      <c r="X4154">
        <v>1</v>
      </c>
      <c r="Y4154" t="s">
        <v>22791</v>
      </c>
      <c r="Z4154" t="s">
        <v>29024</v>
      </c>
      <c r="AA4154">
        <v>1.264108869888112</v>
      </c>
      <c r="AB4154" t="str">
        <f>HYPERLINK("Melting_Curves/meltCurve_Q8N655_C10orf12.pdf", "Melting_Curves/meltCurve_Q8N655_C10orf12.pdf")</f>
        <v>Melting_Curves/meltCurve_Q8N655_C10orf12.pdf</v>
      </c>
    </row>
    <row r="4155" spans="1:28" x14ac:dyDescent="0.25">
      <c r="A4155" t="s">
        <v>4159</v>
      </c>
      <c r="B4155">
        <v>0.99352677808782597</v>
      </c>
      <c r="C4155">
        <v>0.97559568293909205</v>
      </c>
      <c r="D4155">
        <v>0.98864504445323897</v>
      </c>
      <c r="E4155">
        <v>0.96804484961521498</v>
      </c>
      <c r="F4155">
        <v>0.91041311300510297</v>
      </c>
      <c r="G4155">
        <v>0.76041742442874605</v>
      </c>
      <c r="H4155">
        <v>0.48671723755251101</v>
      </c>
      <c r="I4155">
        <v>0.31599805329637298</v>
      </c>
      <c r="J4155">
        <v>0.22557896134764499</v>
      </c>
      <c r="K4155">
        <v>0.16723548135392599</v>
      </c>
      <c r="L4155">
        <v>1061.3506968960201</v>
      </c>
      <c r="M4155">
        <v>17.670858771193299</v>
      </c>
      <c r="N4155">
        <v>60.8063167934612</v>
      </c>
      <c r="O4155">
        <v>59.308846963780503</v>
      </c>
      <c r="P4155">
        <v>-6.7247798885436805E-2</v>
      </c>
      <c r="Q4155">
        <v>9.7230579937404998E-2</v>
      </c>
      <c r="R4155">
        <v>0.99898797597240496</v>
      </c>
      <c r="S4155" t="s">
        <v>10440</v>
      </c>
      <c r="T4155" t="s">
        <v>12568</v>
      </c>
      <c r="U4155" t="s">
        <v>12568</v>
      </c>
      <c r="V4155" t="s">
        <v>12568</v>
      </c>
      <c r="W4155" t="s">
        <v>16679</v>
      </c>
      <c r="X4155">
        <v>5</v>
      </c>
      <c r="Y4155" t="s">
        <v>22792</v>
      </c>
      <c r="Z4155" t="s">
        <v>29025</v>
      </c>
      <c r="AA4155">
        <v>0.70819961542159127</v>
      </c>
      <c r="AB4155" t="str">
        <f>HYPERLINK("Melting_Curves/meltCurve_Q8N668_COMMD1.pdf", "Melting_Curves/meltCurve_Q8N668_COMMD1.pdf")</f>
        <v>Melting_Curves/meltCurve_Q8N668_COMMD1.pdf</v>
      </c>
    </row>
    <row r="4156" spans="1:28" x14ac:dyDescent="0.25">
      <c r="A4156" t="s">
        <v>4160</v>
      </c>
      <c r="B4156">
        <v>0.99352677808782597</v>
      </c>
      <c r="C4156">
        <v>0.95434410808996495</v>
      </c>
      <c r="D4156">
        <v>0.93873278100524704</v>
      </c>
      <c r="E4156">
        <v>0.74615551913395495</v>
      </c>
      <c r="F4156">
        <v>0.67124058823677801</v>
      </c>
      <c r="G4156">
        <v>0.49737369930214298</v>
      </c>
      <c r="H4156">
        <v>0.362317519797002</v>
      </c>
      <c r="I4156">
        <v>0.36327592975322598</v>
      </c>
      <c r="J4156">
        <v>0.31811887058188598</v>
      </c>
      <c r="K4156">
        <v>0.28240730676035602</v>
      </c>
      <c r="L4156">
        <v>657.65087478518103</v>
      </c>
      <c r="M4156">
        <v>12.283977117238299</v>
      </c>
      <c r="N4156">
        <v>56.798454094148603</v>
      </c>
      <c r="O4156">
        <v>52.177782825605902</v>
      </c>
      <c r="P4156">
        <v>-4.3974190956747199E-2</v>
      </c>
      <c r="Q4156">
        <v>0.25302019172546097</v>
      </c>
      <c r="R4156">
        <v>0.99475826994785599</v>
      </c>
      <c r="S4156" t="s">
        <v>10441</v>
      </c>
      <c r="T4156" t="s">
        <v>12568</v>
      </c>
      <c r="U4156" t="s">
        <v>12568</v>
      </c>
      <c r="V4156" t="s">
        <v>12568</v>
      </c>
      <c r="W4156" t="s">
        <v>16680</v>
      </c>
      <c r="X4156">
        <v>12</v>
      </c>
      <c r="Y4156" t="s">
        <v>22793</v>
      </c>
      <c r="Z4156" t="s">
        <v>29026</v>
      </c>
      <c r="AA4156">
        <v>0.60995197927778955</v>
      </c>
      <c r="AB4156" t="str">
        <f>HYPERLINK("Melting_Curves/meltCurve_Q8N684_CPSF7.pdf", "Melting_Curves/meltCurve_Q8N684_CPSF7.pdf")</f>
        <v>Melting_Curves/meltCurve_Q8N684_CPSF7.pdf</v>
      </c>
    </row>
    <row r="4157" spans="1:28" x14ac:dyDescent="0.25">
      <c r="A4157" t="s">
        <v>4161</v>
      </c>
      <c r="B4157">
        <v>0.99352677808782597</v>
      </c>
      <c r="C4157">
        <v>0.979316880684998</v>
      </c>
      <c r="D4157">
        <v>0.98509467842419796</v>
      </c>
      <c r="E4157">
        <v>0.693971241929913</v>
      </c>
      <c r="F4157">
        <v>0.60515460371984398</v>
      </c>
      <c r="G4157">
        <v>0.36403761239940502</v>
      </c>
      <c r="H4157">
        <v>0.302739931343456</v>
      </c>
      <c r="I4157">
        <v>0.35859050693467498</v>
      </c>
      <c r="J4157">
        <v>0.291024725037142</v>
      </c>
      <c r="K4157">
        <v>0.28387263232031101</v>
      </c>
      <c r="L4157">
        <v>994.50391630332797</v>
      </c>
      <c r="M4157">
        <v>19.293713241178601</v>
      </c>
      <c r="N4157">
        <v>54.003935143065299</v>
      </c>
      <c r="O4157">
        <v>51.001325125077997</v>
      </c>
      <c r="P4157">
        <v>-6.6936774335920005E-2</v>
      </c>
      <c r="Q4157">
        <v>0.29225937753822601</v>
      </c>
      <c r="R4157">
        <v>0.98610156276481598</v>
      </c>
      <c r="S4157" t="s">
        <v>10442</v>
      </c>
      <c r="T4157" t="s">
        <v>12568</v>
      </c>
      <c r="U4157" t="s">
        <v>12568</v>
      </c>
      <c r="V4157" t="s">
        <v>12568</v>
      </c>
      <c r="W4157" t="s">
        <v>16681</v>
      </c>
      <c r="X4157">
        <v>14</v>
      </c>
      <c r="Y4157" t="s">
        <v>22794</v>
      </c>
      <c r="Z4157" t="s">
        <v>29027</v>
      </c>
      <c r="AA4157">
        <v>0.57510531841913282</v>
      </c>
      <c r="AB4157" t="str">
        <f>HYPERLINK("Melting_Curves/meltCurve_Q8N6H7_ARFGAP2.pdf", "Melting_Curves/meltCurve_Q8N6H7_ARFGAP2.pdf")</f>
        <v>Melting_Curves/meltCurve_Q8N6H7_ARFGAP2.pdf</v>
      </c>
    </row>
    <row r="4158" spans="1:28" x14ac:dyDescent="0.25">
      <c r="A4158" t="s">
        <v>4162</v>
      </c>
      <c r="B4158">
        <v>0.99352677808782597</v>
      </c>
      <c r="C4158">
        <v>0.94772968930638601</v>
      </c>
      <c r="D4158">
        <v>0.88386774215722497</v>
      </c>
      <c r="E4158">
        <v>0.64433392233240305</v>
      </c>
      <c r="F4158">
        <v>0.60068266937565096</v>
      </c>
      <c r="G4158">
        <v>0.52033070714681995</v>
      </c>
      <c r="H4158">
        <v>0.408100412639266</v>
      </c>
      <c r="I4158">
        <v>0.51504282342399399</v>
      </c>
      <c r="J4158">
        <v>0.51096584829414204</v>
      </c>
      <c r="K4158">
        <v>0.42803203565583903</v>
      </c>
      <c r="L4158">
        <v>863.51731047065005</v>
      </c>
      <c r="M4158">
        <v>17.689608214917001</v>
      </c>
      <c r="N4158">
        <v>57.387243001532099</v>
      </c>
      <c r="O4158">
        <v>48.203933314245297</v>
      </c>
      <c r="P4158">
        <v>-4.91399853862051E-2</v>
      </c>
      <c r="Q4158">
        <v>0.46440519979063899</v>
      </c>
      <c r="R4158">
        <v>0.96957585520678002</v>
      </c>
      <c r="S4158" t="s">
        <v>10443</v>
      </c>
      <c r="T4158" t="s">
        <v>12568</v>
      </c>
      <c r="U4158" t="s">
        <v>12568</v>
      </c>
      <c r="V4158" t="s">
        <v>12568</v>
      </c>
      <c r="W4158" t="s">
        <v>16682</v>
      </c>
      <c r="X4158">
        <v>2</v>
      </c>
      <c r="Y4158" t="s">
        <v>22795</v>
      </c>
      <c r="Z4158" t="s">
        <v>29028</v>
      </c>
      <c r="AA4158">
        <v>0.63142151140152691</v>
      </c>
      <c r="AB4158" t="str">
        <f>HYPERLINK("Melting_Curves/meltCurve_Q8N6I1_EID2.pdf", "Melting_Curves/meltCurve_Q8N6I1_EID2.pdf")</f>
        <v>Melting_Curves/meltCurve_Q8N6I1_EID2.pdf</v>
      </c>
    </row>
    <row r="4159" spans="1:28" x14ac:dyDescent="0.25">
      <c r="A4159" t="s">
        <v>4163</v>
      </c>
      <c r="B4159">
        <v>0.99352677808782597</v>
      </c>
      <c r="C4159">
        <v>0.94041485922413104</v>
      </c>
      <c r="D4159">
        <v>0.96095582303608496</v>
      </c>
      <c r="E4159">
        <v>0.47261087788518003</v>
      </c>
      <c r="F4159">
        <v>0.40485775939811902</v>
      </c>
      <c r="G4159">
        <v>0.249067556293184</v>
      </c>
      <c r="H4159">
        <v>0.187016269611921</v>
      </c>
      <c r="I4159">
        <v>0.20049383835817</v>
      </c>
      <c r="J4159">
        <v>0.17937524537757599</v>
      </c>
      <c r="K4159">
        <v>0.15499204905094599</v>
      </c>
      <c r="L4159">
        <v>1136.8429562803201</v>
      </c>
      <c r="M4159">
        <v>22.937104653405299</v>
      </c>
      <c r="N4159">
        <v>50.595818165019402</v>
      </c>
      <c r="O4159">
        <v>49.191367060780898</v>
      </c>
      <c r="P4159">
        <v>-9.4788777943299499E-2</v>
      </c>
      <c r="Q4159">
        <v>0.18687185546211099</v>
      </c>
      <c r="R4159">
        <v>0.981733027212361</v>
      </c>
      <c r="S4159" t="s">
        <v>10444</v>
      </c>
      <c r="T4159" t="s">
        <v>12568</v>
      </c>
      <c r="U4159" t="s">
        <v>12568</v>
      </c>
      <c r="V4159" t="s">
        <v>12568</v>
      </c>
      <c r="W4159" t="s">
        <v>16683</v>
      </c>
      <c r="X4159">
        <v>9</v>
      </c>
      <c r="Y4159" t="s">
        <v>22796</v>
      </c>
      <c r="Z4159" t="s">
        <v>29029</v>
      </c>
      <c r="AA4159">
        <v>0.45470065205882981</v>
      </c>
      <c r="AB4159" t="str">
        <f>HYPERLINK("Melting_Curves/meltCurve_Q8N6M0_OTUD6B.pdf", "Melting_Curves/meltCurve_Q8N6M0_OTUD6B.pdf")</f>
        <v>Melting_Curves/meltCurve_Q8N6M0_OTUD6B.pdf</v>
      </c>
    </row>
    <row r="4160" spans="1:28" x14ac:dyDescent="0.25">
      <c r="A4160" t="s">
        <v>4164</v>
      </c>
      <c r="B4160">
        <v>0.99352677808782597</v>
      </c>
      <c r="C4160">
        <v>0.89850392318769801</v>
      </c>
      <c r="D4160">
        <v>0.96263431699747604</v>
      </c>
      <c r="E4160">
        <v>0.99607878522126503</v>
      </c>
      <c r="F4160">
        <v>0.94904480654165102</v>
      </c>
      <c r="G4160">
        <v>0.911074188097449</v>
      </c>
      <c r="H4160">
        <v>0.78914047609189997</v>
      </c>
      <c r="I4160">
        <v>0.80673194237699697</v>
      </c>
      <c r="J4160">
        <v>0.86319751299204694</v>
      </c>
      <c r="K4160">
        <v>0.78925169590218303</v>
      </c>
      <c r="L4160">
        <v>1462.0364619188499</v>
      </c>
      <c r="M4160">
        <v>26.043354806808399</v>
      </c>
      <c r="O4160">
        <v>55.810702898980701</v>
      </c>
      <c r="P4160">
        <v>-2.2397728936461501E-2</v>
      </c>
      <c r="Q4160">
        <v>0.808009572232541</v>
      </c>
      <c r="R4160">
        <v>0.70292018945827495</v>
      </c>
      <c r="S4160" t="s">
        <v>10445</v>
      </c>
      <c r="T4160" t="s">
        <v>12568</v>
      </c>
      <c r="U4160" t="s">
        <v>12568</v>
      </c>
      <c r="V4160" t="s">
        <v>12568</v>
      </c>
      <c r="W4160" t="s">
        <v>16684</v>
      </c>
      <c r="X4160">
        <v>4</v>
      </c>
      <c r="Y4160" t="s">
        <v>22797</v>
      </c>
      <c r="Z4160" t="s">
        <v>29030</v>
      </c>
      <c r="AA4160">
        <v>0.9129342183749064</v>
      </c>
      <c r="AB4160" t="str">
        <f>HYPERLINK("Melting_Curves/meltCurve_Q8N6N3_2_C1orf52.pdf", "Melting_Curves/meltCurve_Q8N6N3_2_C1orf52.pdf")</f>
        <v>Melting_Curves/meltCurve_Q8N6N3_2_C1orf52.pdf</v>
      </c>
    </row>
    <row r="4161" spans="1:28" x14ac:dyDescent="0.25">
      <c r="A4161" t="s">
        <v>4165</v>
      </c>
      <c r="B4161">
        <v>0.99352677808782597</v>
      </c>
      <c r="C4161">
        <v>0.89525333248556704</v>
      </c>
      <c r="D4161">
        <v>0.98284391034615903</v>
      </c>
      <c r="E4161">
        <v>0.89242106403884403</v>
      </c>
      <c r="F4161">
        <v>0.74736345368296198</v>
      </c>
      <c r="G4161">
        <v>0.73592190589322903</v>
      </c>
      <c r="H4161">
        <v>0.621346633794576</v>
      </c>
      <c r="I4161">
        <v>0.60899230266626303</v>
      </c>
      <c r="J4161">
        <v>0.77405838530714299</v>
      </c>
      <c r="K4161">
        <v>0.63034569863299506</v>
      </c>
      <c r="L4161">
        <v>1036.12374166068</v>
      </c>
      <c r="M4161">
        <v>20.220958424923701</v>
      </c>
      <c r="O4161">
        <v>50.746846228351501</v>
      </c>
      <c r="P4161">
        <v>-3.39617760784552E-2</v>
      </c>
      <c r="Q4161">
        <v>0.65908650339857799</v>
      </c>
      <c r="R4161">
        <v>0.83511172247134902</v>
      </c>
      <c r="S4161" t="s">
        <v>10446</v>
      </c>
      <c r="T4161" t="s">
        <v>12568</v>
      </c>
      <c r="U4161" t="s">
        <v>12568</v>
      </c>
      <c r="V4161" t="s">
        <v>12568</v>
      </c>
      <c r="W4161" t="s">
        <v>16685</v>
      </c>
      <c r="X4161">
        <v>1</v>
      </c>
      <c r="Y4161" t="s">
        <v>22798</v>
      </c>
      <c r="Z4161" t="s">
        <v>29031</v>
      </c>
      <c r="AA4161">
        <v>0.79145051188895443</v>
      </c>
      <c r="AB4161" t="str">
        <f>HYPERLINK("Melting_Curves/meltCurve_Q8N6N7_ACBD7.pdf", "Melting_Curves/meltCurve_Q8N6N7_ACBD7.pdf")</f>
        <v>Melting_Curves/meltCurve_Q8N6N7_ACBD7.pdf</v>
      </c>
    </row>
    <row r="4162" spans="1:28" x14ac:dyDescent="0.25">
      <c r="A4162" t="s">
        <v>4166</v>
      </c>
      <c r="B4162">
        <v>0.99352677808782597</v>
      </c>
      <c r="C4162">
        <v>0.99475664883454795</v>
      </c>
      <c r="D4162">
        <v>1.0107611014225499</v>
      </c>
      <c r="E4162">
        <v>0.72417678618744297</v>
      </c>
      <c r="F4162">
        <v>0.59890429139681201</v>
      </c>
      <c r="G4162">
        <v>0.31226354171165699</v>
      </c>
      <c r="H4162">
        <v>0.16477358322426899</v>
      </c>
      <c r="I4162">
        <v>0.12643100512310601</v>
      </c>
      <c r="J4162">
        <v>0.106850560630708</v>
      </c>
      <c r="K4162">
        <v>7.5360711458685906E-2</v>
      </c>
      <c r="L4162">
        <v>905.61365050438906</v>
      </c>
      <c r="M4162">
        <v>16.926174552145699</v>
      </c>
      <c r="N4162">
        <v>53.970695635779897</v>
      </c>
      <c r="O4162">
        <v>52.773663446946699</v>
      </c>
      <c r="P4162">
        <v>-7.4726024181009099E-2</v>
      </c>
      <c r="Q4162">
        <v>6.8113617951964606E-2</v>
      </c>
      <c r="R4162">
        <v>0.99384993768085605</v>
      </c>
      <c r="S4162" t="s">
        <v>10447</v>
      </c>
      <c r="T4162" t="s">
        <v>12568</v>
      </c>
      <c r="U4162" t="s">
        <v>12568</v>
      </c>
      <c r="V4162" t="s">
        <v>12568</v>
      </c>
      <c r="W4162" t="s">
        <v>16686</v>
      </c>
      <c r="X4162">
        <v>10</v>
      </c>
      <c r="Y4162" t="s">
        <v>22799</v>
      </c>
      <c r="Z4162" t="s">
        <v>29032</v>
      </c>
      <c r="AA4162">
        <v>0.5041441879790225</v>
      </c>
      <c r="AB4162" t="str">
        <f>HYPERLINK("Melting_Curves/meltCurve_Q8N749_TOM1L1.pdf", "Melting_Curves/meltCurve_Q8N749_TOM1L1.pdf")</f>
        <v>Melting_Curves/meltCurve_Q8N749_TOM1L1.pdf</v>
      </c>
    </row>
    <row r="4163" spans="1:28" x14ac:dyDescent="0.25">
      <c r="A4163" t="s">
        <v>4167</v>
      </c>
      <c r="B4163">
        <v>0.99352677808782597</v>
      </c>
      <c r="C4163">
        <v>1.0351722104852701</v>
      </c>
      <c r="D4163">
        <v>1.0263863472309001</v>
      </c>
      <c r="E4163">
        <v>0.60413928185541299</v>
      </c>
      <c r="F4163">
        <v>0.46233965065940102</v>
      </c>
      <c r="G4163">
        <v>0.222950276857945</v>
      </c>
      <c r="H4163">
        <v>0.14292467318205401</v>
      </c>
      <c r="I4163">
        <v>9.1779751391447506E-2</v>
      </c>
      <c r="J4163">
        <v>9.7420903128430894E-2</v>
      </c>
      <c r="K4163">
        <v>6.0986728422455297E-2</v>
      </c>
      <c r="L4163">
        <v>1031.1599891994199</v>
      </c>
      <c r="M4163">
        <v>19.9664058920388</v>
      </c>
      <c r="N4163">
        <v>52.124358398951799</v>
      </c>
      <c r="O4163">
        <v>51.135062306064597</v>
      </c>
      <c r="P4163">
        <v>-8.9427743398910603E-2</v>
      </c>
      <c r="Q4163">
        <v>8.3912560175783898E-2</v>
      </c>
      <c r="R4163">
        <v>0.98566345409550404</v>
      </c>
      <c r="S4163" t="s">
        <v>10448</v>
      </c>
      <c r="T4163" t="s">
        <v>12568</v>
      </c>
      <c r="U4163" t="s">
        <v>12568</v>
      </c>
      <c r="V4163" t="s">
        <v>12568</v>
      </c>
      <c r="W4163" t="s">
        <v>12736</v>
      </c>
      <c r="X4163">
        <v>5</v>
      </c>
      <c r="Y4163" t="s">
        <v>18966</v>
      </c>
      <c r="Z4163" t="s">
        <v>29033</v>
      </c>
      <c r="AA4163">
        <v>0.45223248447177078</v>
      </c>
      <c r="AB4163" t="str">
        <f>HYPERLINK("Melting_Curves/meltCurve_Q8N7C3_TRIML2.pdf", "Melting_Curves/meltCurve_Q8N7C3_TRIML2.pdf")</f>
        <v>Melting_Curves/meltCurve_Q8N7C3_TRIML2.pdf</v>
      </c>
    </row>
    <row r="4164" spans="1:28" x14ac:dyDescent="0.25">
      <c r="A4164" t="s">
        <v>4168</v>
      </c>
      <c r="B4164">
        <v>0.99352677808782597</v>
      </c>
      <c r="C4164">
        <v>0.96722495856591595</v>
      </c>
      <c r="D4164">
        <v>0.98783588043554704</v>
      </c>
      <c r="E4164">
        <v>0.95671376486999005</v>
      </c>
      <c r="F4164">
        <v>0.83555306786668904</v>
      </c>
      <c r="G4164">
        <v>0.72137297763673702</v>
      </c>
      <c r="H4164">
        <v>0.67014671024711903</v>
      </c>
      <c r="I4164">
        <v>0.75784469640771901</v>
      </c>
      <c r="J4164">
        <v>0.77412846816886105</v>
      </c>
      <c r="K4164">
        <v>0.65023110327786804</v>
      </c>
      <c r="L4164">
        <v>1930.9286717684699</v>
      </c>
      <c r="M4164">
        <v>36.773603488048998</v>
      </c>
      <c r="O4164">
        <v>52.353996577752099</v>
      </c>
      <c r="P4164">
        <v>-5.0621160401222803E-2</v>
      </c>
      <c r="Q4164">
        <v>0.71172665748294905</v>
      </c>
      <c r="R4164">
        <v>0.92150332788273903</v>
      </c>
      <c r="S4164" t="s">
        <v>10449</v>
      </c>
      <c r="T4164" t="s">
        <v>12568</v>
      </c>
      <c r="U4164" t="s">
        <v>12568</v>
      </c>
      <c r="V4164" t="s">
        <v>12568</v>
      </c>
      <c r="W4164" t="s">
        <v>16687</v>
      </c>
      <c r="X4164">
        <v>24</v>
      </c>
      <c r="Y4164" t="s">
        <v>22800</v>
      </c>
      <c r="Z4164" t="s">
        <v>29034</v>
      </c>
      <c r="AA4164">
        <v>0.83316044896486641</v>
      </c>
      <c r="AB4164" t="str">
        <f>HYPERLINK("Melting_Curves/meltCurve_Q8N806_UBR7.pdf", "Melting_Curves/meltCurve_Q8N806_UBR7.pdf")</f>
        <v>Melting_Curves/meltCurve_Q8N806_UBR7.pdf</v>
      </c>
    </row>
    <row r="4165" spans="1:28" x14ac:dyDescent="0.25">
      <c r="A4165" t="s">
        <v>4169</v>
      </c>
      <c r="B4165">
        <v>0.99352677808782597</v>
      </c>
      <c r="C4165">
        <v>0.92021388070751298</v>
      </c>
      <c r="D4165">
        <v>0.89183450172012901</v>
      </c>
      <c r="E4165">
        <v>0.31913385594544202</v>
      </c>
      <c r="F4165">
        <v>0.29073410273682398</v>
      </c>
      <c r="G4165">
        <v>0.18807584178947301</v>
      </c>
      <c r="H4165">
        <v>0.147460760553695</v>
      </c>
      <c r="I4165">
        <v>0.12684578001968799</v>
      </c>
      <c r="J4165">
        <v>0.110655996312092</v>
      </c>
      <c r="K4165">
        <v>0.107222785997548</v>
      </c>
      <c r="L4165">
        <v>1437.6135519874799</v>
      </c>
      <c r="M4165">
        <v>29.733117885230602</v>
      </c>
      <c r="N4165">
        <v>48.905157974313198</v>
      </c>
      <c r="O4165">
        <v>48.133451061773798</v>
      </c>
      <c r="P4165">
        <v>-0.13233141848160199</v>
      </c>
      <c r="Q4165">
        <v>0.143107040911749</v>
      </c>
      <c r="R4165">
        <v>0.98305571640404699</v>
      </c>
      <c r="S4165" t="s">
        <v>10450</v>
      </c>
      <c r="T4165" t="s">
        <v>12568</v>
      </c>
      <c r="U4165" t="s">
        <v>12568</v>
      </c>
      <c r="V4165" t="s">
        <v>12568</v>
      </c>
      <c r="W4165" t="s">
        <v>16688</v>
      </c>
      <c r="X4165">
        <v>1</v>
      </c>
      <c r="Y4165" t="s">
        <v>22801</v>
      </c>
      <c r="Z4165" t="s">
        <v>29035</v>
      </c>
      <c r="AA4165">
        <v>0.38689788333705388</v>
      </c>
      <c r="AB4165" t="str">
        <f>HYPERLINK("Melting_Curves/meltCurve_Q8N819_2_PPM1N.pdf", "Melting_Curves/meltCurve_Q8N819_2_PPM1N.pdf")</f>
        <v>Melting_Curves/meltCurve_Q8N819_2_PPM1N.pdf</v>
      </c>
    </row>
    <row r="4166" spans="1:28" x14ac:dyDescent="0.25">
      <c r="A4166" t="s">
        <v>4170</v>
      </c>
      <c r="B4166">
        <v>0.99352677808782597</v>
      </c>
      <c r="C4166">
        <v>0.94298801426430701</v>
      </c>
      <c r="D4166">
        <v>0.86377040018040296</v>
      </c>
      <c r="E4166">
        <v>0.88132902512900102</v>
      </c>
      <c r="F4166">
        <v>0.70268135875417903</v>
      </c>
      <c r="G4166">
        <v>0.39914804373562102</v>
      </c>
      <c r="H4166">
        <v>0.33362431358716299</v>
      </c>
      <c r="I4166">
        <v>0.19271190921937001</v>
      </c>
      <c r="J4166">
        <v>0.149538077232482</v>
      </c>
      <c r="K4166">
        <v>0.101400846922032</v>
      </c>
      <c r="L4166">
        <v>682.06058779280295</v>
      </c>
      <c r="M4166">
        <v>12.161214005168899</v>
      </c>
      <c r="N4166">
        <v>56.332970891762898</v>
      </c>
      <c r="O4166">
        <v>54.633048999674102</v>
      </c>
      <c r="P4166">
        <v>-5.4211130326405697E-2</v>
      </c>
      <c r="Q4166">
        <v>2.6070608728308398E-2</v>
      </c>
      <c r="R4166">
        <v>0.98489190599976195</v>
      </c>
      <c r="S4166" t="s">
        <v>10451</v>
      </c>
      <c r="T4166" t="s">
        <v>12568</v>
      </c>
      <c r="U4166" t="s">
        <v>12568</v>
      </c>
      <c r="V4166" t="s">
        <v>12568</v>
      </c>
      <c r="W4166" t="s">
        <v>16689</v>
      </c>
      <c r="X4166">
        <v>2</v>
      </c>
      <c r="Y4166" t="s">
        <v>22802</v>
      </c>
      <c r="Z4166" t="s">
        <v>29036</v>
      </c>
      <c r="AA4166">
        <v>0.56773755586922092</v>
      </c>
      <c r="AB4166" t="str">
        <f>HYPERLINK("Melting_Curves/meltCurve_Q8N8A2_ANKRD44.pdf", "Melting_Curves/meltCurve_Q8N8A2_ANKRD44.pdf")</f>
        <v>Melting_Curves/meltCurve_Q8N8A2_ANKRD44.pdf</v>
      </c>
    </row>
    <row r="4167" spans="1:28" x14ac:dyDescent="0.25">
      <c r="A4167" t="s">
        <v>4171</v>
      </c>
      <c r="B4167">
        <v>0.99352677808782597</v>
      </c>
      <c r="C4167">
        <v>0.70916194448748104</v>
      </c>
      <c r="D4167">
        <v>0.72790902372447697</v>
      </c>
      <c r="E4167">
        <v>0.73210780742292902</v>
      </c>
      <c r="F4167">
        <v>0.63625198382009096</v>
      </c>
      <c r="G4167">
        <v>0.83201647525012201</v>
      </c>
      <c r="H4167">
        <v>0.73111137116486202</v>
      </c>
      <c r="I4167">
        <v>0.76431399198765804</v>
      </c>
      <c r="J4167">
        <v>0.57274263627453004</v>
      </c>
      <c r="K4167">
        <v>0.257333637275586</v>
      </c>
      <c r="L4167">
        <v>176.47415922954201</v>
      </c>
      <c r="M4167">
        <v>2.3968606473043899</v>
      </c>
      <c r="O4167">
        <v>48.555910684607099</v>
      </c>
      <c r="P4167">
        <v>-1.3046168132209801E-2</v>
      </c>
      <c r="Q4167">
        <v>0</v>
      </c>
      <c r="R4167">
        <v>0.41854993454815198</v>
      </c>
      <c r="S4167" t="s">
        <v>10452</v>
      </c>
      <c r="T4167" t="s">
        <v>12568</v>
      </c>
      <c r="U4167" t="s">
        <v>12568</v>
      </c>
      <c r="V4167" t="s">
        <v>12568</v>
      </c>
      <c r="W4167" t="s">
        <v>16690</v>
      </c>
      <c r="X4167">
        <v>1</v>
      </c>
      <c r="Y4167" t="s">
        <v>22803</v>
      </c>
      <c r="Z4167" t="s">
        <v>29037</v>
      </c>
      <c r="AA4167">
        <v>0.69789838581632491</v>
      </c>
      <c r="AB4167" t="str">
        <f>HYPERLINK("Melting_Curves/meltCurve_Q8N8A6_DDX51.pdf", "Melting_Curves/meltCurve_Q8N8A6_DDX51.pdf")</f>
        <v>Melting_Curves/meltCurve_Q8N8A6_DDX51.pdf</v>
      </c>
    </row>
    <row r="4168" spans="1:28" x14ac:dyDescent="0.25">
      <c r="A4168" t="s">
        <v>4172</v>
      </c>
      <c r="B4168">
        <v>0.99352677808782597</v>
      </c>
      <c r="C4168">
        <v>0.90094526677765396</v>
      </c>
      <c r="D4168">
        <v>0.91626076060321304</v>
      </c>
      <c r="E4168">
        <v>0.25238420628137298</v>
      </c>
      <c r="F4168">
        <v>0.19657097259331299</v>
      </c>
      <c r="G4168">
        <v>0.13394320357939399</v>
      </c>
      <c r="H4168">
        <v>0.107870254569748</v>
      </c>
      <c r="I4168">
        <v>0.106005788125991</v>
      </c>
      <c r="J4168">
        <v>8.9768937143841598E-2</v>
      </c>
      <c r="K4168">
        <v>6.5507038385748895E-2</v>
      </c>
      <c r="L4168">
        <v>2041.0110354790099</v>
      </c>
      <c r="M4168">
        <v>42.330114753499601</v>
      </c>
      <c r="N4168">
        <v>48.502997707291499</v>
      </c>
      <c r="O4168">
        <v>48.109266420148401</v>
      </c>
      <c r="P4168">
        <v>-0.19563969389087499</v>
      </c>
      <c r="Q4168">
        <v>0.110602854964533</v>
      </c>
      <c r="R4168">
        <v>0.987574567685088</v>
      </c>
      <c r="S4168" t="s">
        <v>10453</v>
      </c>
      <c r="T4168" t="s">
        <v>12568</v>
      </c>
      <c r="U4168" t="s">
        <v>12568</v>
      </c>
      <c r="V4168" t="s">
        <v>12568</v>
      </c>
      <c r="W4168" t="s">
        <v>16691</v>
      </c>
      <c r="X4168">
        <v>5</v>
      </c>
      <c r="Y4168" t="s">
        <v>22804</v>
      </c>
      <c r="Z4168" t="s">
        <v>29038</v>
      </c>
      <c r="AA4168">
        <v>0.35684337391945492</v>
      </c>
      <c r="AB4168" t="str">
        <f>HYPERLINK("Melting_Curves/meltCurve_Q8N8N7_PTGR2.pdf", "Melting_Curves/meltCurve_Q8N8N7_PTGR2.pdf")</f>
        <v>Melting_Curves/meltCurve_Q8N8N7_PTGR2.pdf</v>
      </c>
    </row>
    <row r="4169" spans="1:28" x14ac:dyDescent="0.25">
      <c r="A4169" t="s">
        <v>4173</v>
      </c>
      <c r="B4169">
        <v>0.99352677808782597</v>
      </c>
      <c r="C4169">
        <v>0.96915054132700795</v>
      </c>
      <c r="D4169">
        <v>1.0323058189077701</v>
      </c>
      <c r="E4169">
        <v>0.89348412475781402</v>
      </c>
      <c r="F4169">
        <v>0.43118360672286299</v>
      </c>
      <c r="G4169">
        <v>0.574939947561387</v>
      </c>
      <c r="H4169">
        <v>0.115403527456968</v>
      </c>
      <c r="I4169">
        <v>0.110003646025955</v>
      </c>
      <c r="J4169">
        <v>7.8163389038550302E-2</v>
      </c>
      <c r="K4169">
        <v>7.0922366917168495E-2</v>
      </c>
      <c r="L4169">
        <v>802.36626677927995</v>
      </c>
      <c r="M4169">
        <v>14.5929352256773</v>
      </c>
      <c r="N4169">
        <v>55.073289971386998</v>
      </c>
      <c r="O4169">
        <v>53.981635110922603</v>
      </c>
      <c r="P4169">
        <v>-6.6793410552407506E-2</v>
      </c>
      <c r="Q4169">
        <v>1.17925310478604E-2</v>
      </c>
      <c r="R4169">
        <v>0.93477900578462803</v>
      </c>
      <c r="S4169" t="s">
        <v>10454</v>
      </c>
      <c r="T4169" t="s">
        <v>12568</v>
      </c>
      <c r="U4169" t="s">
        <v>12568</v>
      </c>
      <c r="V4169" t="s">
        <v>12568</v>
      </c>
      <c r="W4169" t="s">
        <v>16692</v>
      </c>
      <c r="X4169">
        <v>4</v>
      </c>
      <c r="Y4169" t="s">
        <v>22805</v>
      </c>
      <c r="Z4169" t="s">
        <v>29039</v>
      </c>
      <c r="AA4169">
        <v>0.52497657169542011</v>
      </c>
      <c r="AB4169" t="str">
        <f>HYPERLINK("Melting_Curves/meltCurve_Q8N8R5_C2orf69.pdf", "Melting_Curves/meltCurve_Q8N8R5_C2orf69.pdf")</f>
        <v>Melting_Curves/meltCurve_Q8N8R5_C2orf69.pdf</v>
      </c>
    </row>
    <row r="4170" spans="1:28" x14ac:dyDescent="0.25">
      <c r="A4170" t="s">
        <v>4174</v>
      </c>
      <c r="B4170">
        <v>0.99352677808782597</v>
      </c>
      <c r="C4170">
        <v>0.95848885784551296</v>
      </c>
      <c r="D4170">
        <v>0.83378569968363303</v>
      </c>
      <c r="E4170">
        <v>0.380551818585874</v>
      </c>
      <c r="F4170">
        <v>0.32731047962168502</v>
      </c>
      <c r="G4170">
        <v>0.25829367074957799</v>
      </c>
      <c r="H4170">
        <v>0.187009714247902</v>
      </c>
      <c r="I4170">
        <v>0.192081526703996</v>
      </c>
      <c r="J4170">
        <v>0.181697836144327</v>
      </c>
      <c r="K4170">
        <v>0.14828272247222199</v>
      </c>
      <c r="L4170">
        <v>1166.51868835144</v>
      </c>
      <c r="M4170">
        <v>24.196058516902202</v>
      </c>
      <c r="N4170">
        <v>49.193724966159699</v>
      </c>
      <c r="O4170">
        <v>47.885410673584197</v>
      </c>
      <c r="P4170">
        <v>-0.102117165969943</v>
      </c>
      <c r="Q4170">
        <v>0.19162907377713001</v>
      </c>
      <c r="R4170">
        <v>0.98998742162329101</v>
      </c>
      <c r="S4170" t="s">
        <v>10455</v>
      </c>
      <c r="T4170" t="s">
        <v>12568</v>
      </c>
      <c r="U4170" t="s">
        <v>12568</v>
      </c>
      <c r="V4170" t="s">
        <v>12568</v>
      </c>
      <c r="W4170" t="s">
        <v>16693</v>
      </c>
      <c r="X4170">
        <v>2</v>
      </c>
      <c r="Y4170" t="s">
        <v>22806</v>
      </c>
      <c r="Z4170" t="s">
        <v>29040</v>
      </c>
      <c r="AA4170">
        <v>0.42053637826958401</v>
      </c>
      <c r="AB4170" t="str">
        <f>HYPERLINK("Melting_Curves/meltCurve_Q8N8R7_ARL14EP.pdf", "Melting_Curves/meltCurve_Q8N8R7_ARL14EP.pdf")</f>
        <v>Melting_Curves/meltCurve_Q8N8R7_ARL14EP.pdf</v>
      </c>
    </row>
    <row r="4171" spans="1:28" x14ac:dyDescent="0.25">
      <c r="A4171" t="s">
        <v>4175</v>
      </c>
      <c r="B4171">
        <v>0.99352677808782597</v>
      </c>
      <c r="C4171">
        <v>0.982563594621363</v>
      </c>
      <c r="D4171">
        <v>0.92596812391549499</v>
      </c>
      <c r="E4171">
        <v>0.82035275843946098</v>
      </c>
      <c r="F4171">
        <v>0.71335755490637898</v>
      </c>
      <c r="G4171">
        <v>0.52985692376162596</v>
      </c>
      <c r="H4171">
        <v>0.46292234261485299</v>
      </c>
      <c r="I4171">
        <v>0.40351328826726601</v>
      </c>
      <c r="J4171">
        <v>0.37792964448316202</v>
      </c>
      <c r="K4171">
        <v>0.28147008585423899</v>
      </c>
      <c r="L4171">
        <v>606.601727164968</v>
      </c>
      <c r="M4171">
        <v>10.9991232641762</v>
      </c>
      <c r="N4171">
        <v>58.960556034217198</v>
      </c>
      <c r="O4171">
        <v>53.421082237125503</v>
      </c>
      <c r="P4171">
        <v>-3.8392315000672E-2</v>
      </c>
      <c r="Q4171">
        <v>0.254388909067507</v>
      </c>
      <c r="R4171">
        <v>0.99370783514972605</v>
      </c>
      <c r="S4171" t="s">
        <v>10456</v>
      </c>
      <c r="T4171" t="s">
        <v>12568</v>
      </c>
      <c r="U4171" t="s">
        <v>12568</v>
      </c>
      <c r="V4171" t="s">
        <v>12568</v>
      </c>
      <c r="W4171" t="s">
        <v>16694</v>
      </c>
      <c r="X4171">
        <v>25</v>
      </c>
      <c r="Y4171" t="s">
        <v>22807</v>
      </c>
      <c r="Z4171" t="s">
        <v>29041</v>
      </c>
      <c r="AA4171">
        <v>0.6489668182759768</v>
      </c>
      <c r="AB4171" t="str">
        <f>HYPERLINK("Melting_Curves/meltCurve_Q8N8S7_ENAH.pdf", "Melting_Curves/meltCurve_Q8N8S7_ENAH.pdf")</f>
        <v>Melting_Curves/meltCurve_Q8N8S7_ENAH.pdf</v>
      </c>
    </row>
    <row r="4172" spans="1:28" x14ac:dyDescent="0.25">
      <c r="A4172" t="s">
        <v>4176</v>
      </c>
      <c r="B4172">
        <v>0.99352677808782597</v>
      </c>
      <c r="C4172">
        <v>0.96069981052985198</v>
      </c>
      <c r="D4172">
        <v>0.91161836843779398</v>
      </c>
      <c r="E4172">
        <v>0.89789729636049298</v>
      </c>
      <c r="F4172">
        <v>1.1295518347997899</v>
      </c>
      <c r="G4172">
        <v>0.69541006843631203</v>
      </c>
      <c r="H4172">
        <v>0.60525820297354505</v>
      </c>
      <c r="I4172">
        <v>0.487381857059134</v>
      </c>
      <c r="J4172">
        <v>0.48684896952203799</v>
      </c>
      <c r="K4172">
        <v>0.373476320573708</v>
      </c>
      <c r="L4172">
        <v>1605.19987797204</v>
      </c>
      <c r="M4172">
        <v>27.729250880441601</v>
      </c>
      <c r="N4172">
        <v>62.6289247686382</v>
      </c>
      <c r="O4172">
        <v>57.589766681923997</v>
      </c>
      <c r="P4172">
        <v>-6.75658549214571E-2</v>
      </c>
      <c r="Q4172">
        <v>0.43870577786542497</v>
      </c>
      <c r="R4172">
        <v>0.893685570070895</v>
      </c>
      <c r="S4172" t="s">
        <v>10457</v>
      </c>
      <c r="T4172" t="s">
        <v>12568</v>
      </c>
      <c r="U4172" t="s">
        <v>12568</v>
      </c>
      <c r="V4172" t="s">
        <v>12568</v>
      </c>
      <c r="W4172" t="s">
        <v>16695</v>
      </c>
      <c r="X4172">
        <v>25</v>
      </c>
      <c r="Y4172" t="s">
        <v>22807</v>
      </c>
      <c r="Z4172" t="s">
        <v>29042</v>
      </c>
      <c r="AA4172">
        <v>0.77759726245200744</v>
      </c>
      <c r="AB4172" t="str">
        <f>HYPERLINK("Melting_Curves/meltCurve_Q8N8S7_2_ENAH.pdf", "Melting_Curves/meltCurve_Q8N8S7_2_ENAH.pdf")</f>
        <v>Melting_Curves/meltCurve_Q8N8S7_2_ENAH.pdf</v>
      </c>
    </row>
    <row r="4173" spans="1:28" x14ac:dyDescent="0.25">
      <c r="A4173" t="s">
        <v>4177</v>
      </c>
      <c r="B4173">
        <v>0.99352677808782597</v>
      </c>
      <c r="C4173">
        <v>0.99296769934936802</v>
      </c>
      <c r="D4173">
        <v>0.966427716956896</v>
      </c>
      <c r="E4173">
        <v>0.69383477384770298</v>
      </c>
      <c r="F4173">
        <v>0.59350947666008502</v>
      </c>
      <c r="G4173">
        <v>0.52211853169452505</v>
      </c>
      <c r="H4173">
        <v>0.434299510537344</v>
      </c>
      <c r="I4173">
        <v>0.43746431302300998</v>
      </c>
      <c r="J4173">
        <v>0.470680864717825</v>
      </c>
      <c r="K4173">
        <v>0.43875681950434597</v>
      </c>
      <c r="L4173">
        <v>1105.90753071833</v>
      </c>
      <c r="M4173">
        <v>22.0888067144516</v>
      </c>
      <c r="N4173">
        <v>55.892573185908503</v>
      </c>
      <c r="O4173">
        <v>49.661492218785497</v>
      </c>
      <c r="P4173">
        <v>-6.11600545050014E-2</v>
      </c>
      <c r="Q4173">
        <v>0.44999603005213101</v>
      </c>
      <c r="R4173">
        <v>0.989190091643532</v>
      </c>
      <c r="S4173" t="s">
        <v>10458</v>
      </c>
      <c r="T4173" t="s">
        <v>12568</v>
      </c>
      <c r="U4173" t="s">
        <v>12568</v>
      </c>
      <c r="V4173" t="s">
        <v>12568</v>
      </c>
      <c r="W4173" t="s">
        <v>16696</v>
      </c>
      <c r="X4173">
        <v>5</v>
      </c>
      <c r="Y4173" t="s">
        <v>22808</v>
      </c>
      <c r="Z4173" t="s">
        <v>29043</v>
      </c>
      <c r="AA4173">
        <v>0.64084635158341707</v>
      </c>
      <c r="AB4173" t="str">
        <f>HYPERLINK("Melting_Curves/meltCurve_Q8N8V4_ANKS4B.pdf", "Melting_Curves/meltCurve_Q8N8V4_ANKS4B.pdf")</f>
        <v>Melting_Curves/meltCurve_Q8N8V4_ANKS4B.pdf</v>
      </c>
    </row>
    <row r="4174" spans="1:28" x14ac:dyDescent="0.25">
      <c r="A4174" t="s">
        <v>4178</v>
      </c>
      <c r="B4174">
        <v>0.99352677808782597</v>
      </c>
      <c r="C4174">
        <v>0.88384538164031501</v>
      </c>
      <c r="D4174">
        <v>0.99465185516311105</v>
      </c>
      <c r="E4174">
        <v>1.5204508289951999</v>
      </c>
      <c r="F4174">
        <v>1.6154776770199799</v>
      </c>
      <c r="G4174">
        <v>1.6439052320105301</v>
      </c>
      <c r="H4174">
        <v>1.3229575639673099</v>
      </c>
      <c r="I4174">
        <v>1.36928295462648</v>
      </c>
      <c r="J4174">
        <v>1.1454338764094301</v>
      </c>
      <c r="K4174">
        <v>0.99563690869454902</v>
      </c>
      <c r="L4174">
        <v>11902.036476283</v>
      </c>
      <c r="M4174">
        <v>250</v>
      </c>
      <c r="O4174">
        <v>47.605082007626201</v>
      </c>
      <c r="P4174">
        <v>0.49010836406492098</v>
      </c>
      <c r="Q4174">
        <v>1.3733065177547299</v>
      </c>
      <c r="R4174">
        <v>0.49563683683916998</v>
      </c>
      <c r="S4174" t="s">
        <v>10459</v>
      </c>
      <c r="T4174" t="s">
        <v>12568</v>
      </c>
      <c r="U4174" t="s">
        <v>12568</v>
      </c>
      <c r="V4174" t="s">
        <v>12568</v>
      </c>
      <c r="W4174" t="s">
        <v>16697</v>
      </c>
      <c r="X4174">
        <v>4</v>
      </c>
      <c r="Y4174" t="s">
        <v>22809</v>
      </c>
      <c r="Z4174" t="s">
        <v>29044</v>
      </c>
      <c r="AA4174">
        <v>1.278602978934144</v>
      </c>
      <c r="AB4174" t="str">
        <f>HYPERLINK("Melting_Curves/meltCurve_Q8N954_GPATCH11.pdf", "Melting_Curves/meltCurve_Q8N954_GPATCH11.pdf")</f>
        <v>Melting_Curves/meltCurve_Q8N954_GPATCH11.pdf</v>
      </c>
    </row>
    <row r="4175" spans="1:28" x14ac:dyDescent="0.25">
      <c r="A4175" t="s">
        <v>4179</v>
      </c>
      <c r="B4175">
        <v>0.99352677808782597</v>
      </c>
      <c r="C4175">
        <v>0.98248232951171699</v>
      </c>
      <c r="D4175">
        <v>0.75615425887167298</v>
      </c>
      <c r="E4175">
        <v>0.46376703835555999</v>
      </c>
      <c r="F4175">
        <v>0.31421105180189102</v>
      </c>
      <c r="G4175">
        <v>0.195887299023011</v>
      </c>
      <c r="H4175">
        <v>7.8824392285283595E-2</v>
      </c>
      <c r="I4175">
        <v>9.9158932410300299E-2</v>
      </c>
      <c r="J4175">
        <v>5.93967983169904E-2</v>
      </c>
      <c r="K4175">
        <v>3.8690872093029398E-2</v>
      </c>
      <c r="L4175">
        <v>777.86410896754603</v>
      </c>
      <c r="M4175">
        <v>15.713630716347</v>
      </c>
      <c r="N4175">
        <v>49.8520014327949</v>
      </c>
      <c r="O4175">
        <v>48.721581753779503</v>
      </c>
      <c r="P4175">
        <v>-7.6430852525069995E-2</v>
      </c>
      <c r="Q4175">
        <v>5.2155795320117E-2</v>
      </c>
      <c r="R4175">
        <v>0.99385711547693101</v>
      </c>
      <c r="S4175" t="s">
        <v>10460</v>
      </c>
      <c r="T4175" t="s">
        <v>12568</v>
      </c>
      <c r="U4175" t="s">
        <v>12568</v>
      </c>
      <c r="V4175" t="s">
        <v>12568</v>
      </c>
      <c r="W4175" t="s">
        <v>16698</v>
      </c>
      <c r="X4175">
        <v>3</v>
      </c>
      <c r="Y4175" t="s">
        <v>22810</v>
      </c>
      <c r="Z4175" t="s">
        <v>29045</v>
      </c>
      <c r="AA4175">
        <v>0.37347573300709042</v>
      </c>
      <c r="AB4175" t="str">
        <f>HYPERLINK("Melting_Curves/meltCurve_Q8N961_2_ABTB2.pdf", "Melting_Curves/meltCurve_Q8N961_2_ABTB2.pdf")</f>
        <v>Melting_Curves/meltCurve_Q8N961_2_ABTB2.pdf</v>
      </c>
    </row>
    <row r="4176" spans="1:28" x14ac:dyDescent="0.25">
      <c r="A4176" t="s">
        <v>4180</v>
      </c>
      <c r="B4176">
        <v>0.99352677808782597</v>
      </c>
      <c r="C4176">
        <v>0.88227703646991196</v>
      </c>
      <c r="D4176">
        <v>0.86950662303391002</v>
      </c>
      <c r="E4176">
        <v>0.62034749899094299</v>
      </c>
      <c r="F4176">
        <v>0.59008375579022698</v>
      </c>
      <c r="G4176">
        <v>0.29738255164246202</v>
      </c>
      <c r="H4176">
        <v>0.14015385947247899</v>
      </c>
      <c r="I4176">
        <v>0.10979919967768501</v>
      </c>
      <c r="J4176">
        <v>9.9311790730635396E-2</v>
      </c>
      <c r="K4176">
        <v>8.3328280745476394E-2</v>
      </c>
      <c r="L4176">
        <v>603.51602228144998</v>
      </c>
      <c r="M4176">
        <v>11.368521695928299</v>
      </c>
      <c r="N4176">
        <v>53.086585565730999</v>
      </c>
      <c r="O4176">
        <v>51.5236033772117</v>
      </c>
      <c r="P4176">
        <v>-5.5178106047797E-2</v>
      </c>
      <c r="Q4176">
        <v>0</v>
      </c>
      <c r="R4176">
        <v>0.98613364891691302</v>
      </c>
      <c r="S4176" t="s">
        <v>10461</v>
      </c>
      <c r="T4176" t="s">
        <v>12568</v>
      </c>
      <c r="U4176" t="s">
        <v>12568</v>
      </c>
      <c r="V4176" t="s">
        <v>12568</v>
      </c>
      <c r="W4176" t="s">
        <v>16699</v>
      </c>
      <c r="X4176">
        <v>3</v>
      </c>
      <c r="Y4176" t="s">
        <v>22811</v>
      </c>
      <c r="Z4176" t="s">
        <v>29046</v>
      </c>
      <c r="AA4176">
        <v>0.46617722559831748</v>
      </c>
      <c r="AB4176" t="str">
        <f>HYPERLINK("Melting_Curves/meltCurve_Q8N999_C12orf29.pdf", "Melting_Curves/meltCurve_Q8N999_C12orf29.pdf")</f>
        <v>Melting_Curves/meltCurve_Q8N999_C12orf29.pdf</v>
      </c>
    </row>
    <row r="4177" spans="1:28" x14ac:dyDescent="0.25">
      <c r="A4177" t="s">
        <v>4181</v>
      </c>
      <c r="B4177">
        <v>0.99352677808782597</v>
      </c>
      <c r="C4177">
        <v>1.0477984323978</v>
      </c>
      <c r="D4177">
        <v>0.84325663258920402</v>
      </c>
      <c r="E4177">
        <v>0.413819026477726</v>
      </c>
      <c r="F4177">
        <v>0.332720716647179</v>
      </c>
      <c r="G4177">
        <v>0.200714335256822</v>
      </c>
      <c r="H4177">
        <v>0.14854718483667101</v>
      </c>
      <c r="I4177">
        <v>0.16012056986336901</v>
      </c>
      <c r="J4177">
        <v>0.137605209173987</v>
      </c>
      <c r="K4177">
        <v>0.17667611606977501</v>
      </c>
      <c r="L4177">
        <v>1201.3149213244501</v>
      </c>
      <c r="M4177">
        <v>24.649196014119202</v>
      </c>
      <c r="N4177">
        <v>49.540799561988798</v>
      </c>
      <c r="O4177">
        <v>48.419073862235102</v>
      </c>
      <c r="P4177">
        <v>-0.106284028492385</v>
      </c>
      <c r="Q4177">
        <v>0.164905264116913</v>
      </c>
      <c r="R4177">
        <v>0.98887575176428799</v>
      </c>
      <c r="S4177" t="s">
        <v>10462</v>
      </c>
      <c r="T4177" t="s">
        <v>12568</v>
      </c>
      <c r="U4177" t="s">
        <v>12568</v>
      </c>
      <c r="V4177" t="s">
        <v>12568</v>
      </c>
      <c r="W4177" t="s">
        <v>16700</v>
      </c>
      <c r="X4177">
        <v>2</v>
      </c>
      <c r="Y4177" t="s">
        <v>22812</v>
      </c>
      <c r="Z4177" t="s">
        <v>29047</v>
      </c>
      <c r="AA4177">
        <v>0.41570728912903943</v>
      </c>
      <c r="AB4177" t="str">
        <f>HYPERLINK("Melting_Curves/meltCurve_Q8N9B5_2_JMY.pdf", "Melting_Curves/meltCurve_Q8N9B5_2_JMY.pdf")</f>
        <v>Melting_Curves/meltCurve_Q8N9B5_2_JMY.pdf</v>
      </c>
    </row>
    <row r="4178" spans="1:28" x14ac:dyDescent="0.25">
      <c r="A4178" t="s">
        <v>4182</v>
      </c>
      <c r="B4178">
        <v>0.99352677808782597</v>
      </c>
      <c r="C4178">
        <v>0.95409467054821795</v>
      </c>
      <c r="D4178">
        <v>0.79318071719781602</v>
      </c>
      <c r="E4178">
        <v>0.30416186118057298</v>
      </c>
      <c r="F4178">
        <v>0.27773400664112302</v>
      </c>
      <c r="G4178">
        <v>0.17587554275021799</v>
      </c>
      <c r="H4178">
        <v>0.13534252819425399</v>
      </c>
      <c r="I4178">
        <v>0.169785094500878</v>
      </c>
      <c r="J4178">
        <v>9.8780534138677795E-2</v>
      </c>
      <c r="K4178">
        <v>8.6935084529165596E-2</v>
      </c>
      <c r="L4178">
        <v>1203.7120733271499</v>
      </c>
      <c r="M4178">
        <v>25.144096556085401</v>
      </c>
      <c r="N4178">
        <v>48.482606610001802</v>
      </c>
      <c r="O4178">
        <v>47.572841728114</v>
      </c>
      <c r="P4178">
        <v>-0.11421725841767</v>
      </c>
      <c r="Q4178">
        <v>0.13561161954641601</v>
      </c>
      <c r="R4178">
        <v>0.98837292308723801</v>
      </c>
      <c r="S4178" t="s">
        <v>10463</v>
      </c>
      <c r="T4178" t="s">
        <v>12568</v>
      </c>
      <c r="U4178" t="s">
        <v>12568</v>
      </c>
      <c r="V4178" t="s">
        <v>12568</v>
      </c>
      <c r="W4178" t="s">
        <v>16701</v>
      </c>
      <c r="X4178">
        <v>2</v>
      </c>
      <c r="Y4178" t="s">
        <v>22813</v>
      </c>
      <c r="Z4178" t="s">
        <v>29048</v>
      </c>
      <c r="AA4178">
        <v>0.36999297127461611</v>
      </c>
      <c r="AB4178" t="str">
        <f>HYPERLINK("Melting_Curves/meltCurve_Q8N9M5_TMEM102.pdf", "Melting_Curves/meltCurve_Q8N9M5_TMEM102.pdf")</f>
        <v>Melting_Curves/meltCurve_Q8N9M5_TMEM102.pdf</v>
      </c>
    </row>
    <row r="4179" spans="1:28" x14ac:dyDescent="0.25">
      <c r="A4179" t="s">
        <v>4183</v>
      </c>
      <c r="B4179">
        <v>0.99352677808782597</v>
      </c>
      <c r="C4179">
        <v>0.95236554025755404</v>
      </c>
      <c r="D4179">
        <v>1.0448364586602199</v>
      </c>
      <c r="E4179">
        <v>0.384087881084269</v>
      </c>
      <c r="F4179">
        <v>0.34274433317408998</v>
      </c>
      <c r="G4179">
        <v>0.20297374769452001</v>
      </c>
      <c r="H4179">
        <v>0.16626734077858299</v>
      </c>
      <c r="I4179">
        <v>0.16791094956941999</v>
      </c>
      <c r="J4179">
        <v>0.16070592177765</v>
      </c>
      <c r="K4179">
        <v>0.110634345001311</v>
      </c>
      <c r="L4179">
        <v>2673.1831807127001</v>
      </c>
      <c r="M4179">
        <v>54.468496913214899</v>
      </c>
      <c r="N4179">
        <v>49.502656418975597</v>
      </c>
      <c r="O4179">
        <v>49.0115813174951</v>
      </c>
      <c r="P4179">
        <v>-0.22594103270256</v>
      </c>
      <c r="Q4179">
        <v>0.186779796097261</v>
      </c>
      <c r="R4179">
        <v>0.974121480765338</v>
      </c>
      <c r="S4179" t="s">
        <v>10464</v>
      </c>
      <c r="T4179" t="s">
        <v>12568</v>
      </c>
      <c r="U4179" t="s">
        <v>12568</v>
      </c>
      <c r="V4179" t="s">
        <v>12568</v>
      </c>
      <c r="W4179" t="s">
        <v>16702</v>
      </c>
      <c r="X4179">
        <v>4</v>
      </c>
      <c r="Y4179" t="s">
        <v>22814</v>
      </c>
      <c r="Z4179" t="s">
        <v>29049</v>
      </c>
      <c r="AA4179">
        <v>0.43433165624334169</v>
      </c>
      <c r="AB4179" t="str">
        <f>HYPERLINK("Melting_Curves/meltCurve_Q8N9N2_2_ASCC1.pdf", "Melting_Curves/meltCurve_Q8N9N2_2_ASCC1.pdf")</f>
        <v>Melting_Curves/meltCurve_Q8N9N2_2_ASCC1.pdf</v>
      </c>
    </row>
    <row r="4180" spans="1:28" x14ac:dyDescent="0.25">
      <c r="A4180" t="s">
        <v>4184</v>
      </c>
      <c r="B4180">
        <v>0.99352677808782597</v>
      </c>
      <c r="C4180">
        <v>0.95055616558969402</v>
      </c>
      <c r="D4180">
        <v>0.95351873206970195</v>
      </c>
      <c r="E4180">
        <v>0.79576915315738495</v>
      </c>
      <c r="F4180">
        <v>0.791591688653006</v>
      </c>
      <c r="G4180">
        <v>0.67158922205499505</v>
      </c>
      <c r="H4180">
        <v>0.556185909168738</v>
      </c>
      <c r="I4180">
        <v>0.63051110853495296</v>
      </c>
      <c r="J4180">
        <v>0.67080434270140499</v>
      </c>
      <c r="K4180">
        <v>0.56368168977240096</v>
      </c>
      <c r="L4180">
        <v>710.19113705141797</v>
      </c>
      <c r="M4180">
        <v>13.8402078210617</v>
      </c>
      <c r="O4180">
        <v>50.2779207634686</v>
      </c>
      <c r="P4180">
        <v>-2.84093700556248E-2</v>
      </c>
      <c r="Q4180">
        <v>0.58724118549558102</v>
      </c>
      <c r="R4180">
        <v>0.93642021615900295</v>
      </c>
      <c r="S4180" t="s">
        <v>10465</v>
      </c>
      <c r="T4180" t="s">
        <v>12568</v>
      </c>
      <c r="U4180" t="s">
        <v>12568</v>
      </c>
      <c r="V4180" t="s">
        <v>12568</v>
      </c>
      <c r="W4180" t="s">
        <v>16703</v>
      </c>
      <c r="X4180">
        <v>5</v>
      </c>
      <c r="Y4180" t="s">
        <v>22815</v>
      </c>
      <c r="Z4180" t="s">
        <v>29050</v>
      </c>
      <c r="AA4180">
        <v>0.75361955847554774</v>
      </c>
      <c r="AB4180" t="str">
        <f>HYPERLINK("Melting_Curves/meltCurve_Q8N9N8_EIF1AD.pdf", "Melting_Curves/meltCurve_Q8N9N8_EIF1AD.pdf")</f>
        <v>Melting_Curves/meltCurve_Q8N9N8_EIF1AD.pdf</v>
      </c>
    </row>
    <row r="4181" spans="1:28" x14ac:dyDescent="0.25">
      <c r="A4181" t="s">
        <v>4185</v>
      </c>
      <c r="B4181">
        <v>0.99352677808782597</v>
      </c>
      <c r="C4181">
        <v>0.82263988606663896</v>
      </c>
      <c r="D4181">
        <v>0.646533835658891</v>
      </c>
      <c r="E4181">
        <v>0.61576056944684099</v>
      </c>
      <c r="F4181">
        <v>0.58408877678952198</v>
      </c>
      <c r="G4181">
        <v>0.31696180911800798</v>
      </c>
      <c r="H4181">
        <v>0.165074790446647</v>
      </c>
      <c r="I4181">
        <v>6.3553882919443097E-2</v>
      </c>
      <c r="J4181">
        <v>6.4516117367528603E-2</v>
      </c>
      <c r="K4181">
        <v>0</v>
      </c>
      <c r="L4181">
        <v>500.475778702897</v>
      </c>
      <c r="M4181">
        <v>9.6618895807819793</v>
      </c>
      <c r="N4181">
        <v>51.798946393197099</v>
      </c>
      <c r="O4181">
        <v>49.725961556782103</v>
      </c>
      <c r="P4181">
        <v>-4.8602621557638698E-2</v>
      </c>
      <c r="Q4181">
        <v>0</v>
      </c>
      <c r="R4181">
        <v>0.95060082750029395</v>
      </c>
      <c r="S4181" t="s">
        <v>10466</v>
      </c>
      <c r="T4181" t="s">
        <v>12568</v>
      </c>
      <c r="U4181" t="s">
        <v>12568</v>
      </c>
      <c r="V4181" t="s">
        <v>12568</v>
      </c>
      <c r="W4181" t="s">
        <v>16704</v>
      </c>
      <c r="X4181">
        <v>1</v>
      </c>
      <c r="Y4181" t="s">
        <v>22816</v>
      </c>
      <c r="Z4181" t="s">
        <v>29051</v>
      </c>
      <c r="AA4181">
        <v>0.43348933675943202</v>
      </c>
      <c r="AB4181" t="str">
        <f>HYPERLINK("Melting_Curves/meltCurve_Q8N9R8_SCAI.pdf", "Melting_Curves/meltCurve_Q8N9R8_SCAI.pdf")</f>
        <v>Melting_Curves/meltCurve_Q8N9R8_SCAI.pdf</v>
      </c>
    </row>
    <row r="4182" spans="1:28" x14ac:dyDescent="0.25">
      <c r="A4182" t="s">
        <v>4186</v>
      </c>
      <c r="B4182">
        <v>0.99352677808782597</v>
      </c>
      <c r="C4182">
        <v>1.0083459231277601</v>
      </c>
      <c r="D4182">
        <v>1.0096813544497101</v>
      </c>
      <c r="E4182">
        <v>0.91298364804770105</v>
      </c>
      <c r="F4182">
        <v>0.79387410179009199</v>
      </c>
      <c r="G4182">
        <v>0.67487903295380802</v>
      </c>
      <c r="H4182">
        <v>0.42607846759242202</v>
      </c>
      <c r="I4182">
        <v>0.25559281641169601</v>
      </c>
      <c r="J4182">
        <v>0.128556991935416</v>
      </c>
      <c r="K4182">
        <v>9.2467951841486304E-2</v>
      </c>
      <c r="L4182">
        <v>844.49131592162598</v>
      </c>
      <c r="M4182">
        <v>14.2412243770444</v>
      </c>
      <c r="N4182">
        <v>59.2990670401188</v>
      </c>
      <c r="O4182">
        <v>58.166576597037398</v>
      </c>
      <c r="P4182">
        <v>-6.1216372344062499E-2</v>
      </c>
      <c r="Q4182">
        <v>0</v>
      </c>
      <c r="R4182">
        <v>0.99443818231112202</v>
      </c>
      <c r="S4182" t="s">
        <v>10467</v>
      </c>
      <c r="T4182" t="s">
        <v>12568</v>
      </c>
      <c r="U4182" t="s">
        <v>12568</v>
      </c>
      <c r="V4182" t="s">
        <v>12568</v>
      </c>
      <c r="W4182" t="s">
        <v>16705</v>
      </c>
      <c r="X4182">
        <v>9</v>
      </c>
      <c r="Y4182" t="s">
        <v>22817</v>
      </c>
      <c r="Z4182" t="s">
        <v>29052</v>
      </c>
      <c r="AA4182">
        <v>0.65232933740999854</v>
      </c>
      <c r="AB4182" t="str">
        <f>HYPERLINK("Melting_Curves/meltCurve_Q8N9V3_WDSUB1.pdf", "Melting_Curves/meltCurve_Q8N9V3_WDSUB1.pdf")</f>
        <v>Melting_Curves/meltCurve_Q8N9V3_WDSUB1.pdf</v>
      </c>
    </row>
    <row r="4183" spans="1:28" x14ac:dyDescent="0.25">
      <c r="A4183" t="s">
        <v>4187</v>
      </c>
      <c r="B4183">
        <v>0.99352677808782597</v>
      </c>
      <c r="C4183">
        <v>1.03531588172353</v>
      </c>
      <c r="D4183">
        <v>0.93575535159744205</v>
      </c>
      <c r="E4183">
        <v>0.78827714403295601</v>
      </c>
      <c r="F4183">
        <v>0.738094260495753</v>
      </c>
      <c r="G4183">
        <v>0.52159153834466399</v>
      </c>
      <c r="H4183">
        <v>0.71033188489744603</v>
      </c>
      <c r="I4183">
        <v>0.70656261730228498</v>
      </c>
      <c r="J4183">
        <v>0.92381597697333195</v>
      </c>
      <c r="K4183">
        <v>0.66248569806776203</v>
      </c>
      <c r="L4183">
        <v>1608.6100316004099</v>
      </c>
      <c r="M4183">
        <v>33.355782804963297</v>
      </c>
      <c r="O4183">
        <v>48.053460920111803</v>
      </c>
      <c r="P4183">
        <v>-5.0502417546063001E-2</v>
      </c>
      <c r="Q4183">
        <v>0.70897924855137495</v>
      </c>
      <c r="R4183">
        <v>0.64586856583332497</v>
      </c>
      <c r="S4183" t="s">
        <v>10468</v>
      </c>
      <c r="T4183" t="s">
        <v>12568</v>
      </c>
      <c r="U4183" t="s">
        <v>12568</v>
      </c>
      <c r="V4183" t="s">
        <v>12568</v>
      </c>
      <c r="W4183" t="s">
        <v>16706</v>
      </c>
      <c r="X4183">
        <v>12</v>
      </c>
      <c r="Y4183" t="s">
        <v>22818</v>
      </c>
      <c r="Z4183" t="s">
        <v>29053</v>
      </c>
      <c r="AA4183">
        <v>0.79018504035848558</v>
      </c>
      <c r="AB4183" t="str">
        <f>HYPERLINK("Melting_Curves/meltCurve_Q8NAF0_ZNF579.pdf", "Melting_Curves/meltCurve_Q8NAF0_ZNF579.pdf")</f>
        <v>Melting_Curves/meltCurve_Q8NAF0_ZNF579.pdf</v>
      </c>
    </row>
    <row r="4184" spans="1:28" x14ac:dyDescent="0.25">
      <c r="A4184" t="s">
        <v>4188</v>
      </c>
      <c r="B4184">
        <v>0.99352677808782597</v>
      </c>
      <c r="C4184">
        <v>0.94649520382757102</v>
      </c>
      <c r="D4184">
        <v>0.94290415647904602</v>
      </c>
      <c r="E4184">
        <v>0.61571967656856597</v>
      </c>
      <c r="F4184">
        <v>0.58852852280506196</v>
      </c>
      <c r="G4184">
        <v>0.41222383724255202</v>
      </c>
      <c r="H4184">
        <v>0.37238805391985702</v>
      </c>
      <c r="I4184">
        <v>0.39883770006413399</v>
      </c>
      <c r="J4184">
        <v>0.37070960142658499</v>
      </c>
      <c r="K4184">
        <v>0.28487536554936499</v>
      </c>
      <c r="L4184">
        <v>828.95270416934102</v>
      </c>
      <c r="M4184">
        <v>16.473619579768599</v>
      </c>
      <c r="N4184">
        <v>54.0359508205214</v>
      </c>
      <c r="O4184">
        <v>49.596038003657199</v>
      </c>
      <c r="P4184">
        <v>-5.4897308150950598E-2</v>
      </c>
      <c r="Q4184">
        <v>0.33894342013976098</v>
      </c>
      <c r="R4184">
        <v>0.97446516489073498</v>
      </c>
      <c r="S4184" t="s">
        <v>10469</v>
      </c>
      <c r="T4184" t="s">
        <v>12568</v>
      </c>
      <c r="U4184" t="s">
        <v>12568</v>
      </c>
      <c r="V4184" t="s">
        <v>12568</v>
      </c>
      <c r="W4184" t="s">
        <v>16707</v>
      </c>
      <c r="X4184">
        <v>2</v>
      </c>
      <c r="Y4184" t="s">
        <v>22819</v>
      </c>
      <c r="Z4184" t="s">
        <v>29054</v>
      </c>
      <c r="AA4184">
        <v>0.57956285145910347</v>
      </c>
      <c r="AB4184" t="str">
        <f>HYPERLINK("Melting_Curves/meltCurve_Q8NB15_2_ZNF511.pdf", "Melting_Curves/meltCurve_Q8NB15_2_ZNF511.pdf")</f>
        <v>Melting_Curves/meltCurve_Q8NB15_2_ZNF511.pdf</v>
      </c>
    </row>
    <row r="4185" spans="1:28" x14ac:dyDescent="0.25">
      <c r="A4185" t="s">
        <v>4189</v>
      </c>
      <c r="B4185">
        <v>0.99352677808782597</v>
      </c>
      <c r="C4185">
        <v>0.92210321124745598</v>
      </c>
      <c r="D4185">
        <v>0.866601275107314</v>
      </c>
      <c r="E4185">
        <v>0.23766917094610401</v>
      </c>
      <c r="F4185">
        <v>0.172362188902979</v>
      </c>
      <c r="G4185">
        <v>0.113948624153783</v>
      </c>
      <c r="H4185">
        <v>8.1996661053204994E-2</v>
      </c>
      <c r="I4185">
        <v>8.0226438805624301E-2</v>
      </c>
      <c r="J4185">
        <v>6.2730116478305606E-2</v>
      </c>
      <c r="K4185">
        <v>4.7819629502012503E-2</v>
      </c>
      <c r="L4185">
        <v>1728.7174909206799</v>
      </c>
      <c r="M4185">
        <v>35.987007174924599</v>
      </c>
      <c r="N4185">
        <v>48.2844735183292</v>
      </c>
      <c r="O4185">
        <v>47.889656524293997</v>
      </c>
      <c r="P4185">
        <v>-0.17205931811667399</v>
      </c>
      <c r="Q4185">
        <v>8.4132159089675196E-2</v>
      </c>
      <c r="R4185">
        <v>0.99205993839931494</v>
      </c>
      <c r="S4185" t="s">
        <v>10470</v>
      </c>
      <c r="T4185" t="s">
        <v>12568</v>
      </c>
      <c r="U4185" t="s">
        <v>12568</v>
      </c>
      <c r="V4185" t="s">
        <v>12568</v>
      </c>
      <c r="W4185" t="s">
        <v>16708</v>
      </c>
      <c r="X4185">
        <v>18</v>
      </c>
      <c r="Y4185" t="s">
        <v>22820</v>
      </c>
      <c r="Z4185" t="s">
        <v>29055</v>
      </c>
      <c r="AA4185">
        <v>0.33328588478425242</v>
      </c>
      <c r="AB4185" t="str">
        <f>HYPERLINK("Melting_Curves/meltCurve_Q8NB16_MLKL.pdf", "Melting_Curves/meltCurve_Q8NB16_MLKL.pdf")</f>
        <v>Melting_Curves/meltCurve_Q8NB16_MLKL.pdf</v>
      </c>
    </row>
    <row r="4186" spans="1:28" x14ac:dyDescent="0.25">
      <c r="A4186" t="s">
        <v>4190</v>
      </c>
      <c r="B4186">
        <v>0.99352677808782597</v>
      </c>
      <c r="C4186">
        <v>0.95395207847031305</v>
      </c>
      <c r="D4186">
        <v>0.96927536125823999</v>
      </c>
      <c r="E4186">
        <v>0.73214269000707199</v>
      </c>
      <c r="F4186">
        <v>0.65007281702961695</v>
      </c>
      <c r="G4186">
        <v>0.45656360070427598</v>
      </c>
      <c r="H4186">
        <v>0.319644032611058</v>
      </c>
      <c r="I4186">
        <v>0.26498462453097499</v>
      </c>
      <c r="J4186">
        <v>0.21809295536031501</v>
      </c>
      <c r="K4186">
        <v>0.176373160962745</v>
      </c>
      <c r="L4186">
        <v>652.39271365532795</v>
      </c>
      <c r="M4186">
        <v>11.972424719286</v>
      </c>
      <c r="N4186">
        <v>55.904342425236301</v>
      </c>
      <c r="O4186">
        <v>53.037790025793697</v>
      </c>
      <c r="P4186">
        <v>-4.9077368645167103E-2</v>
      </c>
      <c r="Q4186">
        <v>0.130561349708396</v>
      </c>
      <c r="R4186">
        <v>0.99399014835967603</v>
      </c>
      <c r="S4186" t="s">
        <v>10471</v>
      </c>
      <c r="T4186" t="s">
        <v>12568</v>
      </c>
      <c r="U4186" t="s">
        <v>12568</v>
      </c>
      <c r="V4186" t="s">
        <v>12568</v>
      </c>
      <c r="W4186" t="s">
        <v>16709</v>
      </c>
      <c r="X4186">
        <v>4</v>
      </c>
      <c r="Y4186" t="s">
        <v>22821</v>
      </c>
      <c r="Z4186" t="s">
        <v>29056</v>
      </c>
      <c r="AA4186">
        <v>0.5721852221984719</v>
      </c>
      <c r="AB4186" t="str">
        <f>HYPERLINK("Melting_Curves/meltCurve_Q8NB37_PDDC1.pdf", "Melting_Curves/meltCurve_Q8NB37_PDDC1.pdf")</f>
        <v>Melting_Curves/meltCurve_Q8NB37_PDDC1.pdf</v>
      </c>
    </row>
    <row r="4187" spans="1:28" x14ac:dyDescent="0.25">
      <c r="A4187" t="s">
        <v>4191</v>
      </c>
      <c r="B4187">
        <v>0.99352677808782597</v>
      </c>
      <c r="C4187">
        <v>1.0190284776212399</v>
      </c>
      <c r="D4187">
        <v>0.83042694293075803</v>
      </c>
      <c r="E4187">
        <v>0.43956842395401002</v>
      </c>
      <c r="F4187">
        <v>0.37566388281789798</v>
      </c>
      <c r="G4187">
        <v>0.21369752033925199</v>
      </c>
      <c r="H4187">
        <v>0.160012049957272</v>
      </c>
      <c r="I4187">
        <v>0.16939527582935801</v>
      </c>
      <c r="J4187">
        <v>0.108428353471806</v>
      </c>
      <c r="K4187">
        <v>8.4512879003928607E-2</v>
      </c>
      <c r="L4187">
        <v>918.43752190197995</v>
      </c>
      <c r="M4187">
        <v>18.615697373612999</v>
      </c>
      <c r="N4187">
        <v>50.126253124716001</v>
      </c>
      <c r="O4187">
        <v>48.777970907257497</v>
      </c>
      <c r="P4187">
        <v>-8.3290391458152702E-2</v>
      </c>
      <c r="Q4187">
        <v>0.12706772970673799</v>
      </c>
      <c r="R4187">
        <v>0.98576071418478195</v>
      </c>
      <c r="S4187" t="s">
        <v>10472</v>
      </c>
      <c r="T4187" t="s">
        <v>12568</v>
      </c>
      <c r="U4187" t="s">
        <v>12568</v>
      </c>
      <c r="V4187" t="s">
        <v>12568</v>
      </c>
      <c r="W4187" t="s">
        <v>16710</v>
      </c>
      <c r="X4187">
        <v>5</v>
      </c>
      <c r="Y4187" t="s">
        <v>22822</v>
      </c>
      <c r="Z4187" t="s">
        <v>29057</v>
      </c>
      <c r="AA4187">
        <v>0.41281257057795079</v>
      </c>
      <c r="AB4187" t="str">
        <f>HYPERLINK("Melting_Curves/meltCurve_Q8NB46_ANKRD52.pdf", "Melting_Curves/meltCurve_Q8NB46_ANKRD52.pdf")</f>
        <v>Melting_Curves/meltCurve_Q8NB46_ANKRD52.pdf</v>
      </c>
    </row>
    <row r="4188" spans="1:28" x14ac:dyDescent="0.25">
      <c r="A4188" t="s">
        <v>4192</v>
      </c>
      <c r="B4188">
        <v>0.99352677808782597</v>
      </c>
      <c r="C4188">
        <v>0.97290779509121394</v>
      </c>
      <c r="D4188">
        <v>0.92016125288317496</v>
      </c>
      <c r="E4188">
        <v>0.57341719887051801</v>
      </c>
      <c r="F4188">
        <v>0.47734749264923498</v>
      </c>
      <c r="G4188">
        <v>0.26893656798871401</v>
      </c>
      <c r="H4188">
        <v>0.117068290338596</v>
      </c>
      <c r="I4188">
        <v>8.0034117584464604E-2</v>
      </c>
      <c r="J4188">
        <v>6.4764378263668002E-2</v>
      </c>
      <c r="K4188">
        <v>4.73850389692584E-2</v>
      </c>
      <c r="L4188">
        <v>742.84796350722104</v>
      </c>
      <c r="M4188">
        <v>14.285547740631101</v>
      </c>
      <c r="N4188">
        <v>52.186839586363398</v>
      </c>
      <c r="O4188">
        <v>51.012831329307403</v>
      </c>
      <c r="P4188">
        <v>-6.8272284321165194E-2</v>
      </c>
      <c r="Q4188">
        <v>2.4934364679439401E-2</v>
      </c>
      <c r="R4188">
        <v>0.99251175313311601</v>
      </c>
      <c r="S4188" t="s">
        <v>10473</v>
      </c>
      <c r="T4188" t="s">
        <v>12568</v>
      </c>
      <c r="U4188" t="s">
        <v>12568</v>
      </c>
      <c r="V4188" t="s">
        <v>12568</v>
      </c>
      <c r="W4188" t="s">
        <v>16711</v>
      </c>
      <c r="X4188">
        <v>3</v>
      </c>
      <c r="Y4188" t="s">
        <v>22823</v>
      </c>
      <c r="Z4188" t="s">
        <v>29058</v>
      </c>
      <c r="AA4188">
        <v>0.43841681612903011</v>
      </c>
      <c r="AB4188" t="str">
        <f>HYPERLINK("Melting_Curves/meltCurve_Q8NB78_KDM1B.pdf", "Melting_Curves/meltCurve_Q8NB78_KDM1B.pdf")</f>
        <v>Melting_Curves/meltCurve_Q8NB78_KDM1B.pdf</v>
      </c>
    </row>
    <row r="4189" spans="1:28" x14ac:dyDescent="0.25">
      <c r="A4189" t="s">
        <v>4193</v>
      </c>
      <c r="B4189">
        <v>0.99352677808782597</v>
      </c>
      <c r="C4189">
        <v>0.99557874138143398</v>
      </c>
      <c r="D4189">
        <v>0.86863299816724904</v>
      </c>
      <c r="E4189">
        <v>0.28136197384818801</v>
      </c>
      <c r="F4189">
        <v>0.189301600076761</v>
      </c>
      <c r="G4189">
        <v>0.12077245324977701</v>
      </c>
      <c r="H4189">
        <v>8.6638861706627102E-2</v>
      </c>
      <c r="I4189">
        <v>8.0720475702047101E-2</v>
      </c>
      <c r="J4189">
        <v>6.4424592780301701E-2</v>
      </c>
      <c r="K4189">
        <v>5.48248423540856E-2</v>
      </c>
      <c r="L4189">
        <v>1624.91081766871</v>
      </c>
      <c r="M4189">
        <v>33.651278761876704</v>
      </c>
      <c r="N4189">
        <v>48.565350702534303</v>
      </c>
      <c r="O4189">
        <v>48.117204720989001</v>
      </c>
      <c r="P4189">
        <v>-0.15949378727001001</v>
      </c>
      <c r="Q4189">
        <v>8.7777905068061102E-2</v>
      </c>
      <c r="R4189">
        <v>0.99547655219750397</v>
      </c>
      <c r="S4189" t="s">
        <v>10474</v>
      </c>
      <c r="T4189" t="s">
        <v>12568</v>
      </c>
      <c r="U4189" t="s">
        <v>12568</v>
      </c>
      <c r="V4189" t="s">
        <v>12568</v>
      </c>
      <c r="W4189" t="s">
        <v>16712</v>
      </c>
      <c r="X4189">
        <v>3</v>
      </c>
      <c r="Y4189" t="s">
        <v>22824</v>
      </c>
      <c r="Z4189" t="s">
        <v>29059</v>
      </c>
      <c r="AA4189">
        <v>0.34409941482343509</v>
      </c>
      <c r="AB4189" t="str">
        <f>HYPERLINK("Melting_Curves/meltCurve_Q8NBA8_DTWD2.pdf", "Melting_Curves/meltCurve_Q8NBA8_DTWD2.pdf")</f>
        <v>Melting_Curves/meltCurve_Q8NBA8_DTWD2.pdf</v>
      </c>
    </row>
    <row r="4190" spans="1:28" x14ac:dyDescent="0.25">
      <c r="A4190" t="s">
        <v>4194</v>
      </c>
      <c r="B4190">
        <v>0.99352677808782597</v>
      </c>
      <c r="C4190">
        <v>0.97682912500080699</v>
      </c>
      <c r="D4190">
        <v>0.95851381922162104</v>
      </c>
      <c r="E4190">
        <v>0.337702875710094</v>
      </c>
      <c r="F4190">
        <v>0.263755364703254</v>
      </c>
      <c r="G4190">
        <v>0.15354170756539801</v>
      </c>
      <c r="H4190">
        <v>8.7139749854889703E-2</v>
      </c>
      <c r="I4190">
        <v>7.6524367756760095E-2</v>
      </c>
      <c r="J4190">
        <v>6.6457690769087099E-2</v>
      </c>
      <c r="K4190">
        <v>5.1539810698754601E-2</v>
      </c>
      <c r="L4190">
        <v>1642.4152935524501</v>
      </c>
      <c r="M4190">
        <v>33.571899736887097</v>
      </c>
      <c r="N4190">
        <v>49.241913926082702</v>
      </c>
      <c r="O4190">
        <v>48.749716112326603</v>
      </c>
      <c r="P4190">
        <v>-0.155311298988214</v>
      </c>
      <c r="Q4190">
        <v>9.7894339281683104E-2</v>
      </c>
      <c r="R4190">
        <v>0.98497751347864204</v>
      </c>
      <c r="S4190" t="s">
        <v>10475</v>
      </c>
      <c r="T4190" t="s">
        <v>12568</v>
      </c>
      <c r="U4190" t="s">
        <v>12568</v>
      </c>
      <c r="V4190" t="s">
        <v>12568</v>
      </c>
      <c r="W4190" t="s">
        <v>16713</v>
      </c>
      <c r="X4190">
        <v>19</v>
      </c>
      <c r="Y4190" t="s">
        <v>22825</v>
      </c>
      <c r="Z4190" t="s">
        <v>29060</v>
      </c>
      <c r="AA4190">
        <v>0.37055013578898499</v>
      </c>
      <c r="AB4190" t="str">
        <f>HYPERLINK("Melting_Curves/meltCurve_Q8NBF2_NHLRC2.pdf", "Melting_Curves/meltCurve_Q8NBF2_NHLRC2.pdf")</f>
        <v>Melting_Curves/meltCurve_Q8NBF2_NHLRC2.pdf</v>
      </c>
    </row>
    <row r="4191" spans="1:28" x14ac:dyDescent="0.25">
      <c r="A4191" t="s">
        <v>4195</v>
      </c>
      <c r="B4191">
        <v>0.99352677808782597</v>
      </c>
      <c r="C4191">
        <v>0.96847489506105899</v>
      </c>
      <c r="D4191">
        <v>0.93115435048150197</v>
      </c>
      <c r="E4191">
        <v>0.71548017151785104</v>
      </c>
      <c r="F4191">
        <v>0.60429792093827295</v>
      </c>
      <c r="G4191">
        <v>0.32915421548512402</v>
      </c>
      <c r="H4191">
        <v>0.171870020378348</v>
      </c>
      <c r="I4191">
        <v>0.15870858677734001</v>
      </c>
      <c r="J4191">
        <v>0.12138234039149701</v>
      </c>
      <c r="K4191">
        <v>9.6296313589947197E-2</v>
      </c>
      <c r="L4191">
        <v>775.84994254102003</v>
      </c>
      <c r="M4191">
        <v>14.5049337885822</v>
      </c>
      <c r="N4191">
        <v>54.017789918351099</v>
      </c>
      <c r="O4191">
        <v>52.502879238969399</v>
      </c>
      <c r="P4191">
        <v>-6.4500970137775407E-2</v>
      </c>
      <c r="Q4191">
        <v>6.6222571479444006E-2</v>
      </c>
      <c r="R4191">
        <v>0.99671364151256303</v>
      </c>
      <c r="S4191" t="s">
        <v>10476</v>
      </c>
      <c r="T4191" t="s">
        <v>12568</v>
      </c>
      <c r="U4191" t="s">
        <v>12568</v>
      </c>
      <c r="V4191" t="s">
        <v>12568</v>
      </c>
      <c r="W4191" t="s">
        <v>16714</v>
      </c>
      <c r="X4191">
        <v>10</v>
      </c>
      <c r="Y4191" t="s">
        <v>22826</v>
      </c>
      <c r="Z4191" t="s">
        <v>29061</v>
      </c>
      <c r="AA4191">
        <v>0.50660579992324162</v>
      </c>
      <c r="AB4191" t="str">
        <f>HYPERLINK("Melting_Curves/meltCurve_Q8NBF6_AVL9.pdf", "Melting_Curves/meltCurve_Q8NBF6_AVL9.pdf")</f>
        <v>Melting_Curves/meltCurve_Q8NBF6_AVL9.pdf</v>
      </c>
    </row>
    <row r="4192" spans="1:28" x14ac:dyDescent="0.25">
      <c r="A4192" t="s">
        <v>4196</v>
      </c>
      <c r="B4192">
        <v>0.99352677808782597</v>
      </c>
      <c r="C4192">
        <v>0.95549846770443403</v>
      </c>
      <c r="D4192">
        <v>0.87098335373117097</v>
      </c>
      <c r="E4192">
        <v>0.66625240171703204</v>
      </c>
      <c r="F4192">
        <v>0.66848694938560504</v>
      </c>
      <c r="G4192">
        <v>0.57270270523296096</v>
      </c>
      <c r="H4192">
        <v>0.53119602468238303</v>
      </c>
      <c r="I4192">
        <v>0.58480451260502198</v>
      </c>
      <c r="J4192">
        <v>0.54422571759475102</v>
      </c>
      <c r="K4192">
        <v>0.55836773051154498</v>
      </c>
      <c r="L4192">
        <v>867.979740941822</v>
      </c>
      <c r="M4192">
        <v>18.070622050956501</v>
      </c>
      <c r="O4192">
        <v>47.456023600660401</v>
      </c>
      <c r="P4192">
        <v>-4.2502472917382801E-2</v>
      </c>
      <c r="Q4192">
        <v>0.55355166475963702</v>
      </c>
      <c r="R4192">
        <v>0.98151028229147597</v>
      </c>
      <c r="S4192" t="s">
        <v>10477</v>
      </c>
      <c r="T4192" t="s">
        <v>12568</v>
      </c>
      <c r="U4192" t="s">
        <v>12568</v>
      </c>
      <c r="V4192" t="s">
        <v>12568</v>
      </c>
      <c r="W4192" t="s">
        <v>16715</v>
      </c>
      <c r="X4192">
        <v>3</v>
      </c>
      <c r="Y4192" t="s">
        <v>22827</v>
      </c>
      <c r="Z4192" t="s">
        <v>29062</v>
      </c>
      <c r="AA4192">
        <v>0.68093930746659004</v>
      </c>
      <c r="AB4192" t="str">
        <f>HYPERLINK("Melting_Curves/meltCurve_Q8NBJ4_2_GOLM1.pdf", "Melting_Curves/meltCurve_Q8NBJ4_2_GOLM1.pdf")</f>
        <v>Melting_Curves/meltCurve_Q8NBJ4_2_GOLM1.pdf</v>
      </c>
    </row>
    <row r="4193" spans="1:28" x14ac:dyDescent="0.25">
      <c r="A4193" t="s">
        <v>4197</v>
      </c>
      <c r="B4193">
        <v>0.99352677808782597</v>
      </c>
      <c r="C4193">
        <v>0.89808332489743703</v>
      </c>
      <c r="D4193">
        <v>0.65419173148098797</v>
      </c>
      <c r="E4193">
        <v>0.287559342532896</v>
      </c>
      <c r="F4193">
        <v>0.20983477555355901</v>
      </c>
      <c r="G4193">
        <v>0.131968675037061</v>
      </c>
      <c r="H4193">
        <v>0.102108245774317</v>
      </c>
      <c r="I4193">
        <v>9.5765413015397802E-2</v>
      </c>
      <c r="J4193">
        <v>8.2704204748497906E-2</v>
      </c>
      <c r="K4193">
        <v>6.1186822490165903E-2</v>
      </c>
      <c r="L4193">
        <v>943.197851096715</v>
      </c>
      <c r="M4193">
        <v>19.999555796624399</v>
      </c>
      <c r="N4193">
        <v>47.620892315440898</v>
      </c>
      <c r="O4193">
        <v>46.697022593288096</v>
      </c>
      <c r="P4193">
        <v>-9.7670155261661895E-2</v>
      </c>
      <c r="Q4193">
        <v>8.7828344855193793E-2</v>
      </c>
      <c r="R4193">
        <v>0.99740958467115404</v>
      </c>
      <c r="S4193" t="s">
        <v>10478</v>
      </c>
      <c r="T4193" t="s">
        <v>12568</v>
      </c>
      <c r="U4193" t="s">
        <v>12568</v>
      </c>
      <c r="V4193" t="s">
        <v>12568</v>
      </c>
      <c r="W4193" t="s">
        <v>16716</v>
      </c>
      <c r="X4193">
        <v>7</v>
      </c>
      <c r="Y4193" t="s">
        <v>22828</v>
      </c>
      <c r="Z4193" t="s">
        <v>29063</v>
      </c>
      <c r="AA4193">
        <v>0.31883407131812452</v>
      </c>
      <c r="AB4193" t="str">
        <f>HYPERLINK("Melting_Curves/meltCurve_Q8NBJ5_COLGALT1.pdf", "Melting_Curves/meltCurve_Q8NBJ5_COLGALT1.pdf")</f>
        <v>Melting_Curves/meltCurve_Q8NBJ5_COLGALT1.pdf</v>
      </c>
    </row>
    <row r="4194" spans="1:28" x14ac:dyDescent="0.25">
      <c r="A4194" t="s">
        <v>4198</v>
      </c>
      <c r="B4194">
        <v>0.99352677808782597</v>
      </c>
      <c r="C4194">
        <v>0.86008154380089197</v>
      </c>
      <c r="D4194">
        <v>0.70970915675892599</v>
      </c>
      <c r="E4194">
        <v>0.26013329454845002</v>
      </c>
      <c r="F4194">
        <v>0.21310671514837701</v>
      </c>
      <c r="G4194">
        <v>0.139652650911476</v>
      </c>
      <c r="H4194">
        <v>0.10481583166731</v>
      </c>
      <c r="I4194">
        <v>0.109360716547029</v>
      </c>
      <c r="J4194">
        <v>0.105547729242129</v>
      </c>
      <c r="K4194">
        <v>9.1343773046264606E-2</v>
      </c>
      <c r="L4194">
        <v>1015.14575702922</v>
      </c>
      <c r="M4194">
        <v>21.532177998682201</v>
      </c>
      <c r="N4194">
        <v>47.663283147589297</v>
      </c>
      <c r="O4194">
        <v>46.744527603814198</v>
      </c>
      <c r="P4194">
        <v>-0.10315252590377399</v>
      </c>
      <c r="Q4194">
        <v>0.10428031976532801</v>
      </c>
      <c r="R4194">
        <v>0.99330194091702095</v>
      </c>
      <c r="S4194" t="s">
        <v>10479</v>
      </c>
      <c r="T4194" t="s">
        <v>12568</v>
      </c>
      <c r="U4194" t="s">
        <v>12568</v>
      </c>
      <c r="V4194" t="s">
        <v>12568</v>
      </c>
      <c r="W4194" t="s">
        <v>16717</v>
      </c>
      <c r="X4194">
        <v>8</v>
      </c>
      <c r="Y4194" t="s">
        <v>22829</v>
      </c>
      <c r="Z4194" t="s">
        <v>29064</v>
      </c>
      <c r="AA4194">
        <v>0.32870903236041799</v>
      </c>
      <c r="AB4194" t="str">
        <f>HYPERLINK("Melting_Curves/meltCurve_Q8NBJ7_SUMF2.pdf", "Melting_Curves/meltCurve_Q8NBJ7_SUMF2.pdf")</f>
        <v>Melting_Curves/meltCurve_Q8NBJ7_SUMF2.pdf</v>
      </c>
    </row>
    <row r="4195" spans="1:28" x14ac:dyDescent="0.25">
      <c r="A4195" t="s">
        <v>4199</v>
      </c>
      <c r="B4195">
        <v>0.99352677808782597</v>
      </c>
      <c r="C4195">
        <v>0.87414426812978596</v>
      </c>
      <c r="D4195">
        <v>0.83516887818534902</v>
      </c>
      <c r="E4195">
        <v>0.83421348849306598</v>
      </c>
      <c r="F4195">
        <v>0.70739329352263602</v>
      </c>
      <c r="G4195">
        <v>0.69793172672103099</v>
      </c>
      <c r="H4195">
        <v>0.49488370838840301</v>
      </c>
      <c r="I4195">
        <v>0.28013567736648598</v>
      </c>
      <c r="J4195">
        <v>8.3221030145702896E-2</v>
      </c>
      <c r="K4195">
        <v>7.5851129695196307E-2</v>
      </c>
      <c r="L4195">
        <v>643.51705504692995</v>
      </c>
      <c r="M4195">
        <v>10.961920768746101</v>
      </c>
      <c r="N4195">
        <v>58.704750387946198</v>
      </c>
      <c r="O4195">
        <v>56.852541351762703</v>
      </c>
      <c r="P4195">
        <v>-4.8219783278898101E-2</v>
      </c>
      <c r="Q4195">
        <v>0</v>
      </c>
      <c r="R4195">
        <v>0.92793697271880404</v>
      </c>
      <c r="S4195" t="s">
        <v>10480</v>
      </c>
      <c r="T4195" t="s">
        <v>12568</v>
      </c>
      <c r="U4195" t="s">
        <v>12568</v>
      </c>
      <c r="V4195" t="s">
        <v>12568</v>
      </c>
      <c r="W4195" t="s">
        <v>16718</v>
      </c>
      <c r="X4195">
        <v>3</v>
      </c>
      <c r="Y4195" t="s">
        <v>22830</v>
      </c>
      <c r="Z4195" t="s">
        <v>29065</v>
      </c>
      <c r="AA4195">
        <v>0.63117309087742279</v>
      </c>
      <c r="AB4195" t="str">
        <f>HYPERLINK("Melting_Curves/meltCurve_Q8NBK3_4_SUMF1.pdf", "Melting_Curves/meltCurve_Q8NBK3_4_SUMF1.pdf")</f>
        <v>Melting_Curves/meltCurve_Q8NBK3_4_SUMF1.pdf</v>
      </c>
    </row>
    <row r="4196" spans="1:28" x14ac:dyDescent="0.25">
      <c r="A4196" t="s">
        <v>4200</v>
      </c>
      <c r="B4196">
        <v>0.99352677808782597</v>
      </c>
      <c r="C4196">
        <v>0.95303988853701205</v>
      </c>
      <c r="D4196">
        <v>0.92905545264057299</v>
      </c>
      <c r="E4196">
        <v>0.36154273548323301</v>
      </c>
      <c r="F4196">
        <v>0.28508222948447998</v>
      </c>
      <c r="G4196">
        <v>0.14104767918126901</v>
      </c>
      <c r="H4196">
        <v>0.100374259330811</v>
      </c>
      <c r="I4196">
        <v>9.4160173959898105E-2</v>
      </c>
      <c r="J4196">
        <v>7.9931850147336905E-2</v>
      </c>
      <c r="K4196">
        <v>6.9939953796763599E-2</v>
      </c>
      <c r="L4196">
        <v>1352.44738642678</v>
      </c>
      <c r="M4196">
        <v>27.6093857601285</v>
      </c>
      <c r="N4196">
        <v>49.3867045300508</v>
      </c>
      <c r="O4196">
        <v>48.730238973519597</v>
      </c>
      <c r="P4196">
        <v>-0.12740201100851001</v>
      </c>
      <c r="Q4196">
        <v>0.100555989838378</v>
      </c>
      <c r="R4196">
        <v>0.98737672471990601</v>
      </c>
      <c r="S4196" t="s">
        <v>10481</v>
      </c>
      <c r="T4196" t="s">
        <v>12568</v>
      </c>
      <c r="U4196" t="s">
        <v>12568</v>
      </c>
      <c r="V4196" t="s">
        <v>12568</v>
      </c>
      <c r="W4196" t="s">
        <v>16719</v>
      </c>
      <c r="X4196">
        <v>3</v>
      </c>
      <c r="Y4196" t="s">
        <v>22831</v>
      </c>
      <c r="Z4196" t="s">
        <v>29066</v>
      </c>
      <c r="AA4196">
        <v>0.37643684343954142</v>
      </c>
      <c r="AB4196" t="str">
        <f>HYPERLINK("Melting_Curves/meltCurve_Q8NBL1_POGLUT1.pdf", "Melting_Curves/meltCurve_Q8NBL1_POGLUT1.pdf")</f>
        <v>Melting_Curves/meltCurve_Q8NBL1_POGLUT1.pdf</v>
      </c>
    </row>
    <row r="4197" spans="1:28" x14ac:dyDescent="0.25">
      <c r="A4197" t="s">
        <v>4201</v>
      </c>
      <c r="B4197">
        <v>0.99352677808782597</v>
      </c>
      <c r="C4197">
        <v>0.95608577981333398</v>
      </c>
      <c r="D4197">
        <v>0.95392717725542397</v>
      </c>
      <c r="E4197">
        <v>0.86291764767109402</v>
      </c>
      <c r="F4197">
        <v>0.84044507866714202</v>
      </c>
      <c r="G4197">
        <v>0.72099772776358995</v>
      </c>
      <c r="H4197">
        <v>0.60141565473549297</v>
      </c>
      <c r="I4197">
        <v>0.69577168277812496</v>
      </c>
      <c r="J4197">
        <v>0.66735791839972203</v>
      </c>
      <c r="K4197">
        <v>0.549469332066158</v>
      </c>
      <c r="L4197">
        <v>566.37645087684598</v>
      </c>
      <c r="M4197">
        <v>10.4013545607678</v>
      </c>
      <c r="O4197">
        <v>52.554813254724102</v>
      </c>
      <c r="P4197">
        <v>-2.17473542130125E-2</v>
      </c>
      <c r="Q4197">
        <v>0.56065330114303502</v>
      </c>
      <c r="R4197">
        <v>0.93435165531750497</v>
      </c>
      <c r="S4197" t="s">
        <v>10482</v>
      </c>
      <c r="T4197" t="s">
        <v>12568</v>
      </c>
      <c r="U4197" t="s">
        <v>12568</v>
      </c>
      <c r="V4197" t="s">
        <v>12568</v>
      </c>
      <c r="W4197" t="s">
        <v>16720</v>
      </c>
      <c r="X4197">
        <v>1</v>
      </c>
      <c r="Y4197" t="s">
        <v>22832</v>
      </c>
      <c r="Z4197" t="s">
        <v>29067</v>
      </c>
      <c r="AA4197">
        <v>0.78445286364175826</v>
      </c>
      <c r="AB4197" t="str">
        <f>HYPERLINK("Melting_Curves/meltCurve_Q8NC26_2_ZNF114.pdf", "Melting_Curves/meltCurve_Q8NC26_2_ZNF114.pdf")</f>
        <v>Melting_Curves/meltCurve_Q8NC26_2_ZNF114.pdf</v>
      </c>
    </row>
    <row r="4198" spans="1:28" x14ac:dyDescent="0.25">
      <c r="A4198" t="s">
        <v>4202</v>
      </c>
      <c r="B4198">
        <v>0.99352677808782597</v>
      </c>
      <c r="C4198">
        <v>0.98126112790869702</v>
      </c>
      <c r="D4198">
        <v>0.99291217009440602</v>
      </c>
      <c r="E4198">
        <v>1.0226019365061201</v>
      </c>
      <c r="F4198">
        <v>0.94311120964426498</v>
      </c>
      <c r="G4198">
        <v>0.87245029093206194</v>
      </c>
      <c r="H4198">
        <v>0.79752493476526398</v>
      </c>
      <c r="I4198">
        <v>0.86207326549337804</v>
      </c>
      <c r="J4198">
        <v>0.86959089990931504</v>
      </c>
      <c r="K4198">
        <v>0.68635361877625001</v>
      </c>
      <c r="L4198">
        <v>396.38352357004999</v>
      </c>
      <c r="M4198">
        <v>4.6239194279326998</v>
      </c>
      <c r="Q4198">
        <v>0</v>
      </c>
      <c r="R4198">
        <v>0.78964750016686003</v>
      </c>
      <c r="S4198" t="s">
        <v>10483</v>
      </c>
      <c r="T4198" t="s">
        <v>12568</v>
      </c>
      <c r="U4198" t="s">
        <v>12568</v>
      </c>
      <c r="V4198" t="s">
        <v>12568</v>
      </c>
      <c r="W4198" t="s">
        <v>16721</v>
      </c>
      <c r="X4198">
        <v>21</v>
      </c>
      <c r="Y4198" t="s">
        <v>22833</v>
      </c>
      <c r="Z4198" t="s">
        <v>29068</v>
      </c>
      <c r="AA4198">
        <v>0.90745973792585877</v>
      </c>
      <c r="AB4198" t="str">
        <f>HYPERLINK("Melting_Curves/meltCurve_Q8NC51_2_SERBP1.pdf", "Melting_Curves/meltCurve_Q8NC51_2_SERBP1.pdf")</f>
        <v>Melting_Curves/meltCurve_Q8NC51_2_SERBP1.pdf</v>
      </c>
    </row>
    <row r="4199" spans="1:28" x14ac:dyDescent="0.25">
      <c r="A4199" t="s">
        <v>4203</v>
      </c>
      <c r="B4199">
        <v>0.99352677808782597</v>
      </c>
      <c r="C4199">
        <v>0.864736768261126</v>
      </c>
      <c r="D4199">
        <v>0.98593987045347997</v>
      </c>
      <c r="E4199">
        <v>0.83820161379595104</v>
      </c>
      <c r="F4199">
        <v>1.06995531297267</v>
      </c>
      <c r="G4199">
        <v>0.73859946141736399</v>
      </c>
      <c r="H4199">
        <v>0.84852611233861497</v>
      </c>
      <c r="I4199">
        <v>0.93221981419558997</v>
      </c>
      <c r="J4199">
        <v>0.79136968965614196</v>
      </c>
      <c r="K4199">
        <v>0.53502954684131598</v>
      </c>
      <c r="L4199">
        <v>429.63148294122402</v>
      </c>
      <c r="M4199">
        <v>5.4451917507386902</v>
      </c>
      <c r="Q4199">
        <v>0</v>
      </c>
      <c r="R4199">
        <v>0.44141085385176798</v>
      </c>
      <c r="S4199" t="s">
        <v>10484</v>
      </c>
      <c r="T4199" t="s">
        <v>12568</v>
      </c>
      <c r="U4199" t="s">
        <v>12568</v>
      </c>
      <c r="V4199" t="s">
        <v>12568</v>
      </c>
      <c r="W4199" t="s">
        <v>16722</v>
      </c>
      <c r="X4199">
        <v>2</v>
      </c>
      <c r="Y4199" t="s">
        <v>22834</v>
      </c>
      <c r="Z4199" t="s">
        <v>29069</v>
      </c>
      <c r="AA4199">
        <v>0.88413048792726634</v>
      </c>
      <c r="AB4199" t="str">
        <f>HYPERLINK("Melting_Curves/meltCurve_Q8NC56_LEMD2.pdf", "Melting_Curves/meltCurve_Q8NC56_LEMD2.pdf")</f>
        <v>Melting_Curves/meltCurve_Q8NC56_LEMD2.pdf</v>
      </c>
    </row>
    <row r="4200" spans="1:28" x14ac:dyDescent="0.25">
      <c r="A4200" t="s">
        <v>4204</v>
      </c>
      <c r="B4200">
        <v>0.99352677808782597</v>
      </c>
      <c r="C4200">
        <v>0.96587135456176998</v>
      </c>
      <c r="D4200">
        <v>1.0366007363782901</v>
      </c>
      <c r="E4200">
        <v>0.88333840895856397</v>
      </c>
      <c r="F4200">
        <v>0.77559027487744503</v>
      </c>
      <c r="G4200">
        <v>0.63975386814669299</v>
      </c>
      <c r="H4200">
        <v>0.39562839377902098</v>
      </c>
      <c r="I4200">
        <v>0.2591491075515</v>
      </c>
      <c r="J4200">
        <v>0.194873858182775</v>
      </c>
      <c r="K4200">
        <v>0.148753423117397</v>
      </c>
      <c r="L4200">
        <v>754.29644267722801</v>
      </c>
      <c r="M4200">
        <v>12.863190521065899</v>
      </c>
      <c r="N4200">
        <v>58.951624316143501</v>
      </c>
      <c r="O4200">
        <v>57.276902504591597</v>
      </c>
      <c r="P4200">
        <v>-5.4308920420802299E-2</v>
      </c>
      <c r="Q4200">
        <v>3.2876270890371498E-2</v>
      </c>
      <c r="R4200">
        <v>0.99302060488803601</v>
      </c>
      <c r="S4200" t="s">
        <v>10485</v>
      </c>
      <c r="T4200" t="s">
        <v>12568</v>
      </c>
      <c r="U4200" t="s">
        <v>12568</v>
      </c>
      <c r="V4200" t="s">
        <v>12568</v>
      </c>
      <c r="W4200" t="s">
        <v>16723</v>
      </c>
      <c r="X4200">
        <v>3</v>
      </c>
      <c r="Y4200" t="s">
        <v>22835</v>
      </c>
      <c r="Z4200" t="s">
        <v>29070</v>
      </c>
      <c r="AA4200">
        <v>0.64406161303606924</v>
      </c>
      <c r="AB4200" t="str">
        <f>HYPERLINK("Melting_Curves/meltCurve_Q8NC96_NECAP1.pdf", "Melting_Curves/meltCurve_Q8NC96_NECAP1.pdf")</f>
        <v>Melting_Curves/meltCurve_Q8NC96_NECAP1.pdf</v>
      </c>
    </row>
    <row r="4201" spans="1:28" x14ac:dyDescent="0.25">
      <c r="A4201" t="s">
        <v>4205</v>
      </c>
      <c r="B4201">
        <v>0.99352677808782597</v>
      </c>
      <c r="C4201">
        <v>0.959814255621809</v>
      </c>
      <c r="D4201">
        <v>0.85079770989210901</v>
      </c>
      <c r="E4201">
        <v>0.32654973719210201</v>
      </c>
      <c r="F4201">
        <v>0.31078471883005798</v>
      </c>
      <c r="G4201">
        <v>0.185081893088612</v>
      </c>
      <c r="H4201">
        <v>0.14662297593087401</v>
      </c>
      <c r="I4201">
        <v>0.118690367850287</v>
      </c>
      <c r="J4201">
        <v>0.101714196286757</v>
      </c>
      <c r="K4201">
        <v>7.5942346694591698E-2</v>
      </c>
      <c r="L4201">
        <v>1174.0805867423001</v>
      </c>
      <c r="M4201">
        <v>24.249511151316</v>
      </c>
      <c r="N4201">
        <v>49.004687726773199</v>
      </c>
      <c r="O4201">
        <v>48.091001409360999</v>
      </c>
      <c r="P4201">
        <v>-0.110149214956859</v>
      </c>
      <c r="Q4201">
        <v>0.12623279373844701</v>
      </c>
      <c r="R4201">
        <v>0.98384819789646105</v>
      </c>
      <c r="S4201" t="s">
        <v>10486</v>
      </c>
      <c r="T4201" t="s">
        <v>12568</v>
      </c>
      <c r="U4201" t="s">
        <v>12568</v>
      </c>
      <c r="V4201" t="s">
        <v>12568</v>
      </c>
      <c r="W4201" t="s">
        <v>16724</v>
      </c>
      <c r="X4201">
        <v>4</v>
      </c>
      <c r="Y4201" t="s">
        <v>22836</v>
      </c>
      <c r="Z4201" t="s">
        <v>29071</v>
      </c>
      <c r="AA4201">
        <v>0.3796056114690185</v>
      </c>
      <c r="AB4201" t="str">
        <f>HYPERLINK("Melting_Curves/meltCurve_Q8NCA5_2_FAM98A.pdf", "Melting_Curves/meltCurve_Q8NCA5_2_FAM98A.pdf")</f>
        <v>Melting_Curves/meltCurve_Q8NCA5_2_FAM98A.pdf</v>
      </c>
    </row>
    <row r="4202" spans="1:28" x14ac:dyDescent="0.25">
      <c r="A4202" t="s">
        <v>4206</v>
      </c>
      <c r="B4202">
        <v>0.99352677808782597</v>
      </c>
      <c r="C4202">
        <v>1.02982882102136</v>
      </c>
      <c r="D4202">
        <v>0.97487931240169501</v>
      </c>
      <c r="E4202">
        <v>0.96311695308678102</v>
      </c>
      <c r="F4202">
        <v>0.88203050194942001</v>
      </c>
      <c r="G4202">
        <v>0.69182414000765702</v>
      </c>
      <c r="H4202">
        <v>0.77703186554654702</v>
      </c>
      <c r="I4202">
        <v>0.77470756421467601</v>
      </c>
      <c r="J4202">
        <v>0.87114650225976398</v>
      </c>
      <c r="K4202">
        <v>0.56906610801171797</v>
      </c>
      <c r="L4202">
        <v>4082.1096164706701</v>
      </c>
      <c r="M4202">
        <v>76.844511432568893</v>
      </c>
      <c r="O4202">
        <v>53.085737794423302</v>
      </c>
      <c r="P4202">
        <v>-9.5300941190320301E-2</v>
      </c>
      <c r="Q4202">
        <v>0.73665679404045004</v>
      </c>
      <c r="R4202">
        <v>0.725990255814151</v>
      </c>
      <c r="S4202" t="s">
        <v>10487</v>
      </c>
      <c r="T4202" t="s">
        <v>12568</v>
      </c>
      <c r="U4202" t="s">
        <v>12568</v>
      </c>
      <c r="V4202" t="s">
        <v>12568</v>
      </c>
      <c r="W4202" t="s">
        <v>16725</v>
      </c>
      <c r="X4202">
        <v>6</v>
      </c>
      <c r="Y4202" t="s">
        <v>22837</v>
      </c>
      <c r="Z4202" t="s">
        <v>29072</v>
      </c>
      <c r="AA4202">
        <v>0.85210071422492617</v>
      </c>
      <c r="AB4202" t="str">
        <f>HYPERLINK("Melting_Curves/meltCurve_Q8NCC3_PLA2G15.pdf", "Melting_Curves/meltCurve_Q8NCC3_PLA2G15.pdf")</f>
        <v>Melting_Curves/meltCurve_Q8NCC3_PLA2G15.pdf</v>
      </c>
    </row>
    <row r="4203" spans="1:28" x14ac:dyDescent="0.25">
      <c r="A4203" t="s">
        <v>4207</v>
      </c>
      <c r="B4203">
        <v>0.99352677808782597</v>
      </c>
      <c r="C4203">
        <v>0.94940266315655297</v>
      </c>
      <c r="D4203">
        <v>1.04410931660051</v>
      </c>
      <c r="E4203">
        <v>0.84695658333290103</v>
      </c>
      <c r="F4203">
        <v>0.80930467174613796</v>
      </c>
      <c r="G4203">
        <v>0.64883971707490495</v>
      </c>
      <c r="H4203">
        <v>0.66129691871924501</v>
      </c>
      <c r="I4203">
        <v>0.55218070571508804</v>
      </c>
      <c r="J4203">
        <v>0.58640481484945295</v>
      </c>
      <c r="K4203">
        <v>0.480756481461733</v>
      </c>
      <c r="L4203">
        <v>697.97399955236904</v>
      </c>
      <c r="M4203">
        <v>12.7594978023537</v>
      </c>
      <c r="O4203">
        <v>53.410879032420702</v>
      </c>
      <c r="P4203">
        <v>-2.98556642315485E-2</v>
      </c>
      <c r="Q4203">
        <v>0.50019528825155202</v>
      </c>
      <c r="R4203">
        <v>0.94648739701284301</v>
      </c>
      <c r="S4203" t="s">
        <v>10488</v>
      </c>
      <c r="T4203" t="s">
        <v>12568</v>
      </c>
      <c r="U4203" t="s">
        <v>12568</v>
      </c>
      <c r="V4203" t="s">
        <v>12568</v>
      </c>
      <c r="W4203" t="s">
        <v>16726</v>
      </c>
      <c r="X4203">
        <v>2</v>
      </c>
      <c r="Y4203" t="s">
        <v>22838</v>
      </c>
      <c r="Z4203" t="s">
        <v>29073</v>
      </c>
      <c r="AA4203">
        <v>0.75668379231083704</v>
      </c>
      <c r="AB4203" t="str">
        <f>HYPERLINK("Melting_Curves/meltCurve_Q8NCD3_3_HJURP.pdf", "Melting_Curves/meltCurve_Q8NCD3_3_HJURP.pdf")</f>
        <v>Melting_Curves/meltCurve_Q8NCD3_3_HJURP.pdf</v>
      </c>
    </row>
    <row r="4204" spans="1:28" x14ac:dyDescent="0.25">
      <c r="A4204" t="s">
        <v>4208</v>
      </c>
      <c r="B4204">
        <v>0.99352677808782597</v>
      </c>
      <c r="C4204">
        <v>0.83847541811209403</v>
      </c>
      <c r="D4204">
        <v>0.731180760753255</v>
      </c>
      <c r="E4204">
        <v>0.30967483260635398</v>
      </c>
      <c r="F4204">
        <v>0.27356074831205901</v>
      </c>
      <c r="G4204">
        <v>0.17370845362089901</v>
      </c>
      <c r="H4204">
        <v>0.110248943947099</v>
      </c>
      <c r="I4204">
        <v>9.3527090063034196E-2</v>
      </c>
      <c r="J4204">
        <v>6.9687037823898096E-2</v>
      </c>
      <c r="K4204">
        <v>5.8290633741735001E-2</v>
      </c>
      <c r="L4204">
        <v>776.32780141958199</v>
      </c>
      <c r="M4204">
        <v>16.2350138876205</v>
      </c>
      <c r="N4204">
        <v>48.313017036832498</v>
      </c>
      <c r="O4204">
        <v>47.110257222780703</v>
      </c>
      <c r="P4204">
        <v>-7.9560214072504506E-2</v>
      </c>
      <c r="Q4204">
        <v>7.6606738653162601E-2</v>
      </c>
      <c r="R4204">
        <v>0.98790997358344501</v>
      </c>
      <c r="S4204" t="s">
        <v>10489</v>
      </c>
      <c r="T4204" t="s">
        <v>12568</v>
      </c>
      <c r="U4204" t="s">
        <v>12568</v>
      </c>
      <c r="V4204" t="s">
        <v>12568</v>
      </c>
      <c r="W4204" t="s">
        <v>16727</v>
      </c>
      <c r="X4204">
        <v>5</v>
      </c>
      <c r="Y4204" t="s">
        <v>22839</v>
      </c>
      <c r="Z4204" t="s">
        <v>29074</v>
      </c>
      <c r="AA4204">
        <v>0.33767070573085167</v>
      </c>
      <c r="AB4204" t="str">
        <f>HYPERLINK("Melting_Curves/meltCurve_Q8NCE0_4_TSEN2.pdf", "Melting_Curves/meltCurve_Q8NCE0_4_TSEN2.pdf")</f>
        <v>Melting_Curves/meltCurve_Q8NCE0_4_TSEN2.pdf</v>
      </c>
    </row>
    <row r="4205" spans="1:28" x14ac:dyDescent="0.25">
      <c r="A4205" t="s">
        <v>4209</v>
      </c>
      <c r="B4205">
        <v>0.99352677808782597</v>
      </c>
      <c r="C4205">
        <v>1.00805983314187</v>
      </c>
      <c r="D4205">
        <v>0.96667493016760198</v>
      </c>
      <c r="E4205">
        <v>0.77398639210017794</v>
      </c>
      <c r="F4205">
        <v>0.649790629868507</v>
      </c>
      <c r="G4205">
        <v>0.32799078274381999</v>
      </c>
      <c r="H4205">
        <v>0.152970337437521</v>
      </c>
      <c r="I4205">
        <v>0.14769273438479</v>
      </c>
      <c r="J4205">
        <v>0.10547821329305899</v>
      </c>
      <c r="K4205">
        <v>8.7815827105969094E-2</v>
      </c>
      <c r="L4205">
        <v>940.85819064617999</v>
      </c>
      <c r="M4205">
        <v>17.4227655768936</v>
      </c>
      <c r="N4205">
        <v>54.478560163723003</v>
      </c>
      <c r="O4205">
        <v>53.305303086144598</v>
      </c>
      <c r="P4205">
        <v>-7.5937270505731E-2</v>
      </c>
      <c r="Q4205">
        <v>7.0725668920436094E-2</v>
      </c>
      <c r="R4205">
        <v>0.99650742176992302</v>
      </c>
      <c r="S4205" t="s">
        <v>10490</v>
      </c>
      <c r="T4205" t="s">
        <v>12568</v>
      </c>
      <c r="U4205" t="s">
        <v>12568</v>
      </c>
      <c r="V4205" t="s">
        <v>12568</v>
      </c>
      <c r="W4205" t="s">
        <v>16728</v>
      </c>
      <c r="X4205">
        <v>3</v>
      </c>
      <c r="Y4205" t="s">
        <v>22840</v>
      </c>
      <c r="Z4205" t="s">
        <v>29075</v>
      </c>
      <c r="AA4205">
        <v>0.52003221751911888</v>
      </c>
      <c r="AB4205" t="str">
        <f>HYPERLINK("Melting_Curves/meltCurve_Q8NCE2_2_MTMR14.pdf", "Melting_Curves/meltCurve_Q8NCE2_2_MTMR14.pdf")</f>
        <v>Melting_Curves/meltCurve_Q8NCE2_2_MTMR14.pdf</v>
      </c>
    </row>
    <row r="4206" spans="1:28" x14ac:dyDescent="0.25">
      <c r="A4206" t="s">
        <v>4210</v>
      </c>
      <c r="B4206">
        <v>0.99352677808782597</v>
      </c>
      <c r="C4206">
        <v>1.0190796360810701</v>
      </c>
      <c r="D4206">
        <v>1.0132014113527701</v>
      </c>
      <c r="E4206">
        <v>0.72249165252024194</v>
      </c>
      <c r="F4206">
        <v>0.59886711421815897</v>
      </c>
      <c r="G4206">
        <v>0.37866134476348701</v>
      </c>
      <c r="H4206">
        <v>0.27762264060331998</v>
      </c>
      <c r="I4206">
        <v>0.22341266989775899</v>
      </c>
      <c r="J4206">
        <v>0.223033992768017</v>
      </c>
      <c r="K4206">
        <v>0.179986851221626</v>
      </c>
      <c r="L4206">
        <v>910.40190517155997</v>
      </c>
      <c r="M4206">
        <v>17.2306332438209</v>
      </c>
      <c r="N4206">
        <v>54.353759833704103</v>
      </c>
      <c r="O4206">
        <v>52.139972199669302</v>
      </c>
      <c r="P4206">
        <v>-6.6846332640373596E-2</v>
      </c>
      <c r="Q4206">
        <v>0.19093822514726899</v>
      </c>
      <c r="R4206">
        <v>0.99056815748138904</v>
      </c>
      <c r="S4206" t="s">
        <v>10491</v>
      </c>
      <c r="T4206" t="s">
        <v>12568</v>
      </c>
      <c r="U4206" t="s">
        <v>12568</v>
      </c>
      <c r="V4206" t="s">
        <v>12568</v>
      </c>
      <c r="W4206" t="s">
        <v>16729</v>
      </c>
      <c r="X4206">
        <v>4</v>
      </c>
      <c r="Y4206" t="s">
        <v>22841</v>
      </c>
      <c r="Z4206" t="s">
        <v>29076</v>
      </c>
      <c r="AA4206">
        <v>0.55136250408653908</v>
      </c>
      <c r="AB4206" t="str">
        <f>HYPERLINK("Melting_Curves/meltCurve_Q8NCF5_NFATC2IP.pdf", "Melting_Curves/meltCurve_Q8NCF5_NFATC2IP.pdf")</f>
        <v>Melting_Curves/meltCurve_Q8NCF5_NFATC2IP.pdf</v>
      </c>
    </row>
    <row r="4207" spans="1:28" x14ac:dyDescent="0.25">
      <c r="A4207" t="s">
        <v>4211</v>
      </c>
      <c r="B4207">
        <v>0.99352677808782597</v>
      </c>
      <c r="C4207">
        <v>0.99781290928239597</v>
      </c>
      <c r="D4207">
        <v>0.93499599087006002</v>
      </c>
      <c r="E4207">
        <v>0.88007959349968501</v>
      </c>
      <c r="F4207">
        <v>0.77089949365973098</v>
      </c>
      <c r="G4207">
        <v>0.62758577800647197</v>
      </c>
      <c r="H4207">
        <v>0.588191354711742</v>
      </c>
      <c r="I4207">
        <v>0.62004224081761705</v>
      </c>
      <c r="J4207">
        <v>0.66916412375872802</v>
      </c>
      <c r="K4207">
        <v>0.60496347053174804</v>
      </c>
      <c r="L4207">
        <v>1143.33459758554</v>
      </c>
      <c r="M4207">
        <v>22.145800635954298</v>
      </c>
      <c r="O4207">
        <v>51.212165374010603</v>
      </c>
      <c r="P4207">
        <v>-4.1914318692550398E-2</v>
      </c>
      <c r="Q4207">
        <v>0.61230098583234505</v>
      </c>
      <c r="R4207">
        <v>0.97151442492882201</v>
      </c>
      <c r="S4207" t="s">
        <v>10492</v>
      </c>
      <c r="T4207" t="s">
        <v>12568</v>
      </c>
      <c r="U4207" t="s">
        <v>12568</v>
      </c>
      <c r="V4207" t="s">
        <v>12568</v>
      </c>
      <c r="W4207" t="s">
        <v>16730</v>
      </c>
      <c r="X4207">
        <v>5</v>
      </c>
      <c r="Y4207" t="s">
        <v>22842</v>
      </c>
      <c r="Z4207" t="s">
        <v>29077</v>
      </c>
      <c r="AA4207">
        <v>0.76701522703829739</v>
      </c>
      <c r="AB4207" t="str">
        <f>HYPERLINK("Melting_Curves/meltCurve_Q8NCM8_DYNC2H1.pdf", "Melting_Curves/meltCurve_Q8NCM8_DYNC2H1.pdf")</f>
        <v>Melting_Curves/meltCurve_Q8NCM8_DYNC2H1.pdf</v>
      </c>
    </row>
    <row r="4208" spans="1:28" x14ac:dyDescent="0.25">
      <c r="A4208" t="s">
        <v>4212</v>
      </c>
      <c r="B4208">
        <v>0.99352677808782597</v>
      </c>
      <c r="C4208">
        <v>0.90627586135739902</v>
      </c>
      <c r="D4208">
        <v>0.969274572744251</v>
      </c>
      <c r="E4208">
        <v>0.86016941849877304</v>
      </c>
      <c r="F4208">
        <v>0.81434974798603199</v>
      </c>
      <c r="G4208">
        <v>0.76019896271181897</v>
      </c>
      <c r="H4208">
        <v>0.69437925660714295</v>
      </c>
      <c r="I4208">
        <v>0.710076797537041</v>
      </c>
      <c r="J4208">
        <v>0.76977707649899296</v>
      </c>
      <c r="K4208">
        <v>0.68377461674912399</v>
      </c>
      <c r="L4208">
        <v>583.834219467656</v>
      </c>
      <c r="M4208">
        <v>11.4908301234028</v>
      </c>
      <c r="O4208">
        <v>49.342984549455203</v>
      </c>
      <c r="P4208">
        <v>-1.7915416591350399E-2</v>
      </c>
      <c r="Q4208">
        <v>0.692364156071542</v>
      </c>
      <c r="R4208">
        <v>0.90491101012702502</v>
      </c>
      <c r="S4208" t="s">
        <v>10493</v>
      </c>
      <c r="T4208" t="s">
        <v>12568</v>
      </c>
      <c r="U4208" t="s">
        <v>12568</v>
      </c>
      <c r="V4208" t="s">
        <v>12568</v>
      </c>
      <c r="W4208" t="s">
        <v>16731</v>
      </c>
      <c r="X4208">
        <v>6</v>
      </c>
      <c r="Y4208" t="s">
        <v>22843</v>
      </c>
      <c r="Z4208" t="s">
        <v>29078</v>
      </c>
      <c r="AA4208">
        <v>0.81400388061668782</v>
      </c>
      <c r="AB4208" t="str">
        <f>HYPERLINK("Melting_Curves/meltCurve_Q8NCN4_RNF169.pdf", "Melting_Curves/meltCurve_Q8NCN4_RNF169.pdf")</f>
        <v>Melting_Curves/meltCurve_Q8NCN4_RNF169.pdf</v>
      </c>
    </row>
    <row r="4209" spans="1:28" x14ac:dyDescent="0.25">
      <c r="A4209" t="s">
        <v>4213</v>
      </c>
      <c r="B4209">
        <v>0.99352677808782597</v>
      </c>
      <c r="C4209">
        <v>1.02475979894658</v>
      </c>
      <c r="D4209">
        <v>1.01415047385785</v>
      </c>
      <c r="E4209">
        <v>0.67336675376979005</v>
      </c>
      <c r="F4209">
        <v>0.544491345996995</v>
      </c>
      <c r="G4209">
        <v>0.21668965743240701</v>
      </c>
      <c r="H4209">
        <v>0.16284488311781201</v>
      </c>
      <c r="I4209">
        <v>0.14014761389477601</v>
      </c>
      <c r="J4209">
        <v>0.12640449446493299</v>
      </c>
      <c r="K4209">
        <v>0.101576401837289</v>
      </c>
      <c r="L4209">
        <v>1063.2468189850199</v>
      </c>
      <c r="M4209">
        <v>20.3600980520836</v>
      </c>
      <c r="N4209">
        <v>52.867935630441899</v>
      </c>
      <c r="O4209">
        <v>51.726132454972799</v>
      </c>
      <c r="P4209">
        <v>-8.7571759477835201E-2</v>
      </c>
      <c r="Q4209">
        <v>0.11010035049106499</v>
      </c>
      <c r="R4209">
        <v>0.98948706276292897</v>
      </c>
      <c r="S4209" t="s">
        <v>10494</v>
      </c>
      <c r="T4209" t="s">
        <v>12568</v>
      </c>
      <c r="U4209" t="s">
        <v>12568</v>
      </c>
      <c r="V4209" t="s">
        <v>12568</v>
      </c>
      <c r="W4209" t="s">
        <v>16732</v>
      </c>
      <c r="X4209">
        <v>4</v>
      </c>
      <c r="Y4209" t="s">
        <v>22844</v>
      </c>
      <c r="Z4209" t="s">
        <v>29079</v>
      </c>
      <c r="AA4209">
        <v>0.48456593299632039</v>
      </c>
      <c r="AB4209" t="str">
        <f>HYPERLINK("Melting_Curves/meltCurve_Q8NCN5_PDPR.pdf", "Melting_Curves/meltCurve_Q8NCN5_PDPR.pdf")</f>
        <v>Melting_Curves/meltCurve_Q8NCN5_PDPR.pdf</v>
      </c>
    </row>
    <row r="4210" spans="1:28" x14ac:dyDescent="0.25">
      <c r="A4210" t="s">
        <v>4214</v>
      </c>
      <c r="B4210">
        <v>0.99352677808782597</v>
      </c>
      <c r="C4210">
        <v>1.02586252927122</v>
      </c>
      <c r="D4210">
        <v>0.98824236097900497</v>
      </c>
      <c r="E4210">
        <v>0.91984492633069603</v>
      </c>
      <c r="F4210">
        <v>0.73341636747794103</v>
      </c>
      <c r="G4210">
        <v>0.78375014918798802</v>
      </c>
      <c r="H4210">
        <v>0.58034683771204199</v>
      </c>
      <c r="I4210">
        <v>0.49758914449931202</v>
      </c>
      <c r="J4210">
        <v>0.23913781947922</v>
      </c>
      <c r="K4210">
        <v>0.13107944896183399</v>
      </c>
      <c r="L4210">
        <v>711.90134986797602</v>
      </c>
      <c r="M4210">
        <v>11.494225183525399</v>
      </c>
      <c r="N4210">
        <v>61.935566671130601</v>
      </c>
      <c r="O4210">
        <v>60.149842669302103</v>
      </c>
      <c r="P4210">
        <v>-4.77869045095205E-2</v>
      </c>
      <c r="Q4210">
        <v>0</v>
      </c>
      <c r="R4210">
        <v>0.95352408451931103</v>
      </c>
      <c r="S4210" t="s">
        <v>10495</v>
      </c>
      <c r="T4210" t="s">
        <v>12568</v>
      </c>
      <c r="U4210" t="s">
        <v>12568</v>
      </c>
      <c r="V4210" t="s">
        <v>12568</v>
      </c>
      <c r="W4210" t="s">
        <v>16733</v>
      </c>
      <c r="X4210">
        <v>14</v>
      </c>
      <c r="Y4210" t="s">
        <v>22845</v>
      </c>
      <c r="Z4210" t="s">
        <v>29080</v>
      </c>
      <c r="AA4210">
        <v>0.71827625637022152</v>
      </c>
      <c r="AB4210" t="str">
        <f>HYPERLINK("Melting_Curves/meltCurve_Q8NCW5_APOA1BP.pdf", "Melting_Curves/meltCurve_Q8NCW5_APOA1BP.pdf")</f>
        <v>Melting_Curves/meltCurve_Q8NCW5_APOA1BP.pdf</v>
      </c>
    </row>
    <row r="4211" spans="1:28" x14ac:dyDescent="0.25">
      <c r="A4211" t="s">
        <v>4215</v>
      </c>
      <c r="B4211">
        <v>0.99352677808782597</v>
      </c>
      <c r="C4211">
        <v>0.91222011898552302</v>
      </c>
      <c r="D4211">
        <v>0.69112920970875902</v>
      </c>
      <c r="E4211">
        <v>0.33962666712165401</v>
      </c>
      <c r="F4211">
        <v>0.29629571132410998</v>
      </c>
      <c r="G4211">
        <v>0.17934963828834199</v>
      </c>
      <c r="H4211">
        <v>0.138324723832041</v>
      </c>
      <c r="I4211">
        <v>0.12593529294217501</v>
      </c>
      <c r="J4211">
        <v>0.10578265157257299</v>
      </c>
      <c r="K4211">
        <v>8.1254462897483296E-2</v>
      </c>
      <c r="L4211">
        <v>837.22530441499396</v>
      </c>
      <c r="M4211">
        <v>17.551707515398</v>
      </c>
      <c r="N4211">
        <v>48.398949919232798</v>
      </c>
      <c r="O4211">
        <v>47.094221318849598</v>
      </c>
      <c r="P4211">
        <v>-8.2753806560874305E-2</v>
      </c>
      <c r="Q4211">
        <v>0.111878164133559</v>
      </c>
      <c r="R4211">
        <v>0.99291633396082501</v>
      </c>
      <c r="S4211" t="s">
        <v>10496</v>
      </c>
      <c r="T4211" t="s">
        <v>12568</v>
      </c>
      <c r="U4211" t="s">
        <v>12568</v>
      </c>
      <c r="V4211" t="s">
        <v>12568</v>
      </c>
      <c r="W4211" t="s">
        <v>16734</v>
      </c>
      <c r="X4211">
        <v>7</v>
      </c>
      <c r="Y4211" t="s">
        <v>22846</v>
      </c>
      <c r="Z4211" t="s">
        <v>29081</v>
      </c>
      <c r="AA4211">
        <v>0.35662683677026352</v>
      </c>
      <c r="AB4211" t="str">
        <f>HYPERLINK("Melting_Curves/meltCurve_Q8ND04_SMG8.pdf", "Melting_Curves/meltCurve_Q8ND04_SMG8.pdf")</f>
        <v>Melting_Curves/meltCurve_Q8ND04_SMG8.pdf</v>
      </c>
    </row>
    <row r="4212" spans="1:28" x14ac:dyDescent="0.25">
      <c r="A4212" t="s">
        <v>4216</v>
      </c>
      <c r="B4212">
        <v>0.99352677808782597</v>
      </c>
      <c r="C4212">
        <v>1.00312640379037</v>
      </c>
      <c r="D4212">
        <v>1.0223856743064399</v>
      </c>
      <c r="E4212">
        <v>0.74893222664592196</v>
      </c>
      <c r="F4212">
        <v>0.63891912249268801</v>
      </c>
      <c r="G4212">
        <v>0.49584677283417899</v>
      </c>
      <c r="H4212">
        <v>0.38119880889647501</v>
      </c>
      <c r="I4212">
        <v>0.381555978090932</v>
      </c>
      <c r="J4212">
        <v>0.37306215403697601</v>
      </c>
      <c r="K4212">
        <v>0.31912882479346499</v>
      </c>
      <c r="L4212">
        <v>933.00122700592601</v>
      </c>
      <c r="M4212">
        <v>17.837841779884801</v>
      </c>
      <c r="N4212">
        <v>55.978710937536903</v>
      </c>
      <c r="O4212">
        <v>51.660525407003803</v>
      </c>
      <c r="P4212">
        <v>-5.6549597339025801E-2</v>
      </c>
      <c r="Q4212">
        <v>0.344935877434912</v>
      </c>
      <c r="R4212">
        <v>0.98535781190212601</v>
      </c>
      <c r="S4212" t="s">
        <v>10497</v>
      </c>
      <c r="T4212" t="s">
        <v>12568</v>
      </c>
      <c r="U4212" t="s">
        <v>12568</v>
      </c>
      <c r="V4212" t="s">
        <v>12568</v>
      </c>
      <c r="W4212" t="s">
        <v>16735</v>
      </c>
      <c r="X4212">
        <v>17</v>
      </c>
      <c r="Y4212" t="s">
        <v>22847</v>
      </c>
      <c r="Z4212" t="s">
        <v>29082</v>
      </c>
      <c r="AA4212">
        <v>0.62463112033122714</v>
      </c>
      <c r="AB4212" t="str">
        <f>HYPERLINK("Melting_Curves/meltCurve_Q8ND24_RNF214.pdf", "Melting_Curves/meltCurve_Q8ND24_RNF214.pdf")</f>
        <v>Melting_Curves/meltCurve_Q8ND24_RNF214.pdf</v>
      </c>
    </row>
    <row r="4213" spans="1:28" x14ac:dyDescent="0.25">
      <c r="A4213" t="s">
        <v>4217</v>
      </c>
      <c r="B4213">
        <v>0.99352677808782597</v>
      </c>
      <c r="C4213">
        <v>0.97426311293693502</v>
      </c>
      <c r="D4213">
        <v>0.93038234090822103</v>
      </c>
      <c r="E4213">
        <v>0.52838573307766801</v>
      </c>
      <c r="F4213">
        <v>0.46261396281204697</v>
      </c>
      <c r="G4213">
        <v>0.337599712028329</v>
      </c>
      <c r="H4213">
        <v>0.29259449808159899</v>
      </c>
      <c r="I4213">
        <v>0.29856367115013899</v>
      </c>
      <c r="J4213">
        <v>0.26652913914207099</v>
      </c>
      <c r="K4213">
        <v>0.224418804480947</v>
      </c>
      <c r="L4213">
        <v>1067.45010282008</v>
      </c>
      <c r="M4213">
        <v>21.588616169510502</v>
      </c>
      <c r="N4213">
        <v>51.334289294667798</v>
      </c>
      <c r="O4213">
        <v>49.026636714136899</v>
      </c>
      <c r="P4213">
        <v>-7.99133627244763E-2</v>
      </c>
      <c r="Q4213">
        <v>0.27410060135020198</v>
      </c>
      <c r="R4213">
        <v>0.98525537416103504</v>
      </c>
      <c r="S4213" t="s">
        <v>10498</v>
      </c>
      <c r="T4213" t="s">
        <v>12568</v>
      </c>
      <c r="U4213" t="s">
        <v>12568</v>
      </c>
      <c r="V4213" t="s">
        <v>12568</v>
      </c>
      <c r="W4213" t="s">
        <v>16736</v>
      </c>
      <c r="X4213">
        <v>10</v>
      </c>
      <c r="Y4213" t="s">
        <v>22848</v>
      </c>
      <c r="Z4213" t="s">
        <v>29083</v>
      </c>
      <c r="AA4213">
        <v>0.5113311346707623</v>
      </c>
      <c r="AB4213" t="str">
        <f>HYPERLINK("Melting_Curves/meltCurve_Q8ND30_PPFIBP2.pdf", "Melting_Curves/meltCurve_Q8ND30_PPFIBP2.pdf")</f>
        <v>Melting_Curves/meltCurve_Q8ND30_PPFIBP2.pdf</v>
      </c>
    </row>
    <row r="4214" spans="1:28" x14ac:dyDescent="0.25">
      <c r="A4214" t="s">
        <v>4218</v>
      </c>
      <c r="B4214">
        <v>0.99352677808782597</v>
      </c>
      <c r="C4214">
        <v>0.93692820470918403</v>
      </c>
      <c r="D4214">
        <v>0.98409070013015199</v>
      </c>
      <c r="E4214">
        <v>0.80897508898578296</v>
      </c>
      <c r="F4214">
        <v>0.72895020098687702</v>
      </c>
      <c r="G4214">
        <v>0.59755508516199496</v>
      </c>
      <c r="H4214">
        <v>0.472085829847042</v>
      </c>
      <c r="I4214">
        <v>0.45876084473057299</v>
      </c>
      <c r="J4214">
        <v>0.441423703775772</v>
      </c>
      <c r="K4214">
        <v>0.35014302659216101</v>
      </c>
      <c r="L4214">
        <v>625.968296464991</v>
      </c>
      <c r="M4214">
        <v>11.4322709070311</v>
      </c>
      <c r="N4214">
        <v>60.584320093164202</v>
      </c>
      <c r="O4214">
        <v>53.1594824782213</v>
      </c>
      <c r="P4214">
        <v>-3.5839891013107798E-2</v>
      </c>
      <c r="Q4214">
        <v>0.333579047985407</v>
      </c>
      <c r="R4214">
        <v>0.98588928853748103</v>
      </c>
      <c r="S4214" t="s">
        <v>10499</v>
      </c>
      <c r="T4214" t="s">
        <v>12568</v>
      </c>
      <c r="U4214" t="s">
        <v>12568</v>
      </c>
      <c r="V4214" t="s">
        <v>12568</v>
      </c>
      <c r="W4214" t="s">
        <v>16737</v>
      </c>
      <c r="X4214">
        <v>21</v>
      </c>
      <c r="Y4214" t="s">
        <v>22849</v>
      </c>
      <c r="Z4214" t="s">
        <v>29084</v>
      </c>
      <c r="AA4214">
        <v>0.67798918582852463</v>
      </c>
      <c r="AB4214" t="str">
        <f>HYPERLINK("Melting_Curves/meltCurve_Q8ND56_2_LSM14A.pdf", "Melting_Curves/meltCurve_Q8ND56_2_LSM14A.pdf")</f>
        <v>Melting_Curves/meltCurve_Q8ND56_2_LSM14A.pdf</v>
      </c>
    </row>
    <row r="4215" spans="1:28" x14ac:dyDescent="0.25">
      <c r="A4215" t="s">
        <v>4219</v>
      </c>
      <c r="B4215">
        <v>0.99352677808782597</v>
      </c>
      <c r="C4215">
        <v>0.54912145958028602</v>
      </c>
      <c r="D4215">
        <v>0.74332593665859203</v>
      </c>
      <c r="E4215">
        <v>0.77091405109587896</v>
      </c>
      <c r="F4215">
        <v>0.69390266072723805</v>
      </c>
      <c r="G4215">
        <v>0.59045866928995405</v>
      </c>
      <c r="H4215">
        <v>0.42580127426104403</v>
      </c>
      <c r="I4215">
        <v>0.44583508031768099</v>
      </c>
      <c r="J4215">
        <v>0.47369866767672197</v>
      </c>
      <c r="K4215">
        <v>0.37858457677242902</v>
      </c>
      <c r="L4215">
        <v>198.584417171122</v>
      </c>
      <c r="M4215">
        <v>3.2332261920284999</v>
      </c>
      <c r="N4215">
        <v>61.419910234666801</v>
      </c>
      <c r="O4215">
        <v>46.684044736754998</v>
      </c>
      <c r="P4215">
        <v>-1.7744090899057999E-2</v>
      </c>
      <c r="Q4215">
        <v>0</v>
      </c>
      <c r="R4215">
        <v>0.67798849846799902</v>
      </c>
      <c r="S4215" t="s">
        <v>10500</v>
      </c>
      <c r="T4215" t="s">
        <v>12568</v>
      </c>
      <c r="U4215" t="s">
        <v>12568</v>
      </c>
      <c r="V4215" t="s">
        <v>12568</v>
      </c>
      <c r="W4215" t="s">
        <v>16738</v>
      </c>
      <c r="X4215">
        <v>2</v>
      </c>
      <c r="Y4215" t="s">
        <v>22850</v>
      </c>
      <c r="Z4215" t="s">
        <v>29085</v>
      </c>
      <c r="AA4215">
        <v>0.60547579061480816</v>
      </c>
      <c r="AB4215" t="str">
        <f>HYPERLINK("Melting_Curves/meltCurve_Q8ND76_3_CCNY.pdf", "Melting_Curves/meltCurve_Q8ND76_3_CCNY.pdf")</f>
        <v>Melting_Curves/meltCurve_Q8ND76_3_CCNY.pdf</v>
      </c>
    </row>
    <row r="4216" spans="1:28" x14ac:dyDescent="0.25">
      <c r="A4216" t="s">
        <v>4220</v>
      </c>
      <c r="B4216">
        <v>0.99352677808782597</v>
      </c>
      <c r="C4216">
        <v>0.97942852503012501</v>
      </c>
      <c r="D4216">
        <v>1.0211015592960599</v>
      </c>
      <c r="E4216">
        <v>1.0150129773176699</v>
      </c>
      <c r="F4216">
        <v>0.87617242807649098</v>
      </c>
      <c r="G4216">
        <v>0.83402308033396899</v>
      </c>
      <c r="H4216">
        <v>0.789188566509477</v>
      </c>
      <c r="I4216">
        <v>0.82362334845789797</v>
      </c>
      <c r="J4216">
        <v>0.83561425353392105</v>
      </c>
      <c r="K4216">
        <v>0.81664329586990603</v>
      </c>
      <c r="L4216">
        <v>13208.276449823399</v>
      </c>
      <c r="M4216">
        <v>250</v>
      </c>
      <c r="O4216">
        <v>52.829729917450997</v>
      </c>
      <c r="P4216">
        <v>-0.21316301740069299</v>
      </c>
      <c r="Q4216">
        <v>0.81981850333055994</v>
      </c>
      <c r="R4216">
        <v>0.96690839698605502</v>
      </c>
      <c r="S4216" t="s">
        <v>10501</v>
      </c>
      <c r="T4216" t="s">
        <v>12568</v>
      </c>
      <c r="U4216" t="s">
        <v>12568</v>
      </c>
      <c r="V4216" t="s">
        <v>12568</v>
      </c>
      <c r="W4216" t="s">
        <v>16739</v>
      </c>
      <c r="X4216">
        <v>2</v>
      </c>
      <c r="Y4216" t="s">
        <v>22851</v>
      </c>
      <c r="Z4216" t="s">
        <v>29086</v>
      </c>
      <c r="AA4216">
        <v>0.8969114836504094</v>
      </c>
      <c r="AB4216" t="str">
        <f>HYPERLINK("Melting_Curves/meltCurve_Q8NDC0_MAPK1IP1L.pdf", "Melting_Curves/meltCurve_Q8NDC0_MAPK1IP1L.pdf")</f>
        <v>Melting_Curves/meltCurve_Q8NDC0_MAPK1IP1L.pdf</v>
      </c>
    </row>
    <row r="4217" spans="1:28" x14ac:dyDescent="0.25">
      <c r="A4217" t="s">
        <v>4221</v>
      </c>
      <c r="B4217">
        <v>0.99352677808782597</v>
      </c>
      <c r="C4217">
        <v>0.96013747595648402</v>
      </c>
      <c r="D4217">
        <v>1.0255776834324599</v>
      </c>
      <c r="E4217">
        <v>0.921168866248815</v>
      </c>
      <c r="F4217">
        <v>0.84321633141138097</v>
      </c>
      <c r="G4217">
        <v>0.859598636965757</v>
      </c>
      <c r="H4217">
        <v>0.73106013638509204</v>
      </c>
      <c r="I4217">
        <v>0.84715761524400501</v>
      </c>
      <c r="J4217">
        <v>0.82842658562007099</v>
      </c>
      <c r="K4217">
        <v>0.75321312477977698</v>
      </c>
      <c r="L4217">
        <v>1375.02710616077</v>
      </c>
      <c r="M4217">
        <v>26.929800605661299</v>
      </c>
      <c r="O4217">
        <v>50.780620573163297</v>
      </c>
      <c r="P4217">
        <v>-2.6679277436379899E-2</v>
      </c>
      <c r="Q4217">
        <v>0.79876914536900201</v>
      </c>
      <c r="R4217">
        <v>0.81934698770747905</v>
      </c>
      <c r="S4217" t="s">
        <v>10502</v>
      </c>
      <c r="T4217" t="s">
        <v>12568</v>
      </c>
      <c r="U4217" t="s">
        <v>12568</v>
      </c>
      <c r="V4217" t="s">
        <v>12568</v>
      </c>
      <c r="W4217" t="s">
        <v>16740</v>
      </c>
      <c r="X4217">
        <v>2</v>
      </c>
      <c r="Y4217" t="s">
        <v>22852</v>
      </c>
      <c r="Z4217" t="s">
        <v>29087</v>
      </c>
      <c r="AA4217">
        <v>0.87452477109511817</v>
      </c>
      <c r="AB4217" t="str">
        <f>HYPERLINK("Melting_Curves/meltCurve_Q8NDF8_PAPD5.pdf", "Melting_Curves/meltCurve_Q8NDF8_PAPD5.pdf")</f>
        <v>Melting_Curves/meltCurve_Q8NDF8_PAPD5.pdf</v>
      </c>
    </row>
    <row r="4218" spans="1:28" x14ac:dyDescent="0.25">
      <c r="A4218" t="s">
        <v>4222</v>
      </c>
      <c r="B4218">
        <v>0.99352677808782597</v>
      </c>
      <c r="C4218">
        <v>1.01336044550034</v>
      </c>
      <c r="D4218">
        <v>0.81743564329111396</v>
      </c>
      <c r="E4218">
        <v>0.55309528024585797</v>
      </c>
      <c r="F4218">
        <v>0.43185755806006398</v>
      </c>
      <c r="G4218">
        <v>0.29177645586871798</v>
      </c>
      <c r="H4218">
        <v>0.233703213967904</v>
      </c>
      <c r="I4218">
        <v>0.13626468490121099</v>
      </c>
      <c r="J4218">
        <v>9.1246290463256705E-2</v>
      </c>
      <c r="K4218">
        <v>5.7065790731110899E-2</v>
      </c>
      <c r="L4218">
        <v>655.46518292647704</v>
      </c>
      <c r="M4218">
        <v>12.792513327263499</v>
      </c>
      <c r="N4218">
        <v>51.816303951548797</v>
      </c>
      <c r="O4218">
        <v>50.034545983596203</v>
      </c>
      <c r="P4218">
        <v>-5.9678785700082199E-2</v>
      </c>
      <c r="Q4218">
        <v>6.6504485688398604E-2</v>
      </c>
      <c r="R4218">
        <v>0.98628231289970503</v>
      </c>
      <c r="S4218" t="s">
        <v>10503</v>
      </c>
      <c r="T4218" t="s">
        <v>12568</v>
      </c>
      <c r="U4218" t="s">
        <v>12568</v>
      </c>
      <c r="V4218" t="s">
        <v>12568</v>
      </c>
      <c r="W4218" t="s">
        <v>16741</v>
      </c>
      <c r="X4218">
        <v>10</v>
      </c>
      <c r="Y4218" t="s">
        <v>22853</v>
      </c>
      <c r="Z4218" t="s">
        <v>29088</v>
      </c>
      <c r="AA4218">
        <v>0.44357658684234302</v>
      </c>
      <c r="AB4218" t="str">
        <f>HYPERLINK("Melting_Curves/meltCurve_Q8NDH3_NPEPL1.pdf", "Melting_Curves/meltCurve_Q8NDH3_NPEPL1.pdf")</f>
        <v>Melting_Curves/meltCurve_Q8NDH3_NPEPL1.pdf</v>
      </c>
    </row>
    <row r="4219" spans="1:28" x14ac:dyDescent="0.25">
      <c r="A4219" t="s">
        <v>4223</v>
      </c>
      <c r="B4219">
        <v>0.99352677808782597</v>
      </c>
      <c r="C4219">
        <v>0.91300014056038403</v>
      </c>
      <c r="D4219">
        <v>0.83504002649728604</v>
      </c>
      <c r="E4219">
        <v>0.47561136740625398</v>
      </c>
      <c r="F4219">
        <v>0.40270501864709701</v>
      </c>
      <c r="G4219">
        <v>0.30815105331804299</v>
      </c>
      <c r="H4219">
        <v>0.25533684566106601</v>
      </c>
      <c r="I4219">
        <v>0.27294477039766102</v>
      </c>
      <c r="J4219">
        <v>0.251400542109323</v>
      </c>
      <c r="K4219">
        <v>0.20947068753759401</v>
      </c>
      <c r="L4219">
        <v>896.86514487971499</v>
      </c>
      <c r="M4219">
        <v>18.486670073764</v>
      </c>
      <c r="N4219">
        <v>50.338376039998401</v>
      </c>
      <c r="O4219">
        <v>47.9571755516289</v>
      </c>
      <c r="P4219">
        <v>-7.2846893826247303E-2</v>
      </c>
      <c r="Q4219">
        <v>0.24413094944583999</v>
      </c>
      <c r="R4219">
        <v>0.99150055413846605</v>
      </c>
      <c r="S4219" t="s">
        <v>10504</v>
      </c>
      <c r="T4219" t="s">
        <v>12568</v>
      </c>
      <c r="U4219" t="s">
        <v>12568</v>
      </c>
      <c r="V4219" t="s">
        <v>12568</v>
      </c>
      <c r="W4219" t="s">
        <v>16742</v>
      </c>
      <c r="X4219">
        <v>36</v>
      </c>
      <c r="Y4219" t="s">
        <v>22854</v>
      </c>
      <c r="Z4219" t="s">
        <v>29089</v>
      </c>
      <c r="AA4219">
        <v>0.47117523181531151</v>
      </c>
      <c r="AB4219" t="str">
        <f>HYPERLINK("Melting_Curves/meltCurve_Q8NDI1_3_EHBP1.pdf", "Melting_Curves/meltCurve_Q8NDI1_3_EHBP1.pdf")</f>
        <v>Melting_Curves/meltCurve_Q8NDI1_3_EHBP1.pdf</v>
      </c>
    </row>
    <row r="4220" spans="1:28" x14ac:dyDescent="0.25">
      <c r="A4220" t="s">
        <v>4224</v>
      </c>
      <c r="B4220">
        <v>0.99352677808782597</v>
      </c>
      <c r="C4220">
        <v>0.97353627656460096</v>
      </c>
      <c r="D4220">
        <v>1.0094243418834701</v>
      </c>
      <c r="E4220">
        <v>0.96816286797345996</v>
      </c>
      <c r="F4220">
        <v>0.96961046924165994</v>
      </c>
      <c r="G4220">
        <v>0.305549312764678</v>
      </c>
      <c r="H4220">
        <v>0.79842487715692501</v>
      </c>
      <c r="I4220">
        <v>0.658533781456628</v>
      </c>
      <c r="J4220">
        <v>0.69707457937808004</v>
      </c>
      <c r="K4220">
        <v>0.57278968993917201</v>
      </c>
      <c r="L4220">
        <v>13381.4741917459</v>
      </c>
      <c r="M4220">
        <v>250</v>
      </c>
      <c r="O4220">
        <v>53.522471447107499</v>
      </c>
      <c r="P4220">
        <v>-0.45953308472260801</v>
      </c>
      <c r="Q4220">
        <v>0.60647445783543097</v>
      </c>
      <c r="R4220">
        <v>0.71449156553382198</v>
      </c>
      <c r="S4220" t="s">
        <v>10505</v>
      </c>
      <c r="T4220" t="s">
        <v>12568</v>
      </c>
      <c r="U4220" t="s">
        <v>12568</v>
      </c>
      <c r="V4220" t="s">
        <v>12568</v>
      </c>
      <c r="W4220" t="s">
        <v>16743</v>
      </c>
      <c r="X4220">
        <v>6</v>
      </c>
      <c r="Y4220" t="s">
        <v>22855</v>
      </c>
      <c r="Z4220" t="s">
        <v>29090</v>
      </c>
      <c r="AA4220">
        <v>0.7839376197728174</v>
      </c>
      <c r="AB4220" t="str">
        <f>HYPERLINK("Melting_Curves/meltCurve_Q8NDV7_6_TNRC6A.pdf", "Melting_Curves/meltCurve_Q8NDV7_6_TNRC6A.pdf")</f>
        <v>Melting_Curves/meltCurve_Q8NDV7_6_TNRC6A.pdf</v>
      </c>
    </row>
    <row r="4221" spans="1:28" x14ac:dyDescent="0.25">
      <c r="A4221" t="s">
        <v>4225</v>
      </c>
      <c r="B4221">
        <v>0.99352677808782597</v>
      </c>
      <c r="C4221">
        <v>0.93516823384133496</v>
      </c>
      <c r="D4221">
        <v>0.97095519223024795</v>
      </c>
      <c r="E4221">
        <v>0.85250557618378797</v>
      </c>
      <c r="F4221">
        <v>0.73948817732389405</v>
      </c>
      <c r="G4221">
        <v>0.64303008451162202</v>
      </c>
      <c r="H4221">
        <v>0.58180355989365096</v>
      </c>
      <c r="I4221">
        <v>0.62835360464359502</v>
      </c>
      <c r="J4221">
        <v>0.67245060019971603</v>
      </c>
      <c r="K4221">
        <v>0.56420056565527599</v>
      </c>
      <c r="L4221">
        <v>1033.7089293982999</v>
      </c>
      <c r="M4221">
        <v>20.2022476048779</v>
      </c>
      <c r="O4221">
        <v>50.674568490345003</v>
      </c>
      <c r="P4221">
        <v>-3.9390198881949702E-2</v>
      </c>
      <c r="Q4221">
        <v>0.60479269547092396</v>
      </c>
      <c r="R4221">
        <v>0.95542097378153501</v>
      </c>
      <c r="S4221" t="s">
        <v>10506</v>
      </c>
      <c r="T4221" t="s">
        <v>12568</v>
      </c>
      <c r="U4221" t="s">
        <v>12568</v>
      </c>
      <c r="V4221" t="s">
        <v>12568</v>
      </c>
      <c r="W4221" t="s">
        <v>16744</v>
      </c>
      <c r="X4221">
        <v>6</v>
      </c>
      <c r="Y4221" t="s">
        <v>22856</v>
      </c>
      <c r="Z4221" t="s">
        <v>29091</v>
      </c>
      <c r="AA4221">
        <v>0.7572974394348948</v>
      </c>
      <c r="AB4221" t="str">
        <f>HYPERLINK("Melting_Curves/meltCurve_Q8NDX5_2_PHC3.pdf", "Melting_Curves/meltCurve_Q8NDX5_2_PHC3.pdf")</f>
        <v>Melting_Curves/meltCurve_Q8NDX5_2_PHC3.pdf</v>
      </c>
    </row>
    <row r="4222" spans="1:28" x14ac:dyDescent="0.25">
      <c r="A4222" t="s">
        <v>4226</v>
      </c>
      <c r="B4222">
        <v>0.99352677808782597</v>
      </c>
      <c r="C4222">
        <v>0.85274672849081201</v>
      </c>
      <c r="D4222">
        <v>0.75838698502381796</v>
      </c>
      <c r="E4222">
        <v>0.381067008658863</v>
      </c>
      <c r="F4222">
        <v>0.31634478796916099</v>
      </c>
      <c r="G4222">
        <v>0.24717281965791699</v>
      </c>
      <c r="H4222">
        <v>0.210444809259036</v>
      </c>
      <c r="I4222">
        <v>0.21905432660129501</v>
      </c>
      <c r="J4222">
        <v>0.209787613660362</v>
      </c>
      <c r="K4222">
        <v>0.17758911938091099</v>
      </c>
      <c r="L4222">
        <v>883.73399811197703</v>
      </c>
      <c r="M4222">
        <v>18.633730338184701</v>
      </c>
      <c r="N4222">
        <v>48.767281718279399</v>
      </c>
      <c r="O4222">
        <v>46.890461584136403</v>
      </c>
      <c r="P4222">
        <v>-7.9437860438458102E-2</v>
      </c>
      <c r="Q4222">
        <v>0.20043522623323901</v>
      </c>
      <c r="R4222">
        <v>0.99093601353636995</v>
      </c>
      <c r="S4222" t="s">
        <v>10507</v>
      </c>
      <c r="T4222" t="s">
        <v>12568</v>
      </c>
      <c r="U4222" t="s">
        <v>12568</v>
      </c>
      <c r="V4222" t="s">
        <v>12568</v>
      </c>
      <c r="W4222" t="s">
        <v>16745</v>
      </c>
      <c r="X4222">
        <v>23</v>
      </c>
      <c r="Y4222" t="s">
        <v>22857</v>
      </c>
      <c r="Z4222" t="s">
        <v>29092</v>
      </c>
      <c r="AA4222">
        <v>0.41180719037839841</v>
      </c>
      <c r="AB4222" t="str">
        <f>HYPERLINK("Melting_Curves/meltCurve_Q8NE71_ABCF1.pdf", "Melting_Curves/meltCurve_Q8NE71_ABCF1.pdf")</f>
        <v>Melting_Curves/meltCurve_Q8NE71_ABCF1.pdf</v>
      </c>
    </row>
    <row r="4223" spans="1:28" x14ac:dyDescent="0.25">
      <c r="A4223" t="s">
        <v>4227</v>
      </c>
      <c r="B4223">
        <v>0.99352677808782597</v>
      </c>
      <c r="C4223">
        <v>0.98322570702232104</v>
      </c>
      <c r="D4223">
        <v>0.86586306371339095</v>
      </c>
      <c r="E4223">
        <v>0.635826092855029</v>
      </c>
      <c r="F4223">
        <v>0.48322709340520098</v>
      </c>
      <c r="G4223">
        <v>0.234260187044148</v>
      </c>
      <c r="H4223">
        <v>0.14062918987984699</v>
      </c>
      <c r="I4223">
        <v>0.14401619146405401</v>
      </c>
      <c r="J4223">
        <v>9.8226090763281301E-2</v>
      </c>
      <c r="K4223">
        <v>8.7307573788793599E-2</v>
      </c>
      <c r="L4223">
        <v>784.73219211469996</v>
      </c>
      <c r="M4223">
        <v>15.178562627347</v>
      </c>
      <c r="N4223">
        <v>52.239312816514598</v>
      </c>
      <c r="O4223">
        <v>50.827558867610399</v>
      </c>
      <c r="P4223">
        <v>-6.9249974931548205E-2</v>
      </c>
      <c r="Q4223">
        <v>7.2516233394597202E-2</v>
      </c>
      <c r="R4223">
        <v>0.99746569189801004</v>
      </c>
      <c r="S4223" t="s">
        <v>10508</v>
      </c>
      <c r="T4223" t="s">
        <v>12568</v>
      </c>
      <c r="U4223" t="s">
        <v>12568</v>
      </c>
      <c r="V4223" t="s">
        <v>12568</v>
      </c>
      <c r="W4223" t="s">
        <v>16746</v>
      </c>
      <c r="X4223">
        <v>9</v>
      </c>
      <c r="Y4223" t="s">
        <v>22858</v>
      </c>
      <c r="Z4223" t="s">
        <v>29093</v>
      </c>
      <c r="AA4223">
        <v>0.45479865287982679</v>
      </c>
      <c r="AB4223" t="str">
        <f>HYPERLINK("Melting_Curves/meltCurve_Q8NEB9_PIK3C3.pdf", "Melting_Curves/meltCurve_Q8NEB9_PIK3C3.pdf")</f>
        <v>Melting_Curves/meltCurve_Q8NEB9_PIK3C3.pdf</v>
      </c>
    </row>
    <row r="4224" spans="1:28" x14ac:dyDescent="0.25">
      <c r="A4224" t="s">
        <v>4228</v>
      </c>
      <c r="B4224">
        <v>0.99352677808782597</v>
      </c>
      <c r="C4224">
        <v>0.92605904855203103</v>
      </c>
      <c r="D4224">
        <v>0.69159940488840499</v>
      </c>
      <c r="E4224">
        <v>0.30398136720142299</v>
      </c>
      <c r="F4224">
        <v>0.210845090856178</v>
      </c>
      <c r="G4224">
        <v>0.14941727925127801</v>
      </c>
      <c r="H4224">
        <v>9.83520431604894E-2</v>
      </c>
      <c r="I4224">
        <v>0.111965790810691</v>
      </c>
      <c r="J4224">
        <v>8.4923834632558301E-2</v>
      </c>
      <c r="K4224">
        <v>3.7093505381903202E-2</v>
      </c>
      <c r="L4224">
        <v>980.50859767025997</v>
      </c>
      <c r="M4224">
        <v>20.637528965465499</v>
      </c>
      <c r="N4224">
        <v>47.962707282415103</v>
      </c>
      <c r="O4224">
        <v>47.071577828476499</v>
      </c>
      <c r="P4224">
        <v>-9.9928559213174006E-2</v>
      </c>
      <c r="Q4224">
        <v>8.8328437199964194E-2</v>
      </c>
      <c r="R4224">
        <v>0.99512545448410406</v>
      </c>
      <c r="S4224" t="s">
        <v>10509</v>
      </c>
      <c r="T4224" t="s">
        <v>12568</v>
      </c>
      <c r="U4224" t="s">
        <v>12568</v>
      </c>
      <c r="V4224" t="s">
        <v>12568</v>
      </c>
      <c r="W4224" t="s">
        <v>16747</v>
      </c>
      <c r="X4224">
        <v>9</v>
      </c>
      <c r="Y4224" t="s">
        <v>22859</v>
      </c>
      <c r="Z4224" t="s">
        <v>29094</v>
      </c>
      <c r="AA4224">
        <v>0.32883041615440223</v>
      </c>
      <c r="AB4224" t="str">
        <f>HYPERLINK("Melting_Curves/meltCurve_Q8NEC7_GSTCD.pdf", "Melting_Curves/meltCurve_Q8NEC7_GSTCD.pdf")</f>
        <v>Melting_Curves/meltCurve_Q8NEC7_GSTCD.pdf</v>
      </c>
    </row>
    <row r="4225" spans="1:28" x14ac:dyDescent="0.25">
      <c r="A4225" t="s">
        <v>4229</v>
      </c>
      <c r="B4225">
        <v>0.99352677808782597</v>
      </c>
      <c r="C4225">
        <v>0.98018740076289601</v>
      </c>
      <c r="D4225">
        <v>0.98987838320193799</v>
      </c>
      <c r="E4225">
        <v>0.81323677380387904</v>
      </c>
      <c r="F4225">
        <v>0.761306240209773</v>
      </c>
      <c r="G4225">
        <v>0.67601514202115298</v>
      </c>
      <c r="H4225">
        <v>0.64984917647543905</v>
      </c>
      <c r="I4225">
        <v>0.74230233103931098</v>
      </c>
      <c r="J4225">
        <v>0.63607164571832397</v>
      </c>
      <c r="K4225">
        <v>0.52800840088766299</v>
      </c>
      <c r="L4225">
        <v>813.89824207755998</v>
      </c>
      <c r="M4225">
        <v>15.912230640301701</v>
      </c>
      <c r="O4225">
        <v>50.361828335377403</v>
      </c>
      <c r="P4225">
        <v>-2.9901147374527402E-2</v>
      </c>
      <c r="Q4225">
        <v>0.62148469205157197</v>
      </c>
      <c r="R4225">
        <v>0.90168744219343899</v>
      </c>
      <c r="S4225" t="s">
        <v>10510</v>
      </c>
      <c r="T4225" t="s">
        <v>12568</v>
      </c>
      <c r="U4225" t="s">
        <v>12568</v>
      </c>
      <c r="V4225" t="s">
        <v>12568</v>
      </c>
      <c r="W4225" t="s">
        <v>16748</v>
      </c>
      <c r="X4225">
        <v>7</v>
      </c>
      <c r="Y4225" t="s">
        <v>22860</v>
      </c>
      <c r="Z4225" t="s">
        <v>29095</v>
      </c>
      <c r="AA4225">
        <v>0.77004690578478663</v>
      </c>
      <c r="AB4225" t="str">
        <f>HYPERLINK("Melting_Curves/meltCurve_Q8NEF9_SRFBP1.pdf", "Melting_Curves/meltCurve_Q8NEF9_SRFBP1.pdf")</f>
        <v>Melting_Curves/meltCurve_Q8NEF9_SRFBP1.pdf</v>
      </c>
    </row>
    <row r="4226" spans="1:28" x14ac:dyDescent="0.25">
      <c r="A4226" t="s">
        <v>4230</v>
      </c>
      <c r="B4226">
        <v>0.99352677808782597</v>
      </c>
      <c r="C4226">
        <v>0.98717923060590995</v>
      </c>
      <c r="D4226">
        <v>0.97747106237243297</v>
      </c>
      <c r="E4226">
        <v>0.839669610871564</v>
      </c>
      <c r="F4226">
        <v>0.64187956972605198</v>
      </c>
      <c r="G4226">
        <v>0.47394968520224201</v>
      </c>
      <c r="H4226">
        <v>0.21308846719709801</v>
      </c>
      <c r="I4226">
        <v>0.19649392836586799</v>
      </c>
      <c r="J4226">
        <v>0.14445399686416499</v>
      </c>
      <c r="K4226">
        <v>9.66507276350905E-2</v>
      </c>
      <c r="L4226">
        <v>807.10314845518496</v>
      </c>
      <c r="M4226">
        <v>14.601082709016</v>
      </c>
      <c r="N4226">
        <v>55.815011259138203</v>
      </c>
      <c r="O4226">
        <v>54.271115266726603</v>
      </c>
      <c r="P4226">
        <v>-6.2851325035209196E-2</v>
      </c>
      <c r="Q4226">
        <v>6.5650529300350299E-2</v>
      </c>
      <c r="R4226">
        <v>0.99542384429727304</v>
      </c>
      <c r="S4226" t="s">
        <v>10511</v>
      </c>
      <c r="T4226" t="s">
        <v>12568</v>
      </c>
      <c r="U4226" t="s">
        <v>12568</v>
      </c>
      <c r="V4226" t="s">
        <v>12568</v>
      </c>
      <c r="W4226" t="s">
        <v>16749</v>
      </c>
      <c r="X4226">
        <v>1</v>
      </c>
      <c r="Y4226" t="s">
        <v>22861</v>
      </c>
      <c r="Z4226" t="s">
        <v>29096</v>
      </c>
      <c r="AA4226">
        <v>0.55957490453481862</v>
      </c>
      <c r="AB4226" t="str">
        <f>HYPERLINK("Melting_Curves/meltCurve_Q8NEL9_2_DDHD1.pdf", "Melting_Curves/meltCurve_Q8NEL9_2_DDHD1.pdf")</f>
        <v>Melting_Curves/meltCurve_Q8NEL9_2_DDHD1.pdf</v>
      </c>
    </row>
    <row r="4227" spans="1:28" x14ac:dyDescent="0.25">
      <c r="A4227" t="s">
        <v>4231</v>
      </c>
      <c r="B4227">
        <v>0.99352677808782597</v>
      </c>
      <c r="C4227">
        <v>0.94393420194279898</v>
      </c>
      <c r="D4227">
        <v>0.91039231364984696</v>
      </c>
      <c r="E4227">
        <v>0.92392853119913099</v>
      </c>
      <c r="F4227">
        <v>0.93858290384896004</v>
      </c>
      <c r="G4227">
        <v>0.77060939892394098</v>
      </c>
      <c r="H4227">
        <v>0.79362411791314302</v>
      </c>
      <c r="I4227">
        <v>0.89833831710196299</v>
      </c>
      <c r="J4227">
        <v>0.79643294837591805</v>
      </c>
      <c r="K4227">
        <v>0.81956304972525096</v>
      </c>
      <c r="L4227">
        <v>427.09909525020498</v>
      </c>
      <c r="M4227">
        <v>8.5110958266898606</v>
      </c>
      <c r="O4227">
        <v>47.641196373693198</v>
      </c>
      <c r="P4227">
        <v>-9.1014067502749405E-3</v>
      </c>
      <c r="Q4227">
        <v>0.79640061634870696</v>
      </c>
      <c r="R4227">
        <v>0.63426546768891501</v>
      </c>
      <c r="S4227" t="s">
        <v>10512</v>
      </c>
      <c r="T4227" t="s">
        <v>12568</v>
      </c>
      <c r="U4227" t="s">
        <v>12568</v>
      </c>
      <c r="V4227" t="s">
        <v>12568</v>
      </c>
      <c r="W4227" t="s">
        <v>16750</v>
      </c>
      <c r="X4227">
        <v>1</v>
      </c>
      <c r="Y4227" t="s">
        <v>22862</v>
      </c>
      <c r="Z4227" t="s">
        <v>29097</v>
      </c>
      <c r="AA4227">
        <v>0.87660112245141031</v>
      </c>
      <c r="AB4227" t="str">
        <f>HYPERLINK("Melting_Curves/meltCurve_Q8NEM0_MCPH1.pdf", "Melting_Curves/meltCurve_Q8NEM0_MCPH1.pdf")</f>
        <v>Melting_Curves/meltCurve_Q8NEM0_MCPH1.pdf</v>
      </c>
    </row>
    <row r="4228" spans="1:28" x14ac:dyDescent="0.25">
      <c r="A4228" t="s">
        <v>4232</v>
      </c>
      <c r="B4228">
        <v>0.99352677808782597</v>
      </c>
      <c r="C4228">
        <v>0.83216666725563604</v>
      </c>
      <c r="D4228">
        <v>0.56159104654938297</v>
      </c>
      <c r="E4228">
        <v>0.31222306430106</v>
      </c>
      <c r="F4228">
        <v>0.246844331596797</v>
      </c>
      <c r="G4228">
        <v>0.13304252606690101</v>
      </c>
      <c r="H4228">
        <v>7.6524972945247099E-2</v>
      </c>
      <c r="I4228">
        <v>6.8684303369466598E-2</v>
      </c>
      <c r="J4228">
        <v>5.4253170035483897E-2</v>
      </c>
      <c r="K4228">
        <v>3.4950433902145403E-2</v>
      </c>
      <c r="L4228">
        <v>706.11639739124598</v>
      </c>
      <c r="M4228">
        <v>15.023427671004599</v>
      </c>
      <c r="N4228">
        <v>47.347288957467597</v>
      </c>
      <c r="O4228">
        <v>46.191846591258901</v>
      </c>
      <c r="P4228">
        <v>-7.7087473739180803E-2</v>
      </c>
      <c r="Q4228">
        <v>5.2025902414962501E-2</v>
      </c>
      <c r="R4228">
        <v>0.99201168697133402</v>
      </c>
      <c r="S4228" t="s">
        <v>10513</v>
      </c>
      <c r="T4228" t="s">
        <v>12568</v>
      </c>
      <c r="U4228" t="s">
        <v>12568</v>
      </c>
      <c r="V4228" t="s">
        <v>12568</v>
      </c>
      <c r="W4228" t="s">
        <v>16751</v>
      </c>
      <c r="X4228">
        <v>8</v>
      </c>
      <c r="Y4228" t="s">
        <v>22863</v>
      </c>
      <c r="Z4228" t="s">
        <v>29098</v>
      </c>
      <c r="AA4228">
        <v>0.29892382846842802</v>
      </c>
      <c r="AB4228" t="str">
        <f>HYPERLINK("Melting_Curves/meltCurve_Q8NEM2_SHCBP1.pdf", "Melting_Curves/meltCurve_Q8NEM2_SHCBP1.pdf")</f>
        <v>Melting_Curves/meltCurve_Q8NEM2_SHCBP1.pdf</v>
      </c>
    </row>
    <row r="4229" spans="1:28" x14ac:dyDescent="0.25">
      <c r="A4229" t="s">
        <v>4233</v>
      </c>
      <c r="B4229">
        <v>0.99352677808782597</v>
      </c>
      <c r="C4229">
        <v>0.98327784778001903</v>
      </c>
      <c r="D4229">
        <v>0.99327336094038499</v>
      </c>
      <c r="E4229">
        <v>0.87459620165754903</v>
      </c>
      <c r="F4229">
        <v>0.87205833105491304</v>
      </c>
      <c r="G4229">
        <v>0.75187190942899795</v>
      </c>
      <c r="H4229">
        <v>0.62610061602518896</v>
      </c>
      <c r="I4229">
        <v>0.63040609855211305</v>
      </c>
      <c r="J4229">
        <v>0.70065934688933296</v>
      </c>
      <c r="K4229">
        <v>0.584683945705333</v>
      </c>
      <c r="L4229">
        <v>794.68170206894195</v>
      </c>
      <c r="M4229">
        <v>14.601144689619099</v>
      </c>
      <c r="O4229">
        <v>53.435653808492802</v>
      </c>
      <c r="P4229">
        <v>-2.70764142037331E-2</v>
      </c>
      <c r="Q4229">
        <v>0.60367943632926502</v>
      </c>
      <c r="R4229">
        <v>0.94944950788515103</v>
      </c>
      <c r="S4229" t="s">
        <v>10514</v>
      </c>
      <c r="T4229" t="s">
        <v>12568</v>
      </c>
      <c r="U4229" t="s">
        <v>12568</v>
      </c>
      <c r="V4229" t="s">
        <v>12568</v>
      </c>
      <c r="W4229" t="s">
        <v>16752</v>
      </c>
      <c r="X4229">
        <v>5</v>
      </c>
      <c r="Y4229" t="s">
        <v>22864</v>
      </c>
      <c r="Z4229" t="s">
        <v>29099</v>
      </c>
      <c r="AA4229">
        <v>0.80244190156152839</v>
      </c>
      <c r="AB4229" t="str">
        <f>HYPERLINK("Melting_Curves/meltCurve_Q8NEN9_PDZD8.pdf", "Melting_Curves/meltCurve_Q8NEN9_PDZD8.pdf")</f>
        <v>Melting_Curves/meltCurve_Q8NEN9_PDZD8.pdf</v>
      </c>
    </row>
    <row r="4230" spans="1:28" x14ac:dyDescent="0.25">
      <c r="A4230" t="s">
        <v>4234</v>
      </c>
      <c r="B4230">
        <v>0.99352677808782597</v>
      </c>
      <c r="C4230">
        <v>0.99466785907588295</v>
      </c>
      <c r="D4230">
        <v>0.56630512365625896</v>
      </c>
      <c r="E4230">
        <v>0.290379011823299</v>
      </c>
      <c r="F4230">
        <v>0.217225345065376</v>
      </c>
      <c r="G4230">
        <v>0.13190047512323999</v>
      </c>
      <c r="H4230">
        <v>7.5694373782748597E-2</v>
      </c>
      <c r="I4230">
        <v>6.8667361489614095E-2</v>
      </c>
      <c r="J4230">
        <v>5.01267744189174E-2</v>
      </c>
      <c r="K4230">
        <v>4.0600169913140402E-2</v>
      </c>
      <c r="L4230">
        <v>977.47803486786302</v>
      </c>
      <c r="M4230">
        <v>20.7833390640392</v>
      </c>
      <c r="N4230">
        <v>47.400078314742501</v>
      </c>
      <c r="O4230">
        <v>46.602880769706303</v>
      </c>
      <c r="P4230">
        <v>-0.103182269128685</v>
      </c>
      <c r="Q4230">
        <v>7.4555533089451703E-2</v>
      </c>
      <c r="R4230">
        <v>0.98117599359464103</v>
      </c>
      <c r="S4230" t="s">
        <v>10515</v>
      </c>
      <c r="T4230" t="s">
        <v>12568</v>
      </c>
      <c r="U4230" t="s">
        <v>12568</v>
      </c>
      <c r="V4230" t="s">
        <v>12568</v>
      </c>
      <c r="W4230" t="s">
        <v>16753</v>
      </c>
      <c r="X4230">
        <v>9</v>
      </c>
      <c r="Y4230" t="s">
        <v>22865</v>
      </c>
      <c r="Z4230" t="s">
        <v>29100</v>
      </c>
      <c r="AA4230">
        <v>0.30390267760240031</v>
      </c>
      <c r="AB4230" t="str">
        <f>HYPERLINK("Melting_Curves/meltCurve_Q8NEU8_APPL2.pdf", "Melting_Curves/meltCurve_Q8NEU8_APPL2.pdf")</f>
        <v>Melting_Curves/meltCurve_Q8NEU8_APPL2.pdf</v>
      </c>
    </row>
    <row r="4231" spans="1:28" x14ac:dyDescent="0.25">
      <c r="A4231" t="s">
        <v>4235</v>
      </c>
      <c r="B4231">
        <v>0.99352677808782597</v>
      </c>
      <c r="C4231">
        <v>0.92658789448026502</v>
      </c>
      <c r="D4231">
        <v>0.92148793997301204</v>
      </c>
      <c r="E4231">
        <v>0.77828526077622495</v>
      </c>
      <c r="F4231">
        <v>0.69573470439878005</v>
      </c>
      <c r="G4231">
        <v>0.59183420266365805</v>
      </c>
      <c r="H4231">
        <v>0.52726192642724801</v>
      </c>
      <c r="I4231">
        <v>0.52772904520760999</v>
      </c>
      <c r="J4231">
        <v>0.56119595030114899</v>
      </c>
      <c r="K4231">
        <v>0.46660072843214101</v>
      </c>
      <c r="L4231">
        <v>643.71780508478901</v>
      </c>
      <c r="M4231">
        <v>12.5602245227899</v>
      </c>
      <c r="O4231">
        <v>50.003428183009802</v>
      </c>
      <c r="P4231">
        <v>-3.2360033785333503E-2</v>
      </c>
      <c r="Q4231">
        <v>0.4847909356149</v>
      </c>
      <c r="R4231">
        <v>0.98274159110446302</v>
      </c>
      <c r="S4231" t="s">
        <v>10516</v>
      </c>
      <c r="T4231" t="s">
        <v>12568</v>
      </c>
      <c r="U4231" t="s">
        <v>12568</v>
      </c>
      <c r="V4231" t="s">
        <v>12568</v>
      </c>
      <c r="W4231" t="s">
        <v>16754</v>
      </c>
      <c r="X4231">
        <v>17</v>
      </c>
      <c r="Y4231" t="s">
        <v>22866</v>
      </c>
      <c r="Z4231" t="s">
        <v>29101</v>
      </c>
      <c r="AA4231">
        <v>0.69351154120937342</v>
      </c>
      <c r="AB4231" t="str">
        <f>HYPERLINK("Melting_Curves/meltCurve_Q8NEY1_2_NAV1.pdf", "Melting_Curves/meltCurve_Q8NEY1_2_NAV1.pdf")</f>
        <v>Melting_Curves/meltCurve_Q8NEY1_2_NAV1.pdf</v>
      </c>
    </row>
    <row r="4232" spans="1:28" x14ac:dyDescent="0.25">
      <c r="A4232" t="s">
        <v>4236</v>
      </c>
      <c r="B4232">
        <v>0.99352677808782597</v>
      </c>
      <c r="C4232">
        <v>1.00654772373971</v>
      </c>
      <c r="D4232">
        <v>0.99208390753733899</v>
      </c>
      <c r="E4232">
        <v>0.61196628867579195</v>
      </c>
      <c r="F4232">
        <v>0.503202494474562</v>
      </c>
      <c r="G4232">
        <v>0.24900466603076299</v>
      </c>
      <c r="H4232">
        <v>0.131347608665009</v>
      </c>
      <c r="I4232">
        <v>0.101254765808375</v>
      </c>
      <c r="J4232">
        <v>9.1010106112467695E-2</v>
      </c>
      <c r="K4232">
        <v>7.1635595952026898E-2</v>
      </c>
      <c r="L4232">
        <v>907.393676157806</v>
      </c>
      <c r="M4232">
        <v>17.433003305207901</v>
      </c>
      <c r="N4232">
        <v>52.502196291241802</v>
      </c>
      <c r="O4232">
        <v>51.3799094597832</v>
      </c>
      <c r="P4232">
        <v>-7.8919427473583603E-2</v>
      </c>
      <c r="Q4232">
        <v>6.9661915588779502E-2</v>
      </c>
      <c r="R4232">
        <v>0.98937416705482595</v>
      </c>
      <c r="S4232" t="s">
        <v>10517</v>
      </c>
      <c r="T4232" t="s">
        <v>12568</v>
      </c>
      <c r="U4232" t="s">
        <v>12568</v>
      </c>
      <c r="V4232" t="s">
        <v>12568</v>
      </c>
      <c r="W4232" t="s">
        <v>16755</v>
      </c>
      <c r="X4232">
        <v>5</v>
      </c>
      <c r="Y4232" t="s">
        <v>22867</v>
      </c>
      <c r="Z4232" t="s">
        <v>29102</v>
      </c>
      <c r="AA4232">
        <v>0.45968684671955212</v>
      </c>
      <c r="AB4232" t="str">
        <f>HYPERLINK("Melting_Curves/meltCurve_Q8NEZ2_VPS37A.pdf", "Melting_Curves/meltCurve_Q8NEZ2_VPS37A.pdf")</f>
        <v>Melting_Curves/meltCurve_Q8NEZ2_VPS37A.pdf</v>
      </c>
    </row>
    <row r="4233" spans="1:28" x14ac:dyDescent="0.25">
      <c r="A4233" t="s">
        <v>4237</v>
      </c>
      <c r="B4233">
        <v>0.99352677808782597</v>
      </c>
      <c r="C4233">
        <v>0.87454584011574499</v>
      </c>
      <c r="D4233">
        <v>1.0669578318808099</v>
      </c>
      <c r="E4233">
        <v>0.83274338806973902</v>
      </c>
      <c r="F4233">
        <v>0.85656261785290899</v>
      </c>
      <c r="G4233">
        <v>0.66890019194816697</v>
      </c>
      <c r="H4233">
        <v>0.83255098461639798</v>
      </c>
      <c r="I4233">
        <v>0.74825961796381402</v>
      </c>
      <c r="J4233">
        <v>0.62415293931994198</v>
      </c>
      <c r="K4233">
        <v>0.468911535671718</v>
      </c>
      <c r="L4233">
        <v>341.19332925526697</v>
      </c>
      <c r="M4233">
        <v>4.6435442019800997</v>
      </c>
      <c r="O4233">
        <v>62.970042761980601</v>
      </c>
      <c r="P4233">
        <v>-1.85807047942451E-2</v>
      </c>
      <c r="Q4233">
        <v>0</v>
      </c>
      <c r="R4233">
        <v>0.74588715034278796</v>
      </c>
      <c r="S4233" t="s">
        <v>10518</v>
      </c>
      <c r="T4233" t="s">
        <v>12568</v>
      </c>
      <c r="U4233" t="s">
        <v>12568</v>
      </c>
      <c r="V4233" t="s">
        <v>12568</v>
      </c>
      <c r="W4233" t="s">
        <v>16756</v>
      </c>
      <c r="X4233">
        <v>2</v>
      </c>
      <c r="Y4233" t="s">
        <v>22868</v>
      </c>
      <c r="Z4233" t="s">
        <v>29103</v>
      </c>
      <c r="AA4233">
        <v>0.80582847072815755</v>
      </c>
      <c r="AB4233" t="str">
        <f>HYPERLINK("Melting_Curves/meltCurve_Q8NEZ4_MLL3.pdf", "Melting_Curves/meltCurve_Q8NEZ4_MLL3.pdf")</f>
        <v>Melting_Curves/meltCurve_Q8NEZ4_MLL3.pdf</v>
      </c>
    </row>
    <row r="4234" spans="1:28" x14ac:dyDescent="0.25">
      <c r="A4234" t="s">
        <v>4238</v>
      </c>
      <c r="B4234">
        <v>0.99352677808782597</v>
      </c>
      <c r="C4234">
        <v>0.99092759694536303</v>
      </c>
      <c r="D4234">
        <v>0.97073845651458601</v>
      </c>
      <c r="E4234">
        <v>0.44930386170624198</v>
      </c>
      <c r="F4234">
        <v>0.36399159036040302</v>
      </c>
      <c r="G4234">
        <v>0.13873783088333499</v>
      </c>
      <c r="H4234">
        <v>0.10113063925700699</v>
      </c>
      <c r="I4234">
        <v>8.2502207318967805E-2</v>
      </c>
      <c r="J4234">
        <v>7.9267798666705802E-2</v>
      </c>
      <c r="K4234">
        <v>4.9870224122360099E-2</v>
      </c>
      <c r="L4234">
        <v>1125.9663235973901</v>
      </c>
      <c r="M4234">
        <v>22.504510118248898</v>
      </c>
      <c r="N4234">
        <v>50.419333044550598</v>
      </c>
      <c r="O4234">
        <v>49.642879303031201</v>
      </c>
      <c r="P4234">
        <v>-0.104357119367064</v>
      </c>
      <c r="Q4234">
        <v>7.9209963807431394E-2</v>
      </c>
      <c r="R4234">
        <v>0.98444393890293502</v>
      </c>
      <c r="S4234" t="s">
        <v>10519</v>
      </c>
      <c r="T4234" t="s">
        <v>12568</v>
      </c>
      <c r="U4234" t="s">
        <v>12568</v>
      </c>
      <c r="V4234" t="s">
        <v>12568</v>
      </c>
      <c r="W4234" t="s">
        <v>16757</v>
      </c>
      <c r="X4234">
        <v>10</v>
      </c>
      <c r="Y4234" t="s">
        <v>22869</v>
      </c>
      <c r="Z4234" t="s">
        <v>29104</v>
      </c>
      <c r="AA4234">
        <v>0.39730962232259032</v>
      </c>
      <c r="AB4234" t="str">
        <f>HYPERLINK("Melting_Curves/meltCurve_Q8NEZ5_FBXO22.pdf", "Melting_Curves/meltCurve_Q8NEZ5_FBXO22.pdf")</f>
        <v>Melting_Curves/meltCurve_Q8NEZ5_FBXO22.pdf</v>
      </c>
    </row>
    <row r="4235" spans="1:28" x14ac:dyDescent="0.25">
      <c r="A4235" t="s">
        <v>4239</v>
      </c>
      <c r="B4235">
        <v>0.99352677808782597</v>
      </c>
      <c r="C4235">
        <v>0.96179246892346104</v>
      </c>
      <c r="D4235">
        <v>0.87077479625228704</v>
      </c>
      <c r="E4235">
        <v>0.86135058319425795</v>
      </c>
      <c r="F4235">
        <v>0.77183031049797601</v>
      </c>
      <c r="G4235">
        <v>0.65764165258783702</v>
      </c>
      <c r="H4235">
        <v>0.78326052357545595</v>
      </c>
      <c r="I4235">
        <v>0.72159873803906005</v>
      </c>
      <c r="J4235">
        <v>0.77807218300212999</v>
      </c>
      <c r="K4235">
        <v>0.46703113742929703</v>
      </c>
      <c r="L4235">
        <v>234.68926641707401</v>
      </c>
      <c r="M4235">
        <v>2.9306601343414198</v>
      </c>
      <c r="O4235">
        <v>58.351468369873302</v>
      </c>
      <c r="P4235">
        <v>-1.29708086288172E-2</v>
      </c>
      <c r="Q4235">
        <v>0</v>
      </c>
      <c r="R4235">
        <v>0.70120838804320196</v>
      </c>
      <c r="S4235" t="s">
        <v>10520</v>
      </c>
      <c r="T4235" t="s">
        <v>12568</v>
      </c>
      <c r="U4235" t="s">
        <v>12568</v>
      </c>
      <c r="V4235" t="s">
        <v>12568</v>
      </c>
      <c r="W4235" t="s">
        <v>16758</v>
      </c>
      <c r="X4235">
        <v>3</v>
      </c>
      <c r="Z4235" t="s">
        <v>29105</v>
      </c>
      <c r="AA4235">
        <v>0.78712440255932359</v>
      </c>
      <c r="AB4235" t="str">
        <f>HYPERLINK("Melting_Curves/meltCurve_Q8NF67_.pdf", "Melting_Curves/meltCurve_Q8NF67_.pdf")</f>
        <v>Melting_Curves/meltCurve_Q8NF67_.pdf</v>
      </c>
    </row>
    <row r="4236" spans="1:28" x14ac:dyDescent="0.25">
      <c r="A4236" t="s">
        <v>4240</v>
      </c>
      <c r="B4236">
        <v>0.99352677808782597</v>
      </c>
      <c r="C4236">
        <v>0.99886231580826301</v>
      </c>
      <c r="D4236">
        <v>0.72331358351262098</v>
      </c>
      <c r="E4236">
        <v>0.338929390862312</v>
      </c>
      <c r="F4236">
        <v>0.264031721971626</v>
      </c>
      <c r="G4236">
        <v>0.18787504559519799</v>
      </c>
      <c r="H4236">
        <v>0.138844701981263</v>
      </c>
      <c r="I4236">
        <v>0.140311973301642</v>
      </c>
      <c r="J4236">
        <v>0.130215282297694</v>
      </c>
      <c r="K4236">
        <v>0.101648523640887</v>
      </c>
      <c r="L4236">
        <v>1100.95717543002</v>
      </c>
      <c r="M4236">
        <v>23.077068826107599</v>
      </c>
      <c r="N4236">
        <v>48.389571080483599</v>
      </c>
      <c r="O4236">
        <v>47.353927076218902</v>
      </c>
      <c r="P4236">
        <v>-0.104926884368058</v>
      </c>
      <c r="Q4236">
        <v>0.13877994450561301</v>
      </c>
      <c r="R4236">
        <v>0.99235284969333204</v>
      </c>
      <c r="S4236" t="s">
        <v>10521</v>
      </c>
      <c r="T4236" t="s">
        <v>12568</v>
      </c>
      <c r="U4236" t="s">
        <v>12568</v>
      </c>
      <c r="V4236" t="s">
        <v>12568</v>
      </c>
      <c r="W4236" t="s">
        <v>16759</v>
      </c>
      <c r="X4236">
        <v>15</v>
      </c>
      <c r="Y4236" t="s">
        <v>22870</v>
      </c>
      <c r="Z4236" t="s">
        <v>29106</v>
      </c>
      <c r="AA4236">
        <v>0.36910474166671309</v>
      </c>
      <c r="AB4236" t="str">
        <f>HYPERLINK("Melting_Curves/meltCurve_Q8NF91_SYNE1.pdf", "Melting_Curves/meltCurve_Q8NF91_SYNE1.pdf")</f>
        <v>Melting_Curves/meltCurve_Q8NF91_SYNE1.pdf</v>
      </c>
    </row>
    <row r="4237" spans="1:28" x14ac:dyDescent="0.25">
      <c r="A4237" t="s">
        <v>4241</v>
      </c>
      <c r="B4237">
        <v>0.99352677808782597</v>
      </c>
      <c r="C4237">
        <v>0.95749093211526903</v>
      </c>
      <c r="D4237">
        <v>0.73156387969528003</v>
      </c>
      <c r="E4237">
        <v>0.45323229699529299</v>
      </c>
      <c r="F4237">
        <v>0.37894954175170997</v>
      </c>
      <c r="G4237">
        <v>0.207566090132946</v>
      </c>
      <c r="H4237">
        <v>0.16294386513109099</v>
      </c>
      <c r="I4237">
        <v>0.155911265705727</v>
      </c>
      <c r="J4237">
        <v>0.15981253446519</v>
      </c>
      <c r="K4237">
        <v>0.13202490294184699</v>
      </c>
      <c r="L4237">
        <v>776.43159486171396</v>
      </c>
      <c r="M4237">
        <v>15.932360234052499</v>
      </c>
      <c r="N4237">
        <v>49.746038778250998</v>
      </c>
      <c r="O4237">
        <v>47.984637879816603</v>
      </c>
      <c r="P4237">
        <v>-7.1513574927433404E-2</v>
      </c>
      <c r="Q4237">
        <v>0.138538344628617</v>
      </c>
      <c r="R4237">
        <v>0.99287227034083503</v>
      </c>
      <c r="S4237" t="s">
        <v>10522</v>
      </c>
      <c r="T4237" t="s">
        <v>12568</v>
      </c>
      <c r="U4237" t="s">
        <v>12568</v>
      </c>
      <c r="V4237" t="s">
        <v>12568</v>
      </c>
      <c r="W4237" t="s">
        <v>16760</v>
      </c>
      <c r="X4237">
        <v>6</v>
      </c>
      <c r="Y4237" t="s">
        <v>22871</v>
      </c>
      <c r="Z4237" t="s">
        <v>29107</v>
      </c>
      <c r="AA4237">
        <v>0.40842880918954932</v>
      </c>
      <c r="AB4237" t="str">
        <f>HYPERLINK("Melting_Curves/meltCurve_Q8NFA0_USP32.pdf", "Melting_Curves/meltCurve_Q8NFA0_USP32.pdf")</f>
        <v>Melting_Curves/meltCurve_Q8NFA0_USP32.pdf</v>
      </c>
    </row>
    <row r="4238" spans="1:28" x14ac:dyDescent="0.25">
      <c r="A4238" t="s">
        <v>4242</v>
      </c>
      <c r="B4238">
        <v>0.99352677808782597</v>
      </c>
      <c r="C4238">
        <v>0.98510119840858301</v>
      </c>
      <c r="D4238">
        <v>0.98515769507526996</v>
      </c>
      <c r="E4238">
        <v>0.96931652957840397</v>
      </c>
      <c r="F4238">
        <v>0.88965804679855898</v>
      </c>
      <c r="G4238">
        <v>0.75708872095984903</v>
      </c>
      <c r="H4238">
        <v>0.81890102768530704</v>
      </c>
      <c r="I4238">
        <v>0.85210121023770902</v>
      </c>
      <c r="J4238">
        <v>1.0752763294971499</v>
      </c>
      <c r="K4238">
        <v>0.81953148210807003</v>
      </c>
      <c r="L4238">
        <v>2854.9089888848698</v>
      </c>
      <c r="M4238">
        <v>55.7859409557487</v>
      </c>
      <c r="O4238">
        <v>51.110500618015003</v>
      </c>
      <c r="P4238">
        <v>-3.6659423659141897E-2</v>
      </c>
      <c r="Q4238">
        <v>0.86565213872684199</v>
      </c>
      <c r="R4238">
        <v>0.34230897527801901</v>
      </c>
      <c r="S4238" t="s">
        <v>10523</v>
      </c>
      <c r="T4238" t="s">
        <v>12568</v>
      </c>
      <c r="U4238" t="s">
        <v>12568</v>
      </c>
      <c r="V4238" t="s">
        <v>12568</v>
      </c>
      <c r="W4238" t="s">
        <v>16761</v>
      </c>
      <c r="X4238">
        <v>87</v>
      </c>
      <c r="Y4238" t="s">
        <v>22872</v>
      </c>
      <c r="Z4238" t="s">
        <v>29108</v>
      </c>
      <c r="AA4238">
        <v>0.91594516954515937</v>
      </c>
      <c r="AB4238" t="str">
        <f>HYPERLINK("Melting_Curves/meltCurve_Q8NFC6_BOD1L1.pdf", "Melting_Curves/meltCurve_Q8NFC6_BOD1L1.pdf")</f>
        <v>Melting_Curves/meltCurve_Q8NFC6_BOD1L1.pdf</v>
      </c>
    </row>
    <row r="4239" spans="1:28" x14ac:dyDescent="0.25">
      <c r="A4239" t="s">
        <v>4243</v>
      </c>
      <c r="B4239">
        <v>0.99352677808782597</v>
      </c>
      <c r="C4239">
        <v>0.934440269041519</v>
      </c>
      <c r="D4239">
        <v>0.76926106494799895</v>
      </c>
      <c r="E4239">
        <v>0.40513014463701702</v>
      </c>
      <c r="F4239">
        <v>0.332531308617948</v>
      </c>
      <c r="G4239">
        <v>0.21037667805739699</v>
      </c>
      <c r="H4239">
        <v>0.17220713013696001</v>
      </c>
      <c r="I4239">
        <v>0.15461758153437799</v>
      </c>
      <c r="J4239">
        <v>0.150137523974403</v>
      </c>
      <c r="K4239">
        <v>0.11943561845928399</v>
      </c>
      <c r="L4239">
        <v>875.79674558024601</v>
      </c>
      <c r="M4239">
        <v>18.108594356757099</v>
      </c>
      <c r="N4239">
        <v>49.298055412704997</v>
      </c>
      <c r="O4239">
        <v>47.7853741566907</v>
      </c>
      <c r="P4239">
        <v>-8.0980260642622107E-2</v>
      </c>
      <c r="Q4239">
        <v>0.14527090955858901</v>
      </c>
      <c r="R4239">
        <v>0.99509065540000496</v>
      </c>
      <c r="S4239" t="s">
        <v>10524</v>
      </c>
      <c r="T4239" t="s">
        <v>12568</v>
      </c>
      <c r="U4239" t="s">
        <v>12568</v>
      </c>
      <c r="V4239" t="s">
        <v>12568</v>
      </c>
      <c r="W4239" t="s">
        <v>16762</v>
      </c>
      <c r="X4239">
        <v>7</v>
      </c>
      <c r="Y4239" t="s">
        <v>22873</v>
      </c>
      <c r="Z4239" t="s">
        <v>29109</v>
      </c>
      <c r="AA4239">
        <v>0.39838597353836219</v>
      </c>
      <c r="AB4239" t="str">
        <f>HYPERLINK("Melting_Curves/meltCurve_Q8NFF5_2_FLAD1.pdf", "Melting_Curves/meltCurve_Q8NFF5_2_FLAD1.pdf")</f>
        <v>Melting_Curves/meltCurve_Q8NFF5_2_FLAD1.pdf</v>
      </c>
    </row>
    <row r="4240" spans="1:28" x14ac:dyDescent="0.25">
      <c r="A4240" t="s">
        <v>4244</v>
      </c>
      <c r="B4240">
        <v>0.99352677808782597</v>
      </c>
      <c r="C4240">
        <v>0.92668112552205495</v>
      </c>
      <c r="D4240">
        <v>0.75592691040341697</v>
      </c>
      <c r="E4240">
        <v>0.33385908206153803</v>
      </c>
      <c r="F4240">
        <v>0.21149204926036999</v>
      </c>
      <c r="G4240">
        <v>0.156760299499516</v>
      </c>
      <c r="H4240">
        <v>0.10105148364383</v>
      </c>
      <c r="I4240">
        <v>8.2472445682601106E-2</v>
      </c>
      <c r="J4240">
        <v>7.4191961207687604E-2</v>
      </c>
      <c r="K4240">
        <v>4.3459198271984002E-2</v>
      </c>
      <c r="L4240">
        <v>996.534677366658</v>
      </c>
      <c r="M4240">
        <v>20.7346879002062</v>
      </c>
      <c r="N4240">
        <v>48.467161869848397</v>
      </c>
      <c r="O4240">
        <v>47.620876391304101</v>
      </c>
      <c r="P4240">
        <v>-0.100178936156222</v>
      </c>
      <c r="Q4240">
        <v>7.9711181513010307E-2</v>
      </c>
      <c r="R4240">
        <v>0.99612637284677996</v>
      </c>
      <c r="S4240" t="s">
        <v>10525</v>
      </c>
      <c r="T4240" t="s">
        <v>12568</v>
      </c>
      <c r="U4240" t="s">
        <v>12568</v>
      </c>
      <c r="V4240" t="s">
        <v>12568</v>
      </c>
      <c r="W4240" t="s">
        <v>16763</v>
      </c>
      <c r="X4240">
        <v>5</v>
      </c>
      <c r="Y4240" t="s">
        <v>22874</v>
      </c>
      <c r="Z4240" t="s">
        <v>29110</v>
      </c>
      <c r="AA4240">
        <v>0.33910133038926221</v>
      </c>
      <c r="AB4240" t="str">
        <f>HYPERLINK("Melting_Curves/meltCurve_Q8NFG4_FLCN.pdf", "Melting_Curves/meltCurve_Q8NFG4_FLCN.pdf")</f>
        <v>Melting_Curves/meltCurve_Q8NFG4_FLCN.pdf</v>
      </c>
    </row>
    <row r="4241" spans="1:28" x14ac:dyDescent="0.25">
      <c r="A4241" t="s">
        <v>4245</v>
      </c>
      <c r="B4241">
        <v>0.99352677808782597</v>
      </c>
      <c r="C4241">
        <v>0.98412201503442898</v>
      </c>
      <c r="D4241">
        <v>0.92343289673043505</v>
      </c>
      <c r="E4241">
        <v>0.86166365874039996</v>
      </c>
      <c r="F4241">
        <v>0.74256905493663194</v>
      </c>
      <c r="G4241">
        <v>0.50857316473034497</v>
      </c>
      <c r="H4241">
        <v>0.26438835610088701</v>
      </c>
      <c r="I4241">
        <v>0.21417792942945599</v>
      </c>
      <c r="J4241">
        <v>0.148038064194218</v>
      </c>
      <c r="K4241">
        <v>0.12908670819617199</v>
      </c>
      <c r="L4241">
        <v>801.10993871765299</v>
      </c>
      <c r="M4241">
        <v>14.224070110455701</v>
      </c>
      <c r="N4241">
        <v>56.858131212441897</v>
      </c>
      <c r="O4241">
        <v>55.242611476227502</v>
      </c>
      <c r="P4241">
        <v>-6.0329626686250602E-2</v>
      </c>
      <c r="Q4241">
        <v>6.2898026635584803E-2</v>
      </c>
      <c r="R4241">
        <v>0.99705328387279002</v>
      </c>
      <c r="S4241" t="s">
        <v>10526</v>
      </c>
      <c r="T4241" t="s">
        <v>12568</v>
      </c>
      <c r="U4241" t="s">
        <v>12568</v>
      </c>
      <c r="V4241" t="s">
        <v>12568</v>
      </c>
      <c r="W4241" t="s">
        <v>16764</v>
      </c>
      <c r="X4241">
        <v>6</v>
      </c>
      <c r="Y4241" t="s">
        <v>22875</v>
      </c>
      <c r="Z4241" t="s">
        <v>29111</v>
      </c>
      <c r="AA4241">
        <v>0.58941490016297837</v>
      </c>
      <c r="AB4241" t="str">
        <f>HYPERLINK("Melting_Curves/meltCurve_Q8NFH3_NUP43.pdf", "Melting_Curves/meltCurve_Q8NFH3_NUP43.pdf")</f>
        <v>Melting_Curves/meltCurve_Q8NFH3_NUP43.pdf</v>
      </c>
    </row>
    <row r="4242" spans="1:28" x14ac:dyDescent="0.25">
      <c r="A4242" t="s">
        <v>4246</v>
      </c>
      <c r="B4242">
        <v>0.99352677808782597</v>
      </c>
      <c r="C4242">
        <v>0.93312408571328997</v>
      </c>
      <c r="D4242">
        <v>0.97232156946873205</v>
      </c>
      <c r="E4242">
        <v>0.82072060153251203</v>
      </c>
      <c r="F4242">
        <v>0.748645126830777</v>
      </c>
      <c r="G4242">
        <v>0.44338138607296901</v>
      </c>
      <c r="H4242">
        <v>0.12861904683091699</v>
      </c>
      <c r="I4242">
        <v>8.3783553803563393E-2</v>
      </c>
      <c r="J4242">
        <v>5.59179387950424E-2</v>
      </c>
      <c r="K4242">
        <v>3.8121585247821797E-2</v>
      </c>
      <c r="L4242">
        <v>980.07159288189303</v>
      </c>
      <c r="M4242">
        <v>17.568079634162402</v>
      </c>
      <c r="N4242">
        <v>55.787084115177002</v>
      </c>
      <c r="O4242">
        <v>55.079287447468801</v>
      </c>
      <c r="P4242">
        <v>-7.9744277778967504E-2</v>
      </c>
      <c r="Q4242">
        <v>0</v>
      </c>
      <c r="R4242">
        <v>0.99128905018519498</v>
      </c>
      <c r="S4242" t="s">
        <v>10527</v>
      </c>
      <c r="T4242" t="s">
        <v>12568</v>
      </c>
      <c r="U4242" t="s">
        <v>12568</v>
      </c>
      <c r="V4242" t="s">
        <v>12568</v>
      </c>
      <c r="W4242" t="s">
        <v>16765</v>
      </c>
      <c r="X4242">
        <v>9</v>
      </c>
      <c r="Y4242" t="s">
        <v>22876</v>
      </c>
      <c r="Z4242" t="s">
        <v>29112</v>
      </c>
      <c r="AA4242">
        <v>0.54158636403609972</v>
      </c>
      <c r="AB4242" t="str">
        <f>HYPERLINK("Melting_Curves/meltCurve_Q8NFH4_NUP37.pdf", "Melting_Curves/meltCurve_Q8NFH4_NUP37.pdf")</f>
        <v>Melting_Curves/meltCurve_Q8NFH4_NUP37.pdf</v>
      </c>
    </row>
    <row r="4243" spans="1:28" x14ac:dyDescent="0.25">
      <c r="A4243" t="s">
        <v>4247</v>
      </c>
      <c r="B4243">
        <v>0.99352677808782597</v>
      </c>
      <c r="C4243">
        <v>1.13784510446276</v>
      </c>
      <c r="D4243">
        <v>1.0186760503333001</v>
      </c>
      <c r="E4243">
        <v>0.80296730575786202</v>
      </c>
      <c r="F4243">
        <v>0.783879227422419</v>
      </c>
      <c r="G4243">
        <v>0.53771305424038895</v>
      </c>
      <c r="H4243">
        <v>0.43282887287375199</v>
      </c>
      <c r="I4243">
        <v>0.33513764933321399</v>
      </c>
      <c r="J4243">
        <v>0.36214343884874201</v>
      </c>
      <c r="K4243">
        <v>0.21407275952674101</v>
      </c>
      <c r="L4243">
        <v>787.45168254943496</v>
      </c>
      <c r="M4243">
        <v>14.1009807196604</v>
      </c>
      <c r="N4243">
        <v>58.433519840682898</v>
      </c>
      <c r="O4243">
        <v>54.7566080882387</v>
      </c>
      <c r="P4243">
        <v>-4.9427417721450401E-2</v>
      </c>
      <c r="Q4243">
        <v>0.23235693619487699</v>
      </c>
      <c r="R4243">
        <v>0.95858292175370596</v>
      </c>
      <c r="S4243" t="s">
        <v>10528</v>
      </c>
      <c r="T4243" t="s">
        <v>12568</v>
      </c>
      <c r="U4243" t="s">
        <v>12568</v>
      </c>
      <c r="V4243" t="s">
        <v>12568</v>
      </c>
      <c r="W4243" t="s">
        <v>16766</v>
      </c>
      <c r="X4243">
        <v>3</v>
      </c>
      <c r="Y4243" t="s">
        <v>22877</v>
      </c>
      <c r="Z4243" t="s">
        <v>29113</v>
      </c>
      <c r="AA4243">
        <v>0.65231444016114437</v>
      </c>
      <c r="AB4243" t="str">
        <f>HYPERLINK("Melting_Curves/meltCurve_Q8NFH8_4_REPS2.pdf", "Melting_Curves/meltCurve_Q8NFH8_4_REPS2.pdf")</f>
        <v>Melting_Curves/meltCurve_Q8NFH8_4_REPS2.pdf</v>
      </c>
    </row>
    <row r="4244" spans="1:28" x14ac:dyDescent="0.25">
      <c r="A4244" t="s">
        <v>4248</v>
      </c>
      <c r="B4244">
        <v>0.99352677808782597</v>
      </c>
      <c r="C4244">
        <v>0.94754139003054405</v>
      </c>
      <c r="D4244">
        <v>0.92180413659814497</v>
      </c>
      <c r="E4244">
        <v>0.69097693061993404</v>
      </c>
      <c r="F4244">
        <v>0.62255440056648303</v>
      </c>
      <c r="G4244">
        <v>0.33835845089337302</v>
      </c>
      <c r="H4244">
        <v>0.28235862536456602</v>
      </c>
      <c r="I4244">
        <v>0.22965714186894601</v>
      </c>
      <c r="J4244">
        <v>0.126861817378183</v>
      </c>
      <c r="K4244">
        <v>0.11635062146739</v>
      </c>
      <c r="L4244">
        <v>633.963673699585</v>
      </c>
      <c r="M4244">
        <v>11.767306153792999</v>
      </c>
      <c r="N4244">
        <v>54.546610933393403</v>
      </c>
      <c r="O4244">
        <v>52.3897104341534</v>
      </c>
      <c r="P4244">
        <v>-5.23794502228178E-2</v>
      </c>
      <c r="Q4244">
        <v>6.7439658136121003E-2</v>
      </c>
      <c r="R4244">
        <v>0.99082812338892701</v>
      </c>
      <c r="S4244" t="s">
        <v>10529</v>
      </c>
      <c r="T4244" t="s">
        <v>12568</v>
      </c>
      <c r="U4244" t="s">
        <v>12568</v>
      </c>
      <c r="V4244" t="s">
        <v>12568</v>
      </c>
      <c r="W4244" t="s">
        <v>16767</v>
      </c>
      <c r="X4244">
        <v>10</v>
      </c>
      <c r="Y4244" t="s">
        <v>22878</v>
      </c>
      <c r="Z4244" t="s">
        <v>29114</v>
      </c>
      <c r="AA4244">
        <v>0.5238495474273448</v>
      </c>
      <c r="AB4244" t="str">
        <f>HYPERLINK("Melting_Curves/meltCurve_Q8NFI3_ENGASE.pdf", "Melting_Curves/meltCurve_Q8NFI3_ENGASE.pdf")</f>
        <v>Melting_Curves/meltCurve_Q8NFI3_ENGASE.pdf</v>
      </c>
    </row>
    <row r="4245" spans="1:28" x14ac:dyDescent="0.25">
      <c r="A4245" t="s">
        <v>4249</v>
      </c>
      <c r="B4245">
        <v>0.99352677808782597</v>
      </c>
      <c r="C4245">
        <v>0.90528112484012602</v>
      </c>
      <c r="D4245">
        <v>0.95554317979737702</v>
      </c>
      <c r="E4245">
        <v>0.99577417608441099</v>
      </c>
      <c r="F4245">
        <v>0.87470233818848997</v>
      </c>
      <c r="G4245">
        <v>0.86354057062582801</v>
      </c>
      <c r="H4245">
        <v>0.77178242414369003</v>
      </c>
      <c r="I4245">
        <v>0.81186043081762804</v>
      </c>
      <c r="J4245">
        <v>0.90624732272981201</v>
      </c>
      <c r="K4245">
        <v>0.84231721781179603</v>
      </c>
      <c r="L4245">
        <v>500.64925684810299</v>
      </c>
      <c r="M4245">
        <v>9.8483467885563591</v>
      </c>
      <c r="O4245">
        <v>48.872910473973498</v>
      </c>
      <c r="P4245">
        <v>-9.0782018800165606E-3</v>
      </c>
      <c r="Q4245">
        <v>0.81988875824337404</v>
      </c>
      <c r="R4245">
        <v>0.53272549651881895</v>
      </c>
      <c r="S4245" t="s">
        <v>10530</v>
      </c>
      <c r="T4245" t="s">
        <v>12568</v>
      </c>
      <c r="U4245" t="s">
        <v>12568</v>
      </c>
      <c r="V4245" t="s">
        <v>12568</v>
      </c>
      <c r="W4245" t="s">
        <v>16768</v>
      </c>
      <c r="X4245">
        <v>2</v>
      </c>
      <c r="Y4245" t="s">
        <v>22879</v>
      </c>
      <c r="Z4245" t="s">
        <v>29115</v>
      </c>
      <c r="AA4245">
        <v>0.89268814860518597</v>
      </c>
      <c r="AB4245" t="str">
        <f>HYPERLINK("Melting_Curves/meltCurve_Q8NFQ8_TOR1AIP2.pdf", "Melting_Curves/meltCurve_Q8NFQ8_TOR1AIP2.pdf")</f>
        <v>Melting_Curves/meltCurve_Q8NFQ8_TOR1AIP2.pdf</v>
      </c>
    </row>
    <row r="4246" spans="1:28" x14ac:dyDescent="0.25">
      <c r="A4246" t="s">
        <v>4250</v>
      </c>
      <c r="B4246">
        <v>0.99352677808782597</v>
      </c>
      <c r="C4246">
        <v>0.84282568736997499</v>
      </c>
      <c r="D4246">
        <v>0.96007275542847104</v>
      </c>
      <c r="E4246">
        <v>0.45645321748341999</v>
      </c>
      <c r="F4246">
        <v>0.348406889234322</v>
      </c>
      <c r="G4246">
        <v>0.12924603250122299</v>
      </c>
      <c r="H4246">
        <v>0.10543567253351301</v>
      </c>
      <c r="I4246">
        <v>0.10435494256528</v>
      </c>
      <c r="J4246">
        <v>7.1201675036591694E-2</v>
      </c>
      <c r="K4246">
        <v>5.7015644398242797E-2</v>
      </c>
      <c r="L4246">
        <v>991.57853638617905</v>
      </c>
      <c r="M4246">
        <v>19.864459255983601</v>
      </c>
      <c r="N4246">
        <v>50.3183607151527</v>
      </c>
      <c r="O4246">
        <v>49.419617139552003</v>
      </c>
      <c r="P4246">
        <v>-9.3133171243881804E-2</v>
      </c>
      <c r="Q4246">
        <v>7.3229276345433594E-2</v>
      </c>
      <c r="R4246">
        <v>0.97379853583360698</v>
      </c>
      <c r="S4246" t="s">
        <v>10531</v>
      </c>
      <c r="T4246" t="s">
        <v>12568</v>
      </c>
      <c r="U4246" t="s">
        <v>12568</v>
      </c>
      <c r="V4246" t="s">
        <v>12568</v>
      </c>
      <c r="W4246" t="s">
        <v>16769</v>
      </c>
      <c r="X4246">
        <v>8</v>
      </c>
      <c r="Y4246" t="s">
        <v>22880</v>
      </c>
      <c r="Z4246" t="s">
        <v>29116</v>
      </c>
      <c r="AA4246">
        <v>0.39267443419512749</v>
      </c>
      <c r="AB4246" t="str">
        <f>HYPERLINK("Melting_Curves/meltCurve_Q8NFV4_ABHD11.pdf", "Melting_Curves/meltCurve_Q8NFV4_ABHD11.pdf")</f>
        <v>Melting_Curves/meltCurve_Q8NFV4_ABHD11.pdf</v>
      </c>
    </row>
    <row r="4247" spans="1:28" x14ac:dyDescent="0.25">
      <c r="A4247" t="s">
        <v>4251</v>
      </c>
      <c r="B4247">
        <v>0.99352677808782597</v>
      </c>
      <c r="C4247">
        <v>0.96779067950508002</v>
      </c>
      <c r="D4247">
        <v>0.87435761856856398</v>
      </c>
      <c r="E4247">
        <v>0.31957358128799601</v>
      </c>
      <c r="F4247">
        <v>0.247776995024937</v>
      </c>
      <c r="G4247">
        <v>0.16014457681955899</v>
      </c>
      <c r="H4247">
        <v>0.126565974502648</v>
      </c>
      <c r="I4247">
        <v>0.120808817388089</v>
      </c>
      <c r="J4247">
        <v>0.122487921612251</v>
      </c>
      <c r="K4247">
        <v>8.5869255767620806E-2</v>
      </c>
      <c r="L4247">
        <v>1511.43387748331</v>
      </c>
      <c r="M4247">
        <v>31.2765080327578</v>
      </c>
      <c r="N4247">
        <v>48.791422067639601</v>
      </c>
      <c r="O4247">
        <v>48.128637472771899</v>
      </c>
      <c r="P4247">
        <v>-0.14146692986346299</v>
      </c>
      <c r="Q4247">
        <v>0.12924150894036901</v>
      </c>
      <c r="R4247">
        <v>0.99307581458231597</v>
      </c>
      <c r="S4247" t="s">
        <v>10532</v>
      </c>
      <c r="T4247" t="s">
        <v>12568</v>
      </c>
      <c r="U4247" t="s">
        <v>12568</v>
      </c>
      <c r="V4247" t="s">
        <v>12568</v>
      </c>
      <c r="W4247" t="s">
        <v>16770</v>
      </c>
      <c r="X4247">
        <v>8</v>
      </c>
      <c r="Y4247" t="s">
        <v>22881</v>
      </c>
      <c r="Z4247" t="s">
        <v>29117</v>
      </c>
      <c r="AA4247">
        <v>0.37569700085168561</v>
      </c>
      <c r="AB4247" t="str">
        <f>HYPERLINK("Melting_Curves/meltCurve_Q8NFW8_CMAS.pdf", "Melting_Curves/meltCurve_Q8NFW8_CMAS.pdf")</f>
        <v>Melting_Curves/meltCurve_Q8NFW8_CMAS.pdf</v>
      </c>
    </row>
    <row r="4248" spans="1:28" x14ac:dyDescent="0.25">
      <c r="A4248" t="s">
        <v>4252</v>
      </c>
      <c r="B4248">
        <v>0.99352677808782597</v>
      </c>
      <c r="C4248">
        <v>0.98217325861745697</v>
      </c>
      <c r="D4248">
        <v>0.83311314354829602</v>
      </c>
      <c r="E4248">
        <v>0.63201655639091703</v>
      </c>
      <c r="F4248">
        <v>0.58496148106083401</v>
      </c>
      <c r="G4248">
        <v>0.43062801277718599</v>
      </c>
      <c r="H4248">
        <v>0.32312748205548703</v>
      </c>
      <c r="I4248">
        <v>0.26948011711304598</v>
      </c>
      <c r="J4248">
        <v>0.25007158312289102</v>
      </c>
      <c r="K4248">
        <v>0.21304024785276199</v>
      </c>
      <c r="L4248">
        <v>567.65620660776597</v>
      </c>
      <c r="M4248">
        <v>10.8638670386012</v>
      </c>
      <c r="N4248">
        <v>54.429732839464201</v>
      </c>
      <c r="O4248">
        <v>50.574799211780402</v>
      </c>
      <c r="P4248">
        <v>-4.4251385443101601E-2</v>
      </c>
      <c r="Q4248">
        <v>0.17627351552989301</v>
      </c>
      <c r="R4248">
        <v>0.99049899552496101</v>
      </c>
      <c r="S4248" t="s">
        <v>10533</v>
      </c>
      <c r="T4248" t="s">
        <v>12568</v>
      </c>
      <c r="U4248" t="s">
        <v>12568</v>
      </c>
      <c r="V4248" t="s">
        <v>12568</v>
      </c>
      <c r="W4248" t="s">
        <v>16771</v>
      </c>
      <c r="X4248">
        <v>5</v>
      </c>
      <c r="Y4248" t="s">
        <v>22882</v>
      </c>
      <c r="Z4248" t="s">
        <v>29118</v>
      </c>
      <c r="AA4248">
        <v>0.54056210122246506</v>
      </c>
      <c r="AB4248" t="str">
        <f>HYPERLINK("Melting_Curves/meltCurve_Q8NFZ5_TNIP2.pdf", "Melting_Curves/meltCurve_Q8NFZ5_TNIP2.pdf")</f>
        <v>Melting_Curves/meltCurve_Q8NFZ5_TNIP2.pdf</v>
      </c>
    </row>
    <row r="4249" spans="1:28" x14ac:dyDescent="0.25">
      <c r="A4249" t="s">
        <v>4253</v>
      </c>
      <c r="B4249">
        <v>0.99352677808782597</v>
      </c>
      <c r="C4249">
        <v>0.95137498812024202</v>
      </c>
      <c r="D4249">
        <v>0.96132334315386603</v>
      </c>
      <c r="E4249">
        <v>0.91992769375155403</v>
      </c>
      <c r="F4249">
        <v>0.81071716284797302</v>
      </c>
      <c r="G4249">
        <v>0.729064796753217</v>
      </c>
      <c r="H4249">
        <v>0.70813823263553</v>
      </c>
      <c r="I4249">
        <v>0.75805093288528302</v>
      </c>
      <c r="J4249">
        <v>0.81548143222053304</v>
      </c>
      <c r="K4249">
        <v>0.62173257602926402</v>
      </c>
      <c r="L4249">
        <v>1112.52130037089</v>
      </c>
      <c r="M4249">
        <v>21.640956285862401</v>
      </c>
      <c r="O4249">
        <v>50.975218662788201</v>
      </c>
      <c r="P4249">
        <v>-2.9917836361415401E-2</v>
      </c>
      <c r="Q4249">
        <v>0.71812118725194096</v>
      </c>
      <c r="R4249">
        <v>0.83406440667649995</v>
      </c>
      <c r="S4249" t="s">
        <v>10534</v>
      </c>
      <c r="T4249" t="s">
        <v>12568</v>
      </c>
      <c r="U4249" t="s">
        <v>12568</v>
      </c>
      <c r="V4249" t="s">
        <v>12568</v>
      </c>
      <c r="W4249" t="s">
        <v>16772</v>
      </c>
      <c r="X4249">
        <v>4</v>
      </c>
      <c r="Y4249" t="s">
        <v>22883</v>
      </c>
      <c r="Z4249" t="s">
        <v>29119</v>
      </c>
      <c r="AA4249">
        <v>0.82868613347855957</v>
      </c>
      <c r="AB4249" t="str">
        <f>HYPERLINK("Melting_Curves/meltCurve_Q8NFZ8_CADM4.pdf", "Melting_Curves/meltCurve_Q8NFZ8_CADM4.pdf")</f>
        <v>Melting_Curves/meltCurve_Q8NFZ8_CADM4.pdf</v>
      </c>
    </row>
    <row r="4250" spans="1:28" x14ac:dyDescent="0.25">
      <c r="A4250" t="s">
        <v>4254</v>
      </c>
      <c r="B4250">
        <v>0.99352677808782597</v>
      </c>
      <c r="C4250">
        <v>0.97409253112924599</v>
      </c>
      <c r="D4250">
        <v>0.92210095047798002</v>
      </c>
      <c r="E4250">
        <v>0.62620705185173897</v>
      </c>
      <c r="F4250">
        <v>0.55906417017531995</v>
      </c>
      <c r="G4250">
        <v>0.268109810801062</v>
      </c>
      <c r="H4250">
        <v>0.15402261022545199</v>
      </c>
      <c r="I4250">
        <v>0.15805758983357801</v>
      </c>
      <c r="J4250">
        <v>0.120341630632074</v>
      </c>
      <c r="K4250">
        <v>9.7834578089899094E-2</v>
      </c>
      <c r="L4250">
        <v>777.08498215979205</v>
      </c>
      <c r="M4250">
        <v>14.8609412236776</v>
      </c>
      <c r="N4250">
        <v>52.916757232617897</v>
      </c>
      <c r="O4250">
        <v>51.3709543747647</v>
      </c>
      <c r="P4250">
        <v>-6.6496106140244704E-2</v>
      </c>
      <c r="Q4250">
        <v>8.0647257439867601E-2</v>
      </c>
      <c r="R4250">
        <v>0.99146351271209099</v>
      </c>
      <c r="S4250" t="s">
        <v>10535</v>
      </c>
      <c r="T4250" t="s">
        <v>12568</v>
      </c>
      <c r="U4250" t="s">
        <v>12568</v>
      </c>
      <c r="V4250" t="s">
        <v>12568</v>
      </c>
      <c r="W4250" t="s">
        <v>16773</v>
      </c>
      <c r="X4250">
        <v>9</v>
      </c>
      <c r="Y4250" t="s">
        <v>22884</v>
      </c>
      <c r="Z4250" t="s">
        <v>29120</v>
      </c>
      <c r="AA4250">
        <v>0.47791327398948608</v>
      </c>
      <c r="AB4250" t="str">
        <f>HYPERLINK("Melting_Curves/meltCurve_Q8NG08_HELB.pdf", "Melting_Curves/meltCurve_Q8NG08_HELB.pdf")</f>
        <v>Melting_Curves/meltCurve_Q8NG08_HELB.pdf</v>
      </c>
    </row>
    <row r="4251" spans="1:28" x14ac:dyDescent="0.25">
      <c r="A4251" t="s">
        <v>4255</v>
      </c>
      <c r="B4251">
        <v>0.99352677808782597</v>
      </c>
      <c r="C4251">
        <v>0.92431022367451399</v>
      </c>
      <c r="D4251">
        <v>0.95632721855408898</v>
      </c>
      <c r="E4251">
        <v>0.95300043660408196</v>
      </c>
      <c r="F4251">
        <v>0.89578763883186996</v>
      </c>
      <c r="G4251">
        <v>0.86147633811767099</v>
      </c>
      <c r="H4251">
        <v>0.72760768134812503</v>
      </c>
      <c r="I4251">
        <v>0.82240577651398805</v>
      </c>
      <c r="J4251">
        <v>0.83410463541382096</v>
      </c>
      <c r="K4251">
        <v>0.76202575293360897</v>
      </c>
      <c r="L4251">
        <v>469.31484706761597</v>
      </c>
      <c r="M4251">
        <v>8.6356129637437906</v>
      </c>
      <c r="O4251">
        <v>51.667810235883103</v>
      </c>
      <c r="P4251">
        <v>-1.06683669142018E-2</v>
      </c>
      <c r="Q4251">
        <v>0.74489656555075601</v>
      </c>
      <c r="R4251">
        <v>0.77884681623649499</v>
      </c>
      <c r="S4251" t="s">
        <v>10536</v>
      </c>
      <c r="T4251" t="s">
        <v>12568</v>
      </c>
      <c r="U4251" t="s">
        <v>12568</v>
      </c>
      <c r="V4251" t="s">
        <v>12568</v>
      </c>
      <c r="W4251" t="s">
        <v>16774</v>
      </c>
      <c r="X4251">
        <v>7</v>
      </c>
      <c r="Y4251" t="s">
        <v>22885</v>
      </c>
      <c r="Z4251" t="s">
        <v>29121</v>
      </c>
      <c r="AA4251">
        <v>0.87477227758208753</v>
      </c>
      <c r="AB4251" t="str">
        <f>HYPERLINK("Melting_Curves/meltCurve_Q8NG27_3_PJA1.pdf", "Melting_Curves/meltCurve_Q8NG27_3_PJA1.pdf")</f>
        <v>Melting_Curves/meltCurve_Q8NG27_3_PJA1.pdf</v>
      </c>
    </row>
    <row r="4252" spans="1:28" x14ac:dyDescent="0.25">
      <c r="A4252" t="s">
        <v>4256</v>
      </c>
      <c r="B4252">
        <v>0.99352677808782597</v>
      </c>
      <c r="C4252">
        <v>0.92144511177955002</v>
      </c>
      <c r="D4252">
        <v>0.89635440992781901</v>
      </c>
      <c r="E4252">
        <v>0.75183402065284399</v>
      </c>
      <c r="F4252">
        <v>0.67472919030773104</v>
      </c>
      <c r="G4252">
        <v>0.54881048157569601</v>
      </c>
      <c r="H4252">
        <v>0.51893286421189</v>
      </c>
      <c r="I4252">
        <v>0.52638110008629402</v>
      </c>
      <c r="J4252">
        <v>0.58334981325028501</v>
      </c>
      <c r="K4252">
        <v>0.49823233837720998</v>
      </c>
      <c r="L4252">
        <v>719.32574625327504</v>
      </c>
      <c r="M4252">
        <v>14.449213959705601</v>
      </c>
      <c r="O4252">
        <v>48.858624535595503</v>
      </c>
      <c r="P4252">
        <v>-3.6109243785034398E-2</v>
      </c>
      <c r="Q4252">
        <v>0.51165740933020698</v>
      </c>
      <c r="R4252">
        <v>0.97672500280087204</v>
      </c>
      <c r="S4252" t="s">
        <v>10537</v>
      </c>
      <c r="T4252" t="s">
        <v>12568</v>
      </c>
      <c r="U4252" t="s">
        <v>12568</v>
      </c>
      <c r="V4252" t="s">
        <v>12568</v>
      </c>
      <c r="W4252" t="s">
        <v>16775</v>
      </c>
      <c r="X4252">
        <v>15</v>
      </c>
      <c r="Y4252" t="s">
        <v>22886</v>
      </c>
      <c r="Z4252" t="s">
        <v>29122</v>
      </c>
      <c r="AA4252">
        <v>0.68344203767134104</v>
      </c>
      <c r="AB4252" t="str">
        <f>HYPERLINK("Melting_Curves/meltCurve_Q8NG31_2_CASC5.pdf", "Melting_Curves/meltCurve_Q8NG31_2_CASC5.pdf")</f>
        <v>Melting_Curves/meltCurve_Q8NG31_2_CASC5.pdf</v>
      </c>
    </row>
    <row r="4253" spans="1:28" x14ac:dyDescent="0.25">
      <c r="A4253" t="s">
        <v>4257</v>
      </c>
      <c r="B4253">
        <v>0.99352677808782597</v>
      </c>
      <c r="C4253">
        <v>0.92636754894624895</v>
      </c>
      <c r="D4253">
        <v>0.72141722764946203</v>
      </c>
      <c r="E4253">
        <v>0.20839099992679899</v>
      </c>
      <c r="F4253">
        <v>0.16674210209016799</v>
      </c>
      <c r="G4253">
        <v>0.10489455185564001</v>
      </c>
      <c r="H4253">
        <v>8.1034390045996302E-2</v>
      </c>
      <c r="I4253">
        <v>7.4703882419957901E-2</v>
      </c>
      <c r="J4253">
        <v>4.9867133256356701E-2</v>
      </c>
      <c r="K4253">
        <v>4.55667825673031E-2</v>
      </c>
      <c r="L4253">
        <v>1293.51934643354</v>
      </c>
      <c r="M4253">
        <v>27.364135832995402</v>
      </c>
      <c r="N4253">
        <v>47.5454457338883</v>
      </c>
      <c r="O4253">
        <v>47.020294486322101</v>
      </c>
      <c r="P4253">
        <v>-0.13484940022724001</v>
      </c>
      <c r="Q4253">
        <v>7.3151482266995999E-2</v>
      </c>
      <c r="R4253">
        <v>0.99540840430894095</v>
      </c>
      <c r="S4253" t="s">
        <v>10538</v>
      </c>
      <c r="T4253" t="s">
        <v>12568</v>
      </c>
      <c r="U4253" t="s">
        <v>12568</v>
      </c>
      <c r="V4253" t="s">
        <v>12568</v>
      </c>
      <c r="W4253" t="s">
        <v>16776</v>
      </c>
      <c r="X4253">
        <v>2</v>
      </c>
      <c r="Y4253" t="s">
        <v>22887</v>
      </c>
      <c r="Z4253" t="s">
        <v>29123</v>
      </c>
      <c r="AA4253">
        <v>0.30454688211181352</v>
      </c>
      <c r="AB4253" t="str">
        <f>HYPERLINK("Melting_Curves/meltCurve_Q8NG68_TTL.pdf", "Melting_Curves/meltCurve_Q8NG68_TTL.pdf")</f>
        <v>Melting_Curves/meltCurve_Q8NG68_TTL.pdf</v>
      </c>
    </row>
    <row r="4254" spans="1:28" x14ac:dyDescent="0.25">
      <c r="A4254" t="s">
        <v>4258</v>
      </c>
      <c r="B4254">
        <v>0.99352677808782597</v>
      </c>
      <c r="C4254">
        <v>0.97746447761209898</v>
      </c>
      <c r="D4254">
        <v>1.00535056591488</v>
      </c>
      <c r="E4254">
        <v>0.96040259406179596</v>
      </c>
      <c r="F4254">
        <v>0.84966922133729905</v>
      </c>
      <c r="G4254">
        <v>0.746125010958957</v>
      </c>
      <c r="H4254">
        <v>0.64310520050041697</v>
      </c>
      <c r="I4254">
        <v>0.65639570560121596</v>
      </c>
      <c r="J4254">
        <v>0.65288182342601497</v>
      </c>
      <c r="K4254">
        <v>0.55816354343673802</v>
      </c>
      <c r="L4254">
        <v>963.80765295109097</v>
      </c>
      <c r="M4254">
        <v>17.4827048010856</v>
      </c>
      <c r="O4254">
        <v>54.423057428954799</v>
      </c>
      <c r="P4254">
        <v>-3.2378187262827297E-2</v>
      </c>
      <c r="Q4254">
        <v>0.59685343451756201</v>
      </c>
      <c r="R4254">
        <v>0.97690707064423499</v>
      </c>
      <c r="S4254" t="s">
        <v>10539</v>
      </c>
      <c r="T4254" t="s">
        <v>12568</v>
      </c>
      <c r="U4254" t="s">
        <v>12568</v>
      </c>
      <c r="V4254" t="s">
        <v>12568</v>
      </c>
      <c r="W4254" t="s">
        <v>16777</v>
      </c>
      <c r="X4254">
        <v>3</v>
      </c>
      <c r="Y4254" t="s">
        <v>22888</v>
      </c>
      <c r="Z4254" t="s">
        <v>29124</v>
      </c>
      <c r="AA4254">
        <v>0.80660751528981955</v>
      </c>
      <c r="AB4254" t="str">
        <f>HYPERLINK("Melting_Curves/meltCurve_Q8NHG8_ZNRF2.pdf", "Melting_Curves/meltCurve_Q8NHG8_ZNRF2.pdf")</f>
        <v>Melting_Curves/meltCurve_Q8NHG8_ZNRF2.pdf</v>
      </c>
    </row>
    <row r="4255" spans="1:28" x14ac:dyDescent="0.25">
      <c r="A4255" t="s">
        <v>4259</v>
      </c>
      <c r="B4255">
        <v>0.99352677808782597</v>
      </c>
      <c r="C4255">
        <v>1.04872851857573</v>
      </c>
      <c r="D4255">
        <v>1.09938237639406</v>
      </c>
      <c r="E4255">
        <v>1.0852488046808</v>
      </c>
      <c r="F4255">
        <v>0.89703276418723699</v>
      </c>
      <c r="G4255">
        <v>0.968548729217662</v>
      </c>
      <c r="H4255">
        <v>0.80308250709461904</v>
      </c>
      <c r="I4255">
        <v>0.89663436714023004</v>
      </c>
      <c r="J4255">
        <v>0.86198371956389097</v>
      </c>
      <c r="K4255">
        <v>1.2087348531742199</v>
      </c>
      <c r="L4255">
        <v>15000</v>
      </c>
      <c r="M4255">
        <v>213.95231738906801</v>
      </c>
      <c r="Q4255">
        <v>1.5</v>
      </c>
      <c r="R4255">
        <v>0.29489438954326203</v>
      </c>
      <c r="S4255" t="s">
        <v>10540</v>
      </c>
      <c r="T4255" t="s">
        <v>12568</v>
      </c>
      <c r="U4255" t="s">
        <v>12568</v>
      </c>
      <c r="V4255" t="s">
        <v>12568</v>
      </c>
      <c r="W4255" t="s">
        <v>16778</v>
      </c>
      <c r="X4255">
        <v>2</v>
      </c>
      <c r="Y4255" t="s">
        <v>22889</v>
      </c>
      <c r="Z4255" t="s">
        <v>29125</v>
      </c>
      <c r="AA4255">
        <v>1.002910597521111</v>
      </c>
      <c r="AB4255" t="str">
        <f>HYPERLINK("Melting_Curves/meltCurve_Q8NHM4_TRY6.pdf", "Melting_Curves/meltCurve_Q8NHM4_TRY6.pdf")</f>
        <v>Melting_Curves/meltCurve_Q8NHM4_TRY6.pdf</v>
      </c>
    </row>
    <row r="4256" spans="1:28" x14ac:dyDescent="0.25">
      <c r="A4256" t="s">
        <v>4260</v>
      </c>
      <c r="B4256">
        <v>0.99352677808782597</v>
      </c>
      <c r="C4256">
        <v>1.0340073287242899</v>
      </c>
      <c r="D4256">
        <v>0.98691084562490905</v>
      </c>
      <c r="E4256">
        <v>0.90018316954511901</v>
      </c>
      <c r="F4256">
        <v>0.83718807220869695</v>
      </c>
      <c r="G4256">
        <v>0.76247887054048302</v>
      </c>
      <c r="H4256">
        <v>0.63413188915697005</v>
      </c>
      <c r="I4256">
        <v>0.60851373718242896</v>
      </c>
      <c r="J4256">
        <v>0.61518135814249297</v>
      </c>
      <c r="K4256">
        <v>0.43258138296913801</v>
      </c>
      <c r="L4256">
        <v>514.64764498542399</v>
      </c>
      <c r="M4256">
        <v>8.3695103671547404</v>
      </c>
      <c r="N4256">
        <v>69.285122319668304</v>
      </c>
      <c r="O4256">
        <v>58.2808246252931</v>
      </c>
      <c r="P4256">
        <v>-2.4975940478134898E-2</v>
      </c>
      <c r="Q4256">
        <v>0.30498700825188702</v>
      </c>
      <c r="R4256">
        <v>0.96153602988639197</v>
      </c>
      <c r="S4256" t="s">
        <v>10541</v>
      </c>
      <c r="T4256" t="s">
        <v>12568</v>
      </c>
      <c r="U4256" t="s">
        <v>12568</v>
      </c>
      <c r="V4256" t="s">
        <v>12568</v>
      </c>
      <c r="W4256" t="s">
        <v>16779</v>
      </c>
      <c r="X4256">
        <v>2</v>
      </c>
      <c r="Y4256" t="s">
        <v>22890</v>
      </c>
      <c r="Z4256" t="s">
        <v>29126</v>
      </c>
      <c r="AA4256">
        <v>0.78358963197592901</v>
      </c>
      <c r="AB4256" t="str">
        <f>HYPERLINK("Melting_Curves/meltCurve_Q8NHM5_2_KDM2B.pdf", "Melting_Curves/meltCurve_Q8NHM5_2_KDM2B.pdf")</f>
        <v>Melting_Curves/meltCurve_Q8NHM5_2_KDM2B.pdf</v>
      </c>
    </row>
    <row r="4257" spans="1:28" x14ac:dyDescent="0.25">
      <c r="A4257" t="s">
        <v>4261</v>
      </c>
      <c r="B4257">
        <v>0.99352677808782597</v>
      </c>
      <c r="C4257">
        <v>1.0046975276935799</v>
      </c>
      <c r="D4257">
        <v>0.96474359558057599</v>
      </c>
      <c r="E4257">
        <v>0.84362114780164699</v>
      </c>
      <c r="F4257">
        <v>0.75960093895471104</v>
      </c>
      <c r="G4257">
        <v>0.591762702222696</v>
      </c>
      <c r="H4257">
        <v>0.47751313412525997</v>
      </c>
      <c r="I4257">
        <v>0.36362217837392302</v>
      </c>
      <c r="J4257">
        <v>0.213539256208406</v>
      </c>
      <c r="K4257">
        <v>0.148708280925063</v>
      </c>
      <c r="L4257">
        <v>596.11359694571399</v>
      </c>
      <c r="M4257">
        <v>10.027122744701201</v>
      </c>
      <c r="N4257">
        <v>59.450102507352298</v>
      </c>
      <c r="O4257">
        <v>57.230705465850598</v>
      </c>
      <c r="P4257">
        <v>-4.3822408983625098E-2</v>
      </c>
      <c r="Q4257">
        <v>0</v>
      </c>
      <c r="R4257">
        <v>0.992895765716717</v>
      </c>
      <c r="S4257" t="s">
        <v>10542</v>
      </c>
      <c r="T4257" t="s">
        <v>12568</v>
      </c>
      <c r="U4257" t="s">
        <v>12568</v>
      </c>
      <c r="V4257" t="s">
        <v>12568</v>
      </c>
      <c r="W4257" t="s">
        <v>16780</v>
      </c>
      <c r="X4257">
        <v>11</v>
      </c>
      <c r="Y4257" t="s">
        <v>22891</v>
      </c>
      <c r="Z4257" t="s">
        <v>29127</v>
      </c>
      <c r="AA4257">
        <v>0.64857226887605635</v>
      </c>
      <c r="AB4257" t="str">
        <f>HYPERLINK("Melting_Curves/meltCurve_Q8NHP8_PLBD2.pdf", "Melting_Curves/meltCurve_Q8NHP8_PLBD2.pdf")</f>
        <v>Melting_Curves/meltCurve_Q8NHP8_PLBD2.pdf</v>
      </c>
    </row>
    <row r="4258" spans="1:28" x14ac:dyDescent="0.25">
      <c r="A4258" t="s">
        <v>4262</v>
      </c>
      <c r="B4258">
        <v>0.99352677808782597</v>
      </c>
      <c r="C4258">
        <v>0.92615446979298499</v>
      </c>
      <c r="D4258">
        <v>0.83028262156219601</v>
      </c>
      <c r="E4258">
        <v>0.31774549020160803</v>
      </c>
      <c r="F4258">
        <v>0.25173837225839601</v>
      </c>
      <c r="G4258">
        <v>0.13599877155050299</v>
      </c>
      <c r="H4258">
        <v>0.108080328323228</v>
      </c>
      <c r="I4258">
        <v>9.9961322174133296E-2</v>
      </c>
      <c r="J4258">
        <v>7.4806770360380803E-2</v>
      </c>
      <c r="K4258">
        <v>5.60346519138143E-2</v>
      </c>
      <c r="L4258">
        <v>1147.0615837525399</v>
      </c>
      <c r="M4258">
        <v>23.736463519051899</v>
      </c>
      <c r="N4258">
        <v>48.743941526008101</v>
      </c>
      <c r="O4258">
        <v>47.985770522024801</v>
      </c>
      <c r="P4258">
        <v>-0.112251971576155</v>
      </c>
      <c r="Q4258">
        <v>9.2297611919043801E-2</v>
      </c>
      <c r="R4258">
        <v>0.99111383760621596</v>
      </c>
      <c r="S4258" t="s">
        <v>10543</v>
      </c>
      <c r="T4258" t="s">
        <v>12568</v>
      </c>
      <c r="U4258" t="s">
        <v>12568</v>
      </c>
      <c r="V4258" t="s">
        <v>12568</v>
      </c>
      <c r="W4258" t="s">
        <v>16781</v>
      </c>
      <c r="X4258">
        <v>5</v>
      </c>
      <c r="Y4258" t="s">
        <v>22892</v>
      </c>
      <c r="Z4258" t="s">
        <v>29128</v>
      </c>
      <c r="AA4258">
        <v>0.35312730791927249</v>
      </c>
      <c r="AB4258" t="str">
        <f>HYPERLINK("Melting_Curves/meltCurve_Q8NHU6_TDRD7.pdf", "Melting_Curves/meltCurve_Q8NHU6_TDRD7.pdf")</f>
        <v>Melting_Curves/meltCurve_Q8NHU6_TDRD7.pdf</v>
      </c>
    </row>
    <row r="4259" spans="1:28" x14ac:dyDescent="0.25">
      <c r="A4259" t="s">
        <v>4263</v>
      </c>
      <c r="B4259">
        <v>0.99352677808782597</v>
      </c>
      <c r="C4259">
        <v>0.95758512233371396</v>
      </c>
      <c r="D4259">
        <v>0.97215233625056696</v>
      </c>
      <c r="E4259">
        <v>0.89766414774083403</v>
      </c>
      <c r="F4259">
        <v>0.81558022016049003</v>
      </c>
      <c r="G4259">
        <v>0.66317414763496096</v>
      </c>
      <c r="H4259">
        <v>0.50710087395708103</v>
      </c>
      <c r="I4259">
        <v>0.47674036394985803</v>
      </c>
      <c r="J4259">
        <v>0.369581678142892</v>
      </c>
      <c r="K4259">
        <v>0.28028959847760998</v>
      </c>
      <c r="L4259">
        <v>560.44277353141899</v>
      </c>
      <c r="M4259">
        <v>9.2441132664552903</v>
      </c>
      <c r="N4259">
        <v>62.031700542749199</v>
      </c>
      <c r="O4259">
        <v>57.992320431224897</v>
      </c>
      <c r="P4259">
        <v>-3.6110864731109103E-2</v>
      </c>
      <c r="Q4259">
        <v>9.4437602195227704E-2</v>
      </c>
      <c r="R4259">
        <v>0.99432644640478796</v>
      </c>
      <c r="S4259" t="s">
        <v>10544</v>
      </c>
      <c r="T4259" t="s">
        <v>12568</v>
      </c>
      <c r="U4259" t="s">
        <v>12568</v>
      </c>
      <c r="V4259" t="s">
        <v>12568</v>
      </c>
      <c r="W4259" t="s">
        <v>16782</v>
      </c>
      <c r="X4259">
        <v>11</v>
      </c>
      <c r="Y4259" t="s">
        <v>22893</v>
      </c>
      <c r="Z4259" t="s">
        <v>29129</v>
      </c>
      <c r="AA4259">
        <v>0.7052831519274565</v>
      </c>
      <c r="AB4259" t="str">
        <f>HYPERLINK("Melting_Curves/meltCurve_Q8NHV4_NEDD1.pdf", "Melting_Curves/meltCurve_Q8NHV4_NEDD1.pdf")</f>
        <v>Melting_Curves/meltCurve_Q8NHV4_NEDD1.pdf</v>
      </c>
    </row>
    <row r="4260" spans="1:28" x14ac:dyDescent="0.25">
      <c r="A4260" t="s">
        <v>4264</v>
      </c>
      <c r="B4260">
        <v>0.99352677808782597</v>
      </c>
      <c r="C4260">
        <v>0.96982373535041499</v>
      </c>
      <c r="D4260">
        <v>0.98680856476119305</v>
      </c>
      <c r="E4260">
        <v>1.1687057124084701</v>
      </c>
      <c r="F4260">
        <v>1.0117702007961999</v>
      </c>
      <c r="G4260">
        <v>1.1531594012603399</v>
      </c>
      <c r="H4260">
        <v>1.1580805918085399</v>
      </c>
      <c r="I4260">
        <v>1.2371993515966899</v>
      </c>
      <c r="J4260">
        <v>1.2469430470762699</v>
      </c>
      <c r="K4260">
        <v>1.0832580672577401</v>
      </c>
      <c r="L4260">
        <v>778.554634310707</v>
      </c>
      <c r="M4260">
        <v>14.8921906006066</v>
      </c>
      <c r="O4260">
        <v>51.363870608675001</v>
      </c>
      <c r="P4260">
        <v>1.3607069188207701E-2</v>
      </c>
      <c r="Q4260">
        <v>1.18770619675006</v>
      </c>
      <c r="R4260">
        <v>0.59715609518624602</v>
      </c>
      <c r="S4260" t="s">
        <v>10545</v>
      </c>
      <c r="T4260" t="s">
        <v>12568</v>
      </c>
      <c r="U4260" t="s">
        <v>12568</v>
      </c>
      <c r="V4260" t="s">
        <v>12568</v>
      </c>
      <c r="W4260" t="s">
        <v>16783</v>
      </c>
      <c r="X4260">
        <v>4</v>
      </c>
      <c r="Y4260" t="s">
        <v>22894</v>
      </c>
      <c r="Z4260" t="s">
        <v>29130</v>
      </c>
      <c r="AA4260">
        <v>1.1066759593333351</v>
      </c>
      <c r="AB4260" t="str">
        <f>HYPERLINK("Melting_Curves/meltCurve_Q8NHZ8_CDC26.pdf", "Melting_Curves/meltCurve_Q8NHZ8_CDC26.pdf")</f>
        <v>Melting_Curves/meltCurve_Q8NHZ8_CDC26.pdf</v>
      </c>
    </row>
    <row r="4261" spans="1:28" x14ac:dyDescent="0.25">
      <c r="A4261" t="s">
        <v>4265</v>
      </c>
      <c r="B4261">
        <v>0.99352677808782597</v>
      </c>
      <c r="C4261">
        <v>0.98605882939367395</v>
      </c>
      <c r="D4261">
        <v>0.968439837280197</v>
      </c>
      <c r="E4261">
        <v>0.37500056047333102</v>
      </c>
      <c r="F4261">
        <v>0.30257250315672501</v>
      </c>
      <c r="G4261">
        <v>0.17828038476302299</v>
      </c>
      <c r="H4261">
        <v>0.15468561198278999</v>
      </c>
      <c r="I4261">
        <v>0.162550355251523</v>
      </c>
      <c r="J4261">
        <v>0.162445943614698</v>
      </c>
      <c r="K4261">
        <v>0.12577246933195901</v>
      </c>
      <c r="L4261">
        <v>1917.50433166942</v>
      </c>
      <c r="M4261">
        <v>39.264218136605102</v>
      </c>
      <c r="N4261">
        <v>49.359498878956501</v>
      </c>
      <c r="O4261">
        <v>48.709760001572803</v>
      </c>
      <c r="P4261">
        <v>-0.167198159214061</v>
      </c>
      <c r="Q4261">
        <v>0.17032205009065601</v>
      </c>
      <c r="R4261">
        <v>0.98921528027571104</v>
      </c>
      <c r="S4261" t="s">
        <v>10546</v>
      </c>
      <c r="T4261" t="s">
        <v>12568</v>
      </c>
      <c r="U4261" t="s">
        <v>12568</v>
      </c>
      <c r="V4261" t="s">
        <v>12568</v>
      </c>
      <c r="W4261" t="s">
        <v>16784</v>
      </c>
      <c r="X4261">
        <v>8</v>
      </c>
      <c r="Y4261" t="s">
        <v>22895</v>
      </c>
      <c r="Z4261" t="s">
        <v>29131</v>
      </c>
      <c r="AA4261">
        <v>0.41759948550733839</v>
      </c>
      <c r="AB4261" t="str">
        <f>HYPERLINK("Melting_Curves/meltCurve_Q8NI08_2_NCOA7.pdf", "Melting_Curves/meltCurve_Q8NI08_2_NCOA7.pdf")</f>
        <v>Melting_Curves/meltCurve_Q8NI08_2_NCOA7.pdf</v>
      </c>
    </row>
    <row r="4262" spans="1:28" x14ac:dyDescent="0.25">
      <c r="A4262" t="s">
        <v>4266</v>
      </c>
      <c r="B4262">
        <v>0.99352677808782597</v>
      </c>
      <c r="C4262">
        <v>1.0109759373327301</v>
      </c>
      <c r="D4262">
        <v>0.97897039701619204</v>
      </c>
      <c r="E4262">
        <v>0.89026628019666199</v>
      </c>
      <c r="F4262">
        <v>0.74389469272085096</v>
      </c>
      <c r="G4262">
        <v>0.66166678653011202</v>
      </c>
      <c r="H4262">
        <v>0.48846285982757898</v>
      </c>
      <c r="I4262">
        <v>0.50241350956511999</v>
      </c>
      <c r="J4262">
        <v>0.53432119892042895</v>
      </c>
      <c r="K4262">
        <v>0.50697434847555101</v>
      </c>
      <c r="L4262">
        <v>988.65529669195996</v>
      </c>
      <c r="M4262">
        <v>18.517628674609899</v>
      </c>
      <c r="O4262">
        <v>52.778994859733899</v>
      </c>
      <c r="P4262">
        <v>-4.4326416760766901E-2</v>
      </c>
      <c r="Q4262">
        <v>0.49466520937181102</v>
      </c>
      <c r="R4262">
        <v>0.98465811648791202</v>
      </c>
      <c r="S4262" t="s">
        <v>10547</v>
      </c>
      <c r="T4262" t="s">
        <v>12568</v>
      </c>
      <c r="U4262" t="s">
        <v>12568</v>
      </c>
      <c r="V4262" t="s">
        <v>12568</v>
      </c>
      <c r="W4262" t="s">
        <v>16785</v>
      </c>
      <c r="X4262">
        <v>1</v>
      </c>
      <c r="Y4262" t="s">
        <v>22896</v>
      </c>
      <c r="Z4262" t="s">
        <v>29132</v>
      </c>
      <c r="AA4262">
        <v>0.7280624432429138</v>
      </c>
      <c r="AB4262" t="str">
        <f>HYPERLINK("Melting_Curves/meltCurve_Q8NI22_2_MCFD2.pdf", "Melting_Curves/meltCurve_Q8NI22_2_MCFD2.pdf")</f>
        <v>Melting_Curves/meltCurve_Q8NI22_2_MCFD2.pdf</v>
      </c>
    </row>
    <row r="4263" spans="1:28" x14ac:dyDescent="0.25">
      <c r="A4263" t="s">
        <v>4267</v>
      </c>
      <c r="B4263">
        <v>0.99352677808782597</v>
      </c>
      <c r="C4263">
        <v>0.93108503379266505</v>
      </c>
      <c r="D4263">
        <v>0.98071733909039205</v>
      </c>
      <c r="E4263">
        <v>0.95239181007079199</v>
      </c>
      <c r="F4263">
        <v>1.01581903894849</v>
      </c>
      <c r="G4263">
        <v>0.98701846455015896</v>
      </c>
      <c r="H4263">
        <v>0.89118234892728299</v>
      </c>
      <c r="I4263">
        <v>0.95177287112412801</v>
      </c>
      <c r="J4263">
        <v>0.99523960490262597</v>
      </c>
      <c r="K4263">
        <v>0.84620306709329995</v>
      </c>
      <c r="L4263">
        <v>273.44322317465497</v>
      </c>
      <c r="M4263">
        <v>1.6391234404942401</v>
      </c>
      <c r="Q4263">
        <v>0</v>
      </c>
      <c r="R4263">
        <v>0.21489054646414599</v>
      </c>
      <c r="S4263" t="s">
        <v>10548</v>
      </c>
      <c r="T4263" t="s">
        <v>12568</v>
      </c>
      <c r="U4263" t="s">
        <v>12568</v>
      </c>
      <c r="V4263" t="s">
        <v>12568</v>
      </c>
      <c r="W4263" t="s">
        <v>16786</v>
      </c>
      <c r="X4263">
        <v>19</v>
      </c>
      <c r="Y4263" t="s">
        <v>22897</v>
      </c>
      <c r="Z4263" t="s">
        <v>29133</v>
      </c>
      <c r="AA4263">
        <v>0.96033059215736616</v>
      </c>
      <c r="AB4263" t="str">
        <f>HYPERLINK("Melting_Curves/meltCurve_Q8NI27_THOC2.pdf", "Melting_Curves/meltCurve_Q8NI27_THOC2.pdf")</f>
        <v>Melting_Curves/meltCurve_Q8NI27_THOC2.pdf</v>
      </c>
    </row>
    <row r="4264" spans="1:28" x14ac:dyDescent="0.25">
      <c r="A4264" t="s">
        <v>4268</v>
      </c>
      <c r="B4264">
        <v>0.99352677808782597</v>
      </c>
      <c r="C4264">
        <v>1.0295496175693399</v>
      </c>
      <c r="D4264">
        <v>0.89638679248443098</v>
      </c>
      <c r="E4264">
        <v>0.66760812844117801</v>
      </c>
      <c r="F4264">
        <v>0.58947661624584502</v>
      </c>
      <c r="G4264">
        <v>0.41723730300625</v>
      </c>
      <c r="H4264">
        <v>0.35196649156395499</v>
      </c>
      <c r="I4264">
        <v>0.32931575845446998</v>
      </c>
      <c r="J4264">
        <v>0.32347278103472898</v>
      </c>
      <c r="K4264">
        <v>0.21994309670123299</v>
      </c>
      <c r="L4264">
        <v>731.56686484579905</v>
      </c>
      <c r="M4264">
        <v>14.160387832003</v>
      </c>
      <c r="N4264">
        <v>54.549316593753197</v>
      </c>
      <c r="O4264">
        <v>50.665311515907199</v>
      </c>
      <c r="P4264">
        <v>-5.1457167132256801E-2</v>
      </c>
      <c r="Q4264">
        <v>0.26364619714117798</v>
      </c>
      <c r="R4264">
        <v>0.98404729626370702</v>
      </c>
      <c r="S4264" t="s">
        <v>10549</v>
      </c>
      <c r="T4264" t="s">
        <v>12568</v>
      </c>
      <c r="U4264" t="s">
        <v>12568</v>
      </c>
      <c r="V4264" t="s">
        <v>12568</v>
      </c>
      <c r="W4264" t="s">
        <v>16787</v>
      </c>
      <c r="X4264">
        <v>15</v>
      </c>
      <c r="Y4264" t="s">
        <v>22898</v>
      </c>
      <c r="Z4264" t="s">
        <v>29134</v>
      </c>
      <c r="AA4264">
        <v>0.56811345741350583</v>
      </c>
      <c r="AB4264" t="str">
        <f>HYPERLINK("Melting_Curves/meltCurve_Q8NI35_INADL.pdf", "Melting_Curves/meltCurve_Q8NI35_INADL.pdf")</f>
        <v>Melting_Curves/meltCurve_Q8NI35_INADL.pdf</v>
      </c>
    </row>
    <row r="4265" spans="1:28" x14ac:dyDescent="0.25">
      <c r="A4265" t="s">
        <v>4269</v>
      </c>
      <c r="B4265">
        <v>0.99352677808782597</v>
      </c>
      <c r="C4265">
        <v>1.1831065630076001</v>
      </c>
      <c r="D4265">
        <v>1.2009389882722501</v>
      </c>
      <c r="E4265">
        <v>0.66441748997102401</v>
      </c>
      <c r="F4265">
        <v>0.63505815011841105</v>
      </c>
      <c r="G4265">
        <v>0.25747416657759797</v>
      </c>
      <c r="H4265">
        <v>7.1165105112528507E-2</v>
      </c>
      <c r="I4265">
        <v>0.194305197035157</v>
      </c>
      <c r="J4265">
        <v>6.81164281139746E-2</v>
      </c>
      <c r="K4265">
        <v>0.109591121722732</v>
      </c>
      <c r="L4265">
        <v>1185.0150789946399</v>
      </c>
      <c r="M4265">
        <v>22.3104241966229</v>
      </c>
      <c r="N4265">
        <v>53.620416534047003</v>
      </c>
      <c r="O4265">
        <v>52.693655659967597</v>
      </c>
      <c r="P4265">
        <v>-9.5811800133546302E-2</v>
      </c>
      <c r="Q4265">
        <v>9.4850489803197394E-2</v>
      </c>
      <c r="R4265">
        <v>0.93169377747666304</v>
      </c>
      <c r="S4265" t="s">
        <v>10550</v>
      </c>
      <c r="T4265" t="s">
        <v>12568</v>
      </c>
      <c r="U4265" t="s">
        <v>12568</v>
      </c>
      <c r="V4265" t="s">
        <v>12568</v>
      </c>
      <c r="W4265" t="s">
        <v>16788</v>
      </c>
      <c r="X4265">
        <v>1</v>
      </c>
      <c r="Y4265" t="s">
        <v>22899</v>
      </c>
      <c r="Z4265" t="s">
        <v>29135</v>
      </c>
      <c r="AA4265">
        <v>0.50082346052437854</v>
      </c>
      <c r="AB4265" t="str">
        <f>HYPERLINK("Melting_Curves/meltCurve_Q8NI36_WDR36.pdf", "Melting_Curves/meltCurve_Q8NI36_WDR36.pdf")</f>
        <v>Melting_Curves/meltCurve_Q8NI36_WDR36.pdf</v>
      </c>
    </row>
    <row r="4266" spans="1:28" x14ac:dyDescent="0.25">
      <c r="A4266" t="s">
        <v>4270</v>
      </c>
      <c r="B4266">
        <v>0.99352677808782597</v>
      </c>
      <c r="C4266">
        <v>0.947848524160118</v>
      </c>
      <c r="D4266">
        <v>1.0514046528844201</v>
      </c>
      <c r="E4266">
        <v>1.00569604156807</v>
      </c>
      <c r="F4266">
        <v>0.99771968670891498</v>
      </c>
      <c r="G4266">
        <v>0.93179687146199597</v>
      </c>
      <c r="H4266">
        <v>0.81354369652151504</v>
      </c>
      <c r="I4266">
        <v>0.91462205610804603</v>
      </c>
      <c r="J4266">
        <v>0.87401849204904203</v>
      </c>
      <c r="K4266">
        <v>0.69515534140528801</v>
      </c>
      <c r="L4266">
        <v>584.509765454785</v>
      </c>
      <c r="M4266">
        <v>7.29754365038721</v>
      </c>
      <c r="Q4266">
        <v>0</v>
      </c>
      <c r="R4266">
        <v>0.75144738041073</v>
      </c>
      <c r="S4266" t="s">
        <v>10551</v>
      </c>
      <c r="T4266" t="s">
        <v>12568</v>
      </c>
      <c r="U4266" t="s">
        <v>12568</v>
      </c>
      <c r="V4266" t="s">
        <v>12568</v>
      </c>
      <c r="W4266" t="s">
        <v>16789</v>
      </c>
      <c r="X4266">
        <v>5</v>
      </c>
      <c r="Y4266" t="s">
        <v>22900</v>
      </c>
      <c r="Z4266" t="s">
        <v>29136</v>
      </c>
      <c r="AA4266">
        <v>0.9324392012411451</v>
      </c>
      <c r="AB4266" t="str">
        <f>HYPERLINK("Melting_Curves/meltCurve_Q8TA86_RP9.pdf", "Melting_Curves/meltCurve_Q8TA86_RP9.pdf")</f>
        <v>Melting_Curves/meltCurve_Q8TA86_RP9.pdf</v>
      </c>
    </row>
    <row r="4267" spans="1:28" x14ac:dyDescent="0.25">
      <c r="A4267" t="s">
        <v>4271</v>
      </c>
      <c r="B4267">
        <v>0.99352677808782597</v>
      </c>
      <c r="C4267">
        <v>0.77866211171475097</v>
      </c>
      <c r="D4267">
        <v>0.95742745793526396</v>
      </c>
      <c r="E4267">
        <v>0.92533665450881897</v>
      </c>
      <c r="F4267">
        <v>0.80234180560732205</v>
      </c>
      <c r="G4267">
        <v>0.75520883832919306</v>
      </c>
      <c r="H4267">
        <v>0.59849799348799804</v>
      </c>
      <c r="I4267">
        <v>0.653178745371776</v>
      </c>
      <c r="J4267">
        <v>0.717277520040697</v>
      </c>
      <c r="K4267">
        <v>0.60131055412676604</v>
      </c>
      <c r="L4267">
        <v>308.94797255913102</v>
      </c>
      <c r="M4267">
        <v>5.2397526696793104</v>
      </c>
      <c r="O4267">
        <v>52.007678046251499</v>
      </c>
      <c r="P4267">
        <v>-1.40197180751818E-2</v>
      </c>
      <c r="Q4267">
        <v>0.44627141055555603</v>
      </c>
      <c r="R4267">
        <v>0.71979157152831397</v>
      </c>
      <c r="S4267" t="s">
        <v>10552</v>
      </c>
      <c r="T4267" t="s">
        <v>12568</v>
      </c>
      <c r="U4267" t="s">
        <v>12568</v>
      </c>
      <c r="V4267" t="s">
        <v>12568</v>
      </c>
      <c r="W4267" t="s">
        <v>16790</v>
      </c>
      <c r="X4267">
        <v>2</v>
      </c>
      <c r="Y4267" t="s">
        <v>22901</v>
      </c>
      <c r="Z4267" t="s">
        <v>29137</v>
      </c>
      <c r="AA4267">
        <v>0.78029832326750348</v>
      </c>
      <c r="AB4267" t="str">
        <f>HYPERLINK("Melting_Curves/meltCurve_Q8TAD8_SNIP1.pdf", "Melting_Curves/meltCurve_Q8TAD8_SNIP1.pdf")</f>
        <v>Melting_Curves/meltCurve_Q8TAD8_SNIP1.pdf</v>
      </c>
    </row>
    <row r="4268" spans="1:28" x14ac:dyDescent="0.25">
      <c r="A4268" t="s">
        <v>4272</v>
      </c>
      <c r="B4268">
        <v>0.99352677808782597</v>
      </c>
      <c r="C4268">
        <v>0.75029073898940801</v>
      </c>
      <c r="D4268">
        <v>1.10266981408937</v>
      </c>
      <c r="E4268">
        <v>0.93716991825361395</v>
      </c>
      <c r="F4268">
        <v>0.966577843108409</v>
      </c>
      <c r="G4268">
        <v>0.89367200067263597</v>
      </c>
      <c r="H4268">
        <v>0.73342561919428195</v>
      </c>
      <c r="I4268">
        <v>0.88651397001933196</v>
      </c>
      <c r="J4268">
        <v>0.71912004508035099</v>
      </c>
      <c r="K4268">
        <v>0.666051090275945</v>
      </c>
      <c r="L4268">
        <v>381.06438310549902</v>
      </c>
      <c r="M4268">
        <v>4.6675398889095501</v>
      </c>
      <c r="Q4268">
        <v>0</v>
      </c>
      <c r="R4268">
        <v>0.47982719252433598</v>
      </c>
      <c r="S4268" t="s">
        <v>10553</v>
      </c>
      <c r="T4268" t="s">
        <v>12568</v>
      </c>
      <c r="U4268" t="s">
        <v>12568</v>
      </c>
      <c r="V4268" t="s">
        <v>12568</v>
      </c>
      <c r="W4268" t="s">
        <v>16791</v>
      </c>
      <c r="X4268">
        <v>2</v>
      </c>
      <c r="Y4268" t="s">
        <v>22902</v>
      </c>
      <c r="Z4268" t="s">
        <v>29138</v>
      </c>
      <c r="AA4268">
        <v>0.88166643663260769</v>
      </c>
      <c r="AB4268" t="str">
        <f>HYPERLINK("Melting_Curves/meltCurve_Q8TAE6_PPP1R14C.pdf", "Melting_Curves/meltCurve_Q8TAE6_PPP1R14C.pdf")</f>
        <v>Melting_Curves/meltCurve_Q8TAE6_PPP1R14C.pdf</v>
      </c>
    </row>
    <row r="4269" spans="1:28" x14ac:dyDescent="0.25">
      <c r="A4269" t="s">
        <v>4273</v>
      </c>
      <c r="B4269">
        <v>0.99352677808782597</v>
      </c>
      <c r="C4269">
        <v>0.95253366069054801</v>
      </c>
      <c r="D4269">
        <v>1.00309856605388</v>
      </c>
      <c r="E4269">
        <v>0.77137568375288201</v>
      </c>
      <c r="F4269">
        <v>0.67790200538641399</v>
      </c>
      <c r="G4269">
        <v>0.53665128323121003</v>
      </c>
      <c r="H4269">
        <v>0.35490305416964502</v>
      </c>
      <c r="I4269">
        <v>0.33368522445848903</v>
      </c>
      <c r="J4269">
        <v>0.35009744669273302</v>
      </c>
      <c r="K4269">
        <v>0.30363657258688498</v>
      </c>
      <c r="L4269">
        <v>777.96421115121996</v>
      </c>
      <c r="M4269">
        <v>14.5012523264985</v>
      </c>
      <c r="N4269">
        <v>56.959950747501999</v>
      </c>
      <c r="O4269">
        <v>52.658805807795098</v>
      </c>
      <c r="P4269">
        <v>-4.9242070543309799E-2</v>
      </c>
      <c r="Q4269">
        <v>0.28482597093005102</v>
      </c>
      <c r="R4269">
        <v>0.98623802775771996</v>
      </c>
      <c r="S4269" t="s">
        <v>10554</v>
      </c>
      <c r="T4269" t="s">
        <v>12568</v>
      </c>
      <c r="U4269" t="s">
        <v>12568</v>
      </c>
      <c r="V4269" t="s">
        <v>12568</v>
      </c>
      <c r="W4269" t="s">
        <v>16792</v>
      </c>
      <c r="X4269">
        <v>3</v>
      </c>
      <c r="Y4269" t="s">
        <v>22903</v>
      </c>
      <c r="Z4269" t="s">
        <v>29139</v>
      </c>
      <c r="AA4269">
        <v>0.62578344058139923</v>
      </c>
      <c r="AB4269" t="str">
        <f>HYPERLINK("Melting_Curves/meltCurve_Q8TAE8_GADD45GIP1.pdf", "Melting_Curves/meltCurve_Q8TAE8_GADD45GIP1.pdf")</f>
        <v>Melting_Curves/meltCurve_Q8TAE8_GADD45GIP1.pdf</v>
      </c>
    </row>
    <row r="4270" spans="1:28" x14ac:dyDescent="0.25">
      <c r="A4270" t="s">
        <v>4274</v>
      </c>
      <c r="B4270">
        <v>0.99352677808782597</v>
      </c>
      <c r="C4270">
        <v>0.97201174844423799</v>
      </c>
      <c r="D4270">
        <v>0.93886426694221903</v>
      </c>
      <c r="E4270">
        <v>0.92884145848689104</v>
      </c>
      <c r="F4270">
        <v>0.79038687486232295</v>
      </c>
      <c r="G4270">
        <v>0.65197555910732996</v>
      </c>
      <c r="H4270">
        <v>0.250839626100332</v>
      </c>
      <c r="I4270">
        <v>0.205382970401598</v>
      </c>
      <c r="J4270">
        <v>0.164006945134688</v>
      </c>
      <c r="K4270">
        <v>0.12704765477864799</v>
      </c>
      <c r="L4270">
        <v>1012.31655228169</v>
      </c>
      <c r="M4270">
        <v>17.614597584254501</v>
      </c>
      <c r="N4270">
        <v>58.025331051984999</v>
      </c>
      <c r="O4270">
        <v>56.744957295593103</v>
      </c>
      <c r="P4270">
        <v>-7.1591640964645903E-2</v>
      </c>
      <c r="Q4270">
        <v>7.7527303789181504E-2</v>
      </c>
      <c r="R4270">
        <v>0.98660842809417204</v>
      </c>
      <c r="S4270" t="s">
        <v>10555</v>
      </c>
      <c r="T4270" t="s">
        <v>12568</v>
      </c>
      <c r="U4270" t="s">
        <v>12568</v>
      </c>
      <c r="V4270" t="s">
        <v>12568</v>
      </c>
      <c r="W4270" t="s">
        <v>16793</v>
      </c>
      <c r="X4270">
        <v>13</v>
      </c>
      <c r="Y4270" t="s">
        <v>22904</v>
      </c>
      <c r="Z4270" t="s">
        <v>29140</v>
      </c>
      <c r="AA4270">
        <v>0.62706053187167254</v>
      </c>
      <c r="AB4270" t="str">
        <f>HYPERLINK("Melting_Curves/meltCurve_Q8TAF3_WDR48.pdf", "Melting_Curves/meltCurve_Q8TAF3_WDR48.pdf")</f>
        <v>Melting_Curves/meltCurve_Q8TAF3_WDR48.pdf</v>
      </c>
    </row>
    <row r="4271" spans="1:28" x14ac:dyDescent="0.25">
      <c r="A4271" t="s">
        <v>4275</v>
      </c>
      <c r="B4271">
        <v>0.99352677808782597</v>
      </c>
      <c r="C4271">
        <v>0.91478847195744595</v>
      </c>
      <c r="D4271">
        <v>0.73065280403118404</v>
      </c>
      <c r="E4271">
        <v>0.49664635210484498</v>
      </c>
      <c r="F4271">
        <v>0.40753209818969899</v>
      </c>
      <c r="G4271">
        <v>0.322104725914235</v>
      </c>
      <c r="H4271">
        <v>0.31560756377289201</v>
      </c>
      <c r="I4271">
        <v>0.32397402533741998</v>
      </c>
      <c r="J4271">
        <v>0.33108610570968999</v>
      </c>
      <c r="K4271">
        <v>0.30825268737781503</v>
      </c>
      <c r="L4271">
        <v>884.93175376002</v>
      </c>
      <c r="M4271">
        <v>18.735906414992801</v>
      </c>
      <c r="N4271">
        <v>49.859700929428598</v>
      </c>
      <c r="O4271">
        <v>46.703662731554701</v>
      </c>
      <c r="P4271">
        <v>-6.8828795329146E-2</v>
      </c>
      <c r="Q4271">
        <v>0.31374092985275298</v>
      </c>
      <c r="R4271">
        <v>0.99795378973208404</v>
      </c>
      <c r="S4271" t="s">
        <v>10556</v>
      </c>
      <c r="T4271" t="s">
        <v>12568</v>
      </c>
      <c r="U4271" t="s">
        <v>12568</v>
      </c>
      <c r="V4271" t="s">
        <v>12568</v>
      </c>
      <c r="W4271" t="s">
        <v>16794</v>
      </c>
      <c r="X4271">
        <v>1</v>
      </c>
      <c r="Y4271" t="s">
        <v>22905</v>
      </c>
      <c r="Z4271" t="s">
        <v>29141</v>
      </c>
      <c r="AA4271">
        <v>0.49065630272669192</v>
      </c>
      <c r="AB4271" t="str">
        <f>HYPERLINK("Melting_Curves/meltCurve_Q8TAP8_PPP1R35.pdf", "Melting_Curves/meltCurve_Q8TAP8_PPP1R35.pdf")</f>
        <v>Melting_Curves/meltCurve_Q8TAP8_PPP1R35.pdf</v>
      </c>
    </row>
    <row r="4272" spans="1:28" x14ac:dyDescent="0.25">
      <c r="A4272" t="s">
        <v>4276</v>
      </c>
      <c r="B4272">
        <v>0.99352677808782597</v>
      </c>
      <c r="C4272">
        <v>0.97574257262572694</v>
      </c>
      <c r="D4272">
        <v>1.0496555154531499</v>
      </c>
      <c r="E4272">
        <v>1.09106121376776</v>
      </c>
      <c r="F4272">
        <v>1.1639889813131601</v>
      </c>
      <c r="G4272">
        <v>1.12899657376338</v>
      </c>
      <c r="H4272">
        <v>1.1559227504432099</v>
      </c>
      <c r="I4272">
        <v>1.4482389403243601</v>
      </c>
      <c r="J4272">
        <v>1.0609858249342501</v>
      </c>
      <c r="K4272">
        <v>1.1804321637053901</v>
      </c>
      <c r="L4272">
        <v>887.46238538989496</v>
      </c>
      <c r="M4272">
        <v>17.599932256393998</v>
      </c>
      <c r="O4272">
        <v>49.786728744927402</v>
      </c>
      <c r="P4272">
        <v>1.8269233705188501E-2</v>
      </c>
      <c r="Q4272">
        <v>1.20670904121735</v>
      </c>
      <c r="R4272">
        <v>0.450244536541758</v>
      </c>
      <c r="S4272" t="s">
        <v>10557</v>
      </c>
      <c r="T4272" t="s">
        <v>12568</v>
      </c>
      <c r="U4272" t="s">
        <v>12568</v>
      </c>
      <c r="V4272" t="s">
        <v>12568</v>
      </c>
      <c r="W4272" t="s">
        <v>16795</v>
      </c>
      <c r="X4272">
        <v>1</v>
      </c>
      <c r="Y4272" t="s">
        <v>22906</v>
      </c>
      <c r="Z4272" t="s">
        <v>29142</v>
      </c>
      <c r="AA4272">
        <v>1.1312276938190691</v>
      </c>
      <c r="AB4272" t="str">
        <f>HYPERLINK("Melting_Curves/meltCurve_Q8TAP9_MPLKIP.pdf", "Melting_Curves/meltCurve_Q8TAP9_MPLKIP.pdf")</f>
        <v>Melting_Curves/meltCurve_Q8TAP9_MPLKIP.pdf</v>
      </c>
    </row>
    <row r="4273" spans="1:28" x14ac:dyDescent="0.25">
      <c r="A4273" t="s">
        <v>4277</v>
      </c>
      <c r="B4273">
        <v>0.99352677808782597</v>
      </c>
      <c r="C4273">
        <v>0.99635073109723604</v>
      </c>
      <c r="D4273">
        <v>0.87918907809388602</v>
      </c>
      <c r="E4273">
        <v>0.432883558091117</v>
      </c>
      <c r="F4273">
        <v>0.35056754442945498</v>
      </c>
      <c r="G4273">
        <v>0.23825505029743699</v>
      </c>
      <c r="H4273">
        <v>0.16279476006229401</v>
      </c>
      <c r="I4273">
        <v>0.139646459645274</v>
      </c>
      <c r="J4273">
        <v>0.124951643434243</v>
      </c>
      <c r="K4273">
        <v>0.10005456264309499</v>
      </c>
      <c r="L4273">
        <v>1027.3871618723899</v>
      </c>
      <c r="M4273">
        <v>20.8524174874557</v>
      </c>
      <c r="N4273">
        <v>50.051934086074901</v>
      </c>
      <c r="O4273">
        <v>48.823043680044798</v>
      </c>
      <c r="P4273">
        <v>-9.1926135622316399E-2</v>
      </c>
      <c r="Q4273">
        <v>0.139094579028161</v>
      </c>
      <c r="R4273">
        <v>0.98792607020599299</v>
      </c>
      <c r="S4273" t="s">
        <v>10558</v>
      </c>
      <c r="T4273" t="s">
        <v>12568</v>
      </c>
      <c r="U4273" t="s">
        <v>12568</v>
      </c>
      <c r="V4273" t="s">
        <v>12568</v>
      </c>
      <c r="W4273" t="s">
        <v>16796</v>
      </c>
      <c r="X4273">
        <v>30</v>
      </c>
      <c r="Y4273" t="s">
        <v>22907</v>
      </c>
      <c r="Z4273" t="s">
        <v>29143</v>
      </c>
      <c r="AA4273">
        <v>0.41615975124147081</v>
      </c>
      <c r="AB4273" t="str">
        <f>HYPERLINK("Melting_Curves/meltCurve_Q8TAQ2_SMARCC2.pdf", "Melting_Curves/meltCurve_Q8TAQ2_SMARCC2.pdf")</f>
        <v>Melting_Curves/meltCurve_Q8TAQ2_SMARCC2.pdf</v>
      </c>
    </row>
    <row r="4274" spans="1:28" x14ac:dyDescent="0.25">
      <c r="A4274" t="s">
        <v>4278</v>
      </c>
      <c r="B4274">
        <v>0.99352677808782597</v>
      </c>
      <c r="C4274">
        <v>0.88470326232147101</v>
      </c>
      <c r="D4274">
        <v>0.87851918995261702</v>
      </c>
      <c r="E4274">
        <v>0.51568015536949896</v>
      </c>
      <c r="F4274">
        <v>0.42475937228550897</v>
      </c>
      <c r="G4274">
        <v>0.20272507208214699</v>
      </c>
      <c r="H4274">
        <v>0.13812955490801099</v>
      </c>
      <c r="I4274">
        <v>0.126114182964606</v>
      </c>
      <c r="J4274">
        <v>0.120188768376203</v>
      </c>
      <c r="K4274">
        <v>8.8296735965921497E-2</v>
      </c>
      <c r="L4274">
        <v>754.42603189327701</v>
      </c>
      <c r="M4274">
        <v>14.975233063726</v>
      </c>
      <c r="N4274">
        <v>51.005232546113803</v>
      </c>
      <c r="O4274">
        <v>49.505501718047803</v>
      </c>
      <c r="P4274">
        <v>-6.9273660539838106E-2</v>
      </c>
      <c r="Q4274">
        <v>8.4066706673696104E-2</v>
      </c>
      <c r="R4274">
        <v>0.99017323886205499</v>
      </c>
      <c r="S4274" t="s">
        <v>10559</v>
      </c>
      <c r="T4274" t="s">
        <v>12568</v>
      </c>
      <c r="U4274" t="s">
        <v>12568</v>
      </c>
      <c r="V4274" t="s">
        <v>12568</v>
      </c>
      <c r="W4274" t="s">
        <v>16797</v>
      </c>
      <c r="X4274">
        <v>21</v>
      </c>
      <c r="Y4274" t="s">
        <v>22908</v>
      </c>
      <c r="Z4274" t="s">
        <v>29144</v>
      </c>
      <c r="AA4274">
        <v>0.42256795113866402</v>
      </c>
      <c r="AB4274" t="str">
        <f>HYPERLINK("Melting_Curves/meltCurve_Q8TAT6_NPLOC4.pdf", "Melting_Curves/meltCurve_Q8TAT6_NPLOC4.pdf")</f>
        <v>Melting_Curves/meltCurve_Q8TAT6_NPLOC4.pdf</v>
      </c>
    </row>
    <row r="4275" spans="1:28" x14ac:dyDescent="0.25">
      <c r="A4275" t="s">
        <v>4279</v>
      </c>
      <c r="B4275">
        <v>0.99352677808782597</v>
      </c>
      <c r="C4275">
        <v>0.94290152576806396</v>
      </c>
      <c r="D4275">
        <v>0.96843313193490399</v>
      </c>
      <c r="E4275">
        <v>0.73857008016964099</v>
      </c>
      <c r="F4275">
        <v>0.66610106220835696</v>
      </c>
      <c r="G4275">
        <v>0.252273433033115</v>
      </c>
      <c r="H4275">
        <v>0.158374894025086</v>
      </c>
      <c r="I4275">
        <v>0.142399743248182</v>
      </c>
      <c r="J4275">
        <v>9.6488902453967199E-2</v>
      </c>
      <c r="K4275">
        <v>8.5668639990958195E-2</v>
      </c>
      <c r="L4275">
        <v>958.00446674725004</v>
      </c>
      <c r="M4275">
        <v>17.868255988740501</v>
      </c>
      <c r="N4275">
        <v>54.072250467382197</v>
      </c>
      <c r="O4275">
        <v>52.956871605699497</v>
      </c>
      <c r="P4275">
        <v>-7.8440616837625501E-2</v>
      </c>
      <c r="Q4275">
        <v>7.0136735418164106E-2</v>
      </c>
      <c r="R4275">
        <v>0.98781385443582703</v>
      </c>
      <c r="S4275" t="s">
        <v>10560</v>
      </c>
      <c r="T4275" t="s">
        <v>12568</v>
      </c>
      <c r="U4275" t="s">
        <v>12568</v>
      </c>
      <c r="V4275" t="s">
        <v>12568</v>
      </c>
      <c r="W4275" t="s">
        <v>16798</v>
      </c>
      <c r="X4275">
        <v>8</v>
      </c>
      <c r="Y4275" t="s">
        <v>22909</v>
      </c>
      <c r="Z4275" t="s">
        <v>29145</v>
      </c>
      <c r="AA4275">
        <v>0.50733182680445965</v>
      </c>
      <c r="AB4275" t="str">
        <f>HYPERLINK("Melting_Curves/meltCurve_Q8TB03_CXorf38.pdf", "Melting_Curves/meltCurve_Q8TB03_CXorf38.pdf")</f>
        <v>Melting_Curves/meltCurve_Q8TB03_CXorf38.pdf</v>
      </c>
    </row>
    <row r="4276" spans="1:28" x14ac:dyDescent="0.25">
      <c r="A4276" t="s">
        <v>4280</v>
      </c>
      <c r="B4276">
        <v>0.99352677808782597</v>
      </c>
      <c r="C4276">
        <v>0.95949118952620105</v>
      </c>
      <c r="D4276">
        <v>0.935811108534223</v>
      </c>
      <c r="E4276">
        <v>0.47746613515907499</v>
      </c>
      <c r="F4276">
        <v>0.40931990862675399</v>
      </c>
      <c r="G4276">
        <v>0.13486894542903899</v>
      </c>
      <c r="H4276">
        <v>8.0752281862203901E-2</v>
      </c>
      <c r="I4276">
        <v>9.1847299624752299E-2</v>
      </c>
      <c r="J4276">
        <v>6.6707848246100904E-2</v>
      </c>
      <c r="K4276">
        <v>5.8179733609626097E-2</v>
      </c>
      <c r="L4276">
        <v>952.95339404096103</v>
      </c>
      <c r="M4276">
        <v>18.901016552206801</v>
      </c>
      <c r="N4276">
        <v>50.763090589713698</v>
      </c>
      <c r="O4276">
        <v>49.863901169771601</v>
      </c>
      <c r="P4276">
        <v>-8.9055084397743497E-2</v>
      </c>
      <c r="Q4276">
        <v>6.0272105323498699E-2</v>
      </c>
      <c r="R4276">
        <v>0.98609235371548598</v>
      </c>
      <c r="S4276" t="s">
        <v>10561</v>
      </c>
      <c r="T4276" t="s">
        <v>12568</v>
      </c>
      <c r="U4276" t="s">
        <v>12568</v>
      </c>
      <c r="V4276" t="s">
        <v>12568</v>
      </c>
      <c r="W4276" t="s">
        <v>16799</v>
      </c>
      <c r="X4276">
        <v>7</v>
      </c>
      <c r="Y4276" t="s">
        <v>22910</v>
      </c>
      <c r="Z4276" t="s">
        <v>29146</v>
      </c>
      <c r="AA4276">
        <v>0.40115938632340548</v>
      </c>
      <c r="AB4276" t="str">
        <f>HYPERLINK("Melting_Curves/meltCurve_Q8TB22_SPATA20.pdf", "Melting_Curves/meltCurve_Q8TB22_SPATA20.pdf")</f>
        <v>Melting_Curves/meltCurve_Q8TB22_SPATA20.pdf</v>
      </c>
    </row>
    <row r="4277" spans="1:28" x14ac:dyDescent="0.25">
      <c r="A4277" t="s">
        <v>4281</v>
      </c>
      <c r="B4277">
        <v>0.99352677808782597</v>
      </c>
      <c r="C4277">
        <v>1.0331694221116801</v>
      </c>
      <c r="D4277">
        <v>0.87967924773055794</v>
      </c>
      <c r="E4277">
        <v>0.381295931103453</v>
      </c>
      <c r="F4277">
        <v>0.30194868336241798</v>
      </c>
      <c r="G4277">
        <v>0.17835113365083599</v>
      </c>
      <c r="H4277">
        <v>0.112359383096306</v>
      </c>
      <c r="I4277">
        <v>9.3134333677923398E-2</v>
      </c>
      <c r="J4277">
        <v>7.9380332507768298E-2</v>
      </c>
      <c r="K4277">
        <v>5.94819515544147E-2</v>
      </c>
      <c r="L4277">
        <v>1179.73305809622</v>
      </c>
      <c r="M4277">
        <v>24.046722719795198</v>
      </c>
      <c r="N4277">
        <v>49.5236307406376</v>
      </c>
      <c r="O4277">
        <v>48.724524309678102</v>
      </c>
      <c r="P4277">
        <v>-0.110948071027026</v>
      </c>
      <c r="Q4277">
        <v>0.100782715505173</v>
      </c>
      <c r="R4277">
        <v>0.98658005332933696</v>
      </c>
      <c r="S4277" t="s">
        <v>10562</v>
      </c>
      <c r="T4277" t="s">
        <v>12568</v>
      </c>
      <c r="U4277" t="s">
        <v>12568</v>
      </c>
      <c r="V4277" t="s">
        <v>12568</v>
      </c>
      <c r="W4277" t="s">
        <v>16800</v>
      </c>
      <c r="X4277">
        <v>7</v>
      </c>
      <c r="Y4277" t="s">
        <v>22911</v>
      </c>
      <c r="Z4277" t="s">
        <v>29147</v>
      </c>
      <c r="AA4277">
        <v>0.38098252373633168</v>
      </c>
      <c r="AB4277" t="str">
        <f>HYPERLINK("Melting_Curves/meltCurve_Q8TB24_RIN3.pdf", "Melting_Curves/meltCurve_Q8TB24_RIN3.pdf")</f>
        <v>Melting_Curves/meltCurve_Q8TB24_RIN3.pdf</v>
      </c>
    </row>
    <row r="4278" spans="1:28" x14ac:dyDescent="0.25">
      <c r="A4278" t="s">
        <v>4282</v>
      </c>
      <c r="B4278">
        <v>0.99352677808782597</v>
      </c>
      <c r="C4278">
        <v>0.961563037622575</v>
      </c>
      <c r="D4278">
        <v>0.909272007243622</v>
      </c>
      <c r="E4278">
        <v>0.56785854256646495</v>
      </c>
      <c r="F4278">
        <v>0.55013441634795701</v>
      </c>
      <c r="G4278">
        <v>0.34641680527927898</v>
      </c>
      <c r="H4278">
        <v>0.25477415693767402</v>
      </c>
      <c r="I4278">
        <v>0.19886121548263999</v>
      </c>
      <c r="J4278">
        <v>0.10846924070564699</v>
      </c>
      <c r="K4278">
        <v>6.3369912256354397E-2</v>
      </c>
      <c r="L4278">
        <v>570.27206650510004</v>
      </c>
      <c r="M4278">
        <v>10.726209696282201</v>
      </c>
      <c r="N4278">
        <v>53.458079893300599</v>
      </c>
      <c r="O4278">
        <v>51.418225637545397</v>
      </c>
      <c r="P4278">
        <v>-5.0687450424025601E-2</v>
      </c>
      <c r="Q4278">
        <v>2.8439559342104001E-2</v>
      </c>
      <c r="R4278">
        <v>0.98196967691579196</v>
      </c>
      <c r="S4278" t="s">
        <v>10563</v>
      </c>
      <c r="T4278" t="s">
        <v>12568</v>
      </c>
      <c r="U4278" t="s">
        <v>12568</v>
      </c>
      <c r="V4278" t="s">
        <v>12568</v>
      </c>
      <c r="W4278" t="s">
        <v>16801</v>
      </c>
      <c r="X4278">
        <v>3</v>
      </c>
      <c r="Y4278" t="s">
        <v>22912</v>
      </c>
      <c r="Z4278" t="s">
        <v>29148</v>
      </c>
      <c r="AA4278">
        <v>0.48543211378712009</v>
      </c>
      <c r="AB4278" t="str">
        <f>HYPERLINK("Melting_Curves/meltCurve_Q8TB37_NUBPL.pdf", "Melting_Curves/meltCurve_Q8TB37_NUBPL.pdf")</f>
        <v>Melting_Curves/meltCurve_Q8TB37_NUBPL.pdf</v>
      </c>
    </row>
    <row r="4279" spans="1:28" x14ac:dyDescent="0.25">
      <c r="A4279" t="s">
        <v>4283</v>
      </c>
      <c r="B4279">
        <v>0.99352677808782597</v>
      </c>
      <c r="C4279">
        <v>0.84025972382931302</v>
      </c>
      <c r="D4279">
        <v>0.80144289656855405</v>
      </c>
      <c r="E4279">
        <v>0.19693731119153299</v>
      </c>
      <c r="F4279">
        <v>0.131492031206627</v>
      </c>
      <c r="G4279">
        <v>0.101151693059607</v>
      </c>
      <c r="H4279">
        <v>7.3352089001115298E-2</v>
      </c>
      <c r="I4279">
        <v>7.6702529522342494E-2</v>
      </c>
      <c r="J4279">
        <v>4.5438162201083897E-2</v>
      </c>
      <c r="K4279">
        <v>4.4789572118791102E-2</v>
      </c>
      <c r="L4279">
        <v>1450.7454239564099</v>
      </c>
      <c r="M4279">
        <v>30.5101101199885</v>
      </c>
      <c r="N4279">
        <v>47.773755861429997</v>
      </c>
      <c r="O4279">
        <v>47.346789232030702</v>
      </c>
      <c r="P4279">
        <v>-0.150358621177822</v>
      </c>
      <c r="Q4279">
        <v>6.6675992464116804E-2</v>
      </c>
      <c r="R4279">
        <v>0.982989517686639</v>
      </c>
      <c r="S4279" t="s">
        <v>10564</v>
      </c>
      <c r="T4279" t="s">
        <v>12568</v>
      </c>
      <c r="U4279" t="s">
        <v>12568</v>
      </c>
      <c r="V4279" t="s">
        <v>12568</v>
      </c>
      <c r="W4279" t="s">
        <v>16802</v>
      </c>
      <c r="X4279">
        <v>4</v>
      </c>
      <c r="Y4279" t="s">
        <v>22913</v>
      </c>
      <c r="Z4279" t="s">
        <v>29149</v>
      </c>
      <c r="AA4279">
        <v>0.30695657097539292</v>
      </c>
      <c r="AB4279" t="str">
        <f>HYPERLINK("Melting_Curves/meltCurve_Q8TB40_ABHD4.pdf", "Melting_Curves/meltCurve_Q8TB40_ABHD4.pdf")</f>
        <v>Melting_Curves/meltCurve_Q8TB40_ABHD4.pdf</v>
      </c>
    </row>
    <row r="4280" spans="1:28" x14ac:dyDescent="0.25">
      <c r="A4280" t="s">
        <v>4284</v>
      </c>
      <c r="B4280">
        <v>0.99352677808782597</v>
      </c>
      <c r="C4280">
        <v>0.95509186928012202</v>
      </c>
      <c r="D4280">
        <v>0.76710343933176195</v>
      </c>
      <c r="E4280">
        <v>0.420031481307437</v>
      </c>
      <c r="F4280">
        <v>0.35036442748559299</v>
      </c>
      <c r="G4280">
        <v>0.22952491480029999</v>
      </c>
      <c r="H4280">
        <v>0.13914186140797899</v>
      </c>
      <c r="I4280">
        <v>0.14053778174130299</v>
      </c>
      <c r="J4280">
        <v>0.112730770086638</v>
      </c>
      <c r="K4280">
        <v>0.105490798768895</v>
      </c>
      <c r="L4280">
        <v>805.52123996764601</v>
      </c>
      <c r="M4280">
        <v>16.4945993901745</v>
      </c>
      <c r="N4280">
        <v>49.644273332134802</v>
      </c>
      <c r="O4280">
        <v>48.134585223350101</v>
      </c>
      <c r="P4280">
        <v>-7.5580276085402603E-2</v>
      </c>
      <c r="Q4280">
        <v>0.117827111231513</v>
      </c>
      <c r="R4280">
        <v>0.99247015169624897</v>
      </c>
      <c r="S4280" t="s">
        <v>10565</v>
      </c>
      <c r="T4280" t="s">
        <v>12568</v>
      </c>
      <c r="U4280" t="s">
        <v>12568</v>
      </c>
      <c r="V4280" t="s">
        <v>12568</v>
      </c>
      <c r="W4280" t="s">
        <v>16803</v>
      </c>
      <c r="X4280">
        <v>7</v>
      </c>
      <c r="Y4280" t="s">
        <v>22914</v>
      </c>
      <c r="Z4280" t="s">
        <v>29150</v>
      </c>
      <c r="AA4280">
        <v>0.39587579272212969</v>
      </c>
      <c r="AB4280" t="str">
        <f>HYPERLINK("Melting_Curves/meltCurve_Q8TB52_FBXO30.pdf", "Melting_Curves/meltCurve_Q8TB52_FBXO30.pdf")</f>
        <v>Melting_Curves/meltCurve_Q8TB52_FBXO30.pdf</v>
      </c>
    </row>
    <row r="4281" spans="1:28" x14ac:dyDescent="0.25">
      <c r="A4281" t="s">
        <v>4285</v>
      </c>
      <c r="B4281">
        <v>0.99352677808782597</v>
      </c>
      <c r="C4281">
        <v>0.97240221378021097</v>
      </c>
      <c r="D4281">
        <v>1.00299474583468</v>
      </c>
      <c r="E4281">
        <v>0.88027030653954497</v>
      </c>
      <c r="F4281">
        <v>0.77456479856195604</v>
      </c>
      <c r="G4281">
        <v>0.72946138401168403</v>
      </c>
      <c r="H4281">
        <v>0.64663633375362195</v>
      </c>
      <c r="I4281">
        <v>0.65270241435548104</v>
      </c>
      <c r="J4281">
        <v>0.71579978546646095</v>
      </c>
      <c r="K4281">
        <v>0.60938903623776797</v>
      </c>
      <c r="L4281">
        <v>1038.22799647236</v>
      </c>
      <c r="M4281">
        <v>20.053342355954801</v>
      </c>
      <c r="O4281">
        <v>51.266709458483298</v>
      </c>
      <c r="P4281">
        <v>-3.38979349658921E-2</v>
      </c>
      <c r="Q4281">
        <v>0.65336858468115999</v>
      </c>
      <c r="R4281">
        <v>0.95932375291139804</v>
      </c>
      <c r="S4281" t="s">
        <v>10566</v>
      </c>
      <c r="T4281" t="s">
        <v>12568</v>
      </c>
      <c r="U4281" t="s">
        <v>12568</v>
      </c>
      <c r="V4281" t="s">
        <v>12568</v>
      </c>
      <c r="W4281" t="s">
        <v>16804</v>
      </c>
      <c r="X4281">
        <v>13</v>
      </c>
      <c r="Y4281" t="s">
        <v>22915</v>
      </c>
      <c r="Z4281" t="s">
        <v>29151</v>
      </c>
      <c r="AA4281">
        <v>0.79417996567681159</v>
      </c>
      <c r="AB4281" t="str">
        <f>HYPERLINK("Melting_Curves/meltCurve_Q8TB72_3_PUM2.pdf", "Melting_Curves/meltCurve_Q8TB72_3_PUM2.pdf")</f>
        <v>Melting_Curves/meltCurve_Q8TB72_3_PUM2.pdf</v>
      </c>
    </row>
    <row r="4282" spans="1:28" x14ac:dyDescent="0.25">
      <c r="A4282" t="s">
        <v>4286</v>
      </c>
      <c r="B4282">
        <v>0.99352677808782597</v>
      </c>
      <c r="C4282">
        <v>0.98468654477377904</v>
      </c>
      <c r="D4282">
        <v>1.0549837609826</v>
      </c>
      <c r="E4282">
        <v>1.0219498143230601</v>
      </c>
      <c r="F4282">
        <v>0.88694200529975697</v>
      </c>
      <c r="G4282">
        <v>0.85898900851565896</v>
      </c>
      <c r="H4282">
        <v>0.86595475253944698</v>
      </c>
      <c r="I4282">
        <v>0.83251786530599203</v>
      </c>
      <c r="J4282">
        <v>0.77371469105738999</v>
      </c>
      <c r="K4282">
        <v>0.75815202384179003</v>
      </c>
      <c r="L4282">
        <v>761.40768023391399</v>
      </c>
      <c r="M4282">
        <v>13.2337077457461</v>
      </c>
      <c r="O4282">
        <v>56.269292086716803</v>
      </c>
      <c r="P4282">
        <v>-1.4459163495838199E-2</v>
      </c>
      <c r="Q4282">
        <v>0.75412096800293305</v>
      </c>
      <c r="R4282">
        <v>0.87119097496480602</v>
      </c>
      <c r="S4282" t="s">
        <v>10567</v>
      </c>
      <c r="T4282" t="s">
        <v>12568</v>
      </c>
      <c r="U4282" t="s">
        <v>12568</v>
      </c>
      <c r="V4282" t="s">
        <v>12568</v>
      </c>
      <c r="W4282" t="s">
        <v>16805</v>
      </c>
      <c r="X4282">
        <v>4</v>
      </c>
      <c r="Y4282" t="s">
        <v>22916</v>
      </c>
      <c r="Z4282" t="s">
        <v>29152</v>
      </c>
      <c r="AA4282">
        <v>0.90151942974369725</v>
      </c>
      <c r="AB4282" t="str">
        <f>HYPERLINK("Melting_Curves/meltCurve_Q8TBA6_2_GOLGA5.pdf", "Melting_Curves/meltCurve_Q8TBA6_2_GOLGA5.pdf")</f>
        <v>Melting_Curves/meltCurve_Q8TBA6_2_GOLGA5.pdf</v>
      </c>
    </row>
    <row r="4283" spans="1:28" x14ac:dyDescent="0.25">
      <c r="A4283" t="s">
        <v>4287</v>
      </c>
      <c r="B4283">
        <v>0.99352677808782597</v>
      </c>
      <c r="C4283">
        <v>0.90905994893114395</v>
      </c>
      <c r="D4283">
        <v>0.95476278998258002</v>
      </c>
      <c r="E4283">
        <v>0.711180112039419</v>
      </c>
      <c r="F4283">
        <v>0.68063581659306505</v>
      </c>
      <c r="G4283">
        <v>0.39242108536745401</v>
      </c>
      <c r="H4283">
        <v>0.23155215402628099</v>
      </c>
      <c r="I4283">
        <v>0.19383212003233599</v>
      </c>
      <c r="J4283">
        <v>0.126970640033989</v>
      </c>
      <c r="K4283">
        <v>9.6069253738256102E-2</v>
      </c>
      <c r="L4283">
        <v>641.79315219357898</v>
      </c>
      <c r="M4283">
        <v>11.660345598790499</v>
      </c>
      <c r="N4283">
        <v>55.210516768601401</v>
      </c>
      <c r="O4283">
        <v>53.496554770494903</v>
      </c>
      <c r="P4283">
        <v>-5.3545476180180997E-2</v>
      </c>
      <c r="Q4283">
        <v>1.7618484577866501E-2</v>
      </c>
      <c r="R4283">
        <v>0.98826875103218403</v>
      </c>
      <c r="S4283" t="s">
        <v>10568</v>
      </c>
      <c r="T4283" t="s">
        <v>12568</v>
      </c>
      <c r="U4283" t="s">
        <v>12568</v>
      </c>
      <c r="V4283" t="s">
        <v>12568</v>
      </c>
      <c r="W4283" t="s">
        <v>16806</v>
      </c>
      <c r="X4283">
        <v>12</v>
      </c>
      <c r="Y4283" t="s">
        <v>22917</v>
      </c>
      <c r="Z4283" t="s">
        <v>29153</v>
      </c>
      <c r="AA4283">
        <v>0.53349982241843164</v>
      </c>
      <c r="AB4283" t="str">
        <f>HYPERLINK("Melting_Curves/meltCurve_Q8TBB5_3_KLHDC4.pdf", "Melting_Curves/meltCurve_Q8TBB5_3_KLHDC4.pdf")</f>
        <v>Melting_Curves/meltCurve_Q8TBB5_3_KLHDC4.pdf</v>
      </c>
    </row>
    <row r="4284" spans="1:28" x14ac:dyDescent="0.25">
      <c r="A4284" t="s">
        <v>4288</v>
      </c>
      <c r="B4284">
        <v>0.99352677808782597</v>
      </c>
      <c r="C4284">
        <v>1.05017686028041</v>
      </c>
      <c r="D4284">
        <v>0.97758001376403802</v>
      </c>
      <c r="E4284">
        <v>0.43917333031771</v>
      </c>
      <c r="F4284">
        <v>0.34555329983174898</v>
      </c>
      <c r="G4284">
        <v>0.16696238832983901</v>
      </c>
      <c r="H4284">
        <v>0.116687801071018</v>
      </c>
      <c r="I4284">
        <v>0.11455306532531</v>
      </c>
      <c r="J4284">
        <v>9.5504256242241695E-2</v>
      </c>
      <c r="K4284">
        <v>7.0336796568414905E-2</v>
      </c>
      <c r="L4284">
        <v>1302.64584310039</v>
      </c>
      <c r="M4284">
        <v>26.202691446262602</v>
      </c>
      <c r="N4284">
        <v>50.199328521798201</v>
      </c>
      <c r="O4284">
        <v>49.427372545178102</v>
      </c>
      <c r="P4284">
        <v>-0.117709281308901</v>
      </c>
      <c r="Q4284">
        <v>0.111848080610957</v>
      </c>
      <c r="R4284">
        <v>0.98234781159446205</v>
      </c>
      <c r="S4284" t="s">
        <v>10569</v>
      </c>
      <c r="T4284" t="s">
        <v>12568</v>
      </c>
      <c r="U4284" t="s">
        <v>12568</v>
      </c>
      <c r="V4284" t="s">
        <v>12568</v>
      </c>
      <c r="W4284" t="s">
        <v>16807</v>
      </c>
      <c r="X4284">
        <v>14</v>
      </c>
      <c r="Y4284" t="s">
        <v>22918</v>
      </c>
      <c r="Z4284" t="s">
        <v>29154</v>
      </c>
      <c r="AA4284">
        <v>0.4066346400914419</v>
      </c>
      <c r="AB4284" t="str">
        <f>HYPERLINK("Melting_Curves/meltCurve_Q8TBC4_UBA3.pdf", "Melting_Curves/meltCurve_Q8TBC4_UBA3.pdf")</f>
        <v>Melting_Curves/meltCurve_Q8TBC4_UBA3.pdf</v>
      </c>
    </row>
    <row r="4285" spans="1:28" x14ac:dyDescent="0.25">
      <c r="A4285" t="s">
        <v>4289</v>
      </c>
      <c r="B4285">
        <v>0.99352677808782597</v>
      </c>
      <c r="C4285">
        <v>1.0954423361474499</v>
      </c>
      <c r="D4285">
        <v>1.1574309430149301</v>
      </c>
      <c r="E4285">
        <v>0.31001721372996999</v>
      </c>
      <c r="F4285">
        <v>0.24455917896394699</v>
      </c>
      <c r="G4285">
        <v>0.12888860475157499</v>
      </c>
      <c r="H4285">
        <v>9.8424693604993493E-2</v>
      </c>
      <c r="I4285">
        <v>0.100392452934377</v>
      </c>
      <c r="J4285">
        <v>8.5400582667825506E-2</v>
      </c>
      <c r="K4285">
        <v>5.9215187405080999E-2</v>
      </c>
      <c r="L4285">
        <v>5313.5346230147297</v>
      </c>
      <c r="M4285">
        <v>107.550927255025</v>
      </c>
      <c r="N4285">
        <v>49.5303263082453</v>
      </c>
      <c r="O4285">
        <v>49.3877603849254</v>
      </c>
      <c r="P4285">
        <v>-0.47948871133841803</v>
      </c>
      <c r="Q4285">
        <v>0.119268687506112</v>
      </c>
      <c r="R4285">
        <v>0.97099459405247901</v>
      </c>
      <c r="S4285" t="s">
        <v>10570</v>
      </c>
      <c r="T4285" t="s">
        <v>12568</v>
      </c>
      <c r="U4285" t="s">
        <v>12568</v>
      </c>
      <c r="V4285" t="s">
        <v>12568</v>
      </c>
      <c r="W4285" t="s">
        <v>16808</v>
      </c>
      <c r="X4285">
        <v>8</v>
      </c>
      <c r="Y4285" t="s">
        <v>22919</v>
      </c>
      <c r="Z4285" t="s">
        <v>29155</v>
      </c>
      <c r="AA4285">
        <v>0.39578579551388582</v>
      </c>
      <c r="AB4285" t="str">
        <f>HYPERLINK("Melting_Curves/meltCurve_Q8TBE9_NANP.pdf", "Melting_Curves/meltCurve_Q8TBE9_NANP.pdf")</f>
        <v>Melting_Curves/meltCurve_Q8TBE9_NANP.pdf</v>
      </c>
    </row>
    <row r="4286" spans="1:28" x14ac:dyDescent="0.25">
      <c r="A4286" t="s">
        <v>4290</v>
      </c>
      <c r="B4286">
        <v>0.99352677808782597</v>
      </c>
      <c r="C4286">
        <v>0.86237621658130803</v>
      </c>
      <c r="D4286">
        <v>0.97920100605100702</v>
      </c>
      <c r="E4286">
        <v>0.86290412570933495</v>
      </c>
      <c r="F4286">
        <v>0.802913833147333</v>
      </c>
      <c r="G4286">
        <v>0.54346356811215801</v>
      </c>
      <c r="H4286">
        <v>0.27871654150258501</v>
      </c>
      <c r="I4286">
        <v>0.180834553761859</v>
      </c>
      <c r="J4286">
        <v>0.14556320495973199</v>
      </c>
      <c r="K4286">
        <v>9.0630034654884895E-2</v>
      </c>
      <c r="L4286">
        <v>839.69516313688098</v>
      </c>
      <c r="M4286">
        <v>14.6631839042286</v>
      </c>
      <c r="N4286">
        <v>57.451153898474601</v>
      </c>
      <c r="O4286">
        <v>56.232076707372897</v>
      </c>
      <c r="P4286">
        <v>-6.36893598607636E-2</v>
      </c>
      <c r="Q4286">
        <v>2.3134521142372199E-2</v>
      </c>
      <c r="R4286">
        <v>0.98294333555555402</v>
      </c>
      <c r="S4286" t="s">
        <v>10571</v>
      </c>
      <c r="T4286" t="s">
        <v>12568</v>
      </c>
      <c r="U4286" t="s">
        <v>12568</v>
      </c>
      <c r="V4286" t="s">
        <v>12568</v>
      </c>
      <c r="W4286" t="s">
        <v>16809</v>
      </c>
      <c r="X4286">
        <v>5</v>
      </c>
      <c r="Y4286" t="s">
        <v>22920</v>
      </c>
      <c r="Z4286" t="s">
        <v>29156</v>
      </c>
      <c r="AA4286">
        <v>0.60037332202369575</v>
      </c>
      <c r="AB4286" t="str">
        <f>HYPERLINK("Melting_Curves/meltCurve_Q8TBF2_4_FAM213B.pdf", "Melting_Curves/meltCurve_Q8TBF2_4_FAM213B.pdf")</f>
        <v>Melting_Curves/meltCurve_Q8TBF2_4_FAM213B.pdf</v>
      </c>
    </row>
    <row r="4287" spans="1:28" x14ac:dyDescent="0.25">
      <c r="A4287" t="s">
        <v>4291</v>
      </c>
      <c r="B4287">
        <v>0.99352677808782597</v>
      </c>
      <c r="C4287">
        <v>0.98650791613706401</v>
      </c>
      <c r="D4287">
        <v>1.0162128909463799</v>
      </c>
      <c r="E4287">
        <v>0.87786937780148799</v>
      </c>
      <c r="F4287">
        <v>0.797354367284967</v>
      </c>
      <c r="G4287">
        <v>0.70824957696313195</v>
      </c>
      <c r="H4287">
        <v>0.63806562515707599</v>
      </c>
      <c r="I4287">
        <v>0.63635380794234597</v>
      </c>
      <c r="J4287">
        <v>0.66244168903967404</v>
      </c>
      <c r="K4287">
        <v>0.58047938187952197</v>
      </c>
      <c r="L4287">
        <v>950.13964787866098</v>
      </c>
      <c r="M4287">
        <v>18.0089497799184</v>
      </c>
      <c r="O4287">
        <v>52.121692637335798</v>
      </c>
      <c r="P4287">
        <v>-3.3163497084654103E-2</v>
      </c>
      <c r="Q4287">
        <v>0.61609051246810898</v>
      </c>
      <c r="R4287">
        <v>0.97826432904542604</v>
      </c>
      <c r="S4287" t="s">
        <v>10572</v>
      </c>
      <c r="T4287" t="s">
        <v>12568</v>
      </c>
      <c r="U4287" t="s">
        <v>12568</v>
      </c>
      <c r="V4287" t="s">
        <v>12568</v>
      </c>
      <c r="W4287" t="s">
        <v>16810</v>
      </c>
      <c r="X4287">
        <v>5</v>
      </c>
      <c r="Y4287" t="s">
        <v>22921</v>
      </c>
      <c r="Z4287" t="s">
        <v>29157</v>
      </c>
      <c r="AA4287">
        <v>0.78567983372631311</v>
      </c>
      <c r="AB4287" t="str">
        <f>HYPERLINK("Melting_Curves/meltCurve_Q8TBM8_DNAJB14.pdf", "Melting_Curves/meltCurve_Q8TBM8_DNAJB14.pdf")</f>
        <v>Melting_Curves/meltCurve_Q8TBM8_DNAJB14.pdf</v>
      </c>
    </row>
    <row r="4288" spans="1:28" x14ac:dyDescent="0.25">
      <c r="A4288" t="s">
        <v>4292</v>
      </c>
      <c r="B4288">
        <v>0.99352677808782597</v>
      </c>
      <c r="C4288">
        <v>0.96669436687855104</v>
      </c>
      <c r="D4288">
        <v>0.92616987838575204</v>
      </c>
      <c r="E4288">
        <v>0.60566813585367196</v>
      </c>
      <c r="F4288">
        <v>0.55007681509529005</v>
      </c>
      <c r="G4288">
        <v>0.19215838389135001</v>
      </c>
      <c r="H4288">
        <v>0.13869887297262201</v>
      </c>
      <c r="I4288">
        <v>0.13095542651337799</v>
      </c>
      <c r="J4288">
        <v>0.120348362710735</v>
      </c>
      <c r="K4288">
        <v>9.2776637573465798E-2</v>
      </c>
      <c r="L4288">
        <v>852.89769467041901</v>
      </c>
      <c r="M4288">
        <v>16.452766951318701</v>
      </c>
      <c r="N4288">
        <v>52.400882561904403</v>
      </c>
      <c r="O4288">
        <v>51.091471521613698</v>
      </c>
      <c r="P4288">
        <v>-7.4003071628206199E-2</v>
      </c>
      <c r="Q4288">
        <v>8.084481371999E-2</v>
      </c>
      <c r="R4288">
        <v>0.98636382182951499</v>
      </c>
      <c r="S4288" t="s">
        <v>10573</v>
      </c>
      <c r="T4288" t="s">
        <v>12568</v>
      </c>
      <c r="U4288" t="s">
        <v>12568</v>
      </c>
      <c r="V4288" t="s">
        <v>12568</v>
      </c>
      <c r="W4288" t="s">
        <v>16811</v>
      </c>
      <c r="X4288">
        <v>4</v>
      </c>
      <c r="Y4288" t="s">
        <v>22922</v>
      </c>
      <c r="Z4288" t="s">
        <v>29158</v>
      </c>
      <c r="AA4288">
        <v>0.46140935949469131</v>
      </c>
      <c r="AB4288" t="str">
        <f>HYPERLINK("Melting_Curves/meltCurve_Q8TBN0_RAB3IL1.pdf", "Melting_Curves/meltCurve_Q8TBN0_RAB3IL1.pdf")</f>
        <v>Melting_Curves/meltCurve_Q8TBN0_RAB3IL1.pdf</v>
      </c>
    </row>
    <row r="4289" spans="1:28" x14ac:dyDescent="0.25">
      <c r="A4289" t="s">
        <v>4293</v>
      </c>
      <c r="B4289">
        <v>0.99352677808782597</v>
      </c>
      <c r="C4289">
        <v>0.90929765781122096</v>
      </c>
      <c r="D4289">
        <v>0.82179012502700399</v>
      </c>
      <c r="E4289">
        <v>0.38558368150830902</v>
      </c>
      <c r="F4289">
        <v>0.322311420652174</v>
      </c>
      <c r="G4289">
        <v>0.167196104480342</v>
      </c>
      <c r="H4289">
        <v>0.107896725839941</v>
      </c>
      <c r="I4289">
        <v>0.100987577464331</v>
      </c>
      <c r="J4289">
        <v>8.6415596722565505E-2</v>
      </c>
      <c r="K4289">
        <v>6.6254959502056399E-2</v>
      </c>
      <c r="L4289">
        <v>865.16254330955996</v>
      </c>
      <c r="M4289">
        <v>17.6846238240528</v>
      </c>
      <c r="N4289">
        <v>49.430218847916102</v>
      </c>
      <c r="O4289">
        <v>48.309050022568798</v>
      </c>
      <c r="P4289">
        <v>-8.3911461786341998E-2</v>
      </c>
      <c r="Q4289">
        <v>8.3165413704030897E-2</v>
      </c>
      <c r="R4289">
        <v>0.99110522175201499</v>
      </c>
      <c r="S4289" t="s">
        <v>10574</v>
      </c>
      <c r="T4289" t="s">
        <v>12568</v>
      </c>
      <c r="U4289" t="s">
        <v>12568</v>
      </c>
      <c r="V4289" t="s">
        <v>12568</v>
      </c>
      <c r="W4289" t="s">
        <v>16812</v>
      </c>
      <c r="X4289">
        <v>13</v>
      </c>
      <c r="Y4289" t="s">
        <v>22923</v>
      </c>
      <c r="Z4289" t="s">
        <v>29159</v>
      </c>
      <c r="AA4289">
        <v>0.37229972008043771</v>
      </c>
      <c r="AB4289" t="str">
        <f>HYPERLINK("Melting_Curves/meltCurve_Q8TBX8_PIP4K2C.pdf", "Melting_Curves/meltCurve_Q8TBX8_PIP4K2C.pdf")</f>
        <v>Melting_Curves/meltCurve_Q8TBX8_PIP4K2C.pdf</v>
      </c>
    </row>
    <row r="4290" spans="1:28" x14ac:dyDescent="0.25">
      <c r="A4290" t="s">
        <v>4294</v>
      </c>
      <c r="B4290">
        <v>0.99352677808782597</v>
      </c>
      <c r="C4290">
        <v>0.97097472287336495</v>
      </c>
      <c r="D4290">
        <v>0.96939817424990204</v>
      </c>
      <c r="E4290">
        <v>0.78951391311465302</v>
      </c>
      <c r="F4290">
        <v>0.71315264395410605</v>
      </c>
      <c r="G4290">
        <v>0.24097083137845299</v>
      </c>
      <c r="H4290">
        <v>0.15017324004299701</v>
      </c>
      <c r="I4290">
        <v>0.139615785757009</v>
      </c>
      <c r="J4290">
        <v>0.130758749084075</v>
      </c>
      <c r="K4290">
        <v>0.113621331529832</v>
      </c>
      <c r="L4290">
        <v>1247.18815093803</v>
      </c>
      <c r="M4290">
        <v>23.178062755487201</v>
      </c>
      <c r="N4290">
        <v>54.364829442218401</v>
      </c>
      <c r="O4290">
        <v>53.413246035295401</v>
      </c>
      <c r="P4290">
        <v>-9.7041715674856505E-2</v>
      </c>
      <c r="Q4290">
        <v>0.10549574289741601</v>
      </c>
      <c r="R4290">
        <v>0.98746063418149799</v>
      </c>
      <c r="S4290" t="s">
        <v>10575</v>
      </c>
      <c r="T4290" t="s">
        <v>12568</v>
      </c>
      <c r="U4290" t="s">
        <v>12568</v>
      </c>
      <c r="V4290" t="s">
        <v>12568</v>
      </c>
      <c r="W4290" t="s">
        <v>16813</v>
      </c>
      <c r="X4290">
        <v>8</v>
      </c>
      <c r="Y4290" t="s">
        <v>22924</v>
      </c>
      <c r="Z4290" t="s">
        <v>29160</v>
      </c>
      <c r="AA4290">
        <v>0.52671803681299945</v>
      </c>
      <c r="AB4290" t="str">
        <f>HYPERLINK("Melting_Curves/meltCurve_Q8TBZ6_TRMT10A.pdf", "Melting_Curves/meltCurve_Q8TBZ6_TRMT10A.pdf")</f>
        <v>Melting_Curves/meltCurve_Q8TBZ6_TRMT10A.pdf</v>
      </c>
    </row>
    <row r="4291" spans="1:28" x14ac:dyDescent="0.25">
      <c r="A4291" t="s">
        <v>4295</v>
      </c>
      <c r="B4291">
        <v>0.99352677808782597</v>
      </c>
      <c r="C4291">
        <v>0.82915630836069598</v>
      </c>
      <c r="D4291">
        <v>0.96298470632158195</v>
      </c>
      <c r="E4291">
        <v>0.44984669014448903</v>
      </c>
      <c r="F4291">
        <v>0.352723233621758</v>
      </c>
      <c r="G4291">
        <v>0.19597131099044801</v>
      </c>
      <c r="H4291">
        <v>0.11449477261782801</v>
      </c>
      <c r="I4291">
        <v>0.10563369580693301</v>
      </c>
      <c r="J4291">
        <v>8.2190377368520903E-2</v>
      </c>
      <c r="K4291">
        <v>5.9546553236971E-2</v>
      </c>
      <c r="L4291">
        <v>895.53685980701698</v>
      </c>
      <c r="M4291">
        <v>17.933207968462501</v>
      </c>
      <c r="N4291">
        <v>50.421997474318999</v>
      </c>
      <c r="O4291">
        <v>49.328806424409898</v>
      </c>
      <c r="P4291">
        <v>-8.3695119185324698E-2</v>
      </c>
      <c r="Q4291">
        <v>7.9166609806802499E-2</v>
      </c>
      <c r="R4291">
        <v>0.96791264005258404</v>
      </c>
      <c r="S4291" t="s">
        <v>10576</v>
      </c>
      <c r="T4291" t="s">
        <v>12568</v>
      </c>
      <c r="U4291" t="s">
        <v>12568</v>
      </c>
      <c r="V4291" t="s">
        <v>12568</v>
      </c>
      <c r="W4291" t="s">
        <v>16814</v>
      </c>
      <c r="X4291">
        <v>17</v>
      </c>
      <c r="Y4291" t="s">
        <v>22925</v>
      </c>
      <c r="Z4291" t="s">
        <v>29161</v>
      </c>
      <c r="AA4291">
        <v>0.40001610055286491</v>
      </c>
      <c r="AB4291" t="str">
        <f>HYPERLINK("Melting_Curves/meltCurve_Q8TC07_2_TBC1D15.pdf", "Melting_Curves/meltCurve_Q8TC07_2_TBC1D15.pdf")</f>
        <v>Melting_Curves/meltCurve_Q8TC07_2_TBC1D15.pdf</v>
      </c>
    </row>
    <row r="4292" spans="1:28" x14ac:dyDescent="0.25">
      <c r="A4292" t="s">
        <v>4296</v>
      </c>
      <c r="B4292">
        <v>0.99352677808782597</v>
      </c>
      <c r="C4292">
        <v>0.99050716445575904</v>
      </c>
      <c r="D4292">
        <v>1.01756392866339</v>
      </c>
      <c r="E4292">
        <v>0.78985118074211702</v>
      </c>
      <c r="F4292">
        <v>0.694157428150323</v>
      </c>
      <c r="G4292">
        <v>0.194134863020196</v>
      </c>
      <c r="H4292">
        <v>0.102919046370884</v>
      </c>
      <c r="I4292">
        <v>9.1043529479396701E-2</v>
      </c>
      <c r="J4292">
        <v>6.7068459303738406E-2</v>
      </c>
      <c r="K4292">
        <v>6.3292574915781094E-2</v>
      </c>
      <c r="L4292">
        <v>1340.50220555904</v>
      </c>
      <c r="M4292">
        <v>24.894756386851501</v>
      </c>
      <c r="N4292">
        <v>54.105716573292497</v>
      </c>
      <c r="O4292">
        <v>53.502923253152701</v>
      </c>
      <c r="P4292">
        <v>-0.10979295585150201</v>
      </c>
      <c r="Q4292">
        <v>5.6160480408198099E-2</v>
      </c>
      <c r="R4292">
        <v>0.98957592819092599</v>
      </c>
      <c r="S4292" t="s">
        <v>10577</v>
      </c>
      <c r="T4292" t="s">
        <v>12568</v>
      </c>
      <c r="U4292" t="s">
        <v>12568</v>
      </c>
      <c r="V4292" t="s">
        <v>12568</v>
      </c>
      <c r="W4292" t="s">
        <v>16815</v>
      </c>
      <c r="X4292">
        <v>8</v>
      </c>
      <c r="Y4292" t="s">
        <v>22926</v>
      </c>
      <c r="Z4292" t="s">
        <v>29162</v>
      </c>
      <c r="AA4292">
        <v>0.50059554193620737</v>
      </c>
      <c r="AB4292" t="str">
        <f>HYPERLINK("Melting_Curves/meltCurve_Q8TCA0_LRRC20.pdf", "Melting_Curves/meltCurve_Q8TCA0_LRRC20.pdf")</f>
        <v>Melting_Curves/meltCurve_Q8TCA0_LRRC20.pdf</v>
      </c>
    </row>
    <row r="4293" spans="1:28" x14ac:dyDescent="0.25">
      <c r="A4293" t="s">
        <v>4297</v>
      </c>
      <c r="B4293">
        <v>0.99352677808782597</v>
      </c>
      <c r="C4293">
        <v>0.96183383618691898</v>
      </c>
      <c r="D4293">
        <v>0.94695531527893395</v>
      </c>
      <c r="E4293">
        <v>0.86458658017051004</v>
      </c>
      <c r="F4293">
        <v>0.79068126192976895</v>
      </c>
      <c r="G4293">
        <v>0.68592277051592898</v>
      </c>
      <c r="H4293">
        <v>0.568063792938864</v>
      </c>
      <c r="I4293">
        <v>0.28573673289365298</v>
      </c>
      <c r="J4293">
        <v>0.138830871858452</v>
      </c>
      <c r="K4293">
        <v>0.101855130096187</v>
      </c>
      <c r="L4293">
        <v>763.77277729832599</v>
      </c>
      <c r="M4293">
        <v>12.722546371208599</v>
      </c>
      <c r="N4293">
        <v>60.033011960663003</v>
      </c>
      <c r="O4293">
        <v>58.607806206528501</v>
      </c>
      <c r="P4293">
        <v>-5.4280272751788802E-2</v>
      </c>
      <c r="Q4293">
        <v>0</v>
      </c>
      <c r="R4293">
        <v>0.97119445901943502</v>
      </c>
      <c r="S4293" t="s">
        <v>10578</v>
      </c>
      <c r="T4293" t="s">
        <v>12568</v>
      </c>
      <c r="U4293" t="s">
        <v>12568</v>
      </c>
      <c r="V4293" t="s">
        <v>12568</v>
      </c>
      <c r="W4293" t="s">
        <v>16816</v>
      </c>
      <c r="X4293">
        <v>12</v>
      </c>
      <c r="Y4293" t="s">
        <v>22927</v>
      </c>
      <c r="Z4293" t="s">
        <v>29163</v>
      </c>
      <c r="AA4293">
        <v>0.67147353536148335</v>
      </c>
      <c r="AB4293" t="str">
        <f>HYPERLINK("Melting_Curves/meltCurve_Q8TCD5_NT5C.pdf", "Melting_Curves/meltCurve_Q8TCD5_NT5C.pdf")</f>
        <v>Melting_Curves/meltCurve_Q8TCD5_NT5C.pdf</v>
      </c>
    </row>
    <row r="4294" spans="1:28" x14ac:dyDescent="0.25">
      <c r="A4294" t="s">
        <v>4298</v>
      </c>
      <c r="B4294">
        <v>0.99352677808782597</v>
      </c>
      <c r="C4294">
        <v>0.93430814620436797</v>
      </c>
      <c r="D4294">
        <v>0.870020399990726</v>
      </c>
      <c r="E4294">
        <v>0.28700092467578803</v>
      </c>
      <c r="F4294">
        <v>0.22383355505166699</v>
      </c>
      <c r="G4294">
        <v>0.118035014313632</v>
      </c>
      <c r="H4294">
        <v>7.2061616622361699E-2</v>
      </c>
      <c r="I4294">
        <v>6.17274274017338E-2</v>
      </c>
      <c r="J4294">
        <v>5.5543924355130801E-2</v>
      </c>
      <c r="K4294">
        <v>4.1853445643289897E-2</v>
      </c>
      <c r="L4294">
        <v>1375.6019113657801</v>
      </c>
      <c r="M4294">
        <v>28.417780477262401</v>
      </c>
      <c r="N4294">
        <v>48.6817861244649</v>
      </c>
      <c r="O4294">
        <v>48.168589594963301</v>
      </c>
      <c r="P4294">
        <v>-0.136540474794554</v>
      </c>
      <c r="Q4294">
        <v>7.4254591407664494E-2</v>
      </c>
      <c r="R4294">
        <v>0.98967328175241498</v>
      </c>
      <c r="S4294" t="s">
        <v>10579</v>
      </c>
      <c r="T4294" t="s">
        <v>12568</v>
      </c>
      <c r="U4294" t="s">
        <v>12568</v>
      </c>
      <c r="V4294" t="s">
        <v>12568</v>
      </c>
      <c r="W4294" t="s">
        <v>16817</v>
      </c>
      <c r="X4294">
        <v>7</v>
      </c>
      <c r="Y4294" t="s">
        <v>22928</v>
      </c>
      <c r="Z4294" t="s">
        <v>29164</v>
      </c>
      <c r="AA4294">
        <v>0.33992105754929869</v>
      </c>
      <c r="AB4294" t="str">
        <f>HYPERLINK("Melting_Curves/meltCurve_Q8TCE6_2_FAM45A.pdf", "Melting_Curves/meltCurve_Q8TCE6_2_FAM45A.pdf")</f>
        <v>Melting_Curves/meltCurve_Q8TCE6_2_FAM45A.pdf</v>
      </c>
    </row>
    <row r="4295" spans="1:28" x14ac:dyDescent="0.25">
      <c r="A4295" t="s">
        <v>4299</v>
      </c>
      <c r="B4295">
        <v>0.99352677808782597</v>
      </c>
      <c r="C4295">
        <v>0.99759867900392096</v>
      </c>
      <c r="D4295">
        <v>0.79769471049887497</v>
      </c>
      <c r="E4295">
        <v>0.246239353268527</v>
      </c>
      <c r="F4295">
        <v>0.188432419037492</v>
      </c>
      <c r="G4295">
        <v>0.11537801023309301</v>
      </c>
      <c r="H4295">
        <v>9.5491511229193707E-2</v>
      </c>
      <c r="I4295">
        <v>9.0870416188718203E-2</v>
      </c>
      <c r="J4295">
        <v>7.8688341337420503E-2</v>
      </c>
      <c r="K4295">
        <v>6.7959482155927994E-2</v>
      </c>
      <c r="L4295">
        <v>1539.6531888703601</v>
      </c>
      <c r="M4295">
        <v>32.246577569968998</v>
      </c>
      <c r="N4295">
        <v>48.064666796373601</v>
      </c>
      <c r="O4295">
        <v>47.563752655597398</v>
      </c>
      <c r="P4295">
        <v>-0.15319063041888201</v>
      </c>
      <c r="Q4295">
        <v>9.6178734570566707E-2</v>
      </c>
      <c r="R4295">
        <v>0.99611237186105706</v>
      </c>
      <c r="S4295" t="s">
        <v>10580</v>
      </c>
      <c r="T4295" t="s">
        <v>12568</v>
      </c>
      <c r="U4295" t="s">
        <v>12568</v>
      </c>
      <c r="V4295" t="s">
        <v>12568</v>
      </c>
      <c r="W4295" t="s">
        <v>16818</v>
      </c>
      <c r="X4295">
        <v>20</v>
      </c>
      <c r="Y4295" t="s">
        <v>22929</v>
      </c>
      <c r="Z4295" t="s">
        <v>29165</v>
      </c>
      <c r="AA4295">
        <v>0.33422042194099638</v>
      </c>
      <c r="AB4295" t="str">
        <f>HYPERLINK("Melting_Curves/meltCurve_Q8TCG1_KIAA1524.pdf", "Melting_Curves/meltCurve_Q8TCG1_KIAA1524.pdf")</f>
        <v>Melting_Curves/meltCurve_Q8TCG1_KIAA1524.pdf</v>
      </c>
    </row>
    <row r="4296" spans="1:28" x14ac:dyDescent="0.25">
      <c r="A4296" t="s">
        <v>4300</v>
      </c>
      <c r="B4296">
        <v>0.99352677808782597</v>
      </c>
      <c r="C4296">
        <v>0.95039794955079104</v>
      </c>
      <c r="D4296">
        <v>0.93176689336924901</v>
      </c>
      <c r="E4296">
        <v>0.67207701835309996</v>
      </c>
      <c r="F4296">
        <v>0.599918025643984</v>
      </c>
      <c r="G4296">
        <v>0.47366716058797398</v>
      </c>
      <c r="H4296">
        <v>0.445140459753885</v>
      </c>
      <c r="I4296">
        <v>0.4443673100435</v>
      </c>
      <c r="J4296">
        <v>0.497335899002676</v>
      </c>
      <c r="K4296">
        <v>0.41479601517854697</v>
      </c>
      <c r="L4296">
        <v>974.12460545910301</v>
      </c>
      <c r="M4296">
        <v>19.624587155137998</v>
      </c>
      <c r="N4296">
        <v>55.888857668330701</v>
      </c>
      <c r="O4296">
        <v>49.131153560896102</v>
      </c>
      <c r="P4296">
        <v>-5.5491521893364398E-2</v>
      </c>
      <c r="Q4296">
        <v>0.44431596508598498</v>
      </c>
      <c r="R4296">
        <v>0.98517842886797202</v>
      </c>
      <c r="S4296" t="s">
        <v>10581</v>
      </c>
      <c r="T4296" t="s">
        <v>12568</v>
      </c>
      <c r="U4296" t="s">
        <v>12568</v>
      </c>
      <c r="V4296" t="s">
        <v>12568</v>
      </c>
      <c r="W4296" t="s">
        <v>16819</v>
      </c>
      <c r="X4296">
        <v>8</v>
      </c>
      <c r="Y4296" t="s">
        <v>22930</v>
      </c>
      <c r="Z4296" t="s">
        <v>29166</v>
      </c>
      <c r="AA4296">
        <v>0.63088229993667588</v>
      </c>
      <c r="AB4296" t="str">
        <f>HYPERLINK("Melting_Curves/meltCurve_Q8TCN5_ZNF507.pdf", "Melting_Curves/meltCurve_Q8TCN5_ZNF507.pdf")</f>
        <v>Melting_Curves/meltCurve_Q8TCN5_ZNF507.pdf</v>
      </c>
    </row>
    <row r="4297" spans="1:28" x14ac:dyDescent="0.25">
      <c r="A4297" t="s">
        <v>4301</v>
      </c>
      <c r="B4297">
        <v>0.99352677808782597</v>
      </c>
      <c r="C4297">
        <v>0.98158920466925204</v>
      </c>
      <c r="D4297">
        <v>0.88486459802351203</v>
      </c>
      <c r="E4297">
        <v>0.42404630660916898</v>
      </c>
      <c r="F4297">
        <v>0.32391902012667201</v>
      </c>
      <c r="G4297">
        <v>0.15162818421695601</v>
      </c>
      <c r="H4297">
        <v>8.7524243111040206E-2</v>
      </c>
      <c r="I4297">
        <v>7.2648319487554999E-2</v>
      </c>
      <c r="J4297">
        <v>6.1892230989518099E-2</v>
      </c>
      <c r="K4297">
        <v>4.68782962680383E-2</v>
      </c>
      <c r="L4297">
        <v>1000.9496788997</v>
      </c>
      <c r="M4297">
        <v>20.178794710638499</v>
      </c>
      <c r="N4297">
        <v>49.955957675839201</v>
      </c>
      <c r="O4297">
        <v>49.124564733149199</v>
      </c>
      <c r="P4297">
        <v>-9.5891089311855401E-2</v>
      </c>
      <c r="Q4297">
        <v>6.6255164853930695E-2</v>
      </c>
      <c r="R4297">
        <v>0.991808154514913</v>
      </c>
      <c r="S4297" t="s">
        <v>10582</v>
      </c>
      <c r="T4297" t="s">
        <v>12568</v>
      </c>
      <c r="U4297" t="s">
        <v>12568</v>
      </c>
      <c r="V4297" t="s">
        <v>12568</v>
      </c>
      <c r="W4297" t="s">
        <v>16820</v>
      </c>
      <c r="X4297">
        <v>13</v>
      </c>
      <c r="Y4297" t="s">
        <v>22931</v>
      </c>
      <c r="Z4297" t="s">
        <v>29167</v>
      </c>
      <c r="AA4297">
        <v>0.37797379586418889</v>
      </c>
      <c r="AB4297" t="str">
        <f>HYPERLINK("Melting_Curves/meltCurve_Q8TCS8_PNPT1.pdf", "Melting_Curves/meltCurve_Q8TCS8_PNPT1.pdf")</f>
        <v>Melting_Curves/meltCurve_Q8TCS8_PNPT1.pdf</v>
      </c>
    </row>
    <row r="4298" spans="1:28" x14ac:dyDescent="0.25">
      <c r="A4298" t="s">
        <v>4302</v>
      </c>
      <c r="B4298">
        <v>0.99352677808782597</v>
      </c>
      <c r="C4298">
        <v>0.94214994359638404</v>
      </c>
      <c r="D4298">
        <v>0.80951196245736301</v>
      </c>
      <c r="E4298">
        <v>0.66893016508344205</v>
      </c>
      <c r="F4298">
        <v>0.61671694050982495</v>
      </c>
      <c r="G4298">
        <v>0.50911326287523095</v>
      </c>
      <c r="H4298">
        <v>0.53218790041169795</v>
      </c>
      <c r="I4298">
        <v>0.55528990761550301</v>
      </c>
      <c r="J4298">
        <v>0.61648873206565802</v>
      </c>
      <c r="K4298">
        <v>0.51690378122081304</v>
      </c>
      <c r="L4298">
        <v>887.23794726304902</v>
      </c>
      <c r="M4298">
        <v>18.8452943469036</v>
      </c>
      <c r="O4298">
        <v>46.559559551381497</v>
      </c>
      <c r="P4298">
        <v>-4.6006920595433501E-2</v>
      </c>
      <c r="Q4298">
        <v>0.54535626044988506</v>
      </c>
      <c r="R4298">
        <v>0.96583230058268199</v>
      </c>
      <c r="S4298" t="s">
        <v>10583</v>
      </c>
      <c r="T4298" t="s">
        <v>12568</v>
      </c>
      <c r="U4298" t="s">
        <v>12568</v>
      </c>
      <c r="V4298" t="s">
        <v>12568</v>
      </c>
      <c r="W4298" t="s">
        <v>16821</v>
      </c>
      <c r="X4298">
        <v>16</v>
      </c>
      <c r="Y4298" t="s">
        <v>22932</v>
      </c>
      <c r="Z4298" t="s">
        <v>29168</v>
      </c>
      <c r="AA4298">
        <v>0.66021385026905222</v>
      </c>
      <c r="AB4298" t="str">
        <f>HYPERLINK("Melting_Curves/meltCurve_Q8TCU4_3_ALMS1.pdf", "Melting_Curves/meltCurve_Q8TCU4_3_ALMS1.pdf")</f>
        <v>Melting_Curves/meltCurve_Q8TCU4_3_ALMS1.pdf</v>
      </c>
    </row>
    <row r="4299" spans="1:28" x14ac:dyDescent="0.25">
      <c r="A4299" t="s">
        <v>4303</v>
      </c>
      <c r="B4299">
        <v>0.99352677808782597</v>
      </c>
      <c r="C4299">
        <v>0.86233596731777695</v>
      </c>
      <c r="D4299">
        <v>0.60269563277615001</v>
      </c>
      <c r="E4299">
        <v>0.184106072063875</v>
      </c>
      <c r="F4299">
        <v>0.18464272536068099</v>
      </c>
      <c r="G4299">
        <v>7.4575640388687706E-2</v>
      </c>
      <c r="H4299">
        <v>7.3506971192536602E-2</v>
      </c>
      <c r="I4299">
        <v>7.5264998460184904E-2</v>
      </c>
      <c r="J4299">
        <v>5.7844206182020297E-2</v>
      </c>
      <c r="K4299">
        <v>2.32905277994097E-2</v>
      </c>
      <c r="L4299">
        <v>1024.44966734832</v>
      </c>
      <c r="M4299">
        <v>22.0227385962325</v>
      </c>
      <c r="N4299">
        <v>46.7971814849707</v>
      </c>
      <c r="O4299">
        <v>46.139365018064801</v>
      </c>
      <c r="P4299">
        <v>-0.111979584941583</v>
      </c>
      <c r="Q4299">
        <v>6.1597014832066199E-2</v>
      </c>
      <c r="R4299">
        <v>0.993032798869667</v>
      </c>
      <c r="S4299" t="s">
        <v>10584</v>
      </c>
      <c r="T4299" t="s">
        <v>12568</v>
      </c>
      <c r="U4299" t="s">
        <v>12568</v>
      </c>
      <c r="V4299" t="s">
        <v>12568</v>
      </c>
      <c r="W4299" t="s">
        <v>16822</v>
      </c>
      <c r="X4299">
        <v>2</v>
      </c>
      <c r="Y4299" t="s">
        <v>22933</v>
      </c>
      <c r="Z4299" t="s">
        <v>29169</v>
      </c>
      <c r="AA4299">
        <v>0.27677600301682648</v>
      </c>
      <c r="AB4299" t="str">
        <f>HYPERLINK("Melting_Curves/meltCurve_Q8TCU6_PREX1.pdf", "Melting_Curves/meltCurve_Q8TCU6_PREX1.pdf")</f>
        <v>Melting_Curves/meltCurve_Q8TCU6_PREX1.pdf</v>
      </c>
    </row>
    <row r="4300" spans="1:28" x14ac:dyDescent="0.25">
      <c r="A4300" t="s">
        <v>4304</v>
      </c>
      <c r="B4300">
        <v>0.99352677808782597</v>
      </c>
      <c r="C4300">
        <v>0.95310015300898399</v>
      </c>
      <c r="D4300">
        <v>0.73709815027130499</v>
      </c>
      <c r="E4300">
        <v>0.63353850732095096</v>
      </c>
      <c r="F4300">
        <v>0.44436210834692502</v>
      </c>
      <c r="G4300">
        <v>0.29853105813492598</v>
      </c>
      <c r="H4300">
        <v>0.16802106442178699</v>
      </c>
      <c r="I4300">
        <v>8.0001172003804494E-2</v>
      </c>
      <c r="J4300">
        <v>0.140688333625967</v>
      </c>
      <c r="K4300">
        <v>8.3590151872413199E-2</v>
      </c>
      <c r="L4300">
        <v>585.02579549863697</v>
      </c>
      <c r="M4300">
        <v>11.3343149143396</v>
      </c>
      <c r="N4300">
        <v>51.940280090691502</v>
      </c>
      <c r="O4300">
        <v>50.087042745092802</v>
      </c>
      <c r="P4300">
        <v>-5.46538836206878E-2</v>
      </c>
      <c r="Q4300">
        <v>3.4214668263118697E-2</v>
      </c>
      <c r="R4300">
        <v>0.98876252657549102</v>
      </c>
      <c r="S4300" t="s">
        <v>10585</v>
      </c>
      <c r="T4300" t="s">
        <v>12568</v>
      </c>
      <c r="U4300" t="s">
        <v>12568</v>
      </c>
      <c r="V4300" t="s">
        <v>12568</v>
      </c>
      <c r="W4300" t="s">
        <v>16823</v>
      </c>
      <c r="X4300">
        <v>2</v>
      </c>
      <c r="Y4300" t="s">
        <v>22934</v>
      </c>
      <c r="Z4300" t="s">
        <v>29170</v>
      </c>
      <c r="AA4300">
        <v>0.44081606331002787</v>
      </c>
      <c r="AB4300" t="str">
        <f>HYPERLINK("Melting_Curves/meltCurve_Q8TCX1_DYNC2LI1.pdf", "Melting_Curves/meltCurve_Q8TCX1_DYNC2LI1.pdf")</f>
        <v>Melting_Curves/meltCurve_Q8TCX1_DYNC2LI1.pdf</v>
      </c>
    </row>
    <row r="4301" spans="1:28" x14ac:dyDescent="0.25">
      <c r="A4301" t="s">
        <v>4305</v>
      </c>
      <c r="B4301">
        <v>0.99352677808782597</v>
      </c>
      <c r="C4301">
        <v>0.99867841295097604</v>
      </c>
      <c r="D4301">
        <v>0.84296445621185201</v>
      </c>
      <c r="E4301">
        <v>0.35336016100858297</v>
      </c>
      <c r="F4301">
        <v>0.29669681647770402</v>
      </c>
      <c r="G4301">
        <v>0.139643151231266</v>
      </c>
      <c r="H4301">
        <v>0.176634785628005</v>
      </c>
      <c r="I4301">
        <v>0.13246276808803301</v>
      </c>
      <c r="J4301">
        <v>7.7637962110923303E-2</v>
      </c>
      <c r="K4301">
        <v>0.22221130559119701</v>
      </c>
      <c r="L4301">
        <v>1350.0244871800901</v>
      </c>
      <c r="M4301">
        <v>27.956489713484501</v>
      </c>
      <c r="N4301">
        <v>48.944546977834399</v>
      </c>
      <c r="O4301">
        <v>48.045142278408797</v>
      </c>
      <c r="P4301">
        <v>-0.122788406588431</v>
      </c>
      <c r="Q4301">
        <v>0.15592614274920999</v>
      </c>
      <c r="R4301">
        <v>0.98382328994160795</v>
      </c>
      <c r="S4301" t="s">
        <v>10586</v>
      </c>
      <c r="T4301" t="s">
        <v>12568</v>
      </c>
      <c r="U4301" t="s">
        <v>12568</v>
      </c>
      <c r="V4301" t="s">
        <v>12568</v>
      </c>
      <c r="W4301" t="s">
        <v>16824</v>
      </c>
      <c r="X4301">
        <v>9</v>
      </c>
      <c r="Y4301" t="s">
        <v>22935</v>
      </c>
      <c r="Z4301" t="s">
        <v>29171</v>
      </c>
      <c r="AA4301">
        <v>0.39507831204839511</v>
      </c>
      <c r="AB4301" t="str">
        <f>HYPERLINK("Melting_Curves/meltCurve_Q8TCY9_URGCP.pdf", "Melting_Curves/meltCurve_Q8TCY9_URGCP.pdf")</f>
        <v>Melting_Curves/meltCurve_Q8TCY9_URGCP.pdf</v>
      </c>
    </row>
    <row r="4302" spans="1:28" x14ac:dyDescent="0.25">
      <c r="A4302" t="s">
        <v>4306</v>
      </c>
      <c r="B4302">
        <v>0.99352677808782597</v>
      </c>
      <c r="C4302">
        <v>0.94606417022422895</v>
      </c>
      <c r="D4302">
        <v>0.86506133743971503</v>
      </c>
      <c r="E4302">
        <v>0.59911487696017796</v>
      </c>
      <c r="F4302">
        <v>0.54560951865856899</v>
      </c>
      <c r="G4302">
        <v>0.216454469384179</v>
      </c>
      <c r="H4302">
        <v>8.0648485722868896E-2</v>
      </c>
      <c r="I4302">
        <v>5.6023713614993503E-2</v>
      </c>
      <c r="J4302">
        <v>3.18186909939367E-2</v>
      </c>
      <c r="K4302">
        <v>3.2140690551067899E-2</v>
      </c>
      <c r="L4302">
        <v>738.53790354596799</v>
      </c>
      <c r="M4302">
        <v>14.1241780603757</v>
      </c>
      <c r="N4302">
        <v>52.288887016539803</v>
      </c>
      <c r="O4302">
        <v>51.274214683795599</v>
      </c>
      <c r="P4302">
        <v>-6.8874696490047294E-2</v>
      </c>
      <c r="Q4302">
        <v>0</v>
      </c>
      <c r="R4302">
        <v>0.99010430372769698</v>
      </c>
      <c r="S4302" t="s">
        <v>10587</v>
      </c>
      <c r="T4302" t="s">
        <v>12568</v>
      </c>
      <c r="U4302" t="s">
        <v>12568</v>
      </c>
      <c r="V4302" t="s">
        <v>12568</v>
      </c>
      <c r="W4302" t="s">
        <v>16825</v>
      </c>
      <c r="X4302">
        <v>1</v>
      </c>
      <c r="Y4302" t="s">
        <v>22936</v>
      </c>
      <c r="Z4302" t="s">
        <v>29172</v>
      </c>
      <c r="AA4302">
        <v>0.43378437154554911</v>
      </c>
      <c r="AB4302" t="str">
        <f>HYPERLINK("Melting_Curves/meltCurve_Q8TD08_2_MAPK15.pdf", "Melting_Curves/meltCurve_Q8TD08_2_MAPK15.pdf")</f>
        <v>Melting_Curves/meltCurve_Q8TD08_2_MAPK15.pdf</v>
      </c>
    </row>
    <row r="4303" spans="1:28" x14ac:dyDescent="0.25">
      <c r="A4303" t="s">
        <v>4307</v>
      </c>
      <c r="B4303">
        <v>0.99352677808782597</v>
      </c>
      <c r="C4303">
        <v>0.99032684737852905</v>
      </c>
      <c r="D4303">
        <v>0.93926180200982001</v>
      </c>
      <c r="E4303">
        <v>0.64220113564635894</v>
      </c>
      <c r="F4303">
        <v>0.57265782277208399</v>
      </c>
      <c r="G4303">
        <v>0.43601316394532602</v>
      </c>
      <c r="H4303">
        <v>0.32648672767805498</v>
      </c>
      <c r="I4303">
        <v>0.317355427131431</v>
      </c>
      <c r="J4303">
        <v>0.38671415541554299</v>
      </c>
      <c r="K4303">
        <v>0.27425252632102398</v>
      </c>
      <c r="L4303">
        <v>856.01832753453095</v>
      </c>
      <c r="M4303">
        <v>16.851546738233498</v>
      </c>
      <c r="N4303">
        <v>53.956657711425997</v>
      </c>
      <c r="O4303">
        <v>50.098445364023</v>
      </c>
      <c r="P4303">
        <v>-5.7726039448250097E-2</v>
      </c>
      <c r="Q4303">
        <v>0.31358234248074701</v>
      </c>
      <c r="R4303">
        <v>0.98111072457433302</v>
      </c>
      <c r="S4303" t="s">
        <v>10588</v>
      </c>
      <c r="T4303" t="s">
        <v>12568</v>
      </c>
      <c r="U4303" t="s">
        <v>12568</v>
      </c>
      <c r="V4303" t="s">
        <v>12568</v>
      </c>
      <c r="W4303" t="s">
        <v>16826</v>
      </c>
      <c r="X4303">
        <v>2</v>
      </c>
      <c r="Y4303" t="s">
        <v>22937</v>
      </c>
      <c r="Z4303" t="s">
        <v>29173</v>
      </c>
      <c r="AA4303">
        <v>0.57369134072730599</v>
      </c>
      <c r="AB4303" t="str">
        <f>HYPERLINK("Melting_Curves/meltCurve_Q8TD10_MIPOL1.pdf", "Melting_Curves/meltCurve_Q8TD10_MIPOL1.pdf")</f>
        <v>Melting_Curves/meltCurve_Q8TD10_MIPOL1.pdf</v>
      </c>
    </row>
    <row r="4304" spans="1:28" x14ac:dyDescent="0.25">
      <c r="A4304" t="s">
        <v>4308</v>
      </c>
      <c r="B4304">
        <v>0.99352677808782597</v>
      </c>
      <c r="C4304">
        <v>1.0088175682049201</v>
      </c>
      <c r="D4304">
        <v>0.95051233023085502</v>
      </c>
      <c r="E4304">
        <v>0.78755443927907998</v>
      </c>
      <c r="F4304">
        <v>0.70569534428743697</v>
      </c>
      <c r="G4304">
        <v>0.49961981108366699</v>
      </c>
      <c r="H4304">
        <v>0.36911190290575102</v>
      </c>
      <c r="I4304">
        <v>0.37485072385369</v>
      </c>
      <c r="J4304">
        <v>0.31304198487524199</v>
      </c>
      <c r="K4304">
        <v>0.25242748357550499</v>
      </c>
      <c r="L4304">
        <v>718.96186460504805</v>
      </c>
      <c r="M4304">
        <v>13.231804893581799</v>
      </c>
      <c r="N4304">
        <v>57.238126359882301</v>
      </c>
      <c r="O4304">
        <v>53.139785251183802</v>
      </c>
      <c r="P4304">
        <v>-4.7045071010307901E-2</v>
      </c>
      <c r="Q4304">
        <v>0.24438040930353599</v>
      </c>
      <c r="R4304">
        <v>0.993100628429614</v>
      </c>
      <c r="S4304" t="s">
        <v>10589</v>
      </c>
      <c r="T4304" t="s">
        <v>12568</v>
      </c>
      <c r="U4304" t="s">
        <v>12568</v>
      </c>
      <c r="V4304" t="s">
        <v>12568</v>
      </c>
      <c r="W4304" t="s">
        <v>16827</v>
      </c>
      <c r="X4304">
        <v>30</v>
      </c>
      <c r="Y4304" t="s">
        <v>22938</v>
      </c>
      <c r="Z4304" t="s">
        <v>29174</v>
      </c>
      <c r="AA4304">
        <v>0.62290436956080297</v>
      </c>
      <c r="AB4304" t="str">
        <f>HYPERLINK("Melting_Curves/meltCurve_Q8TD16_BICD2.pdf", "Melting_Curves/meltCurve_Q8TD16_BICD2.pdf")</f>
        <v>Melting_Curves/meltCurve_Q8TD16_BICD2.pdf</v>
      </c>
    </row>
    <row r="4305" spans="1:28" x14ac:dyDescent="0.25">
      <c r="A4305" t="s">
        <v>4309</v>
      </c>
      <c r="B4305">
        <v>0.99352677808782597</v>
      </c>
      <c r="C4305">
        <v>1.01383958559057</v>
      </c>
      <c r="D4305">
        <v>0.71810165153786698</v>
      </c>
      <c r="E4305">
        <v>0.50757233823024905</v>
      </c>
      <c r="F4305">
        <v>0.40830498072275601</v>
      </c>
      <c r="G4305">
        <v>0.25506289948807997</v>
      </c>
      <c r="H4305">
        <v>0.149083206194488</v>
      </c>
      <c r="I4305">
        <v>0.142936969237207</v>
      </c>
      <c r="J4305">
        <v>0.134760145307211</v>
      </c>
      <c r="K4305">
        <v>0.117417075182078</v>
      </c>
      <c r="L4305">
        <v>709.53497633454197</v>
      </c>
      <c r="M4305">
        <v>14.2902353273714</v>
      </c>
      <c r="N4305">
        <v>50.544073821602503</v>
      </c>
      <c r="O4305">
        <v>48.709781561548603</v>
      </c>
      <c r="P4305">
        <v>-6.5174633755761005E-2</v>
      </c>
      <c r="Q4305">
        <v>0.111489984052614</v>
      </c>
      <c r="R4305">
        <v>0.98415986181366499</v>
      </c>
      <c r="S4305" t="s">
        <v>10590</v>
      </c>
      <c r="T4305" t="s">
        <v>12568</v>
      </c>
      <c r="U4305" t="s">
        <v>12568</v>
      </c>
      <c r="V4305" t="s">
        <v>12568</v>
      </c>
      <c r="W4305" t="s">
        <v>16828</v>
      </c>
      <c r="X4305">
        <v>17</v>
      </c>
      <c r="Y4305" t="s">
        <v>22939</v>
      </c>
      <c r="Z4305" t="s">
        <v>29175</v>
      </c>
      <c r="AA4305">
        <v>0.42071993591049239</v>
      </c>
      <c r="AB4305" t="str">
        <f>HYPERLINK("Melting_Curves/meltCurve_Q8TD19_NEK9.pdf", "Melting_Curves/meltCurve_Q8TD19_NEK9.pdf")</f>
        <v>Melting_Curves/meltCurve_Q8TD19_NEK9.pdf</v>
      </c>
    </row>
    <row r="4306" spans="1:28" x14ac:dyDescent="0.25">
      <c r="A4306" t="s">
        <v>4310</v>
      </c>
      <c r="B4306">
        <v>0.99352677808782597</v>
      </c>
      <c r="C4306">
        <v>0.91697270280976995</v>
      </c>
      <c r="D4306">
        <v>0.76862104012287502</v>
      </c>
      <c r="E4306">
        <v>0.314201835813539</v>
      </c>
      <c r="F4306">
        <v>0.24896717014435399</v>
      </c>
      <c r="G4306">
        <v>0.17181039402902901</v>
      </c>
      <c r="H4306">
        <v>0.108883240997854</v>
      </c>
      <c r="I4306">
        <v>0.103070460515965</v>
      </c>
      <c r="J4306">
        <v>8.1615983939746298E-2</v>
      </c>
      <c r="K4306">
        <v>7.0787330178113006E-2</v>
      </c>
      <c r="L4306">
        <v>1008.42531266702</v>
      </c>
      <c r="M4306">
        <v>21.0261098556131</v>
      </c>
      <c r="N4306">
        <v>48.4679482708911</v>
      </c>
      <c r="O4306">
        <v>47.5331367707062</v>
      </c>
      <c r="P4306">
        <v>-9.9666587213082899E-2</v>
      </c>
      <c r="Q4306">
        <v>9.8770610978805295E-2</v>
      </c>
      <c r="R4306">
        <v>0.99280395209101602</v>
      </c>
      <c r="S4306" t="s">
        <v>10591</v>
      </c>
      <c r="T4306" t="s">
        <v>12568</v>
      </c>
      <c r="U4306" t="s">
        <v>12568</v>
      </c>
      <c r="V4306" t="s">
        <v>12568</v>
      </c>
      <c r="W4306" t="s">
        <v>16829</v>
      </c>
      <c r="X4306">
        <v>5</v>
      </c>
      <c r="Y4306" t="s">
        <v>22940</v>
      </c>
      <c r="Z4306" t="s">
        <v>29176</v>
      </c>
      <c r="AA4306">
        <v>0.34943907684982012</v>
      </c>
      <c r="AB4306" t="str">
        <f>HYPERLINK("Melting_Curves/meltCurve_Q8TD30_GPT2.pdf", "Melting_Curves/meltCurve_Q8TD30_GPT2.pdf")</f>
        <v>Melting_Curves/meltCurve_Q8TD30_GPT2.pdf</v>
      </c>
    </row>
    <row r="4307" spans="1:28" x14ac:dyDescent="0.25">
      <c r="A4307" t="s">
        <v>4311</v>
      </c>
      <c r="B4307">
        <v>0.99352677808782597</v>
      </c>
      <c r="C4307">
        <v>1.0035588158303901</v>
      </c>
      <c r="D4307">
        <v>0.89798090866341895</v>
      </c>
      <c r="E4307">
        <v>0.65007159020915195</v>
      </c>
      <c r="F4307">
        <v>0.54380027830296795</v>
      </c>
      <c r="G4307">
        <v>0.396345802963956</v>
      </c>
      <c r="H4307">
        <v>0.34611779274516102</v>
      </c>
      <c r="I4307">
        <v>0.32234466711656201</v>
      </c>
      <c r="J4307">
        <v>0.35510819858362802</v>
      </c>
      <c r="K4307">
        <v>0.30600044735113302</v>
      </c>
      <c r="L4307">
        <v>898.23819281900603</v>
      </c>
      <c r="M4307">
        <v>17.848750413646801</v>
      </c>
      <c r="N4307">
        <v>53.390629515691302</v>
      </c>
      <c r="O4307">
        <v>49.706043275140203</v>
      </c>
      <c r="P4307">
        <v>-6.0996075504728797E-2</v>
      </c>
      <c r="Q4307">
        <v>0.32057580354878901</v>
      </c>
      <c r="R4307">
        <v>0.99459165328185795</v>
      </c>
      <c r="S4307" t="s">
        <v>10592</v>
      </c>
      <c r="T4307" t="s">
        <v>12568</v>
      </c>
      <c r="U4307" t="s">
        <v>12568</v>
      </c>
      <c r="V4307" t="s">
        <v>12568</v>
      </c>
      <c r="W4307" t="s">
        <v>16830</v>
      </c>
      <c r="X4307">
        <v>3</v>
      </c>
      <c r="Y4307" t="s">
        <v>22941</v>
      </c>
      <c r="Z4307" t="s">
        <v>29177</v>
      </c>
      <c r="AA4307">
        <v>0.56613309475459395</v>
      </c>
      <c r="AB4307" t="str">
        <f>HYPERLINK("Melting_Curves/meltCurve_Q8TD55_2_PLEKHO2.pdf", "Melting_Curves/meltCurve_Q8TD55_2_PLEKHO2.pdf")</f>
        <v>Melting_Curves/meltCurve_Q8TD55_2_PLEKHO2.pdf</v>
      </c>
    </row>
    <row r="4308" spans="1:28" x14ac:dyDescent="0.25">
      <c r="A4308" t="s">
        <v>4312</v>
      </c>
      <c r="B4308">
        <v>0.99352677808782597</v>
      </c>
      <c r="C4308">
        <v>0.70820594900214096</v>
      </c>
      <c r="D4308">
        <v>0.62803781172995399</v>
      </c>
      <c r="E4308">
        <v>0.405575174447455</v>
      </c>
      <c r="F4308">
        <v>0.41887446663915001</v>
      </c>
      <c r="G4308">
        <v>0.346010706415119</v>
      </c>
      <c r="H4308">
        <v>0.40120426446250201</v>
      </c>
      <c r="I4308">
        <v>0.31309629757141999</v>
      </c>
      <c r="J4308">
        <v>0.28063833722876902</v>
      </c>
      <c r="K4308">
        <v>0.15843088098164401</v>
      </c>
      <c r="L4308">
        <v>585.98728092249598</v>
      </c>
      <c r="M4308">
        <v>12.851384553853601</v>
      </c>
      <c r="N4308">
        <v>48.624842788707397</v>
      </c>
      <c r="O4308">
        <v>44.535496094117001</v>
      </c>
      <c r="P4308">
        <v>-5.2284731546304399E-2</v>
      </c>
      <c r="Q4308">
        <v>0.27537903853059298</v>
      </c>
      <c r="R4308">
        <v>0.91839094012094602</v>
      </c>
      <c r="S4308" t="s">
        <v>10593</v>
      </c>
      <c r="T4308" t="s">
        <v>12568</v>
      </c>
      <c r="U4308" t="s">
        <v>12568</v>
      </c>
      <c r="V4308" t="s">
        <v>12568</v>
      </c>
      <c r="W4308" t="s">
        <v>16831</v>
      </c>
      <c r="X4308">
        <v>1</v>
      </c>
      <c r="Y4308" t="s">
        <v>22942</v>
      </c>
      <c r="Z4308" t="s">
        <v>29178</v>
      </c>
      <c r="AA4308">
        <v>0.4405733565321206</v>
      </c>
      <c r="AB4308" t="str">
        <f>HYPERLINK("Melting_Curves/meltCurve_Q8TDB6_DTX3L.pdf", "Melting_Curves/meltCurve_Q8TDB6_DTX3L.pdf")</f>
        <v>Melting_Curves/meltCurve_Q8TDB6_DTX3L.pdf</v>
      </c>
    </row>
    <row r="4309" spans="1:28" x14ac:dyDescent="0.25">
      <c r="A4309" t="s">
        <v>4313</v>
      </c>
      <c r="B4309">
        <v>0.99352677808782597</v>
      </c>
      <c r="C4309">
        <v>0.98727753195580203</v>
      </c>
      <c r="D4309">
        <v>1.0797262602022599</v>
      </c>
      <c r="E4309">
        <v>0.81933779286938702</v>
      </c>
      <c r="F4309">
        <v>0.72250251434625401</v>
      </c>
      <c r="G4309">
        <v>0.58984597602894295</v>
      </c>
      <c r="H4309">
        <v>0.62786607154600704</v>
      </c>
      <c r="I4309">
        <v>0.62451868667622501</v>
      </c>
      <c r="J4309">
        <v>0.75396995551648305</v>
      </c>
      <c r="K4309">
        <v>0.62611301801234898</v>
      </c>
      <c r="L4309">
        <v>2158.08828974378</v>
      </c>
      <c r="M4309">
        <v>43.011819811315902</v>
      </c>
      <c r="O4309">
        <v>50.066218036198599</v>
      </c>
      <c r="P4309">
        <v>-7.5164497170365704E-2</v>
      </c>
      <c r="Q4309">
        <v>0.65003146375429399</v>
      </c>
      <c r="R4309">
        <v>0.91037399581196699</v>
      </c>
      <c r="S4309" t="s">
        <v>10594</v>
      </c>
      <c r="T4309" t="s">
        <v>12568</v>
      </c>
      <c r="U4309" t="s">
        <v>12568</v>
      </c>
      <c r="V4309" t="s">
        <v>12568</v>
      </c>
      <c r="W4309" t="s">
        <v>16832</v>
      </c>
      <c r="X4309">
        <v>3</v>
      </c>
      <c r="Y4309" t="s">
        <v>22943</v>
      </c>
      <c r="Z4309" t="s">
        <v>29179</v>
      </c>
      <c r="AA4309">
        <v>0.76976982274136818</v>
      </c>
      <c r="AB4309" t="str">
        <f>HYPERLINK("Melting_Curves/meltCurve_Q8TDD1_DDX54.pdf", "Melting_Curves/meltCurve_Q8TDD1_DDX54.pdf")</f>
        <v>Melting_Curves/meltCurve_Q8TDD1_DDX54.pdf</v>
      </c>
    </row>
    <row r="4310" spans="1:28" x14ac:dyDescent="0.25">
      <c r="A4310" t="s">
        <v>4314</v>
      </c>
      <c r="B4310">
        <v>0.99352677808782597</v>
      </c>
      <c r="C4310">
        <v>0.95443822326436301</v>
      </c>
      <c r="D4310">
        <v>0.90929852757129104</v>
      </c>
      <c r="E4310">
        <v>0.74394349263039605</v>
      </c>
      <c r="F4310">
        <v>0.68432294668183302</v>
      </c>
      <c r="G4310">
        <v>0.50884200734299301</v>
      </c>
      <c r="H4310">
        <v>0.38230253291412802</v>
      </c>
      <c r="I4310">
        <v>0.30945658236618201</v>
      </c>
      <c r="J4310">
        <v>0.31334912241937901</v>
      </c>
      <c r="K4310">
        <v>0.28756864204715998</v>
      </c>
      <c r="L4310">
        <v>600.55271706805695</v>
      </c>
      <c r="M4310">
        <v>11.1013093108175</v>
      </c>
      <c r="N4310">
        <v>57.049030909637899</v>
      </c>
      <c r="O4310">
        <v>52.431046388638499</v>
      </c>
      <c r="P4310">
        <v>-4.13823960052217E-2</v>
      </c>
      <c r="Q4310">
        <v>0.21846482807561601</v>
      </c>
      <c r="R4310">
        <v>0.99548505170872303</v>
      </c>
      <c r="S4310" t="s">
        <v>10595</v>
      </c>
      <c r="T4310" t="s">
        <v>12568</v>
      </c>
      <c r="U4310" t="s">
        <v>12568</v>
      </c>
      <c r="V4310" t="s">
        <v>12568</v>
      </c>
      <c r="W4310" t="s">
        <v>16833</v>
      </c>
      <c r="X4310">
        <v>6</v>
      </c>
      <c r="Y4310" t="s">
        <v>22944</v>
      </c>
      <c r="Z4310" t="s">
        <v>29180</v>
      </c>
      <c r="AA4310">
        <v>0.60732035530515183</v>
      </c>
      <c r="AB4310" t="str">
        <f>HYPERLINK("Melting_Curves/meltCurve_Q8TDH9_BLOC1S5.pdf", "Melting_Curves/meltCurve_Q8TDH9_BLOC1S5.pdf")</f>
        <v>Melting_Curves/meltCurve_Q8TDH9_BLOC1S5.pdf</v>
      </c>
    </row>
    <row r="4311" spans="1:28" x14ac:dyDescent="0.25">
      <c r="A4311" t="s">
        <v>4315</v>
      </c>
      <c r="B4311">
        <v>0.99352677808782597</v>
      </c>
      <c r="C4311">
        <v>1.14291820627178</v>
      </c>
      <c r="D4311">
        <v>1.0336888942439399</v>
      </c>
      <c r="E4311">
        <v>0.73466538172134099</v>
      </c>
      <c r="F4311">
        <v>0.46083683547958498</v>
      </c>
      <c r="G4311">
        <v>0.36771157469191201</v>
      </c>
      <c r="H4311">
        <v>0.20717165534759699</v>
      </c>
      <c r="I4311">
        <v>0.22576592079132901</v>
      </c>
      <c r="J4311">
        <v>0.27825623005370898</v>
      </c>
      <c r="K4311">
        <v>9.9739709953974201E-2</v>
      </c>
      <c r="L4311">
        <v>1247.82333548016</v>
      </c>
      <c r="M4311">
        <v>24.14372539495</v>
      </c>
      <c r="N4311">
        <v>52.866428887678701</v>
      </c>
      <c r="O4311">
        <v>51.332484721703501</v>
      </c>
      <c r="P4311">
        <v>-9.3041123538463499E-2</v>
      </c>
      <c r="Q4311">
        <v>0.20874542431229601</v>
      </c>
      <c r="R4311">
        <v>0.96117413080821601</v>
      </c>
      <c r="S4311" t="s">
        <v>10596</v>
      </c>
      <c r="T4311" t="s">
        <v>12568</v>
      </c>
      <c r="U4311" t="s">
        <v>12568</v>
      </c>
      <c r="V4311" t="s">
        <v>12568</v>
      </c>
      <c r="W4311" t="s">
        <v>16834</v>
      </c>
      <c r="X4311">
        <v>3</v>
      </c>
      <c r="Y4311" t="s">
        <v>22945</v>
      </c>
      <c r="Z4311" t="s">
        <v>29181</v>
      </c>
      <c r="AA4311">
        <v>0.52459162957158034</v>
      </c>
      <c r="AB4311" t="str">
        <f>HYPERLINK("Melting_Curves/meltCurve_Q8TDJ6_DMXL2.pdf", "Melting_Curves/meltCurve_Q8TDJ6_DMXL2.pdf")</f>
        <v>Melting_Curves/meltCurve_Q8TDJ6_DMXL2.pdf</v>
      </c>
    </row>
    <row r="4312" spans="1:28" x14ac:dyDescent="0.25">
      <c r="A4312" t="s">
        <v>4316</v>
      </c>
      <c r="B4312">
        <v>0.99352677808782597</v>
      </c>
      <c r="C4312">
        <v>1.0097853624719899</v>
      </c>
      <c r="D4312">
        <v>0.94142331925627998</v>
      </c>
      <c r="E4312">
        <v>0.52356546579381102</v>
      </c>
      <c r="F4312">
        <v>0.41587632465810498</v>
      </c>
      <c r="G4312">
        <v>0.22913552714349</v>
      </c>
      <c r="H4312">
        <v>0.17807851155035401</v>
      </c>
      <c r="I4312">
        <v>0.14762850293000199</v>
      </c>
      <c r="J4312">
        <v>0.14037806088337501</v>
      </c>
      <c r="K4312">
        <v>9.6023495437537701E-2</v>
      </c>
      <c r="L4312">
        <v>997.46220403023096</v>
      </c>
      <c r="M4312">
        <v>19.805804226218999</v>
      </c>
      <c r="N4312">
        <v>51.1682548999988</v>
      </c>
      <c r="O4312">
        <v>49.857130268394897</v>
      </c>
      <c r="P4312">
        <v>-8.6005820411422601E-2</v>
      </c>
      <c r="Q4312">
        <v>0.134019845555191</v>
      </c>
      <c r="R4312">
        <v>0.98874909713380199</v>
      </c>
      <c r="S4312" t="s">
        <v>10597</v>
      </c>
      <c r="T4312" t="s">
        <v>12568</v>
      </c>
      <c r="U4312" t="s">
        <v>12568</v>
      </c>
      <c r="V4312" t="s">
        <v>12568</v>
      </c>
      <c r="W4312" t="s">
        <v>16835</v>
      </c>
      <c r="X4312">
        <v>3</v>
      </c>
      <c r="Y4312" t="s">
        <v>22946</v>
      </c>
      <c r="Z4312" t="s">
        <v>29182</v>
      </c>
      <c r="AA4312">
        <v>0.4454013747892025</v>
      </c>
      <c r="AB4312" t="str">
        <f>HYPERLINK("Melting_Curves/meltCurve_Q8TDM0_3_BCAS4.pdf", "Melting_Curves/meltCurve_Q8TDM0_3_BCAS4.pdf")</f>
        <v>Melting_Curves/meltCurve_Q8TDM0_3_BCAS4.pdf</v>
      </c>
    </row>
    <row r="4313" spans="1:28" x14ac:dyDescent="0.25">
      <c r="A4313" t="s">
        <v>4317</v>
      </c>
      <c r="B4313">
        <v>0.99352677808782597</v>
      </c>
      <c r="C4313">
        <v>0.90818286783588298</v>
      </c>
      <c r="D4313">
        <v>0.91480702436666095</v>
      </c>
      <c r="E4313">
        <v>0.53497131897417605</v>
      </c>
      <c r="F4313">
        <v>0.50988379977248599</v>
      </c>
      <c r="G4313">
        <v>0.40609943268923299</v>
      </c>
      <c r="H4313">
        <v>0.35037673135567998</v>
      </c>
      <c r="I4313">
        <v>0.35269470105367801</v>
      </c>
      <c r="J4313">
        <v>0.37209537891966699</v>
      </c>
      <c r="K4313">
        <v>0.325922156357705</v>
      </c>
      <c r="L4313">
        <v>981.93595640163699</v>
      </c>
      <c r="M4313">
        <v>20.119768277211602</v>
      </c>
      <c r="N4313">
        <v>51.955571944234897</v>
      </c>
      <c r="O4313">
        <v>48.330086159275702</v>
      </c>
      <c r="P4313">
        <v>-6.7398892799523602E-2</v>
      </c>
      <c r="Q4313">
        <v>0.35241993527329801</v>
      </c>
      <c r="R4313">
        <v>0.97674478531490005</v>
      </c>
      <c r="S4313" t="s">
        <v>10598</v>
      </c>
      <c r="T4313" t="s">
        <v>12568</v>
      </c>
      <c r="U4313" t="s">
        <v>12568</v>
      </c>
      <c r="V4313" t="s">
        <v>12568</v>
      </c>
      <c r="W4313" t="s">
        <v>16836</v>
      </c>
      <c r="X4313">
        <v>12</v>
      </c>
      <c r="Y4313" t="s">
        <v>22947</v>
      </c>
      <c r="Z4313" t="s">
        <v>29183</v>
      </c>
      <c r="AA4313">
        <v>0.55145324297936704</v>
      </c>
      <c r="AB4313" t="str">
        <f>HYPERLINK("Melting_Curves/meltCurve_Q8TDM6_DLG5.pdf", "Melting_Curves/meltCurve_Q8TDM6_DLG5.pdf")</f>
        <v>Melting_Curves/meltCurve_Q8TDM6_DLG5.pdf</v>
      </c>
    </row>
    <row r="4314" spans="1:28" x14ac:dyDescent="0.25">
      <c r="A4314" t="s">
        <v>4318</v>
      </c>
      <c r="B4314">
        <v>0.99352677808782597</v>
      </c>
      <c r="C4314">
        <v>1.0186691753359201</v>
      </c>
      <c r="D4314">
        <v>1.03397887726927</v>
      </c>
      <c r="E4314">
        <v>0.950007719280481</v>
      </c>
      <c r="F4314">
        <v>0.71843327750808095</v>
      </c>
      <c r="G4314">
        <v>0.66639243616268695</v>
      </c>
      <c r="H4314">
        <v>0.59342359920522902</v>
      </c>
      <c r="I4314">
        <v>0.60899851670815397</v>
      </c>
      <c r="J4314">
        <v>0.53051956044024096</v>
      </c>
      <c r="K4314">
        <v>0.53595200555776901</v>
      </c>
      <c r="L4314">
        <v>1568.0474522530201</v>
      </c>
      <c r="M4314">
        <v>29.865262616041498</v>
      </c>
      <c r="O4314">
        <v>52.270347750109302</v>
      </c>
      <c r="P4314">
        <v>-6.0922528818418503E-2</v>
      </c>
      <c r="Q4314">
        <v>0.57349510236026802</v>
      </c>
      <c r="R4314">
        <v>0.96952977807554497</v>
      </c>
      <c r="S4314" t="s">
        <v>10599</v>
      </c>
      <c r="T4314" t="s">
        <v>12568</v>
      </c>
      <c r="U4314" t="s">
        <v>12568</v>
      </c>
      <c r="V4314" t="s">
        <v>12568</v>
      </c>
      <c r="W4314" t="s">
        <v>16837</v>
      </c>
      <c r="X4314">
        <v>2</v>
      </c>
      <c r="Y4314" t="s">
        <v>22948</v>
      </c>
      <c r="Z4314" t="s">
        <v>29184</v>
      </c>
      <c r="AA4314">
        <v>0.75403374931099287</v>
      </c>
      <c r="AB4314" t="str">
        <f>HYPERLINK("Melting_Curves/meltCurve_Q8TDN6_BRIX1.pdf", "Melting_Curves/meltCurve_Q8TDN6_BRIX1.pdf")</f>
        <v>Melting_Curves/meltCurve_Q8TDN6_BRIX1.pdf</v>
      </c>
    </row>
    <row r="4315" spans="1:28" x14ac:dyDescent="0.25">
      <c r="A4315" t="s">
        <v>4319</v>
      </c>
      <c r="B4315">
        <v>0.99352677808782597</v>
      </c>
      <c r="C4315">
        <v>1.05329479817981</v>
      </c>
      <c r="D4315">
        <v>0.90974755732238</v>
      </c>
      <c r="E4315">
        <v>0.79713037679517196</v>
      </c>
      <c r="F4315">
        <v>0.68245595866945696</v>
      </c>
      <c r="G4315">
        <v>0.56076536596593096</v>
      </c>
      <c r="H4315">
        <v>0.73485402343611095</v>
      </c>
      <c r="I4315">
        <v>0.63264553436874904</v>
      </c>
      <c r="J4315">
        <v>0.25084985083627998</v>
      </c>
      <c r="K4315">
        <v>0.112116733004003</v>
      </c>
      <c r="L4315">
        <v>466.43092057431898</v>
      </c>
      <c r="M4315">
        <v>7.5597534795804799</v>
      </c>
      <c r="N4315">
        <v>61.699223277876399</v>
      </c>
      <c r="O4315">
        <v>57.825330678821302</v>
      </c>
      <c r="P4315">
        <v>-3.2729202771685999E-2</v>
      </c>
      <c r="Q4315">
        <v>0</v>
      </c>
      <c r="R4315">
        <v>0.81163199193503199</v>
      </c>
      <c r="S4315" t="s">
        <v>10600</v>
      </c>
      <c r="T4315" t="s">
        <v>12568</v>
      </c>
      <c r="U4315" t="s">
        <v>12568</v>
      </c>
      <c r="V4315" t="s">
        <v>12568</v>
      </c>
      <c r="W4315" t="s">
        <v>16838</v>
      </c>
      <c r="X4315">
        <v>12</v>
      </c>
      <c r="Y4315" t="s">
        <v>22949</v>
      </c>
      <c r="Z4315" t="s">
        <v>29185</v>
      </c>
      <c r="AA4315">
        <v>0.68566394903042349</v>
      </c>
      <c r="AB4315" t="str">
        <f>HYPERLINK("Melting_Curves/meltCurve_Q8TDQ7_GNPDA2.pdf", "Melting_Curves/meltCurve_Q8TDQ7_GNPDA2.pdf")</f>
        <v>Melting_Curves/meltCurve_Q8TDQ7_GNPDA2.pdf</v>
      </c>
    </row>
    <row r="4316" spans="1:28" x14ac:dyDescent="0.25">
      <c r="A4316" t="s">
        <v>4320</v>
      </c>
      <c r="B4316">
        <v>0.99352677808782597</v>
      </c>
      <c r="C4316">
        <v>0.92355521964603804</v>
      </c>
      <c r="D4316">
        <v>0.92249288864526702</v>
      </c>
      <c r="E4316">
        <v>0.96970286428827501</v>
      </c>
      <c r="F4316">
        <v>0.91069404504054896</v>
      </c>
      <c r="G4316">
        <v>0.68674415775128905</v>
      </c>
      <c r="H4316">
        <v>0.53607748305012304</v>
      </c>
      <c r="I4316">
        <v>0.59994851835724405</v>
      </c>
      <c r="J4316">
        <v>0.60539452457943499</v>
      </c>
      <c r="K4316">
        <v>0.53549228801856097</v>
      </c>
      <c r="L4316">
        <v>1798.8887835606799</v>
      </c>
      <c r="M4316">
        <v>32.615341644072601</v>
      </c>
      <c r="O4316">
        <v>54.948577017315898</v>
      </c>
      <c r="P4316">
        <v>-6.4535660162234498E-2</v>
      </c>
      <c r="Q4316">
        <v>0.56509716654515096</v>
      </c>
      <c r="R4316">
        <v>0.94625117177210205</v>
      </c>
      <c r="S4316" t="s">
        <v>10601</v>
      </c>
      <c r="T4316" t="s">
        <v>12568</v>
      </c>
      <c r="U4316" t="s">
        <v>12568</v>
      </c>
      <c r="V4316" t="s">
        <v>12568</v>
      </c>
      <c r="W4316" t="s">
        <v>16839</v>
      </c>
      <c r="X4316">
        <v>6</v>
      </c>
      <c r="Y4316" t="s">
        <v>22950</v>
      </c>
      <c r="Z4316" t="s">
        <v>29186</v>
      </c>
      <c r="AA4316">
        <v>0.78725435316430814</v>
      </c>
      <c r="AB4316" t="str">
        <f>HYPERLINK("Melting_Curves/meltCurve_Q8TDR0_2_TRAF3IP1.pdf", "Melting_Curves/meltCurve_Q8TDR0_2_TRAF3IP1.pdf")</f>
        <v>Melting_Curves/meltCurve_Q8TDR0_2_TRAF3IP1.pdf</v>
      </c>
    </row>
    <row r="4317" spans="1:28" x14ac:dyDescent="0.25">
      <c r="A4317" t="s">
        <v>4321</v>
      </c>
      <c r="B4317">
        <v>0.99352677808782597</v>
      </c>
      <c r="C4317">
        <v>0.92242160073045099</v>
      </c>
      <c r="D4317">
        <v>0.78274867572859397</v>
      </c>
      <c r="E4317">
        <v>0.30106821186038202</v>
      </c>
      <c r="F4317">
        <v>0.230084450734482</v>
      </c>
      <c r="G4317">
        <v>0.13566266134756899</v>
      </c>
      <c r="H4317">
        <v>8.1557065448864804E-2</v>
      </c>
      <c r="I4317">
        <v>7.87275595817543E-2</v>
      </c>
      <c r="J4317">
        <v>6.0708877127754399E-2</v>
      </c>
      <c r="K4317">
        <v>4.74431004687587E-2</v>
      </c>
      <c r="L4317">
        <v>1056.85429572269</v>
      </c>
      <c r="M4317">
        <v>21.975575231551801</v>
      </c>
      <c r="N4317">
        <v>48.447788769680301</v>
      </c>
      <c r="O4317">
        <v>47.6992966393533</v>
      </c>
      <c r="P4317">
        <v>-0.10660191465895499</v>
      </c>
      <c r="Q4317">
        <v>7.4477491462105402E-2</v>
      </c>
      <c r="R4317">
        <v>0.99348520492805903</v>
      </c>
      <c r="S4317" t="s">
        <v>10602</v>
      </c>
      <c r="T4317" t="s">
        <v>12568</v>
      </c>
      <c r="U4317" t="s">
        <v>12568</v>
      </c>
      <c r="V4317" t="s">
        <v>12568</v>
      </c>
      <c r="W4317" t="s">
        <v>16840</v>
      </c>
      <c r="X4317">
        <v>6</v>
      </c>
      <c r="Y4317" t="s">
        <v>22951</v>
      </c>
      <c r="Z4317" t="s">
        <v>29187</v>
      </c>
      <c r="AA4317">
        <v>0.3348816922186349</v>
      </c>
      <c r="AB4317" t="str">
        <f>HYPERLINK("Melting_Curves/meltCurve_Q8TDX7_NEK7.pdf", "Melting_Curves/meltCurve_Q8TDX7_NEK7.pdf")</f>
        <v>Melting_Curves/meltCurve_Q8TDX7_NEK7.pdf</v>
      </c>
    </row>
    <row r="4318" spans="1:28" x14ac:dyDescent="0.25">
      <c r="A4318" t="s">
        <v>4322</v>
      </c>
      <c r="B4318">
        <v>0.99352677808782597</v>
      </c>
      <c r="C4318">
        <v>1.0610523468077</v>
      </c>
      <c r="D4318">
        <v>0.89510305790143896</v>
      </c>
      <c r="E4318">
        <v>0.61813723990838998</v>
      </c>
      <c r="F4318">
        <v>0.52128752488930796</v>
      </c>
      <c r="G4318">
        <v>0.32755060627870802</v>
      </c>
      <c r="H4318">
        <v>0.28846229868134798</v>
      </c>
      <c r="I4318">
        <v>0.23950549438117</v>
      </c>
      <c r="J4318">
        <v>0.25649378480756202</v>
      </c>
      <c r="K4318">
        <v>0.17605032620413899</v>
      </c>
      <c r="L4318">
        <v>863.52985372043099</v>
      </c>
      <c r="M4318">
        <v>16.9478734733895</v>
      </c>
      <c r="N4318">
        <v>52.736738988828399</v>
      </c>
      <c r="O4318">
        <v>50.258592710974902</v>
      </c>
      <c r="P4318">
        <v>-6.5909835020720398E-2</v>
      </c>
      <c r="Q4318">
        <v>0.21823165707963799</v>
      </c>
      <c r="R4318">
        <v>0.98392609313412804</v>
      </c>
      <c r="S4318" t="s">
        <v>10603</v>
      </c>
      <c r="T4318" t="s">
        <v>12568</v>
      </c>
      <c r="U4318" t="s">
        <v>12568</v>
      </c>
      <c r="V4318" t="s">
        <v>12568</v>
      </c>
      <c r="W4318" t="s">
        <v>16841</v>
      </c>
      <c r="X4318">
        <v>12</v>
      </c>
      <c r="Y4318" t="s">
        <v>22952</v>
      </c>
      <c r="Z4318" t="s">
        <v>29188</v>
      </c>
      <c r="AA4318">
        <v>0.51830854608413923</v>
      </c>
      <c r="AB4318" t="str">
        <f>HYPERLINK("Melting_Curves/meltCurve_Q8TDY2_2_RB1CC1.pdf", "Melting_Curves/meltCurve_Q8TDY2_2_RB1CC1.pdf")</f>
        <v>Melting_Curves/meltCurve_Q8TDY2_2_RB1CC1.pdf</v>
      </c>
    </row>
    <row r="4319" spans="1:28" x14ac:dyDescent="0.25">
      <c r="A4319" t="s">
        <v>4323</v>
      </c>
      <c r="B4319">
        <v>0.99352677808782597</v>
      </c>
      <c r="C4319">
        <v>0.95940097249451295</v>
      </c>
      <c r="D4319">
        <v>0.89228815143303797</v>
      </c>
      <c r="E4319">
        <v>0.46252794744374398</v>
      </c>
      <c r="F4319">
        <v>0.39433541707421099</v>
      </c>
      <c r="G4319">
        <v>0.217532970761081</v>
      </c>
      <c r="H4319">
        <v>0.18552626407161199</v>
      </c>
      <c r="I4319">
        <v>0.17758940912049201</v>
      </c>
      <c r="J4319">
        <v>0.17619539781941801</v>
      </c>
      <c r="K4319">
        <v>0.13857258235205999</v>
      </c>
      <c r="L4319">
        <v>1008.2919730720899</v>
      </c>
      <c r="M4319">
        <v>20.425406578938102</v>
      </c>
      <c r="N4319">
        <v>50.366862106509899</v>
      </c>
      <c r="O4319">
        <v>48.898713561744401</v>
      </c>
      <c r="P4319">
        <v>-8.6991054694758194E-2</v>
      </c>
      <c r="Q4319">
        <v>0.166993444852121</v>
      </c>
      <c r="R4319">
        <v>0.98979829299559396</v>
      </c>
      <c r="S4319" t="s">
        <v>10604</v>
      </c>
      <c r="T4319" t="s">
        <v>12568</v>
      </c>
      <c r="U4319" t="s">
        <v>12568</v>
      </c>
      <c r="V4319" t="s">
        <v>12568</v>
      </c>
      <c r="W4319" t="s">
        <v>16842</v>
      </c>
      <c r="X4319">
        <v>12</v>
      </c>
      <c r="Y4319" t="s">
        <v>22953</v>
      </c>
      <c r="Z4319" t="s">
        <v>29189</v>
      </c>
      <c r="AA4319">
        <v>0.43817279880465482</v>
      </c>
      <c r="AB4319" t="str">
        <f>HYPERLINK("Melting_Curves/meltCurve_Q8TDZ2_MICAL1.pdf", "Melting_Curves/meltCurve_Q8TDZ2_MICAL1.pdf")</f>
        <v>Melting_Curves/meltCurve_Q8TDZ2_MICAL1.pdf</v>
      </c>
    </row>
    <row r="4320" spans="1:28" x14ac:dyDescent="0.25">
      <c r="A4320" t="s">
        <v>4324</v>
      </c>
      <c r="B4320">
        <v>0.99352677808782597</v>
      </c>
      <c r="C4320">
        <v>0.98033972421642002</v>
      </c>
      <c r="D4320">
        <v>1.0087760169281399</v>
      </c>
      <c r="E4320">
        <v>0.60915891573052094</v>
      </c>
      <c r="F4320">
        <v>0.60243322976598401</v>
      </c>
      <c r="G4320">
        <v>0.161346985884087</v>
      </c>
      <c r="H4320">
        <v>9.8087187748071999E-2</v>
      </c>
      <c r="I4320">
        <v>8.7970661172110096E-2</v>
      </c>
      <c r="J4320">
        <v>6.1206073850241002E-2</v>
      </c>
      <c r="K4320">
        <v>4.7826394254156399E-2</v>
      </c>
      <c r="L4320">
        <v>944.56433852222301</v>
      </c>
      <c r="M4320">
        <v>17.956167166086299</v>
      </c>
      <c r="N4320">
        <v>52.8069259813496</v>
      </c>
      <c r="O4320">
        <v>51.964460843974997</v>
      </c>
      <c r="P4320">
        <v>-8.3509596213063406E-2</v>
      </c>
      <c r="Q4320">
        <v>3.3353672884985801E-2</v>
      </c>
      <c r="R4320">
        <v>0.97562008080929197</v>
      </c>
      <c r="S4320" t="s">
        <v>10605</v>
      </c>
      <c r="T4320" t="s">
        <v>12568</v>
      </c>
      <c r="U4320" t="s">
        <v>12568</v>
      </c>
      <c r="V4320" t="s">
        <v>12568</v>
      </c>
      <c r="W4320" t="s">
        <v>16843</v>
      </c>
      <c r="X4320">
        <v>6</v>
      </c>
      <c r="Y4320" t="s">
        <v>22954</v>
      </c>
      <c r="Z4320" t="s">
        <v>29190</v>
      </c>
      <c r="AA4320">
        <v>0.45547442322531151</v>
      </c>
      <c r="AB4320" t="str">
        <f>HYPERLINK("Melting_Curves/meltCurve_Q8TE04_PANK1.pdf", "Melting_Curves/meltCurve_Q8TE04_PANK1.pdf")</f>
        <v>Melting_Curves/meltCurve_Q8TE04_PANK1.pdf</v>
      </c>
    </row>
    <row r="4321" spans="1:28" x14ac:dyDescent="0.25">
      <c r="A4321" t="s">
        <v>4325</v>
      </c>
      <c r="B4321">
        <v>0.99352677808782597</v>
      </c>
      <c r="C4321">
        <v>0.91653782494977198</v>
      </c>
      <c r="D4321">
        <v>0.858048458591256</v>
      </c>
      <c r="E4321">
        <v>0.72235871337667901</v>
      </c>
      <c r="F4321">
        <v>0.52612956120154197</v>
      </c>
      <c r="G4321">
        <v>0.47169303949975599</v>
      </c>
      <c r="H4321">
        <v>0.65742991382723404</v>
      </c>
      <c r="I4321">
        <v>0.52490328749730497</v>
      </c>
      <c r="J4321">
        <v>0.56911803741552003</v>
      </c>
      <c r="K4321">
        <v>0.214611051676806</v>
      </c>
      <c r="L4321">
        <v>590.65739418093494</v>
      </c>
      <c r="M4321">
        <v>11.9286778897059</v>
      </c>
      <c r="N4321">
        <v>59.491363679415997</v>
      </c>
      <c r="O4321">
        <v>48.185701436183599</v>
      </c>
      <c r="P4321">
        <v>-3.5140177420115E-2</v>
      </c>
      <c r="Q4321">
        <v>0.43234735791729501</v>
      </c>
      <c r="R4321">
        <v>0.77396951696722105</v>
      </c>
      <c r="S4321" t="s">
        <v>10606</v>
      </c>
      <c r="T4321" t="s">
        <v>12568</v>
      </c>
      <c r="U4321" t="s">
        <v>12568</v>
      </c>
      <c r="V4321" t="s">
        <v>12568</v>
      </c>
      <c r="W4321" t="s">
        <v>16844</v>
      </c>
      <c r="X4321">
        <v>4</v>
      </c>
      <c r="Y4321" t="s">
        <v>22955</v>
      </c>
      <c r="Z4321" t="s">
        <v>29191</v>
      </c>
      <c r="AA4321">
        <v>0.63281733206883084</v>
      </c>
      <c r="AB4321" t="str">
        <f>HYPERLINK("Melting_Curves/meltCurve_Q8TE76_3_MORC4.pdf", "Melting_Curves/meltCurve_Q8TE76_3_MORC4.pdf")</f>
        <v>Melting_Curves/meltCurve_Q8TE76_3_MORC4.pdf</v>
      </c>
    </row>
    <row r="4322" spans="1:28" x14ac:dyDescent="0.25">
      <c r="A4322" t="s">
        <v>4326</v>
      </c>
      <c r="B4322">
        <v>0.99352677808782597</v>
      </c>
      <c r="C4322">
        <v>0.92693481382862797</v>
      </c>
      <c r="D4322">
        <v>0.83354747319350897</v>
      </c>
      <c r="E4322">
        <v>0.38676858994626301</v>
      </c>
      <c r="F4322">
        <v>0.314858964683353</v>
      </c>
      <c r="G4322">
        <v>0.27873537408763299</v>
      </c>
      <c r="H4322">
        <v>0.19384827952459899</v>
      </c>
      <c r="I4322">
        <v>0.208358726887683</v>
      </c>
      <c r="J4322">
        <v>0.18186332228487601</v>
      </c>
      <c r="K4322">
        <v>0.16823524660955899</v>
      </c>
      <c r="L4322">
        <v>1144.5652762545701</v>
      </c>
      <c r="M4322">
        <v>23.793583274679001</v>
      </c>
      <c r="N4322">
        <v>49.169561269486202</v>
      </c>
      <c r="O4322">
        <v>47.768021251010097</v>
      </c>
      <c r="P4322">
        <v>-9.9442770193082702E-2</v>
      </c>
      <c r="Q4322">
        <v>0.20144747808864499</v>
      </c>
      <c r="R4322">
        <v>0.98950229923949895</v>
      </c>
      <c r="S4322" t="s">
        <v>10607</v>
      </c>
      <c r="T4322" t="s">
        <v>12568</v>
      </c>
      <c r="U4322" t="s">
        <v>12568</v>
      </c>
      <c r="V4322" t="s">
        <v>12568</v>
      </c>
      <c r="W4322" t="s">
        <v>16845</v>
      </c>
      <c r="X4322">
        <v>9</v>
      </c>
      <c r="Y4322" t="s">
        <v>22956</v>
      </c>
      <c r="Z4322" t="s">
        <v>29192</v>
      </c>
      <c r="AA4322">
        <v>0.42499826536966351</v>
      </c>
      <c r="AB4322" t="str">
        <f>HYPERLINK("Melting_Curves/meltCurve_Q8TE77_SSH3.pdf", "Melting_Curves/meltCurve_Q8TE77_SSH3.pdf")</f>
        <v>Melting_Curves/meltCurve_Q8TE77_SSH3.pdf</v>
      </c>
    </row>
    <row r="4323" spans="1:28" x14ac:dyDescent="0.25">
      <c r="A4323" t="s">
        <v>4327</v>
      </c>
      <c r="B4323">
        <v>0.99352677808782597</v>
      </c>
      <c r="C4323">
        <v>0.88006867362758801</v>
      </c>
      <c r="D4323">
        <v>0.75288599479954699</v>
      </c>
      <c r="E4323">
        <v>0.268498573643009</v>
      </c>
      <c r="F4323">
        <v>0.18653137509556</v>
      </c>
      <c r="G4323">
        <v>0.119103683578254</v>
      </c>
      <c r="H4323">
        <v>8.4572373139361695E-2</v>
      </c>
      <c r="I4323">
        <v>8.5751865310291303E-2</v>
      </c>
      <c r="J4323">
        <v>7.4075884947526399E-2</v>
      </c>
      <c r="K4323">
        <v>4.9324613858486098E-2</v>
      </c>
      <c r="L4323">
        <v>1081.57370897995</v>
      </c>
      <c r="M4323">
        <v>22.7156847528898</v>
      </c>
      <c r="N4323">
        <v>47.963637253631497</v>
      </c>
      <c r="O4323">
        <v>47.249122511786801</v>
      </c>
      <c r="P4323">
        <v>-0.111010734791397</v>
      </c>
      <c r="Q4323">
        <v>7.6399093059514797E-2</v>
      </c>
      <c r="R4323">
        <v>0.99378264181728204</v>
      </c>
      <c r="S4323" t="s">
        <v>10608</v>
      </c>
      <c r="T4323" t="s">
        <v>12568</v>
      </c>
      <c r="U4323" t="s">
        <v>12568</v>
      </c>
      <c r="V4323" t="s">
        <v>12568</v>
      </c>
      <c r="W4323" t="s">
        <v>16846</v>
      </c>
      <c r="X4323">
        <v>6</v>
      </c>
      <c r="Y4323" t="s">
        <v>22957</v>
      </c>
      <c r="Z4323" t="s">
        <v>29193</v>
      </c>
      <c r="AA4323">
        <v>0.32085329278895819</v>
      </c>
      <c r="AB4323" t="str">
        <f>HYPERLINK("Melting_Curves/meltCurve_Q8TEA1_NSUN6.pdf", "Melting_Curves/meltCurve_Q8TEA1_NSUN6.pdf")</f>
        <v>Melting_Curves/meltCurve_Q8TEA1_NSUN6.pdf</v>
      </c>
    </row>
    <row r="4324" spans="1:28" x14ac:dyDescent="0.25">
      <c r="A4324" t="s">
        <v>4328</v>
      </c>
      <c r="B4324">
        <v>0.99352677808782597</v>
      </c>
      <c r="C4324">
        <v>0.94595821116336298</v>
      </c>
      <c r="D4324">
        <v>0.80873948845866706</v>
      </c>
      <c r="E4324">
        <v>0.37488529109286101</v>
      </c>
      <c r="F4324">
        <v>0.344973447479342</v>
      </c>
      <c r="G4324">
        <v>0.200972143384123</v>
      </c>
      <c r="H4324">
        <v>0.13251776095495599</v>
      </c>
      <c r="I4324">
        <v>0.133766277549559</v>
      </c>
      <c r="J4324">
        <v>0.109944595779381</v>
      </c>
      <c r="K4324">
        <v>0.106262559638996</v>
      </c>
      <c r="L4324">
        <v>915.99913615659398</v>
      </c>
      <c r="M4324">
        <v>18.831894706454602</v>
      </c>
      <c r="N4324">
        <v>49.376657706906698</v>
      </c>
      <c r="O4324">
        <v>48.102308050938703</v>
      </c>
      <c r="P4324">
        <v>-8.5902960654322999E-2</v>
      </c>
      <c r="Q4324">
        <v>0.122348462360303</v>
      </c>
      <c r="R4324">
        <v>0.98875736980540996</v>
      </c>
      <c r="S4324" t="s">
        <v>10609</v>
      </c>
      <c r="T4324" t="s">
        <v>12568</v>
      </c>
      <c r="U4324" t="s">
        <v>12568</v>
      </c>
      <c r="V4324" t="s">
        <v>12568</v>
      </c>
      <c r="W4324" t="s">
        <v>16847</v>
      </c>
      <c r="X4324">
        <v>7</v>
      </c>
      <c r="Y4324" t="s">
        <v>22958</v>
      </c>
      <c r="Z4324" t="s">
        <v>29194</v>
      </c>
      <c r="AA4324">
        <v>0.38910384982119101</v>
      </c>
      <c r="AB4324" t="str">
        <f>HYPERLINK("Melting_Curves/meltCurve_Q8TEA7_3_TBCK.pdf", "Melting_Curves/meltCurve_Q8TEA7_3_TBCK.pdf")</f>
        <v>Melting_Curves/meltCurve_Q8TEA7_3_TBCK.pdf</v>
      </c>
    </row>
    <row r="4325" spans="1:28" x14ac:dyDescent="0.25">
      <c r="A4325" t="s">
        <v>4329</v>
      </c>
      <c r="B4325">
        <v>0.99352677808782597</v>
      </c>
      <c r="C4325">
        <v>1.03441838690341</v>
      </c>
      <c r="D4325">
        <v>1.04587844280227</v>
      </c>
      <c r="E4325">
        <v>0.92427012434127898</v>
      </c>
      <c r="F4325">
        <v>0.794853509882401</v>
      </c>
      <c r="G4325">
        <v>0.71681454324977101</v>
      </c>
      <c r="H4325">
        <v>0.928027222404185</v>
      </c>
      <c r="I4325">
        <v>0.85979389075619606</v>
      </c>
      <c r="J4325">
        <v>0.81240832984731703</v>
      </c>
      <c r="K4325">
        <v>0.385303240367174</v>
      </c>
      <c r="L4325">
        <v>499.90864839198201</v>
      </c>
      <c r="M4325">
        <v>6.7746787981973604</v>
      </c>
      <c r="O4325">
        <v>68.161091048603893</v>
      </c>
      <c r="P4325">
        <v>-2.4899963519238101E-2</v>
      </c>
      <c r="Q4325">
        <v>0</v>
      </c>
      <c r="R4325">
        <v>0.57127987463528396</v>
      </c>
      <c r="S4325" t="s">
        <v>10610</v>
      </c>
      <c r="T4325" t="s">
        <v>12568</v>
      </c>
      <c r="U4325" t="s">
        <v>12568</v>
      </c>
      <c r="V4325" t="s">
        <v>12568</v>
      </c>
      <c r="W4325" t="s">
        <v>16848</v>
      </c>
      <c r="X4325">
        <v>6</v>
      </c>
      <c r="Y4325" t="s">
        <v>22959</v>
      </c>
      <c r="Z4325" t="s">
        <v>29195</v>
      </c>
      <c r="AA4325">
        <v>0.86711110061250707</v>
      </c>
      <c r="AB4325" t="str">
        <f>HYPERLINK("Melting_Curves/meltCurve_Q8TEA8_DTD1.pdf", "Melting_Curves/meltCurve_Q8TEA8_DTD1.pdf")</f>
        <v>Melting_Curves/meltCurve_Q8TEA8_DTD1.pdf</v>
      </c>
    </row>
    <row r="4326" spans="1:28" x14ac:dyDescent="0.25">
      <c r="A4326" t="s">
        <v>4330</v>
      </c>
      <c r="B4326">
        <v>0.99352677808782597</v>
      </c>
      <c r="C4326">
        <v>1.0400676840970799</v>
      </c>
      <c r="D4326">
        <v>0.87514192879183705</v>
      </c>
      <c r="E4326">
        <v>0.59560483270640796</v>
      </c>
      <c r="F4326">
        <v>0.49665239733676497</v>
      </c>
      <c r="G4326">
        <v>0.321875699304424</v>
      </c>
      <c r="H4326">
        <v>0.18261768072723</v>
      </c>
      <c r="I4326">
        <v>0.169717881592095</v>
      </c>
      <c r="J4326">
        <v>0.15631517560644401</v>
      </c>
      <c r="K4326">
        <v>0.14350375788698799</v>
      </c>
      <c r="L4326">
        <v>778.69998401978603</v>
      </c>
      <c r="M4326">
        <v>15.159311537808399</v>
      </c>
      <c r="N4326">
        <v>52.4225753005203</v>
      </c>
      <c r="O4326">
        <v>50.498757035358203</v>
      </c>
      <c r="P4326">
        <v>-6.51895746223949E-2</v>
      </c>
      <c r="Q4326">
        <v>0.131445145289871</v>
      </c>
      <c r="R4326">
        <v>0.98927537761893103</v>
      </c>
      <c r="S4326" t="s">
        <v>10611</v>
      </c>
      <c r="T4326" t="s">
        <v>12568</v>
      </c>
      <c r="U4326" t="s">
        <v>12568</v>
      </c>
      <c r="V4326" t="s">
        <v>12568</v>
      </c>
      <c r="W4326" t="s">
        <v>16849</v>
      </c>
      <c r="X4326">
        <v>5</v>
      </c>
      <c r="Y4326" t="s">
        <v>22960</v>
      </c>
      <c r="Z4326" t="s">
        <v>29196</v>
      </c>
      <c r="AA4326">
        <v>0.48006109224493959</v>
      </c>
      <c r="AB4326" t="str">
        <f>HYPERLINK("Melting_Curves/meltCurve_Q8TEB1_2_DCAF11.pdf", "Melting_Curves/meltCurve_Q8TEB1_2_DCAF11.pdf")</f>
        <v>Melting_Curves/meltCurve_Q8TEB1_2_DCAF11.pdf</v>
      </c>
    </row>
    <row r="4327" spans="1:28" x14ac:dyDescent="0.25">
      <c r="A4327" t="s">
        <v>4331</v>
      </c>
      <c r="B4327">
        <v>0.99352677808782597</v>
      </c>
      <c r="C4327">
        <v>0.99066136578251895</v>
      </c>
      <c r="D4327">
        <v>0.93420171982885702</v>
      </c>
      <c r="E4327">
        <v>0.59656003100672095</v>
      </c>
      <c r="F4327">
        <v>0.51257624863236395</v>
      </c>
      <c r="G4327">
        <v>0.409668636420632</v>
      </c>
      <c r="H4327">
        <v>0.32416150315179698</v>
      </c>
      <c r="I4327">
        <v>0.33940176697527402</v>
      </c>
      <c r="J4327">
        <v>0.32990539293723198</v>
      </c>
      <c r="K4327">
        <v>0.275720226770374</v>
      </c>
      <c r="L4327">
        <v>978.76888298003701</v>
      </c>
      <c r="M4327">
        <v>19.606647661284999</v>
      </c>
      <c r="N4327">
        <v>52.624527128501697</v>
      </c>
      <c r="O4327">
        <v>49.409670464395099</v>
      </c>
      <c r="P4327">
        <v>-6.7715132211084994E-2</v>
      </c>
      <c r="Q4327">
        <v>0.31744302892718801</v>
      </c>
      <c r="R4327">
        <v>0.98724198325460399</v>
      </c>
      <c r="S4327" t="s">
        <v>10612</v>
      </c>
      <c r="T4327" t="s">
        <v>12568</v>
      </c>
      <c r="U4327" t="s">
        <v>12568</v>
      </c>
      <c r="V4327" t="s">
        <v>12568</v>
      </c>
      <c r="W4327" t="s">
        <v>16850</v>
      </c>
      <c r="X4327">
        <v>8</v>
      </c>
      <c r="Y4327" t="s">
        <v>22961</v>
      </c>
      <c r="Z4327" t="s">
        <v>29197</v>
      </c>
      <c r="AA4327">
        <v>0.55302878822551571</v>
      </c>
      <c r="AB4327" t="str">
        <f>HYPERLINK("Melting_Curves/meltCurve_Q8TEH3_DENND1A.pdf", "Melting_Curves/meltCurve_Q8TEH3_DENND1A.pdf")</f>
        <v>Melting_Curves/meltCurve_Q8TEH3_DENND1A.pdf</v>
      </c>
    </row>
    <row r="4328" spans="1:28" x14ac:dyDescent="0.25">
      <c r="A4328" t="s">
        <v>4332</v>
      </c>
      <c r="B4328">
        <v>0.99352677808782597</v>
      </c>
      <c r="C4328">
        <v>0.99565889189285095</v>
      </c>
      <c r="D4328">
        <v>1.04976712296257</v>
      </c>
      <c r="E4328">
        <v>1.0384616278899199</v>
      </c>
      <c r="F4328">
        <v>0.90356396052954402</v>
      </c>
      <c r="G4328">
        <v>0.88047302099946401</v>
      </c>
      <c r="H4328">
        <v>0.82151724862079301</v>
      </c>
      <c r="I4328">
        <v>0.69931111570483295</v>
      </c>
      <c r="J4328">
        <v>0.49183015986147599</v>
      </c>
      <c r="K4328">
        <v>0.50088710905227896</v>
      </c>
      <c r="L4328">
        <v>876.51130943606699</v>
      </c>
      <c r="M4328">
        <v>13.493092301216</v>
      </c>
      <c r="N4328">
        <v>68.899068860000298</v>
      </c>
      <c r="O4328">
        <v>63.582944286010402</v>
      </c>
      <c r="P4328">
        <v>-3.8797176967507903E-2</v>
      </c>
      <c r="Q4328">
        <v>0.26882219927129403</v>
      </c>
      <c r="R4328">
        <v>0.9548458723223</v>
      </c>
      <c r="S4328" t="s">
        <v>10613</v>
      </c>
      <c r="T4328" t="s">
        <v>12568</v>
      </c>
      <c r="U4328" t="s">
        <v>12568</v>
      </c>
      <c r="V4328" t="s">
        <v>12568</v>
      </c>
      <c r="W4328" t="s">
        <v>16851</v>
      </c>
      <c r="X4328">
        <v>1</v>
      </c>
      <c r="Y4328" t="s">
        <v>22962</v>
      </c>
      <c r="Z4328" t="s">
        <v>29198</v>
      </c>
      <c r="AA4328">
        <v>0.85416154723061055</v>
      </c>
      <c r="AB4328" t="str">
        <f>HYPERLINK("Melting_Curves/meltCurve_Q8TEK3_2_DOT1L.pdf", "Melting_Curves/meltCurve_Q8TEK3_2_DOT1L.pdf")</f>
        <v>Melting_Curves/meltCurve_Q8TEK3_2_DOT1L.pdf</v>
      </c>
    </row>
    <row r="4329" spans="1:28" x14ac:dyDescent="0.25">
      <c r="A4329" t="s">
        <v>4333</v>
      </c>
      <c r="B4329">
        <v>0.99352677808782597</v>
      </c>
      <c r="C4329">
        <v>0.93873561387869198</v>
      </c>
      <c r="D4329">
        <v>0.80437507688193</v>
      </c>
      <c r="E4329">
        <v>0.55702203049856602</v>
      </c>
      <c r="F4329">
        <v>0.60189704781931597</v>
      </c>
      <c r="G4329">
        <v>0.28760844942369701</v>
      </c>
      <c r="H4329">
        <v>0.31811516973223702</v>
      </c>
      <c r="I4329">
        <v>0.30687378198263299</v>
      </c>
      <c r="J4329">
        <v>0.29081524368482697</v>
      </c>
      <c r="K4329">
        <v>0.20701828786566001</v>
      </c>
      <c r="L4329">
        <v>625.89235176733405</v>
      </c>
      <c r="M4329">
        <v>12.467492633740701</v>
      </c>
      <c r="N4329">
        <v>52.783737217042201</v>
      </c>
      <c r="O4329">
        <v>48.962869922834798</v>
      </c>
      <c r="P4329">
        <v>-4.9136510052517998E-2</v>
      </c>
      <c r="Q4329">
        <v>0.22827639846682901</v>
      </c>
      <c r="R4329">
        <v>0.963409528535635</v>
      </c>
      <c r="S4329" t="s">
        <v>10614</v>
      </c>
      <c r="T4329" t="s">
        <v>12568</v>
      </c>
      <c r="U4329" t="s">
        <v>12568</v>
      </c>
      <c r="V4329" t="s">
        <v>12568</v>
      </c>
      <c r="W4329" t="s">
        <v>16852</v>
      </c>
      <c r="X4329">
        <v>3</v>
      </c>
      <c r="Y4329" t="s">
        <v>22963</v>
      </c>
      <c r="Z4329" t="s">
        <v>29199</v>
      </c>
      <c r="AA4329">
        <v>0.51558667095041599</v>
      </c>
      <c r="AB4329" t="str">
        <f>HYPERLINK("Melting_Curves/meltCurve_Q8TEQ0_2_SNX29.pdf", "Melting_Curves/meltCurve_Q8TEQ0_2_SNX29.pdf")</f>
        <v>Melting_Curves/meltCurve_Q8TEQ0_2_SNX29.pdf</v>
      </c>
    </row>
    <row r="4330" spans="1:28" x14ac:dyDescent="0.25">
      <c r="A4330" t="s">
        <v>4334</v>
      </c>
      <c r="B4330">
        <v>0.99352677808782597</v>
      </c>
      <c r="C4330">
        <v>0.97464711954555405</v>
      </c>
      <c r="D4330">
        <v>0.93367554544226405</v>
      </c>
      <c r="E4330">
        <v>0.40565371951667001</v>
      </c>
      <c r="F4330">
        <v>0.32143910186723201</v>
      </c>
      <c r="G4330">
        <v>0.188891069045108</v>
      </c>
      <c r="H4330">
        <v>0.117250530351662</v>
      </c>
      <c r="I4330">
        <v>0.11796400131408</v>
      </c>
      <c r="J4330">
        <v>9.7251017103262005E-2</v>
      </c>
      <c r="K4330">
        <v>7.5532963713124707E-2</v>
      </c>
      <c r="L4330">
        <v>1213.49553694465</v>
      </c>
      <c r="M4330">
        <v>24.618737780084</v>
      </c>
      <c r="N4330">
        <v>49.823530540003297</v>
      </c>
      <c r="O4330">
        <v>48.969770280083701</v>
      </c>
      <c r="P4330">
        <v>-0.11115902212956499</v>
      </c>
      <c r="Q4330">
        <v>0.115575595401099</v>
      </c>
      <c r="R4330">
        <v>0.98624262256612105</v>
      </c>
      <c r="S4330" t="s">
        <v>10615</v>
      </c>
      <c r="T4330" t="s">
        <v>12568</v>
      </c>
      <c r="U4330" t="s">
        <v>12568</v>
      </c>
      <c r="V4330" t="s">
        <v>12568</v>
      </c>
      <c r="W4330" t="s">
        <v>16853</v>
      </c>
      <c r="X4330">
        <v>18</v>
      </c>
      <c r="Y4330" t="s">
        <v>22964</v>
      </c>
      <c r="Z4330" t="s">
        <v>29200</v>
      </c>
      <c r="AA4330">
        <v>0.39760217307668738</v>
      </c>
      <c r="AB4330" t="str">
        <f>HYPERLINK("Melting_Curves/meltCurve_Q8TEQ6_GEMIN5.pdf", "Melting_Curves/meltCurve_Q8TEQ6_GEMIN5.pdf")</f>
        <v>Melting_Curves/meltCurve_Q8TEQ6_GEMIN5.pdf</v>
      </c>
    </row>
    <row r="4331" spans="1:28" x14ac:dyDescent="0.25">
      <c r="A4331" t="s">
        <v>4335</v>
      </c>
      <c r="B4331">
        <v>0.99352677808782597</v>
      </c>
      <c r="C4331">
        <v>0.86225552838546404</v>
      </c>
      <c r="D4331">
        <v>0.86192431615119902</v>
      </c>
      <c r="E4331">
        <v>0.483434132865737</v>
      </c>
      <c r="F4331">
        <v>0.469028314287461</v>
      </c>
      <c r="G4331">
        <v>0.403381440604965</v>
      </c>
      <c r="H4331">
        <v>0.36565265484845999</v>
      </c>
      <c r="I4331">
        <v>0.38483075439993403</v>
      </c>
      <c r="J4331">
        <v>0.30630717494832199</v>
      </c>
      <c r="K4331">
        <v>0.263420202293008</v>
      </c>
      <c r="L4331">
        <v>793.81217903326399</v>
      </c>
      <c r="M4331">
        <v>16.492538361576202</v>
      </c>
      <c r="N4331">
        <v>51.376195430480699</v>
      </c>
      <c r="O4331">
        <v>47.4406599756323</v>
      </c>
      <c r="P4331">
        <v>-5.8795386146544497E-2</v>
      </c>
      <c r="Q4331">
        <v>0.32354918910719899</v>
      </c>
      <c r="R4331">
        <v>0.96051205296789899</v>
      </c>
      <c r="S4331" t="s">
        <v>10616</v>
      </c>
      <c r="T4331" t="s">
        <v>12568</v>
      </c>
      <c r="U4331" t="s">
        <v>12568</v>
      </c>
      <c r="V4331" t="s">
        <v>12568</v>
      </c>
      <c r="W4331" t="s">
        <v>16854</v>
      </c>
      <c r="X4331">
        <v>3</v>
      </c>
      <c r="Y4331" t="s">
        <v>22965</v>
      </c>
      <c r="Z4331" t="s">
        <v>29201</v>
      </c>
      <c r="AA4331">
        <v>0.52121364200732256</v>
      </c>
      <c r="AB4331" t="str">
        <f>HYPERLINK("Melting_Curves/meltCurve_Q8TER5_ARHGEF40.pdf", "Melting_Curves/meltCurve_Q8TER5_ARHGEF40.pdf")</f>
        <v>Melting_Curves/meltCurve_Q8TER5_ARHGEF40.pdf</v>
      </c>
    </row>
    <row r="4332" spans="1:28" x14ac:dyDescent="0.25">
      <c r="A4332" t="s">
        <v>4336</v>
      </c>
      <c r="B4332">
        <v>0.99352677808782597</v>
      </c>
      <c r="C4332">
        <v>1.0414976243342799</v>
      </c>
      <c r="D4332">
        <v>1.0313765732431399</v>
      </c>
      <c r="E4332">
        <v>0.72833619028080399</v>
      </c>
      <c r="F4332">
        <v>0.69354858910497297</v>
      </c>
      <c r="G4332">
        <v>0.64504435447028197</v>
      </c>
      <c r="H4332">
        <v>0.56427945729498197</v>
      </c>
      <c r="I4332">
        <v>0.68787609174509601</v>
      </c>
      <c r="J4332">
        <v>0.65120816487441602</v>
      </c>
      <c r="K4332">
        <v>0.43298040703192098</v>
      </c>
      <c r="L4332">
        <v>1943.62745988029</v>
      </c>
      <c r="M4332">
        <v>39.344937898279099</v>
      </c>
      <c r="O4332">
        <v>49.272583781987002</v>
      </c>
      <c r="P4332">
        <v>-7.8913603759572196E-2</v>
      </c>
      <c r="Q4332">
        <v>0.60469948147318298</v>
      </c>
      <c r="R4332">
        <v>0.86805354567343895</v>
      </c>
      <c r="S4332" t="s">
        <v>10617</v>
      </c>
      <c r="T4332" t="s">
        <v>12568</v>
      </c>
      <c r="U4332" t="s">
        <v>12568</v>
      </c>
      <c r="V4332" t="s">
        <v>12568</v>
      </c>
      <c r="W4332" t="s">
        <v>16855</v>
      </c>
      <c r="X4332">
        <v>2</v>
      </c>
      <c r="Y4332" t="s">
        <v>22966</v>
      </c>
      <c r="Z4332" t="s">
        <v>29202</v>
      </c>
      <c r="AA4332">
        <v>0.72995275667514037</v>
      </c>
      <c r="AB4332" t="str">
        <f>HYPERLINK("Melting_Curves/meltCurve_Q8TES7_5_FBF1.pdf", "Melting_Curves/meltCurve_Q8TES7_5_FBF1.pdf")</f>
        <v>Melting_Curves/meltCurve_Q8TES7_5_FBF1.pdf</v>
      </c>
    </row>
    <row r="4333" spans="1:28" x14ac:dyDescent="0.25">
      <c r="A4333" t="s">
        <v>4337</v>
      </c>
      <c r="B4333">
        <v>0.99352677808782597</v>
      </c>
      <c r="C4333">
        <v>0.97102190509964903</v>
      </c>
      <c r="D4333">
        <v>0.83802270220754904</v>
      </c>
      <c r="E4333">
        <v>0.69462112752288296</v>
      </c>
      <c r="F4333">
        <v>0.58419643504854701</v>
      </c>
      <c r="G4333">
        <v>0.34691483236696102</v>
      </c>
      <c r="H4333">
        <v>0.19728166814985601</v>
      </c>
      <c r="I4333">
        <v>0.16140818518926101</v>
      </c>
      <c r="J4333">
        <v>0.17170717496840801</v>
      </c>
      <c r="K4333">
        <v>0.13386499369200899</v>
      </c>
      <c r="L4333">
        <v>653.66017429905196</v>
      </c>
      <c r="M4333">
        <v>12.331678713871399</v>
      </c>
      <c r="N4333">
        <v>53.767413880265401</v>
      </c>
      <c r="O4333">
        <v>51.670514218578198</v>
      </c>
      <c r="P4333">
        <v>-5.4900056745861403E-2</v>
      </c>
      <c r="Q4333">
        <v>8.0060673423060294E-2</v>
      </c>
      <c r="R4333">
        <v>0.99412921077551997</v>
      </c>
      <c r="S4333" t="s">
        <v>10618</v>
      </c>
      <c r="T4333" t="s">
        <v>12568</v>
      </c>
      <c r="U4333" t="s">
        <v>12568</v>
      </c>
      <c r="V4333" t="s">
        <v>12568</v>
      </c>
      <c r="W4333" t="s">
        <v>16856</v>
      </c>
      <c r="X4333">
        <v>3</v>
      </c>
      <c r="Y4333" t="s">
        <v>22967</v>
      </c>
      <c r="Z4333" t="s">
        <v>29203</v>
      </c>
      <c r="AA4333">
        <v>0.50428515162504151</v>
      </c>
      <c r="AB4333" t="str">
        <f>HYPERLINK("Melting_Curves/meltCurve_Q8TEV9_SMCR8.pdf", "Melting_Curves/meltCurve_Q8TEV9_SMCR8.pdf")</f>
        <v>Melting_Curves/meltCurve_Q8TEV9_SMCR8.pdf</v>
      </c>
    </row>
    <row r="4334" spans="1:28" x14ac:dyDescent="0.25">
      <c r="A4334" t="s">
        <v>4338</v>
      </c>
      <c r="B4334">
        <v>0.99352677808782597</v>
      </c>
      <c r="C4334">
        <v>0.93388908867040399</v>
      </c>
      <c r="D4334">
        <v>0.90641071740193102</v>
      </c>
      <c r="E4334">
        <v>0.62293576573273801</v>
      </c>
      <c r="F4334">
        <v>0.56143803244537904</v>
      </c>
      <c r="G4334">
        <v>0.41667832110029701</v>
      </c>
      <c r="H4334">
        <v>0.36903678846771998</v>
      </c>
      <c r="I4334">
        <v>0.38551057100930902</v>
      </c>
      <c r="J4334">
        <v>0.35878402006004301</v>
      </c>
      <c r="K4334">
        <v>0.305067668582723</v>
      </c>
      <c r="L4334">
        <v>781.51096344358905</v>
      </c>
      <c r="M4334">
        <v>15.616361980090501</v>
      </c>
      <c r="N4334">
        <v>53.866817246365997</v>
      </c>
      <c r="O4334">
        <v>49.245300814832902</v>
      </c>
      <c r="P4334">
        <v>-5.2731389681405602E-2</v>
      </c>
      <c r="Q4334">
        <v>0.334915900168823</v>
      </c>
      <c r="R4334">
        <v>0.98801559836025699</v>
      </c>
      <c r="S4334" t="s">
        <v>10619</v>
      </c>
      <c r="T4334" t="s">
        <v>12568</v>
      </c>
      <c r="U4334" t="s">
        <v>12568</v>
      </c>
      <c r="V4334" t="s">
        <v>12568</v>
      </c>
      <c r="W4334" t="s">
        <v>16857</v>
      </c>
      <c r="X4334">
        <v>29</v>
      </c>
      <c r="Y4334" t="s">
        <v>22968</v>
      </c>
      <c r="Z4334" t="s">
        <v>29204</v>
      </c>
      <c r="AA4334">
        <v>0.57233442451735195</v>
      </c>
      <c r="AB4334" t="str">
        <f>HYPERLINK("Melting_Curves/meltCurve_Q8TEW0_2_PARD3.pdf", "Melting_Curves/meltCurve_Q8TEW0_2_PARD3.pdf")</f>
        <v>Melting_Curves/meltCurve_Q8TEW0_2_PARD3.pdf</v>
      </c>
    </row>
    <row r="4335" spans="1:28" x14ac:dyDescent="0.25">
      <c r="A4335" t="s">
        <v>4339</v>
      </c>
      <c r="B4335">
        <v>0.99352677808782597</v>
      </c>
      <c r="C4335">
        <v>1.0456225770413901</v>
      </c>
      <c r="D4335">
        <v>0.92688171734818603</v>
      </c>
      <c r="E4335">
        <v>0.78043683956884602</v>
      </c>
      <c r="F4335">
        <v>0.65040181740744896</v>
      </c>
      <c r="G4335">
        <v>0.43289475861959698</v>
      </c>
      <c r="H4335">
        <v>0.19361800396315801</v>
      </c>
      <c r="I4335">
        <v>0.119907946790471</v>
      </c>
      <c r="J4335">
        <v>9.0742250786713705E-2</v>
      </c>
      <c r="K4335">
        <v>6.72734799769963E-2</v>
      </c>
      <c r="L4335">
        <v>753.45478716989805</v>
      </c>
      <c r="M4335">
        <v>13.6225489466855</v>
      </c>
      <c r="N4335">
        <v>55.3105985220649</v>
      </c>
      <c r="O4335">
        <v>54.158333552559803</v>
      </c>
      <c r="P4335">
        <v>-6.2882655585959901E-2</v>
      </c>
      <c r="Q4335">
        <v>1.5230437060774799E-4</v>
      </c>
      <c r="R4335">
        <v>0.99475214470653595</v>
      </c>
      <c r="S4335" t="s">
        <v>10620</v>
      </c>
      <c r="T4335" t="s">
        <v>12568</v>
      </c>
      <c r="U4335" t="s">
        <v>12568</v>
      </c>
      <c r="V4335" t="s">
        <v>12568</v>
      </c>
      <c r="W4335" t="s">
        <v>16858</v>
      </c>
      <c r="X4335">
        <v>27</v>
      </c>
      <c r="Y4335" t="s">
        <v>22969</v>
      </c>
      <c r="Z4335" t="s">
        <v>29205</v>
      </c>
      <c r="AA4335">
        <v>0.53096716115664833</v>
      </c>
      <c r="AB4335" t="str">
        <f>HYPERLINK("Melting_Curves/meltCurve_Q8TEX9_IPO4.pdf", "Melting_Curves/meltCurve_Q8TEX9_IPO4.pdf")</f>
        <v>Melting_Curves/meltCurve_Q8TEX9_IPO4.pdf</v>
      </c>
    </row>
    <row r="4336" spans="1:28" x14ac:dyDescent="0.25">
      <c r="A4336" t="s">
        <v>4340</v>
      </c>
      <c r="B4336">
        <v>0.99352677808782597</v>
      </c>
      <c r="C4336">
        <v>0.96289633849040801</v>
      </c>
      <c r="D4336">
        <v>0.96535005820858699</v>
      </c>
      <c r="E4336">
        <v>0.88573357241011696</v>
      </c>
      <c r="F4336">
        <v>0.771605949265457</v>
      </c>
      <c r="G4336">
        <v>0.67848214005809704</v>
      </c>
      <c r="H4336">
        <v>0.72368685744633499</v>
      </c>
      <c r="I4336">
        <v>0.75515598266335804</v>
      </c>
      <c r="J4336">
        <v>0.85405026511948601</v>
      </c>
      <c r="K4336">
        <v>0.70254616601347697</v>
      </c>
      <c r="L4336">
        <v>1968.3721026635001</v>
      </c>
      <c r="M4336">
        <v>39.228631459288103</v>
      </c>
      <c r="O4336">
        <v>50.0470565809783</v>
      </c>
      <c r="P4336">
        <v>-5.0399453323668797E-2</v>
      </c>
      <c r="Q4336">
        <v>0.74280632392410895</v>
      </c>
      <c r="R4336">
        <v>0.832075580325768</v>
      </c>
      <c r="S4336" t="s">
        <v>10621</v>
      </c>
      <c r="T4336" t="s">
        <v>12568</v>
      </c>
      <c r="U4336" t="s">
        <v>12568</v>
      </c>
      <c r="V4336" t="s">
        <v>12568</v>
      </c>
      <c r="W4336" t="s">
        <v>16859</v>
      </c>
      <c r="X4336">
        <v>5</v>
      </c>
      <c r="Y4336" t="s">
        <v>22970</v>
      </c>
      <c r="Z4336" t="s">
        <v>29206</v>
      </c>
      <c r="AA4336">
        <v>0.83098238069547037</v>
      </c>
      <c r="AB4336" t="str">
        <f>HYPERLINK("Melting_Curves/meltCurve_Q8TF01_PNISR.pdf", "Melting_Curves/meltCurve_Q8TF01_PNISR.pdf")</f>
        <v>Melting_Curves/meltCurve_Q8TF01_PNISR.pdf</v>
      </c>
    </row>
    <row r="4337" spans="1:28" x14ac:dyDescent="0.25">
      <c r="A4337" t="s">
        <v>4341</v>
      </c>
      <c r="B4337">
        <v>0.99352677808782597</v>
      </c>
      <c r="C4337">
        <v>1.0368762880278599</v>
      </c>
      <c r="D4337">
        <v>0.92877266231397204</v>
      </c>
      <c r="E4337">
        <v>0.53413130779268003</v>
      </c>
      <c r="F4337">
        <v>0.422076514096898</v>
      </c>
      <c r="G4337">
        <v>0.23221445719839301</v>
      </c>
      <c r="H4337">
        <v>0.139459171867715</v>
      </c>
      <c r="I4337">
        <v>0.12111016994073601</v>
      </c>
      <c r="J4337">
        <v>0.10040014183333799</v>
      </c>
      <c r="K4337">
        <v>8.9273800695001307E-2</v>
      </c>
      <c r="L4337">
        <v>941.76382194889504</v>
      </c>
      <c r="M4337">
        <v>18.568974979355499</v>
      </c>
      <c r="N4337">
        <v>51.346840276253502</v>
      </c>
      <c r="O4337">
        <v>50.139834917205</v>
      </c>
      <c r="P4337">
        <v>-8.3160699390925505E-2</v>
      </c>
      <c r="Q4337">
        <v>0.10183910937017999</v>
      </c>
      <c r="R4337">
        <v>0.98897948043617501</v>
      </c>
      <c r="S4337" t="s">
        <v>10622</v>
      </c>
      <c r="T4337" t="s">
        <v>12568</v>
      </c>
      <c r="U4337" t="s">
        <v>12568</v>
      </c>
      <c r="V4337" t="s">
        <v>12568</v>
      </c>
      <c r="W4337" t="s">
        <v>16860</v>
      </c>
      <c r="X4337">
        <v>15</v>
      </c>
      <c r="Y4337" t="s">
        <v>22971</v>
      </c>
      <c r="Z4337" t="s">
        <v>29207</v>
      </c>
      <c r="AA4337">
        <v>0.43703189454055369</v>
      </c>
      <c r="AB4337" t="str">
        <f>HYPERLINK("Melting_Curves/meltCurve_Q8TF05_2_PPP4R1.pdf", "Melting_Curves/meltCurve_Q8TF05_2_PPP4R1.pdf")</f>
        <v>Melting_Curves/meltCurve_Q8TF05_2_PPP4R1.pdf</v>
      </c>
    </row>
    <row r="4338" spans="1:28" x14ac:dyDescent="0.25">
      <c r="A4338" t="s">
        <v>4342</v>
      </c>
      <c r="B4338">
        <v>0.99352677808782597</v>
      </c>
      <c r="C4338">
        <v>0.94341603883802205</v>
      </c>
      <c r="D4338">
        <v>0.77069775201424595</v>
      </c>
      <c r="E4338">
        <v>0.28078260140232503</v>
      </c>
      <c r="F4338">
        <v>0.22780498764205101</v>
      </c>
      <c r="G4338">
        <v>0.13429593995539901</v>
      </c>
      <c r="H4338">
        <v>8.1732583706552397E-2</v>
      </c>
      <c r="I4338">
        <v>7.7514249372420602E-2</v>
      </c>
      <c r="J4338">
        <v>5.9819628909880303E-2</v>
      </c>
      <c r="K4338">
        <v>4.0206971408484199E-2</v>
      </c>
      <c r="L4338">
        <v>1111.93062902771</v>
      </c>
      <c r="M4338">
        <v>23.190185930031799</v>
      </c>
      <c r="N4338">
        <v>48.293035333937901</v>
      </c>
      <c r="O4338">
        <v>47.596051821523901</v>
      </c>
      <c r="P4338">
        <v>-0.112518800921736</v>
      </c>
      <c r="Q4338">
        <v>7.6272433269034698E-2</v>
      </c>
      <c r="R4338">
        <v>0.99262835344629297</v>
      </c>
      <c r="S4338" t="s">
        <v>10623</v>
      </c>
      <c r="T4338" t="s">
        <v>12568</v>
      </c>
      <c r="U4338" t="s">
        <v>12568</v>
      </c>
      <c r="V4338" t="s">
        <v>12568</v>
      </c>
      <c r="W4338" t="s">
        <v>16861</v>
      </c>
      <c r="X4338">
        <v>6</v>
      </c>
      <c r="Y4338" t="s">
        <v>22972</v>
      </c>
      <c r="Z4338" t="s">
        <v>29208</v>
      </c>
      <c r="AA4338">
        <v>0.3305929082346149</v>
      </c>
      <c r="AB4338" t="str">
        <f>HYPERLINK("Melting_Curves/meltCurve_Q8TF42_UBASH3B.pdf", "Melting_Curves/meltCurve_Q8TF42_UBASH3B.pdf")</f>
        <v>Melting_Curves/meltCurve_Q8TF42_UBASH3B.pdf</v>
      </c>
    </row>
    <row r="4339" spans="1:28" x14ac:dyDescent="0.25">
      <c r="A4339" t="s">
        <v>4343</v>
      </c>
      <c r="B4339">
        <v>0.99352677808782597</v>
      </c>
      <c r="C4339">
        <v>0.93668447845060498</v>
      </c>
      <c r="D4339">
        <v>0.80521663763626905</v>
      </c>
      <c r="E4339">
        <v>0.53917921043002004</v>
      </c>
      <c r="F4339">
        <v>0.37183641272463203</v>
      </c>
      <c r="G4339">
        <v>0.23040082725925901</v>
      </c>
      <c r="H4339">
        <v>9.0692048307201095E-2</v>
      </c>
      <c r="I4339">
        <v>6.8955161199628204E-2</v>
      </c>
      <c r="J4339">
        <v>6.1091647263677898E-2</v>
      </c>
      <c r="K4339">
        <v>3.5569640380704301E-2</v>
      </c>
      <c r="L4339">
        <v>686.16735828409605</v>
      </c>
      <c r="M4339">
        <v>13.5222940286972</v>
      </c>
      <c r="N4339">
        <v>50.878269469698701</v>
      </c>
      <c r="O4339">
        <v>49.672204318950101</v>
      </c>
      <c r="P4339">
        <v>-6.6869861968899297E-2</v>
      </c>
      <c r="Q4339">
        <v>1.7601289844357899E-2</v>
      </c>
      <c r="R4339">
        <v>0.99822055053734904</v>
      </c>
      <c r="S4339" t="s">
        <v>10624</v>
      </c>
      <c r="T4339" t="s">
        <v>12568</v>
      </c>
      <c r="U4339" t="s">
        <v>12568</v>
      </c>
      <c r="V4339" t="s">
        <v>12568</v>
      </c>
      <c r="W4339" t="s">
        <v>16862</v>
      </c>
      <c r="X4339">
        <v>1</v>
      </c>
      <c r="Y4339" t="s">
        <v>22973</v>
      </c>
      <c r="Z4339" t="s">
        <v>29209</v>
      </c>
      <c r="AA4339">
        <v>0.39652714491650509</v>
      </c>
      <c r="AB4339" t="str">
        <f>HYPERLINK("Melting_Curves/meltCurve_Q8TF46_DIS3L.pdf", "Melting_Curves/meltCurve_Q8TF46_DIS3L.pdf")</f>
        <v>Melting_Curves/meltCurve_Q8TF46_DIS3L.pdf</v>
      </c>
    </row>
    <row r="4340" spans="1:28" x14ac:dyDescent="0.25">
      <c r="A4340" t="s">
        <v>4344</v>
      </c>
      <c r="B4340">
        <v>0.99352677808782597</v>
      </c>
      <c r="C4340">
        <v>0.87707046444757997</v>
      </c>
      <c r="D4340">
        <v>0.85415902083684603</v>
      </c>
      <c r="E4340">
        <v>0.54188419998215198</v>
      </c>
      <c r="F4340">
        <v>0.52921828605961196</v>
      </c>
      <c r="G4340">
        <v>0.41205764817282797</v>
      </c>
      <c r="H4340">
        <v>0.344388144857392</v>
      </c>
      <c r="I4340">
        <v>0.35810676764913701</v>
      </c>
      <c r="J4340">
        <v>0.34371003528770699</v>
      </c>
      <c r="K4340">
        <v>0.27664724442682898</v>
      </c>
      <c r="L4340">
        <v>661.98008938033104</v>
      </c>
      <c r="M4340">
        <v>13.490605633864501</v>
      </c>
      <c r="N4340">
        <v>52.799611460116303</v>
      </c>
      <c r="O4340">
        <v>48.029167539994397</v>
      </c>
      <c r="P4340">
        <v>-4.8655733795106501E-2</v>
      </c>
      <c r="Q4340">
        <v>0.30721098025215998</v>
      </c>
      <c r="R4340">
        <v>0.97759426488875101</v>
      </c>
      <c r="S4340" t="s">
        <v>10625</v>
      </c>
      <c r="T4340" t="s">
        <v>12568</v>
      </c>
      <c r="U4340" t="s">
        <v>12568</v>
      </c>
      <c r="V4340" t="s">
        <v>12568</v>
      </c>
      <c r="W4340" t="s">
        <v>16863</v>
      </c>
      <c r="X4340">
        <v>7</v>
      </c>
      <c r="Y4340" t="s">
        <v>22974</v>
      </c>
      <c r="Z4340" t="s">
        <v>29210</v>
      </c>
      <c r="AA4340">
        <v>0.53736402206788692</v>
      </c>
      <c r="AB4340" t="str">
        <f>HYPERLINK("Melting_Curves/meltCurve_Q8TF72_SHROOM3.pdf", "Melting_Curves/meltCurve_Q8TF72_SHROOM3.pdf")</f>
        <v>Melting_Curves/meltCurve_Q8TF72_SHROOM3.pdf</v>
      </c>
    </row>
    <row r="4341" spans="1:28" x14ac:dyDescent="0.25">
      <c r="A4341" t="s">
        <v>4345</v>
      </c>
      <c r="B4341">
        <v>0.99352677808782597</v>
      </c>
      <c r="C4341">
        <v>0.97233970173930695</v>
      </c>
      <c r="D4341">
        <v>0.97170399430237098</v>
      </c>
      <c r="E4341">
        <v>0.99102401448772803</v>
      </c>
      <c r="F4341">
        <v>0.86321989911163899</v>
      </c>
      <c r="G4341">
        <v>0.80199566041171699</v>
      </c>
      <c r="H4341">
        <v>0.77200177617666199</v>
      </c>
      <c r="I4341">
        <v>0.80864789752988897</v>
      </c>
      <c r="J4341">
        <v>0.83191726150128897</v>
      </c>
      <c r="K4341">
        <v>0.64876110232612905</v>
      </c>
      <c r="S4341" t="s">
        <v>10626</v>
      </c>
      <c r="T4341" t="s">
        <v>12568</v>
      </c>
      <c r="U4341" t="s">
        <v>12569</v>
      </c>
      <c r="V4341" t="s">
        <v>12568</v>
      </c>
      <c r="W4341" t="s">
        <v>12630</v>
      </c>
      <c r="X4341">
        <v>15</v>
      </c>
      <c r="Y4341" t="s">
        <v>18858</v>
      </c>
      <c r="Z4341" t="s">
        <v>29211</v>
      </c>
      <c r="AB4341" t="str">
        <f>HYPERLINK("Melting_Curves/meltCurve_Q8TF74_WIPF2.pdf", "Melting_Curves/meltCurve_Q8TF74_WIPF2.pdf")</f>
        <v>Melting_Curves/meltCurve_Q8TF74_WIPF2.pdf</v>
      </c>
    </row>
    <row r="4342" spans="1:28" x14ac:dyDescent="0.25">
      <c r="A4342" t="s">
        <v>4346</v>
      </c>
      <c r="B4342">
        <v>0.99352677808782597</v>
      </c>
      <c r="C4342">
        <v>0.89458542607079605</v>
      </c>
      <c r="D4342">
        <v>0.86741297998140099</v>
      </c>
      <c r="E4342">
        <v>0.22725795844218299</v>
      </c>
      <c r="F4342">
        <v>0.16843200785711199</v>
      </c>
      <c r="G4342">
        <v>0.118530721152649</v>
      </c>
      <c r="H4342">
        <v>0.13440859331872201</v>
      </c>
      <c r="I4342">
        <v>0.170283947581582</v>
      </c>
      <c r="J4342">
        <v>0.22322203721315201</v>
      </c>
      <c r="K4342">
        <v>0.20191481427095301</v>
      </c>
      <c r="L4342">
        <v>2344.6983893554898</v>
      </c>
      <c r="M4342">
        <v>49.367198247030601</v>
      </c>
      <c r="N4342">
        <v>47.891996970413899</v>
      </c>
      <c r="O4342">
        <v>47.417327003664099</v>
      </c>
      <c r="P4342">
        <v>-0.21658081154287301</v>
      </c>
      <c r="Q4342">
        <v>0.167894934007882</v>
      </c>
      <c r="R4342">
        <v>0.98448111323044696</v>
      </c>
      <c r="S4342" t="s">
        <v>10627</v>
      </c>
      <c r="T4342" t="s">
        <v>12568</v>
      </c>
      <c r="U4342" t="s">
        <v>12568</v>
      </c>
      <c r="V4342" t="s">
        <v>12568</v>
      </c>
      <c r="W4342" t="s">
        <v>16864</v>
      </c>
      <c r="X4342">
        <v>4</v>
      </c>
      <c r="Y4342" t="s">
        <v>22975</v>
      </c>
      <c r="Z4342" t="s">
        <v>29212</v>
      </c>
      <c r="AA4342">
        <v>0.37757464924408662</v>
      </c>
      <c r="AB4342" t="str">
        <f>HYPERLINK("Melting_Curves/meltCurve_Q8WTS6_SETD7.pdf", "Melting_Curves/meltCurve_Q8WTS6_SETD7.pdf")</f>
        <v>Melting_Curves/meltCurve_Q8WTS6_SETD7.pdf</v>
      </c>
    </row>
    <row r="4343" spans="1:28" x14ac:dyDescent="0.25">
      <c r="A4343" t="s">
        <v>4347</v>
      </c>
      <c r="B4343">
        <v>0.99352677808782597</v>
      </c>
      <c r="C4343">
        <v>0.96314886554109702</v>
      </c>
      <c r="D4343">
        <v>0.82822959676506802</v>
      </c>
      <c r="E4343">
        <v>0.66099549183869799</v>
      </c>
      <c r="F4343">
        <v>0.55163519561281904</v>
      </c>
      <c r="G4343">
        <v>0.39599009655962802</v>
      </c>
      <c r="H4343">
        <v>0.32467480672758098</v>
      </c>
      <c r="I4343">
        <v>0.3358031337961</v>
      </c>
      <c r="J4343">
        <v>0.429149042659627</v>
      </c>
      <c r="K4343">
        <v>0.30240817713497098</v>
      </c>
      <c r="L4343">
        <v>757.13589121682901</v>
      </c>
      <c r="M4343">
        <v>15.1786241278948</v>
      </c>
      <c r="N4343">
        <v>53.643214811438298</v>
      </c>
      <c r="O4343">
        <v>49.039928749492297</v>
      </c>
      <c r="P4343">
        <v>-5.2040686643739099E-2</v>
      </c>
      <c r="Q4343">
        <v>0.327521166024969</v>
      </c>
      <c r="R4343">
        <v>0.97971303078626704</v>
      </c>
      <c r="S4343" t="s">
        <v>10628</v>
      </c>
      <c r="T4343" t="s">
        <v>12568</v>
      </c>
      <c r="U4343" t="s">
        <v>12568</v>
      </c>
      <c r="V4343" t="s">
        <v>12568</v>
      </c>
      <c r="W4343" t="s">
        <v>16865</v>
      </c>
      <c r="X4343">
        <v>2</v>
      </c>
      <c r="Y4343" t="s">
        <v>22976</v>
      </c>
      <c r="Z4343" t="s">
        <v>29213</v>
      </c>
      <c r="AA4343">
        <v>0.56478978235582</v>
      </c>
      <c r="AB4343" t="str">
        <f>HYPERLINK("Melting_Curves/meltCurve_Q8WTV0_4_SCARB1.pdf", "Melting_Curves/meltCurve_Q8WTV0_4_SCARB1.pdf")</f>
        <v>Melting_Curves/meltCurve_Q8WTV0_4_SCARB1.pdf</v>
      </c>
    </row>
    <row r="4344" spans="1:28" x14ac:dyDescent="0.25">
      <c r="A4344" t="s">
        <v>4348</v>
      </c>
      <c r="B4344">
        <v>0.99352677808782597</v>
      </c>
      <c r="C4344">
        <v>0.97512397253566796</v>
      </c>
      <c r="D4344">
        <v>0.65220209515344796</v>
      </c>
      <c r="E4344">
        <v>0.40202230425414498</v>
      </c>
      <c r="F4344">
        <v>0.301214647369629</v>
      </c>
      <c r="G4344">
        <v>0.21854940221112301</v>
      </c>
      <c r="H4344">
        <v>0.17067446715809501</v>
      </c>
      <c r="I4344">
        <v>0.13927461828832799</v>
      </c>
      <c r="J4344">
        <v>0.12628700543966501</v>
      </c>
      <c r="K4344">
        <v>0.110415595072518</v>
      </c>
      <c r="L4344">
        <v>834.435595367004</v>
      </c>
      <c r="M4344">
        <v>17.4586762879104</v>
      </c>
      <c r="N4344">
        <v>48.692817280373099</v>
      </c>
      <c r="O4344">
        <v>47.181067731268101</v>
      </c>
      <c r="P4344">
        <v>-7.9781177970070796E-2</v>
      </c>
      <c r="Q4344">
        <v>0.13763200245639501</v>
      </c>
      <c r="R4344">
        <v>0.98721935341671996</v>
      </c>
      <c r="S4344" t="s">
        <v>10629</v>
      </c>
      <c r="T4344" t="s">
        <v>12568</v>
      </c>
      <c r="U4344" t="s">
        <v>12568</v>
      </c>
      <c r="V4344" t="s">
        <v>12568</v>
      </c>
      <c r="W4344" t="s">
        <v>16866</v>
      </c>
      <c r="X4344">
        <v>11</v>
      </c>
      <c r="Y4344" t="s">
        <v>22977</v>
      </c>
      <c r="Z4344" t="s">
        <v>29214</v>
      </c>
      <c r="AA4344">
        <v>0.37812231410356428</v>
      </c>
      <c r="AB4344" t="str">
        <f>HYPERLINK("Melting_Curves/meltCurve_Q8WTW3_COG1.pdf", "Melting_Curves/meltCurve_Q8WTW3_COG1.pdf")</f>
        <v>Melting_Curves/meltCurve_Q8WTW3_COG1.pdf</v>
      </c>
    </row>
    <row r="4345" spans="1:28" x14ac:dyDescent="0.25">
      <c r="A4345" t="s">
        <v>4349</v>
      </c>
      <c r="B4345">
        <v>0.99352677808782597</v>
      </c>
      <c r="C4345">
        <v>0.95870703932435997</v>
      </c>
      <c r="D4345">
        <v>0.88318165797370096</v>
      </c>
      <c r="E4345">
        <v>0.99374529710608195</v>
      </c>
      <c r="F4345">
        <v>0.83286550713890095</v>
      </c>
      <c r="G4345">
        <v>0.55436723392656195</v>
      </c>
      <c r="H4345">
        <v>0.54379004634406702</v>
      </c>
      <c r="I4345">
        <v>0.52796450906145498</v>
      </c>
      <c r="J4345">
        <v>0.50002694022166005</v>
      </c>
      <c r="K4345">
        <v>0.42939455806155602</v>
      </c>
      <c r="L4345">
        <v>1942.5323093335201</v>
      </c>
      <c r="M4345">
        <v>35.9331219876969</v>
      </c>
      <c r="N4345">
        <v>62.178437837270998</v>
      </c>
      <c r="O4345">
        <v>53.893045822345599</v>
      </c>
      <c r="P4345">
        <v>-8.4108076560331105E-2</v>
      </c>
      <c r="Q4345">
        <v>0.49541528516830402</v>
      </c>
      <c r="R4345">
        <v>0.95237172532604797</v>
      </c>
      <c r="S4345" t="s">
        <v>10630</v>
      </c>
      <c r="T4345" t="s">
        <v>12568</v>
      </c>
      <c r="U4345" t="s">
        <v>12568</v>
      </c>
      <c r="V4345" t="s">
        <v>12568</v>
      </c>
      <c r="W4345" t="s">
        <v>16867</v>
      </c>
      <c r="X4345">
        <v>2</v>
      </c>
      <c r="Y4345" t="s">
        <v>22978</v>
      </c>
      <c r="Z4345" t="s">
        <v>29215</v>
      </c>
      <c r="AA4345">
        <v>0.73422095199613902</v>
      </c>
      <c r="AB4345" t="str">
        <f>HYPERLINK("Melting_Curves/meltCurve_Q8WU20_FRS2.pdf", "Melting_Curves/meltCurve_Q8WU20_FRS2.pdf")</f>
        <v>Melting_Curves/meltCurve_Q8WU20_FRS2.pdf</v>
      </c>
    </row>
    <row r="4346" spans="1:28" x14ac:dyDescent="0.25">
      <c r="A4346" t="s">
        <v>4350</v>
      </c>
      <c r="B4346">
        <v>0.99352677808782597</v>
      </c>
      <c r="C4346">
        <v>0.93777992768926999</v>
      </c>
      <c r="D4346">
        <v>0.87121584235340399</v>
      </c>
      <c r="E4346">
        <v>0.50463031561526395</v>
      </c>
      <c r="F4346">
        <v>0.46882015403817601</v>
      </c>
      <c r="G4346">
        <v>0.30135028855239199</v>
      </c>
      <c r="H4346">
        <v>0.219711750601321</v>
      </c>
      <c r="I4346">
        <v>0.197696360466698</v>
      </c>
      <c r="J4346">
        <v>0.14948861944838601</v>
      </c>
      <c r="K4346">
        <v>0.101203695295377</v>
      </c>
      <c r="L4346">
        <v>678.656876137003</v>
      </c>
      <c r="M4346">
        <v>13.415236824345399</v>
      </c>
      <c r="N4346">
        <v>51.680537327420197</v>
      </c>
      <c r="O4346">
        <v>49.504077419781197</v>
      </c>
      <c r="P4346">
        <v>-5.9396205001224799E-2</v>
      </c>
      <c r="Q4346">
        <v>0.12341618601599399</v>
      </c>
      <c r="R4346">
        <v>0.98477118129797803</v>
      </c>
      <c r="S4346" t="s">
        <v>10631</v>
      </c>
      <c r="T4346" t="s">
        <v>12568</v>
      </c>
      <c r="U4346" t="s">
        <v>12568</v>
      </c>
      <c r="V4346" t="s">
        <v>12568</v>
      </c>
      <c r="W4346" t="s">
        <v>16868</v>
      </c>
      <c r="X4346">
        <v>1</v>
      </c>
      <c r="Y4346" t="s">
        <v>22979</v>
      </c>
      <c r="Z4346" t="s">
        <v>29216</v>
      </c>
      <c r="AA4346">
        <v>0.45748008611058583</v>
      </c>
      <c r="AB4346" t="str">
        <f>HYPERLINK("Melting_Curves/meltCurve_Q8WU76_2_SCFD2.pdf", "Melting_Curves/meltCurve_Q8WU76_2_SCFD2.pdf")</f>
        <v>Melting_Curves/meltCurve_Q8WU76_2_SCFD2.pdf</v>
      </c>
    </row>
    <row r="4347" spans="1:28" x14ac:dyDescent="0.25">
      <c r="A4347" t="s">
        <v>4351</v>
      </c>
      <c r="B4347">
        <v>0.99352677808782597</v>
      </c>
      <c r="C4347">
        <v>0.97596912111406298</v>
      </c>
      <c r="D4347">
        <v>1.06437843351412</v>
      </c>
      <c r="E4347">
        <v>0.44454805400367198</v>
      </c>
      <c r="F4347">
        <v>0.365348258170685</v>
      </c>
      <c r="G4347">
        <v>0.14245333919591199</v>
      </c>
      <c r="H4347">
        <v>7.5668163668053401E-2</v>
      </c>
      <c r="I4347">
        <v>6.18128766555371E-2</v>
      </c>
      <c r="J4347">
        <v>5.4244733392787299E-2</v>
      </c>
      <c r="K4347">
        <v>4.2158904843290899E-2</v>
      </c>
      <c r="L4347">
        <v>1253.13680713441</v>
      </c>
      <c r="M4347">
        <v>24.9390490436944</v>
      </c>
      <c r="N4347">
        <v>50.548041910035003</v>
      </c>
      <c r="O4347">
        <v>49.928239986746497</v>
      </c>
      <c r="P4347">
        <v>-0.11628431161937</v>
      </c>
      <c r="Q4347">
        <v>6.8802963308728704E-2</v>
      </c>
      <c r="R4347">
        <v>0.971262289106129</v>
      </c>
      <c r="S4347" t="s">
        <v>10632</v>
      </c>
      <c r="T4347" t="s">
        <v>12568</v>
      </c>
      <c r="U4347" t="s">
        <v>12568</v>
      </c>
      <c r="V4347" t="s">
        <v>12568</v>
      </c>
      <c r="W4347" t="s">
        <v>16869</v>
      </c>
      <c r="X4347">
        <v>6</v>
      </c>
      <c r="Y4347" t="s">
        <v>22980</v>
      </c>
      <c r="Z4347" t="s">
        <v>29217</v>
      </c>
      <c r="AA4347">
        <v>0.39528422459326501</v>
      </c>
      <c r="AB4347" t="str">
        <f>HYPERLINK("Melting_Curves/meltCurve_Q8WU79_2_SMAP2.pdf", "Melting_Curves/meltCurve_Q8WU79_2_SMAP2.pdf")</f>
        <v>Melting_Curves/meltCurve_Q8WU79_2_SMAP2.pdf</v>
      </c>
    </row>
    <row r="4348" spans="1:28" x14ac:dyDescent="0.25">
      <c r="A4348" t="s">
        <v>4352</v>
      </c>
      <c r="B4348">
        <v>0.99352677808782597</v>
      </c>
      <c r="C4348">
        <v>0.87201161621466405</v>
      </c>
      <c r="D4348">
        <v>0.88744979339544305</v>
      </c>
      <c r="E4348">
        <v>0.78375369895640701</v>
      </c>
      <c r="F4348">
        <v>0.65499534932243197</v>
      </c>
      <c r="G4348">
        <v>0.51113065128726498</v>
      </c>
      <c r="H4348">
        <v>0.44000527880059898</v>
      </c>
      <c r="I4348">
        <v>0.43770447920338701</v>
      </c>
      <c r="J4348">
        <v>0.53194266537031498</v>
      </c>
      <c r="K4348">
        <v>0.43429957888274501</v>
      </c>
      <c r="L4348">
        <v>638.58557097756204</v>
      </c>
      <c r="M4348">
        <v>12.5434996959461</v>
      </c>
      <c r="N4348">
        <v>59.842128121280901</v>
      </c>
      <c r="O4348">
        <v>49.667711611235703</v>
      </c>
      <c r="P4348">
        <v>-3.6430083558837797E-2</v>
      </c>
      <c r="Q4348">
        <v>0.42311740546972298</v>
      </c>
      <c r="R4348">
        <v>0.95462550405923197</v>
      </c>
      <c r="S4348" t="s">
        <v>10633</v>
      </c>
      <c r="T4348" t="s">
        <v>12568</v>
      </c>
      <c r="U4348" t="s">
        <v>12568</v>
      </c>
      <c r="V4348" t="s">
        <v>12568</v>
      </c>
      <c r="W4348" t="s">
        <v>16870</v>
      </c>
      <c r="X4348">
        <v>10</v>
      </c>
      <c r="Y4348" t="s">
        <v>22981</v>
      </c>
      <c r="Z4348" t="s">
        <v>29218</v>
      </c>
      <c r="AA4348">
        <v>0.65063263465344978</v>
      </c>
      <c r="AB4348" t="str">
        <f>HYPERLINK("Melting_Curves/meltCurve_Q8WU90_ZC3H15.pdf", "Melting_Curves/meltCurve_Q8WU90_ZC3H15.pdf")</f>
        <v>Melting_Curves/meltCurve_Q8WU90_ZC3H15.pdf</v>
      </c>
    </row>
    <row r="4349" spans="1:28" x14ac:dyDescent="0.25">
      <c r="A4349" t="s">
        <v>4353</v>
      </c>
      <c r="B4349">
        <v>0.99352677808782597</v>
      </c>
      <c r="C4349">
        <v>1.0092880834265701</v>
      </c>
      <c r="D4349">
        <v>0.90707766184282801</v>
      </c>
      <c r="E4349">
        <v>0.47824853817333601</v>
      </c>
      <c r="F4349">
        <v>0.14383422073111901</v>
      </c>
      <c r="G4349">
        <v>0.240692978319104</v>
      </c>
      <c r="H4349">
        <v>0.20035782061173699</v>
      </c>
      <c r="I4349">
        <v>0.21592548520232099</v>
      </c>
      <c r="J4349">
        <v>0.172491722616749</v>
      </c>
      <c r="K4349">
        <v>0.114225167782016</v>
      </c>
      <c r="L4349">
        <v>1891.18984090698</v>
      </c>
      <c r="M4349">
        <v>38.515715901107399</v>
      </c>
      <c r="N4349">
        <v>49.661816669012502</v>
      </c>
      <c r="O4349">
        <v>48.969940627046803</v>
      </c>
      <c r="P4349">
        <v>-0.161991283103708</v>
      </c>
      <c r="Q4349">
        <v>0.17616089026960099</v>
      </c>
      <c r="R4349">
        <v>0.98575694241800504</v>
      </c>
      <c r="S4349" t="s">
        <v>10634</v>
      </c>
      <c r="T4349" t="s">
        <v>12568</v>
      </c>
      <c r="U4349" t="s">
        <v>12568</v>
      </c>
      <c r="V4349" t="s">
        <v>12568</v>
      </c>
      <c r="W4349" t="s">
        <v>16871</v>
      </c>
      <c r="X4349">
        <v>5</v>
      </c>
      <c r="Y4349" t="s">
        <v>22982</v>
      </c>
      <c r="Z4349" t="s">
        <v>29219</v>
      </c>
      <c r="AA4349">
        <v>0.42912888066970911</v>
      </c>
      <c r="AB4349" t="str">
        <f>HYPERLINK("Melting_Curves/meltCurve_Q8WUA2_PPIL4.pdf", "Melting_Curves/meltCurve_Q8WUA2_PPIL4.pdf")</f>
        <v>Melting_Curves/meltCurve_Q8WUA2_PPIL4.pdf</v>
      </c>
    </row>
    <row r="4350" spans="1:28" x14ac:dyDescent="0.25">
      <c r="A4350" t="s">
        <v>4354</v>
      </c>
      <c r="B4350">
        <v>0.99352677808782597</v>
      </c>
      <c r="C4350">
        <v>0.94940603173606897</v>
      </c>
      <c r="D4350">
        <v>0.93733711618233595</v>
      </c>
      <c r="E4350">
        <v>0.87424852921018004</v>
      </c>
      <c r="F4350">
        <v>0.81084904125458102</v>
      </c>
      <c r="G4350">
        <v>0.61172720068530295</v>
      </c>
      <c r="H4350">
        <v>0.61045570675726002</v>
      </c>
      <c r="I4350">
        <v>0.64332098937372795</v>
      </c>
      <c r="J4350">
        <v>0.55045400306703596</v>
      </c>
      <c r="K4350">
        <v>0.55155168916243202</v>
      </c>
      <c r="L4350">
        <v>730.90775846190502</v>
      </c>
      <c r="M4350">
        <v>13.776049009541399</v>
      </c>
      <c r="O4350">
        <v>51.975898662501997</v>
      </c>
      <c r="P4350">
        <v>-3.0104446533198301E-2</v>
      </c>
      <c r="Q4350">
        <v>0.54573762833412598</v>
      </c>
      <c r="R4350">
        <v>0.96352131569473898</v>
      </c>
      <c r="S4350" t="s">
        <v>10635</v>
      </c>
      <c r="T4350" t="s">
        <v>12568</v>
      </c>
      <c r="U4350" t="s">
        <v>12568</v>
      </c>
      <c r="V4350" t="s">
        <v>12568</v>
      </c>
      <c r="W4350" t="s">
        <v>16872</v>
      </c>
      <c r="X4350">
        <v>3</v>
      </c>
      <c r="Y4350" t="s">
        <v>22983</v>
      </c>
      <c r="Z4350" t="s">
        <v>29220</v>
      </c>
      <c r="AA4350">
        <v>0.75436080864785671</v>
      </c>
      <c r="AB4350" t="str">
        <f>HYPERLINK("Melting_Curves/meltCurve_Q8WUA4_GTF3C2.pdf", "Melting_Curves/meltCurve_Q8WUA4_GTF3C2.pdf")</f>
        <v>Melting_Curves/meltCurve_Q8WUA4_GTF3C2.pdf</v>
      </c>
    </row>
    <row r="4351" spans="1:28" x14ac:dyDescent="0.25">
      <c r="A4351" t="s">
        <v>4355</v>
      </c>
      <c r="B4351">
        <v>0.99352677808782597</v>
      </c>
      <c r="C4351">
        <v>0.90317165417279799</v>
      </c>
      <c r="D4351">
        <v>0.74852075761710601</v>
      </c>
      <c r="E4351">
        <v>0.41070517423567199</v>
      </c>
      <c r="F4351">
        <v>0.36043148006602599</v>
      </c>
      <c r="G4351">
        <v>0.18899701680713299</v>
      </c>
      <c r="H4351">
        <v>0.165273332417256</v>
      </c>
      <c r="I4351">
        <v>0.140656957317983</v>
      </c>
      <c r="J4351">
        <v>0.101497231414113</v>
      </c>
      <c r="K4351">
        <v>7.9959590432127997E-2</v>
      </c>
      <c r="L4351">
        <v>723.47036514569299</v>
      </c>
      <c r="M4351">
        <v>14.8403050014151</v>
      </c>
      <c r="N4351">
        <v>49.491412331315502</v>
      </c>
      <c r="O4351">
        <v>47.890861433101499</v>
      </c>
      <c r="P4351">
        <v>-6.9758898026259494E-2</v>
      </c>
      <c r="Q4351">
        <v>9.9624786537596904E-2</v>
      </c>
      <c r="R4351">
        <v>0.99215223983052803</v>
      </c>
      <c r="S4351" t="s">
        <v>10636</v>
      </c>
      <c r="T4351" t="s">
        <v>12568</v>
      </c>
      <c r="U4351" t="s">
        <v>12568</v>
      </c>
      <c r="V4351" t="s">
        <v>12568</v>
      </c>
      <c r="W4351" t="s">
        <v>16873</v>
      </c>
      <c r="X4351">
        <v>1</v>
      </c>
      <c r="Y4351" t="s">
        <v>22984</v>
      </c>
      <c r="Z4351" t="s">
        <v>29221</v>
      </c>
      <c r="AA4351">
        <v>0.38514170253210872</v>
      </c>
      <c r="AB4351" t="str">
        <f>HYPERLINK("Melting_Curves/meltCurve_Q8WUA8_TSKU.pdf", "Melting_Curves/meltCurve_Q8WUA8_TSKU.pdf")</f>
        <v>Melting_Curves/meltCurve_Q8WUA8_TSKU.pdf</v>
      </c>
    </row>
    <row r="4352" spans="1:28" x14ac:dyDescent="0.25">
      <c r="A4352" t="s">
        <v>4356</v>
      </c>
      <c r="B4352">
        <v>0.99352677808782597</v>
      </c>
      <c r="C4352">
        <v>0.78042867418386697</v>
      </c>
      <c r="D4352">
        <v>0.865175275543695</v>
      </c>
      <c r="E4352">
        <v>0.59064120297619305</v>
      </c>
      <c r="F4352">
        <v>0.65440223002015097</v>
      </c>
      <c r="G4352">
        <v>0.437012453209698</v>
      </c>
      <c r="H4352">
        <v>0.36676590676923998</v>
      </c>
      <c r="I4352">
        <v>0.31778100466749598</v>
      </c>
      <c r="J4352">
        <v>0.38126691116630201</v>
      </c>
      <c r="K4352">
        <v>0.334622649039854</v>
      </c>
      <c r="L4352">
        <v>460.70336501098399</v>
      </c>
      <c r="M4352">
        <v>9.0750635469548406</v>
      </c>
      <c r="N4352">
        <v>55.3670959092007</v>
      </c>
      <c r="O4352">
        <v>48.482861375224203</v>
      </c>
      <c r="P4352">
        <v>-3.4428005056090401E-2</v>
      </c>
      <c r="Q4352">
        <v>0.26480102730527899</v>
      </c>
      <c r="R4352">
        <v>0.93063480617621697</v>
      </c>
      <c r="S4352" t="s">
        <v>10637</v>
      </c>
      <c r="T4352" t="s">
        <v>12568</v>
      </c>
      <c r="U4352" t="s">
        <v>12568</v>
      </c>
      <c r="V4352" t="s">
        <v>12568</v>
      </c>
      <c r="W4352" t="s">
        <v>16874</v>
      </c>
      <c r="X4352">
        <v>4</v>
      </c>
      <c r="Y4352" t="s">
        <v>22985</v>
      </c>
      <c r="Z4352" t="s">
        <v>29222</v>
      </c>
      <c r="AA4352">
        <v>0.56374129721619937</v>
      </c>
      <c r="AB4352" t="str">
        <f>HYPERLINK("Melting_Curves/meltCurve_Q8WUB8_3_PHF10.pdf", "Melting_Curves/meltCurve_Q8WUB8_3_PHF10.pdf")</f>
        <v>Melting_Curves/meltCurve_Q8WUB8_3_PHF10.pdf</v>
      </c>
    </row>
    <row r="4353" spans="1:28" x14ac:dyDescent="0.25">
      <c r="A4353" t="s">
        <v>4357</v>
      </c>
      <c r="B4353">
        <v>0.99352677808782597</v>
      </c>
      <c r="C4353">
        <v>0.98388308370893895</v>
      </c>
      <c r="D4353">
        <v>0.86943732318578204</v>
      </c>
      <c r="E4353">
        <v>0.68772250640663202</v>
      </c>
      <c r="F4353">
        <v>0.55031140332833195</v>
      </c>
      <c r="G4353">
        <v>0.42655830022943803</v>
      </c>
      <c r="H4353">
        <v>0.290423049526015</v>
      </c>
      <c r="I4353">
        <v>0.17152468367927701</v>
      </c>
      <c r="J4353">
        <v>6.5915687694269101E-2</v>
      </c>
      <c r="K4353">
        <v>4.6785971830841502E-2</v>
      </c>
      <c r="L4353">
        <v>580.59580908649002</v>
      </c>
      <c r="M4353">
        <v>10.6617404078135</v>
      </c>
      <c r="N4353">
        <v>54.456006807787801</v>
      </c>
      <c r="O4353">
        <v>52.6450690308736</v>
      </c>
      <c r="P4353">
        <v>-5.0649552717199099E-2</v>
      </c>
      <c r="Q4353">
        <v>0</v>
      </c>
      <c r="R4353">
        <v>0.99007372505938596</v>
      </c>
      <c r="S4353" t="s">
        <v>10638</v>
      </c>
      <c r="T4353" t="s">
        <v>12568</v>
      </c>
      <c r="U4353" t="s">
        <v>12568</v>
      </c>
      <c r="V4353" t="s">
        <v>12568</v>
      </c>
      <c r="W4353" t="s">
        <v>16875</v>
      </c>
      <c r="X4353">
        <v>8</v>
      </c>
      <c r="Y4353" t="s">
        <v>22986</v>
      </c>
      <c r="Z4353" t="s">
        <v>29223</v>
      </c>
      <c r="AA4353">
        <v>0.50907708968488408</v>
      </c>
      <c r="AB4353" t="str">
        <f>HYPERLINK("Melting_Curves/meltCurve_Q8WUD1_RAB2B.pdf", "Melting_Curves/meltCurve_Q8WUD1_RAB2B.pdf")</f>
        <v>Melting_Curves/meltCurve_Q8WUD1_RAB2B.pdf</v>
      </c>
    </row>
    <row r="4354" spans="1:28" x14ac:dyDescent="0.25">
      <c r="A4354" t="s">
        <v>4358</v>
      </c>
      <c r="B4354">
        <v>0.99352677808782597</v>
      </c>
      <c r="C4354">
        <v>0.95815765760029903</v>
      </c>
      <c r="D4354">
        <v>0.927247891362736</v>
      </c>
      <c r="E4354">
        <v>1.1663541554116501</v>
      </c>
      <c r="F4354">
        <v>1.0848996372017501</v>
      </c>
      <c r="G4354">
        <v>1.02323145320662</v>
      </c>
      <c r="H4354">
        <v>0.90203597291991</v>
      </c>
      <c r="I4354">
        <v>0.92224426142688498</v>
      </c>
      <c r="J4354">
        <v>1.01921920415541</v>
      </c>
      <c r="K4354">
        <v>0.94473382933771</v>
      </c>
      <c r="L4354">
        <v>4420.1052440430303</v>
      </c>
      <c r="M4354">
        <v>75.296791260885797</v>
      </c>
      <c r="O4354">
        <v>58.6610529710455</v>
      </c>
      <c r="P4354">
        <v>-1.6684577757527401E-2</v>
      </c>
      <c r="Q4354">
        <v>0.94800654694388997</v>
      </c>
      <c r="R4354">
        <v>0.16872509833704799</v>
      </c>
      <c r="S4354" t="s">
        <v>10639</v>
      </c>
      <c r="T4354" t="s">
        <v>12568</v>
      </c>
      <c r="U4354" t="s">
        <v>12568</v>
      </c>
      <c r="V4354" t="s">
        <v>12568</v>
      </c>
      <c r="W4354" t="s">
        <v>16876</v>
      </c>
      <c r="X4354">
        <v>8</v>
      </c>
      <c r="Y4354" t="s">
        <v>22987</v>
      </c>
      <c r="Z4354" t="s">
        <v>29224</v>
      </c>
      <c r="AA4354">
        <v>0.98047919436138309</v>
      </c>
      <c r="AB4354" t="str">
        <f>HYPERLINK("Melting_Curves/meltCurve_Q8WUD4_CCDC12.pdf", "Melting_Curves/meltCurve_Q8WUD4_CCDC12.pdf")</f>
        <v>Melting_Curves/meltCurve_Q8WUD4_CCDC12.pdf</v>
      </c>
    </row>
    <row r="4355" spans="1:28" x14ac:dyDescent="0.25">
      <c r="A4355" t="s">
        <v>4359</v>
      </c>
      <c r="B4355">
        <v>0.99352677808782597</v>
      </c>
      <c r="C4355">
        <v>0.97335073190301802</v>
      </c>
      <c r="D4355">
        <v>0.96734546733226701</v>
      </c>
      <c r="E4355">
        <v>0.71042319651458496</v>
      </c>
      <c r="F4355">
        <v>0.59319711294674404</v>
      </c>
      <c r="G4355">
        <v>0.395962600644931</v>
      </c>
      <c r="H4355">
        <v>0.29457141981166601</v>
      </c>
      <c r="I4355">
        <v>0.29620938857379803</v>
      </c>
      <c r="J4355">
        <v>0.26036145065161598</v>
      </c>
      <c r="K4355">
        <v>0.245861435808406</v>
      </c>
      <c r="L4355">
        <v>860.76575097886803</v>
      </c>
      <c r="M4355">
        <v>16.505364814997399</v>
      </c>
      <c r="N4355">
        <v>54.352552413530297</v>
      </c>
      <c r="O4355">
        <v>51.4031714297099</v>
      </c>
      <c r="P4355">
        <v>-6.0707402976672202E-2</v>
      </c>
      <c r="Q4355">
        <v>0.24380067408719799</v>
      </c>
      <c r="R4355">
        <v>0.99503092504173496</v>
      </c>
      <c r="S4355" t="s">
        <v>10640</v>
      </c>
      <c r="T4355" t="s">
        <v>12568</v>
      </c>
      <c r="U4355" t="s">
        <v>12568</v>
      </c>
      <c r="V4355" t="s">
        <v>12568</v>
      </c>
      <c r="W4355" t="s">
        <v>16877</v>
      </c>
      <c r="X4355">
        <v>17</v>
      </c>
      <c r="Y4355" t="s">
        <v>22988</v>
      </c>
      <c r="Z4355" t="s">
        <v>29225</v>
      </c>
      <c r="AA4355">
        <v>0.56456582425695145</v>
      </c>
      <c r="AB4355" t="str">
        <f>HYPERLINK("Melting_Curves/meltCurve_Q8WUF5_PPP1R13L.pdf", "Melting_Curves/meltCurve_Q8WUF5_PPP1R13L.pdf")</f>
        <v>Melting_Curves/meltCurve_Q8WUF5_PPP1R13L.pdf</v>
      </c>
    </row>
    <row r="4356" spans="1:28" x14ac:dyDescent="0.25">
      <c r="A4356" t="s">
        <v>4360</v>
      </c>
      <c r="B4356">
        <v>0.99352677808782597</v>
      </c>
      <c r="C4356">
        <v>0.96374575023229703</v>
      </c>
      <c r="D4356">
        <v>0.91930463169789201</v>
      </c>
      <c r="E4356">
        <v>0.53772181894162496</v>
      </c>
      <c r="F4356">
        <v>0.46017578720833802</v>
      </c>
      <c r="G4356">
        <v>0.28601011499062401</v>
      </c>
      <c r="H4356">
        <v>0.27931109465915199</v>
      </c>
      <c r="I4356">
        <v>0.17393213254429701</v>
      </c>
      <c r="J4356">
        <v>0.152459231134456</v>
      </c>
      <c r="K4356">
        <v>0.11329520763803</v>
      </c>
      <c r="L4356">
        <v>782.19536742147204</v>
      </c>
      <c r="M4356">
        <v>15.431539928811</v>
      </c>
      <c r="N4356">
        <v>51.8650765066105</v>
      </c>
      <c r="O4356">
        <v>49.859761478610601</v>
      </c>
      <c r="P4356">
        <v>-6.5950716893828795E-2</v>
      </c>
      <c r="Q4356">
        <v>0.14772218526311201</v>
      </c>
      <c r="R4356">
        <v>0.98234425389512203</v>
      </c>
      <c r="S4356" t="s">
        <v>10641</v>
      </c>
      <c r="T4356" t="s">
        <v>12568</v>
      </c>
      <c r="U4356" t="s">
        <v>12568</v>
      </c>
      <c r="V4356" t="s">
        <v>12568</v>
      </c>
      <c r="W4356" t="s">
        <v>16878</v>
      </c>
      <c r="X4356">
        <v>6</v>
      </c>
      <c r="Y4356" t="s">
        <v>22989</v>
      </c>
      <c r="Z4356" t="s">
        <v>29226</v>
      </c>
      <c r="AA4356">
        <v>0.47031090945501691</v>
      </c>
      <c r="AB4356" t="str">
        <f>HYPERLINK("Melting_Curves/meltCurve_Q8WUF8_FAM172A.pdf", "Melting_Curves/meltCurve_Q8WUF8_FAM172A.pdf")</f>
        <v>Melting_Curves/meltCurve_Q8WUF8_FAM172A.pdf</v>
      </c>
    </row>
    <row r="4357" spans="1:28" x14ac:dyDescent="0.25">
      <c r="A4357" t="s">
        <v>4361</v>
      </c>
      <c r="B4357">
        <v>0.99352677808782597</v>
      </c>
      <c r="C4357">
        <v>1.0453748233650999</v>
      </c>
      <c r="D4357">
        <v>0.95903038331863399</v>
      </c>
      <c r="E4357">
        <v>0.74048127165857103</v>
      </c>
      <c r="F4357">
        <v>0.63146862817889804</v>
      </c>
      <c r="G4357">
        <v>0.41163286380827702</v>
      </c>
      <c r="H4357">
        <v>0.47179722548206998</v>
      </c>
      <c r="I4357">
        <v>0.44145141837021601</v>
      </c>
      <c r="J4357">
        <v>0.341203731262399</v>
      </c>
      <c r="K4357">
        <v>0.168695110684038</v>
      </c>
      <c r="L4357">
        <v>704.39677993028704</v>
      </c>
      <c r="M4357">
        <v>13.2879106967883</v>
      </c>
      <c r="N4357">
        <v>56.418336986060503</v>
      </c>
      <c r="O4357">
        <v>51.852905213952603</v>
      </c>
      <c r="P4357">
        <v>-4.6395141097346701E-2</v>
      </c>
      <c r="Q4357">
        <v>0.27593352908246199</v>
      </c>
      <c r="R4357">
        <v>0.93991077596955896</v>
      </c>
      <c r="S4357" t="s">
        <v>10642</v>
      </c>
      <c r="T4357" t="s">
        <v>12568</v>
      </c>
      <c r="U4357" t="s">
        <v>12568</v>
      </c>
      <c r="V4357" t="s">
        <v>12568</v>
      </c>
      <c r="W4357" t="s">
        <v>16879</v>
      </c>
      <c r="X4357">
        <v>4</v>
      </c>
      <c r="Y4357" t="s">
        <v>22990</v>
      </c>
      <c r="Z4357" t="s">
        <v>29227</v>
      </c>
      <c r="AA4357">
        <v>0.60821278646291888</v>
      </c>
      <c r="AB4357" t="str">
        <f>HYPERLINK("Melting_Curves/meltCurve_Q8WUH1_CHURC1.pdf", "Melting_Curves/meltCurve_Q8WUH1_CHURC1.pdf")</f>
        <v>Melting_Curves/meltCurve_Q8WUH1_CHURC1.pdf</v>
      </c>
    </row>
    <row r="4358" spans="1:28" x14ac:dyDescent="0.25">
      <c r="A4358" t="s">
        <v>4362</v>
      </c>
      <c r="B4358">
        <v>0.99352677808782597</v>
      </c>
      <c r="C4358">
        <v>0.95369565274619705</v>
      </c>
      <c r="D4358">
        <v>0.84212894739018296</v>
      </c>
      <c r="E4358">
        <v>0.405635132823364</v>
      </c>
      <c r="F4358">
        <v>0.35149789704944701</v>
      </c>
      <c r="G4358">
        <v>0.20669776996394801</v>
      </c>
      <c r="H4358">
        <v>0.17263380354358701</v>
      </c>
      <c r="I4358">
        <v>0.163850965593063</v>
      </c>
      <c r="J4358">
        <v>7.4844029154078007E-2</v>
      </c>
      <c r="K4358">
        <v>6.56765242955447E-2</v>
      </c>
      <c r="L4358">
        <v>888.220814891857</v>
      </c>
      <c r="M4358">
        <v>18.083052691030701</v>
      </c>
      <c r="N4358">
        <v>49.8301074755529</v>
      </c>
      <c r="O4358">
        <v>48.530084531480597</v>
      </c>
      <c r="P4358">
        <v>-8.2563521881312302E-2</v>
      </c>
      <c r="Q4358">
        <v>0.11372917722446101</v>
      </c>
      <c r="R4358">
        <v>0.98406029897068303</v>
      </c>
      <c r="S4358" t="s">
        <v>10643</v>
      </c>
      <c r="T4358" t="s">
        <v>12568</v>
      </c>
      <c r="U4358" t="s">
        <v>12568</v>
      </c>
      <c r="V4358" t="s">
        <v>12568</v>
      </c>
      <c r="W4358" t="s">
        <v>16880</v>
      </c>
      <c r="X4358">
        <v>4</v>
      </c>
      <c r="Y4358" t="s">
        <v>22991</v>
      </c>
      <c r="Z4358" t="s">
        <v>29228</v>
      </c>
      <c r="AA4358">
        <v>0.39830307581145669</v>
      </c>
      <c r="AB4358" t="str">
        <f>HYPERLINK("Melting_Curves/meltCurve_Q8WUH2_TGFBRAP1.pdf", "Melting_Curves/meltCurve_Q8WUH2_TGFBRAP1.pdf")</f>
        <v>Melting_Curves/meltCurve_Q8WUH2_TGFBRAP1.pdf</v>
      </c>
    </row>
    <row r="4359" spans="1:28" x14ac:dyDescent="0.25">
      <c r="A4359" t="s">
        <v>4363</v>
      </c>
      <c r="B4359">
        <v>0.99352677808782597</v>
      </c>
      <c r="C4359">
        <v>1.2891612838932101</v>
      </c>
      <c r="D4359">
        <v>1.2211458131678099</v>
      </c>
      <c r="E4359">
        <v>0.98798921482824098</v>
      </c>
      <c r="F4359">
        <v>0.66453201214058599</v>
      </c>
      <c r="G4359">
        <v>0.62492161182528605</v>
      </c>
      <c r="H4359">
        <v>0.42482011345545401</v>
      </c>
      <c r="I4359">
        <v>0.32237342847313799</v>
      </c>
      <c r="J4359">
        <v>0.48005484026029999</v>
      </c>
      <c r="K4359">
        <v>0.32936782159795702</v>
      </c>
      <c r="L4359">
        <v>1282.93496043035</v>
      </c>
      <c r="M4359">
        <v>23.642853910502399</v>
      </c>
      <c r="N4359">
        <v>57.801997927828999</v>
      </c>
      <c r="O4359">
        <v>53.879377280333699</v>
      </c>
      <c r="P4359">
        <v>-6.77510481691979E-2</v>
      </c>
      <c r="Q4359">
        <v>0.38242248199380602</v>
      </c>
      <c r="R4359">
        <v>0.84922099932497297</v>
      </c>
      <c r="S4359" t="s">
        <v>10644</v>
      </c>
      <c r="T4359" t="s">
        <v>12568</v>
      </c>
      <c r="U4359" t="s">
        <v>12568</v>
      </c>
      <c r="V4359" t="s">
        <v>12568</v>
      </c>
      <c r="W4359" t="s">
        <v>16881</v>
      </c>
      <c r="X4359">
        <v>3</v>
      </c>
      <c r="Y4359" t="s">
        <v>22992</v>
      </c>
      <c r="Z4359" t="s">
        <v>29229</v>
      </c>
      <c r="AA4359">
        <v>0.68235741551849616</v>
      </c>
      <c r="AB4359" t="str">
        <f>HYPERLINK("Melting_Curves/meltCurve_Q8WUH6_C12orf23.pdf", "Melting_Curves/meltCurve_Q8WUH6_C12orf23.pdf")</f>
        <v>Melting_Curves/meltCurve_Q8WUH6_C12orf23.pdf</v>
      </c>
    </row>
    <row r="4360" spans="1:28" x14ac:dyDescent="0.25">
      <c r="A4360" t="s">
        <v>4364</v>
      </c>
      <c r="B4360">
        <v>0.99352677808782597</v>
      </c>
      <c r="C4360">
        <v>1.28985748580454</v>
      </c>
      <c r="D4360">
        <v>1.13814633489346</v>
      </c>
      <c r="E4360">
        <v>0.90205370457738199</v>
      </c>
      <c r="F4360">
        <v>0.873677976743091</v>
      </c>
      <c r="G4360">
        <v>0.479684654070126</v>
      </c>
      <c r="H4360">
        <v>0.34491641019794</v>
      </c>
      <c r="I4360">
        <v>0.26419642997841702</v>
      </c>
      <c r="J4360">
        <v>0.21014233460193801</v>
      </c>
      <c r="K4360">
        <v>0.171940882722843</v>
      </c>
      <c r="L4360">
        <v>1315.9361478598</v>
      </c>
      <c r="M4360">
        <v>23.481913107294002</v>
      </c>
      <c r="N4360">
        <v>57.281638600095697</v>
      </c>
      <c r="O4360">
        <v>55.638730833398398</v>
      </c>
      <c r="P4360">
        <v>-8.4473375060684003E-2</v>
      </c>
      <c r="Q4360">
        <v>0.19939907559522599</v>
      </c>
      <c r="R4360">
        <v>0.92700351172115303</v>
      </c>
      <c r="S4360" t="s">
        <v>10645</v>
      </c>
      <c r="T4360" t="s">
        <v>12568</v>
      </c>
      <c r="U4360" t="s">
        <v>12568</v>
      </c>
      <c r="V4360" t="s">
        <v>12568</v>
      </c>
      <c r="W4360" t="s">
        <v>16882</v>
      </c>
      <c r="X4360">
        <v>7</v>
      </c>
      <c r="Y4360" t="s">
        <v>22993</v>
      </c>
      <c r="Z4360" t="s">
        <v>29230</v>
      </c>
      <c r="AA4360">
        <v>0.63559494902838765</v>
      </c>
      <c r="AB4360" t="str">
        <f>HYPERLINK("Melting_Curves/meltCurve_Q8WUI4_3_HDAC7.pdf", "Melting_Curves/meltCurve_Q8WUI4_3_HDAC7.pdf")</f>
        <v>Melting_Curves/meltCurve_Q8WUI4_3_HDAC7.pdf</v>
      </c>
    </row>
    <row r="4361" spans="1:28" x14ac:dyDescent="0.25">
      <c r="A4361" t="s">
        <v>4365</v>
      </c>
      <c r="B4361">
        <v>0.99352677808782597</v>
      </c>
      <c r="C4361">
        <v>0.782555543994369</v>
      </c>
      <c r="D4361">
        <v>0.89652921470684499</v>
      </c>
      <c r="E4361">
        <v>0.395399981705715</v>
      </c>
      <c r="F4361">
        <v>0.35782044002150898</v>
      </c>
      <c r="G4361">
        <v>6.4204506750582105E-2</v>
      </c>
      <c r="H4361">
        <v>0.141965441078163</v>
      </c>
      <c r="I4361">
        <v>6.8446554537033799E-2</v>
      </c>
      <c r="J4361">
        <v>0</v>
      </c>
      <c r="K4361">
        <v>0</v>
      </c>
      <c r="L4361">
        <v>727.331037729591</v>
      </c>
      <c r="M4361">
        <v>14.624010284764701</v>
      </c>
      <c r="N4361">
        <v>49.776447395458703</v>
      </c>
      <c r="O4361">
        <v>48.833163153591599</v>
      </c>
      <c r="P4361">
        <v>-7.4426810850994396E-2</v>
      </c>
      <c r="Q4361">
        <v>5.9933023872877798E-3</v>
      </c>
      <c r="R4361">
        <v>0.95644486945491902</v>
      </c>
      <c r="S4361" t="s">
        <v>10646</v>
      </c>
      <c r="T4361" t="s">
        <v>12568</v>
      </c>
      <c r="U4361" t="s">
        <v>12568</v>
      </c>
      <c r="V4361" t="s">
        <v>12568</v>
      </c>
      <c r="W4361" t="s">
        <v>16883</v>
      </c>
      <c r="X4361">
        <v>3</v>
      </c>
      <c r="Y4361" t="s">
        <v>22994</v>
      </c>
      <c r="Z4361" t="s">
        <v>29231</v>
      </c>
      <c r="AA4361">
        <v>0.35358299527806142</v>
      </c>
      <c r="AB4361" t="str">
        <f>HYPERLINK("Melting_Curves/meltCurve_Q8WUJ0_STYX.pdf", "Melting_Curves/meltCurve_Q8WUJ0_STYX.pdf")</f>
        <v>Melting_Curves/meltCurve_Q8WUJ0_STYX.pdf</v>
      </c>
    </row>
    <row r="4362" spans="1:28" x14ac:dyDescent="0.25">
      <c r="A4362" t="s">
        <v>4366</v>
      </c>
      <c r="B4362">
        <v>0.99352677808782597</v>
      </c>
      <c r="C4362">
        <v>0.95703664398724597</v>
      </c>
      <c r="D4362">
        <v>0.815990645397494</v>
      </c>
      <c r="E4362">
        <v>0.41893017685580602</v>
      </c>
      <c r="F4362">
        <v>0.35203343654619501</v>
      </c>
      <c r="G4362">
        <v>0.17335488271139099</v>
      </c>
      <c r="H4362">
        <v>0.120473191916911</v>
      </c>
      <c r="I4362">
        <v>0.102215863206472</v>
      </c>
      <c r="J4362">
        <v>7.7771840673862502E-2</v>
      </c>
      <c r="K4362">
        <v>6.2100887556708402E-2</v>
      </c>
      <c r="L4362">
        <v>838.99582561249804</v>
      </c>
      <c r="M4362">
        <v>17.0049941517081</v>
      </c>
      <c r="N4362">
        <v>49.838976849826899</v>
      </c>
      <c r="O4362">
        <v>48.671048650742001</v>
      </c>
      <c r="P4362">
        <v>-8.0492041732250594E-2</v>
      </c>
      <c r="Q4362">
        <v>7.8531817332467696E-2</v>
      </c>
      <c r="R4362">
        <v>0.99222265678574595</v>
      </c>
      <c r="S4362" t="s">
        <v>10647</v>
      </c>
      <c r="T4362" t="s">
        <v>12568</v>
      </c>
      <c r="U4362" t="s">
        <v>12568</v>
      </c>
      <c r="V4362" t="s">
        <v>12568</v>
      </c>
      <c r="W4362" t="s">
        <v>16884</v>
      </c>
      <c r="X4362">
        <v>15</v>
      </c>
      <c r="Y4362" t="s">
        <v>22995</v>
      </c>
      <c r="Z4362" t="s">
        <v>29232</v>
      </c>
      <c r="AA4362">
        <v>0.38308387865770138</v>
      </c>
      <c r="AB4362" t="str">
        <f>HYPERLINK("Melting_Curves/meltCurve_Q8WUM0_NUP133.pdf", "Melting_Curves/meltCurve_Q8WUM0_NUP133.pdf")</f>
        <v>Melting_Curves/meltCurve_Q8WUM0_NUP133.pdf</v>
      </c>
    </row>
    <row r="4363" spans="1:28" x14ac:dyDescent="0.25">
      <c r="A4363" t="s">
        <v>4367</v>
      </c>
      <c r="B4363">
        <v>0.99352677808782597</v>
      </c>
      <c r="C4363">
        <v>0.96508862959464103</v>
      </c>
      <c r="D4363">
        <v>0.87688781734628796</v>
      </c>
      <c r="E4363">
        <v>0.22435278446331799</v>
      </c>
      <c r="F4363">
        <v>0.15905557406983201</v>
      </c>
      <c r="G4363">
        <v>9.0041598499047498E-2</v>
      </c>
      <c r="H4363">
        <v>6.2703079212097806E-2</v>
      </c>
      <c r="I4363">
        <v>5.8763362192238898E-2</v>
      </c>
      <c r="J4363">
        <v>4.5357335891700198E-2</v>
      </c>
      <c r="K4363">
        <v>3.4391656195934699E-2</v>
      </c>
      <c r="L4363">
        <v>1840.32886683111</v>
      </c>
      <c r="M4363">
        <v>38.246507589376101</v>
      </c>
      <c r="N4363">
        <v>48.299855330601503</v>
      </c>
      <c r="O4363">
        <v>47.986586161820597</v>
      </c>
      <c r="P4363">
        <v>-0.18586546334309301</v>
      </c>
      <c r="Q4363">
        <v>6.7206132934350404E-2</v>
      </c>
      <c r="R4363">
        <v>0.99504462209705002</v>
      </c>
      <c r="S4363" t="s">
        <v>10648</v>
      </c>
      <c r="T4363" t="s">
        <v>12568</v>
      </c>
      <c r="U4363" t="s">
        <v>12568</v>
      </c>
      <c r="V4363" t="s">
        <v>12568</v>
      </c>
      <c r="W4363" t="s">
        <v>16885</v>
      </c>
      <c r="X4363">
        <v>58</v>
      </c>
      <c r="Y4363" t="s">
        <v>22996</v>
      </c>
      <c r="Z4363" t="s">
        <v>29233</v>
      </c>
      <c r="AA4363">
        <v>0.32301444783945438</v>
      </c>
      <c r="AB4363" t="str">
        <f>HYPERLINK("Melting_Curves/meltCurve_Q8WUM4_PDCD6IP.pdf", "Melting_Curves/meltCurve_Q8WUM4_PDCD6IP.pdf")</f>
        <v>Melting_Curves/meltCurve_Q8WUM4_PDCD6IP.pdf</v>
      </c>
    </row>
    <row r="4364" spans="1:28" x14ac:dyDescent="0.25">
      <c r="A4364" t="s">
        <v>4368</v>
      </c>
      <c r="B4364">
        <v>0.99352677808782597</v>
      </c>
      <c r="C4364">
        <v>0.98655265625591104</v>
      </c>
      <c r="D4364">
        <v>0.96903054643729403</v>
      </c>
      <c r="E4364">
        <v>0.81616972275674604</v>
      </c>
      <c r="F4364">
        <v>0.80569359369038596</v>
      </c>
      <c r="G4364">
        <v>0.57155482951222703</v>
      </c>
      <c r="H4364">
        <v>0.55021409516877795</v>
      </c>
      <c r="I4364">
        <v>0.49682061795513999</v>
      </c>
      <c r="J4364">
        <v>0.46637150998153898</v>
      </c>
      <c r="K4364">
        <v>0.425703214283498</v>
      </c>
      <c r="L4364">
        <v>709.626027937716</v>
      </c>
      <c r="M4364">
        <v>13.0612835226573</v>
      </c>
      <c r="N4364">
        <v>62.776495139574102</v>
      </c>
      <c r="O4364">
        <v>53.104251495209503</v>
      </c>
      <c r="P4364">
        <v>-3.6054554035474203E-2</v>
      </c>
      <c r="Q4364">
        <v>0.413742761160388</v>
      </c>
      <c r="R4364">
        <v>0.98303367555088195</v>
      </c>
      <c r="S4364" t="s">
        <v>10649</v>
      </c>
      <c r="T4364" t="s">
        <v>12568</v>
      </c>
      <c r="U4364" t="s">
        <v>12568</v>
      </c>
      <c r="V4364" t="s">
        <v>12568</v>
      </c>
      <c r="W4364" t="s">
        <v>16886</v>
      </c>
      <c r="X4364">
        <v>5</v>
      </c>
      <c r="Y4364" t="s">
        <v>22997</v>
      </c>
      <c r="Z4364" t="s">
        <v>29234</v>
      </c>
      <c r="AA4364">
        <v>0.7075006901202705</v>
      </c>
      <c r="AB4364" t="str">
        <f>HYPERLINK("Melting_Curves/meltCurve_Q8WUN7_UBTD2.pdf", "Melting_Curves/meltCurve_Q8WUN7_UBTD2.pdf")</f>
        <v>Melting_Curves/meltCurve_Q8WUN7_UBTD2.pdf</v>
      </c>
    </row>
    <row r="4365" spans="1:28" x14ac:dyDescent="0.25">
      <c r="A4365" t="s">
        <v>4369</v>
      </c>
      <c r="B4365">
        <v>0.99352677808782597</v>
      </c>
      <c r="C4365">
        <v>0.96744316798471996</v>
      </c>
      <c r="D4365">
        <v>1.0092372966085901</v>
      </c>
      <c r="E4365">
        <v>0.85777595961166497</v>
      </c>
      <c r="F4365">
        <v>0.78349344426347101</v>
      </c>
      <c r="G4365">
        <v>0.626281398911673</v>
      </c>
      <c r="H4365">
        <v>0.55248820500474805</v>
      </c>
      <c r="I4365">
        <v>0.59553461188235701</v>
      </c>
      <c r="J4365">
        <v>0.61083609136265005</v>
      </c>
      <c r="K4365">
        <v>0.52614188362216097</v>
      </c>
      <c r="L4365">
        <v>1077.0731738627401</v>
      </c>
      <c r="M4365">
        <v>20.508946998771101</v>
      </c>
      <c r="O4365">
        <v>52.025577881772399</v>
      </c>
      <c r="P4365">
        <v>-4.3264187047281799E-2</v>
      </c>
      <c r="Q4365">
        <v>0.56101539631189501</v>
      </c>
      <c r="R4365">
        <v>0.97544883689939799</v>
      </c>
      <c r="S4365" t="s">
        <v>10650</v>
      </c>
      <c r="T4365" t="s">
        <v>12568</v>
      </c>
      <c r="U4365" t="s">
        <v>12568</v>
      </c>
      <c r="V4365" t="s">
        <v>12568</v>
      </c>
      <c r="W4365" t="s">
        <v>16887</v>
      </c>
      <c r="X4365">
        <v>17</v>
      </c>
      <c r="Y4365" t="s">
        <v>22998</v>
      </c>
      <c r="Z4365" t="s">
        <v>29235</v>
      </c>
      <c r="AA4365">
        <v>0.74997480163417474</v>
      </c>
      <c r="AB4365" t="str">
        <f>HYPERLINK("Melting_Curves/meltCurve_Q8WUP2_FBLIM1.pdf", "Melting_Curves/meltCurve_Q8WUP2_FBLIM1.pdf")</f>
        <v>Melting_Curves/meltCurve_Q8WUP2_FBLIM1.pdf</v>
      </c>
    </row>
    <row r="4366" spans="1:28" x14ac:dyDescent="0.25">
      <c r="A4366" t="s">
        <v>4370</v>
      </c>
      <c r="B4366">
        <v>0.99352677808782597</v>
      </c>
      <c r="C4366">
        <v>0.93050558562024899</v>
      </c>
      <c r="D4366">
        <v>0.93677095482987105</v>
      </c>
      <c r="E4366">
        <v>0.82851217980115299</v>
      </c>
      <c r="F4366">
        <v>0.73964447904002795</v>
      </c>
      <c r="G4366">
        <v>0.73026156370503503</v>
      </c>
      <c r="H4366">
        <v>0.57280118472981101</v>
      </c>
      <c r="I4366">
        <v>0.61723758251022898</v>
      </c>
      <c r="J4366">
        <v>0.67237334345992406</v>
      </c>
      <c r="K4366">
        <v>0.56430685547495596</v>
      </c>
      <c r="L4366">
        <v>585.97555627077804</v>
      </c>
      <c r="M4366">
        <v>11.3453311083365</v>
      </c>
      <c r="O4366">
        <v>50.122451912887698</v>
      </c>
      <c r="P4366">
        <v>-2.4005512623126599E-2</v>
      </c>
      <c r="Q4366">
        <v>0.57591178018564204</v>
      </c>
      <c r="R4366">
        <v>0.93759003394554796</v>
      </c>
      <c r="S4366" t="s">
        <v>10651</v>
      </c>
      <c r="T4366" t="s">
        <v>12568</v>
      </c>
      <c r="U4366" t="s">
        <v>12568</v>
      </c>
      <c r="V4366" t="s">
        <v>12568</v>
      </c>
      <c r="W4366" t="s">
        <v>16888</v>
      </c>
      <c r="X4366">
        <v>3</v>
      </c>
      <c r="Y4366" t="s">
        <v>22999</v>
      </c>
      <c r="Z4366" t="s">
        <v>29236</v>
      </c>
      <c r="AA4366">
        <v>0.75487753965227122</v>
      </c>
      <c r="AB4366" t="str">
        <f>HYPERLINK("Melting_Curves/meltCurve_Q8WUR7_C15orf40.pdf", "Melting_Curves/meltCurve_Q8WUR7_C15orf40.pdf")</f>
        <v>Melting_Curves/meltCurve_Q8WUR7_C15orf40.pdf</v>
      </c>
    </row>
    <row r="4367" spans="1:28" x14ac:dyDescent="0.25">
      <c r="A4367" t="s">
        <v>4371</v>
      </c>
      <c r="B4367">
        <v>0.99352677808782597</v>
      </c>
      <c r="C4367">
        <v>0.97605223704494604</v>
      </c>
      <c r="D4367">
        <v>0.93606140140720995</v>
      </c>
      <c r="E4367">
        <v>0.982335493547151</v>
      </c>
      <c r="F4367">
        <v>0.95228416186235398</v>
      </c>
      <c r="G4367">
        <v>0.83160550668950795</v>
      </c>
      <c r="H4367">
        <v>0.74304378339438004</v>
      </c>
      <c r="I4367">
        <v>0.68834163884826804</v>
      </c>
      <c r="J4367">
        <v>0.72085642278398798</v>
      </c>
      <c r="K4367">
        <v>0.45717825968321701</v>
      </c>
      <c r="L4367">
        <v>522.75922297390105</v>
      </c>
      <c r="M4367">
        <v>7.34874803768676</v>
      </c>
      <c r="O4367">
        <v>66.4369859062123</v>
      </c>
      <c r="P4367">
        <v>-2.76959464219187E-2</v>
      </c>
      <c r="Q4367">
        <v>0</v>
      </c>
      <c r="R4367">
        <v>0.91758189595783801</v>
      </c>
      <c r="S4367" t="s">
        <v>10652</v>
      </c>
      <c r="T4367" t="s">
        <v>12568</v>
      </c>
      <c r="U4367" t="s">
        <v>12568</v>
      </c>
      <c r="V4367" t="s">
        <v>12568</v>
      </c>
      <c r="W4367" t="s">
        <v>16889</v>
      </c>
      <c r="X4367">
        <v>7</v>
      </c>
      <c r="Y4367" t="s">
        <v>23000</v>
      </c>
      <c r="Z4367" t="s">
        <v>29237</v>
      </c>
      <c r="AA4367">
        <v>0.84611147790952002</v>
      </c>
      <c r="AB4367" t="str">
        <f>HYPERLINK("Melting_Curves/meltCurve_Q8WUW1_BRK1.pdf", "Melting_Curves/meltCurve_Q8WUW1_BRK1.pdf")</f>
        <v>Melting_Curves/meltCurve_Q8WUW1_BRK1.pdf</v>
      </c>
    </row>
    <row r="4368" spans="1:28" x14ac:dyDescent="0.25">
      <c r="A4368" t="s">
        <v>4372</v>
      </c>
      <c r="B4368">
        <v>0.99352677808782597</v>
      </c>
      <c r="C4368">
        <v>0.89832422356555897</v>
      </c>
      <c r="D4368">
        <v>1.0578774543012599</v>
      </c>
      <c r="E4368">
        <v>0.85447627178421703</v>
      </c>
      <c r="F4368">
        <v>0.75769164514985499</v>
      </c>
      <c r="G4368">
        <v>0.35481781991968497</v>
      </c>
      <c r="H4368">
        <v>0.122047539445387</v>
      </c>
      <c r="I4368">
        <v>0.10195015962257201</v>
      </c>
      <c r="J4368">
        <v>8.2027637217586005E-2</v>
      </c>
      <c r="K4368">
        <v>6.9402893222793596E-2</v>
      </c>
      <c r="L4368">
        <v>1262.70799985908</v>
      </c>
      <c r="M4368">
        <v>22.928271984426001</v>
      </c>
      <c r="N4368">
        <v>55.367637533126597</v>
      </c>
      <c r="O4368">
        <v>54.658301769069602</v>
      </c>
      <c r="P4368">
        <v>-9.8832592286922899E-2</v>
      </c>
      <c r="Q4368">
        <v>5.7596821296391501E-2</v>
      </c>
      <c r="R4368">
        <v>0.98710835852270795</v>
      </c>
      <c r="S4368" t="s">
        <v>10653</v>
      </c>
      <c r="T4368" t="s">
        <v>12568</v>
      </c>
      <c r="U4368" t="s">
        <v>12568</v>
      </c>
      <c r="V4368" t="s">
        <v>12568</v>
      </c>
      <c r="W4368" t="s">
        <v>16890</v>
      </c>
      <c r="X4368">
        <v>5</v>
      </c>
      <c r="Y4368" t="s">
        <v>23001</v>
      </c>
      <c r="Z4368" t="s">
        <v>29238</v>
      </c>
      <c r="AA4368">
        <v>0.54116229820633399</v>
      </c>
      <c r="AB4368" t="str">
        <f>HYPERLINK("Melting_Curves/meltCurve_Q8WUX2_CHAC2.pdf", "Melting_Curves/meltCurve_Q8WUX2_CHAC2.pdf")</f>
        <v>Melting_Curves/meltCurve_Q8WUX2_CHAC2.pdf</v>
      </c>
    </row>
    <row r="4369" spans="1:28" x14ac:dyDescent="0.25">
      <c r="A4369" t="s">
        <v>4373</v>
      </c>
      <c r="B4369">
        <v>0.99352677808782597</v>
      </c>
      <c r="C4369">
        <v>0.99191141962546703</v>
      </c>
      <c r="D4369">
        <v>0.98223478141111698</v>
      </c>
      <c r="E4369">
        <v>0.36695243278195899</v>
      </c>
      <c r="F4369">
        <v>0.28913479200959802</v>
      </c>
      <c r="G4369">
        <v>0.20736378987668999</v>
      </c>
      <c r="H4369">
        <v>0.16265418538217699</v>
      </c>
      <c r="I4369">
        <v>0.149147722003653</v>
      </c>
      <c r="J4369">
        <v>0.13309880754403899</v>
      </c>
      <c r="K4369">
        <v>0.12517376774719799</v>
      </c>
      <c r="L4369">
        <v>2144.3251921977098</v>
      </c>
      <c r="M4369">
        <v>43.896820684007203</v>
      </c>
      <c r="N4369">
        <v>49.316067243006799</v>
      </c>
      <c r="O4369">
        <v>48.748160450563297</v>
      </c>
      <c r="P4369">
        <v>-0.18684746049988399</v>
      </c>
      <c r="Q4369">
        <v>0.17001214999434799</v>
      </c>
      <c r="R4369">
        <v>0.98833008345532603</v>
      </c>
      <c r="S4369" t="s">
        <v>10654</v>
      </c>
      <c r="T4369" t="s">
        <v>12568</v>
      </c>
      <c r="U4369" t="s">
        <v>12568</v>
      </c>
      <c r="V4369" t="s">
        <v>12568</v>
      </c>
      <c r="W4369" t="s">
        <v>16891</v>
      </c>
      <c r="X4369">
        <v>8</v>
      </c>
      <c r="Y4369" t="s">
        <v>23002</v>
      </c>
      <c r="Z4369" t="s">
        <v>29239</v>
      </c>
      <c r="AA4369">
        <v>0.41716212065367531</v>
      </c>
      <c r="AB4369" t="str">
        <f>HYPERLINK("Melting_Curves/meltCurve_Q8WUX9_CHMP7.pdf", "Melting_Curves/meltCurve_Q8WUX9_CHMP7.pdf")</f>
        <v>Melting_Curves/meltCurve_Q8WUX9_CHMP7.pdf</v>
      </c>
    </row>
    <row r="4370" spans="1:28" x14ac:dyDescent="0.25">
      <c r="A4370" t="s">
        <v>4374</v>
      </c>
      <c r="B4370">
        <v>0.99352677808782597</v>
      </c>
      <c r="C4370">
        <v>0.92704841738903598</v>
      </c>
      <c r="D4370">
        <v>0.92327744701589698</v>
      </c>
      <c r="E4370">
        <v>0.42941122635690698</v>
      </c>
      <c r="F4370">
        <v>0.38047209507029101</v>
      </c>
      <c r="G4370">
        <v>0.23118326941273201</v>
      </c>
      <c r="H4370">
        <v>0.14720647884733501</v>
      </c>
      <c r="I4370">
        <v>0.14376188169566101</v>
      </c>
      <c r="J4370">
        <v>0.103534708190455</v>
      </c>
      <c r="K4370">
        <v>6.8850825068648994E-2</v>
      </c>
      <c r="L4370">
        <v>911.40198657302199</v>
      </c>
      <c r="M4370">
        <v>18.3386903442895</v>
      </c>
      <c r="N4370">
        <v>50.3953865774455</v>
      </c>
      <c r="O4370">
        <v>49.1186645591225</v>
      </c>
      <c r="P4370">
        <v>-8.2886455820357294E-2</v>
      </c>
      <c r="Q4370">
        <v>0.11202265572193</v>
      </c>
      <c r="R4370">
        <v>0.97877235617318203</v>
      </c>
      <c r="S4370" t="s">
        <v>10655</v>
      </c>
      <c r="T4370" t="s">
        <v>12568</v>
      </c>
      <c r="U4370" t="s">
        <v>12568</v>
      </c>
      <c r="V4370" t="s">
        <v>12568</v>
      </c>
      <c r="W4370" t="s">
        <v>16892</v>
      </c>
      <c r="X4370">
        <v>7</v>
      </c>
      <c r="Y4370" t="s">
        <v>23003</v>
      </c>
      <c r="Z4370" t="s">
        <v>29240</v>
      </c>
      <c r="AA4370">
        <v>0.41375310321021891</v>
      </c>
      <c r="AB4370" t="str">
        <f>HYPERLINK("Melting_Curves/meltCurve_Q8WV22_NSMCE1.pdf", "Melting_Curves/meltCurve_Q8WV22_NSMCE1.pdf")</f>
        <v>Melting_Curves/meltCurve_Q8WV22_NSMCE1.pdf</v>
      </c>
    </row>
    <row r="4371" spans="1:28" x14ac:dyDescent="0.25">
      <c r="A4371" t="s">
        <v>4375</v>
      </c>
      <c r="B4371">
        <v>0.99352677808782597</v>
      </c>
      <c r="C4371">
        <v>0.94523762962838598</v>
      </c>
      <c r="D4371">
        <v>1.05241328692334</v>
      </c>
      <c r="E4371">
        <v>0.80775134074019095</v>
      </c>
      <c r="F4371">
        <v>0.67311852751438195</v>
      </c>
      <c r="G4371">
        <v>0.36463680200599502</v>
      </c>
      <c r="H4371">
        <v>0.170604961125182</v>
      </c>
      <c r="I4371">
        <v>0.132748177492228</v>
      </c>
      <c r="J4371">
        <v>0.139401425093545</v>
      </c>
      <c r="K4371">
        <v>9.8089323981255999E-2</v>
      </c>
      <c r="L4371">
        <v>1039.7862377240201</v>
      </c>
      <c r="M4371">
        <v>19.131804050854399</v>
      </c>
      <c r="N4371">
        <v>54.9291100836464</v>
      </c>
      <c r="O4371">
        <v>53.765236368051802</v>
      </c>
      <c r="P4371">
        <v>-8.0819850999428205E-2</v>
      </c>
      <c r="Q4371">
        <v>9.1537868771937994E-2</v>
      </c>
      <c r="R4371">
        <v>0.99104683215768496</v>
      </c>
      <c r="S4371" t="s">
        <v>10656</v>
      </c>
      <c r="T4371" t="s">
        <v>12568</v>
      </c>
      <c r="U4371" t="s">
        <v>12568</v>
      </c>
      <c r="V4371" t="s">
        <v>12568</v>
      </c>
      <c r="W4371" t="s">
        <v>16893</v>
      </c>
      <c r="X4371">
        <v>2</v>
      </c>
      <c r="Y4371" t="s">
        <v>23004</v>
      </c>
      <c r="Z4371" t="s">
        <v>29241</v>
      </c>
      <c r="AA4371">
        <v>0.53918725853692417</v>
      </c>
      <c r="AB4371" t="str">
        <f>HYPERLINK("Melting_Curves/meltCurve_Q8WV41_SNX33.pdf", "Melting_Curves/meltCurve_Q8WV41_SNX33.pdf")</f>
        <v>Melting_Curves/meltCurve_Q8WV41_SNX33.pdf</v>
      </c>
    </row>
    <row r="4372" spans="1:28" x14ac:dyDescent="0.25">
      <c r="A4372" t="s">
        <v>4376</v>
      </c>
      <c r="B4372">
        <v>0.99352677808782597</v>
      </c>
      <c r="C4372">
        <v>0.91966023608025405</v>
      </c>
      <c r="D4372">
        <v>0.87308813176923195</v>
      </c>
      <c r="E4372">
        <v>0.43016689892475601</v>
      </c>
      <c r="F4372">
        <v>0.37299597700555198</v>
      </c>
      <c r="G4372">
        <v>0.21195925883412001</v>
      </c>
      <c r="H4372">
        <v>0.17344601934926901</v>
      </c>
      <c r="I4372">
        <v>0.19913603485917999</v>
      </c>
      <c r="J4372">
        <v>0.139645931277562</v>
      </c>
      <c r="K4372">
        <v>0.11402002741096499</v>
      </c>
      <c r="L4372">
        <v>942.87379138936899</v>
      </c>
      <c r="M4372">
        <v>19.211539701495301</v>
      </c>
      <c r="N4372">
        <v>50.021967204928501</v>
      </c>
      <c r="O4372">
        <v>48.556029737234603</v>
      </c>
      <c r="P4372">
        <v>-8.3884638904375697E-2</v>
      </c>
      <c r="Q4372">
        <v>0.15197854407576999</v>
      </c>
      <c r="R4372">
        <v>0.98569941968668995</v>
      </c>
      <c r="S4372" t="s">
        <v>10657</v>
      </c>
      <c r="T4372" t="s">
        <v>12568</v>
      </c>
      <c r="U4372" t="s">
        <v>12568</v>
      </c>
      <c r="V4372" t="s">
        <v>12568</v>
      </c>
      <c r="W4372" t="s">
        <v>16894</v>
      </c>
      <c r="X4372">
        <v>5</v>
      </c>
      <c r="Y4372" t="s">
        <v>23005</v>
      </c>
      <c r="Z4372" t="s">
        <v>29242</v>
      </c>
      <c r="AA4372">
        <v>0.42147942418439899</v>
      </c>
      <c r="AB4372" t="str">
        <f>HYPERLINK("Melting_Curves/meltCurve_Q8WV92_MITD1.pdf", "Melting_Curves/meltCurve_Q8WV92_MITD1.pdf")</f>
        <v>Melting_Curves/meltCurve_Q8WV92_MITD1.pdf</v>
      </c>
    </row>
    <row r="4373" spans="1:28" x14ac:dyDescent="0.25">
      <c r="A4373" t="s">
        <v>4377</v>
      </c>
      <c r="B4373">
        <v>0.99352677808782597</v>
      </c>
      <c r="C4373">
        <v>0.95678252632475602</v>
      </c>
      <c r="D4373">
        <v>0.87262532398481796</v>
      </c>
      <c r="E4373">
        <v>0.77360872906447697</v>
      </c>
      <c r="F4373">
        <v>0.66725995622551504</v>
      </c>
      <c r="G4373">
        <v>0.558730182588969</v>
      </c>
      <c r="H4373">
        <v>0.42017919638300399</v>
      </c>
      <c r="I4373">
        <v>0.35913987869691499</v>
      </c>
      <c r="J4373">
        <v>0.27915665540656798</v>
      </c>
      <c r="K4373">
        <v>0.19866755947742501</v>
      </c>
      <c r="L4373">
        <v>442.19322122247797</v>
      </c>
      <c r="M4373">
        <v>7.5722793307177598</v>
      </c>
      <c r="N4373">
        <v>58.396319396044298</v>
      </c>
      <c r="O4373">
        <v>54.740697683242999</v>
      </c>
      <c r="P4373">
        <v>-3.4630480058769002E-2</v>
      </c>
      <c r="Q4373">
        <v>0</v>
      </c>
      <c r="R4373">
        <v>0.99676521901569004</v>
      </c>
      <c r="S4373" t="s">
        <v>10658</v>
      </c>
      <c r="T4373" t="s">
        <v>12568</v>
      </c>
      <c r="U4373" t="s">
        <v>12568</v>
      </c>
      <c r="V4373" t="s">
        <v>12568</v>
      </c>
      <c r="W4373" t="s">
        <v>16895</v>
      </c>
      <c r="X4373">
        <v>2</v>
      </c>
      <c r="Y4373" t="s">
        <v>23006</v>
      </c>
      <c r="Z4373" t="s">
        <v>29243</v>
      </c>
      <c r="AA4373">
        <v>0.6110372480310623</v>
      </c>
      <c r="AB4373" t="str">
        <f>HYPERLINK("Melting_Curves/meltCurve_Q8WVB3_HEXDC.pdf", "Melting_Curves/meltCurve_Q8WVB3_HEXDC.pdf")</f>
        <v>Melting_Curves/meltCurve_Q8WVB3_HEXDC.pdf</v>
      </c>
    </row>
    <row r="4374" spans="1:28" x14ac:dyDescent="0.25">
      <c r="A4374" t="s">
        <v>4378</v>
      </c>
      <c r="B4374">
        <v>0.99352677808782597</v>
      </c>
      <c r="C4374">
        <v>0.80739234470211296</v>
      </c>
      <c r="D4374">
        <v>1.04983752839095</v>
      </c>
      <c r="E4374">
        <v>0.82785993102724598</v>
      </c>
      <c r="F4374">
        <v>0.85152219939526197</v>
      </c>
      <c r="G4374">
        <v>0.76616081922551005</v>
      </c>
      <c r="H4374">
        <v>0.73291060833741495</v>
      </c>
      <c r="I4374">
        <v>0.793578907524215</v>
      </c>
      <c r="J4374">
        <v>0.77817592603444696</v>
      </c>
      <c r="K4374">
        <v>0.77408675845029795</v>
      </c>
      <c r="L4374">
        <v>446.01109598166602</v>
      </c>
      <c r="M4374">
        <v>9.0771634041633806</v>
      </c>
      <c r="O4374">
        <v>46.926782643216299</v>
      </c>
      <c r="P4374">
        <v>-1.24540945077575E-2</v>
      </c>
      <c r="Q4374">
        <v>0.74264207441130303</v>
      </c>
      <c r="R4374">
        <v>0.53049028188348601</v>
      </c>
      <c r="S4374" t="s">
        <v>10659</v>
      </c>
      <c r="T4374" t="s">
        <v>12568</v>
      </c>
      <c r="U4374" t="s">
        <v>12568</v>
      </c>
      <c r="V4374" t="s">
        <v>12568</v>
      </c>
      <c r="W4374" t="s">
        <v>16896</v>
      </c>
      <c r="X4374">
        <v>4</v>
      </c>
      <c r="Y4374" t="s">
        <v>23007</v>
      </c>
      <c r="Z4374" t="s">
        <v>29244</v>
      </c>
      <c r="AA4374">
        <v>0.83528625826852321</v>
      </c>
      <c r="AB4374" t="str">
        <f>HYPERLINK("Melting_Curves/meltCurve_Q8WVB6_CHTF18.pdf", "Melting_Curves/meltCurve_Q8WVB6_CHTF18.pdf")</f>
        <v>Melting_Curves/meltCurve_Q8WVB6_CHTF18.pdf</v>
      </c>
    </row>
    <row r="4375" spans="1:28" x14ac:dyDescent="0.25">
      <c r="A4375" t="s">
        <v>4379</v>
      </c>
      <c r="B4375">
        <v>0.99352677808782597</v>
      </c>
      <c r="C4375">
        <v>1.03846023496957</v>
      </c>
      <c r="D4375">
        <v>0.97287125230971805</v>
      </c>
      <c r="E4375">
        <v>1.05468840613074</v>
      </c>
      <c r="F4375">
        <v>0.95137426366789102</v>
      </c>
      <c r="G4375">
        <v>0.758074305954335</v>
      </c>
      <c r="H4375">
        <v>0.85889838783205197</v>
      </c>
      <c r="I4375">
        <v>0.93625679131407902</v>
      </c>
      <c r="J4375">
        <v>1.25365401581893</v>
      </c>
      <c r="K4375">
        <v>0.95865613372567804</v>
      </c>
      <c r="L4375">
        <v>3330.59818662927</v>
      </c>
      <c r="M4375">
        <v>51.236171621416503</v>
      </c>
      <c r="O4375">
        <v>64.906022762281907</v>
      </c>
      <c r="P4375">
        <v>1.65061761327524E-2</v>
      </c>
      <c r="Q4375">
        <v>1.0836400834408699</v>
      </c>
      <c r="R4375">
        <v>4.6004162808601402E-2</v>
      </c>
      <c r="S4375" t="s">
        <v>10660</v>
      </c>
      <c r="T4375" t="s">
        <v>12568</v>
      </c>
      <c r="U4375" t="s">
        <v>12568</v>
      </c>
      <c r="V4375" t="s">
        <v>12568</v>
      </c>
      <c r="W4375" t="s">
        <v>16897</v>
      </c>
      <c r="X4375">
        <v>16</v>
      </c>
      <c r="Y4375" t="s">
        <v>23008</v>
      </c>
      <c r="Z4375" t="s">
        <v>29245</v>
      </c>
      <c r="AA4375">
        <v>1.0138075733980709</v>
      </c>
      <c r="AB4375" t="str">
        <f>HYPERLINK("Melting_Curves/meltCurve_Q8WVC0_LEO1.pdf", "Melting_Curves/meltCurve_Q8WVC0_LEO1.pdf")</f>
        <v>Melting_Curves/meltCurve_Q8WVC0_LEO1.pdf</v>
      </c>
    </row>
    <row r="4376" spans="1:28" x14ac:dyDescent="0.25">
      <c r="A4376" t="s">
        <v>4380</v>
      </c>
      <c r="B4376">
        <v>0.99352677808782597</v>
      </c>
      <c r="C4376">
        <v>0.94271603379434699</v>
      </c>
      <c r="D4376">
        <v>0.97863505365317605</v>
      </c>
      <c r="E4376">
        <v>0.85214821280264297</v>
      </c>
      <c r="F4376">
        <v>0.74352250401700803</v>
      </c>
      <c r="G4376">
        <v>0.71276750500566699</v>
      </c>
      <c r="H4376">
        <v>0.57807784307037602</v>
      </c>
      <c r="I4376">
        <v>0.62797049647974301</v>
      </c>
      <c r="J4376">
        <v>0.604803570389295</v>
      </c>
      <c r="K4376">
        <v>0.49794285717002001</v>
      </c>
      <c r="L4376">
        <v>587.69474796485201</v>
      </c>
      <c r="M4376">
        <v>10.9096435307686</v>
      </c>
      <c r="O4376">
        <v>52.154151212522699</v>
      </c>
      <c r="P4376">
        <v>-2.55186597038339E-2</v>
      </c>
      <c r="Q4376">
        <v>0.51219646056785495</v>
      </c>
      <c r="R4376">
        <v>0.95703394516967599</v>
      </c>
      <c r="S4376" t="s">
        <v>10661</v>
      </c>
      <c r="T4376" t="s">
        <v>12568</v>
      </c>
      <c r="U4376" t="s">
        <v>12568</v>
      </c>
      <c r="V4376" t="s">
        <v>12568</v>
      </c>
      <c r="W4376" t="s">
        <v>16898</v>
      </c>
      <c r="X4376">
        <v>5</v>
      </c>
      <c r="Y4376" t="s">
        <v>23009</v>
      </c>
      <c r="Z4376" t="s">
        <v>29246</v>
      </c>
      <c r="AA4376">
        <v>0.75174636628502234</v>
      </c>
      <c r="AB4376" t="str">
        <f>HYPERLINK("Melting_Curves/meltCurve_Q8WVC2_RPS21.pdf", "Melting_Curves/meltCurve_Q8WVC2_RPS21.pdf")</f>
        <v>Melting_Curves/meltCurve_Q8WVC2_RPS21.pdf</v>
      </c>
    </row>
    <row r="4377" spans="1:28" x14ac:dyDescent="0.25">
      <c r="A4377" t="s">
        <v>4381</v>
      </c>
      <c r="B4377">
        <v>0.99352677808782597</v>
      </c>
      <c r="C4377">
        <v>0.94342946142561901</v>
      </c>
      <c r="D4377">
        <v>0.87950101736957598</v>
      </c>
      <c r="E4377">
        <v>0.71944295018800497</v>
      </c>
      <c r="F4377">
        <v>0.68659784117048495</v>
      </c>
      <c r="G4377">
        <v>0.58430496013345001</v>
      </c>
      <c r="H4377">
        <v>0.41708135425757698</v>
      </c>
      <c r="I4377">
        <v>0.47067608082377099</v>
      </c>
      <c r="J4377">
        <v>0.44729314170960999</v>
      </c>
      <c r="K4377">
        <v>0.43965874603688998</v>
      </c>
      <c r="L4377">
        <v>583.21455864274196</v>
      </c>
      <c r="M4377">
        <v>11.3044667491284</v>
      </c>
      <c r="N4377">
        <v>60.033410796634797</v>
      </c>
      <c r="O4377">
        <v>50.056129865630801</v>
      </c>
      <c r="P4377">
        <v>-3.3998620366243099E-2</v>
      </c>
      <c r="Q4377">
        <v>0.39799983738631001</v>
      </c>
      <c r="R4377">
        <v>0.97990692497576104</v>
      </c>
      <c r="S4377" t="s">
        <v>10662</v>
      </c>
      <c r="T4377" t="s">
        <v>12568</v>
      </c>
      <c r="U4377" t="s">
        <v>12568</v>
      </c>
      <c r="V4377" t="s">
        <v>12568</v>
      </c>
      <c r="W4377" t="s">
        <v>16899</v>
      </c>
      <c r="X4377">
        <v>3</v>
      </c>
      <c r="Y4377" t="s">
        <v>23010</v>
      </c>
      <c r="Z4377" t="s">
        <v>29247</v>
      </c>
      <c r="AA4377">
        <v>0.65106971011923565</v>
      </c>
      <c r="AB4377" t="str">
        <f>HYPERLINK("Melting_Curves/meltCurve_Q8WVD3_RNF138.pdf", "Melting_Curves/meltCurve_Q8WVD3_RNF138.pdf")</f>
        <v>Melting_Curves/meltCurve_Q8WVD3_RNF138.pdf</v>
      </c>
    </row>
    <row r="4378" spans="1:28" x14ac:dyDescent="0.25">
      <c r="A4378" t="s">
        <v>4382</v>
      </c>
      <c r="B4378">
        <v>0.99352677808782597</v>
      </c>
      <c r="C4378">
        <v>0.86926233863291003</v>
      </c>
      <c r="D4378">
        <v>0.82083877781538905</v>
      </c>
      <c r="E4378">
        <v>0.234907886281851</v>
      </c>
      <c r="F4378">
        <v>0.16371246670581799</v>
      </c>
      <c r="G4378">
        <v>0.107269275028801</v>
      </c>
      <c r="H4378">
        <v>5.1738236001896802E-2</v>
      </c>
      <c r="I4378">
        <v>4.7965550403115398E-2</v>
      </c>
      <c r="J4378">
        <v>4.4228273864627098E-2</v>
      </c>
      <c r="K4378">
        <v>3.7633391162312103E-2</v>
      </c>
      <c r="L4378">
        <v>1322.3967608989501</v>
      </c>
      <c r="M4378">
        <v>27.606859985901501</v>
      </c>
      <c r="N4378">
        <v>48.1133395316077</v>
      </c>
      <c r="O4378">
        <v>47.6517977109459</v>
      </c>
      <c r="P4378">
        <v>-0.136531872371081</v>
      </c>
      <c r="Q4378">
        <v>5.7345933271507103E-2</v>
      </c>
      <c r="R4378">
        <v>0.98710280386473703</v>
      </c>
      <c r="S4378" t="s">
        <v>10663</v>
      </c>
      <c r="T4378" t="s">
        <v>12568</v>
      </c>
      <c r="U4378" t="s">
        <v>12568</v>
      </c>
      <c r="V4378" t="s">
        <v>12568</v>
      </c>
      <c r="W4378" t="s">
        <v>16900</v>
      </c>
      <c r="X4378">
        <v>1</v>
      </c>
      <c r="Y4378" t="s">
        <v>23011</v>
      </c>
      <c r="Z4378" t="s">
        <v>29248</v>
      </c>
      <c r="AA4378">
        <v>0.31236228425749829</v>
      </c>
      <c r="AB4378" t="str">
        <f>HYPERLINK("Melting_Curves/meltCurve_Q8WVE0_N6AMT2.pdf", "Melting_Curves/meltCurve_Q8WVE0_N6AMT2.pdf")</f>
        <v>Melting_Curves/meltCurve_Q8WVE0_N6AMT2.pdf</v>
      </c>
    </row>
    <row r="4379" spans="1:28" x14ac:dyDescent="0.25">
      <c r="A4379" t="s">
        <v>4383</v>
      </c>
      <c r="B4379">
        <v>0.99352677808782597</v>
      </c>
      <c r="C4379">
        <v>0.62405031527675903</v>
      </c>
      <c r="D4379">
        <v>1.2192170810278</v>
      </c>
      <c r="E4379">
        <v>0.76878938836328803</v>
      </c>
      <c r="F4379">
        <v>0.70030374527866801</v>
      </c>
      <c r="G4379">
        <v>0.42319662545782499</v>
      </c>
      <c r="H4379">
        <v>0.176492391934673</v>
      </c>
      <c r="I4379">
        <v>0.15108390248241199</v>
      </c>
      <c r="J4379">
        <v>0.15017304134904999</v>
      </c>
      <c r="K4379">
        <v>0.12666273647993501</v>
      </c>
      <c r="L4379">
        <v>983.82777982964205</v>
      </c>
      <c r="M4379">
        <v>17.9815269358824</v>
      </c>
      <c r="N4379">
        <v>55.393522303389702</v>
      </c>
      <c r="O4379">
        <v>54.050025467323501</v>
      </c>
      <c r="P4379">
        <v>-7.4934736527201895E-2</v>
      </c>
      <c r="Q4379">
        <v>9.9070170415473405E-2</v>
      </c>
      <c r="R4379">
        <v>0.84648091073396503</v>
      </c>
      <c r="S4379" t="s">
        <v>10664</v>
      </c>
      <c r="T4379" t="s">
        <v>12568</v>
      </c>
      <c r="U4379" t="s">
        <v>12568</v>
      </c>
      <c r="V4379" t="s">
        <v>12568</v>
      </c>
      <c r="W4379" t="s">
        <v>16901</v>
      </c>
      <c r="X4379">
        <v>9</v>
      </c>
      <c r="Y4379" t="s">
        <v>23012</v>
      </c>
      <c r="Z4379" t="s">
        <v>29249</v>
      </c>
      <c r="AA4379">
        <v>0.55503518639901439</v>
      </c>
      <c r="AB4379" t="str">
        <f>HYPERLINK("Melting_Curves/meltCurve_Q8WVJ2_NUDCD2.pdf", "Melting_Curves/meltCurve_Q8WVJ2_NUDCD2.pdf")</f>
        <v>Melting_Curves/meltCurve_Q8WVJ2_NUDCD2.pdf</v>
      </c>
    </row>
    <row r="4380" spans="1:28" x14ac:dyDescent="0.25">
      <c r="A4380" t="s">
        <v>4384</v>
      </c>
      <c r="B4380">
        <v>0.99352677808782597</v>
      </c>
      <c r="C4380">
        <v>1.0503025800644701</v>
      </c>
      <c r="D4380">
        <v>1.07577298125925</v>
      </c>
      <c r="E4380">
        <v>1.05509829059545</v>
      </c>
      <c r="F4380">
        <v>0.930854505315028</v>
      </c>
      <c r="G4380">
        <v>0.81179643499423604</v>
      </c>
      <c r="H4380">
        <v>0.77747879080706706</v>
      </c>
      <c r="I4380">
        <v>0.89641642650321696</v>
      </c>
      <c r="J4380">
        <v>0.91948506508265304</v>
      </c>
      <c r="K4380">
        <v>0.73312509899572498</v>
      </c>
      <c r="L4380">
        <v>13271.221217677599</v>
      </c>
      <c r="M4380">
        <v>250</v>
      </c>
      <c r="O4380">
        <v>53.081500684154499</v>
      </c>
      <c r="P4380">
        <v>-0.20291871808971801</v>
      </c>
      <c r="Q4380">
        <v>0.82766036073648597</v>
      </c>
      <c r="R4380">
        <v>0.72631595087159995</v>
      </c>
      <c r="S4380" t="s">
        <v>10665</v>
      </c>
      <c r="T4380" t="s">
        <v>12568</v>
      </c>
      <c r="U4380" t="s">
        <v>12568</v>
      </c>
      <c r="V4380" t="s">
        <v>12568</v>
      </c>
      <c r="W4380" t="s">
        <v>16902</v>
      </c>
      <c r="X4380">
        <v>2</v>
      </c>
      <c r="Y4380" t="s">
        <v>23013</v>
      </c>
      <c r="Z4380" t="s">
        <v>29250</v>
      </c>
      <c r="AA4380">
        <v>0.90284456105368682</v>
      </c>
      <c r="AB4380" t="str">
        <f>HYPERLINK("Melting_Curves/meltCurve_Q8WVK2_SNRNP27.pdf", "Melting_Curves/meltCurve_Q8WVK2_SNRNP27.pdf")</f>
        <v>Melting_Curves/meltCurve_Q8WVK2_SNRNP27.pdf</v>
      </c>
    </row>
    <row r="4381" spans="1:28" x14ac:dyDescent="0.25">
      <c r="A4381" t="s">
        <v>4385</v>
      </c>
      <c r="B4381">
        <v>0.99352677808782597</v>
      </c>
      <c r="C4381">
        <v>0.95752753479341801</v>
      </c>
      <c r="D4381">
        <v>0.87374261557636701</v>
      </c>
      <c r="E4381">
        <v>0.64393617885816901</v>
      </c>
      <c r="F4381">
        <v>0.55389221233091301</v>
      </c>
      <c r="G4381">
        <v>0.29264505276597202</v>
      </c>
      <c r="H4381">
        <v>0.183861109946831</v>
      </c>
      <c r="I4381">
        <v>0.20133505419157599</v>
      </c>
      <c r="J4381">
        <v>0.17068443109617401</v>
      </c>
      <c r="K4381">
        <v>0.15079634176845</v>
      </c>
      <c r="L4381">
        <v>731.77614012340803</v>
      </c>
      <c r="M4381">
        <v>14.1057176783332</v>
      </c>
      <c r="N4381">
        <v>52.961769758538402</v>
      </c>
      <c r="O4381">
        <v>50.868704100785898</v>
      </c>
      <c r="P4381">
        <v>-6.0641204676083797E-2</v>
      </c>
      <c r="Q4381">
        <v>0.12536369837997199</v>
      </c>
      <c r="R4381">
        <v>0.99385159656219901</v>
      </c>
      <c r="S4381" t="s">
        <v>10666</v>
      </c>
      <c r="T4381" t="s">
        <v>12568</v>
      </c>
      <c r="U4381" t="s">
        <v>12568</v>
      </c>
      <c r="V4381" t="s">
        <v>12568</v>
      </c>
      <c r="W4381" t="s">
        <v>16903</v>
      </c>
      <c r="X4381">
        <v>2</v>
      </c>
      <c r="Y4381" t="s">
        <v>23014</v>
      </c>
      <c r="Z4381" t="s">
        <v>29251</v>
      </c>
      <c r="AA4381">
        <v>0.4932097039543924</v>
      </c>
      <c r="AB4381" t="str">
        <f>HYPERLINK("Melting_Curves/meltCurve_Q8WVL7_ANKRD49.pdf", "Melting_Curves/meltCurve_Q8WVL7_ANKRD49.pdf")</f>
        <v>Melting_Curves/meltCurve_Q8WVL7_ANKRD49.pdf</v>
      </c>
    </row>
    <row r="4382" spans="1:28" x14ac:dyDescent="0.25">
      <c r="A4382" t="s">
        <v>4386</v>
      </c>
      <c r="B4382">
        <v>0.99352677808782597</v>
      </c>
      <c r="C4382">
        <v>0.97610014003202095</v>
      </c>
      <c r="D4382">
        <v>0.95276418685541497</v>
      </c>
      <c r="E4382">
        <v>0.32097069644933501</v>
      </c>
      <c r="F4382">
        <v>0.230799321173877</v>
      </c>
      <c r="G4382">
        <v>0.13301745373116799</v>
      </c>
      <c r="H4382">
        <v>9.3605400235965794E-2</v>
      </c>
      <c r="I4382">
        <v>8.4279824138541695E-2</v>
      </c>
      <c r="J4382">
        <v>7.6892825465575507E-2</v>
      </c>
      <c r="K4382">
        <v>6.0305539952394502E-2</v>
      </c>
      <c r="L4382">
        <v>1866.6266848233799</v>
      </c>
      <c r="M4382">
        <v>38.273148400229701</v>
      </c>
      <c r="N4382">
        <v>49.062339511954598</v>
      </c>
      <c r="O4382">
        <v>48.638606638948197</v>
      </c>
      <c r="P4382">
        <v>-0.17673690897620001</v>
      </c>
      <c r="Q4382">
        <v>0.10159304420856299</v>
      </c>
      <c r="R4382">
        <v>0.99072224942402098</v>
      </c>
      <c r="S4382" t="s">
        <v>10667</v>
      </c>
      <c r="T4382" t="s">
        <v>12568</v>
      </c>
      <c r="U4382" t="s">
        <v>12568</v>
      </c>
      <c r="V4382" t="s">
        <v>12568</v>
      </c>
      <c r="W4382" t="s">
        <v>16904</v>
      </c>
      <c r="X4382">
        <v>8</v>
      </c>
      <c r="Y4382" t="s">
        <v>23015</v>
      </c>
      <c r="Z4382" t="s">
        <v>29252</v>
      </c>
      <c r="AA4382">
        <v>0.36757941000493422</v>
      </c>
      <c r="AB4382" t="str">
        <f>HYPERLINK("Melting_Curves/meltCurve_Q8WVM8_SCFD1.pdf", "Melting_Curves/meltCurve_Q8WVM8_SCFD1.pdf")</f>
        <v>Melting_Curves/meltCurve_Q8WVM8_SCFD1.pdf</v>
      </c>
    </row>
    <row r="4383" spans="1:28" x14ac:dyDescent="0.25">
      <c r="A4383" t="s">
        <v>4387</v>
      </c>
      <c r="B4383">
        <v>0.99352677808782597</v>
      </c>
      <c r="C4383">
        <v>0.93894270268354096</v>
      </c>
      <c r="D4383">
        <v>1.0182794944725599</v>
      </c>
      <c r="E4383">
        <v>0.82865903709737299</v>
      </c>
      <c r="F4383">
        <v>0.78376911724160103</v>
      </c>
      <c r="G4383">
        <v>0.459773473856259</v>
      </c>
      <c r="H4383">
        <v>0.13412353477828101</v>
      </c>
      <c r="I4383">
        <v>9.7043124223293406E-2</v>
      </c>
      <c r="J4383">
        <v>9.1744785614826505E-2</v>
      </c>
      <c r="K4383">
        <v>6.3708302229381106E-2</v>
      </c>
      <c r="L4383">
        <v>1078.66259919818</v>
      </c>
      <c r="M4383">
        <v>19.288301002439201</v>
      </c>
      <c r="N4383">
        <v>56.099429075720302</v>
      </c>
      <c r="O4383">
        <v>55.332445607683603</v>
      </c>
      <c r="P4383">
        <v>-8.4587704163623101E-2</v>
      </c>
      <c r="Q4383">
        <v>2.9407747853006101E-2</v>
      </c>
      <c r="R4383">
        <v>0.98853599340515497</v>
      </c>
      <c r="S4383" t="s">
        <v>10668</v>
      </c>
      <c r="T4383" t="s">
        <v>12568</v>
      </c>
      <c r="U4383" t="s">
        <v>12568</v>
      </c>
      <c r="V4383" t="s">
        <v>12568</v>
      </c>
      <c r="W4383" t="s">
        <v>16905</v>
      </c>
      <c r="X4383">
        <v>4</v>
      </c>
      <c r="Y4383" t="s">
        <v>23016</v>
      </c>
      <c r="Z4383" t="s">
        <v>29253</v>
      </c>
      <c r="AA4383">
        <v>0.55773718357858659</v>
      </c>
      <c r="AB4383" t="str">
        <f>HYPERLINK("Melting_Curves/meltCurve_Q8WVN8_3_UBE2Q2.pdf", "Melting_Curves/meltCurve_Q8WVN8_3_UBE2Q2.pdf")</f>
        <v>Melting_Curves/meltCurve_Q8WVN8_3_UBE2Q2.pdf</v>
      </c>
    </row>
    <row r="4384" spans="1:28" x14ac:dyDescent="0.25">
      <c r="A4384" t="s">
        <v>4388</v>
      </c>
      <c r="B4384">
        <v>0.99352677808782597</v>
      </c>
      <c r="C4384">
        <v>0.85884933191257296</v>
      </c>
      <c r="D4384">
        <v>0.69474036813190598</v>
      </c>
      <c r="E4384">
        <v>0.46117481822807799</v>
      </c>
      <c r="F4384">
        <v>0.37485223349462299</v>
      </c>
      <c r="G4384">
        <v>0.26577870382450802</v>
      </c>
      <c r="H4384">
        <v>0.21975468712865801</v>
      </c>
      <c r="I4384">
        <v>0.20055719366421901</v>
      </c>
      <c r="J4384">
        <v>0.204413276347298</v>
      </c>
      <c r="K4384">
        <v>0.15546905759722801</v>
      </c>
      <c r="L4384">
        <v>655.40663732627695</v>
      </c>
      <c r="M4384">
        <v>13.6526178202294</v>
      </c>
      <c r="N4384">
        <v>49.552684021312103</v>
      </c>
      <c r="O4384">
        <v>47.011106423439898</v>
      </c>
      <c r="P4384">
        <v>-6.0015760214118898E-2</v>
      </c>
      <c r="Q4384">
        <v>0.173492907174844</v>
      </c>
      <c r="R4384">
        <v>0.99520335425969997</v>
      </c>
      <c r="S4384" t="s">
        <v>10669</v>
      </c>
      <c r="T4384" t="s">
        <v>12568</v>
      </c>
      <c r="U4384" t="s">
        <v>12568</v>
      </c>
      <c r="V4384" t="s">
        <v>12568</v>
      </c>
      <c r="W4384" t="s">
        <v>16906</v>
      </c>
      <c r="X4384">
        <v>7</v>
      </c>
      <c r="Y4384" t="s">
        <v>23017</v>
      </c>
      <c r="Z4384" t="s">
        <v>29254</v>
      </c>
      <c r="AA4384">
        <v>0.41957897979887521</v>
      </c>
      <c r="AB4384" t="str">
        <f>HYPERLINK("Melting_Curves/meltCurve_Q8WVT3_TRAPPC12.pdf", "Melting_Curves/meltCurve_Q8WVT3_TRAPPC12.pdf")</f>
        <v>Melting_Curves/meltCurve_Q8WVT3_TRAPPC12.pdf</v>
      </c>
    </row>
    <row r="4385" spans="1:28" x14ac:dyDescent="0.25">
      <c r="A4385" t="s">
        <v>4389</v>
      </c>
      <c r="B4385">
        <v>0.99352677808782597</v>
      </c>
      <c r="C4385">
        <v>0.96462464641154</v>
      </c>
      <c r="D4385">
        <v>0.92842139504186905</v>
      </c>
      <c r="E4385">
        <v>0.65200648009169704</v>
      </c>
      <c r="F4385">
        <v>0.55531412291779103</v>
      </c>
      <c r="G4385">
        <v>0.43680275414272901</v>
      </c>
      <c r="H4385">
        <v>0.365712451916477</v>
      </c>
      <c r="I4385">
        <v>0.36744004245060702</v>
      </c>
      <c r="J4385">
        <v>0.40166979582110202</v>
      </c>
      <c r="K4385">
        <v>0.354926589726692</v>
      </c>
      <c r="L4385">
        <v>946.56241562220805</v>
      </c>
      <c r="M4385">
        <v>18.9133538106882</v>
      </c>
      <c r="N4385">
        <v>53.817834268610298</v>
      </c>
      <c r="O4385">
        <v>49.497896019856</v>
      </c>
      <c r="P4385">
        <v>-6.0459938981567297E-2</v>
      </c>
      <c r="Q4385">
        <v>0.36711011368597801</v>
      </c>
      <c r="R4385">
        <v>0.99284934408738801</v>
      </c>
      <c r="S4385" t="s">
        <v>10670</v>
      </c>
      <c r="T4385" t="s">
        <v>12568</v>
      </c>
      <c r="U4385" t="s">
        <v>12568</v>
      </c>
      <c r="V4385" t="s">
        <v>12568</v>
      </c>
      <c r="W4385" t="s">
        <v>16907</v>
      </c>
      <c r="X4385">
        <v>10</v>
      </c>
      <c r="Y4385" t="s">
        <v>23018</v>
      </c>
      <c r="Z4385" t="s">
        <v>29255</v>
      </c>
      <c r="AA4385">
        <v>0.58888575402168086</v>
      </c>
      <c r="AB4385" t="str">
        <f>HYPERLINK("Melting_Curves/meltCurve_Q8WVV4_POF1B.pdf", "Melting_Curves/meltCurve_Q8WVV4_POF1B.pdf")</f>
        <v>Melting_Curves/meltCurve_Q8WVV4_POF1B.pdf</v>
      </c>
    </row>
    <row r="4386" spans="1:28" x14ac:dyDescent="0.25">
      <c r="A4386" t="s">
        <v>4390</v>
      </c>
      <c r="B4386">
        <v>0.99352677808782597</v>
      </c>
      <c r="C4386">
        <v>0.90750620396496495</v>
      </c>
      <c r="D4386">
        <v>0.86454664832734995</v>
      </c>
      <c r="E4386">
        <v>0.38056733759504802</v>
      </c>
      <c r="F4386">
        <v>0.319598594630983</v>
      </c>
      <c r="G4386">
        <v>0.26296370587040002</v>
      </c>
      <c r="H4386">
        <v>0.2204805610752</v>
      </c>
      <c r="I4386">
        <v>0.23491858932416201</v>
      </c>
      <c r="J4386">
        <v>0.18986757782435401</v>
      </c>
      <c r="K4386">
        <v>0.16753092463403399</v>
      </c>
      <c r="L4386">
        <v>1294.4037530767901</v>
      </c>
      <c r="M4386">
        <v>26.900008955733199</v>
      </c>
      <c r="N4386">
        <v>49.145496651655499</v>
      </c>
      <c r="O4386">
        <v>47.855516237309999</v>
      </c>
      <c r="P4386">
        <v>-0.1103272680564</v>
      </c>
      <c r="Q4386">
        <v>0.21491253629582599</v>
      </c>
      <c r="R4386">
        <v>0.98552234945898298</v>
      </c>
      <c r="S4386" t="s">
        <v>10671</v>
      </c>
      <c r="T4386" t="s">
        <v>12568</v>
      </c>
      <c r="U4386" t="s">
        <v>12568</v>
      </c>
      <c r="V4386" t="s">
        <v>12568</v>
      </c>
      <c r="W4386" t="s">
        <v>16908</v>
      </c>
      <c r="X4386">
        <v>12</v>
      </c>
      <c r="Y4386" t="s">
        <v>23019</v>
      </c>
      <c r="Z4386" t="s">
        <v>29256</v>
      </c>
      <c r="AA4386">
        <v>0.43332968234210029</v>
      </c>
      <c r="AB4386" t="str">
        <f>HYPERLINK("Melting_Curves/meltCurve_Q8WVV9_4_HNRPLL.pdf", "Melting_Curves/meltCurve_Q8WVV9_4_HNRPLL.pdf")</f>
        <v>Melting_Curves/meltCurve_Q8WVV9_4_HNRPLL.pdf</v>
      </c>
    </row>
    <row r="4387" spans="1:28" x14ac:dyDescent="0.25">
      <c r="A4387" t="s">
        <v>4391</v>
      </c>
      <c r="B4387">
        <v>0.99352677808782597</v>
      </c>
      <c r="C4387">
        <v>0.78345675455933095</v>
      </c>
      <c r="D4387">
        <v>1.0564656399896999</v>
      </c>
      <c r="E4387">
        <v>0.25064219880761501</v>
      </c>
      <c r="F4387">
        <v>0.169473231269235</v>
      </c>
      <c r="G4387">
        <v>0.103994841802176</v>
      </c>
      <c r="H4387">
        <v>6.8907356871340697E-2</v>
      </c>
      <c r="I4387">
        <v>6.5250124146880098E-2</v>
      </c>
      <c r="J4387">
        <v>5.4204400430556299E-2</v>
      </c>
      <c r="K4387">
        <v>4.3082809457807299E-2</v>
      </c>
      <c r="L4387">
        <v>4984.9823192906997</v>
      </c>
      <c r="M4387">
        <v>101.197139795307</v>
      </c>
      <c r="N4387">
        <v>49.349725280082303</v>
      </c>
      <c r="O4387">
        <v>49.240895097411403</v>
      </c>
      <c r="P4387">
        <v>-0.47066609192188302</v>
      </c>
      <c r="Q4387">
        <v>8.3926178175146096E-2</v>
      </c>
      <c r="R4387">
        <v>0.96056847145792101</v>
      </c>
      <c r="S4387" t="s">
        <v>10672</v>
      </c>
      <c r="T4387" t="s">
        <v>12568</v>
      </c>
      <c r="U4387" t="s">
        <v>12568</v>
      </c>
      <c r="V4387" t="s">
        <v>12568</v>
      </c>
      <c r="W4387" t="s">
        <v>16909</v>
      </c>
      <c r="X4387">
        <v>14</v>
      </c>
      <c r="Y4387" t="s">
        <v>23020</v>
      </c>
      <c r="Z4387" t="s">
        <v>29257</v>
      </c>
      <c r="AA4387">
        <v>0.36717489053860802</v>
      </c>
      <c r="AB4387" t="str">
        <f>HYPERLINK("Melting_Curves/meltCurve_Q8WVY7_UBLCP1.pdf", "Melting_Curves/meltCurve_Q8WVY7_UBLCP1.pdf")</f>
        <v>Melting_Curves/meltCurve_Q8WVY7_UBLCP1.pdf</v>
      </c>
    </row>
    <row r="4388" spans="1:28" x14ac:dyDescent="0.25">
      <c r="A4388" t="s">
        <v>4392</v>
      </c>
      <c r="B4388">
        <v>0.99352677808782597</v>
      </c>
      <c r="C4388">
        <v>1.01089379481254</v>
      </c>
      <c r="D4388">
        <v>0.99566287306843104</v>
      </c>
      <c r="E4388">
        <v>1.10801526871422</v>
      </c>
      <c r="F4388">
        <v>1.0154624189218899</v>
      </c>
      <c r="G4388">
        <v>0.88736976592445005</v>
      </c>
      <c r="H4388">
        <v>0.59394544595509302</v>
      </c>
      <c r="I4388">
        <v>0.490724846903065</v>
      </c>
      <c r="J4388">
        <v>0.32127059615374398</v>
      </c>
      <c r="K4388">
        <v>0.20979101465233399</v>
      </c>
      <c r="L4388">
        <v>1282.2249063086001</v>
      </c>
      <c r="M4388">
        <v>20.7038536879619</v>
      </c>
      <c r="N4388">
        <v>63.132339438031501</v>
      </c>
      <c r="O4388">
        <v>61.362609022313997</v>
      </c>
      <c r="P4388">
        <v>-7.0625550307196805E-2</v>
      </c>
      <c r="Q4388">
        <v>0.16273655077695001</v>
      </c>
      <c r="R4388">
        <v>0.97902374152917504</v>
      </c>
      <c r="S4388" t="s">
        <v>10673</v>
      </c>
      <c r="T4388" t="s">
        <v>12568</v>
      </c>
      <c r="U4388" t="s">
        <v>12568</v>
      </c>
      <c r="V4388" t="s">
        <v>12568</v>
      </c>
      <c r="W4388" t="s">
        <v>16910</v>
      </c>
      <c r="X4388">
        <v>3</v>
      </c>
      <c r="Y4388" t="s">
        <v>23021</v>
      </c>
      <c r="Z4388" t="s">
        <v>29258</v>
      </c>
      <c r="AA4388">
        <v>0.77789562293042225</v>
      </c>
      <c r="AB4388" t="str">
        <f>HYPERLINK("Melting_Curves/meltCurve_Q8WW01_TSEN15.pdf", "Melting_Curves/meltCurve_Q8WW01_TSEN15.pdf")</f>
        <v>Melting_Curves/meltCurve_Q8WW01_TSEN15.pdf</v>
      </c>
    </row>
    <row r="4389" spans="1:28" x14ac:dyDescent="0.25">
      <c r="A4389" t="s">
        <v>4393</v>
      </c>
      <c r="B4389">
        <v>0.99352677808782597</v>
      </c>
      <c r="C4389">
        <v>0.97451461437166398</v>
      </c>
      <c r="D4389">
        <v>1.05474055216218</v>
      </c>
      <c r="E4389">
        <v>1.14689691662895</v>
      </c>
      <c r="F4389">
        <v>1.02492622647648</v>
      </c>
      <c r="G4389">
        <v>1.00530252998192</v>
      </c>
      <c r="H4389">
        <v>0.92243960823165305</v>
      </c>
      <c r="I4389">
        <v>0.95585507132275305</v>
      </c>
      <c r="J4389">
        <v>1.02535823262624</v>
      </c>
      <c r="K4389">
        <v>0.90916580770944799</v>
      </c>
      <c r="L4389">
        <v>958.97631364914901</v>
      </c>
      <c r="M4389">
        <v>11.1070662023282</v>
      </c>
      <c r="Q4389">
        <v>0</v>
      </c>
      <c r="R4389">
        <v>0.161597052474586</v>
      </c>
      <c r="S4389" t="s">
        <v>10674</v>
      </c>
      <c r="T4389" t="s">
        <v>12568</v>
      </c>
      <c r="U4389" t="s">
        <v>12568</v>
      </c>
      <c r="V4389" t="s">
        <v>12568</v>
      </c>
      <c r="W4389" t="s">
        <v>16911</v>
      </c>
      <c r="X4389">
        <v>10</v>
      </c>
      <c r="Y4389" t="s">
        <v>23022</v>
      </c>
      <c r="Z4389" t="s">
        <v>29259</v>
      </c>
      <c r="AA4389">
        <v>0.98922107776132884</v>
      </c>
      <c r="AB4389" t="str">
        <f>HYPERLINK("Melting_Curves/meltCurve_Q8WW12_PCNP.pdf", "Melting_Curves/meltCurve_Q8WW12_PCNP.pdf")</f>
        <v>Melting_Curves/meltCurve_Q8WW12_PCNP.pdf</v>
      </c>
    </row>
    <row r="4390" spans="1:28" x14ac:dyDescent="0.25">
      <c r="A4390" t="s">
        <v>4394</v>
      </c>
      <c r="B4390">
        <v>0.99352677808782597</v>
      </c>
      <c r="C4390">
        <v>0.92210031496515499</v>
      </c>
      <c r="D4390">
        <v>1.0129980239701399</v>
      </c>
      <c r="E4390">
        <v>0.37776389067166499</v>
      </c>
      <c r="F4390">
        <v>0.29918964345071303</v>
      </c>
      <c r="G4390">
        <v>7.5114597154430293E-2</v>
      </c>
      <c r="H4390">
        <v>7.3094546692602902E-2</v>
      </c>
      <c r="I4390">
        <v>3.6670610532111798E-2</v>
      </c>
      <c r="J4390">
        <v>3.2411807593721302E-2</v>
      </c>
      <c r="K4390">
        <v>2.34589234668823E-2</v>
      </c>
      <c r="L4390">
        <v>1367.77546456494</v>
      </c>
      <c r="M4390">
        <v>27.585084217591199</v>
      </c>
      <c r="N4390">
        <v>49.781796049889103</v>
      </c>
      <c r="O4390">
        <v>49.325476902477703</v>
      </c>
      <c r="P4390">
        <v>-0.13255161650618499</v>
      </c>
      <c r="Q4390">
        <v>5.1934838121982997E-2</v>
      </c>
      <c r="R4390">
        <v>0.97571511308664205</v>
      </c>
      <c r="S4390" t="s">
        <v>10675</v>
      </c>
      <c r="T4390" t="s">
        <v>12568</v>
      </c>
      <c r="U4390" t="s">
        <v>12568</v>
      </c>
      <c r="V4390" t="s">
        <v>12568</v>
      </c>
      <c r="W4390" t="s">
        <v>16912</v>
      </c>
      <c r="X4390">
        <v>4</v>
      </c>
      <c r="Y4390" t="s">
        <v>23023</v>
      </c>
      <c r="Z4390" t="s">
        <v>29260</v>
      </c>
      <c r="AA4390">
        <v>0.36171574176911397</v>
      </c>
      <c r="AB4390" t="str">
        <f>HYPERLINK("Melting_Curves/meltCurve_Q8WW59_SPRYD4.pdf", "Melting_Curves/meltCurve_Q8WW59_SPRYD4.pdf")</f>
        <v>Melting_Curves/meltCurve_Q8WW59_SPRYD4.pdf</v>
      </c>
    </row>
    <row r="4391" spans="1:28" x14ac:dyDescent="0.25">
      <c r="A4391" t="s">
        <v>4395</v>
      </c>
      <c r="B4391">
        <v>0.99352677808782597</v>
      </c>
      <c r="C4391">
        <v>0.86181776933592802</v>
      </c>
      <c r="D4391">
        <v>0.77615843575944699</v>
      </c>
      <c r="E4391">
        <v>0.52827709057491901</v>
      </c>
      <c r="F4391">
        <v>0.420442141371353</v>
      </c>
      <c r="G4391">
        <v>0.25322491037748301</v>
      </c>
      <c r="H4391">
        <v>0.21207006156295199</v>
      </c>
      <c r="I4391">
        <v>0.17896929937574099</v>
      </c>
      <c r="J4391">
        <v>0.17691963149464901</v>
      </c>
      <c r="K4391">
        <v>0.10485263393373</v>
      </c>
      <c r="L4391">
        <v>602.12135351626898</v>
      </c>
      <c r="M4391">
        <v>12.0884230254497</v>
      </c>
      <c r="N4391">
        <v>50.890384485890699</v>
      </c>
      <c r="O4391">
        <v>48.5054064237939</v>
      </c>
      <c r="P4391">
        <v>-5.5264781152671701E-2</v>
      </c>
      <c r="Q4391">
        <v>0.113196633189074</v>
      </c>
      <c r="R4391">
        <v>0.99424460280754301</v>
      </c>
      <c r="S4391" t="s">
        <v>10676</v>
      </c>
      <c r="T4391" t="s">
        <v>12568</v>
      </c>
      <c r="U4391" t="s">
        <v>12568</v>
      </c>
      <c r="V4391" t="s">
        <v>12568</v>
      </c>
      <c r="W4391" t="s">
        <v>16913</v>
      </c>
      <c r="X4391">
        <v>1</v>
      </c>
      <c r="Y4391" t="s">
        <v>23024</v>
      </c>
      <c r="Z4391" t="s">
        <v>29261</v>
      </c>
      <c r="AA4391">
        <v>0.4338579955232863</v>
      </c>
      <c r="AB4391" t="str">
        <f>HYPERLINK("Melting_Curves/meltCurve_Q8WWC4_C2orf47.pdf", "Melting_Curves/meltCurve_Q8WWC4_C2orf47.pdf")</f>
        <v>Melting_Curves/meltCurve_Q8WWC4_C2orf47.pdf</v>
      </c>
    </row>
    <row r="4392" spans="1:28" x14ac:dyDescent="0.25">
      <c r="A4392" t="s">
        <v>4396</v>
      </c>
      <c r="B4392">
        <v>0.99352677808782597</v>
      </c>
      <c r="C4392">
        <v>0.921679864249768</v>
      </c>
      <c r="D4392">
        <v>0.90062794576167204</v>
      </c>
      <c r="E4392">
        <v>0.43140181055580201</v>
      </c>
      <c r="F4392">
        <v>0.34390988617277501</v>
      </c>
      <c r="G4392">
        <v>0.17672097955462501</v>
      </c>
      <c r="H4392">
        <v>0.115944119805374</v>
      </c>
      <c r="I4392">
        <v>0.11165065706754899</v>
      </c>
      <c r="J4392">
        <v>9.3269549390553402E-2</v>
      </c>
      <c r="K4392">
        <v>7.3525083484911505E-2</v>
      </c>
      <c r="L4392">
        <v>964.10208983551104</v>
      </c>
      <c r="M4392">
        <v>19.467633127928799</v>
      </c>
      <c r="N4392">
        <v>50.062882749555499</v>
      </c>
      <c r="O4392">
        <v>49.009656393601503</v>
      </c>
      <c r="P4392">
        <v>-8.9911003889674407E-2</v>
      </c>
      <c r="Q4392">
        <v>9.4631008337455302E-2</v>
      </c>
      <c r="R4392">
        <v>0.98847276573884901</v>
      </c>
      <c r="S4392" t="s">
        <v>10677</v>
      </c>
      <c r="T4392" t="s">
        <v>12568</v>
      </c>
      <c r="U4392" t="s">
        <v>12568</v>
      </c>
      <c r="V4392" t="s">
        <v>12568</v>
      </c>
      <c r="W4392" t="s">
        <v>16914</v>
      </c>
      <c r="X4392">
        <v>7</v>
      </c>
      <c r="Y4392" t="s">
        <v>23025</v>
      </c>
      <c r="Z4392" t="s">
        <v>29262</v>
      </c>
      <c r="AA4392">
        <v>0.39536271758230362</v>
      </c>
      <c r="AB4392" t="str">
        <f>HYPERLINK("Melting_Curves/meltCurve_Q8WWH5_TRUB1.pdf", "Melting_Curves/meltCurve_Q8WWH5_TRUB1.pdf")</f>
        <v>Melting_Curves/meltCurve_Q8WWH5_TRUB1.pdf</v>
      </c>
    </row>
    <row r="4393" spans="1:28" x14ac:dyDescent="0.25">
      <c r="A4393" t="s">
        <v>4397</v>
      </c>
      <c r="B4393">
        <v>0.99352677808782597</v>
      </c>
      <c r="C4393">
        <v>0.99700136830060604</v>
      </c>
      <c r="D4393">
        <v>0.98515180942662295</v>
      </c>
      <c r="E4393">
        <v>0.88186485798150105</v>
      </c>
      <c r="F4393">
        <v>0.77372014978883796</v>
      </c>
      <c r="G4393">
        <v>0.61494711646440103</v>
      </c>
      <c r="H4393">
        <v>0.50363792442837196</v>
      </c>
      <c r="I4393">
        <v>0.485668376406451</v>
      </c>
      <c r="J4393">
        <v>0.51150123223730504</v>
      </c>
      <c r="K4393">
        <v>0.412367941673634</v>
      </c>
      <c r="L4393">
        <v>894.50503995302495</v>
      </c>
      <c r="M4393">
        <v>16.4986091497139</v>
      </c>
      <c r="N4393">
        <v>62.211005032436702</v>
      </c>
      <c r="O4393">
        <v>53.439263854810797</v>
      </c>
      <c r="P4393">
        <v>-4.3227025097947902E-2</v>
      </c>
      <c r="Q4393">
        <v>0.43998677718853002</v>
      </c>
      <c r="R4393">
        <v>0.99107552227896101</v>
      </c>
      <c r="S4393" t="s">
        <v>10678</v>
      </c>
      <c r="T4393" t="s">
        <v>12568</v>
      </c>
      <c r="U4393" t="s">
        <v>12568</v>
      </c>
      <c r="V4393" t="s">
        <v>12568</v>
      </c>
      <c r="W4393" t="s">
        <v>13251</v>
      </c>
      <c r="X4393">
        <v>41</v>
      </c>
      <c r="Y4393" t="s">
        <v>19477</v>
      </c>
      <c r="Z4393" t="s">
        <v>29263</v>
      </c>
      <c r="AA4393">
        <v>0.71543452942533348</v>
      </c>
      <c r="AB4393" t="str">
        <f>HYPERLINK("Melting_Curves/meltCurve_Q8WWM7_ATXN2L.pdf", "Melting_Curves/meltCurve_Q8WWM7_ATXN2L.pdf")</f>
        <v>Melting_Curves/meltCurve_Q8WWM7_ATXN2L.pdf</v>
      </c>
    </row>
    <row r="4394" spans="1:28" x14ac:dyDescent="0.25">
      <c r="A4394" t="s">
        <v>4398</v>
      </c>
      <c r="B4394">
        <v>0.99352677808782597</v>
      </c>
      <c r="C4394">
        <v>0.82151240351431098</v>
      </c>
      <c r="D4394">
        <v>0.89921304257726198</v>
      </c>
      <c r="E4394">
        <v>0.70934865726281204</v>
      </c>
      <c r="F4394">
        <v>0.716584819977513</v>
      </c>
      <c r="G4394">
        <v>0.623587853425278</v>
      </c>
      <c r="H4394">
        <v>0.52048959263891403</v>
      </c>
      <c r="I4394">
        <v>0.51948417870564101</v>
      </c>
      <c r="J4394">
        <v>0.57380467389069301</v>
      </c>
      <c r="K4394">
        <v>0.47434787022356201</v>
      </c>
      <c r="L4394">
        <v>411.50858852148502</v>
      </c>
      <c r="M4394">
        <v>8.0222420075499592</v>
      </c>
      <c r="N4394">
        <v>69.684188569970601</v>
      </c>
      <c r="O4394">
        <v>48.403011609015998</v>
      </c>
      <c r="P4394">
        <v>-2.3237732110304998E-2</v>
      </c>
      <c r="Q4394">
        <v>0.43979817342335997</v>
      </c>
      <c r="R4394">
        <v>0.92349642552665001</v>
      </c>
      <c r="S4394" t="s">
        <v>10679</v>
      </c>
      <c r="T4394" t="s">
        <v>12568</v>
      </c>
      <c r="U4394" t="s">
        <v>12568</v>
      </c>
      <c r="V4394" t="s">
        <v>12568</v>
      </c>
      <c r="W4394" t="s">
        <v>16915</v>
      </c>
      <c r="X4394">
        <v>3</v>
      </c>
      <c r="Y4394" t="s">
        <v>23026</v>
      </c>
      <c r="Z4394" t="s">
        <v>29264</v>
      </c>
      <c r="AA4394">
        <v>0.67952336852380768</v>
      </c>
      <c r="AB4394" t="str">
        <f>HYPERLINK("Melting_Curves/meltCurve_Q8WWN8_ARAP3.pdf", "Melting_Curves/meltCurve_Q8WWN8_ARAP3.pdf")</f>
        <v>Melting_Curves/meltCurve_Q8WWN8_ARAP3.pdf</v>
      </c>
    </row>
    <row r="4395" spans="1:28" x14ac:dyDescent="0.25">
      <c r="A4395" t="s">
        <v>4399</v>
      </c>
      <c r="B4395">
        <v>0.99352677808782597</v>
      </c>
      <c r="C4395">
        <v>0.97103262225112097</v>
      </c>
      <c r="D4395">
        <v>0.93156325113454996</v>
      </c>
      <c r="E4395">
        <v>0.80038032773977696</v>
      </c>
      <c r="F4395">
        <v>0.72428352055160306</v>
      </c>
      <c r="G4395">
        <v>0.63866677930976601</v>
      </c>
      <c r="H4395">
        <v>0.57458261152741397</v>
      </c>
      <c r="I4395">
        <v>0.64486059777465099</v>
      </c>
      <c r="J4395">
        <v>0.57555101437944201</v>
      </c>
      <c r="K4395">
        <v>0.54162740633391604</v>
      </c>
      <c r="L4395">
        <v>738.92083606972301</v>
      </c>
      <c r="M4395">
        <v>14.529225358982201</v>
      </c>
      <c r="O4395">
        <v>49.9232451589384</v>
      </c>
      <c r="P4395">
        <v>-3.1683564904244899E-2</v>
      </c>
      <c r="Q4395">
        <v>0.564583711100616</v>
      </c>
      <c r="R4395">
        <v>0.98038737258869002</v>
      </c>
      <c r="S4395" t="s">
        <v>10680</v>
      </c>
      <c r="T4395" t="s">
        <v>12568</v>
      </c>
      <c r="U4395" t="s">
        <v>12568</v>
      </c>
      <c r="V4395" t="s">
        <v>12568</v>
      </c>
      <c r="W4395" t="s">
        <v>16916</v>
      </c>
      <c r="X4395">
        <v>2</v>
      </c>
      <c r="Y4395" t="s">
        <v>23027</v>
      </c>
      <c r="Z4395" t="s">
        <v>29265</v>
      </c>
      <c r="AA4395">
        <v>0.73282243384907508</v>
      </c>
      <c r="AB4395" t="str">
        <f>HYPERLINK("Melting_Curves/meltCurve_Q8WWX9_SELM.pdf", "Melting_Curves/meltCurve_Q8WWX9_SELM.pdf")</f>
        <v>Melting_Curves/meltCurve_Q8WWX9_SELM.pdf</v>
      </c>
    </row>
    <row r="4396" spans="1:28" x14ac:dyDescent="0.25">
      <c r="A4396" t="s">
        <v>4400</v>
      </c>
      <c r="B4396">
        <v>0.99352677808782597</v>
      </c>
      <c r="C4396">
        <v>0.89787109036039303</v>
      </c>
      <c r="D4396">
        <v>0.74611418898927995</v>
      </c>
      <c r="E4396">
        <v>0.28030470908976401</v>
      </c>
      <c r="F4396">
        <v>0.27974258463103602</v>
      </c>
      <c r="G4396">
        <v>0.164549282033464</v>
      </c>
      <c r="H4396">
        <v>0.11769619019312701</v>
      </c>
      <c r="I4396">
        <v>0.11477612905814601</v>
      </c>
      <c r="J4396">
        <v>9.4630674340610094E-2</v>
      </c>
      <c r="K4396">
        <v>6.5447230186861396E-2</v>
      </c>
      <c r="L4396">
        <v>967.52524319837698</v>
      </c>
      <c r="M4396">
        <v>20.300597717520802</v>
      </c>
      <c r="N4396">
        <v>48.221489454311303</v>
      </c>
      <c r="O4396">
        <v>47.204698043638899</v>
      </c>
      <c r="P4396">
        <v>-9.6198681893613094E-2</v>
      </c>
      <c r="Q4396">
        <v>0.105269664070601</v>
      </c>
      <c r="R4396">
        <v>0.98695912108711004</v>
      </c>
      <c r="S4396" t="s">
        <v>10681</v>
      </c>
      <c r="T4396" t="s">
        <v>12568</v>
      </c>
      <c r="U4396" t="s">
        <v>12568</v>
      </c>
      <c r="V4396" t="s">
        <v>12568</v>
      </c>
      <c r="W4396" t="s">
        <v>16917</v>
      </c>
      <c r="X4396">
        <v>10</v>
      </c>
      <c r="Y4396" t="s">
        <v>23028</v>
      </c>
      <c r="Z4396" t="s">
        <v>29266</v>
      </c>
      <c r="AA4396">
        <v>0.34613419530065132</v>
      </c>
      <c r="AB4396" t="str">
        <f>HYPERLINK("Melting_Curves/meltCurve_Q8WWY3_PRPF31.pdf", "Melting_Curves/meltCurve_Q8WWY3_PRPF31.pdf")</f>
        <v>Melting_Curves/meltCurve_Q8WWY3_PRPF31.pdf</v>
      </c>
    </row>
    <row r="4397" spans="1:28" x14ac:dyDescent="0.25">
      <c r="A4397" t="s">
        <v>4401</v>
      </c>
      <c r="B4397">
        <v>0.99352677808782597</v>
      </c>
      <c r="C4397">
        <v>0.954685359054949</v>
      </c>
      <c r="D4397">
        <v>0.98625337482364706</v>
      </c>
      <c r="E4397">
        <v>0.962612097866693</v>
      </c>
      <c r="F4397">
        <v>0.845593414931047</v>
      </c>
      <c r="G4397">
        <v>0.76299820034055399</v>
      </c>
      <c r="H4397">
        <v>0.67635771072936801</v>
      </c>
      <c r="I4397">
        <v>0.65722148813640802</v>
      </c>
      <c r="J4397">
        <v>0.66519239487946302</v>
      </c>
      <c r="K4397">
        <v>0.46927891286615497</v>
      </c>
      <c r="L4397">
        <v>435.95603477272198</v>
      </c>
      <c r="M4397">
        <v>6.5724646235682798</v>
      </c>
      <c r="O4397">
        <v>60.994717121614002</v>
      </c>
      <c r="P4397">
        <v>-2.19048716309844E-2</v>
      </c>
      <c r="Q4397">
        <v>0.18875387606375901</v>
      </c>
      <c r="R4397">
        <v>0.94274323012063899</v>
      </c>
      <c r="S4397" t="s">
        <v>10682</v>
      </c>
      <c r="T4397" t="s">
        <v>12568</v>
      </c>
      <c r="U4397" t="s">
        <v>12568</v>
      </c>
      <c r="V4397" t="s">
        <v>12568</v>
      </c>
      <c r="W4397" t="s">
        <v>16918</v>
      </c>
      <c r="X4397">
        <v>5</v>
      </c>
      <c r="Y4397" t="s">
        <v>23029</v>
      </c>
      <c r="Z4397" t="s">
        <v>29267</v>
      </c>
      <c r="AA4397">
        <v>0.80481232934247504</v>
      </c>
      <c r="AB4397" t="str">
        <f>HYPERLINK("Melting_Curves/meltCurve_Q8WWZ3_2_EDARADD.pdf", "Melting_Curves/meltCurve_Q8WWZ3_2_EDARADD.pdf")</f>
        <v>Melting_Curves/meltCurve_Q8WWZ3_2_EDARADD.pdf</v>
      </c>
    </row>
    <row r="4398" spans="1:28" x14ac:dyDescent="0.25">
      <c r="A4398" t="s">
        <v>4402</v>
      </c>
      <c r="B4398">
        <v>0.99352677808782597</v>
      </c>
      <c r="C4398">
        <v>1.0009860488473099</v>
      </c>
      <c r="D4398">
        <v>1.0094642611173501</v>
      </c>
      <c r="E4398">
        <v>0.572223009271841</v>
      </c>
      <c r="F4398">
        <v>0.45965539403182298</v>
      </c>
      <c r="G4398">
        <v>0.19216184714214399</v>
      </c>
      <c r="H4398">
        <v>0.119553843062361</v>
      </c>
      <c r="I4398">
        <v>9.7423493450487897E-2</v>
      </c>
      <c r="J4398">
        <v>7.8718169095349705E-2</v>
      </c>
      <c r="K4398">
        <v>6.5308423050493197E-2</v>
      </c>
      <c r="L4398">
        <v>1008.8684851599</v>
      </c>
      <c r="M4398">
        <v>19.624996240542298</v>
      </c>
      <c r="N4398">
        <v>51.8337202614101</v>
      </c>
      <c r="O4398">
        <v>50.882473670857401</v>
      </c>
      <c r="P4398">
        <v>-8.92388929914225E-2</v>
      </c>
      <c r="Q4398">
        <v>7.4540156265690202E-2</v>
      </c>
      <c r="R4398">
        <v>0.98649145187892096</v>
      </c>
      <c r="S4398" t="s">
        <v>10683</v>
      </c>
      <c r="T4398" t="s">
        <v>12568</v>
      </c>
      <c r="U4398" t="s">
        <v>12568</v>
      </c>
      <c r="V4398" t="s">
        <v>12568</v>
      </c>
      <c r="W4398" t="s">
        <v>16919</v>
      </c>
      <c r="X4398">
        <v>16</v>
      </c>
      <c r="Y4398" t="s">
        <v>23030</v>
      </c>
      <c r="Z4398" t="s">
        <v>29268</v>
      </c>
      <c r="AA4398">
        <v>0.43972715426842152</v>
      </c>
      <c r="AB4398" t="str">
        <f>HYPERLINK("Melting_Curves/meltCurve_Q8WX92_NELFB.pdf", "Melting_Curves/meltCurve_Q8WX92_NELFB.pdf")</f>
        <v>Melting_Curves/meltCurve_Q8WX92_NELFB.pdf</v>
      </c>
    </row>
    <row r="4399" spans="1:28" x14ac:dyDescent="0.25">
      <c r="A4399" t="s">
        <v>4403</v>
      </c>
      <c r="B4399">
        <v>0.99352677808782597</v>
      </c>
      <c r="C4399">
        <v>0.99141067553302897</v>
      </c>
      <c r="D4399">
        <v>1.0450579981574599</v>
      </c>
      <c r="E4399">
        <v>0.63521682187432604</v>
      </c>
      <c r="F4399">
        <v>0.48334984523790803</v>
      </c>
      <c r="G4399">
        <v>0.29461213740692699</v>
      </c>
      <c r="H4399">
        <v>0.20586136492680701</v>
      </c>
      <c r="I4399">
        <v>0.20197225881359801</v>
      </c>
      <c r="J4399">
        <v>0.19644270369387001</v>
      </c>
      <c r="K4399">
        <v>0.16955373542263499</v>
      </c>
      <c r="L4399">
        <v>1140.60773543906</v>
      </c>
      <c r="M4399">
        <v>22.2610238857559</v>
      </c>
      <c r="N4399">
        <v>52.369250679099501</v>
      </c>
      <c r="O4399">
        <v>50.8297825466367</v>
      </c>
      <c r="P4399">
        <v>-8.8589429970899497E-2</v>
      </c>
      <c r="Q4399">
        <v>0.190893395174175</v>
      </c>
      <c r="R4399">
        <v>0.98519464004647295</v>
      </c>
      <c r="S4399" t="s">
        <v>10684</v>
      </c>
      <c r="T4399" t="s">
        <v>12568</v>
      </c>
      <c r="U4399" t="s">
        <v>12568</v>
      </c>
      <c r="V4399" t="s">
        <v>12568</v>
      </c>
      <c r="W4399" t="s">
        <v>16920</v>
      </c>
      <c r="X4399">
        <v>30</v>
      </c>
      <c r="Y4399" t="s">
        <v>23031</v>
      </c>
      <c r="Z4399" t="s">
        <v>29269</v>
      </c>
      <c r="AA4399">
        <v>0.50315574811169017</v>
      </c>
      <c r="AB4399" t="str">
        <f>HYPERLINK("Melting_Curves/meltCurve_Q8WX93_3_PALLD.pdf", "Melting_Curves/meltCurve_Q8WX93_3_PALLD.pdf")</f>
        <v>Melting_Curves/meltCurve_Q8WX93_3_PALLD.pdf</v>
      </c>
    </row>
    <row r="4400" spans="1:28" x14ac:dyDescent="0.25">
      <c r="A4400" t="s">
        <v>4404</v>
      </c>
      <c r="B4400">
        <v>0.99352677808782597</v>
      </c>
      <c r="C4400">
        <v>0.91951683254278105</v>
      </c>
      <c r="D4400">
        <v>0.74483494013580598</v>
      </c>
      <c r="E4400">
        <v>0.50678131492893796</v>
      </c>
      <c r="F4400">
        <v>0.40766144574859903</v>
      </c>
      <c r="G4400">
        <v>0.369039541358545</v>
      </c>
      <c r="H4400">
        <v>0.29180293514897698</v>
      </c>
      <c r="I4400">
        <v>0.30657280119921998</v>
      </c>
      <c r="J4400">
        <v>0.35179703878701402</v>
      </c>
      <c r="K4400">
        <v>0.295812160072565</v>
      </c>
      <c r="L4400">
        <v>859.81234370657296</v>
      </c>
      <c r="M4400">
        <v>18.109675381211598</v>
      </c>
      <c r="N4400">
        <v>50.188084061200499</v>
      </c>
      <c r="O4400">
        <v>46.910475508697701</v>
      </c>
      <c r="P4400">
        <v>-6.6408692257187305E-2</v>
      </c>
      <c r="Q4400">
        <v>0.31194467356345801</v>
      </c>
      <c r="R4400">
        <v>0.99400123224975701</v>
      </c>
      <c r="S4400" t="s">
        <v>10685</v>
      </c>
      <c r="T4400" t="s">
        <v>12568</v>
      </c>
      <c r="U4400" t="s">
        <v>12568</v>
      </c>
      <c r="V4400" t="s">
        <v>12568</v>
      </c>
      <c r="W4400" t="s">
        <v>16921</v>
      </c>
      <c r="X4400">
        <v>8</v>
      </c>
      <c r="Y4400" t="s">
        <v>23032</v>
      </c>
      <c r="Z4400" t="s">
        <v>29270</v>
      </c>
      <c r="AA4400">
        <v>0.49572520814513671</v>
      </c>
      <c r="AB4400" t="str">
        <f>HYPERLINK("Melting_Curves/meltCurve_Q8WXA3_2_RUFY2.pdf", "Melting_Curves/meltCurve_Q8WXA3_2_RUFY2.pdf")</f>
        <v>Melting_Curves/meltCurve_Q8WXA3_2_RUFY2.pdf</v>
      </c>
    </row>
    <row r="4401" spans="1:28" x14ac:dyDescent="0.25">
      <c r="A4401" t="s">
        <v>4405</v>
      </c>
      <c r="B4401">
        <v>0.99352677808782597</v>
      </c>
      <c r="C4401">
        <v>1.0136775304811001</v>
      </c>
      <c r="D4401">
        <v>1.0066573458730701</v>
      </c>
      <c r="E4401">
        <v>0.76469700376943395</v>
      </c>
      <c r="F4401">
        <v>0.64638084532490103</v>
      </c>
      <c r="G4401">
        <v>0.335526435024943</v>
      </c>
      <c r="H4401">
        <v>0.21833837932450501</v>
      </c>
      <c r="I4401">
        <v>0.20671850126143301</v>
      </c>
      <c r="J4401">
        <v>0.20435575336855399</v>
      </c>
      <c r="K4401">
        <v>0.157850706210662</v>
      </c>
      <c r="L4401">
        <v>1029.6230534828801</v>
      </c>
      <c r="M4401">
        <v>19.317177099846099</v>
      </c>
      <c r="N4401">
        <v>54.435238348690099</v>
      </c>
      <c r="O4401">
        <v>52.739552224277602</v>
      </c>
      <c r="P4401">
        <v>-7.6399440730458804E-2</v>
      </c>
      <c r="Q4401">
        <v>0.16569137977752699</v>
      </c>
      <c r="R4401">
        <v>0.99329951094783397</v>
      </c>
      <c r="S4401" t="s">
        <v>10686</v>
      </c>
      <c r="T4401" t="s">
        <v>12568</v>
      </c>
      <c r="U4401" t="s">
        <v>12568</v>
      </c>
      <c r="V4401" t="s">
        <v>12568</v>
      </c>
      <c r="W4401" t="s">
        <v>16922</v>
      </c>
      <c r="X4401">
        <v>10</v>
      </c>
      <c r="Y4401" t="s">
        <v>23033</v>
      </c>
      <c r="Z4401" t="s">
        <v>29271</v>
      </c>
      <c r="AA4401">
        <v>0.54771559795956304</v>
      </c>
      <c r="AB4401" t="str">
        <f>HYPERLINK("Melting_Curves/meltCurve_Q8WXA9_2_SREK1.pdf", "Melting_Curves/meltCurve_Q8WXA9_2_SREK1.pdf")</f>
        <v>Melting_Curves/meltCurve_Q8WXA9_2_SREK1.pdf</v>
      </c>
    </row>
    <row r="4402" spans="1:28" x14ac:dyDescent="0.25">
      <c r="A4402" t="s">
        <v>4406</v>
      </c>
      <c r="B4402">
        <v>0.99352677808782597</v>
      </c>
      <c r="C4402">
        <v>1.0403878637788999</v>
      </c>
      <c r="D4402">
        <v>0.99798058321170802</v>
      </c>
      <c r="E4402">
        <v>0.95429450801107096</v>
      </c>
      <c r="F4402">
        <v>0.80994871010565905</v>
      </c>
      <c r="G4402">
        <v>0.79157214945579002</v>
      </c>
      <c r="H4402">
        <v>0.60678121287517295</v>
      </c>
      <c r="I4402">
        <v>0.59351646057746299</v>
      </c>
      <c r="J4402">
        <v>0.56803229886881901</v>
      </c>
      <c r="K4402">
        <v>0.51299017985253303</v>
      </c>
      <c r="L4402">
        <v>775.20503658033601</v>
      </c>
      <c r="M4402">
        <v>13.6008374076329</v>
      </c>
      <c r="O4402">
        <v>55.807033463277598</v>
      </c>
      <c r="P4402">
        <v>-3.1057779854390899E-2</v>
      </c>
      <c r="Q4402">
        <v>0.49032967100528702</v>
      </c>
      <c r="R4402">
        <v>0.97380407904655397</v>
      </c>
      <c r="S4402" t="s">
        <v>10687</v>
      </c>
      <c r="T4402" t="s">
        <v>12568</v>
      </c>
      <c r="U4402" t="s">
        <v>12568</v>
      </c>
      <c r="V4402" t="s">
        <v>12568</v>
      </c>
      <c r="W4402" t="s">
        <v>16923</v>
      </c>
      <c r="X4402">
        <v>7</v>
      </c>
      <c r="Y4402" t="s">
        <v>23034</v>
      </c>
      <c r="Z4402" t="s">
        <v>29272</v>
      </c>
      <c r="AA4402">
        <v>0.78751763392541052</v>
      </c>
      <c r="AB4402" t="str">
        <f>HYPERLINK("Melting_Curves/meltCurve_Q8WXD5_GEMIN6.pdf", "Melting_Curves/meltCurve_Q8WXD5_GEMIN6.pdf")</f>
        <v>Melting_Curves/meltCurve_Q8WXD5_GEMIN6.pdf</v>
      </c>
    </row>
    <row r="4403" spans="1:28" x14ac:dyDescent="0.25">
      <c r="A4403" t="s">
        <v>4407</v>
      </c>
      <c r="B4403">
        <v>0.99352677808782597</v>
      </c>
      <c r="C4403">
        <v>0.906201644127554</v>
      </c>
      <c r="D4403">
        <v>0.88955549280796398</v>
      </c>
      <c r="E4403">
        <v>0.65152441686676299</v>
      </c>
      <c r="F4403">
        <v>0.65949694392463099</v>
      </c>
      <c r="G4403">
        <v>0.41867738833187901</v>
      </c>
      <c r="H4403">
        <v>0.36986061064393499</v>
      </c>
      <c r="I4403">
        <v>0.36214831139852399</v>
      </c>
      <c r="J4403">
        <v>0.40798694778900602</v>
      </c>
      <c r="K4403">
        <v>0.26933272149131798</v>
      </c>
      <c r="L4403">
        <v>597.72422162053999</v>
      </c>
      <c r="M4403">
        <v>11.6073926035823</v>
      </c>
      <c r="N4403">
        <v>55.627736180766902</v>
      </c>
      <c r="O4403">
        <v>50.037893919339702</v>
      </c>
      <c r="P4403">
        <v>-4.1249635253905098E-2</v>
      </c>
      <c r="Q4403">
        <v>0.28890866132111098</v>
      </c>
      <c r="R4403">
        <v>0.96647429936566998</v>
      </c>
      <c r="S4403" t="s">
        <v>10688</v>
      </c>
      <c r="T4403" t="s">
        <v>12568</v>
      </c>
      <c r="U4403" t="s">
        <v>12568</v>
      </c>
      <c r="V4403" t="s">
        <v>12568</v>
      </c>
      <c r="W4403" t="s">
        <v>16924</v>
      </c>
      <c r="X4403">
        <v>15</v>
      </c>
      <c r="Y4403" t="s">
        <v>23035</v>
      </c>
      <c r="Z4403" t="s">
        <v>29273</v>
      </c>
      <c r="AA4403">
        <v>0.5848950348162919</v>
      </c>
      <c r="AB4403" t="str">
        <f>HYPERLINK("Melting_Curves/meltCurve_Q8WXE0_CASKIN2.pdf", "Melting_Curves/meltCurve_Q8WXE0_CASKIN2.pdf")</f>
        <v>Melting_Curves/meltCurve_Q8WXE0_CASKIN2.pdf</v>
      </c>
    </row>
    <row r="4404" spans="1:28" x14ac:dyDescent="0.25">
      <c r="A4404" t="s">
        <v>4408</v>
      </c>
      <c r="B4404">
        <v>0.99352677808782597</v>
      </c>
      <c r="C4404">
        <v>0.97985228792754897</v>
      </c>
      <c r="D4404">
        <v>0.71857807992181799</v>
      </c>
      <c r="E4404">
        <v>0.66647338992021099</v>
      </c>
      <c r="F4404">
        <v>0.52888818751486</v>
      </c>
      <c r="G4404">
        <v>0.27413719229730199</v>
      </c>
      <c r="H4404">
        <v>0.12523434407593101</v>
      </c>
      <c r="I4404">
        <v>9.1107293396526706E-2</v>
      </c>
      <c r="J4404">
        <v>6.8692331387710498E-2</v>
      </c>
      <c r="K4404">
        <v>4.0708302317932502E-2</v>
      </c>
      <c r="L4404">
        <v>614.23090498663896</v>
      </c>
      <c r="M4404">
        <v>11.713877088076901</v>
      </c>
      <c r="N4404">
        <v>52.436190614039198</v>
      </c>
      <c r="O4404">
        <v>50.9779294008992</v>
      </c>
      <c r="P4404">
        <v>-5.7461025462542302E-2</v>
      </c>
      <c r="Q4404">
        <v>0</v>
      </c>
      <c r="R4404">
        <v>0.98203707247374294</v>
      </c>
      <c r="S4404" t="s">
        <v>10689</v>
      </c>
      <c r="T4404" t="s">
        <v>12568</v>
      </c>
      <c r="U4404" t="s">
        <v>12568</v>
      </c>
      <c r="V4404" t="s">
        <v>12568</v>
      </c>
      <c r="W4404" t="s">
        <v>16925</v>
      </c>
      <c r="X4404">
        <v>2</v>
      </c>
      <c r="Y4404" t="s">
        <v>23036</v>
      </c>
      <c r="Z4404" t="s">
        <v>29274</v>
      </c>
      <c r="AA4404">
        <v>0.44510561644710589</v>
      </c>
      <c r="AB4404" t="str">
        <f>HYPERLINK("Melting_Curves/meltCurve_Q8WXE1_2_ATRIP.pdf", "Melting_Curves/meltCurve_Q8WXE1_2_ATRIP.pdf")</f>
        <v>Melting_Curves/meltCurve_Q8WXE1_2_ATRIP.pdf</v>
      </c>
    </row>
    <row r="4405" spans="1:28" x14ac:dyDescent="0.25">
      <c r="A4405" t="s">
        <v>4409</v>
      </c>
      <c r="B4405">
        <v>0.99352677808782597</v>
      </c>
      <c r="C4405">
        <v>0.97356161435163102</v>
      </c>
      <c r="D4405">
        <v>0.95161564887441696</v>
      </c>
      <c r="E4405">
        <v>0.67945016260060997</v>
      </c>
      <c r="F4405">
        <v>0.61746776934033498</v>
      </c>
      <c r="G4405">
        <v>0.47009332040170698</v>
      </c>
      <c r="H4405">
        <v>0.34856428690200802</v>
      </c>
      <c r="I4405">
        <v>0.34258473721191501</v>
      </c>
      <c r="J4405">
        <v>0.33827740144054902</v>
      </c>
      <c r="K4405">
        <v>0.26914372549764098</v>
      </c>
      <c r="L4405">
        <v>722.97790217316401</v>
      </c>
      <c r="M4405">
        <v>13.8830269197282</v>
      </c>
      <c r="N4405">
        <v>55.387138663994001</v>
      </c>
      <c r="O4405">
        <v>51.031574354083901</v>
      </c>
      <c r="P4405">
        <v>-4.8843096818440797E-2</v>
      </c>
      <c r="Q4405">
        <v>0.28194352380406901</v>
      </c>
      <c r="R4405">
        <v>0.98734550461721704</v>
      </c>
      <c r="S4405" t="s">
        <v>10690</v>
      </c>
      <c r="T4405" t="s">
        <v>12568</v>
      </c>
      <c r="U4405" t="s">
        <v>12568</v>
      </c>
      <c r="V4405" t="s">
        <v>12568</v>
      </c>
      <c r="W4405" t="s">
        <v>16926</v>
      </c>
      <c r="X4405">
        <v>22</v>
      </c>
      <c r="Y4405" t="s">
        <v>23037</v>
      </c>
      <c r="Z4405" t="s">
        <v>29275</v>
      </c>
      <c r="AA4405">
        <v>0.58894270757724887</v>
      </c>
      <c r="AB4405" t="str">
        <f>HYPERLINK("Melting_Curves/meltCurve_Q8WXF1_PSPC1.pdf", "Melting_Curves/meltCurve_Q8WXF1_PSPC1.pdf")</f>
        <v>Melting_Curves/meltCurve_Q8WXF1_PSPC1.pdf</v>
      </c>
    </row>
    <row r="4406" spans="1:28" x14ac:dyDescent="0.25">
      <c r="A4406" t="s">
        <v>4410</v>
      </c>
      <c r="B4406">
        <v>0.99352677808782597</v>
      </c>
      <c r="C4406">
        <v>0.91834600149794798</v>
      </c>
      <c r="D4406">
        <v>0.88175668653565897</v>
      </c>
      <c r="E4406">
        <v>0.55835131565018903</v>
      </c>
      <c r="F4406">
        <v>0.53910565842109504</v>
      </c>
      <c r="G4406">
        <v>0.31453636532739798</v>
      </c>
      <c r="H4406">
        <v>0.20414712105496699</v>
      </c>
      <c r="I4406">
        <v>0.20715639969997399</v>
      </c>
      <c r="J4406">
        <v>0.16196133520144801</v>
      </c>
      <c r="K4406">
        <v>0.129991665086782</v>
      </c>
      <c r="L4406">
        <v>634.58664856345797</v>
      </c>
      <c r="M4406">
        <v>12.3133127339196</v>
      </c>
      <c r="N4406">
        <v>52.597190794508798</v>
      </c>
      <c r="O4406">
        <v>50.233898192842503</v>
      </c>
      <c r="P4406">
        <v>-5.4555277140348697E-2</v>
      </c>
      <c r="Q4406">
        <v>0.109930399893532</v>
      </c>
      <c r="R4406">
        <v>0.98667718093241996</v>
      </c>
      <c r="S4406" t="s">
        <v>10691</v>
      </c>
      <c r="T4406" t="s">
        <v>12568</v>
      </c>
      <c r="U4406" t="s">
        <v>12568</v>
      </c>
      <c r="V4406" t="s">
        <v>12568</v>
      </c>
      <c r="W4406" t="s">
        <v>16927</v>
      </c>
      <c r="X4406">
        <v>6</v>
      </c>
      <c r="Y4406" t="s">
        <v>23038</v>
      </c>
      <c r="Z4406" t="s">
        <v>29276</v>
      </c>
      <c r="AA4406">
        <v>0.4793141671239034</v>
      </c>
      <c r="AB4406" t="str">
        <f>HYPERLINK("Melting_Curves/meltCurve_Q8WXG6_6_MADD.pdf", "Melting_Curves/meltCurve_Q8WXG6_6_MADD.pdf")</f>
        <v>Melting_Curves/meltCurve_Q8WXG6_6_MADD.pdf</v>
      </c>
    </row>
    <row r="4407" spans="1:28" x14ac:dyDescent="0.25">
      <c r="A4407" t="s">
        <v>4411</v>
      </c>
      <c r="B4407">
        <v>0.99352677808782597</v>
      </c>
      <c r="C4407">
        <v>0.95206753747068196</v>
      </c>
      <c r="D4407">
        <v>0.61124363556398698</v>
      </c>
      <c r="E4407">
        <v>0.399701372827308</v>
      </c>
      <c r="F4407">
        <v>0.27002053097346002</v>
      </c>
      <c r="G4407">
        <v>0.202441362463013</v>
      </c>
      <c r="H4407">
        <v>0.12860417396651599</v>
      </c>
      <c r="I4407">
        <v>0.11079056240409201</v>
      </c>
      <c r="J4407">
        <v>8.4786446651315697E-2</v>
      </c>
      <c r="K4407">
        <v>8.7153696117900803E-2</v>
      </c>
      <c r="L4407">
        <v>772.46976320410397</v>
      </c>
      <c r="M4407">
        <v>16.1778675551604</v>
      </c>
      <c r="N4407">
        <v>48.420182492217698</v>
      </c>
      <c r="O4407">
        <v>47.036856452247797</v>
      </c>
      <c r="P4407">
        <v>-7.7349116176526303E-2</v>
      </c>
      <c r="Q4407">
        <v>0.100502943409017</v>
      </c>
      <c r="R4407">
        <v>0.98628169591209103</v>
      </c>
      <c r="S4407" t="s">
        <v>10692</v>
      </c>
      <c r="T4407" t="s">
        <v>12568</v>
      </c>
      <c r="U4407" t="s">
        <v>12568</v>
      </c>
      <c r="V4407" t="s">
        <v>12568</v>
      </c>
      <c r="W4407" t="s">
        <v>16928</v>
      </c>
      <c r="X4407">
        <v>5</v>
      </c>
      <c r="Y4407" t="s">
        <v>23039</v>
      </c>
      <c r="Z4407" t="s">
        <v>29277</v>
      </c>
      <c r="AA4407">
        <v>0.35293006187192322</v>
      </c>
      <c r="AB4407" t="str">
        <f>HYPERLINK("Melting_Curves/meltCurve_Q8WXH0_SYNE2.pdf", "Melting_Curves/meltCurve_Q8WXH0_SYNE2.pdf")</f>
        <v>Melting_Curves/meltCurve_Q8WXH0_SYNE2.pdf</v>
      </c>
    </row>
    <row r="4408" spans="1:28" x14ac:dyDescent="0.25">
      <c r="A4408" t="s">
        <v>4412</v>
      </c>
      <c r="B4408">
        <v>0.99352677808782597</v>
      </c>
      <c r="C4408">
        <v>0.95191258101975196</v>
      </c>
      <c r="D4408">
        <v>0.94699345297184301</v>
      </c>
      <c r="E4408">
        <v>0.47439400748353</v>
      </c>
      <c r="F4408">
        <v>0.40448625451322801</v>
      </c>
      <c r="G4408">
        <v>0.35662945666932799</v>
      </c>
      <c r="H4408">
        <v>0.22338407017519599</v>
      </c>
      <c r="I4408">
        <v>0.22986241479217501</v>
      </c>
      <c r="J4408">
        <v>0.23105688485781201</v>
      </c>
      <c r="K4408">
        <v>0.25431078174167498</v>
      </c>
      <c r="L4408">
        <v>1298.01518100619</v>
      </c>
      <c r="M4408">
        <v>26.475688762695</v>
      </c>
      <c r="N4408">
        <v>50.406876481767398</v>
      </c>
      <c r="O4408">
        <v>48.749546325468998</v>
      </c>
      <c r="P4408">
        <v>-0.10076965049600101</v>
      </c>
      <c r="Q4408">
        <v>0.25782143965248899</v>
      </c>
      <c r="R4408">
        <v>0.97814672106044498</v>
      </c>
      <c r="S4408" t="s">
        <v>10693</v>
      </c>
      <c r="T4408" t="s">
        <v>12568</v>
      </c>
      <c r="U4408" t="s">
        <v>12568</v>
      </c>
      <c r="V4408" t="s">
        <v>12568</v>
      </c>
      <c r="W4408" t="s">
        <v>16929</v>
      </c>
      <c r="X4408">
        <v>1</v>
      </c>
      <c r="Y4408" t="s">
        <v>23040</v>
      </c>
      <c r="Z4408" t="s">
        <v>29278</v>
      </c>
      <c r="AA4408">
        <v>0.48698045673450008</v>
      </c>
      <c r="AB4408" t="str">
        <f>HYPERLINK("Melting_Curves/meltCurve_Q8WXI2_5_CNKSR2.pdf", "Melting_Curves/meltCurve_Q8WXI2_5_CNKSR2.pdf")</f>
        <v>Melting_Curves/meltCurve_Q8WXI2_5_CNKSR2.pdf</v>
      </c>
    </row>
    <row r="4409" spans="1:28" x14ac:dyDescent="0.25">
      <c r="A4409" t="s">
        <v>4413</v>
      </c>
      <c r="B4409">
        <v>0.99352677808782597</v>
      </c>
      <c r="C4409">
        <v>0.61509794740011103</v>
      </c>
      <c r="D4409">
        <v>0.50006950076901902</v>
      </c>
      <c r="E4409">
        <v>0.152016390628753</v>
      </c>
      <c r="F4409">
        <v>0.12725568303335999</v>
      </c>
      <c r="G4409">
        <v>7.0974484638144597E-2</v>
      </c>
      <c r="H4409">
        <v>5.7432557451867899E-2</v>
      </c>
      <c r="I4409">
        <v>4.32517154541361E-2</v>
      </c>
      <c r="J4409">
        <v>4.2226439354975998E-2</v>
      </c>
      <c r="K4409">
        <v>4.78810557095306E-2</v>
      </c>
      <c r="L4409">
        <v>777.40824080162804</v>
      </c>
      <c r="M4409">
        <v>17.269862117071199</v>
      </c>
      <c r="N4409">
        <v>45.255958210633601</v>
      </c>
      <c r="O4409">
        <v>44.424739721235298</v>
      </c>
      <c r="P4409">
        <v>-9.2927565429049896E-2</v>
      </c>
      <c r="Q4409">
        <v>4.3873517576969202E-2</v>
      </c>
      <c r="R4409">
        <v>0.97490169609691901</v>
      </c>
      <c r="S4409" t="s">
        <v>10694</v>
      </c>
      <c r="T4409" t="s">
        <v>12568</v>
      </c>
      <c r="U4409" t="s">
        <v>12568</v>
      </c>
      <c r="V4409" t="s">
        <v>12568</v>
      </c>
      <c r="W4409" t="s">
        <v>16930</v>
      </c>
      <c r="X4409">
        <v>1</v>
      </c>
      <c r="Y4409" t="s">
        <v>23041</v>
      </c>
      <c r="Z4409" t="s">
        <v>29279</v>
      </c>
      <c r="AA4409">
        <v>0.22630801539633799</v>
      </c>
      <c r="AB4409" t="str">
        <f>HYPERLINK("Melting_Curves/meltCurve_Q8WXI4_2_ACOT11.pdf", "Melting_Curves/meltCurve_Q8WXI4_2_ACOT11.pdf")</f>
        <v>Melting_Curves/meltCurve_Q8WXI4_2_ACOT11.pdf</v>
      </c>
    </row>
    <row r="4410" spans="1:28" x14ac:dyDescent="0.25">
      <c r="A4410" t="s">
        <v>4414</v>
      </c>
      <c r="B4410">
        <v>0.99352677808782597</v>
      </c>
      <c r="C4410">
        <v>0.93701284257698902</v>
      </c>
      <c r="D4410">
        <v>0.83697366270266105</v>
      </c>
      <c r="E4410">
        <v>0.76383830032309996</v>
      </c>
      <c r="F4410">
        <v>0.71817869577738902</v>
      </c>
      <c r="G4410">
        <v>0.642329706875583</v>
      </c>
      <c r="H4410">
        <v>0.62978642395651696</v>
      </c>
      <c r="I4410">
        <v>0.65131501636026101</v>
      </c>
      <c r="J4410">
        <v>0.67553329473267798</v>
      </c>
      <c r="K4410">
        <v>0.58962849777716597</v>
      </c>
      <c r="L4410">
        <v>647.31238839448497</v>
      </c>
      <c r="M4410">
        <v>13.5749601841241</v>
      </c>
      <c r="O4410">
        <v>46.68520170483</v>
      </c>
      <c r="P4410">
        <v>-2.72711063507836E-2</v>
      </c>
      <c r="Q4410">
        <v>0.62490730343443901</v>
      </c>
      <c r="R4410">
        <v>0.96781051263517104</v>
      </c>
      <c r="S4410" t="s">
        <v>10695</v>
      </c>
      <c r="T4410" t="s">
        <v>12568</v>
      </c>
      <c r="U4410" t="s">
        <v>12568</v>
      </c>
      <c r="V4410" t="s">
        <v>12568</v>
      </c>
      <c r="W4410" t="s">
        <v>16931</v>
      </c>
      <c r="X4410">
        <v>19</v>
      </c>
      <c r="Y4410" t="s">
        <v>23042</v>
      </c>
      <c r="Z4410" t="s">
        <v>29280</v>
      </c>
      <c r="AA4410">
        <v>0.73291166142320074</v>
      </c>
      <c r="AB4410" t="str">
        <f>HYPERLINK("Melting_Curves/meltCurve_Q8WXI9_GATAD2B.pdf", "Melting_Curves/meltCurve_Q8WXI9_GATAD2B.pdf")</f>
        <v>Melting_Curves/meltCurve_Q8WXI9_GATAD2B.pdf</v>
      </c>
    </row>
    <row r="4411" spans="1:28" x14ac:dyDescent="0.25">
      <c r="A4411" t="s">
        <v>4415</v>
      </c>
      <c r="B4411">
        <v>0.99352677808782597</v>
      </c>
      <c r="C4411">
        <v>0.89561764231871199</v>
      </c>
      <c r="D4411">
        <v>0.52825472893617298</v>
      </c>
      <c r="E4411">
        <v>0.35672677121114499</v>
      </c>
      <c r="F4411">
        <v>0.32395047959933898</v>
      </c>
      <c r="G4411">
        <v>0.173568811211115</v>
      </c>
      <c r="H4411">
        <v>0.15485772079318699</v>
      </c>
      <c r="I4411">
        <v>0.18577913440816399</v>
      </c>
      <c r="J4411">
        <v>0.116451591745951</v>
      </c>
      <c r="K4411">
        <v>9.9253627860750801E-2</v>
      </c>
      <c r="L4411">
        <v>771.64327470643798</v>
      </c>
      <c r="M4411">
        <v>16.564952955881999</v>
      </c>
      <c r="N4411">
        <v>47.5370834798373</v>
      </c>
      <c r="O4411">
        <v>45.919883010172398</v>
      </c>
      <c r="P4411">
        <v>-7.7433930966204906E-2</v>
      </c>
      <c r="Q4411">
        <v>0.141437163829287</v>
      </c>
      <c r="R4411">
        <v>0.97411894628056805</v>
      </c>
      <c r="S4411" t="s">
        <v>10696</v>
      </c>
      <c r="T4411" t="s">
        <v>12568</v>
      </c>
      <c r="U4411" t="s">
        <v>12568</v>
      </c>
      <c r="V4411" t="s">
        <v>12568</v>
      </c>
      <c r="W4411" t="s">
        <v>16932</v>
      </c>
      <c r="X4411">
        <v>3</v>
      </c>
      <c r="Y4411" t="s">
        <v>23043</v>
      </c>
      <c r="Z4411" t="s">
        <v>29281</v>
      </c>
      <c r="AA4411">
        <v>0.34925807787929469</v>
      </c>
      <c r="AB4411" t="str">
        <f>HYPERLINK("Melting_Curves/meltCurve_Q8WXW3_PIBF1.pdf", "Melting_Curves/meltCurve_Q8WXW3_PIBF1.pdf")</f>
        <v>Melting_Curves/meltCurve_Q8WXW3_PIBF1.pdf</v>
      </c>
    </row>
    <row r="4412" spans="1:28" x14ac:dyDescent="0.25">
      <c r="A4412" t="s">
        <v>4416</v>
      </c>
      <c r="B4412">
        <v>0.99352677808782597</v>
      </c>
      <c r="C4412">
        <v>1.0000436547851801</v>
      </c>
      <c r="D4412">
        <v>1.09269954845523</v>
      </c>
      <c r="E4412">
        <v>1.0559138882879799</v>
      </c>
      <c r="F4412">
        <v>0.936788646380038</v>
      </c>
      <c r="G4412">
        <v>0.67012250076039503</v>
      </c>
      <c r="H4412">
        <v>0.40907626025398702</v>
      </c>
      <c r="I4412">
        <v>0.37048888227996701</v>
      </c>
      <c r="J4412">
        <v>0.38752915026749302</v>
      </c>
      <c r="K4412">
        <v>0.30952578533126301</v>
      </c>
      <c r="L4412">
        <v>1897.70081582534</v>
      </c>
      <c r="M4412">
        <v>33.321359612458899</v>
      </c>
      <c r="N4412">
        <v>59.057192207807098</v>
      </c>
      <c r="O4412">
        <v>56.747533823667901</v>
      </c>
      <c r="P4412">
        <v>-9.57706219242348E-2</v>
      </c>
      <c r="Q4412">
        <v>0.347598865361333</v>
      </c>
      <c r="R4412">
        <v>0.98363350781565095</v>
      </c>
      <c r="S4412" t="s">
        <v>10697</v>
      </c>
      <c r="T4412" t="s">
        <v>12568</v>
      </c>
      <c r="U4412" t="s">
        <v>12568</v>
      </c>
      <c r="V4412" t="s">
        <v>12568</v>
      </c>
      <c r="W4412" t="s">
        <v>16933</v>
      </c>
      <c r="X4412">
        <v>21</v>
      </c>
      <c r="Y4412" t="s">
        <v>23044</v>
      </c>
      <c r="Z4412" t="s">
        <v>29282</v>
      </c>
      <c r="AA4412">
        <v>0.71983252983431611</v>
      </c>
      <c r="AB4412" t="str">
        <f>HYPERLINK("Melting_Curves/meltCurve_Q8WXX5_DNAJC9.pdf", "Melting_Curves/meltCurve_Q8WXX5_DNAJC9.pdf")</f>
        <v>Melting_Curves/meltCurve_Q8WXX5_DNAJC9.pdf</v>
      </c>
    </row>
    <row r="4413" spans="1:28" x14ac:dyDescent="0.25">
      <c r="A4413" t="s">
        <v>4417</v>
      </c>
      <c r="B4413">
        <v>0.99352677808782597</v>
      </c>
      <c r="C4413">
        <v>0.89967783511959698</v>
      </c>
      <c r="D4413">
        <v>0.78384749791197394</v>
      </c>
      <c r="E4413">
        <v>0.297664240204005</v>
      </c>
      <c r="F4413">
        <v>0.235549457348427</v>
      </c>
      <c r="G4413">
        <v>0.12647841598133899</v>
      </c>
      <c r="H4413">
        <v>8.2861150801904301E-2</v>
      </c>
      <c r="I4413">
        <v>7.5988738867158998E-2</v>
      </c>
      <c r="J4413">
        <v>5.9668106366209998E-2</v>
      </c>
      <c r="K4413">
        <v>4.5322357402596498E-2</v>
      </c>
      <c r="L4413">
        <v>1013.55500619998</v>
      </c>
      <c r="M4413">
        <v>21.0789508006233</v>
      </c>
      <c r="N4413">
        <v>48.430081306480503</v>
      </c>
      <c r="O4413">
        <v>47.657262055551399</v>
      </c>
      <c r="P4413">
        <v>-0.102841764049086</v>
      </c>
      <c r="Q4413">
        <v>6.9967504409359102E-2</v>
      </c>
      <c r="R4413">
        <v>0.99202618056430902</v>
      </c>
      <c r="S4413" t="s">
        <v>10698</v>
      </c>
      <c r="T4413" t="s">
        <v>12568</v>
      </c>
      <c r="U4413" t="s">
        <v>12568</v>
      </c>
      <c r="V4413" t="s">
        <v>12568</v>
      </c>
      <c r="W4413" t="s">
        <v>16934</v>
      </c>
      <c r="X4413">
        <v>10</v>
      </c>
      <c r="Y4413" t="s">
        <v>23045</v>
      </c>
      <c r="Z4413" t="s">
        <v>29283</v>
      </c>
      <c r="AA4413">
        <v>0.33237807663098812</v>
      </c>
      <c r="AB4413" t="str">
        <f>HYPERLINK("Melting_Curves/meltCurve_Q8WYA0_IFT81.pdf", "Melting_Curves/meltCurve_Q8WYA0_IFT81.pdf")</f>
        <v>Melting_Curves/meltCurve_Q8WYA0_IFT81.pdf</v>
      </c>
    </row>
    <row r="4414" spans="1:28" x14ac:dyDescent="0.25">
      <c r="A4414" t="s">
        <v>4418</v>
      </c>
      <c r="B4414">
        <v>0.99352677808782597</v>
      </c>
      <c r="C4414">
        <v>0.77208286817954996</v>
      </c>
      <c r="D4414">
        <v>0.52254735637820204</v>
      </c>
      <c r="E4414">
        <v>0.28194641969645701</v>
      </c>
      <c r="F4414">
        <v>0.21782228422220301</v>
      </c>
      <c r="G4414">
        <v>0.13811099706946101</v>
      </c>
      <c r="H4414">
        <v>9.6803020612446403E-2</v>
      </c>
      <c r="I4414">
        <v>8.0877045374604203E-2</v>
      </c>
      <c r="J4414">
        <v>7.7236041811040407E-2</v>
      </c>
      <c r="K4414">
        <v>6.3383624345760295E-2</v>
      </c>
      <c r="L4414">
        <v>743.812678946853</v>
      </c>
      <c r="M4414">
        <v>16.139580130051598</v>
      </c>
      <c r="N4414">
        <v>46.591460345389699</v>
      </c>
      <c r="O4414">
        <v>45.3961458787536</v>
      </c>
      <c r="P4414">
        <v>-8.1753061634107504E-2</v>
      </c>
      <c r="Q4414">
        <v>8.0275311729458496E-2</v>
      </c>
      <c r="R4414">
        <v>0.99227574132003404</v>
      </c>
      <c r="S4414" t="s">
        <v>10699</v>
      </c>
      <c r="T4414" t="s">
        <v>12568</v>
      </c>
      <c r="U4414" t="s">
        <v>12568</v>
      </c>
      <c r="V4414" t="s">
        <v>12568</v>
      </c>
      <c r="W4414" t="s">
        <v>16935</v>
      </c>
      <c r="X4414">
        <v>11</v>
      </c>
      <c r="Y4414" t="s">
        <v>23046</v>
      </c>
      <c r="Z4414" t="s">
        <v>29284</v>
      </c>
      <c r="AA4414">
        <v>0.28967832926349663</v>
      </c>
      <c r="AB4414" t="str">
        <f>HYPERLINK("Melting_Curves/meltCurve_Q8WYA6_CTNNBL1.pdf", "Melting_Curves/meltCurve_Q8WYA6_CTNNBL1.pdf")</f>
        <v>Melting_Curves/meltCurve_Q8WYA6_CTNNBL1.pdf</v>
      </c>
    </row>
    <row r="4415" spans="1:28" x14ac:dyDescent="0.25">
      <c r="A4415" t="s">
        <v>4419</v>
      </c>
      <c r="B4415">
        <v>0.99352677808782597</v>
      </c>
      <c r="C4415">
        <v>0.77419421768201702</v>
      </c>
      <c r="D4415">
        <v>0.90441074701830304</v>
      </c>
      <c r="E4415">
        <v>0.79183060237136005</v>
      </c>
      <c r="F4415">
        <v>0.87124263109795197</v>
      </c>
      <c r="G4415">
        <v>0.67972763804606395</v>
      </c>
      <c r="H4415">
        <v>0.65638182760341801</v>
      </c>
      <c r="I4415">
        <v>0.68922266733054305</v>
      </c>
      <c r="J4415">
        <v>0.80372378861677396</v>
      </c>
      <c r="K4415">
        <v>0.74828484877756696</v>
      </c>
      <c r="L4415">
        <v>403.95364926503999</v>
      </c>
      <c r="M4415">
        <v>8.8973424321343408</v>
      </c>
      <c r="O4415">
        <v>43.283725593964697</v>
      </c>
      <c r="P4415">
        <v>-1.492350066792E-2</v>
      </c>
      <c r="Q4415">
        <v>0.709821142869966</v>
      </c>
      <c r="R4415">
        <v>0.51179151538244405</v>
      </c>
      <c r="S4415" t="s">
        <v>10700</v>
      </c>
      <c r="T4415" t="s">
        <v>12568</v>
      </c>
      <c r="U4415" t="s">
        <v>12568</v>
      </c>
      <c r="V4415" t="s">
        <v>12568</v>
      </c>
      <c r="W4415" t="s">
        <v>16936</v>
      </c>
      <c r="X4415">
        <v>1</v>
      </c>
      <c r="Y4415" t="s">
        <v>23047</v>
      </c>
      <c r="Z4415" t="s">
        <v>29285</v>
      </c>
      <c r="AA4415">
        <v>0.78505183019370983</v>
      </c>
      <c r="AB4415" t="str">
        <f>HYPERLINK("Melting_Curves/meltCurve_Q8WYB5_3_KAT6B.pdf", "Melting_Curves/meltCurve_Q8WYB5_3_KAT6B.pdf")</f>
        <v>Melting_Curves/meltCurve_Q8WYB5_3_KAT6B.pdf</v>
      </c>
    </row>
    <row r="4416" spans="1:28" x14ac:dyDescent="0.25">
      <c r="A4416" t="s">
        <v>4420</v>
      </c>
      <c r="B4416">
        <v>0.99352677808782597</v>
      </c>
      <c r="C4416">
        <v>0.83545407786105497</v>
      </c>
      <c r="D4416">
        <v>0.85018604846160095</v>
      </c>
      <c r="E4416">
        <v>0.70342295755029305</v>
      </c>
      <c r="F4416">
        <v>0.52967814508595101</v>
      </c>
      <c r="G4416">
        <v>0.50186389770159201</v>
      </c>
      <c r="H4416">
        <v>0.44148911684798497</v>
      </c>
      <c r="I4416">
        <v>0.51198328590513797</v>
      </c>
      <c r="J4416">
        <v>0.47426414108681197</v>
      </c>
      <c r="K4416">
        <v>0.36145757583875499</v>
      </c>
      <c r="L4416">
        <v>572.39213044516305</v>
      </c>
      <c r="M4416">
        <v>11.688636512708401</v>
      </c>
      <c r="N4416">
        <v>57.381489467844702</v>
      </c>
      <c r="O4416">
        <v>47.602501937309199</v>
      </c>
      <c r="P4416">
        <v>-3.6235351536858203E-2</v>
      </c>
      <c r="Q4416">
        <v>0.40987705225563498</v>
      </c>
      <c r="R4416">
        <v>0.94450325555069803</v>
      </c>
      <c r="S4416" t="s">
        <v>10701</v>
      </c>
      <c r="T4416" t="s">
        <v>12568</v>
      </c>
      <c r="U4416" t="s">
        <v>12568</v>
      </c>
      <c r="V4416" t="s">
        <v>12568</v>
      </c>
      <c r="W4416" t="s">
        <v>16937</v>
      </c>
      <c r="X4416">
        <v>2</v>
      </c>
      <c r="Y4416" t="s">
        <v>23048</v>
      </c>
      <c r="Z4416" t="s">
        <v>29286</v>
      </c>
      <c r="AA4416">
        <v>0.60901331320097463</v>
      </c>
      <c r="AB4416" t="str">
        <f>HYPERLINK("Melting_Curves/meltCurve_Q8WYL5_SSH1.pdf", "Melting_Curves/meltCurve_Q8WYL5_SSH1.pdf")</f>
        <v>Melting_Curves/meltCurve_Q8WYL5_SSH1.pdf</v>
      </c>
    </row>
    <row r="4417" spans="1:28" x14ac:dyDescent="0.25">
      <c r="A4417" t="s">
        <v>4421</v>
      </c>
      <c r="B4417">
        <v>0.99352677808782597</v>
      </c>
      <c r="C4417">
        <v>0.86712069818719995</v>
      </c>
      <c r="D4417">
        <v>0.64979924619120299</v>
      </c>
      <c r="E4417">
        <v>0.28075135090693898</v>
      </c>
      <c r="F4417">
        <v>0.21556357923030101</v>
      </c>
      <c r="G4417">
        <v>0.12950114762100701</v>
      </c>
      <c r="H4417">
        <v>8.4030620921834998E-2</v>
      </c>
      <c r="I4417">
        <v>7.6919576129620706E-2</v>
      </c>
      <c r="J4417">
        <v>5.8074330325368101E-2</v>
      </c>
      <c r="K4417">
        <v>6.26437104849107E-2</v>
      </c>
      <c r="L4417">
        <v>867.87372758805498</v>
      </c>
      <c r="M4417">
        <v>18.396676475748698</v>
      </c>
      <c r="N4417">
        <v>47.5721957483509</v>
      </c>
      <c r="O4417">
        <v>46.628742661402299</v>
      </c>
      <c r="P4417">
        <v>-9.1625484568809798E-2</v>
      </c>
      <c r="Q4417">
        <v>7.1095756421410902E-2</v>
      </c>
      <c r="R4417">
        <v>0.99653221973375705</v>
      </c>
      <c r="S4417" t="s">
        <v>10702</v>
      </c>
      <c r="T4417" t="s">
        <v>12568</v>
      </c>
      <c r="U4417" t="s">
        <v>12568</v>
      </c>
      <c r="V4417" t="s">
        <v>12568</v>
      </c>
      <c r="W4417" t="s">
        <v>16938</v>
      </c>
      <c r="X4417">
        <v>5</v>
      </c>
      <c r="Y4417" t="s">
        <v>23049</v>
      </c>
      <c r="Z4417" t="s">
        <v>29287</v>
      </c>
      <c r="AA4417">
        <v>0.30948885347044652</v>
      </c>
      <c r="AB4417" t="str">
        <f>HYPERLINK("Melting_Curves/meltCurve_Q8WYP3_RIN2.pdf", "Melting_Curves/meltCurve_Q8WYP3_RIN2.pdf")</f>
        <v>Melting_Curves/meltCurve_Q8WYP3_RIN2.pdf</v>
      </c>
    </row>
    <row r="4418" spans="1:28" x14ac:dyDescent="0.25">
      <c r="A4418" t="s">
        <v>4422</v>
      </c>
      <c r="B4418">
        <v>0.99352677808782597</v>
      </c>
      <c r="C4418">
        <v>1.0070819200191301</v>
      </c>
      <c r="D4418">
        <v>0.97411931798108498</v>
      </c>
      <c r="E4418">
        <v>0.82934516622125198</v>
      </c>
      <c r="F4418">
        <v>0.69122633632033004</v>
      </c>
      <c r="G4418">
        <v>0.60137941822643703</v>
      </c>
      <c r="H4418">
        <v>0.53393839501970597</v>
      </c>
      <c r="I4418">
        <v>0.46571336053719198</v>
      </c>
      <c r="J4418">
        <v>0.61529313585874201</v>
      </c>
      <c r="K4418">
        <v>0.49517064369498898</v>
      </c>
      <c r="L4418">
        <v>1081.68556993846</v>
      </c>
      <c r="M4418">
        <v>20.989910249961198</v>
      </c>
      <c r="O4418">
        <v>51.072681803701897</v>
      </c>
      <c r="P4418">
        <v>-4.8929283867157197E-2</v>
      </c>
      <c r="Q4418">
        <v>0.52379357933786297</v>
      </c>
      <c r="R4418">
        <v>0.96613131344514902</v>
      </c>
      <c r="S4418" t="s">
        <v>10703</v>
      </c>
      <c r="T4418" t="s">
        <v>12568</v>
      </c>
      <c r="U4418" t="s">
        <v>12568</v>
      </c>
      <c r="V4418" t="s">
        <v>12568</v>
      </c>
      <c r="W4418" t="s">
        <v>16939</v>
      </c>
      <c r="X4418">
        <v>7</v>
      </c>
      <c r="Y4418" t="s">
        <v>23050</v>
      </c>
      <c r="Z4418" t="s">
        <v>29288</v>
      </c>
      <c r="AA4418">
        <v>0.71291072316597215</v>
      </c>
      <c r="AB4418" t="str">
        <f>HYPERLINK("Melting_Curves/meltCurve_Q8WYP5_AHCTF1.pdf", "Melting_Curves/meltCurve_Q8WYP5_AHCTF1.pdf")</f>
        <v>Melting_Curves/meltCurve_Q8WYP5_AHCTF1.pdf</v>
      </c>
    </row>
    <row r="4419" spans="1:28" x14ac:dyDescent="0.25">
      <c r="A4419" t="s">
        <v>4423</v>
      </c>
      <c r="B4419">
        <v>0.99352677808782597</v>
      </c>
      <c r="C4419">
        <v>0.91089402159252197</v>
      </c>
      <c r="D4419">
        <v>0.98904082048778597</v>
      </c>
      <c r="E4419">
        <v>0.87998265375039797</v>
      </c>
      <c r="F4419">
        <v>0.89547275448232999</v>
      </c>
      <c r="G4419">
        <v>0.81215224818919296</v>
      </c>
      <c r="H4419">
        <v>0.68661886863734301</v>
      </c>
      <c r="I4419">
        <v>0.78731604430540902</v>
      </c>
      <c r="J4419">
        <v>0.75060123365250697</v>
      </c>
      <c r="K4419">
        <v>0.66865253966747396</v>
      </c>
      <c r="L4419">
        <v>415.907689467794</v>
      </c>
      <c r="M4419">
        <v>7.27005194809741</v>
      </c>
      <c r="O4419">
        <v>53.3561642320701</v>
      </c>
      <c r="P4419">
        <v>-1.30932588007563E-2</v>
      </c>
      <c r="Q4419">
        <v>0.616244354576724</v>
      </c>
      <c r="R4419">
        <v>0.85188874251927504</v>
      </c>
      <c r="S4419" t="s">
        <v>10704</v>
      </c>
      <c r="T4419" t="s">
        <v>12568</v>
      </c>
      <c r="U4419" t="s">
        <v>12568</v>
      </c>
      <c r="V4419" t="s">
        <v>12568</v>
      </c>
      <c r="W4419" t="s">
        <v>16940</v>
      </c>
      <c r="X4419">
        <v>6</v>
      </c>
      <c r="Y4419" t="s">
        <v>23051</v>
      </c>
      <c r="Z4419" t="s">
        <v>29289</v>
      </c>
      <c r="AA4419">
        <v>0.83927994140677986</v>
      </c>
      <c r="AB4419" t="str">
        <f>HYPERLINK("Melting_Curves/meltCurve_Q8WZ73_3_RFFL.pdf", "Melting_Curves/meltCurve_Q8WZ73_3_RFFL.pdf")</f>
        <v>Melting_Curves/meltCurve_Q8WZ73_3_RFFL.pdf</v>
      </c>
    </row>
    <row r="4420" spans="1:28" x14ac:dyDescent="0.25">
      <c r="A4420" t="s">
        <v>4424</v>
      </c>
      <c r="B4420">
        <v>0.99352677808782597</v>
      </c>
      <c r="C4420">
        <v>0.96792203544746303</v>
      </c>
      <c r="D4420">
        <v>0.99362591963472802</v>
      </c>
      <c r="E4420">
        <v>0.248927322845126</v>
      </c>
      <c r="F4420">
        <v>0.189854260777929</v>
      </c>
      <c r="G4420">
        <v>0.118670991436696</v>
      </c>
      <c r="H4420">
        <v>9.50154809057462E-2</v>
      </c>
      <c r="I4420">
        <v>8.9992148433405805E-2</v>
      </c>
      <c r="J4420">
        <v>8.2722257382646602E-2</v>
      </c>
      <c r="K4420">
        <v>6.3327616352664401E-2</v>
      </c>
      <c r="L4420">
        <v>3067.3228396702498</v>
      </c>
      <c r="M4420">
        <v>62.949582447808901</v>
      </c>
      <c r="N4420">
        <v>48.909438854743499</v>
      </c>
      <c r="O4420">
        <v>48.677557643561897</v>
      </c>
      <c r="P4420">
        <v>-0.28941295220340801</v>
      </c>
      <c r="Q4420">
        <v>0.10481310443637</v>
      </c>
      <c r="R4420">
        <v>0.99343187132857202</v>
      </c>
      <c r="S4420" t="s">
        <v>10705</v>
      </c>
      <c r="T4420" t="s">
        <v>12568</v>
      </c>
      <c r="U4420" t="s">
        <v>12568</v>
      </c>
      <c r="V4420" t="s">
        <v>12568</v>
      </c>
      <c r="W4420" t="s">
        <v>16941</v>
      </c>
      <c r="X4420">
        <v>4</v>
      </c>
      <c r="Y4420" t="s">
        <v>23052</v>
      </c>
      <c r="Z4420" t="s">
        <v>29290</v>
      </c>
      <c r="AA4420">
        <v>0.36642418079968819</v>
      </c>
      <c r="AB4420" t="str">
        <f>HYPERLINK("Melting_Curves/meltCurve_Q8WZ82_OVCA2.pdf", "Melting_Curves/meltCurve_Q8WZ82_OVCA2.pdf")</f>
        <v>Melting_Curves/meltCurve_Q8WZ82_OVCA2.pdf</v>
      </c>
    </row>
    <row r="4421" spans="1:28" x14ac:dyDescent="0.25">
      <c r="A4421" t="s">
        <v>4425</v>
      </c>
      <c r="B4421">
        <v>0.99352677808782597</v>
      </c>
      <c r="C4421">
        <v>0.95814698325866099</v>
      </c>
      <c r="D4421">
        <v>1.01304907626685</v>
      </c>
      <c r="E4421">
        <v>1.01301685127161</v>
      </c>
      <c r="F4421">
        <v>0.90445592575657796</v>
      </c>
      <c r="G4421">
        <v>0.83052685587547204</v>
      </c>
      <c r="H4421">
        <v>0.74105270895952802</v>
      </c>
      <c r="I4421">
        <v>0.68515131851879896</v>
      </c>
      <c r="J4421">
        <v>0.76397201358992295</v>
      </c>
      <c r="K4421">
        <v>0.62354594683222797</v>
      </c>
      <c r="L4421">
        <v>1041.1197547454201</v>
      </c>
      <c r="M4421">
        <v>18.346153131017999</v>
      </c>
      <c r="O4421">
        <v>56.087316085300301</v>
      </c>
      <c r="P4421">
        <v>-2.7093223853193599E-2</v>
      </c>
      <c r="Q4421">
        <v>0.66870075696988196</v>
      </c>
      <c r="R4421">
        <v>0.92801161935855503</v>
      </c>
      <c r="S4421" t="s">
        <v>10706</v>
      </c>
      <c r="T4421" t="s">
        <v>12568</v>
      </c>
      <c r="U4421" t="s">
        <v>12568</v>
      </c>
      <c r="V4421" t="s">
        <v>12568</v>
      </c>
      <c r="W4421" t="s">
        <v>16942</v>
      </c>
      <c r="X4421">
        <v>11</v>
      </c>
      <c r="Y4421" t="s">
        <v>23053</v>
      </c>
      <c r="Z4421" t="s">
        <v>29291</v>
      </c>
      <c r="AA4421">
        <v>0.85820900144094581</v>
      </c>
      <c r="AB4421" t="str">
        <f>HYPERLINK("Melting_Curves/meltCurve_Q8WZA0_LZIC.pdf", "Melting_Curves/meltCurve_Q8WZA0_LZIC.pdf")</f>
        <v>Melting_Curves/meltCurve_Q8WZA0_LZIC.pdf</v>
      </c>
    </row>
    <row r="4422" spans="1:28" x14ac:dyDescent="0.25">
      <c r="A4422" t="s">
        <v>4426</v>
      </c>
      <c r="B4422">
        <v>0.99352677808782597</v>
      </c>
      <c r="C4422">
        <v>0.98521144629514901</v>
      </c>
      <c r="D4422">
        <v>1.02653540296421</v>
      </c>
      <c r="E4422">
        <v>0.52546643712303998</v>
      </c>
      <c r="F4422">
        <v>0.444839530813534</v>
      </c>
      <c r="G4422">
        <v>0.213527954930054</v>
      </c>
      <c r="H4422">
        <v>0.164243105778486</v>
      </c>
      <c r="I4422">
        <v>0.15286556627854</v>
      </c>
      <c r="J4422">
        <v>0.135992457782149</v>
      </c>
      <c r="K4422">
        <v>0.107844501856438</v>
      </c>
      <c r="L4422">
        <v>1108.1254544430501</v>
      </c>
      <c r="M4422">
        <v>21.889819814730998</v>
      </c>
      <c r="N4422">
        <v>51.380431594994299</v>
      </c>
      <c r="O4422">
        <v>50.206061764625503</v>
      </c>
      <c r="P4422">
        <v>-9.3968146252242105E-2</v>
      </c>
      <c r="Q4422">
        <v>0.137925637852092</v>
      </c>
      <c r="R4422">
        <v>0.97828030613146999</v>
      </c>
      <c r="S4422" t="s">
        <v>10707</v>
      </c>
      <c r="T4422" t="s">
        <v>12568</v>
      </c>
      <c r="U4422" t="s">
        <v>12568</v>
      </c>
      <c r="V4422" t="s">
        <v>12568</v>
      </c>
      <c r="W4422" t="s">
        <v>16943</v>
      </c>
      <c r="X4422">
        <v>16</v>
      </c>
      <c r="Y4422" t="s">
        <v>23054</v>
      </c>
      <c r="Z4422" t="s">
        <v>29292</v>
      </c>
      <c r="AA4422">
        <v>0.45325151774452532</v>
      </c>
      <c r="AB4422" t="str">
        <f>HYPERLINK("Melting_Curves/meltCurve_Q8WZA9_IRGQ.pdf", "Melting_Curves/meltCurve_Q8WZA9_IRGQ.pdf")</f>
        <v>Melting_Curves/meltCurve_Q8WZA9_IRGQ.pdf</v>
      </c>
    </row>
    <row r="4423" spans="1:28" x14ac:dyDescent="0.25">
      <c r="A4423" t="s">
        <v>4427</v>
      </c>
      <c r="B4423">
        <v>0.99352677808782597</v>
      </c>
      <c r="C4423">
        <v>1.0139826200025901</v>
      </c>
      <c r="D4423">
        <v>0.90844560983311395</v>
      </c>
      <c r="E4423">
        <v>1.0832541672620699</v>
      </c>
      <c r="F4423">
        <v>0.92621398060807703</v>
      </c>
      <c r="G4423">
        <v>0.75701003079660001</v>
      </c>
      <c r="H4423">
        <v>0.63910101993768298</v>
      </c>
      <c r="I4423">
        <v>0.45306982737743301</v>
      </c>
      <c r="J4423">
        <v>0.25929925589533498</v>
      </c>
      <c r="K4423">
        <v>0.13167378552537101</v>
      </c>
      <c r="L4423">
        <v>964.16857353465798</v>
      </c>
      <c r="M4423">
        <v>15.3815687867764</v>
      </c>
      <c r="N4423">
        <v>62.683370462189899</v>
      </c>
      <c r="O4423">
        <v>61.6525467389149</v>
      </c>
      <c r="P4423">
        <v>-6.2377723327252298E-2</v>
      </c>
      <c r="Q4423">
        <v>0</v>
      </c>
      <c r="R4423">
        <v>0.97349869292995395</v>
      </c>
      <c r="S4423" t="s">
        <v>10708</v>
      </c>
      <c r="T4423" t="s">
        <v>12568</v>
      </c>
      <c r="U4423" t="s">
        <v>12568</v>
      </c>
      <c r="V4423" t="s">
        <v>12568</v>
      </c>
      <c r="W4423" t="s">
        <v>16944</v>
      </c>
      <c r="X4423">
        <v>13</v>
      </c>
      <c r="Y4423" t="s">
        <v>23055</v>
      </c>
      <c r="Z4423" t="s">
        <v>29293</v>
      </c>
      <c r="AA4423">
        <v>0.74996710577355818</v>
      </c>
      <c r="AB4423" t="str">
        <f>HYPERLINK("Melting_Curves/meltCurve_Q92466_DDB2.pdf", "Melting_Curves/meltCurve_Q92466_DDB2.pdf")</f>
        <v>Melting_Curves/meltCurve_Q92466_DDB2.pdf</v>
      </c>
    </row>
    <row r="4424" spans="1:28" x14ac:dyDescent="0.25">
      <c r="A4424" t="s">
        <v>4428</v>
      </c>
      <c r="B4424">
        <v>0.99352677808782597</v>
      </c>
      <c r="C4424">
        <v>0.85588347906818096</v>
      </c>
      <c r="D4424">
        <v>0.88016119340695698</v>
      </c>
      <c r="E4424">
        <v>0.24944566957043701</v>
      </c>
      <c r="F4424">
        <v>0.191865070416188</v>
      </c>
      <c r="G4424">
        <v>0.112732207408424</v>
      </c>
      <c r="H4424">
        <v>8.6049406773146195E-2</v>
      </c>
      <c r="I4424">
        <v>8.6649554393706293E-2</v>
      </c>
      <c r="J4424">
        <v>6.3439499776825198E-2</v>
      </c>
      <c r="K4424">
        <v>5.1701130267931897E-2</v>
      </c>
      <c r="L4424">
        <v>1609.31780137994</v>
      </c>
      <c r="M4424">
        <v>33.4444197318874</v>
      </c>
      <c r="N4424">
        <v>48.393389608154997</v>
      </c>
      <c r="O4424">
        <v>47.948111831218299</v>
      </c>
      <c r="P4424">
        <v>-0.15932632447231801</v>
      </c>
      <c r="Q4424">
        <v>8.6321239083698598E-2</v>
      </c>
      <c r="R4424">
        <v>0.98054133873724503</v>
      </c>
      <c r="S4424" t="s">
        <v>10709</v>
      </c>
      <c r="T4424" t="s">
        <v>12568</v>
      </c>
      <c r="U4424" t="s">
        <v>12568</v>
      </c>
      <c r="V4424" t="s">
        <v>12568</v>
      </c>
      <c r="W4424" t="s">
        <v>16945</v>
      </c>
      <c r="X4424">
        <v>23</v>
      </c>
      <c r="Y4424" t="s">
        <v>23056</v>
      </c>
      <c r="Z4424" t="s">
        <v>29294</v>
      </c>
      <c r="AA4424">
        <v>0.33799324825811811</v>
      </c>
      <c r="AB4424" t="str">
        <f>HYPERLINK("Melting_Curves/meltCurve_Q92499_DDX1.pdf", "Melting_Curves/meltCurve_Q92499_DDX1.pdf")</f>
        <v>Melting_Curves/meltCurve_Q92499_DDX1.pdf</v>
      </c>
    </row>
    <row r="4425" spans="1:28" x14ac:dyDescent="0.25">
      <c r="A4425" t="s">
        <v>4429</v>
      </c>
      <c r="B4425">
        <v>0.99352677808782597</v>
      </c>
      <c r="C4425">
        <v>0.951085867753935</v>
      </c>
      <c r="D4425">
        <v>0.80639008469629103</v>
      </c>
      <c r="E4425">
        <v>0.390414757775912</v>
      </c>
      <c r="F4425">
        <v>0.30888316561323698</v>
      </c>
      <c r="G4425">
        <v>0.16264807441717799</v>
      </c>
      <c r="H4425">
        <v>0.107920901204239</v>
      </c>
      <c r="I4425">
        <v>8.9515534762085694E-2</v>
      </c>
      <c r="J4425">
        <v>7.0513941143625206E-2</v>
      </c>
      <c r="K4425">
        <v>4.4344378704756597E-2</v>
      </c>
      <c r="L4425">
        <v>885.37945623992005</v>
      </c>
      <c r="M4425">
        <v>18.0715344901359</v>
      </c>
      <c r="N4425">
        <v>49.4229263315599</v>
      </c>
      <c r="O4425">
        <v>48.404949170544398</v>
      </c>
      <c r="P4425">
        <v>-8.65513029516113E-2</v>
      </c>
      <c r="Q4425">
        <v>7.2728011255154504E-2</v>
      </c>
      <c r="R4425">
        <v>0.99314893887084599</v>
      </c>
      <c r="S4425" t="s">
        <v>10710</v>
      </c>
      <c r="T4425" t="s">
        <v>12568</v>
      </c>
      <c r="U4425" t="s">
        <v>12568</v>
      </c>
      <c r="V4425" t="s">
        <v>12568</v>
      </c>
      <c r="W4425" t="s">
        <v>16946</v>
      </c>
      <c r="X4425">
        <v>4</v>
      </c>
      <c r="Y4425" t="s">
        <v>23057</v>
      </c>
      <c r="Z4425" t="s">
        <v>29295</v>
      </c>
      <c r="AA4425">
        <v>0.36663112739341203</v>
      </c>
      <c r="AB4425" t="str">
        <f>HYPERLINK("Melting_Curves/meltCurve_Q92503_3_SEC14L1.pdf", "Melting_Curves/meltCurve_Q92503_3_SEC14L1.pdf")</f>
        <v>Melting_Curves/meltCurve_Q92503_3_SEC14L1.pdf</v>
      </c>
    </row>
    <row r="4426" spans="1:28" x14ac:dyDescent="0.25">
      <c r="A4426" t="s">
        <v>4430</v>
      </c>
      <c r="B4426">
        <v>0.99352677808782597</v>
      </c>
      <c r="C4426">
        <v>0.95125569800943699</v>
      </c>
      <c r="D4426">
        <v>0.86885548763944298</v>
      </c>
      <c r="E4426">
        <v>0.79327073673139503</v>
      </c>
      <c r="F4426">
        <v>0.63974347488376504</v>
      </c>
      <c r="G4426">
        <v>0.59204601716343697</v>
      </c>
      <c r="H4426">
        <v>0.635753210801697</v>
      </c>
      <c r="I4426">
        <v>0.560380982270683</v>
      </c>
      <c r="J4426">
        <v>0.49042410149192101</v>
      </c>
      <c r="K4426">
        <v>0.25537816615377701</v>
      </c>
      <c r="L4426">
        <v>323.14172636684498</v>
      </c>
      <c r="M4426">
        <v>5.1018644243598397</v>
      </c>
      <c r="N4426">
        <v>63.337968333224303</v>
      </c>
      <c r="O4426">
        <v>55.536954313447602</v>
      </c>
      <c r="P4426">
        <v>-2.3097401517699099E-2</v>
      </c>
      <c r="Q4426">
        <v>0</v>
      </c>
      <c r="R4426">
        <v>0.90172775784340597</v>
      </c>
      <c r="S4426" t="s">
        <v>10711</v>
      </c>
      <c r="T4426" t="s">
        <v>12568</v>
      </c>
      <c r="U4426" t="s">
        <v>12568</v>
      </c>
      <c r="V4426" t="s">
        <v>12568</v>
      </c>
      <c r="W4426" t="s">
        <v>16947</v>
      </c>
      <c r="X4426">
        <v>5</v>
      </c>
      <c r="Y4426" t="s">
        <v>23058</v>
      </c>
      <c r="Z4426" t="s">
        <v>29296</v>
      </c>
      <c r="AA4426">
        <v>0.67929696178171539</v>
      </c>
      <c r="AB4426" t="str">
        <f>HYPERLINK("Melting_Curves/meltCurve_Q92506_HSD17B8.pdf", "Melting_Curves/meltCurve_Q92506_HSD17B8.pdf")</f>
        <v>Melting_Curves/meltCurve_Q92506_HSD17B8.pdf</v>
      </c>
    </row>
    <row r="4427" spans="1:28" x14ac:dyDescent="0.25">
      <c r="A4427" t="s">
        <v>4431</v>
      </c>
      <c r="B4427">
        <v>0.99352677808782597</v>
      </c>
      <c r="C4427">
        <v>1.0390954998361299</v>
      </c>
      <c r="D4427">
        <v>1.26053121428559</v>
      </c>
      <c r="E4427">
        <v>0.65111805137530498</v>
      </c>
      <c r="F4427">
        <v>0.58410724980651296</v>
      </c>
      <c r="G4427">
        <v>0.35384427751359399</v>
      </c>
      <c r="H4427">
        <v>0.29856196713490901</v>
      </c>
      <c r="I4427">
        <v>0.257662697602281</v>
      </c>
      <c r="J4427">
        <v>0.29238029282719002</v>
      </c>
      <c r="K4427">
        <v>0.216648549930997</v>
      </c>
      <c r="L4427">
        <v>1318.8059526094901</v>
      </c>
      <c r="M4427">
        <v>25.515642950512099</v>
      </c>
      <c r="N4427">
        <v>53.2994960623924</v>
      </c>
      <c r="O4427">
        <v>51.371831148784899</v>
      </c>
      <c r="P4427">
        <v>-9.0766298887928101E-2</v>
      </c>
      <c r="Q4427">
        <v>0.269033017970216</v>
      </c>
      <c r="R4427">
        <v>0.91389322591198296</v>
      </c>
      <c r="S4427" t="s">
        <v>10712</v>
      </c>
      <c r="T4427" t="s">
        <v>12568</v>
      </c>
      <c r="U4427" t="s">
        <v>12568</v>
      </c>
      <c r="V4427" t="s">
        <v>12568</v>
      </c>
      <c r="W4427" t="s">
        <v>16948</v>
      </c>
      <c r="X4427">
        <v>5</v>
      </c>
      <c r="Y4427" t="s">
        <v>23059</v>
      </c>
      <c r="Z4427" t="s">
        <v>29297</v>
      </c>
      <c r="AA4427">
        <v>0.56016666104978385</v>
      </c>
      <c r="AB4427" t="str">
        <f>HYPERLINK("Melting_Curves/meltCurve_Q92522_H1FX.pdf", "Melting_Curves/meltCurve_Q92522_H1FX.pdf")</f>
        <v>Melting_Curves/meltCurve_Q92522_H1FX.pdf</v>
      </c>
    </row>
    <row r="4428" spans="1:28" x14ac:dyDescent="0.25">
      <c r="A4428" t="s">
        <v>4432</v>
      </c>
      <c r="B4428">
        <v>0.99352677808782597</v>
      </c>
      <c r="C4428">
        <v>0.99304523301982806</v>
      </c>
      <c r="D4428">
        <v>0.91632325010554705</v>
      </c>
      <c r="E4428">
        <v>0.65253250374493899</v>
      </c>
      <c r="F4428">
        <v>0.58724054595187003</v>
      </c>
      <c r="G4428">
        <v>0.33782464223597197</v>
      </c>
      <c r="H4428">
        <v>0.19516495858774299</v>
      </c>
      <c r="I4428">
        <v>0.14469437415424999</v>
      </c>
      <c r="J4428">
        <v>0.111815530972373</v>
      </c>
      <c r="K4428">
        <v>7.3602366569072E-2</v>
      </c>
      <c r="L4428">
        <v>678.19113728714603</v>
      </c>
      <c r="M4428">
        <v>12.679541267735299</v>
      </c>
      <c r="N4428">
        <v>53.797016037258203</v>
      </c>
      <c r="O4428">
        <v>52.208950782482603</v>
      </c>
      <c r="P4428">
        <v>-5.8588005825124898E-2</v>
      </c>
      <c r="Q4428">
        <v>3.5226016440838101E-2</v>
      </c>
      <c r="R4428">
        <v>0.99371061982236597</v>
      </c>
      <c r="S4428" t="s">
        <v>10713</v>
      </c>
      <c r="T4428" t="s">
        <v>12568</v>
      </c>
      <c r="U4428" t="s">
        <v>12568</v>
      </c>
      <c r="V4428" t="s">
        <v>12568</v>
      </c>
      <c r="W4428" t="s">
        <v>16949</v>
      </c>
      <c r="X4428">
        <v>5</v>
      </c>
      <c r="Y4428" t="s">
        <v>23060</v>
      </c>
      <c r="Z4428" t="s">
        <v>29298</v>
      </c>
      <c r="AA4428">
        <v>0.49385145161851918</v>
      </c>
      <c r="AB4428" t="str">
        <f>HYPERLINK("Melting_Curves/meltCurve_Q92526_CCT6B.pdf", "Melting_Curves/meltCurve_Q92526_CCT6B.pdf")</f>
        <v>Melting_Curves/meltCurve_Q92526_CCT6B.pdf</v>
      </c>
    </row>
    <row r="4429" spans="1:28" x14ac:dyDescent="0.25">
      <c r="A4429" t="s">
        <v>4433</v>
      </c>
      <c r="B4429">
        <v>0.99352677808782597</v>
      </c>
      <c r="C4429">
        <v>0.99744185054178303</v>
      </c>
      <c r="D4429">
        <v>0.84546057080696002</v>
      </c>
      <c r="E4429">
        <v>0.388212420488807</v>
      </c>
      <c r="F4429">
        <v>0.30247241936214198</v>
      </c>
      <c r="G4429">
        <v>0.17345599700591099</v>
      </c>
      <c r="H4429">
        <v>0.109253396212111</v>
      </c>
      <c r="I4429">
        <v>0.112096028614471</v>
      </c>
      <c r="J4429">
        <v>7.9894604426585594E-2</v>
      </c>
      <c r="K4429">
        <v>6.1362531985473E-2</v>
      </c>
      <c r="L4429">
        <v>1056.8550758306999</v>
      </c>
      <c r="M4429">
        <v>21.579091904511198</v>
      </c>
      <c r="N4429">
        <v>49.473824051666902</v>
      </c>
      <c r="O4429">
        <v>48.561115369996998</v>
      </c>
      <c r="P4429">
        <v>-0.100251097903133</v>
      </c>
      <c r="Q4429">
        <v>9.7610448188892196E-2</v>
      </c>
      <c r="R4429">
        <v>0.99081337355673504</v>
      </c>
      <c r="S4429" t="s">
        <v>10714</v>
      </c>
      <c r="T4429" t="s">
        <v>12568</v>
      </c>
      <c r="U4429" t="s">
        <v>12568</v>
      </c>
      <c r="V4429" t="s">
        <v>12568</v>
      </c>
      <c r="W4429" t="s">
        <v>16950</v>
      </c>
      <c r="X4429">
        <v>30</v>
      </c>
      <c r="Y4429" t="s">
        <v>23061</v>
      </c>
      <c r="Z4429" t="s">
        <v>29299</v>
      </c>
      <c r="AA4429">
        <v>0.37842624939156061</v>
      </c>
      <c r="AB4429" t="str">
        <f>HYPERLINK("Melting_Curves/meltCurve_Q92538_GBF1.pdf", "Melting_Curves/meltCurve_Q92538_GBF1.pdf")</f>
        <v>Melting_Curves/meltCurve_Q92538_GBF1.pdf</v>
      </c>
    </row>
    <row r="4430" spans="1:28" x14ac:dyDescent="0.25">
      <c r="A4430" t="s">
        <v>4434</v>
      </c>
      <c r="B4430">
        <v>0.99352677808782597</v>
      </c>
      <c r="C4430">
        <v>0.89980103868392503</v>
      </c>
      <c r="D4430">
        <v>0.76838439645409795</v>
      </c>
      <c r="E4430">
        <v>0.408784420291325</v>
      </c>
      <c r="F4430">
        <v>0.33832786220698702</v>
      </c>
      <c r="G4430">
        <v>0.17013054634932101</v>
      </c>
      <c r="H4430">
        <v>0.114469010887172</v>
      </c>
      <c r="I4430">
        <v>0.123415818063703</v>
      </c>
      <c r="J4430">
        <v>0.101018300350755</v>
      </c>
      <c r="K4430">
        <v>7.9230959701026102E-2</v>
      </c>
      <c r="L4430">
        <v>771.742527363298</v>
      </c>
      <c r="M4430">
        <v>15.815421189043001</v>
      </c>
      <c r="N4430">
        <v>49.401165531033698</v>
      </c>
      <c r="O4430">
        <v>48.036666347475801</v>
      </c>
      <c r="P4430">
        <v>-7.5075917633343106E-2</v>
      </c>
      <c r="Q4430">
        <v>8.7953278968607398E-2</v>
      </c>
      <c r="R4430">
        <v>0.99454255281794501</v>
      </c>
      <c r="S4430" t="s">
        <v>10715</v>
      </c>
      <c r="T4430" t="s">
        <v>12568</v>
      </c>
      <c r="U4430" t="s">
        <v>12568</v>
      </c>
      <c r="V4430" t="s">
        <v>12568</v>
      </c>
      <c r="W4430" t="s">
        <v>16951</v>
      </c>
      <c r="X4430">
        <v>5</v>
      </c>
      <c r="Y4430" t="s">
        <v>23062</v>
      </c>
      <c r="Z4430" t="s">
        <v>29300</v>
      </c>
      <c r="AA4430">
        <v>0.37588126657988391</v>
      </c>
      <c r="AB4430" t="str">
        <f>HYPERLINK("Melting_Curves/meltCurve_Q92540_2_SMG7.pdf", "Melting_Curves/meltCurve_Q92540_2_SMG7.pdf")</f>
        <v>Melting_Curves/meltCurve_Q92540_2_SMG7.pdf</v>
      </c>
    </row>
    <row r="4431" spans="1:28" x14ac:dyDescent="0.25">
      <c r="A4431" t="s">
        <v>4435</v>
      </c>
      <c r="B4431">
        <v>0.99352677808782597</v>
      </c>
      <c r="C4431">
        <v>0.97557103199208495</v>
      </c>
      <c r="D4431">
        <v>0.97982116224012605</v>
      </c>
      <c r="E4431">
        <v>0.66031986159115197</v>
      </c>
      <c r="F4431">
        <v>0.56997198367919699</v>
      </c>
      <c r="G4431">
        <v>0.36300312486259201</v>
      </c>
      <c r="H4431">
        <v>0.295405782926421</v>
      </c>
      <c r="I4431">
        <v>0.27318285190894098</v>
      </c>
      <c r="J4431">
        <v>0.27089494987340401</v>
      </c>
      <c r="K4431">
        <v>0.22756888104910999</v>
      </c>
      <c r="L4431">
        <v>899.51437395472203</v>
      </c>
      <c r="M4431">
        <v>17.447288124896399</v>
      </c>
      <c r="N4431">
        <v>53.620349901741001</v>
      </c>
      <c r="O4431">
        <v>50.893125060277299</v>
      </c>
      <c r="P4431">
        <v>-6.47478401393667E-2</v>
      </c>
      <c r="Q4431">
        <v>0.244573468273554</v>
      </c>
      <c r="R4431">
        <v>0.98953865857373902</v>
      </c>
      <c r="S4431" t="s">
        <v>10716</v>
      </c>
      <c r="T4431" t="s">
        <v>12568</v>
      </c>
      <c r="U4431" t="s">
        <v>12568</v>
      </c>
      <c r="V4431" t="s">
        <v>12568</v>
      </c>
      <c r="W4431" t="s">
        <v>16952</v>
      </c>
      <c r="X4431">
        <v>21</v>
      </c>
      <c r="Y4431" t="s">
        <v>23063</v>
      </c>
      <c r="Z4431" t="s">
        <v>29301</v>
      </c>
      <c r="AA4431">
        <v>0.54891452505472837</v>
      </c>
      <c r="AB4431" t="str">
        <f>HYPERLINK("Melting_Curves/meltCurve_Q92541_RTF1.pdf", "Melting_Curves/meltCurve_Q92541_RTF1.pdf")</f>
        <v>Melting_Curves/meltCurve_Q92541_RTF1.pdf</v>
      </c>
    </row>
    <row r="4432" spans="1:28" x14ac:dyDescent="0.25">
      <c r="A4432" t="s">
        <v>4436</v>
      </c>
      <c r="B4432">
        <v>0.99352677808782597</v>
      </c>
      <c r="C4432">
        <v>1.16129374727582</v>
      </c>
      <c r="D4432">
        <v>0.97032662894370303</v>
      </c>
      <c r="E4432">
        <v>1.11419820020852</v>
      </c>
      <c r="F4432">
        <v>1.30285164591738</v>
      </c>
      <c r="G4432">
        <v>1.01642630660321</v>
      </c>
      <c r="H4432">
        <v>0.99305123173127596</v>
      </c>
      <c r="I4432">
        <v>1.02330533831181</v>
      </c>
      <c r="J4432">
        <v>1.01919950548475</v>
      </c>
      <c r="K4432">
        <v>0.78861290843749698</v>
      </c>
      <c r="L4432">
        <v>15000</v>
      </c>
      <c r="M4432">
        <v>212.969117086452</v>
      </c>
      <c r="Q4432">
        <v>0</v>
      </c>
      <c r="R4432">
        <v>0.18428352116316801</v>
      </c>
      <c r="S4432" t="s">
        <v>10717</v>
      </c>
      <c r="T4432" t="s">
        <v>12568</v>
      </c>
      <c r="U4432" t="s">
        <v>12568</v>
      </c>
      <c r="V4432" t="s">
        <v>12568</v>
      </c>
      <c r="W4432" t="s">
        <v>16953</v>
      </c>
      <c r="X4432">
        <v>2</v>
      </c>
      <c r="Y4432" t="s">
        <v>23064</v>
      </c>
      <c r="Z4432" t="s">
        <v>29302</v>
      </c>
      <c r="AA4432">
        <v>0.99743938177852887</v>
      </c>
      <c r="AB4432" t="str">
        <f>HYPERLINK("Melting_Curves/meltCurve_Q92545_TMEM131.pdf", "Melting_Curves/meltCurve_Q92545_TMEM131.pdf")</f>
        <v>Melting_Curves/meltCurve_Q92545_TMEM131.pdf</v>
      </c>
    </row>
    <row r="4433" spans="1:28" x14ac:dyDescent="0.25">
      <c r="A4433" t="s">
        <v>4437</v>
      </c>
      <c r="B4433">
        <v>0.99352677808782597</v>
      </c>
      <c r="C4433">
        <v>0.870974199020082</v>
      </c>
      <c r="D4433">
        <v>0.78051890113290101</v>
      </c>
      <c r="E4433">
        <v>0.43939978676013902</v>
      </c>
      <c r="F4433">
        <v>0.350381491126876</v>
      </c>
      <c r="G4433">
        <v>0.235394954161847</v>
      </c>
      <c r="H4433">
        <v>0.17973827007715201</v>
      </c>
      <c r="I4433">
        <v>0.161748638610618</v>
      </c>
      <c r="J4433">
        <v>0.15036374157434201</v>
      </c>
      <c r="K4433">
        <v>0.124755245710808</v>
      </c>
      <c r="L4433">
        <v>736.58100433458105</v>
      </c>
      <c r="M4433">
        <v>15.138692238787399</v>
      </c>
      <c r="N4433">
        <v>49.699896686242298</v>
      </c>
      <c r="O4433">
        <v>47.830220802091802</v>
      </c>
      <c r="P4433">
        <v>-6.8353483975397505E-2</v>
      </c>
      <c r="Q4433">
        <v>0.13624153107501399</v>
      </c>
      <c r="R4433">
        <v>0.99442972337167201</v>
      </c>
      <c r="S4433" t="s">
        <v>10718</v>
      </c>
      <c r="T4433" t="s">
        <v>12568</v>
      </c>
      <c r="U4433" t="s">
        <v>12568</v>
      </c>
      <c r="V4433" t="s">
        <v>12568</v>
      </c>
      <c r="W4433" t="s">
        <v>16954</v>
      </c>
      <c r="X4433">
        <v>6</v>
      </c>
      <c r="Y4433" t="s">
        <v>23065</v>
      </c>
      <c r="Z4433" t="s">
        <v>29303</v>
      </c>
      <c r="AA4433">
        <v>0.40667611715034041</v>
      </c>
      <c r="AB4433" t="str">
        <f>HYPERLINK("Melting_Curves/meltCurve_Q92547_TOPBP1.pdf", "Melting_Curves/meltCurve_Q92547_TOPBP1.pdf")</f>
        <v>Melting_Curves/meltCurve_Q92547_TOPBP1.pdf</v>
      </c>
    </row>
    <row r="4434" spans="1:28" x14ac:dyDescent="0.25">
      <c r="A4434" t="s">
        <v>4438</v>
      </c>
      <c r="B4434">
        <v>0.99352677808782597</v>
      </c>
      <c r="C4434">
        <v>0.87712575718128905</v>
      </c>
      <c r="D4434">
        <v>0.51053462576367503</v>
      </c>
      <c r="E4434">
        <v>0.222572081600862</v>
      </c>
      <c r="F4434">
        <v>0.16396150071519799</v>
      </c>
      <c r="G4434">
        <v>7.6735496405644005E-2</v>
      </c>
      <c r="H4434">
        <v>6.7616076679020698E-2</v>
      </c>
      <c r="I4434">
        <v>6.1158199152066002E-2</v>
      </c>
      <c r="J4434">
        <v>1.06563100764153E-2</v>
      </c>
      <c r="K4434">
        <v>3.5742531603316703E-2</v>
      </c>
      <c r="L4434">
        <v>963.94784382630201</v>
      </c>
      <c r="M4434">
        <v>20.853400469389399</v>
      </c>
      <c r="N4434">
        <v>46.472730064671097</v>
      </c>
      <c r="O4434">
        <v>45.806183802601801</v>
      </c>
      <c r="P4434">
        <v>-0.107828647514978</v>
      </c>
      <c r="Q4434">
        <v>5.2608628226271499E-2</v>
      </c>
      <c r="R4434">
        <v>0.99291896160534199</v>
      </c>
      <c r="S4434" t="s">
        <v>10719</v>
      </c>
      <c r="T4434" t="s">
        <v>12568</v>
      </c>
      <c r="U4434" t="s">
        <v>12568</v>
      </c>
      <c r="V4434" t="s">
        <v>12568</v>
      </c>
      <c r="W4434" t="s">
        <v>16955</v>
      </c>
      <c r="X4434">
        <v>1</v>
      </c>
      <c r="Y4434" t="s">
        <v>23066</v>
      </c>
      <c r="Z4434" t="s">
        <v>29304</v>
      </c>
      <c r="AA4434">
        <v>0.2623082501060664</v>
      </c>
      <c r="AB4434" t="str">
        <f>HYPERLINK("Melting_Curves/meltCurve_Q92551_IP6K1.pdf", "Melting_Curves/meltCurve_Q92551_IP6K1.pdf")</f>
        <v>Melting_Curves/meltCurve_Q92551_IP6K1.pdf</v>
      </c>
    </row>
    <row r="4435" spans="1:28" x14ac:dyDescent="0.25">
      <c r="A4435" t="s">
        <v>4439</v>
      </c>
      <c r="B4435">
        <v>0.99352677808782597</v>
      </c>
      <c r="C4435">
        <v>0.81946503572091101</v>
      </c>
      <c r="D4435">
        <v>0.89520853505126197</v>
      </c>
      <c r="E4435">
        <v>0.96406939975275197</v>
      </c>
      <c r="F4435">
        <v>0.80179501896987804</v>
      </c>
      <c r="G4435">
        <v>0.81039974796255498</v>
      </c>
      <c r="H4435">
        <v>0.63384539763890502</v>
      </c>
      <c r="I4435">
        <v>0.57949074020876401</v>
      </c>
      <c r="J4435">
        <v>0.78650446283609798</v>
      </c>
      <c r="K4435">
        <v>0.97533944237525305</v>
      </c>
      <c r="L4435">
        <v>432.93958645122501</v>
      </c>
      <c r="M4435">
        <v>9.2583319580097605</v>
      </c>
      <c r="O4435">
        <v>44.735805315286498</v>
      </c>
      <c r="P4435">
        <v>-1.30121983430569E-2</v>
      </c>
      <c r="Q4435">
        <v>0.74866663729488803</v>
      </c>
      <c r="R4435">
        <v>0.247259780289835</v>
      </c>
      <c r="S4435" t="s">
        <v>10720</v>
      </c>
      <c r="T4435" t="s">
        <v>12568</v>
      </c>
      <c r="U4435" t="s">
        <v>12568</v>
      </c>
      <c r="V4435" t="s">
        <v>12568</v>
      </c>
      <c r="W4435" t="s">
        <v>16956</v>
      </c>
      <c r="X4435">
        <v>5</v>
      </c>
      <c r="Y4435" t="s">
        <v>23067</v>
      </c>
      <c r="Z4435" t="s">
        <v>29305</v>
      </c>
      <c r="AA4435">
        <v>0.82193504508460502</v>
      </c>
      <c r="AB4435" t="str">
        <f>HYPERLINK("Melting_Curves/meltCurve_Q92552_MRPS27.pdf", "Melting_Curves/meltCurve_Q92552_MRPS27.pdf")</f>
        <v>Melting_Curves/meltCurve_Q92552_MRPS27.pdf</v>
      </c>
    </row>
    <row r="4436" spans="1:28" x14ac:dyDescent="0.25">
      <c r="A4436" t="s">
        <v>4440</v>
      </c>
      <c r="B4436">
        <v>0.99352677808782597</v>
      </c>
      <c r="C4436">
        <v>0.98411806764299903</v>
      </c>
      <c r="D4436">
        <v>0.88667074819470004</v>
      </c>
      <c r="E4436">
        <v>0.99329056996071197</v>
      </c>
      <c r="F4436">
        <v>0.81865208368984699</v>
      </c>
      <c r="G4436">
        <v>0.54054975507012804</v>
      </c>
      <c r="H4436">
        <v>0.39144475819718599</v>
      </c>
      <c r="I4436">
        <v>0.37041292477472398</v>
      </c>
      <c r="J4436">
        <v>0.320818662365565</v>
      </c>
      <c r="K4436">
        <v>0.17626938744387699</v>
      </c>
      <c r="L4436">
        <v>948.33096014601904</v>
      </c>
      <c r="M4436">
        <v>16.7624968301735</v>
      </c>
      <c r="N4436">
        <v>58.5912155033472</v>
      </c>
      <c r="O4436">
        <v>55.7878037970859</v>
      </c>
      <c r="P4436">
        <v>-5.8655830214386001E-2</v>
      </c>
      <c r="Q4436">
        <v>0.219193919592546</v>
      </c>
      <c r="R4436">
        <v>0.97041343632400301</v>
      </c>
      <c r="S4436" t="s">
        <v>10721</v>
      </c>
      <c r="T4436" t="s">
        <v>12568</v>
      </c>
      <c r="U4436" t="s">
        <v>12568</v>
      </c>
      <c r="V4436" t="s">
        <v>12568</v>
      </c>
      <c r="W4436" t="s">
        <v>16957</v>
      </c>
      <c r="X4436">
        <v>7</v>
      </c>
      <c r="Y4436" t="s">
        <v>23068</v>
      </c>
      <c r="Z4436" t="s">
        <v>29306</v>
      </c>
      <c r="AA4436">
        <v>0.66247793716398473</v>
      </c>
      <c r="AB4436" t="str">
        <f>HYPERLINK("Melting_Curves/meltCurve_Q92558_WASF1.pdf", "Melting_Curves/meltCurve_Q92558_WASF1.pdf")</f>
        <v>Melting_Curves/meltCurve_Q92558_WASF1.pdf</v>
      </c>
    </row>
    <row r="4437" spans="1:28" x14ac:dyDescent="0.25">
      <c r="A4437" t="s">
        <v>4441</v>
      </c>
      <c r="B4437">
        <v>0.99352677808782597</v>
      </c>
      <c r="C4437">
        <v>1.00234929155234</v>
      </c>
      <c r="D4437">
        <v>0.92430230476279096</v>
      </c>
      <c r="E4437">
        <v>0.69291155795330805</v>
      </c>
      <c r="F4437">
        <v>0.57030150845041006</v>
      </c>
      <c r="G4437">
        <v>0.233309941738193</v>
      </c>
      <c r="H4437">
        <v>0.22871786136589001</v>
      </c>
      <c r="I4437">
        <v>0.229033054593728</v>
      </c>
      <c r="J4437">
        <v>0.18285816602454</v>
      </c>
      <c r="K4437">
        <v>0.14081214578694701</v>
      </c>
      <c r="L4437">
        <v>944.257643776603</v>
      </c>
      <c r="M4437">
        <v>18.161563761974602</v>
      </c>
      <c r="N4437">
        <v>53.1300594384969</v>
      </c>
      <c r="O4437">
        <v>51.374045355331397</v>
      </c>
      <c r="P4437">
        <v>-7.4142007942420596E-2</v>
      </c>
      <c r="Q4437">
        <v>0.161131113227162</v>
      </c>
      <c r="R4437">
        <v>0.98897943545467304</v>
      </c>
      <c r="S4437" t="s">
        <v>10722</v>
      </c>
      <c r="T4437" t="s">
        <v>12568</v>
      </c>
      <c r="U4437" t="s">
        <v>12568</v>
      </c>
      <c r="V4437" t="s">
        <v>12568</v>
      </c>
      <c r="W4437" t="s">
        <v>16958</v>
      </c>
      <c r="X4437">
        <v>1</v>
      </c>
      <c r="Y4437" t="s">
        <v>23069</v>
      </c>
      <c r="Z4437" t="s">
        <v>29307</v>
      </c>
      <c r="AA4437">
        <v>0.51020673608962896</v>
      </c>
      <c r="AB4437" t="str">
        <f>HYPERLINK("Melting_Curves/meltCurve_Q92560_BAP1.pdf", "Melting_Curves/meltCurve_Q92560_BAP1.pdf")</f>
        <v>Melting_Curves/meltCurve_Q92560_BAP1.pdf</v>
      </c>
    </row>
    <row r="4438" spans="1:28" x14ac:dyDescent="0.25">
      <c r="A4438" t="s">
        <v>4442</v>
      </c>
      <c r="B4438">
        <v>0.99352677808782597</v>
      </c>
      <c r="C4438">
        <v>0.92964286379429395</v>
      </c>
      <c r="D4438">
        <v>1.1679850847642701</v>
      </c>
      <c r="E4438">
        <v>0.81489250149391301</v>
      </c>
      <c r="F4438">
        <v>0.65934968812790395</v>
      </c>
      <c r="G4438">
        <v>0.741730633455842</v>
      </c>
      <c r="H4438">
        <v>0.79020169706674404</v>
      </c>
      <c r="I4438">
        <v>0.97281976330012798</v>
      </c>
      <c r="J4438">
        <v>0.74596123672280001</v>
      </c>
      <c r="K4438">
        <v>0.88312056555163598</v>
      </c>
      <c r="L4438">
        <v>12377.6716143586</v>
      </c>
      <c r="M4438">
        <v>250</v>
      </c>
      <c r="O4438">
        <v>49.507526927531899</v>
      </c>
      <c r="P4438">
        <v>-0.25392110561216602</v>
      </c>
      <c r="Q4438">
        <v>0.79886394041531394</v>
      </c>
      <c r="R4438">
        <v>0.52849910780407205</v>
      </c>
      <c r="S4438" t="s">
        <v>10723</v>
      </c>
      <c r="T4438" t="s">
        <v>12568</v>
      </c>
      <c r="U4438" t="s">
        <v>12568</v>
      </c>
      <c r="V4438" t="s">
        <v>12568</v>
      </c>
      <c r="W4438" t="s">
        <v>16959</v>
      </c>
      <c r="X4438">
        <v>1</v>
      </c>
      <c r="Y4438" t="s">
        <v>23070</v>
      </c>
      <c r="Z4438" t="s">
        <v>29308</v>
      </c>
      <c r="AA4438">
        <v>0.86264615049137661</v>
      </c>
      <c r="AB4438" t="str">
        <f>HYPERLINK("Melting_Curves/meltCurve_Q92567_2_FAM168A.pdf", "Melting_Curves/meltCurve_Q92567_2_FAM168A.pdf")</f>
        <v>Melting_Curves/meltCurve_Q92567_2_FAM168A.pdf</v>
      </c>
    </row>
    <row r="4439" spans="1:28" x14ac:dyDescent="0.25">
      <c r="A4439" t="s">
        <v>4443</v>
      </c>
      <c r="B4439">
        <v>0.99352677808782597</v>
      </c>
      <c r="C4439">
        <v>1.0284873664082099</v>
      </c>
      <c r="D4439">
        <v>0.90074157111486897</v>
      </c>
      <c r="E4439">
        <v>0.56982424874606896</v>
      </c>
      <c r="F4439">
        <v>0.41969220821530401</v>
      </c>
      <c r="G4439">
        <v>0.30284769596161798</v>
      </c>
      <c r="H4439">
        <v>0.176183318648442</v>
      </c>
      <c r="I4439">
        <v>0.14484031171285</v>
      </c>
      <c r="J4439">
        <v>0.13923497802628301</v>
      </c>
      <c r="K4439">
        <v>0.133613116744561</v>
      </c>
      <c r="L4439">
        <v>883.36993553647198</v>
      </c>
      <c r="M4439">
        <v>17.4229591808332</v>
      </c>
      <c r="N4439">
        <v>51.649021126130798</v>
      </c>
      <c r="O4439">
        <v>50.047706125597202</v>
      </c>
      <c r="P4439">
        <v>-7.5130713194735202E-2</v>
      </c>
      <c r="Q4439">
        <v>0.136792138761474</v>
      </c>
      <c r="R4439">
        <v>0.99111370924867803</v>
      </c>
      <c r="S4439" t="s">
        <v>10724</v>
      </c>
      <c r="T4439" t="s">
        <v>12568</v>
      </c>
      <c r="U4439" t="s">
        <v>12568</v>
      </c>
      <c r="V4439" t="s">
        <v>12568</v>
      </c>
      <c r="W4439" t="s">
        <v>16960</v>
      </c>
      <c r="X4439">
        <v>6</v>
      </c>
      <c r="Y4439" t="s">
        <v>23071</v>
      </c>
      <c r="Z4439" t="s">
        <v>29309</v>
      </c>
      <c r="AA4439">
        <v>0.46019975427153631</v>
      </c>
      <c r="AB4439" t="str">
        <f>HYPERLINK("Melting_Curves/meltCurve_Q92572_AP3S1.pdf", "Melting_Curves/meltCurve_Q92572_AP3S1.pdf")</f>
        <v>Melting_Curves/meltCurve_Q92572_AP3S1.pdf</v>
      </c>
    </row>
    <row r="4440" spans="1:28" x14ac:dyDescent="0.25">
      <c r="A4440" t="s">
        <v>4444</v>
      </c>
      <c r="B4440">
        <v>0.99352677808782597</v>
      </c>
      <c r="C4440">
        <v>0.91837811195161601</v>
      </c>
      <c r="D4440">
        <v>0.68908976967926205</v>
      </c>
      <c r="E4440">
        <v>0.69261808948796499</v>
      </c>
      <c r="F4440">
        <v>0.80966087716981605</v>
      </c>
      <c r="G4440">
        <v>0.56686753509500498</v>
      </c>
      <c r="H4440">
        <v>0.53003701039762596</v>
      </c>
      <c r="I4440">
        <v>0.46159739205279599</v>
      </c>
      <c r="J4440">
        <v>0.40695366272710298</v>
      </c>
      <c r="K4440">
        <v>0.40624860703319499</v>
      </c>
      <c r="L4440">
        <v>288.37399938973698</v>
      </c>
      <c r="M4440">
        <v>4.8573194303037797</v>
      </c>
      <c r="N4440">
        <v>62.243445183167601</v>
      </c>
      <c r="O4440">
        <v>51.459005627463497</v>
      </c>
      <c r="P4440">
        <v>-2.13706925793864E-2</v>
      </c>
      <c r="Q4440">
        <v>0.100470059395782</v>
      </c>
      <c r="R4440">
        <v>0.88255015243245505</v>
      </c>
      <c r="S4440" t="s">
        <v>10725</v>
      </c>
      <c r="T4440" t="s">
        <v>12568</v>
      </c>
      <c r="U4440" t="s">
        <v>12568</v>
      </c>
      <c r="V4440" t="s">
        <v>12568</v>
      </c>
      <c r="W4440" t="s">
        <v>16961</v>
      </c>
      <c r="X4440">
        <v>3</v>
      </c>
      <c r="Y4440" t="s">
        <v>23072</v>
      </c>
      <c r="Z4440" t="s">
        <v>29310</v>
      </c>
      <c r="AA4440">
        <v>0.64537994114771147</v>
      </c>
      <c r="AB4440" t="str">
        <f>HYPERLINK("Melting_Curves/meltCurve_Q92574_TSC1.pdf", "Melting_Curves/meltCurve_Q92574_TSC1.pdf")</f>
        <v>Melting_Curves/meltCurve_Q92574_TSC1.pdf</v>
      </c>
    </row>
    <row r="4441" spans="1:28" x14ac:dyDescent="0.25">
      <c r="A4441" t="s">
        <v>4445</v>
      </c>
      <c r="B4441">
        <v>0.99352677808782597</v>
      </c>
      <c r="C4441">
        <v>0.83014659647886702</v>
      </c>
      <c r="D4441">
        <v>0.74772885422392399</v>
      </c>
      <c r="E4441">
        <v>0.47544193017830699</v>
      </c>
      <c r="F4441">
        <v>0.41080689941888199</v>
      </c>
      <c r="G4441">
        <v>0.29420891329189403</v>
      </c>
      <c r="H4441">
        <v>0.38666870178638102</v>
      </c>
      <c r="I4441">
        <v>0.33592314711118598</v>
      </c>
      <c r="J4441">
        <v>0.302875858149175</v>
      </c>
      <c r="K4441">
        <v>0.244102758297812</v>
      </c>
      <c r="L4441">
        <v>743.29713874566801</v>
      </c>
      <c r="M4441">
        <v>15.7878037229365</v>
      </c>
      <c r="N4441">
        <v>49.929859702032601</v>
      </c>
      <c r="O4441">
        <v>46.3445455726715</v>
      </c>
      <c r="P4441">
        <v>-5.9883574535005597E-2</v>
      </c>
      <c r="Q4441">
        <v>0.29691379091185899</v>
      </c>
      <c r="R4441">
        <v>0.97348073300015903</v>
      </c>
      <c r="S4441" t="s">
        <v>10726</v>
      </c>
      <c r="T4441" t="s">
        <v>12568</v>
      </c>
      <c r="U4441" t="s">
        <v>12568</v>
      </c>
      <c r="V4441" t="s">
        <v>12568</v>
      </c>
      <c r="W4441" t="s">
        <v>16962</v>
      </c>
      <c r="X4441">
        <v>3</v>
      </c>
      <c r="Y4441" t="s">
        <v>23073</v>
      </c>
      <c r="Z4441" t="s">
        <v>29311</v>
      </c>
      <c r="AA4441">
        <v>0.4799474873252017</v>
      </c>
      <c r="AB4441" t="str">
        <f>HYPERLINK("Melting_Curves/meltCurve_Q92575_UBXN4.pdf", "Melting_Curves/meltCurve_Q92575_UBXN4.pdf")</f>
        <v>Melting_Curves/meltCurve_Q92575_UBXN4.pdf</v>
      </c>
    </row>
    <row r="4442" spans="1:28" x14ac:dyDescent="0.25">
      <c r="A4442" t="s">
        <v>4446</v>
      </c>
      <c r="B4442">
        <v>0.99352677808782597</v>
      </c>
      <c r="C4442">
        <v>0.95572924837572004</v>
      </c>
      <c r="D4442">
        <v>0.9623130317677</v>
      </c>
      <c r="E4442">
        <v>0.933892842694662</v>
      </c>
      <c r="F4442">
        <v>0.85528827042449296</v>
      </c>
      <c r="G4442">
        <v>0.71396091814631102</v>
      </c>
      <c r="H4442">
        <v>0.63063233907724803</v>
      </c>
      <c r="I4442">
        <v>0.62391082427247002</v>
      </c>
      <c r="J4442">
        <v>0.64714878391089503</v>
      </c>
      <c r="K4442">
        <v>0.52589506401188801</v>
      </c>
      <c r="L4442">
        <v>766.28420720750796</v>
      </c>
      <c r="M4442">
        <v>13.8344991601993</v>
      </c>
      <c r="O4442">
        <v>54.270539113376699</v>
      </c>
      <c r="P4442">
        <v>-2.8639106035612101E-2</v>
      </c>
      <c r="Q4442">
        <v>0.55067566348616903</v>
      </c>
      <c r="R4442">
        <v>0.96848669209247595</v>
      </c>
      <c r="S4442" t="s">
        <v>10727</v>
      </c>
      <c r="T4442" t="s">
        <v>12568</v>
      </c>
      <c r="U4442" t="s">
        <v>12568</v>
      </c>
      <c r="V4442" t="s">
        <v>12568</v>
      </c>
      <c r="W4442" t="s">
        <v>16963</v>
      </c>
      <c r="X4442">
        <v>25</v>
      </c>
      <c r="Y4442" t="s">
        <v>23074</v>
      </c>
      <c r="Z4442" t="s">
        <v>29312</v>
      </c>
      <c r="AA4442">
        <v>0.79022749960191774</v>
      </c>
      <c r="AB4442" t="str">
        <f>HYPERLINK("Melting_Curves/meltCurve_Q92576_2_PHF3.pdf", "Melting_Curves/meltCurve_Q92576_2_PHF3.pdf")</f>
        <v>Melting_Curves/meltCurve_Q92576_2_PHF3.pdf</v>
      </c>
    </row>
    <row r="4443" spans="1:28" x14ac:dyDescent="0.25">
      <c r="A4443" t="s">
        <v>4447</v>
      </c>
      <c r="B4443">
        <v>0.99352677808782597</v>
      </c>
      <c r="C4443">
        <v>0.91674648558609795</v>
      </c>
      <c r="D4443">
        <v>0.87745348785463195</v>
      </c>
      <c r="E4443">
        <v>0.78975604184276804</v>
      </c>
      <c r="F4443">
        <v>0.76089986613757599</v>
      </c>
      <c r="G4443">
        <v>0.64210397720215695</v>
      </c>
      <c r="H4443">
        <v>0.55458215785757203</v>
      </c>
      <c r="I4443">
        <v>0.60454874854811702</v>
      </c>
      <c r="J4443">
        <v>0.571981074070114</v>
      </c>
      <c r="K4443">
        <v>0.51879278478719304</v>
      </c>
      <c r="L4443">
        <v>466.67123367675299</v>
      </c>
      <c r="M4443">
        <v>8.9237489601956597</v>
      </c>
      <c r="O4443">
        <v>49.869287821850001</v>
      </c>
      <c r="P4443">
        <v>-2.29395812510838E-2</v>
      </c>
      <c r="Q4443">
        <v>0.48760402834654298</v>
      </c>
      <c r="R4443">
        <v>0.97597190585718496</v>
      </c>
      <c r="S4443" t="s">
        <v>10728</v>
      </c>
      <c r="T4443" t="s">
        <v>12568</v>
      </c>
      <c r="U4443" t="s">
        <v>12568</v>
      </c>
      <c r="V4443" t="s">
        <v>12568</v>
      </c>
      <c r="W4443" t="s">
        <v>16964</v>
      </c>
      <c r="X4443">
        <v>5</v>
      </c>
      <c r="Y4443" t="s">
        <v>23075</v>
      </c>
      <c r="Z4443" t="s">
        <v>29313</v>
      </c>
      <c r="AA4443">
        <v>0.71871393940099337</v>
      </c>
      <c r="AB4443" t="str">
        <f>HYPERLINK("Melting_Curves/meltCurve_Q92585_MAML1.pdf", "Melting_Curves/meltCurve_Q92585_MAML1.pdf")</f>
        <v>Melting_Curves/meltCurve_Q92585_MAML1.pdf</v>
      </c>
    </row>
    <row r="4444" spans="1:28" x14ac:dyDescent="0.25">
      <c r="A4444" t="s">
        <v>4448</v>
      </c>
      <c r="B4444">
        <v>0.99352677808782597</v>
      </c>
      <c r="C4444">
        <v>0.95568441823031403</v>
      </c>
      <c r="D4444">
        <v>1.0054292092903401</v>
      </c>
      <c r="E4444">
        <v>0.73211106871897702</v>
      </c>
      <c r="F4444">
        <v>0.63817963061790395</v>
      </c>
      <c r="G4444">
        <v>0.25185781982153599</v>
      </c>
      <c r="H4444">
        <v>0.16771924057620499</v>
      </c>
      <c r="I4444">
        <v>0.15267306536007799</v>
      </c>
      <c r="J4444">
        <v>0.126467292676712</v>
      </c>
      <c r="K4444">
        <v>0.11080135805884</v>
      </c>
      <c r="L4444">
        <v>1031.07147341889</v>
      </c>
      <c r="M4444">
        <v>19.379297933658901</v>
      </c>
      <c r="N4444">
        <v>53.851025406121501</v>
      </c>
      <c r="O4444">
        <v>52.647976451336604</v>
      </c>
      <c r="P4444">
        <v>-8.2478762878679196E-2</v>
      </c>
      <c r="Q4444">
        <v>0.103748851746227</v>
      </c>
      <c r="R4444">
        <v>0.98883984932790203</v>
      </c>
      <c r="S4444" t="s">
        <v>10729</v>
      </c>
      <c r="T4444" t="s">
        <v>12568</v>
      </c>
      <c r="U4444" t="s">
        <v>12568</v>
      </c>
      <c r="V4444" t="s">
        <v>12568</v>
      </c>
      <c r="W4444" t="s">
        <v>16965</v>
      </c>
      <c r="X4444">
        <v>7</v>
      </c>
      <c r="Y4444" t="s">
        <v>23076</v>
      </c>
      <c r="Z4444" t="s">
        <v>29314</v>
      </c>
      <c r="AA4444">
        <v>0.51121236381451618</v>
      </c>
      <c r="AB4444" t="str">
        <f>HYPERLINK("Melting_Curves/meltCurve_Q92597_NDRG1.pdf", "Melting_Curves/meltCurve_Q92597_NDRG1.pdf")</f>
        <v>Melting_Curves/meltCurve_Q92597_NDRG1.pdf</v>
      </c>
    </row>
    <row r="4445" spans="1:28" x14ac:dyDescent="0.25">
      <c r="A4445" t="s">
        <v>4449</v>
      </c>
      <c r="B4445">
        <v>0.99352677808782597</v>
      </c>
      <c r="C4445">
        <v>0.98697589498895899</v>
      </c>
      <c r="D4445">
        <v>0.82035553687968399</v>
      </c>
      <c r="E4445">
        <v>0.407174714871615</v>
      </c>
      <c r="F4445">
        <v>0.30661526525038402</v>
      </c>
      <c r="G4445">
        <v>0.21575439416915199</v>
      </c>
      <c r="H4445">
        <v>0.142429177526565</v>
      </c>
      <c r="I4445">
        <v>0.134719575033656</v>
      </c>
      <c r="J4445">
        <v>0.12950083814149099</v>
      </c>
      <c r="K4445">
        <v>9.9657696793128706E-2</v>
      </c>
      <c r="L4445">
        <v>1028.75598515361</v>
      </c>
      <c r="M4445">
        <v>21.111392189431999</v>
      </c>
      <c r="N4445">
        <v>49.458637051900098</v>
      </c>
      <c r="O4445">
        <v>48.298990468395203</v>
      </c>
      <c r="P4445">
        <v>-9.4670751427855401E-2</v>
      </c>
      <c r="Q4445">
        <v>0.133665629984413</v>
      </c>
      <c r="R4445">
        <v>0.99323865323073302</v>
      </c>
      <c r="S4445" t="s">
        <v>10730</v>
      </c>
      <c r="T4445" t="s">
        <v>12568</v>
      </c>
      <c r="U4445" t="s">
        <v>12568</v>
      </c>
      <c r="V4445" t="s">
        <v>12568</v>
      </c>
      <c r="W4445" t="s">
        <v>16966</v>
      </c>
      <c r="X4445">
        <v>51</v>
      </c>
      <c r="Y4445" t="s">
        <v>23077</v>
      </c>
      <c r="Z4445" t="s">
        <v>29315</v>
      </c>
      <c r="AA4445">
        <v>0.39665163972735079</v>
      </c>
      <c r="AB4445" t="str">
        <f>HYPERLINK("Melting_Curves/meltCurve_Q92598_2_HSPH1.pdf", "Melting_Curves/meltCurve_Q92598_2_HSPH1.pdf")</f>
        <v>Melting_Curves/meltCurve_Q92598_2_HSPH1.pdf</v>
      </c>
    </row>
    <row r="4446" spans="1:28" x14ac:dyDescent="0.25">
      <c r="A4446" t="s">
        <v>4450</v>
      </c>
      <c r="B4446">
        <v>0.99352677808782597</v>
      </c>
      <c r="C4446">
        <v>0.94621573185566499</v>
      </c>
      <c r="D4446">
        <v>0.85956299400645897</v>
      </c>
      <c r="E4446">
        <v>1.09122736737652</v>
      </c>
      <c r="F4446">
        <v>0.96938507810657804</v>
      </c>
      <c r="G4446">
        <v>0.75712299644151704</v>
      </c>
      <c r="H4446">
        <v>0.41115179415226499</v>
      </c>
      <c r="I4446">
        <v>0.22759781908653201</v>
      </c>
      <c r="J4446">
        <v>0.108399516664615</v>
      </c>
      <c r="K4446">
        <v>9.8404136479629895E-2</v>
      </c>
      <c r="L4446">
        <v>1473.4178905082499</v>
      </c>
      <c r="M4446">
        <v>24.7166454777241</v>
      </c>
      <c r="N4446">
        <v>59.974934986293697</v>
      </c>
      <c r="O4446">
        <v>59.226277049383803</v>
      </c>
      <c r="P4446">
        <v>-9.7092652538487506E-2</v>
      </c>
      <c r="Q4446">
        <v>6.9395715703142805E-2</v>
      </c>
      <c r="R4446">
        <v>0.97609102571909701</v>
      </c>
      <c r="S4446" t="s">
        <v>10731</v>
      </c>
      <c r="T4446" t="s">
        <v>12568</v>
      </c>
      <c r="U4446" t="s">
        <v>12568</v>
      </c>
      <c r="V4446" t="s">
        <v>12568</v>
      </c>
      <c r="W4446" t="s">
        <v>16967</v>
      </c>
      <c r="X4446">
        <v>14</v>
      </c>
      <c r="Y4446" t="s">
        <v>23078</v>
      </c>
      <c r="Z4446" t="s">
        <v>29316</v>
      </c>
      <c r="AA4446">
        <v>0.68507650531264852</v>
      </c>
      <c r="AB4446" t="str">
        <f>HYPERLINK("Melting_Curves/meltCurve_Q92599_2_SEPT8.pdf", "Melting_Curves/meltCurve_Q92599_2_SEPT8.pdf")</f>
        <v>Melting_Curves/meltCurve_Q92599_2_SEPT8.pdf</v>
      </c>
    </row>
    <row r="4447" spans="1:28" x14ac:dyDescent="0.25">
      <c r="A4447" t="s">
        <v>4451</v>
      </c>
      <c r="B4447">
        <v>0.99352677808782597</v>
      </c>
      <c r="C4447">
        <v>1.1691192077030299</v>
      </c>
      <c r="D4447">
        <v>0.99433270853813405</v>
      </c>
      <c r="E4447">
        <v>0.53436554510219703</v>
      </c>
      <c r="F4447">
        <v>0.44309110195396401</v>
      </c>
      <c r="G4447">
        <v>0.25570630732489302</v>
      </c>
      <c r="H4447">
        <v>0.15191273478182599</v>
      </c>
      <c r="I4447">
        <v>0.117835628587484</v>
      </c>
      <c r="J4447">
        <v>0.118899200366211</v>
      </c>
      <c r="K4447">
        <v>7.7101489157010206E-2</v>
      </c>
      <c r="L4447">
        <v>1065.4493302911701</v>
      </c>
      <c r="M4447">
        <v>20.915835577073899</v>
      </c>
      <c r="N4447">
        <v>51.599762021420297</v>
      </c>
      <c r="O4447">
        <v>50.481060478365499</v>
      </c>
      <c r="P4447">
        <v>-9.1429348232769006E-2</v>
      </c>
      <c r="Q4447">
        <v>0.117353221790164</v>
      </c>
      <c r="R4447">
        <v>0.961740823599191</v>
      </c>
      <c r="S4447" t="s">
        <v>10732</v>
      </c>
      <c r="T4447" t="s">
        <v>12568</v>
      </c>
      <c r="U4447" t="s">
        <v>12568</v>
      </c>
      <c r="V4447" t="s">
        <v>12568</v>
      </c>
      <c r="W4447" t="s">
        <v>16968</v>
      </c>
      <c r="X4447">
        <v>4</v>
      </c>
      <c r="Y4447" t="s">
        <v>23079</v>
      </c>
      <c r="Z4447" t="s">
        <v>29317</v>
      </c>
      <c r="AA4447">
        <v>0.45048098418665811</v>
      </c>
      <c r="AB4447" t="str">
        <f>HYPERLINK("Melting_Curves/meltCurve_Q92600_RQCD1.pdf", "Melting_Curves/meltCurve_Q92600_RQCD1.pdf")</f>
        <v>Melting_Curves/meltCurve_Q92600_RQCD1.pdf</v>
      </c>
    </row>
    <row r="4448" spans="1:28" x14ac:dyDescent="0.25">
      <c r="A4448" t="s">
        <v>4452</v>
      </c>
      <c r="B4448">
        <v>0.99352677808782597</v>
      </c>
      <c r="C4448">
        <v>0.94578806276315697</v>
      </c>
      <c r="D4448">
        <v>0.96753967486842196</v>
      </c>
      <c r="E4448">
        <v>0.69830798193779298</v>
      </c>
      <c r="F4448">
        <v>0.59970272599299101</v>
      </c>
      <c r="G4448">
        <v>0.36859642693739603</v>
      </c>
      <c r="H4448">
        <v>0.29146021669622602</v>
      </c>
      <c r="I4448">
        <v>0.29355477941994201</v>
      </c>
      <c r="J4448">
        <v>0.30884689118995801</v>
      </c>
      <c r="K4448">
        <v>0.27731063639345799</v>
      </c>
      <c r="L4448">
        <v>927.08600117687001</v>
      </c>
      <c r="M4448">
        <v>17.944690368813699</v>
      </c>
      <c r="N4448">
        <v>54.027297675352102</v>
      </c>
      <c r="O4448">
        <v>51.034745468019899</v>
      </c>
      <c r="P4448">
        <v>-6.4000572718707294E-2</v>
      </c>
      <c r="Q4448">
        <v>0.27196518671404901</v>
      </c>
      <c r="R4448">
        <v>0.99019360589041505</v>
      </c>
      <c r="S4448" t="s">
        <v>10733</v>
      </c>
      <c r="T4448" t="s">
        <v>12568</v>
      </c>
      <c r="U4448" t="s">
        <v>12568</v>
      </c>
      <c r="V4448" t="s">
        <v>12568</v>
      </c>
      <c r="W4448" t="s">
        <v>16969</v>
      </c>
      <c r="X4448">
        <v>24</v>
      </c>
      <c r="Y4448" t="s">
        <v>23080</v>
      </c>
      <c r="Z4448" t="s">
        <v>29318</v>
      </c>
      <c r="AA4448">
        <v>0.56724804049084721</v>
      </c>
      <c r="AB4448" t="str">
        <f>HYPERLINK("Melting_Curves/meltCurve_Q92609_TBC1D5.pdf", "Melting_Curves/meltCurve_Q92609_TBC1D5.pdf")</f>
        <v>Melting_Curves/meltCurve_Q92609_TBC1D5.pdf</v>
      </c>
    </row>
    <row r="4449" spans="1:28" x14ac:dyDescent="0.25">
      <c r="A4449" t="s">
        <v>4453</v>
      </c>
      <c r="B4449">
        <v>0.99352677808782597</v>
      </c>
      <c r="C4449">
        <v>0.83850352839268305</v>
      </c>
      <c r="D4449">
        <v>0.87537489583476602</v>
      </c>
      <c r="E4449">
        <v>0.73909658490222396</v>
      </c>
      <c r="F4449">
        <v>0.69719610106708896</v>
      </c>
      <c r="G4449">
        <v>0.48786124971596401</v>
      </c>
      <c r="H4449">
        <v>0.53294078357193198</v>
      </c>
      <c r="I4449">
        <v>0.40159519727276799</v>
      </c>
      <c r="J4449">
        <v>0.38940047327612498</v>
      </c>
      <c r="K4449">
        <v>0.30533258217134601</v>
      </c>
      <c r="L4449">
        <v>360.74658370403398</v>
      </c>
      <c r="M4449">
        <v>6.3016515897102803</v>
      </c>
      <c r="N4449">
        <v>59.704545121465799</v>
      </c>
      <c r="O4449">
        <v>52.292756189803598</v>
      </c>
      <c r="P4449">
        <v>-2.67568623066111E-2</v>
      </c>
      <c r="Q4449">
        <v>0.114264136694062</v>
      </c>
      <c r="R4449">
        <v>0.96150029117954905</v>
      </c>
      <c r="S4449" t="s">
        <v>10734</v>
      </c>
      <c r="T4449" t="s">
        <v>12568</v>
      </c>
      <c r="U4449" t="s">
        <v>12568</v>
      </c>
      <c r="V4449" t="s">
        <v>12568</v>
      </c>
      <c r="W4449" t="s">
        <v>16970</v>
      </c>
      <c r="X4449">
        <v>8</v>
      </c>
      <c r="Y4449" t="s">
        <v>23081</v>
      </c>
      <c r="Z4449" t="s">
        <v>29319</v>
      </c>
      <c r="AA4449">
        <v>0.62553565601245631</v>
      </c>
      <c r="AB4449" t="str">
        <f>HYPERLINK("Melting_Curves/meltCurve_Q92614_3_MYO18A.pdf", "Melting_Curves/meltCurve_Q92614_3_MYO18A.pdf")</f>
        <v>Melting_Curves/meltCurve_Q92614_3_MYO18A.pdf</v>
      </c>
    </row>
    <row r="4450" spans="1:28" x14ac:dyDescent="0.25">
      <c r="A4450" t="s">
        <v>4454</v>
      </c>
      <c r="B4450">
        <v>0.99352677808782597</v>
      </c>
      <c r="C4450">
        <v>0.93612881671884696</v>
      </c>
      <c r="D4450">
        <v>0.98309453528286805</v>
      </c>
      <c r="E4450">
        <v>0.97206211516397101</v>
      </c>
      <c r="F4450">
        <v>0.92540613983558995</v>
      </c>
      <c r="G4450">
        <v>0.89471487377583203</v>
      </c>
      <c r="H4450">
        <v>0.82613005035034004</v>
      </c>
      <c r="I4450">
        <v>0.85647689792159598</v>
      </c>
      <c r="J4450">
        <v>0.85343929715418798</v>
      </c>
      <c r="K4450">
        <v>0.76280268023029196</v>
      </c>
      <c r="L4450">
        <v>271.37402008637002</v>
      </c>
      <c r="M4450">
        <v>2.5739416061638201</v>
      </c>
      <c r="Q4450">
        <v>0</v>
      </c>
      <c r="R4450">
        <v>0.86706770131254696</v>
      </c>
      <c r="S4450" t="s">
        <v>10735</v>
      </c>
      <c r="T4450" t="s">
        <v>12568</v>
      </c>
      <c r="U4450" t="s">
        <v>12568</v>
      </c>
      <c r="V4450" t="s">
        <v>12568</v>
      </c>
      <c r="W4450" t="s">
        <v>16971</v>
      </c>
      <c r="X4450">
        <v>11</v>
      </c>
      <c r="Y4450" t="s">
        <v>19398</v>
      </c>
      <c r="Z4450" t="s">
        <v>29320</v>
      </c>
      <c r="AA4450">
        <v>0.90414490416944426</v>
      </c>
      <c r="AB4450" t="str">
        <f>HYPERLINK("Melting_Curves/meltCurve_Q92615_LARP4B.pdf", "Melting_Curves/meltCurve_Q92615_LARP4B.pdf")</f>
        <v>Melting_Curves/meltCurve_Q92615_LARP4B.pdf</v>
      </c>
    </row>
    <row r="4451" spans="1:28" x14ac:dyDescent="0.25">
      <c r="A4451" t="s">
        <v>4455</v>
      </c>
      <c r="B4451">
        <v>0.99352677808782597</v>
      </c>
      <c r="C4451">
        <v>0.45681897756203999</v>
      </c>
      <c r="D4451">
        <v>0.51057685865452596</v>
      </c>
      <c r="E4451">
        <v>0.19449298151689501</v>
      </c>
      <c r="F4451">
        <v>0.175340495846841</v>
      </c>
      <c r="G4451">
        <v>8.1837122282876498E-2</v>
      </c>
      <c r="H4451">
        <v>5.10088942519486E-2</v>
      </c>
      <c r="I4451">
        <v>5.2348115243516499E-2</v>
      </c>
      <c r="J4451">
        <v>3.9486817719671198E-2</v>
      </c>
      <c r="K4451">
        <v>3.54577371546149E-2</v>
      </c>
      <c r="L4451">
        <v>618.20484535476498</v>
      </c>
      <c r="M4451">
        <v>13.866877019798901</v>
      </c>
      <c r="N4451">
        <v>44.846445013877002</v>
      </c>
      <c r="O4451">
        <v>43.684962978195003</v>
      </c>
      <c r="P4451">
        <v>-7.6245671128956902E-2</v>
      </c>
      <c r="Q4451">
        <v>3.9342270713312998E-2</v>
      </c>
      <c r="R4451">
        <v>0.91769811484082098</v>
      </c>
      <c r="S4451" t="s">
        <v>10736</v>
      </c>
      <c r="T4451" t="s">
        <v>12568</v>
      </c>
      <c r="U4451" t="s">
        <v>12568</v>
      </c>
      <c r="V4451" t="s">
        <v>12568</v>
      </c>
      <c r="W4451" t="s">
        <v>16972</v>
      </c>
      <c r="X4451">
        <v>66</v>
      </c>
      <c r="Y4451" t="s">
        <v>23082</v>
      </c>
      <c r="Z4451" t="s">
        <v>29321</v>
      </c>
      <c r="AA4451">
        <v>0.2240290826693036</v>
      </c>
      <c r="AB4451" t="str">
        <f>HYPERLINK("Melting_Curves/meltCurve_Q92616_GCN1L1.pdf", "Melting_Curves/meltCurve_Q92616_GCN1L1.pdf")</f>
        <v>Melting_Curves/meltCurve_Q92616_GCN1L1.pdf</v>
      </c>
    </row>
    <row r="4452" spans="1:28" x14ac:dyDescent="0.25">
      <c r="A4452" t="s">
        <v>4456</v>
      </c>
      <c r="B4452">
        <v>0.99352677808782597</v>
      </c>
      <c r="C4452">
        <v>0.776462752483845</v>
      </c>
      <c r="D4452">
        <v>0.91792365314651703</v>
      </c>
      <c r="E4452">
        <v>0.80206928066491501</v>
      </c>
      <c r="F4452">
        <v>0.75103559142058396</v>
      </c>
      <c r="G4452">
        <v>0.62738164924072504</v>
      </c>
      <c r="H4452">
        <v>0.53644813456664697</v>
      </c>
      <c r="I4452">
        <v>0.457054551232286</v>
      </c>
      <c r="J4452">
        <v>0.48576114984633001</v>
      </c>
      <c r="K4452">
        <v>0.55544571875279503</v>
      </c>
      <c r="L4452">
        <v>394.892757642768</v>
      </c>
      <c r="M4452">
        <v>7.3346173065394504</v>
      </c>
      <c r="N4452">
        <v>67.128995718280393</v>
      </c>
      <c r="O4452">
        <v>50.270995616968598</v>
      </c>
      <c r="P4452">
        <v>-2.2542225599714E-2</v>
      </c>
      <c r="Q4452">
        <v>0.38295160992543398</v>
      </c>
      <c r="R4452">
        <v>0.87336950361920895</v>
      </c>
      <c r="S4452" t="s">
        <v>10737</v>
      </c>
      <c r="T4452" t="s">
        <v>12568</v>
      </c>
      <c r="U4452" t="s">
        <v>12568</v>
      </c>
      <c r="V4452" t="s">
        <v>12568</v>
      </c>
      <c r="W4452" t="s">
        <v>16973</v>
      </c>
      <c r="X4452">
        <v>2</v>
      </c>
      <c r="Y4452" t="s">
        <v>23083</v>
      </c>
      <c r="Z4452" t="s">
        <v>29322</v>
      </c>
      <c r="AA4452">
        <v>0.69012707452542732</v>
      </c>
      <c r="AB4452" t="str">
        <f>HYPERLINK("Melting_Curves/meltCurve_Q92618_ZNF516.pdf", "Melting_Curves/meltCurve_Q92618_ZNF516.pdf")</f>
        <v>Melting_Curves/meltCurve_Q92618_ZNF516.pdf</v>
      </c>
    </row>
    <row r="4453" spans="1:28" x14ac:dyDescent="0.25">
      <c r="A4453" t="s">
        <v>4457</v>
      </c>
      <c r="B4453">
        <v>0.99352677808782597</v>
      </c>
      <c r="C4453">
        <v>0.98127099605581303</v>
      </c>
      <c r="D4453">
        <v>0.900803958847058</v>
      </c>
      <c r="E4453">
        <v>0.42227698978128198</v>
      </c>
      <c r="F4453">
        <v>0.35207292183277</v>
      </c>
      <c r="G4453">
        <v>0.239589206038238</v>
      </c>
      <c r="H4453">
        <v>0.19218785456815399</v>
      </c>
      <c r="I4453">
        <v>0.18806907745141699</v>
      </c>
      <c r="J4453">
        <v>0.16519300906889001</v>
      </c>
      <c r="K4453">
        <v>0.13221052764984301</v>
      </c>
      <c r="L4453">
        <v>1217.21684501193</v>
      </c>
      <c r="M4453">
        <v>24.883275209403699</v>
      </c>
      <c r="N4453">
        <v>49.821841917794501</v>
      </c>
      <c r="O4453">
        <v>48.604414509584402</v>
      </c>
      <c r="P4453">
        <v>-0.104723539085001</v>
      </c>
      <c r="Q4453">
        <v>0.181786712479131</v>
      </c>
      <c r="R4453">
        <v>0.98808061628655897</v>
      </c>
      <c r="S4453" t="s">
        <v>10738</v>
      </c>
      <c r="T4453" t="s">
        <v>12568</v>
      </c>
      <c r="U4453" t="s">
        <v>12568</v>
      </c>
      <c r="V4453" t="s">
        <v>12568</v>
      </c>
      <c r="W4453" t="s">
        <v>16974</v>
      </c>
      <c r="X4453">
        <v>19</v>
      </c>
      <c r="Y4453" t="s">
        <v>23084</v>
      </c>
      <c r="Z4453" t="s">
        <v>29323</v>
      </c>
      <c r="AA4453">
        <v>0.43230601727558537</v>
      </c>
      <c r="AB4453" t="str">
        <f>HYPERLINK("Melting_Curves/meltCurve_Q92620_DHX38.pdf", "Melting_Curves/meltCurve_Q92620_DHX38.pdf")</f>
        <v>Melting_Curves/meltCurve_Q92620_DHX38.pdf</v>
      </c>
    </row>
    <row r="4454" spans="1:28" x14ac:dyDescent="0.25">
      <c r="A4454" t="s">
        <v>4458</v>
      </c>
      <c r="B4454">
        <v>0.99352677808782597</v>
      </c>
      <c r="C4454">
        <v>0.97828248874844503</v>
      </c>
      <c r="D4454">
        <v>0.80766699427037802</v>
      </c>
      <c r="E4454">
        <v>0.288541864600807</v>
      </c>
      <c r="F4454">
        <v>0.219615554835671</v>
      </c>
      <c r="G4454">
        <v>0.138343259960413</v>
      </c>
      <c r="H4454">
        <v>0.110795464727018</v>
      </c>
      <c r="I4454">
        <v>0.110342682965672</v>
      </c>
      <c r="J4454">
        <v>0.101780481161835</v>
      </c>
      <c r="K4454">
        <v>7.7815004912241706E-2</v>
      </c>
      <c r="L4454">
        <v>1388.18051005078</v>
      </c>
      <c r="M4454">
        <v>28.959520628199499</v>
      </c>
      <c r="N4454">
        <v>48.358058246352201</v>
      </c>
      <c r="O4454">
        <v>47.708356135361498</v>
      </c>
      <c r="P4454">
        <v>-0.13477950173498501</v>
      </c>
      <c r="Q4454">
        <v>0.111855076487171</v>
      </c>
      <c r="R4454">
        <v>0.99569805642458198</v>
      </c>
      <c r="S4454" t="s">
        <v>10739</v>
      </c>
      <c r="T4454" t="s">
        <v>12568</v>
      </c>
      <c r="U4454" t="s">
        <v>12568</v>
      </c>
      <c r="V4454" t="s">
        <v>12568</v>
      </c>
      <c r="W4454" t="s">
        <v>16975</v>
      </c>
      <c r="X4454">
        <v>12</v>
      </c>
      <c r="Y4454" t="s">
        <v>23085</v>
      </c>
      <c r="Z4454" t="s">
        <v>29324</v>
      </c>
      <c r="AA4454">
        <v>0.35252818659637292</v>
      </c>
      <c r="AB4454" t="str">
        <f>HYPERLINK("Melting_Curves/meltCurve_Q92621_NUP205.pdf", "Melting_Curves/meltCurve_Q92621_NUP205.pdf")</f>
        <v>Melting_Curves/meltCurve_Q92621_NUP205.pdf</v>
      </c>
    </row>
    <row r="4455" spans="1:28" x14ac:dyDescent="0.25">
      <c r="A4455" t="s">
        <v>4459</v>
      </c>
      <c r="B4455">
        <v>0.99352677808782597</v>
      </c>
      <c r="C4455">
        <v>0.95549262575423599</v>
      </c>
      <c r="D4455">
        <v>0.99283345389406097</v>
      </c>
      <c r="E4455">
        <v>0.82727493110139005</v>
      </c>
      <c r="F4455">
        <v>0.77684107113991596</v>
      </c>
      <c r="G4455">
        <v>0.45451716106424001</v>
      </c>
      <c r="H4455">
        <v>0.19843539010714001</v>
      </c>
      <c r="I4455">
        <v>0.15743456830847</v>
      </c>
      <c r="J4455">
        <v>0.17187596918687101</v>
      </c>
      <c r="K4455">
        <v>0.128132226843132</v>
      </c>
      <c r="L4455">
        <v>1032.4250025901699</v>
      </c>
      <c r="M4455">
        <v>18.622599596688801</v>
      </c>
      <c r="N4455">
        <v>56.143317004495202</v>
      </c>
      <c r="O4455">
        <v>54.811945099621198</v>
      </c>
      <c r="P4455">
        <v>-7.6097951562721894E-2</v>
      </c>
      <c r="Q4455">
        <v>0.10412140203416601</v>
      </c>
      <c r="R4455">
        <v>0.99074465002845702</v>
      </c>
      <c r="S4455" t="s">
        <v>10740</v>
      </c>
      <c r="T4455" t="s">
        <v>12568</v>
      </c>
      <c r="U4455" t="s">
        <v>12568</v>
      </c>
      <c r="V4455" t="s">
        <v>12568</v>
      </c>
      <c r="W4455" t="s">
        <v>16976</v>
      </c>
      <c r="X4455">
        <v>5</v>
      </c>
      <c r="Y4455" t="s">
        <v>23086</v>
      </c>
      <c r="Z4455" t="s">
        <v>29325</v>
      </c>
      <c r="AA4455">
        <v>0.57818450937621557</v>
      </c>
      <c r="AB4455" t="str">
        <f>HYPERLINK("Melting_Curves/meltCurve_Q92623_TTC9.pdf", "Melting_Curves/meltCurve_Q92623_TTC9.pdf")</f>
        <v>Melting_Curves/meltCurve_Q92623_TTC9.pdf</v>
      </c>
    </row>
    <row r="4456" spans="1:28" x14ac:dyDescent="0.25">
      <c r="A4456" t="s">
        <v>4460</v>
      </c>
      <c r="B4456">
        <v>0.99352677808782597</v>
      </c>
      <c r="C4456">
        <v>0.95713375513674603</v>
      </c>
      <c r="D4456">
        <v>0.86130835092498303</v>
      </c>
      <c r="E4456">
        <v>0.49228657471457099</v>
      </c>
      <c r="F4456">
        <v>0.44923774441144798</v>
      </c>
      <c r="G4456">
        <v>0.23069168308948601</v>
      </c>
      <c r="H4456">
        <v>0.15737989449513301</v>
      </c>
      <c r="I4456">
        <v>0.15945026039753599</v>
      </c>
      <c r="J4456">
        <v>9.8927577841853395E-2</v>
      </c>
      <c r="K4456">
        <v>9.0502813686935704E-2</v>
      </c>
      <c r="L4456">
        <v>750.25578746118697</v>
      </c>
      <c r="M4456">
        <v>14.884199614632699</v>
      </c>
      <c r="N4456">
        <v>51.1276684478579</v>
      </c>
      <c r="O4456">
        <v>49.522553529661799</v>
      </c>
      <c r="P4456">
        <v>-6.8028286145188299E-2</v>
      </c>
      <c r="Q4456">
        <v>9.4722265212731305E-2</v>
      </c>
      <c r="R4456">
        <v>0.98855323794695404</v>
      </c>
      <c r="S4456" t="s">
        <v>10741</v>
      </c>
      <c r="T4456" t="s">
        <v>12568</v>
      </c>
      <c r="U4456" t="s">
        <v>12568</v>
      </c>
      <c r="V4456" t="s">
        <v>12568</v>
      </c>
      <c r="W4456" t="s">
        <v>16977</v>
      </c>
      <c r="X4456">
        <v>3</v>
      </c>
      <c r="Y4456" t="s">
        <v>23087</v>
      </c>
      <c r="Z4456" t="s">
        <v>29326</v>
      </c>
      <c r="AA4456">
        <v>0.43033506113466752</v>
      </c>
      <c r="AB4456" t="str">
        <f>HYPERLINK("Melting_Curves/meltCurve_Q92624_APPBP2.pdf", "Melting_Curves/meltCurve_Q92624_APPBP2.pdf")</f>
        <v>Melting_Curves/meltCurve_Q92624_APPBP2.pdf</v>
      </c>
    </row>
    <row r="4457" spans="1:28" x14ac:dyDescent="0.25">
      <c r="A4457" t="s">
        <v>4461</v>
      </c>
      <c r="B4457">
        <v>0.99352677808782597</v>
      </c>
      <c r="C4457">
        <v>0.94026245140339404</v>
      </c>
      <c r="D4457">
        <v>0.75364095514848595</v>
      </c>
      <c r="E4457">
        <v>0.397968531173234</v>
      </c>
      <c r="F4457">
        <v>0.35088746473305499</v>
      </c>
      <c r="G4457">
        <v>0.25544420538659501</v>
      </c>
      <c r="H4457">
        <v>0.153728484107751</v>
      </c>
      <c r="I4457">
        <v>0.150497640419131</v>
      </c>
      <c r="J4457">
        <v>0.11457436293452899</v>
      </c>
      <c r="K4457">
        <v>0.100890234815735</v>
      </c>
      <c r="L4457">
        <v>777.37023111769099</v>
      </c>
      <c r="M4457">
        <v>15.998578718094</v>
      </c>
      <c r="N4457">
        <v>49.481869442464401</v>
      </c>
      <c r="O4457">
        <v>47.849791008596398</v>
      </c>
      <c r="P4457">
        <v>-7.3123059234883103E-2</v>
      </c>
      <c r="Q4457">
        <v>0.12525987246148701</v>
      </c>
      <c r="R4457">
        <v>0.98844457256051399</v>
      </c>
      <c r="S4457" t="s">
        <v>10742</v>
      </c>
      <c r="T4457" t="s">
        <v>12568</v>
      </c>
      <c r="U4457" t="s">
        <v>12568</v>
      </c>
      <c r="V4457" t="s">
        <v>12568</v>
      </c>
      <c r="W4457" t="s">
        <v>16978</v>
      </c>
      <c r="X4457">
        <v>3</v>
      </c>
      <c r="Y4457" t="s">
        <v>23088</v>
      </c>
      <c r="Z4457" t="s">
        <v>29327</v>
      </c>
      <c r="AA4457">
        <v>0.39507577100907781</v>
      </c>
      <c r="AB4457" t="str">
        <f>HYPERLINK("Melting_Curves/meltCurve_Q92625_ANKS1A.pdf", "Melting_Curves/meltCurve_Q92625_ANKS1A.pdf")</f>
        <v>Melting_Curves/meltCurve_Q92625_ANKS1A.pdf</v>
      </c>
    </row>
    <row r="4458" spans="1:28" x14ac:dyDescent="0.25">
      <c r="A4458" t="s">
        <v>4462</v>
      </c>
      <c r="B4458">
        <v>0.99352677808782597</v>
      </c>
      <c r="C4458">
        <v>0.99341855312495697</v>
      </c>
      <c r="D4458">
        <v>0.95675974847826495</v>
      </c>
      <c r="E4458">
        <v>0.70612621171706202</v>
      </c>
      <c r="F4458">
        <v>0.648913972916071</v>
      </c>
      <c r="G4458">
        <v>0.19356585445355101</v>
      </c>
      <c r="H4458">
        <v>0.145261466122725</v>
      </c>
      <c r="I4458">
        <v>0.14517336795427099</v>
      </c>
      <c r="J4458">
        <v>8.5401351835459105E-2</v>
      </c>
      <c r="K4458">
        <v>6.2430910167396603E-2</v>
      </c>
      <c r="L4458">
        <v>978.37567087954801</v>
      </c>
      <c r="M4458">
        <v>18.392500521889399</v>
      </c>
      <c r="N4458">
        <v>53.586994091499903</v>
      </c>
      <c r="O4458">
        <v>52.5774013969938</v>
      </c>
      <c r="P4458">
        <v>-8.1943974832397806E-2</v>
      </c>
      <c r="Q4458">
        <v>6.3051557891285095E-2</v>
      </c>
      <c r="R4458">
        <v>0.98346303861451601</v>
      </c>
      <c r="S4458" t="s">
        <v>10743</v>
      </c>
      <c r="T4458" t="s">
        <v>12568</v>
      </c>
      <c r="U4458" t="s">
        <v>12568</v>
      </c>
      <c r="V4458" t="s">
        <v>12568</v>
      </c>
      <c r="W4458" t="s">
        <v>16979</v>
      </c>
      <c r="X4458">
        <v>8</v>
      </c>
      <c r="Y4458" t="s">
        <v>23089</v>
      </c>
      <c r="Z4458" t="s">
        <v>29328</v>
      </c>
      <c r="AA4458">
        <v>0.48989696421004908</v>
      </c>
      <c r="AB4458" t="str">
        <f>HYPERLINK("Melting_Curves/meltCurve_Q92636_NSMAF.pdf", "Melting_Curves/meltCurve_Q92636_NSMAF.pdf")</f>
        <v>Melting_Curves/meltCurve_Q92636_NSMAF.pdf</v>
      </c>
    </row>
    <row r="4459" spans="1:28" x14ac:dyDescent="0.25">
      <c r="A4459" t="s">
        <v>4463</v>
      </c>
      <c r="B4459">
        <v>0.99352677808782597</v>
      </c>
      <c r="C4459">
        <v>0.98357702350304399</v>
      </c>
      <c r="D4459">
        <v>0.896808954483714</v>
      </c>
      <c r="E4459">
        <v>0.85541462140942104</v>
      </c>
      <c r="F4459">
        <v>0.758923348509422</v>
      </c>
      <c r="G4459">
        <v>0.61642779769309397</v>
      </c>
      <c r="H4459">
        <v>0.313212597184233</v>
      </c>
      <c r="I4459">
        <v>0.28117370094072602</v>
      </c>
      <c r="J4459">
        <v>0.23406398928203601</v>
      </c>
      <c r="K4459">
        <v>0.195580597445385</v>
      </c>
      <c r="L4459">
        <v>687.28165127376599</v>
      </c>
      <c r="M4459">
        <v>12.0040941372592</v>
      </c>
      <c r="N4459">
        <v>58.183685887844398</v>
      </c>
      <c r="O4459">
        <v>55.734431327013603</v>
      </c>
      <c r="P4459">
        <v>-4.9157734856309199E-2</v>
      </c>
      <c r="Q4459">
        <v>8.7271359572534304E-2</v>
      </c>
      <c r="R4459">
        <v>0.98709558549764098</v>
      </c>
      <c r="S4459" t="s">
        <v>10744</v>
      </c>
      <c r="T4459" t="s">
        <v>12568</v>
      </c>
      <c r="U4459" t="s">
        <v>12568</v>
      </c>
      <c r="V4459" t="s">
        <v>12568</v>
      </c>
      <c r="W4459" t="s">
        <v>16980</v>
      </c>
      <c r="X4459">
        <v>3</v>
      </c>
      <c r="Y4459" t="s">
        <v>23090</v>
      </c>
      <c r="Z4459" t="s">
        <v>29329</v>
      </c>
      <c r="AA4459">
        <v>0.62666909020344663</v>
      </c>
      <c r="AB4459" t="str">
        <f>HYPERLINK("Melting_Curves/meltCurve_Q92664_2_GTF3A.pdf", "Melting_Curves/meltCurve_Q92664_2_GTF3A.pdf")</f>
        <v>Melting_Curves/meltCurve_Q92664_2_GTF3A.pdf</v>
      </c>
    </row>
    <row r="4460" spans="1:28" x14ac:dyDescent="0.25">
      <c r="A4460" t="s">
        <v>4464</v>
      </c>
      <c r="B4460">
        <v>0.99352677808782597</v>
      </c>
      <c r="C4460">
        <v>0.99199066310719997</v>
      </c>
      <c r="D4460">
        <v>1.2501601071436399</v>
      </c>
      <c r="E4460">
        <v>1.0390807379747</v>
      </c>
      <c r="F4460">
        <v>0.82331927720838505</v>
      </c>
      <c r="G4460">
        <v>0.72046774648636502</v>
      </c>
      <c r="H4460">
        <v>0.64546325572239405</v>
      </c>
      <c r="I4460">
        <v>0.59674693588488403</v>
      </c>
      <c r="J4460">
        <v>0.67069692639218204</v>
      </c>
      <c r="K4460">
        <v>0.60545734356687397</v>
      </c>
      <c r="L4460">
        <v>2003.82084343325</v>
      </c>
      <c r="M4460">
        <v>37.3608601861906</v>
      </c>
      <c r="O4460">
        <v>53.481258762872699</v>
      </c>
      <c r="P4460">
        <v>-6.3441262477037602E-2</v>
      </c>
      <c r="Q4460">
        <v>0.63674183840112397</v>
      </c>
      <c r="R4460">
        <v>0.834971793383121</v>
      </c>
      <c r="S4460" t="s">
        <v>10745</v>
      </c>
      <c r="T4460" t="s">
        <v>12568</v>
      </c>
      <c r="U4460" t="s">
        <v>12568</v>
      </c>
      <c r="V4460" t="s">
        <v>12568</v>
      </c>
      <c r="W4460" t="s">
        <v>16981</v>
      </c>
      <c r="X4460">
        <v>2</v>
      </c>
      <c r="Y4460" t="s">
        <v>23091</v>
      </c>
      <c r="Z4460" t="s">
        <v>29330</v>
      </c>
      <c r="AA4460">
        <v>0.80337437280469692</v>
      </c>
      <c r="AB4460" t="str">
        <f>HYPERLINK("Melting_Curves/meltCurve_Q92665_MRPS31.pdf", "Melting_Curves/meltCurve_Q92665_MRPS31.pdf")</f>
        <v>Melting_Curves/meltCurve_Q92665_MRPS31.pdf</v>
      </c>
    </row>
    <row r="4461" spans="1:28" x14ac:dyDescent="0.25">
      <c r="A4461" t="s">
        <v>4465</v>
      </c>
      <c r="B4461">
        <v>0.99352677808782597</v>
      </c>
      <c r="C4461">
        <v>0.89518161174665001</v>
      </c>
      <c r="D4461">
        <v>0.84101700924024203</v>
      </c>
      <c r="E4461">
        <v>0.511821015551012</v>
      </c>
      <c r="F4461">
        <v>0.45166493227487597</v>
      </c>
      <c r="G4461">
        <v>0.34959507144466101</v>
      </c>
      <c r="H4461">
        <v>0.26205252607923002</v>
      </c>
      <c r="I4461">
        <v>0.26857935478788297</v>
      </c>
      <c r="J4461">
        <v>0.25323494038677602</v>
      </c>
      <c r="K4461">
        <v>0.220705225998969</v>
      </c>
      <c r="L4461">
        <v>733.650988911681</v>
      </c>
      <c r="M4461">
        <v>14.935455512688</v>
      </c>
      <c r="N4461">
        <v>51.306320521673598</v>
      </c>
      <c r="O4461">
        <v>48.266050301682199</v>
      </c>
      <c r="P4461">
        <v>-5.9163020979331599E-2</v>
      </c>
      <c r="Q4461">
        <v>0.235303678238655</v>
      </c>
      <c r="R4461">
        <v>0.98942189450537699</v>
      </c>
      <c r="S4461" t="s">
        <v>10746</v>
      </c>
      <c r="T4461" t="s">
        <v>12568</v>
      </c>
      <c r="U4461" t="s">
        <v>12568</v>
      </c>
      <c r="V4461" t="s">
        <v>12568</v>
      </c>
      <c r="W4461" t="s">
        <v>16982</v>
      </c>
      <c r="X4461">
        <v>7</v>
      </c>
      <c r="Y4461" t="s">
        <v>23092</v>
      </c>
      <c r="Z4461" t="s">
        <v>29331</v>
      </c>
      <c r="AA4461">
        <v>0.48674858085927858</v>
      </c>
      <c r="AB4461" t="str">
        <f>HYPERLINK("Melting_Curves/meltCurve_Q92667_AKAP1.pdf", "Melting_Curves/meltCurve_Q92667_AKAP1.pdf")</f>
        <v>Melting_Curves/meltCurve_Q92667_AKAP1.pdf</v>
      </c>
    </row>
    <row r="4462" spans="1:28" x14ac:dyDescent="0.25">
      <c r="A4462" t="s">
        <v>4466</v>
      </c>
      <c r="B4462">
        <v>0.99352677808782597</v>
      </c>
      <c r="C4462">
        <v>0.91911488711557499</v>
      </c>
      <c r="D4462">
        <v>1.0517446975929401</v>
      </c>
      <c r="E4462">
        <v>1.12898117477649</v>
      </c>
      <c r="F4462">
        <v>1.23422856137793</v>
      </c>
      <c r="G4462">
        <v>1.37401680072691</v>
      </c>
      <c r="H4462">
        <v>1.3118901655226201</v>
      </c>
      <c r="I4462">
        <v>1.61924850112663</v>
      </c>
      <c r="J4462">
        <v>1.2377823395446299</v>
      </c>
      <c r="K4462">
        <v>1.3199894914868</v>
      </c>
      <c r="L4462">
        <v>1288.81549881462</v>
      </c>
      <c r="M4462">
        <v>25.038704335750701</v>
      </c>
      <c r="O4462">
        <v>51.147972892811303</v>
      </c>
      <c r="P4462">
        <v>4.6325274284521697E-2</v>
      </c>
      <c r="Q4462">
        <v>1.37851993071805</v>
      </c>
      <c r="R4462">
        <v>0.75050096865990001</v>
      </c>
      <c r="S4462" t="s">
        <v>10747</v>
      </c>
      <c r="T4462" t="s">
        <v>12568</v>
      </c>
      <c r="U4462" t="s">
        <v>12568</v>
      </c>
      <c r="V4462" t="s">
        <v>12568</v>
      </c>
      <c r="W4462" t="s">
        <v>16983</v>
      </c>
      <c r="X4462">
        <v>2</v>
      </c>
      <c r="Y4462" t="s">
        <v>23093</v>
      </c>
      <c r="Z4462" t="s">
        <v>29332</v>
      </c>
      <c r="AA4462">
        <v>1.2303355121319881</v>
      </c>
      <c r="AB4462" t="str">
        <f>HYPERLINK("Melting_Curves/meltCurve_Q92686_NRGN.pdf", "Melting_Curves/meltCurve_Q92686_NRGN.pdf")</f>
        <v>Melting_Curves/meltCurve_Q92686_NRGN.pdf</v>
      </c>
    </row>
    <row r="4463" spans="1:28" x14ac:dyDescent="0.25">
      <c r="A4463" t="s">
        <v>4467</v>
      </c>
      <c r="B4463">
        <v>0.99352677808782597</v>
      </c>
      <c r="C4463">
        <v>0.97907152577435796</v>
      </c>
      <c r="D4463">
        <v>0.97173071678263501</v>
      </c>
      <c r="E4463">
        <v>0.98067214909136002</v>
      </c>
      <c r="F4463">
        <v>0.88726443051262205</v>
      </c>
      <c r="G4463">
        <v>0.85416684153818601</v>
      </c>
      <c r="H4463">
        <v>0.47781160486293001</v>
      </c>
      <c r="I4463">
        <v>0.30787604700995003</v>
      </c>
      <c r="J4463">
        <v>0.22370900648464601</v>
      </c>
      <c r="K4463">
        <v>0.166019683589784</v>
      </c>
      <c r="L4463">
        <v>1371.1505839244001</v>
      </c>
      <c r="M4463">
        <v>22.801606701574801</v>
      </c>
      <c r="N4463">
        <v>60.983657850799297</v>
      </c>
      <c r="O4463">
        <v>59.677167730832601</v>
      </c>
      <c r="P4463">
        <v>-8.2522759557266095E-2</v>
      </c>
      <c r="Q4463">
        <v>0.136091165236008</v>
      </c>
      <c r="R4463">
        <v>0.99118972526542004</v>
      </c>
      <c r="S4463" t="s">
        <v>10748</v>
      </c>
      <c r="T4463" t="s">
        <v>12568</v>
      </c>
      <c r="U4463" t="s">
        <v>12568</v>
      </c>
      <c r="V4463" t="s">
        <v>12568</v>
      </c>
      <c r="W4463" t="s">
        <v>16984</v>
      </c>
      <c r="X4463">
        <v>11</v>
      </c>
      <c r="Y4463" t="s">
        <v>23094</v>
      </c>
      <c r="Z4463" t="s">
        <v>29333</v>
      </c>
      <c r="AA4463">
        <v>0.72259907593631389</v>
      </c>
      <c r="AB4463" t="str">
        <f>HYPERLINK("Melting_Curves/meltCurve_Q92688_2_ANP32B.pdf", "Melting_Curves/meltCurve_Q92688_2_ANP32B.pdf")</f>
        <v>Melting_Curves/meltCurve_Q92688_2_ANP32B.pdf</v>
      </c>
    </row>
    <row r="4464" spans="1:28" x14ac:dyDescent="0.25">
      <c r="A4464" t="s">
        <v>4468</v>
      </c>
      <c r="B4464">
        <v>0.99352677808782597</v>
      </c>
      <c r="C4464">
        <v>0.95713253719323999</v>
      </c>
      <c r="D4464">
        <v>0.93914937338677995</v>
      </c>
      <c r="E4464">
        <v>0.90205803446057897</v>
      </c>
      <c r="F4464">
        <v>0.85080818726001295</v>
      </c>
      <c r="G4464">
        <v>0.70171286204795802</v>
      </c>
      <c r="H4464">
        <v>0.61022417411384799</v>
      </c>
      <c r="I4464">
        <v>0.60240395936061097</v>
      </c>
      <c r="J4464">
        <v>0.55509101096167401</v>
      </c>
      <c r="K4464">
        <v>0.43781589501618501</v>
      </c>
      <c r="L4464">
        <v>459.78101212198402</v>
      </c>
      <c r="M4464">
        <v>7.4808144522090796</v>
      </c>
      <c r="N4464">
        <v>68.012049158574101</v>
      </c>
      <c r="O4464">
        <v>57.528988653396802</v>
      </c>
      <c r="P4464">
        <v>-2.4197239771529599E-2</v>
      </c>
      <c r="Q4464">
        <v>0.25675206209899298</v>
      </c>
      <c r="R4464">
        <v>0.98213550744731504</v>
      </c>
      <c r="S4464" t="s">
        <v>10749</v>
      </c>
      <c r="T4464" t="s">
        <v>12568</v>
      </c>
      <c r="U4464" t="s">
        <v>12568</v>
      </c>
      <c r="V4464" t="s">
        <v>12568</v>
      </c>
      <c r="W4464" t="s">
        <v>16985</v>
      </c>
      <c r="X4464">
        <v>7</v>
      </c>
      <c r="Y4464" t="s">
        <v>23095</v>
      </c>
      <c r="Z4464" t="s">
        <v>29334</v>
      </c>
      <c r="AA4464">
        <v>0.76197248116849781</v>
      </c>
      <c r="AB4464" t="str">
        <f>HYPERLINK("Melting_Curves/meltCurve_Q92692_PVRL2.pdf", "Melting_Curves/meltCurve_Q92692_PVRL2.pdf")</f>
        <v>Melting_Curves/meltCurve_Q92692_PVRL2.pdf</v>
      </c>
    </row>
    <row r="4465" spans="1:28" x14ac:dyDescent="0.25">
      <c r="A4465" t="s">
        <v>4469</v>
      </c>
      <c r="B4465">
        <v>0.99352677808782597</v>
      </c>
      <c r="C4465">
        <v>1.01680179045724</v>
      </c>
      <c r="D4465">
        <v>0.92321592220640203</v>
      </c>
      <c r="E4465">
        <v>0.55182490600568701</v>
      </c>
      <c r="F4465">
        <v>0.45013045693275699</v>
      </c>
      <c r="G4465">
        <v>0.20772068402583099</v>
      </c>
      <c r="H4465">
        <v>0.130462406636279</v>
      </c>
      <c r="I4465">
        <v>0.118129534956435</v>
      </c>
      <c r="J4465">
        <v>0.10856997931583599</v>
      </c>
      <c r="K4465">
        <v>8.3181320710387099E-2</v>
      </c>
      <c r="L4465">
        <v>912.45034835938395</v>
      </c>
      <c r="M4465">
        <v>17.901640056426299</v>
      </c>
      <c r="N4465">
        <v>51.548223959364698</v>
      </c>
      <c r="O4465">
        <v>50.346944843867298</v>
      </c>
      <c r="P4465">
        <v>-8.0812198235186899E-2</v>
      </c>
      <c r="Q4465">
        <v>9.0934302614811696E-2</v>
      </c>
      <c r="R4465">
        <v>0.99117922685249005</v>
      </c>
      <c r="S4465" t="s">
        <v>10750</v>
      </c>
      <c r="T4465" t="s">
        <v>12568</v>
      </c>
      <c r="U4465" t="s">
        <v>12568</v>
      </c>
      <c r="V4465" t="s">
        <v>12568</v>
      </c>
      <c r="W4465" t="s">
        <v>16986</v>
      </c>
      <c r="X4465">
        <v>12</v>
      </c>
      <c r="Y4465" t="s">
        <v>23096</v>
      </c>
      <c r="Z4465" t="s">
        <v>29335</v>
      </c>
      <c r="AA4465">
        <v>0.43883043742478112</v>
      </c>
      <c r="AB4465" t="str">
        <f>HYPERLINK("Melting_Curves/meltCurve_Q92696_RABGGTA.pdf", "Melting_Curves/meltCurve_Q92696_RABGGTA.pdf")</f>
        <v>Melting_Curves/meltCurve_Q92696_RABGGTA.pdf</v>
      </c>
    </row>
    <row r="4466" spans="1:28" x14ac:dyDescent="0.25">
      <c r="A4466" t="s">
        <v>4470</v>
      </c>
      <c r="B4466">
        <v>0.99352677808782597</v>
      </c>
      <c r="C4466">
        <v>1.0385572312967</v>
      </c>
      <c r="D4466">
        <v>0.92789994704799394</v>
      </c>
      <c r="E4466">
        <v>0.82725526422102702</v>
      </c>
      <c r="F4466">
        <v>0.70783999001682396</v>
      </c>
      <c r="G4466">
        <v>0.534307459241251</v>
      </c>
      <c r="H4466">
        <v>0.78331339661944299</v>
      </c>
      <c r="I4466">
        <v>0.65874667446597102</v>
      </c>
      <c r="J4466">
        <v>0.81520570186820196</v>
      </c>
      <c r="K4466">
        <v>0.47177776845425001</v>
      </c>
      <c r="L4466">
        <v>1405.7214646370401</v>
      </c>
      <c r="M4466">
        <v>28.323785456421302</v>
      </c>
      <c r="O4466">
        <v>49.385000257266398</v>
      </c>
      <c r="P4466">
        <v>-4.9718759078182503E-2</v>
      </c>
      <c r="Q4466">
        <v>0.65324679914445005</v>
      </c>
      <c r="R4466">
        <v>0.69442338508216095</v>
      </c>
      <c r="S4466" t="s">
        <v>10751</v>
      </c>
      <c r="T4466" t="s">
        <v>12568</v>
      </c>
      <c r="U4466" t="s">
        <v>12568</v>
      </c>
      <c r="V4466" t="s">
        <v>12568</v>
      </c>
      <c r="W4466" t="s">
        <v>16987</v>
      </c>
      <c r="X4466">
        <v>15</v>
      </c>
      <c r="Y4466" t="s">
        <v>23097</v>
      </c>
      <c r="Z4466" t="s">
        <v>29336</v>
      </c>
      <c r="AA4466">
        <v>0.76695590084205234</v>
      </c>
      <c r="AB4466" t="str">
        <f>HYPERLINK("Melting_Curves/meltCurve_Q92734_2_TFG.pdf", "Melting_Curves/meltCurve_Q92734_2_TFG.pdf")</f>
        <v>Melting_Curves/meltCurve_Q92734_2_TFG.pdf</v>
      </c>
    </row>
    <row r="4467" spans="1:28" x14ac:dyDescent="0.25">
      <c r="A4467" t="s">
        <v>4471</v>
      </c>
      <c r="B4467">
        <v>0.99352677808782597</v>
      </c>
      <c r="C4467">
        <v>0.92219106750141799</v>
      </c>
      <c r="D4467">
        <v>0.94852407926933202</v>
      </c>
      <c r="E4467">
        <v>0.89343241122569395</v>
      </c>
      <c r="F4467">
        <v>0.87407114564250699</v>
      </c>
      <c r="G4467">
        <v>0.76650395335950705</v>
      </c>
      <c r="H4467">
        <v>0.69280817181550702</v>
      </c>
      <c r="I4467">
        <v>0.80418132672230003</v>
      </c>
      <c r="J4467">
        <v>0.68457982460949995</v>
      </c>
      <c r="K4467">
        <v>0.63657532059423805</v>
      </c>
      <c r="L4467">
        <v>338.49748755530402</v>
      </c>
      <c r="M4467">
        <v>5.4743987830506802</v>
      </c>
      <c r="O4467">
        <v>55.045782683989302</v>
      </c>
      <c r="P4467">
        <v>-1.29835979031652E-2</v>
      </c>
      <c r="Q4467">
        <v>0.48012075657897502</v>
      </c>
      <c r="R4467">
        <v>0.889779071869644</v>
      </c>
      <c r="S4467" t="s">
        <v>10752</v>
      </c>
      <c r="T4467" t="s">
        <v>12568</v>
      </c>
      <c r="U4467" t="s">
        <v>12568</v>
      </c>
      <c r="V4467" t="s">
        <v>12568</v>
      </c>
      <c r="W4467" t="s">
        <v>16988</v>
      </c>
      <c r="X4467">
        <v>5</v>
      </c>
      <c r="Y4467" t="s">
        <v>23098</v>
      </c>
      <c r="Z4467" t="s">
        <v>29337</v>
      </c>
      <c r="AA4467">
        <v>0.8233502517544149</v>
      </c>
      <c r="AB4467" t="str">
        <f>HYPERLINK("Melting_Curves/meltCurve_Q92738_USP6NL.pdf", "Melting_Curves/meltCurve_Q92738_USP6NL.pdf")</f>
        <v>Melting_Curves/meltCurve_Q92738_USP6NL.pdf</v>
      </c>
    </row>
    <row r="4468" spans="1:28" x14ac:dyDescent="0.25">
      <c r="A4468" t="s">
        <v>4472</v>
      </c>
      <c r="B4468">
        <v>0.99352677808782597</v>
      </c>
      <c r="C4468">
        <v>1.0341690694708301</v>
      </c>
      <c r="D4468">
        <v>0.89180375890698005</v>
      </c>
      <c r="E4468">
        <v>1.05927738274359</v>
      </c>
      <c r="F4468">
        <v>0.85115005890378403</v>
      </c>
      <c r="G4468">
        <v>0.79260058452953297</v>
      </c>
      <c r="H4468">
        <v>0.60442581523893302</v>
      </c>
      <c r="I4468">
        <v>0.25272778810787999</v>
      </c>
      <c r="J4468">
        <v>0.12382947994818699</v>
      </c>
      <c r="K4468">
        <v>0.102387268080051</v>
      </c>
      <c r="L4468">
        <v>1190.34934656167</v>
      </c>
      <c r="M4468">
        <v>19.427614188288601</v>
      </c>
      <c r="N4468">
        <v>61.271004223644198</v>
      </c>
      <c r="O4468">
        <v>60.632879117218401</v>
      </c>
      <c r="P4468">
        <v>-8.0106365509248101E-2</v>
      </c>
      <c r="Q4468">
        <v>0</v>
      </c>
      <c r="R4468">
        <v>0.96898420611243397</v>
      </c>
      <c r="S4468" t="s">
        <v>10753</v>
      </c>
      <c r="T4468" t="s">
        <v>12568</v>
      </c>
      <c r="U4468" t="s">
        <v>12568</v>
      </c>
      <c r="V4468" t="s">
        <v>12568</v>
      </c>
      <c r="W4468" t="s">
        <v>16989</v>
      </c>
      <c r="X4468">
        <v>11</v>
      </c>
      <c r="Y4468" t="s">
        <v>23099</v>
      </c>
      <c r="Z4468" t="s">
        <v>29338</v>
      </c>
      <c r="AA4468">
        <v>0.71415554348091859</v>
      </c>
      <c r="AB4468" t="str">
        <f>HYPERLINK("Melting_Curves/meltCurve_Q92747_ARPC1A.pdf", "Melting_Curves/meltCurve_Q92747_ARPC1A.pdf")</f>
        <v>Melting_Curves/meltCurve_Q92747_ARPC1A.pdf</v>
      </c>
    </row>
    <row r="4469" spans="1:28" x14ac:dyDescent="0.25">
      <c r="A4469" t="s">
        <v>4473</v>
      </c>
      <c r="B4469">
        <v>0.99352677808782597</v>
      </c>
      <c r="C4469">
        <v>0.91075574970380202</v>
      </c>
      <c r="D4469">
        <v>0.86351766518324702</v>
      </c>
      <c r="E4469">
        <v>0.71588373716329001</v>
      </c>
      <c r="F4469">
        <v>0.63272718027157204</v>
      </c>
      <c r="G4469">
        <v>0.51994691070132304</v>
      </c>
      <c r="H4469">
        <v>0.45316488753975398</v>
      </c>
      <c r="I4469">
        <v>0.53897532328802</v>
      </c>
      <c r="J4469">
        <v>0.59471844366392101</v>
      </c>
      <c r="K4469">
        <v>0.44975468872755803</v>
      </c>
      <c r="L4469">
        <v>719.44165230434101</v>
      </c>
      <c r="M4469">
        <v>14.710974404420099</v>
      </c>
      <c r="N4469">
        <v>69.010073440889499</v>
      </c>
      <c r="O4469">
        <v>48.028082963920397</v>
      </c>
      <c r="P4469">
        <v>-3.8818603936964097E-2</v>
      </c>
      <c r="Q4469">
        <v>0.49311872711840898</v>
      </c>
      <c r="R4469">
        <v>0.94585941110802696</v>
      </c>
      <c r="S4469" t="s">
        <v>10754</v>
      </c>
      <c r="T4469" t="s">
        <v>12568</v>
      </c>
      <c r="U4469" t="s">
        <v>12568</v>
      </c>
      <c r="V4469" t="s">
        <v>12568</v>
      </c>
      <c r="W4469" t="s">
        <v>16990</v>
      </c>
      <c r="X4469">
        <v>3</v>
      </c>
      <c r="Y4469" t="s">
        <v>23100</v>
      </c>
      <c r="Z4469" t="s">
        <v>29339</v>
      </c>
      <c r="AA4469">
        <v>0.65660301861294634</v>
      </c>
      <c r="AB4469" t="str">
        <f>HYPERLINK("Melting_Curves/meltCurve_Q92766_RREB1.pdf", "Melting_Curves/meltCurve_Q92766_RREB1.pdf")</f>
        <v>Melting_Curves/meltCurve_Q92766_RREB1.pdf</v>
      </c>
    </row>
    <row r="4470" spans="1:28" x14ac:dyDescent="0.25">
      <c r="A4470" t="s">
        <v>4474</v>
      </c>
      <c r="B4470">
        <v>0.99352677808782597</v>
      </c>
      <c r="C4470">
        <v>1.02156527723766</v>
      </c>
      <c r="D4470">
        <v>1.0098843559848401</v>
      </c>
      <c r="E4470">
        <v>0.92084955199452201</v>
      </c>
      <c r="F4470">
        <v>0.75718258131054195</v>
      </c>
      <c r="G4470">
        <v>0.64714592643049695</v>
      </c>
      <c r="H4470">
        <v>0.54271162381028004</v>
      </c>
      <c r="I4470">
        <v>0.49960990079629902</v>
      </c>
      <c r="J4470">
        <v>0.57788822855336097</v>
      </c>
      <c r="K4470">
        <v>0.41934369132728999</v>
      </c>
      <c r="L4470">
        <v>986.56965319470203</v>
      </c>
      <c r="M4470">
        <v>18.2366963010377</v>
      </c>
      <c r="N4470">
        <v>66.423966102818198</v>
      </c>
      <c r="O4470">
        <v>53.460143094334398</v>
      </c>
      <c r="P4470">
        <v>-4.4088837889483201E-2</v>
      </c>
      <c r="Q4470">
        <v>0.48304559421909798</v>
      </c>
      <c r="R4470">
        <v>0.96918951239074902</v>
      </c>
      <c r="S4470" t="s">
        <v>10755</v>
      </c>
      <c r="T4470" t="s">
        <v>12568</v>
      </c>
      <c r="U4470" t="s">
        <v>12568</v>
      </c>
      <c r="V4470" t="s">
        <v>12568</v>
      </c>
      <c r="W4470" t="s">
        <v>16991</v>
      </c>
      <c r="X4470">
        <v>14</v>
      </c>
      <c r="Y4470" t="s">
        <v>23101</v>
      </c>
      <c r="Z4470" t="s">
        <v>29340</v>
      </c>
      <c r="AA4470">
        <v>0.73407088074191884</v>
      </c>
      <c r="AB4470" t="str">
        <f>HYPERLINK("Melting_Curves/meltCurve_Q92783_2_STAM.pdf", "Melting_Curves/meltCurve_Q92783_2_STAM.pdf")</f>
        <v>Melting_Curves/meltCurve_Q92783_2_STAM.pdf</v>
      </c>
    </row>
    <row r="4471" spans="1:28" x14ac:dyDescent="0.25">
      <c r="A4471" t="s">
        <v>4475</v>
      </c>
      <c r="B4471">
        <v>0.99352677808782597</v>
      </c>
      <c r="C4471">
        <v>0.94901209910371498</v>
      </c>
      <c r="D4471">
        <v>0.94782349752238704</v>
      </c>
      <c r="E4471">
        <v>0.72061147054571695</v>
      </c>
      <c r="F4471">
        <v>0.69378836400307697</v>
      </c>
      <c r="G4471">
        <v>0.55302512274013604</v>
      </c>
      <c r="H4471">
        <v>0.53330139867965898</v>
      </c>
      <c r="I4471">
        <v>0.52519308608070203</v>
      </c>
      <c r="J4471">
        <v>0.52705971335933</v>
      </c>
      <c r="K4471">
        <v>0.41858396592966701</v>
      </c>
      <c r="L4471">
        <v>703.29403783701105</v>
      </c>
      <c r="M4471">
        <v>13.799342190220001</v>
      </c>
      <c r="N4471">
        <v>64.035880465211093</v>
      </c>
      <c r="O4471">
        <v>49.931210896895699</v>
      </c>
      <c r="P4471">
        <v>-3.6617306192178102E-2</v>
      </c>
      <c r="Q4471">
        <v>0.47009343772393702</v>
      </c>
      <c r="R4471">
        <v>0.96957220795071697</v>
      </c>
      <c r="S4471" t="s">
        <v>10756</v>
      </c>
      <c r="T4471" t="s">
        <v>12568</v>
      </c>
      <c r="U4471" t="s">
        <v>12568</v>
      </c>
      <c r="V4471" t="s">
        <v>12568</v>
      </c>
      <c r="W4471" t="s">
        <v>16992</v>
      </c>
      <c r="X4471">
        <v>10</v>
      </c>
      <c r="Y4471" t="s">
        <v>23102</v>
      </c>
      <c r="Z4471" t="s">
        <v>29341</v>
      </c>
      <c r="AA4471">
        <v>0.67781657256176253</v>
      </c>
      <c r="AB4471" t="str">
        <f>HYPERLINK("Melting_Curves/meltCurve_Q92785_DPF2.pdf", "Melting_Curves/meltCurve_Q92785_DPF2.pdf")</f>
        <v>Melting_Curves/meltCurve_Q92785_DPF2.pdf</v>
      </c>
    </row>
    <row r="4472" spans="1:28" x14ac:dyDescent="0.25">
      <c r="A4472" t="s">
        <v>4476</v>
      </c>
      <c r="B4472">
        <v>0.99352677808782597</v>
      </c>
      <c r="C4472">
        <v>0.98278339500122303</v>
      </c>
      <c r="D4472">
        <v>0.93310644172991197</v>
      </c>
      <c r="E4472">
        <v>0.57997454644222002</v>
      </c>
      <c r="F4472">
        <v>0.51815006452155998</v>
      </c>
      <c r="G4472">
        <v>0.31191884561476302</v>
      </c>
      <c r="H4472">
        <v>0.303075629680647</v>
      </c>
      <c r="I4472">
        <v>0.40080425589548802</v>
      </c>
      <c r="J4472">
        <v>0.24592458540582801</v>
      </c>
      <c r="K4472">
        <v>0.19986204926526799</v>
      </c>
      <c r="L4472">
        <v>957.22833059435902</v>
      </c>
      <c r="M4472">
        <v>19.1069365022665</v>
      </c>
      <c r="N4472">
        <v>52.273131707595098</v>
      </c>
      <c r="O4472">
        <v>49.559373050854703</v>
      </c>
      <c r="P4472">
        <v>-6.9959905502351302E-2</v>
      </c>
      <c r="Q4472">
        <v>0.27418312242494902</v>
      </c>
      <c r="R4472">
        <v>0.96557299776949002</v>
      </c>
      <c r="S4472" t="s">
        <v>10757</v>
      </c>
      <c r="T4472" t="s">
        <v>12568</v>
      </c>
      <c r="U4472" t="s">
        <v>12568</v>
      </c>
      <c r="V4472" t="s">
        <v>12568</v>
      </c>
      <c r="W4472" t="s">
        <v>16993</v>
      </c>
      <c r="X4472">
        <v>26</v>
      </c>
      <c r="Y4472" t="s">
        <v>23103</v>
      </c>
      <c r="Z4472" t="s">
        <v>29342</v>
      </c>
      <c r="AA4472">
        <v>0.52953738360951841</v>
      </c>
      <c r="AB4472" t="str">
        <f>HYPERLINK("Melting_Curves/meltCurve_Q92793_CREBBP.pdf", "Melting_Curves/meltCurve_Q92793_CREBBP.pdf")</f>
        <v>Melting_Curves/meltCurve_Q92793_CREBBP.pdf</v>
      </c>
    </row>
    <row r="4473" spans="1:28" x14ac:dyDescent="0.25">
      <c r="A4473" t="s">
        <v>4477</v>
      </c>
      <c r="B4473">
        <v>0.99352677808782597</v>
      </c>
      <c r="C4473">
        <v>0.88937319095735201</v>
      </c>
      <c r="D4473">
        <v>0.66172459164912401</v>
      </c>
      <c r="E4473">
        <v>0.323406029455927</v>
      </c>
      <c r="F4473">
        <v>0.258938978578656</v>
      </c>
      <c r="G4473">
        <v>0.13904786404713601</v>
      </c>
      <c r="H4473">
        <v>8.6108772181599194E-2</v>
      </c>
      <c r="I4473">
        <v>7.4329089686284003E-2</v>
      </c>
      <c r="J4473">
        <v>5.8333596518448501E-2</v>
      </c>
      <c r="K4473">
        <v>4.49031316091658E-2</v>
      </c>
      <c r="L4473">
        <v>787.40019972980497</v>
      </c>
      <c r="M4473">
        <v>16.500763040619798</v>
      </c>
      <c r="N4473">
        <v>48.095650140777003</v>
      </c>
      <c r="O4473">
        <v>47.0346715848965</v>
      </c>
      <c r="P4473">
        <v>-8.2395376642688395E-2</v>
      </c>
      <c r="Q4473">
        <v>6.0608243258833301E-2</v>
      </c>
      <c r="R4473">
        <v>0.99510854392199799</v>
      </c>
      <c r="S4473" t="s">
        <v>10758</v>
      </c>
      <c r="T4473" t="s">
        <v>12568</v>
      </c>
      <c r="U4473" t="s">
        <v>12568</v>
      </c>
      <c r="V4473" t="s">
        <v>12568</v>
      </c>
      <c r="W4473" t="s">
        <v>16994</v>
      </c>
      <c r="X4473">
        <v>14</v>
      </c>
      <c r="Y4473" t="s">
        <v>23104</v>
      </c>
      <c r="Z4473" t="s">
        <v>29343</v>
      </c>
      <c r="AA4473">
        <v>0.3224934420076162</v>
      </c>
      <c r="AB4473" t="str">
        <f>HYPERLINK("Melting_Curves/meltCurve_Q92797_SYMPK.pdf", "Melting_Curves/meltCurve_Q92797_SYMPK.pdf")</f>
        <v>Melting_Curves/meltCurve_Q92797_SYMPK.pdf</v>
      </c>
    </row>
    <row r="4474" spans="1:28" x14ac:dyDescent="0.25">
      <c r="A4474" t="s">
        <v>4478</v>
      </c>
      <c r="B4474">
        <v>0.99352677808782597</v>
      </c>
      <c r="C4474">
        <v>1.02964604285124</v>
      </c>
      <c r="D4474">
        <v>0.98960929609738502</v>
      </c>
      <c r="E4474">
        <v>0.89769437182496803</v>
      </c>
      <c r="F4474">
        <v>0.84435342922915002</v>
      </c>
      <c r="G4474">
        <v>0.68554527987732705</v>
      </c>
      <c r="H4474">
        <v>0.98897870152658496</v>
      </c>
      <c r="I4474">
        <v>0.75993102382260302</v>
      </c>
      <c r="J4474">
        <v>0.76891008132510097</v>
      </c>
      <c r="K4474">
        <v>0.69874918272504005</v>
      </c>
      <c r="L4474">
        <v>1577.78894152867</v>
      </c>
      <c r="M4474">
        <v>31.306115414806499</v>
      </c>
      <c r="O4474">
        <v>50.194450107584402</v>
      </c>
      <c r="P4474">
        <v>-3.3895051064014498E-2</v>
      </c>
      <c r="Q4474">
        <v>0.78261962876426205</v>
      </c>
      <c r="R4474">
        <v>0.60244253557271799</v>
      </c>
      <c r="S4474" t="s">
        <v>10759</v>
      </c>
      <c r="T4474" t="s">
        <v>12568</v>
      </c>
      <c r="U4474" t="s">
        <v>12568</v>
      </c>
      <c r="V4474" t="s">
        <v>12568</v>
      </c>
      <c r="W4474" t="s">
        <v>16995</v>
      </c>
      <c r="X4474">
        <v>7</v>
      </c>
      <c r="Y4474" t="s">
        <v>23105</v>
      </c>
      <c r="Z4474" t="s">
        <v>29344</v>
      </c>
      <c r="AA4474">
        <v>0.85921096365550287</v>
      </c>
      <c r="AB4474" t="str">
        <f>HYPERLINK("Melting_Curves/meltCurve_Q92804_2_TAF15.pdf", "Melting_Curves/meltCurve_Q92804_2_TAF15.pdf")</f>
        <v>Melting_Curves/meltCurve_Q92804_2_TAF15.pdf</v>
      </c>
    </row>
    <row r="4475" spans="1:28" x14ac:dyDescent="0.25">
      <c r="A4475" t="s">
        <v>4479</v>
      </c>
      <c r="B4475">
        <v>0.99352677808782597</v>
      </c>
      <c r="C4475">
        <v>0.96246704244894099</v>
      </c>
      <c r="D4475">
        <v>0.908701290637836</v>
      </c>
      <c r="E4475">
        <v>0.67555287290312604</v>
      </c>
      <c r="F4475">
        <v>0.586461903151413</v>
      </c>
      <c r="G4475">
        <v>0.44724767447573099</v>
      </c>
      <c r="H4475">
        <v>0.35729212397492399</v>
      </c>
      <c r="I4475">
        <v>0.34380260784787797</v>
      </c>
      <c r="J4475">
        <v>0.35273358629200802</v>
      </c>
      <c r="K4475">
        <v>0.28988030084496902</v>
      </c>
      <c r="L4475">
        <v>728.18430190098604</v>
      </c>
      <c r="M4475">
        <v>14.2128971834765</v>
      </c>
      <c r="N4475">
        <v>54.815992690565402</v>
      </c>
      <c r="O4475">
        <v>50.251793237897601</v>
      </c>
      <c r="P4475">
        <v>-4.93270351837196E-2</v>
      </c>
      <c r="Q4475">
        <v>0.30247482912547402</v>
      </c>
      <c r="R4475">
        <v>0.99433878868564696</v>
      </c>
      <c r="S4475" t="s">
        <v>10760</v>
      </c>
      <c r="T4475" t="s">
        <v>12568</v>
      </c>
      <c r="U4475" t="s">
        <v>12568</v>
      </c>
      <c r="V4475" t="s">
        <v>12568</v>
      </c>
      <c r="W4475" t="s">
        <v>16996</v>
      </c>
      <c r="X4475">
        <v>13</v>
      </c>
      <c r="Y4475" t="s">
        <v>23106</v>
      </c>
      <c r="Z4475" t="s">
        <v>29345</v>
      </c>
      <c r="AA4475">
        <v>0.58111269558672474</v>
      </c>
      <c r="AB4475" t="str">
        <f>HYPERLINK("Melting_Curves/meltCurve_Q92805_GOLGA1.pdf", "Melting_Curves/meltCurve_Q92805_GOLGA1.pdf")</f>
        <v>Melting_Curves/meltCurve_Q92805_GOLGA1.pdf</v>
      </c>
    </row>
    <row r="4476" spans="1:28" x14ac:dyDescent="0.25">
      <c r="A4476" t="s">
        <v>4480</v>
      </c>
      <c r="B4476">
        <v>0.99352677808782597</v>
      </c>
      <c r="C4476">
        <v>0.93596194361383001</v>
      </c>
      <c r="D4476">
        <v>0.68744959240152803</v>
      </c>
      <c r="E4476">
        <v>0.37691202139296898</v>
      </c>
      <c r="F4476">
        <v>0.29852352499194401</v>
      </c>
      <c r="G4476">
        <v>0.21082460985588999</v>
      </c>
      <c r="H4476">
        <v>0.16181338799004899</v>
      </c>
      <c r="I4476">
        <v>0.13746095246599599</v>
      </c>
      <c r="J4476">
        <v>9.6268208983102302E-2</v>
      </c>
      <c r="K4476">
        <v>9.5770217968692201E-2</v>
      </c>
      <c r="L4476">
        <v>815.28251052454596</v>
      </c>
      <c r="M4476">
        <v>17.019859604313101</v>
      </c>
      <c r="N4476">
        <v>48.695325805050203</v>
      </c>
      <c r="O4476">
        <v>47.255208604194898</v>
      </c>
      <c r="P4476">
        <v>-7.9142834345260704E-2</v>
      </c>
      <c r="Q4476">
        <v>0.121101734862685</v>
      </c>
      <c r="R4476">
        <v>0.99211165691852399</v>
      </c>
      <c r="S4476" t="s">
        <v>10761</v>
      </c>
      <c r="T4476" t="s">
        <v>12568</v>
      </c>
      <c r="U4476" t="s">
        <v>12568</v>
      </c>
      <c r="V4476" t="s">
        <v>12568</v>
      </c>
      <c r="W4476" t="s">
        <v>16997</v>
      </c>
      <c r="X4476">
        <v>8</v>
      </c>
      <c r="Y4476" t="s">
        <v>23107</v>
      </c>
      <c r="Z4476" t="s">
        <v>29346</v>
      </c>
      <c r="AA4476">
        <v>0.37017701678347109</v>
      </c>
      <c r="AB4476" t="str">
        <f>HYPERLINK("Melting_Curves/meltCurve_Q92817_EVPL.pdf", "Melting_Curves/meltCurve_Q92817_EVPL.pdf")</f>
        <v>Melting_Curves/meltCurve_Q92817_EVPL.pdf</v>
      </c>
    </row>
    <row r="4477" spans="1:28" x14ac:dyDescent="0.25">
      <c r="A4477" t="s">
        <v>4481</v>
      </c>
      <c r="B4477">
        <v>0.99352677808782597</v>
      </c>
      <c r="C4477">
        <v>1.0624246572731699</v>
      </c>
      <c r="D4477">
        <v>0.99562341142564603</v>
      </c>
      <c r="E4477">
        <v>0.980866615071321</v>
      </c>
      <c r="F4477">
        <v>0.85575642723940204</v>
      </c>
      <c r="G4477">
        <v>0.75327764118790697</v>
      </c>
      <c r="H4477">
        <v>0.81937878104678097</v>
      </c>
      <c r="I4477">
        <v>0.58849445564375702</v>
      </c>
      <c r="J4477">
        <v>0.25116958758862501</v>
      </c>
      <c r="K4477">
        <v>9.0984508950589696E-2</v>
      </c>
      <c r="L4477">
        <v>1349.53313893579</v>
      </c>
      <c r="M4477">
        <v>21.008573891314199</v>
      </c>
      <c r="N4477">
        <v>64.237256047366401</v>
      </c>
      <c r="O4477">
        <v>63.6637317257847</v>
      </c>
      <c r="P4477">
        <v>-8.2500423644451398E-2</v>
      </c>
      <c r="Q4477">
        <v>0</v>
      </c>
      <c r="R4477">
        <v>0.92997442086429305</v>
      </c>
      <c r="S4477" t="s">
        <v>10762</v>
      </c>
      <c r="T4477" t="s">
        <v>12568</v>
      </c>
      <c r="U4477" t="s">
        <v>12568</v>
      </c>
      <c r="V4477" t="s">
        <v>12568</v>
      </c>
      <c r="W4477" t="s">
        <v>16998</v>
      </c>
      <c r="X4477">
        <v>6</v>
      </c>
      <c r="Y4477" t="s">
        <v>23108</v>
      </c>
      <c r="Z4477" t="s">
        <v>29347</v>
      </c>
      <c r="AA4477">
        <v>0.80207449198950231</v>
      </c>
      <c r="AB4477" t="str">
        <f>HYPERLINK("Melting_Curves/meltCurve_Q92820_GGH.pdf", "Melting_Curves/meltCurve_Q92820_GGH.pdf")</f>
        <v>Melting_Curves/meltCurve_Q92820_GGH.pdf</v>
      </c>
    </row>
    <row r="4478" spans="1:28" x14ac:dyDescent="0.25">
      <c r="A4478" t="s">
        <v>4482</v>
      </c>
      <c r="B4478">
        <v>0.99352677808782597</v>
      </c>
      <c r="C4478">
        <v>0.96681788650108602</v>
      </c>
      <c r="D4478">
        <v>0.98948043011215703</v>
      </c>
      <c r="E4478">
        <v>0.66760839329048904</v>
      </c>
      <c r="F4478">
        <v>0.51227634930121102</v>
      </c>
      <c r="G4478">
        <v>0.27459984111651697</v>
      </c>
      <c r="H4478">
        <v>0.130108547368563</v>
      </c>
      <c r="I4478">
        <v>0.104723152030877</v>
      </c>
      <c r="J4478">
        <v>8.8776750114459596E-2</v>
      </c>
      <c r="K4478">
        <v>7.4598248912169193E-2</v>
      </c>
      <c r="L4478">
        <v>891.81872985276596</v>
      </c>
      <c r="M4478">
        <v>16.984973262171501</v>
      </c>
      <c r="N4478">
        <v>52.927302722381498</v>
      </c>
      <c r="O4478">
        <v>51.794708726725098</v>
      </c>
      <c r="P4478">
        <v>-7.6807107614138295E-2</v>
      </c>
      <c r="Q4478">
        <v>6.3182517322440804E-2</v>
      </c>
      <c r="R4478">
        <v>0.99422639037372895</v>
      </c>
      <c r="S4478" t="s">
        <v>10763</v>
      </c>
      <c r="T4478" t="s">
        <v>12568</v>
      </c>
      <c r="U4478" t="s">
        <v>12568</v>
      </c>
      <c r="V4478" t="s">
        <v>12568</v>
      </c>
      <c r="W4478" t="s">
        <v>16999</v>
      </c>
      <c r="X4478">
        <v>1</v>
      </c>
      <c r="Y4478" t="s">
        <v>23109</v>
      </c>
      <c r="Z4478" t="s">
        <v>29348</v>
      </c>
      <c r="AA4478">
        <v>0.47072401945092179</v>
      </c>
      <c r="AB4478" t="str">
        <f>HYPERLINK("Melting_Curves/meltCurve_Q92830_KAT2A.pdf", "Melting_Curves/meltCurve_Q92830_KAT2A.pdf")</f>
        <v>Melting_Curves/meltCurve_Q92830_KAT2A.pdf</v>
      </c>
    </row>
    <row r="4479" spans="1:28" x14ac:dyDescent="0.25">
      <c r="A4479" t="s">
        <v>4483</v>
      </c>
      <c r="B4479">
        <v>0.99352677808782597</v>
      </c>
      <c r="C4479">
        <v>0.90119959898785196</v>
      </c>
      <c r="D4479">
        <v>0.88880060959542195</v>
      </c>
      <c r="E4479">
        <v>0.82202620601420795</v>
      </c>
      <c r="F4479">
        <v>0.87048827183561805</v>
      </c>
      <c r="G4479">
        <v>0.69757681799688498</v>
      </c>
      <c r="H4479">
        <v>0.47802468962974498</v>
      </c>
      <c r="I4479">
        <v>0.38101044003728801</v>
      </c>
      <c r="J4479">
        <v>0.36858098099924302</v>
      </c>
      <c r="K4479">
        <v>0.32552219311457797</v>
      </c>
      <c r="L4479">
        <v>475.61090349819</v>
      </c>
      <c r="M4479">
        <v>7.7387420474386799</v>
      </c>
      <c r="N4479">
        <v>61.794805012745698</v>
      </c>
      <c r="O4479">
        <v>57.7589286741389</v>
      </c>
      <c r="P4479">
        <v>-3.28469913223235E-2</v>
      </c>
      <c r="Q4479">
        <v>2.06254121433119E-2</v>
      </c>
      <c r="R4479">
        <v>0.96011089713384101</v>
      </c>
      <c r="S4479" t="s">
        <v>10764</v>
      </c>
      <c r="T4479" t="s">
        <v>12568</v>
      </c>
      <c r="U4479" t="s">
        <v>12568</v>
      </c>
      <c r="V4479" t="s">
        <v>12568</v>
      </c>
      <c r="W4479" t="s">
        <v>17000</v>
      </c>
      <c r="X4479">
        <v>5</v>
      </c>
      <c r="Y4479" t="s">
        <v>23110</v>
      </c>
      <c r="Z4479" t="s">
        <v>29349</v>
      </c>
      <c r="AA4479">
        <v>0.68880213144892055</v>
      </c>
      <c r="AB4479" t="str">
        <f>HYPERLINK("Melting_Curves/meltCurve_Q92834_4_RPGR.pdf", "Melting_Curves/meltCurve_Q92834_4_RPGR.pdf")</f>
        <v>Melting_Curves/meltCurve_Q92834_4_RPGR.pdf</v>
      </c>
    </row>
    <row r="4480" spans="1:28" x14ac:dyDescent="0.25">
      <c r="A4480" t="s">
        <v>4484</v>
      </c>
      <c r="B4480">
        <v>0.99352677808782597</v>
      </c>
      <c r="C4480">
        <v>0.94760659317658802</v>
      </c>
      <c r="D4480">
        <v>0.96731754743246101</v>
      </c>
      <c r="E4480">
        <v>0.28827166870689303</v>
      </c>
      <c r="F4480">
        <v>0.23123706614840001</v>
      </c>
      <c r="G4480">
        <v>0.15788934482995601</v>
      </c>
      <c r="H4480">
        <v>0.12378393171122</v>
      </c>
      <c r="I4480">
        <v>0.123983362777785</v>
      </c>
      <c r="J4480">
        <v>0.11020338818726599</v>
      </c>
      <c r="K4480">
        <v>8.8439813493537203E-2</v>
      </c>
      <c r="L4480">
        <v>2425.24407752772</v>
      </c>
      <c r="M4480">
        <v>49.935610466796597</v>
      </c>
      <c r="N4480">
        <v>48.8756722320515</v>
      </c>
      <c r="O4480">
        <v>48.489725497847203</v>
      </c>
      <c r="P4480">
        <v>-0.22267772784337</v>
      </c>
      <c r="Q4480">
        <v>0.13508035133975901</v>
      </c>
      <c r="R4480">
        <v>0.99033187388954902</v>
      </c>
      <c r="S4480" t="s">
        <v>10765</v>
      </c>
      <c r="T4480" t="s">
        <v>12568</v>
      </c>
      <c r="U4480" t="s">
        <v>12568</v>
      </c>
      <c r="V4480" t="s">
        <v>12568</v>
      </c>
      <c r="W4480" t="s">
        <v>17001</v>
      </c>
      <c r="X4480">
        <v>26</v>
      </c>
      <c r="Y4480" t="s">
        <v>23111</v>
      </c>
      <c r="Z4480" t="s">
        <v>29350</v>
      </c>
      <c r="AA4480">
        <v>0.3839430165744821</v>
      </c>
      <c r="AB4480" t="str">
        <f>HYPERLINK("Melting_Curves/meltCurve_Q92841_DDX17.pdf", "Melting_Curves/meltCurve_Q92841_DDX17.pdf")</f>
        <v>Melting_Curves/meltCurve_Q92841_DDX17.pdf</v>
      </c>
    </row>
    <row r="4481" spans="1:28" x14ac:dyDescent="0.25">
      <c r="A4481" t="s">
        <v>4485</v>
      </c>
      <c r="B4481">
        <v>0.99352677808782597</v>
      </c>
      <c r="C4481">
        <v>0.91931637960968504</v>
      </c>
      <c r="D4481">
        <v>0.94148076392675895</v>
      </c>
      <c r="E4481">
        <v>0.68331082930766995</v>
      </c>
      <c r="F4481">
        <v>0.57866851712096201</v>
      </c>
      <c r="G4481">
        <v>0.42452985909767599</v>
      </c>
      <c r="H4481">
        <v>0.35062950959629202</v>
      </c>
      <c r="I4481">
        <v>0.316543091823622</v>
      </c>
      <c r="J4481">
        <v>0.35039163900352299</v>
      </c>
      <c r="K4481">
        <v>0.33068241466222498</v>
      </c>
      <c r="L4481">
        <v>817.87054502514695</v>
      </c>
      <c r="M4481">
        <v>16.030717363861399</v>
      </c>
      <c r="N4481">
        <v>54.396215738570703</v>
      </c>
      <c r="O4481">
        <v>50.244846474390101</v>
      </c>
      <c r="P4481">
        <v>-5.4626637263364801E-2</v>
      </c>
      <c r="Q4481">
        <v>0.31519138249827</v>
      </c>
      <c r="R4481">
        <v>0.99017342233907801</v>
      </c>
      <c r="S4481" t="s">
        <v>10766</v>
      </c>
      <c r="T4481" t="s">
        <v>12568</v>
      </c>
      <c r="U4481" t="s">
        <v>12568</v>
      </c>
      <c r="V4481" t="s">
        <v>12568</v>
      </c>
      <c r="W4481" t="s">
        <v>17002</v>
      </c>
      <c r="X4481">
        <v>4</v>
      </c>
      <c r="Y4481" t="s">
        <v>23112</v>
      </c>
      <c r="Z4481" t="s">
        <v>29351</v>
      </c>
      <c r="AA4481">
        <v>0.58086197557685537</v>
      </c>
      <c r="AB4481" t="str">
        <f>HYPERLINK("Melting_Curves/meltCurve_Q92843_2_BCL2L2.pdf", "Melting_Curves/meltCurve_Q92843_2_BCL2L2.pdf")</f>
        <v>Melting_Curves/meltCurve_Q92843_2_BCL2L2.pdf</v>
      </c>
    </row>
    <row r="4482" spans="1:28" x14ac:dyDescent="0.25">
      <c r="A4482" t="s">
        <v>4486</v>
      </c>
      <c r="B4482">
        <v>0.99352677808782597</v>
      </c>
      <c r="C4482">
        <v>0.93471086191764396</v>
      </c>
      <c r="D4482">
        <v>0.90943936316707796</v>
      </c>
      <c r="E4482">
        <v>0.73873586359537402</v>
      </c>
      <c r="F4482">
        <v>0.663204581062107</v>
      </c>
      <c r="G4482">
        <v>0.68972195086622701</v>
      </c>
      <c r="H4482">
        <v>0.73430082552864795</v>
      </c>
      <c r="I4482">
        <v>0.82237985737483299</v>
      </c>
      <c r="J4482">
        <v>0.95460716864392103</v>
      </c>
      <c r="K4482">
        <v>0.84530691596263197</v>
      </c>
      <c r="L4482">
        <v>2698.4114297315</v>
      </c>
      <c r="M4482">
        <v>58.383714253841099</v>
      </c>
      <c r="O4482">
        <v>46.164433272644999</v>
      </c>
      <c r="P4482">
        <v>-7.0120645503483306E-2</v>
      </c>
      <c r="Q4482">
        <v>0.77822045699028497</v>
      </c>
      <c r="R4482">
        <v>0.46811742725438898</v>
      </c>
      <c r="S4482" t="s">
        <v>10767</v>
      </c>
      <c r="T4482" t="s">
        <v>12568</v>
      </c>
      <c r="U4482" t="s">
        <v>12568</v>
      </c>
      <c r="V4482" t="s">
        <v>12568</v>
      </c>
      <c r="W4482" t="s">
        <v>17003</v>
      </c>
      <c r="X4482">
        <v>10</v>
      </c>
      <c r="Y4482" t="s">
        <v>23113</v>
      </c>
      <c r="Z4482" t="s">
        <v>29352</v>
      </c>
      <c r="AA4482">
        <v>0.82452373899382592</v>
      </c>
      <c r="AB4482" t="str">
        <f>HYPERLINK("Melting_Curves/meltCurve_Q92844_TANK.pdf", "Melting_Curves/meltCurve_Q92844_TANK.pdf")</f>
        <v>Melting_Curves/meltCurve_Q92844_TANK.pdf</v>
      </c>
    </row>
    <row r="4483" spans="1:28" x14ac:dyDescent="0.25">
      <c r="A4483" t="s">
        <v>4487</v>
      </c>
      <c r="B4483">
        <v>0.99352677808782597</v>
      </c>
      <c r="C4483">
        <v>0.97245825362574501</v>
      </c>
      <c r="D4483">
        <v>0.64711870283027895</v>
      </c>
      <c r="E4483">
        <v>0.28160776525952602</v>
      </c>
      <c r="F4483">
        <v>0.21759718053028501</v>
      </c>
      <c r="G4483">
        <v>0.12754371589226501</v>
      </c>
      <c r="H4483">
        <v>8.9762360582790704E-2</v>
      </c>
      <c r="I4483">
        <v>5.6226806916550597E-2</v>
      </c>
      <c r="J4483">
        <v>3.69177066435393E-2</v>
      </c>
      <c r="K4483">
        <v>3.58696718894592E-2</v>
      </c>
      <c r="L4483">
        <v>981.91290950309894</v>
      </c>
      <c r="M4483">
        <v>20.691663826697699</v>
      </c>
      <c r="N4483">
        <v>47.777916168431297</v>
      </c>
      <c r="O4483">
        <v>47.0179345388933</v>
      </c>
      <c r="P4483">
        <v>-0.102833606793007</v>
      </c>
      <c r="Q4483">
        <v>6.5345790817604596E-2</v>
      </c>
      <c r="R4483">
        <v>0.99021191386524698</v>
      </c>
      <c r="S4483" t="s">
        <v>10768</v>
      </c>
      <c r="T4483" t="s">
        <v>12568</v>
      </c>
      <c r="U4483" t="s">
        <v>12568</v>
      </c>
      <c r="V4483" t="s">
        <v>12568</v>
      </c>
      <c r="W4483" t="s">
        <v>17004</v>
      </c>
      <c r="X4483">
        <v>4</v>
      </c>
      <c r="Y4483" t="s">
        <v>23114</v>
      </c>
      <c r="Z4483" t="s">
        <v>29353</v>
      </c>
      <c r="AA4483">
        <v>0.3101000243673751</v>
      </c>
      <c r="AB4483" t="str">
        <f>HYPERLINK("Melting_Curves/meltCurve_Q92845_2_KIFAP3.pdf", "Melting_Curves/meltCurve_Q92845_2_KIFAP3.pdf")</f>
        <v>Melting_Curves/meltCurve_Q92845_2_KIFAP3.pdf</v>
      </c>
    </row>
    <row r="4484" spans="1:28" x14ac:dyDescent="0.25">
      <c r="A4484" t="s">
        <v>4488</v>
      </c>
      <c r="B4484">
        <v>0.99352677808782597</v>
      </c>
      <c r="C4484">
        <v>0.77277349124313099</v>
      </c>
      <c r="D4484">
        <v>0.82051283770569605</v>
      </c>
      <c r="E4484">
        <v>0.51536667343838305</v>
      </c>
      <c r="F4484">
        <v>0.42025211519434502</v>
      </c>
      <c r="G4484">
        <v>0.32734044680636698</v>
      </c>
      <c r="H4484">
        <v>0.19931908363492301</v>
      </c>
      <c r="I4484">
        <v>0.13763682865881599</v>
      </c>
      <c r="J4484">
        <v>0.183290644122622</v>
      </c>
      <c r="K4484">
        <v>0.14439573563813399</v>
      </c>
      <c r="L4484">
        <v>528.810521370272</v>
      </c>
      <c r="M4484">
        <v>10.5597280447163</v>
      </c>
      <c r="N4484">
        <v>51.1149869366225</v>
      </c>
      <c r="O4484">
        <v>48.382158787174902</v>
      </c>
      <c r="P4484">
        <v>-4.9322852543433403E-2</v>
      </c>
      <c r="Q4484">
        <v>9.6414485928187299E-2</v>
      </c>
      <c r="R4484">
        <v>0.97414401927356098</v>
      </c>
      <c r="S4484" t="s">
        <v>10769</v>
      </c>
      <c r="T4484" t="s">
        <v>12568</v>
      </c>
      <c r="U4484" t="s">
        <v>12568</v>
      </c>
      <c r="V4484" t="s">
        <v>12568</v>
      </c>
      <c r="W4484" t="s">
        <v>17005</v>
      </c>
      <c r="X4484">
        <v>4</v>
      </c>
      <c r="Y4484" t="s">
        <v>23115</v>
      </c>
      <c r="Z4484" t="s">
        <v>29354</v>
      </c>
      <c r="AA4484">
        <v>0.43760070435794368</v>
      </c>
      <c r="AB4484" t="str">
        <f>HYPERLINK("Melting_Curves/meltCurve_Q92851_4_CASP10.pdf", "Melting_Curves/meltCurve_Q92851_4_CASP10.pdf")</f>
        <v>Melting_Curves/meltCurve_Q92851_4_CASP10.pdf</v>
      </c>
    </row>
    <row r="4485" spans="1:28" x14ac:dyDescent="0.25">
      <c r="A4485" t="s">
        <v>4489</v>
      </c>
      <c r="B4485">
        <v>0.99352677808782597</v>
      </c>
      <c r="C4485">
        <v>0.93989672749342201</v>
      </c>
      <c r="D4485">
        <v>0.67507149728560001</v>
      </c>
      <c r="E4485">
        <v>0.56931980277702599</v>
      </c>
      <c r="F4485">
        <v>0.46602560071718702</v>
      </c>
      <c r="G4485">
        <v>0.32278432685621</v>
      </c>
      <c r="H4485">
        <v>0.21489270370600999</v>
      </c>
      <c r="I4485">
        <v>0.17658498273970899</v>
      </c>
      <c r="J4485">
        <v>0.15523244690020099</v>
      </c>
      <c r="K4485">
        <v>0.10698127552928501</v>
      </c>
      <c r="L4485">
        <v>512.82654621078495</v>
      </c>
      <c r="M4485">
        <v>10.083271224348101</v>
      </c>
      <c r="N4485">
        <v>51.651615978049797</v>
      </c>
      <c r="O4485">
        <v>48.980268473837299</v>
      </c>
      <c r="P4485">
        <v>-4.7800158336953398E-2</v>
      </c>
      <c r="Q4485">
        <v>7.1665595108324001E-2</v>
      </c>
      <c r="R4485">
        <v>0.98369021895383801</v>
      </c>
      <c r="S4485" t="s">
        <v>10770</v>
      </c>
      <c r="T4485" t="s">
        <v>12568</v>
      </c>
      <c r="U4485" t="s">
        <v>12568</v>
      </c>
      <c r="V4485" t="s">
        <v>12568</v>
      </c>
      <c r="W4485" t="s">
        <v>17006</v>
      </c>
      <c r="X4485">
        <v>60</v>
      </c>
      <c r="Y4485" t="s">
        <v>23116</v>
      </c>
      <c r="Z4485" t="s">
        <v>29355</v>
      </c>
      <c r="AA4485">
        <v>0.44637123172738802</v>
      </c>
      <c r="AB4485" t="str">
        <f>HYPERLINK("Melting_Curves/meltCurve_Q92878_RAD50.pdf", "Melting_Curves/meltCurve_Q92878_RAD50.pdf")</f>
        <v>Melting_Curves/meltCurve_Q92878_RAD50.pdf</v>
      </c>
    </row>
    <row r="4486" spans="1:28" x14ac:dyDescent="0.25">
      <c r="A4486" t="s">
        <v>4490</v>
      </c>
      <c r="B4486">
        <v>0.99352677808782597</v>
      </c>
      <c r="C4486">
        <v>0.99438755503583098</v>
      </c>
      <c r="D4486">
        <v>0.98797374506357205</v>
      </c>
      <c r="E4486">
        <v>0.38629790057611002</v>
      </c>
      <c r="F4486">
        <v>0.32007534007045702</v>
      </c>
      <c r="G4486">
        <v>0.173830522235392</v>
      </c>
      <c r="H4486">
        <v>0.118172484929036</v>
      </c>
      <c r="I4486">
        <v>0.111819428015192</v>
      </c>
      <c r="J4486">
        <v>9.8430007278275694E-2</v>
      </c>
      <c r="K4486">
        <v>7.9325227597427495E-2</v>
      </c>
      <c r="L4486">
        <v>1547.0369687985899</v>
      </c>
      <c r="M4486">
        <v>31.432378554655301</v>
      </c>
      <c r="N4486">
        <v>49.6763218407933</v>
      </c>
      <c r="O4486">
        <v>49.0200117425209</v>
      </c>
      <c r="P4486">
        <v>-0.14012454034868499</v>
      </c>
      <c r="Q4486">
        <v>0.12588614054452199</v>
      </c>
      <c r="R4486">
        <v>0.98112975797159896</v>
      </c>
      <c r="S4486" t="s">
        <v>10771</v>
      </c>
      <c r="T4486" t="s">
        <v>12568</v>
      </c>
      <c r="U4486" t="s">
        <v>12568</v>
      </c>
      <c r="V4486" t="s">
        <v>12568</v>
      </c>
      <c r="W4486" t="s">
        <v>17007</v>
      </c>
      <c r="X4486">
        <v>10</v>
      </c>
      <c r="Y4486" t="s">
        <v>23117</v>
      </c>
      <c r="Z4486" t="s">
        <v>29356</v>
      </c>
      <c r="AA4486">
        <v>0.39932620422314768</v>
      </c>
      <c r="AB4486" t="str">
        <f>HYPERLINK("Melting_Curves/meltCurve_Q92879_2_CELF1.pdf", "Melting_Curves/meltCurve_Q92879_2_CELF1.pdf")</f>
        <v>Melting_Curves/meltCurve_Q92879_2_CELF1.pdf</v>
      </c>
    </row>
    <row r="4487" spans="1:28" x14ac:dyDescent="0.25">
      <c r="A4487" t="s">
        <v>4491</v>
      </c>
      <c r="B4487">
        <v>0.99352677808782597</v>
      </c>
      <c r="C4487">
        <v>1.05701530378426</v>
      </c>
      <c r="D4487">
        <v>1.0371119278296299</v>
      </c>
      <c r="E4487">
        <v>0.97062424911257905</v>
      </c>
      <c r="F4487">
        <v>0.92416454986709295</v>
      </c>
      <c r="G4487">
        <v>0.51703429574792104</v>
      </c>
      <c r="H4487">
        <v>0.37938910901284101</v>
      </c>
      <c r="I4487">
        <v>0.41180579126712302</v>
      </c>
      <c r="J4487">
        <v>0.32557459494589902</v>
      </c>
      <c r="K4487">
        <v>0.24990434071154299</v>
      </c>
      <c r="L4487">
        <v>2011.60992143013</v>
      </c>
      <c r="M4487">
        <v>36.1301436527718</v>
      </c>
      <c r="N4487">
        <v>57.393192514813499</v>
      </c>
      <c r="O4487">
        <v>55.507036310713701</v>
      </c>
      <c r="P4487">
        <v>-0.10898112912777699</v>
      </c>
      <c r="Q4487">
        <v>0.33028766833256101</v>
      </c>
      <c r="R4487">
        <v>0.98189946070730305</v>
      </c>
      <c r="S4487" t="s">
        <v>10772</v>
      </c>
      <c r="T4487" t="s">
        <v>12568</v>
      </c>
      <c r="U4487" t="s">
        <v>12568</v>
      </c>
      <c r="V4487" t="s">
        <v>12568</v>
      </c>
      <c r="W4487" t="s">
        <v>17008</v>
      </c>
      <c r="X4487">
        <v>9</v>
      </c>
      <c r="Y4487" t="s">
        <v>23118</v>
      </c>
      <c r="Z4487" t="s">
        <v>29357</v>
      </c>
      <c r="AA4487">
        <v>0.68338235260343794</v>
      </c>
      <c r="AB4487" t="str">
        <f>HYPERLINK("Melting_Curves/meltCurve_Q92882_OSTF1.pdf", "Melting_Curves/meltCurve_Q92882_OSTF1.pdf")</f>
        <v>Melting_Curves/meltCurve_Q92882_OSTF1.pdf</v>
      </c>
    </row>
    <row r="4488" spans="1:28" x14ac:dyDescent="0.25">
      <c r="A4488" t="s">
        <v>4492</v>
      </c>
      <c r="B4488">
        <v>0.99352677808782597</v>
      </c>
      <c r="C4488">
        <v>1.00744545966606</v>
      </c>
      <c r="D4488">
        <v>0.89506322989229603</v>
      </c>
      <c r="E4488">
        <v>0.35417921185117801</v>
      </c>
      <c r="F4488">
        <v>0.27749144141027299</v>
      </c>
      <c r="G4488">
        <v>0.160170515473396</v>
      </c>
      <c r="H4488">
        <v>0.112422859770843</v>
      </c>
      <c r="I4488">
        <v>0.10638965848894601</v>
      </c>
      <c r="J4488">
        <v>8.9866416889315001E-2</v>
      </c>
      <c r="K4488">
        <v>7.4370382288750897E-2</v>
      </c>
      <c r="L4488">
        <v>1376.77560128967</v>
      </c>
      <c r="M4488">
        <v>28.229277483840299</v>
      </c>
      <c r="N4488">
        <v>49.217746809684002</v>
      </c>
      <c r="O4488">
        <v>48.528392069871003</v>
      </c>
      <c r="P4488">
        <v>-0.12899772202846199</v>
      </c>
      <c r="Q4488">
        <v>0.112977191436541</v>
      </c>
      <c r="R4488">
        <v>0.98990093007561897</v>
      </c>
      <c r="S4488" t="s">
        <v>10773</v>
      </c>
      <c r="T4488" t="s">
        <v>12568</v>
      </c>
      <c r="U4488" t="s">
        <v>12568</v>
      </c>
      <c r="V4488" t="s">
        <v>12568</v>
      </c>
      <c r="W4488" t="s">
        <v>17009</v>
      </c>
      <c r="X4488">
        <v>9</v>
      </c>
      <c r="Y4488" t="s">
        <v>23119</v>
      </c>
      <c r="Z4488" t="s">
        <v>29358</v>
      </c>
      <c r="AA4488">
        <v>0.37842372908348942</v>
      </c>
      <c r="AB4488" t="str">
        <f>HYPERLINK("Melting_Curves/meltCurve_Q92889_ERCC4.pdf", "Melting_Curves/meltCurve_Q92889_ERCC4.pdf")</f>
        <v>Melting_Curves/meltCurve_Q92889_ERCC4.pdf</v>
      </c>
    </row>
    <row r="4489" spans="1:28" x14ac:dyDescent="0.25">
      <c r="A4489" t="s">
        <v>4493</v>
      </c>
      <c r="B4489">
        <v>0.99352677808782597</v>
      </c>
      <c r="C4489">
        <v>1.0672386697307601</v>
      </c>
      <c r="D4489">
        <v>0.96097104468394901</v>
      </c>
      <c r="E4489">
        <v>0.86629673614954295</v>
      </c>
      <c r="F4489">
        <v>0.72088348003084302</v>
      </c>
      <c r="G4489">
        <v>0.609074146644488</v>
      </c>
      <c r="H4489">
        <v>0.46365257607105598</v>
      </c>
      <c r="I4489">
        <v>0.27120366902339399</v>
      </c>
      <c r="J4489">
        <v>0.15863852446166499</v>
      </c>
      <c r="K4489">
        <v>0.110544869420207</v>
      </c>
      <c r="L4489">
        <v>675.46008935293196</v>
      </c>
      <c r="M4489">
        <v>11.4940107577221</v>
      </c>
      <c r="N4489">
        <v>58.766270405445802</v>
      </c>
      <c r="O4489">
        <v>57.071855112145499</v>
      </c>
      <c r="P4489">
        <v>-5.0363196425498503E-2</v>
      </c>
      <c r="Q4489">
        <v>0</v>
      </c>
      <c r="R4489">
        <v>0.98498869206003004</v>
      </c>
      <c r="S4489" t="s">
        <v>10774</v>
      </c>
      <c r="T4489" t="s">
        <v>12568</v>
      </c>
      <c r="U4489" t="s">
        <v>12568</v>
      </c>
      <c r="V4489" t="s">
        <v>12568</v>
      </c>
      <c r="W4489" t="s">
        <v>17010</v>
      </c>
      <c r="X4489">
        <v>14</v>
      </c>
      <c r="Y4489" t="s">
        <v>23120</v>
      </c>
      <c r="Z4489" t="s">
        <v>29359</v>
      </c>
      <c r="AA4489">
        <v>0.63386452965293549</v>
      </c>
      <c r="AB4489" t="str">
        <f>HYPERLINK("Melting_Curves/meltCurve_Q92890_UFD1L.pdf", "Melting_Curves/meltCurve_Q92890_UFD1L.pdf")</f>
        <v>Melting_Curves/meltCurve_Q92890_UFD1L.pdf</v>
      </c>
    </row>
    <row r="4490" spans="1:28" x14ac:dyDescent="0.25">
      <c r="A4490" t="s">
        <v>4494</v>
      </c>
      <c r="B4490">
        <v>0.99352677808782597</v>
      </c>
      <c r="C4490">
        <v>0.99526569351138705</v>
      </c>
      <c r="D4490">
        <v>0.955264693776818</v>
      </c>
      <c r="E4490">
        <v>0.74582970822665595</v>
      </c>
      <c r="F4490">
        <v>0.63082656864616105</v>
      </c>
      <c r="G4490">
        <v>0.34906529028722799</v>
      </c>
      <c r="H4490">
        <v>0.19004314697219099</v>
      </c>
      <c r="I4490">
        <v>0.14713873835229299</v>
      </c>
      <c r="J4490">
        <v>0.12205386652948</v>
      </c>
      <c r="K4490">
        <v>9.0991004393900995E-2</v>
      </c>
      <c r="L4490">
        <v>820.77388813873495</v>
      </c>
      <c r="M4490">
        <v>15.2045030119403</v>
      </c>
      <c r="N4490">
        <v>54.486639045163699</v>
      </c>
      <c r="O4490">
        <v>53.074294956562603</v>
      </c>
      <c r="P4490">
        <v>-6.6924256976442401E-2</v>
      </c>
      <c r="Q4490">
        <v>6.5640208879672604E-2</v>
      </c>
      <c r="R4490">
        <v>0.99737617063263195</v>
      </c>
      <c r="S4490" t="s">
        <v>10775</v>
      </c>
      <c r="T4490" t="s">
        <v>12568</v>
      </c>
      <c r="U4490" t="s">
        <v>12568</v>
      </c>
      <c r="V4490" t="s">
        <v>12568</v>
      </c>
      <c r="W4490" t="s">
        <v>17011</v>
      </c>
      <c r="X4490">
        <v>31</v>
      </c>
      <c r="Y4490" t="s">
        <v>23121</v>
      </c>
      <c r="Z4490" t="s">
        <v>29360</v>
      </c>
      <c r="AA4490">
        <v>0.51998966577719441</v>
      </c>
      <c r="AB4490" t="str">
        <f>HYPERLINK("Melting_Curves/meltCurve_Q92900_UPF1.pdf", "Melting_Curves/meltCurve_Q92900_UPF1.pdf")</f>
        <v>Melting_Curves/meltCurve_Q92900_UPF1.pdf</v>
      </c>
    </row>
    <row r="4491" spans="1:28" x14ac:dyDescent="0.25">
      <c r="A4491" t="s">
        <v>4495</v>
      </c>
      <c r="B4491">
        <v>0.99352677808782597</v>
      </c>
      <c r="C4491">
        <v>1.1130605973477801</v>
      </c>
      <c r="D4491">
        <v>1.0063739850989899</v>
      </c>
      <c r="E4491">
        <v>0.58484155391427906</v>
      </c>
      <c r="F4491">
        <v>0.50632863412768503</v>
      </c>
      <c r="G4491">
        <v>0.27642224453861802</v>
      </c>
      <c r="H4491">
        <v>0.15857565252282299</v>
      </c>
      <c r="I4491">
        <v>0.13228331181929701</v>
      </c>
      <c r="J4491">
        <v>0.125085254123425</v>
      </c>
      <c r="K4491">
        <v>8.0389519505113902E-2</v>
      </c>
      <c r="L4491">
        <v>954.61406346832803</v>
      </c>
      <c r="M4491">
        <v>18.434256854519202</v>
      </c>
      <c r="N4491">
        <v>52.464395673813897</v>
      </c>
      <c r="O4491">
        <v>51.186929063280601</v>
      </c>
      <c r="P4491">
        <v>-8.0475237097256097E-2</v>
      </c>
      <c r="Q4491">
        <v>0.106208558468361</v>
      </c>
      <c r="R4491">
        <v>0.97246827748180797</v>
      </c>
      <c r="S4491" t="s">
        <v>10776</v>
      </c>
      <c r="T4491" t="s">
        <v>12568</v>
      </c>
      <c r="U4491" t="s">
        <v>12568</v>
      </c>
      <c r="V4491" t="s">
        <v>12568</v>
      </c>
      <c r="W4491" t="s">
        <v>17012</v>
      </c>
      <c r="X4491">
        <v>1</v>
      </c>
      <c r="Y4491" t="s">
        <v>23122</v>
      </c>
      <c r="Z4491" t="s">
        <v>29361</v>
      </c>
      <c r="AA4491">
        <v>0.47162460949850332</v>
      </c>
      <c r="AB4491" t="str">
        <f>HYPERLINK("Melting_Curves/meltCurve_Q92902_2_HPS1.pdf", "Melting_Curves/meltCurve_Q92902_2_HPS1.pdf")</f>
        <v>Melting_Curves/meltCurve_Q92902_2_HPS1.pdf</v>
      </c>
    </row>
    <row r="4492" spans="1:28" x14ac:dyDescent="0.25">
      <c r="A4492" t="s">
        <v>4496</v>
      </c>
      <c r="B4492">
        <v>0.99352677808782597</v>
      </c>
      <c r="C4492">
        <v>1.00059794871865</v>
      </c>
      <c r="D4492">
        <v>0.86460846650315504</v>
      </c>
      <c r="E4492">
        <v>1.0135419356324999</v>
      </c>
      <c r="F4492">
        <v>0.76735904783930997</v>
      </c>
      <c r="G4492">
        <v>0.51651498586511801</v>
      </c>
      <c r="H4492">
        <v>0.15579396008467999</v>
      </c>
      <c r="I4492">
        <v>9.84248020405038E-2</v>
      </c>
      <c r="J4492">
        <v>6.8298267704872004E-2</v>
      </c>
      <c r="K4492">
        <v>5.4283473321126902E-2</v>
      </c>
      <c r="L4492">
        <v>1230.7240580140201</v>
      </c>
      <c r="M4492">
        <v>21.755294099172801</v>
      </c>
      <c r="N4492">
        <v>56.725087277889102</v>
      </c>
      <c r="O4492">
        <v>56.099763618847497</v>
      </c>
      <c r="P4492">
        <v>-9.41739671563388E-2</v>
      </c>
      <c r="Q4492">
        <v>2.8647648823242201E-2</v>
      </c>
      <c r="R4492">
        <v>0.98309773004565404</v>
      </c>
      <c r="S4492" t="s">
        <v>10777</v>
      </c>
      <c r="T4492" t="s">
        <v>12568</v>
      </c>
      <c r="U4492" t="s">
        <v>12568</v>
      </c>
      <c r="V4492" t="s">
        <v>12568</v>
      </c>
      <c r="W4492" t="s">
        <v>17013</v>
      </c>
      <c r="X4492">
        <v>8</v>
      </c>
      <c r="Y4492" t="s">
        <v>23123</v>
      </c>
      <c r="Z4492" t="s">
        <v>29362</v>
      </c>
      <c r="AA4492">
        <v>0.57608909618099491</v>
      </c>
      <c r="AB4492" t="str">
        <f>HYPERLINK("Melting_Curves/meltCurve_Q92905_COPS5.pdf", "Melting_Curves/meltCurve_Q92905_COPS5.pdf")</f>
        <v>Melting_Curves/meltCurve_Q92905_COPS5.pdf</v>
      </c>
    </row>
    <row r="4493" spans="1:28" x14ac:dyDescent="0.25">
      <c r="A4493" t="s">
        <v>4497</v>
      </c>
      <c r="B4493">
        <v>0.99352677808782597</v>
      </c>
      <c r="C4493">
        <v>0.93208373610474604</v>
      </c>
      <c r="D4493">
        <v>0.95206947004843301</v>
      </c>
      <c r="E4493">
        <v>0.51870133729336698</v>
      </c>
      <c r="F4493">
        <v>0.445497572818989</v>
      </c>
      <c r="G4493">
        <v>0.30279474220984298</v>
      </c>
      <c r="H4493">
        <v>0.242394736687322</v>
      </c>
      <c r="I4493">
        <v>0.24684984415657499</v>
      </c>
      <c r="J4493">
        <v>0.2337786000574</v>
      </c>
      <c r="K4493">
        <v>0.20488056228815199</v>
      </c>
      <c r="L4493">
        <v>1045.49732521069</v>
      </c>
      <c r="M4493">
        <v>21.048307317097699</v>
      </c>
      <c r="N4493">
        <v>51.2000361552276</v>
      </c>
      <c r="O4493">
        <v>49.229501756836697</v>
      </c>
      <c r="P4493">
        <v>-8.1954654441027494E-2</v>
      </c>
      <c r="Q4493">
        <v>0.23329157372345399</v>
      </c>
      <c r="R4493">
        <v>0.98330098174009894</v>
      </c>
      <c r="S4493" t="s">
        <v>10778</v>
      </c>
      <c r="T4493" t="s">
        <v>12568</v>
      </c>
      <c r="U4493" t="s">
        <v>12568</v>
      </c>
      <c r="V4493" t="s">
        <v>12568</v>
      </c>
      <c r="W4493" t="s">
        <v>17014</v>
      </c>
      <c r="X4493">
        <v>19</v>
      </c>
      <c r="Y4493" t="s">
        <v>23124</v>
      </c>
      <c r="Z4493" t="s">
        <v>29363</v>
      </c>
      <c r="AA4493">
        <v>0.49011903770626919</v>
      </c>
      <c r="AB4493" t="str">
        <f>HYPERLINK("Melting_Curves/meltCurve_Q92917_GPKOW.pdf", "Melting_Curves/meltCurve_Q92917_GPKOW.pdf")</f>
        <v>Melting_Curves/meltCurve_Q92917_GPKOW.pdf</v>
      </c>
    </row>
    <row r="4494" spans="1:28" x14ac:dyDescent="0.25">
      <c r="A4494" t="s">
        <v>4498</v>
      </c>
      <c r="B4494">
        <v>0.99352677808782597</v>
      </c>
      <c r="C4494">
        <v>0.97373056258254498</v>
      </c>
      <c r="D4494">
        <v>0.85672675801187603</v>
      </c>
      <c r="E4494">
        <v>0.341435027864052</v>
      </c>
      <c r="F4494">
        <v>0.270898597460006</v>
      </c>
      <c r="G4494">
        <v>0.15853509878928301</v>
      </c>
      <c r="H4494">
        <v>9.2481168590163407E-2</v>
      </c>
      <c r="I4494">
        <v>9.0583848654133201E-2</v>
      </c>
      <c r="J4494">
        <v>7.9821062437772095E-2</v>
      </c>
      <c r="K4494">
        <v>6.2120658670747897E-2</v>
      </c>
      <c r="L4494">
        <v>1192.1451298992699</v>
      </c>
      <c r="M4494">
        <v>24.5068001443837</v>
      </c>
      <c r="N4494">
        <v>49.067941075916302</v>
      </c>
      <c r="O4494">
        <v>48.325032298365599</v>
      </c>
      <c r="P4494">
        <v>-0.114724464654307</v>
      </c>
      <c r="Q4494">
        <v>9.5110861341989303E-2</v>
      </c>
      <c r="R4494">
        <v>0.99067642507358</v>
      </c>
      <c r="S4494" t="s">
        <v>10779</v>
      </c>
      <c r="T4494" t="s">
        <v>12568</v>
      </c>
      <c r="U4494" t="s">
        <v>12568</v>
      </c>
      <c r="V4494" t="s">
        <v>12568</v>
      </c>
      <c r="W4494" t="s">
        <v>17015</v>
      </c>
      <c r="X4494">
        <v>19</v>
      </c>
      <c r="Y4494" t="s">
        <v>23125</v>
      </c>
      <c r="Z4494" t="s">
        <v>29364</v>
      </c>
      <c r="AA4494">
        <v>0.36422687297773471</v>
      </c>
      <c r="AB4494" t="str">
        <f>HYPERLINK("Melting_Curves/meltCurve_Q92922_SMARCC1.pdf", "Melting_Curves/meltCurve_Q92922_SMARCC1.pdf")</f>
        <v>Melting_Curves/meltCurve_Q92922_SMARCC1.pdf</v>
      </c>
    </row>
    <row r="4495" spans="1:28" x14ac:dyDescent="0.25">
      <c r="A4495" t="s">
        <v>4499</v>
      </c>
      <c r="B4495">
        <v>0.99352677808782597</v>
      </c>
      <c r="C4495">
        <v>0.90900438810496298</v>
      </c>
      <c r="D4495">
        <v>0.92976691299497305</v>
      </c>
      <c r="E4495">
        <v>0.97896817053644702</v>
      </c>
      <c r="F4495">
        <v>1.08588195079514</v>
      </c>
      <c r="G4495">
        <v>0.78628156652792103</v>
      </c>
      <c r="H4495">
        <v>0.41094288761167302</v>
      </c>
      <c r="I4495">
        <v>0.25538516823438601</v>
      </c>
      <c r="J4495">
        <v>0.12748988076746201</v>
      </c>
      <c r="K4495">
        <v>8.7170187242403302E-2</v>
      </c>
      <c r="L4495">
        <v>1643.0583818294299</v>
      </c>
      <c r="M4495">
        <v>27.478507386478899</v>
      </c>
      <c r="N4495">
        <v>60.220560199694503</v>
      </c>
      <c r="O4495">
        <v>59.4803161838283</v>
      </c>
      <c r="P4495">
        <v>-0.10528822018454501</v>
      </c>
      <c r="Q4495">
        <v>8.8375700706817897E-2</v>
      </c>
      <c r="R4495">
        <v>0.97925873091128002</v>
      </c>
      <c r="S4495" t="s">
        <v>10780</v>
      </c>
      <c r="T4495" t="s">
        <v>12568</v>
      </c>
      <c r="U4495" t="s">
        <v>12568</v>
      </c>
      <c r="V4495" t="s">
        <v>12568</v>
      </c>
      <c r="W4495" t="s">
        <v>17016</v>
      </c>
      <c r="X4495">
        <v>5</v>
      </c>
      <c r="Y4495" t="s">
        <v>23126</v>
      </c>
      <c r="Z4495" t="s">
        <v>29365</v>
      </c>
      <c r="AA4495">
        <v>0.6961465443964997</v>
      </c>
      <c r="AB4495" t="str">
        <f>HYPERLINK("Melting_Curves/meltCurve_Q92930_RAB8B.pdf", "Melting_Curves/meltCurve_Q92930_RAB8B.pdf")</f>
        <v>Melting_Curves/meltCurve_Q92930_RAB8B.pdf</v>
      </c>
    </row>
    <row r="4496" spans="1:28" x14ac:dyDescent="0.25">
      <c r="A4496" t="s">
        <v>4500</v>
      </c>
      <c r="B4496">
        <v>0.99352677808782597</v>
      </c>
      <c r="C4496">
        <v>0.97033100428451502</v>
      </c>
      <c r="D4496">
        <v>0.98932558023254202</v>
      </c>
      <c r="E4496">
        <v>0.98255293754203898</v>
      </c>
      <c r="F4496">
        <v>0.88152873943866095</v>
      </c>
      <c r="G4496">
        <v>0.80971296929522996</v>
      </c>
      <c r="H4496">
        <v>0.77588097620834096</v>
      </c>
      <c r="I4496">
        <v>0.899119448925915</v>
      </c>
      <c r="J4496">
        <v>0.92019422015668895</v>
      </c>
      <c r="K4496">
        <v>0.97200605463044698</v>
      </c>
      <c r="L4496">
        <v>4312.4934159177901</v>
      </c>
      <c r="M4496">
        <v>84.430052379772206</v>
      </c>
      <c r="O4496">
        <v>51.0490923457779</v>
      </c>
      <c r="P4496">
        <v>-5.14890949355317E-2</v>
      </c>
      <c r="Q4496">
        <v>0.875472292243613</v>
      </c>
      <c r="R4496">
        <v>0.49898865802622799</v>
      </c>
      <c r="S4496" t="s">
        <v>10781</v>
      </c>
      <c r="T4496" t="s">
        <v>12568</v>
      </c>
      <c r="U4496" t="s">
        <v>12568</v>
      </c>
      <c r="V4496" t="s">
        <v>12568</v>
      </c>
      <c r="W4496" t="s">
        <v>17017</v>
      </c>
      <c r="X4496">
        <v>1</v>
      </c>
      <c r="Y4496" t="s">
        <v>23127</v>
      </c>
      <c r="Z4496" t="s">
        <v>29366</v>
      </c>
      <c r="AA4496">
        <v>0.9215530449790198</v>
      </c>
      <c r="AB4496" t="str">
        <f>HYPERLINK("Melting_Curves/meltCurve_Q92934_BAD.pdf", "Melting_Curves/meltCurve_Q92934_BAD.pdf")</f>
        <v>Melting_Curves/meltCurve_Q92934_BAD.pdf</v>
      </c>
    </row>
    <row r="4497" spans="1:28" x14ac:dyDescent="0.25">
      <c r="A4497" t="s">
        <v>4501</v>
      </c>
      <c r="B4497">
        <v>0.99352677808782597</v>
      </c>
      <c r="C4497">
        <v>0.96762678539268798</v>
      </c>
      <c r="D4497">
        <v>0.99372414544136101</v>
      </c>
      <c r="E4497">
        <v>0.98134970980446901</v>
      </c>
      <c r="F4497">
        <v>0.89638739236110199</v>
      </c>
      <c r="G4497">
        <v>0.77573349166718897</v>
      </c>
      <c r="H4497">
        <v>0.823302561209868</v>
      </c>
      <c r="I4497">
        <v>0.88038354697558696</v>
      </c>
      <c r="J4497">
        <v>1.0022257536733601</v>
      </c>
      <c r="K4497">
        <v>0.78827380384816004</v>
      </c>
      <c r="L4497">
        <v>3105.57093162722</v>
      </c>
      <c r="M4497">
        <v>59.679151916759402</v>
      </c>
      <c r="O4497">
        <v>51.979453743011099</v>
      </c>
      <c r="P4497">
        <v>-4.1748552590679999E-2</v>
      </c>
      <c r="Q4497">
        <v>0.85455115204223697</v>
      </c>
      <c r="R4497">
        <v>0.51073947107837503</v>
      </c>
      <c r="S4497" t="s">
        <v>10782</v>
      </c>
      <c r="T4497" t="s">
        <v>12568</v>
      </c>
      <c r="U4497" t="s">
        <v>12568</v>
      </c>
      <c r="V4497" t="s">
        <v>12568</v>
      </c>
      <c r="W4497" t="s">
        <v>17018</v>
      </c>
      <c r="X4497">
        <v>41</v>
      </c>
      <c r="Y4497" t="s">
        <v>23128</v>
      </c>
      <c r="Z4497" t="s">
        <v>29367</v>
      </c>
      <c r="AA4497">
        <v>0.91314784462338683</v>
      </c>
      <c r="AB4497" t="str">
        <f>HYPERLINK("Melting_Curves/meltCurve_Q92945_KHSRP.pdf", "Melting_Curves/meltCurve_Q92945_KHSRP.pdf")</f>
        <v>Melting_Curves/meltCurve_Q92945_KHSRP.pdf</v>
      </c>
    </row>
    <row r="4498" spans="1:28" x14ac:dyDescent="0.25">
      <c r="A4498" t="s">
        <v>4502</v>
      </c>
      <c r="B4498">
        <v>0.99352677808782597</v>
      </c>
      <c r="C4498">
        <v>0.81679891430645302</v>
      </c>
      <c r="D4498">
        <v>0.67247673245491002</v>
      </c>
      <c r="E4498">
        <v>0.17425532946401401</v>
      </c>
      <c r="F4498">
        <v>0.134467236132714</v>
      </c>
      <c r="G4498">
        <v>7.9254045883007704E-2</v>
      </c>
      <c r="H4498">
        <v>5.3774771133393399E-2</v>
      </c>
      <c r="I4498">
        <v>4.5479711009186602E-2</v>
      </c>
      <c r="J4498">
        <v>6.0263496065360397E-2</v>
      </c>
      <c r="K4498">
        <v>4.90073607969745E-2</v>
      </c>
      <c r="L4498">
        <v>1048.10108495192</v>
      </c>
      <c r="M4498">
        <v>22.4107229554856</v>
      </c>
      <c r="N4498">
        <v>46.990080802898902</v>
      </c>
      <c r="O4498">
        <v>46.400241569218799</v>
      </c>
      <c r="P4498">
        <v>-0.114677529088255</v>
      </c>
      <c r="Q4498">
        <v>5.0284287253821398E-2</v>
      </c>
      <c r="R4498">
        <v>0.989489833237988</v>
      </c>
      <c r="S4498" t="s">
        <v>10783</v>
      </c>
      <c r="T4498" t="s">
        <v>12568</v>
      </c>
      <c r="U4498" t="s">
        <v>12568</v>
      </c>
      <c r="V4498" t="s">
        <v>12568</v>
      </c>
      <c r="W4498" t="s">
        <v>17019</v>
      </c>
      <c r="X4498">
        <v>2</v>
      </c>
      <c r="Y4498" t="s">
        <v>23129</v>
      </c>
      <c r="Z4498" t="s">
        <v>29368</v>
      </c>
      <c r="AA4498">
        <v>0.27542028657907752</v>
      </c>
      <c r="AB4498" t="str">
        <f>HYPERLINK("Melting_Curves/meltCurve_Q92963_2_RIT1.pdf", "Melting_Curves/meltCurve_Q92963_2_RIT1.pdf")</f>
        <v>Melting_Curves/meltCurve_Q92963_2_RIT1.pdf</v>
      </c>
    </row>
    <row r="4499" spans="1:28" x14ac:dyDescent="0.25">
      <c r="A4499" t="s">
        <v>4503</v>
      </c>
      <c r="B4499">
        <v>0.99352677808782597</v>
      </c>
      <c r="C4499">
        <v>1.0346779163922699</v>
      </c>
      <c r="D4499">
        <v>0.80229548011497998</v>
      </c>
      <c r="E4499">
        <v>0.78463221122228499</v>
      </c>
      <c r="F4499">
        <v>0.64920828587419499</v>
      </c>
      <c r="G4499">
        <v>0.34993717472147101</v>
      </c>
      <c r="H4499">
        <v>0.14614041122904101</v>
      </c>
      <c r="I4499">
        <v>0.108498738905804</v>
      </c>
      <c r="J4499">
        <v>9.0240791627891906E-2</v>
      </c>
      <c r="K4499">
        <v>6.7341495723741804E-2</v>
      </c>
      <c r="L4499">
        <v>735.94568994795998</v>
      </c>
      <c r="M4499">
        <v>13.4987161936055</v>
      </c>
      <c r="N4499">
        <v>54.519680261404297</v>
      </c>
      <c r="O4499">
        <v>53.364884877367601</v>
      </c>
      <c r="P4499">
        <v>-6.3247471395806207E-2</v>
      </c>
      <c r="Q4499">
        <v>0</v>
      </c>
      <c r="R4499">
        <v>0.98232905005094795</v>
      </c>
      <c r="S4499" t="s">
        <v>10784</v>
      </c>
      <c r="T4499" t="s">
        <v>12568</v>
      </c>
      <c r="U4499" t="s">
        <v>12568</v>
      </c>
      <c r="V4499" t="s">
        <v>12568</v>
      </c>
      <c r="W4499" t="s">
        <v>17020</v>
      </c>
      <c r="X4499">
        <v>25</v>
      </c>
      <c r="Y4499" t="s">
        <v>23130</v>
      </c>
      <c r="Z4499" t="s">
        <v>29369</v>
      </c>
      <c r="AA4499">
        <v>0.50627890258101715</v>
      </c>
      <c r="AB4499" t="str">
        <f>HYPERLINK("Melting_Curves/meltCurve_Q92973_2_TNPO1.pdf", "Melting_Curves/meltCurve_Q92973_2_TNPO1.pdf")</f>
        <v>Melting_Curves/meltCurve_Q92973_2_TNPO1.pdf</v>
      </c>
    </row>
    <row r="4500" spans="1:28" x14ac:dyDescent="0.25">
      <c r="A4500" t="s">
        <v>4504</v>
      </c>
      <c r="B4500">
        <v>0.99352677808782597</v>
      </c>
      <c r="C4500">
        <v>0.86286565057409104</v>
      </c>
      <c r="D4500">
        <v>0.92075395155649797</v>
      </c>
      <c r="E4500">
        <v>0.73191712121293795</v>
      </c>
      <c r="F4500">
        <v>0.72812311802679397</v>
      </c>
      <c r="G4500">
        <v>0.63748913510736605</v>
      </c>
      <c r="H4500">
        <v>0.51563269362190101</v>
      </c>
      <c r="I4500">
        <v>0.55031315124063396</v>
      </c>
      <c r="J4500">
        <v>0.485861467725277</v>
      </c>
      <c r="K4500">
        <v>0.39735119932316099</v>
      </c>
      <c r="L4500">
        <v>354.36642307668802</v>
      </c>
      <c r="M4500">
        <v>6.1800896121004696</v>
      </c>
      <c r="N4500">
        <v>64.304779136144305</v>
      </c>
      <c r="O4500">
        <v>52.209306990067901</v>
      </c>
      <c r="P4500">
        <v>-2.2437931928897099E-2</v>
      </c>
      <c r="Q4500">
        <v>0.24398122521239299</v>
      </c>
      <c r="R4500">
        <v>0.95646579559521405</v>
      </c>
      <c r="S4500" t="s">
        <v>10785</v>
      </c>
      <c r="T4500" t="s">
        <v>12568</v>
      </c>
      <c r="U4500" t="s">
        <v>12568</v>
      </c>
      <c r="V4500" t="s">
        <v>12568</v>
      </c>
      <c r="W4500" t="s">
        <v>17021</v>
      </c>
      <c r="X4500">
        <v>8</v>
      </c>
      <c r="Y4500" t="s">
        <v>23131</v>
      </c>
      <c r="Z4500" t="s">
        <v>29370</v>
      </c>
      <c r="AA4500">
        <v>0.68137574122520483</v>
      </c>
      <c r="AB4500" t="str">
        <f>HYPERLINK("Melting_Curves/meltCurve_Q92974_3_ARHGEF2.pdf", "Melting_Curves/meltCurve_Q92974_3_ARHGEF2.pdf")</f>
        <v>Melting_Curves/meltCurve_Q92974_3_ARHGEF2.pdf</v>
      </c>
    </row>
    <row r="4501" spans="1:28" x14ac:dyDescent="0.25">
      <c r="A4501" t="s">
        <v>4505</v>
      </c>
      <c r="B4501">
        <v>0.99352677808782597</v>
      </c>
      <c r="C4501">
        <v>0.93015728532181796</v>
      </c>
      <c r="D4501">
        <v>0.906763443771193</v>
      </c>
      <c r="E4501">
        <v>0.397023848468462</v>
      </c>
      <c r="F4501">
        <v>0.32621246446802799</v>
      </c>
      <c r="G4501">
        <v>0.20631302977510599</v>
      </c>
      <c r="H4501">
        <v>0.128250515699809</v>
      </c>
      <c r="I4501">
        <v>0.11681777055048299</v>
      </c>
      <c r="J4501">
        <v>0.101566912302302</v>
      </c>
      <c r="K4501">
        <v>8.7667867947536199E-2</v>
      </c>
      <c r="L4501">
        <v>1069.84268726147</v>
      </c>
      <c r="M4501">
        <v>21.770563463275799</v>
      </c>
      <c r="N4501">
        <v>49.753476401041503</v>
      </c>
      <c r="O4501">
        <v>48.732713738349297</v>
      </c>
      <c r="P4501">
        <v>-9.8571134830669205E-2</v>
      </c>
      <c r="Q4501">
        <v>0.11742713139052199</v>
      </c>
      <c r="R4501">
        <v>0.98469563612700906</v>
      </c>
      <c r="S4501" t="s">
        <v>10786</v>
      </c>
      <c r="T4501" t="s">
        <v>12568</v>
      </c>
      <c r="U4501" t="s">
        <v>12568</v>
      </c>
      <c r="V4501" t="s">
        <v>12568</v>
      </c>
      <c r="W4501" t="s">
        <v>17022</v>
      </c>
      <c r="X4501">
        <v>6</v>
      </c>
      <c r="Y4501" t="s">
        <v>23132</v>
      </c>
      <c r="Z4501" t="s">
        <v>29371</v>
      </c>
      <c r="AA4501">
        <v>0.39676068128512881</v>
      </c>
      <c r="AB4501" t="str">
        <f>HYPERLINK("Melting_Curves/meltCurve_Q92979_EMG1.pdf", "Melting_Curves/meltCurve_Q92979_EMG1.pdf")</f>
        <v>Melting_Curves/meltCurve_Q92979_EMG1.pdf</v>
      </c>
    </row>
    <row r="4502" spans="1:28" x14ac:dyDescent="0.25">
      <c r="A4502" t="s">
        <v>4506</v>
      </c>
      <c r="B4502">
        <v>0.99352677808782597</v>
      </c>
      <c r="C4502">
        <v>0.84193929036994697</v>
      </c>
      <c r="D4502">
        <v>0.79166932278738</v>
      </c>
      <c r="E4502">
        <v>0.58279006238849895</v>
      </c>
      <c r="F4502">
        <v>0.47934326292655999</v>
      </c>
      <c r="G4502">
        <v>0.25290303290891503</v>
      </c>
      <c r="H4502">
        <v>0.105601324403422</v>
      </c>
      <c r="I4502">
        <v>8.7664283119576802E-2</v>
      </c>
      <c r="J4502">
        <v>7.2255331894684402E-2</v>
      </c>
      <c r="K4502">
        <v>4.9375482434678701E-2</v>
      </c>
      <c r="L4502">
        <v>576.15606966799896</v>
      </c>
      <c r="M4502">
        <v>11.173705694129501</v>
      </c>
      <c r="N4502">
        <v>51.563562310329203</v>
      </c>
      <c r="O4502">
        <v>49.994687399264699</v>
      </c>
      <c r="P4502">
        <v>-5.5892211936039098E-2</v>
      </c>
      <c r="Q4502">
        <v>0</v>
      </c>
      <c r="R4502">
        <v>0.99123376498833504</v>
      </c>
      <c r="S4502" t="s">
        <v>10787</v>
      </c>
      <c r="T4502" t="s">
        <v>12568</v>
      </c>
      <c r="U4502" t="s">
        <v>12568</v>
      </c>
      <c r="V4502" t="s">
        <v>12568</v>
      </c>
      <c r="W4502" t="s">
        <v>17023</v>
      </c>
      <c r="X4502">
        <v>5</v>
      </c>
      <c r="Y4502" t="s">
        <v>23133</v>
      </c>
      <c r="Z4502" t="s">
        <v>29372</v>
      </c>
      <c r="AA4502">
        <v>0.42003003685319279</v>
      </c>
      <c r="AB4502" t="str">
        <f>HYPERLINK("Melting_Curves/meltCurve_Q92989_2_CLP1.pdf", "Melting_Curves/meltCurve_Q92989_2_CLP1.pdf")</f>
        <v>Melting_Curves/meltCurve_Q92989_2_CLP1.pdf</v>
      </c>
    </row>
    <row r="4503" spans="1:28" x14ac:dyDescent="0.25">
      <c r="A4503" t="s">
        <v>4507</v>
      </c>
      <c r="B4503">
        <v>0.99352677808782597</v>
      </c>
      <c r="C4503">
        <v>1.0105562447813401</v>
      </c>
      <c r="D4503">
        <v>0.93690982141525703</v>
      </c>
      <c r="E4503">
        <v>0.510405602528612</v>
      </c>
      <c r="F4503">
        <v>0.41042417607503701</v>
      </c>
      <c r="G4503">
        <v>0.26649807302782402</v>
      </c>
      <c r="H4503">
        <v>0.13867908092492201</v>
      </c>
      <c r="I4503">
        <v>0.11032177941565</v>
      </c>
      <c r="J4503">
        <v>9.8015985554466695E-2</v>
      </c>
      <c r="K4503">
        <v>7.4922204798069894E-2</v>
      </c>
      <c r="L4503">
        <v>890.24447769135895</v>
      </c>
      <c r="M4503">
        <v>17.568224245512202</v>
      </c>
      <c r="N4503">
        <v>51.287946572852299</v>
      </c>
      <c r="O4503">
        <v>50.030675278257199</v>
      </c>
      <c r="P4503">
        <v>-7.9461354738040293E-2</v>
      </c>
      <c r="Q4503">
        <v>9.4891040693953793E-2</v>
      </c>
      <c r="R4503">
        <v>0.98531025916846604</v>
      </c>
      <c r="S4503" t="s">
        <v>10788</v>
      </c>
      <c r="T4503" t="s">
        <v>12568</v>
      </c>
      <c r="U4503" t="s">
        <v>12568</v>
      </c>
      <c r="V4503" t="s">
        <v>12568</v>
      </c>
      <c r="W4503" t="s">
        <v>17024</v>
      </c>
      <c r="X4503">
        <v>11</v>
      </c>
      <c r="Y4503" t="s">
        <v>23134</v>
      </c>
      <c r="Z4503" t="s">
        <v>29373</v>
      </c>
      <c r="AA4503">
        <v>0.43291840252346292</v>
      </c>
      <c r="AB4503" t="str">
        <f>HYPERLINK("Melting_Curves/meltCurve_Q92990_GLMN.pdf", "Melting_Curves/meltCurve_Q92990_GLMN.pdf")</f>
        <v>Melting_Curves/meltCurve_Q92990_GLMN.pdf</v>
      </c>
    </row>
    <row r="4504" spans="1:28" x14ac:dyDescent="0.25">
      <c r="A4504" t="s">
        <v>4508</v>
      </c>
      <c r="B4504">
        <v>0.99352677808782597</v>
      </c>
      <c r="C4504">
        <v>0.89224138915070506</v>
      </c>
      <c r="D4504">
        <v>0.89681113696895298</v>
      </c>
      <c r="E4504">
        <v>0.70759317708690905</v>
      </c>
      <c r="F4504">
        <v>0.64099343830070399</v>
      </c>
      <c r="G4504">
        <v>0.66530529094619495</v>
      </c>
      <c r="H4504">
        <v>0.59413933958253295</v>
      </c>
      <c r="I4504">
        <v>0.73597735396723996</v>
      </c>
      <c r="J4504">
        <v>0.60698164202178295</v>
      </c>
      <c r="K4504">
        <v>0.66247040473782004</v>
      </c>
      <c r="L4504">
        <v>936.41712025056404</v>
      </c>
      <c r="M4504">
        <v>20.0360888329235</v>
      </c>
      <c r="O4504">
        <v>46.278427970885097</v>
      </c>
      <c r="P4504">
        <v>-3.8524438286649101E-2</v>
      </c>
      <c r="Q4504">
        <v>0.644083665209505</v>
      </c>
      <c r="R4504">
        <v>0.88707546704525198</v>
      </c>
      <c r="S4504" t="s">
        <v>10789</v>
      </c>
      <c r="T4504" t="s">
        <v>12568</v>
      </c>
      <c r="U4504" t="s">
        <v>12568</v>
      </c>
      <c r="V4504" t="s">
        <v>12568</v>
      </c>
      <c r="W4504" t="s">
        <v>17025</v>
      </c>
      <c r="X4504">
        <v>3</v>
      </c>
      <c r="Y4504" t="s">
        <v>23135</v>
      </c>
      <c r="Z4504" t="s">
        <v>29374</v>
      </c>
      <c r="AA4504">
        <v>0.72925442117854944</v>
      </c>
      <c r="AB4504" t="str">
        <f>HYPERLINK("Melting_Curves/meltCurve_Q92994_5_BRF1.pdf", "Melting_Curves/meltCurve_Q92994_5_BRF1.pdf")</f>
        <v>Melting_Curves/meltCurve_Q92994_5_BRF1.pdf</v>
      </c>
    </row>
    <row r="4505" spans="1:28" x14ac:dyDescent="0.25">
      <c r="A4505" t="s">
        <v>4509</v>
      </c>
      <c r="B4505">
        <v>0.99352677808782597</v>
      </c>
      <c r="C4505">
        <v>1.02000003946074</v>
      </c>
      <c r="D4505">
        <v>0.92992870183707899</v>
      </c>
      <c r="E4505">
        <v>0.22321703632189199</v>
      </c>
      <c r="F4505">
        <v>0.17976266031584501</v>
      </c>
      <c r="G4505">
        <v>0.11014012739943101</v>
      </c>
      <c r="H4505">
        <v>7.6182675042421696E-2</v>
      </c>
      <c r="I4505">
        <v>8.0846254713600796E-2</v>
      </c>
      <c r="J4505">
        <v>5.2976020192194599E-2</v>
      </c>
      <c r="K4505">
        <v>4.3442712036570998E-2</v>
      </c>
      <c r="L4505">
        <v>2292.7415242576899</v>
      </c>
      <c r="M4505">
        <v>47.477489641960702</v>
      </c>
      <c r="N4505">
        <v>48.4845216325295</v>
      </c>
      <c r="O4505">
        <v>48.205691506938997</v>
      </c>
      <c r="P4505">
        <v>-0.224983803743905</v>
      </c>
      <c r="Q4505">
        <v>8.6262783626533696E-2</v>
      </c>
      <c r="R4505">
        <v>0.99333202102950202</v>
      </c>
      <c r="S4505" t="s">
        <v>10790</v>
      </c>
      <c r="T4505" t="s">
        <v>12568</v>
      </c>
      <c r="U4505" t="s">
        <v>12568</v>
      </c>
      <c r="V4505" t="s">
        <v>12568</v>
      </c>
      <c r="W4505" t="s">
        <v>17026</v>
      </c>
      <c r="X4505">
        <v>5</v>
      </c>
      <c r="Y4505" t="s">
        <v>23136</v>
      </c>
      <c r="Z4505" t="s">
        <v>29375</v>
      </c>
      <c r="AA4505">
        <v>0.34095429459236709</v>
      </c>
      <c r="AB4505" t="str">
        <f>HYPERLINK("Melting_Curves/meltCurve_Q92995_2_USP13.pdf", "Melting_Curves/meltCurve_Q92995_2_USP13.pdf")</f>
        <v>Melting_Curves/meltCurve_Q92995_2_USP13.pdf</v>
      </c>
    </row>
    <row r="4506" spans="1:28" x14ac:dyDescent="0.25">
      <c r="A4506" t="s">
        <v>4510</v>
      </c>
      <c r="B4506">
        <v>0.99352677808782597</v>
      </c>
      <c r="C4506">
        <v>0.85933795170268401</v>
      </c>
      <c r="D4506">
        <v>0.71813490353078602</v>
      </c>
      <c r="E4506">
        <v>0.43417672719808098</v>
      </c>
      <c r="F4506">
        <v>0.33651444959174098</v>
      </c>
      <c r="G4506">
        <v>0.19729139945802099</v>
      </c>
      <c r="H4506">
        <v>0.114058134616578</v>
      </c>
      <c r="I4506">
        <v>0.112051322015018</v>
      </c>
      <c r="J4506">
        <v>9.1587192565932396E-2</v>
      </c>
      <c r="K4506">
        <v>7.3427539468454095E-2</v>
      </c>
      <c r="L4506">
        <v>648.60995237390603</v>
      </c>
      <c r="M4506">
        <v>13.278812761459401</v>
      </c>
      <c r="N4506">
        <v>49.371086061127798</v>
      </c>
      <c r="O4506">
        <v>47.777561381353998</v>
      </c>
      <c r="P4506">
        <v>-6.4913107842668794E-2</v>
      </c>
      <c r="Q4506">
        <v>6.5914791015200397E-2</v>
      </c>
      <c r="R4506">
        <v>0.99653242593542202</v>
      </c>
      <c r="S4506" t="s">
        <v>10791</v>
      </c>
      <c r="T4506" t="s">
        <v>12568</v>
      </c>
      <c r="U4506" t="s">
        <v>12568</v>
      </c>
      <c r="V4506" t="s">
        <v>12568</v>
      </c>
      <c r="W4506" t="s">
        <v>17027</v>
      </c>
      <c r="X4506">
        <v>57</v>
      </c>
      <c r="Y4506" t="s">
        <v>23137</v>
      </c>
      <c r="Z4506" t="s">
        <v>29376</v>
      </c>
      <c r="AA4506">
        <v>0.37036952030801512</v>
      </c>
      <c r="AB4506" t="str">
        <f>HYPERLINK("Melting_Curves/meltCurve_Q93008_USP9X.pdf", "Melting_Curves/meltCurve_Q93008_USP9X.pdf")</f>
        <v>Melting_Curves/meltCurve_Q93008_USP9X.pdf</v>
      </c>
    </row>
    <row r="4507" spans="1:28" x14ac:dyDescent="0.25">
      <c r="A4507" t="s">
        <v>4511</v>
      </c>
      <c r="B4507">
        <v>0.99352677808782597</v>
      </c>
      <c r="C4507">
        <v>0.75333797950808201</v>
      </c>
      <c r="D4507">
        <v>0.48811568904842001</v>
      </c>
      <c r="E4507">
        <v>0.26972466716806098</v>
      </c>
      <c r="F4507">
        <v>0.22040967795948699</v>
      </c>
      <c r="G4507">
        <v>0.15742728113630899</v>
      </c>
      <c r="H4507">
        <v>0.11159127744842801</v>
      </c>
      <c r="I4507">
        <v>0.113775304503376</v>
      </c>
      <c r="J4507">
        <v>9.5699835064413694E-2</v>
      </c>
      <c r="K4507">
        <v>0.100860609929455</v>
      </c>
      <c r="L4507">
        <v>805.21923825382805</v>
      </c>
      <c r="M4507">
        <v>17.711854759172301</v>
      </c>
      <c r="N4507">
        <v>46.133551880692302</v>
      </c>
      <c r="O4507">
        <v>44.894512277592099</v>
      </c>
      <c r="P4507">
        <v>-8.7429217523378594E-2</v>
      </c>
      <c r="Q4507">
        <v>0.11361375788138001</v>
      </c>
      <c r="R4507">
        <v>0.99086627475733902</v>
      </c>
      <c r="S4507" t="s">
        <v>10792</v>
      </c>
      <c r="T4507" t="s">
        <v>12568</v>
      </c>
      <c r="U4507" t="s">
        <v>12568</v>
      </c>
      <c r="V4507" t="s">
        <v>12568</v>
      </c>
      <c r="W4507" t="s">
        <v>17028</v>
      </c>
      <c r="X4507">
        <v>2</v>
      </c>
      <c r="Y4507" t="s">
        <v>23138</v>
      </c>
      <c r="Z4507" t="s">
        <v>29377</v>
      </c>
      <c r="AA4507">
        <v>0.29389729222592359</v>
      </c>
      <c r="AB4507" t="str">
        <f>HYPERLINK("Melting_Curves/meltCurve_Q93015_NAT6.pdf", "Melting_Curves/meltCurve_Q93015_NAT6.pdf")</f>
        <v>Melting_Curves/meltCurve_Q93015_NAT6.pdf</v>
      </c>
    </row>
    <row r="4508" spans="1:28" x14ac:dyDescent="0.25">
      <c r="A4508" t="s">
        <v>4512</v>
      </c>
      <c r="B4508">
        <v>0.99352677808782597</v>
      </c>
      <c r="C4508">
        <v>1.04050777123629</v>
      </c>
      <c r="D4508">
        <v>0.91790265931145298</v>
      </c>
      <c r="E4508">
        <v>0.87196225462169796</v>
      </c>
      <c r="F4508">
        <v>0.73859348760541399</v>
      </c>
      <c r="G4508">
        <v>0.51741034289379295</v>
      </c>
      <c r="H4508">
        <v>0.19403434424680099</v>
      </c>
      <c r="I4508">
        <v>0.19420864172484101</v>
      </c>
      <c r="J4508">
        <v>0.15850012059659399</v>
      </c>
      <c r="K4508">
        <v>0.118325357319639</v>
      </c>
      <c r="L4508">
        <v>924.44369133931104</v>
      </c>
      <c r="M4508">
        <v>16.533017852018901</v>
      </c>
      <c r="N4508">
        <v>56.529101571161902</v>
      </c>
      <c r="O4508">
        <v>55.116187978701298</v>
      </c>
      <c r="P4508">
        <v>-6.8832031818714404E-2</v>
      </c>
      <c r="Q4508">
        <v>8.2201172046908202E-2</v>
      </c>
      <c r="R4508">
        <v>0.98938600112164299</v>
      </c>
      <c r="S4508" t="s">
        <v>10793</v>
      </c>
      <c r="T4508" t="s">
        <v>12568</v>
      </c>
      <c r="U4508" t="s">
        <v>12568</v>
      </c>
      <c r="V4508" t="s">
        <v>12568</v>
      </c>
      <c r="W4508" t="s">
        <v>17029</v>
      </c>
      <c r="X4508">
        <v>24</v>
      </c>
      <c r="Y4508" t="s">
        <v>23139</v>
      </c>
      <c r="Z4508" t="s">
        <v>29378</v>
      </c>
      <c r="AA4508">
        <v>0.5840454414761943</v>
      </c>
      <c r="AB4508" t="str">
        <f>HYPERLINK("Melting_Curves/meltCurve_Q93034_CUL5.pdf", "Melting_Curves/meltCurve_Q93034_CUL5.pdf")</f>
        <v>Melting_Curves/meltCurve_Q93034_CUL5.pdf</v>
      </c>
    </row>
    <row r="4509" spans="1:28" x14ac:dyDescent="0.25">
      <c r="A4509" t="s">
        <v>4513</v>
      </c>
      <c r="B4509">
        <v>0.99352677808782597</v>
      </c>
      <c r="C4509">
        <v>0.98851175842650796</v>
      </c>
      <c r="D4509">
        <v>1.0103098341705501</v>
      </c>
      <c r="E4509">
        <v>0.94395502198346903</v>
      </c>
      <c r="F4509">
        <v>0.84504443834209397</v>
      </c>
      <c r="G4509">
        <v>0.74913300758540002</v>
      </c>
      <c r="H4509">
        <v>0.71751451933893495</v>
      </c>
      <c r="I4509">
        <v>0.71180914747845403</v>
      </c>
      <c r="J4509">
        <v>0.780188207016561</v>
      </c>
      <c r="K4509">
        <v>0.58263179421093703</v>
      </c>
      <c r="L4509">
        <v>1049.06550844922</v>
      </c>
      <c r="M4509">
        <v>19.616301920524201</v>
      </c>
      <c r="O4509">
        <v>52.932814114235399</v>
      </c>
      <c r="P4509">
        <v>-2.92942610422679E-2</v>
      </c>
      <c r="Q4509">
        <v>0.68381958623943395</v>
      </c>
      <c r="R4509">
        <v>0.89588096880670198</v>
      </c>
      <c r="S4509" t="s">
        <v>10794</v>
      </c>
      <c r="T4509" t="s">
        <v>12568</v>
      </c>
      <c r="U4509" t="s">
        <v>12568</v>
      </c>
      <c r="V4509" t="s">
        <v>12568</v>
      </c>
      <c r="W4509" t="s">
        <v>17030</v>
      </c>
      <c r="X4509">
        <v>34</v>
      </c>
      <c r="Y4509" t="s">
        <v>23140</v>
      </c>
      <c r="Z4509" t="s">
        <v>29379</v>
      </c>
      <c r="AA4509">
        <v>0.83035086775994427</v>
      </c>
      <c r="AB4509" t="str">
        <f>HYPERLINK("Melting_Curves/meltCurve_Q93052_LPP.pdf", "Melting_Curves/meltCurve_Q93052_LPP.pdf")</f>
        <v>Melting_Curves/meltCurve_Q93052_LPP.pdf</v>
      </c>
    </row>
    <row r="4510" spans="1:28" x14ac:dyDescent="0.25">
      <c r="A4510" t="s">
        <v>4514</v>
      </c>
      <c r="B4510">
        <v>0.99352677808782597</v>
      </c>
      <c r="C4510">
        <v>0.95947959541323202</v>
      </c>
      <c r="D4510">
        <v>0.92402050648822098</v>
      </c>
      <c r="E4510">
        <v>0.68062242153739405</v>
      </c>
      <c r="F4510">
        <v>0.57933570784792998</v>
      </c>
      <c r="G4510">
        <v>0.45732892157592298</v>
      </c>
      <c r="H4510">
        <v>0.38195967320314</v>
      </c>
      <c r="I4510">
        <v>0.39165719999210902</v>
      </c>
      <c r="J4510">
        <v>0.40039823155321402</v>
      </c>
      <c r="K4510">
        <v>0.34163867301940398</v>
      </c>
      <c r="L4510">
        <v>842.33919866748704</v>
      </c>
      <c r="M4510">
        <v>16.671627999000702</v>
      </c>
      <c r="N4510">
        <v>54.809067416404297</v>
      </c>
      <c r="O4510">
        <v>49.815157242442197</v>
      </c>
      <c r="P4510">
        <v>-5.3203944779868798E-2</v>
      </c>
      <c r="Q4510">
        <v>0.36414469159881402</v>
      </c>
      <c r="R4510">
        <v>0.99369988103073803</v>
      </c>
      <c r="S4510" t="s">
        <v>10795</v>
      </c>
      <c r="T4510" t="s">
        <v>12568</v>
      </c>
      <c r="U4510" t="s">
        <v>12568</v>
      </c>
      <c r="V4510" t="s">
        <v>12568</v>
      </c>
      <c r="W4510" t="s">
        <v>17031</v>
      </c>
      <c r="X4510">
        <v>8</v>
      </c>
      <c r="Y4510" t="s">
        <v>23141</v>
      </c>
      <c r="Z4510" t="s">
        <v>29380</v>
      </c>
      <c r="AA4510">
        <v>0.59961982940630265</v>
      </c>
      <c r="AB4510" t="str">
        <f>HYPERLINK("Melting_Curves/meltCurve_Q93062_4_RBPMS.pdf", "Melting_Curves/meltCurve_Q93062_4_RBPMS.pdf")</f>
        <v>Melting_Curves/meltCurve_Q93062_4_RBPMS.pdf</v>
      </c>
    </row>
    <row r="4511" spans="1:28" x14ac:dyDescent="0.25">
      <c r="A4511" t="s">
        <v>4515</v>
      </c>
      <c r="B4511">
        <v>0.99352677808782597</v>
      </c>
      <c r="C4511">
        <v>1.0545222723093199</v>
      </c>
      <c r="D4511">
        <v>1.0499834227582701</v>
      </c>
      <c r="E4511">
        <v>0.69229253481126896</v>
      </c>
      <c r="F4511">
        <v>0.56648767796608401</v>
      </c>
      <c r="G4511">
        <v>0.42044459754195401</v>
      </c>
      <c r="H4511">
        <v>0.29141983285518203</v>
      </c>
      <c r="I4511">
        <v>0.34534616035883697</v>
      </c>
      <c r="J4511">
        <v>0.30756535346500102</v>
      </c>
      <c r="K4511">
        <v>0.354093773928842</v>
      </c>
      <c r="L4511">
        <v>1232.3612188492</v>
      </c>
      <c r="M4511">
        <v>24.085762063686499</v>
      </c>
      <c r="N4511">
        <v>53.561457894949903</v>
      </c>
      <c r="O4511">
        <v>50.816758981469</v>
      </c>
      <c r="P4511">
        <v>-7.9420025604115305E-2</v>
      </c>
      <c r="Q4511">
        <v>0.32976081504876498</v>
      </c>
      <c r="R4511">
        <v>0.97490142879825703</v>
      </c>
      <c r="S4511" t="s">
        <v>10796</v>
      </c>
      <c r="T4511" t="s">
        <v>12568</v>
      </c>
      <c r="U4511" t="s">
        <v>12568</v>
      </c>
      <c r="V4511" t="s">
        <v>12568</v>
      </c>
      <c r="W4511" t="s">
        <v>17032</v>
      </c>
      <c r="X4511">
        <v>2</v>
      </c>
      <c r="Y4511" t="s">
        <v>23142</v>
      </c>
      <c r="Z4511" t="s">
        <v>29381</v>
      </c>
      <c r="AA4511">
        <v>0.58573771452230006</v>
      </c>
      <c r="AB4511" t="str">
        <f>HYPERLINK("Melting_Curves/meltCurve_Q93073_2_SECISBP2L.pdf", "Melting_Curves/meltCurve_Q93073_2_SECISBP2L.pdf")</f>
        <v>Melting_Curves/meltCurve_Q93073_2_SECISBP2L.pdf</v>
      </c>
    </row>
    <row r="4512" spans="1:28" x14ac:dyDescent="0.25">
      <c r="A4512" t="s">
        <v>4516</v>
      </c>
      <c r="B4512">
        <v>0.99352677808782597</v>
      </c>
      <c r="C4512">
        <v>0.93015303564582996</v>
      </c>
      <c r="D4512">
        <v>1.07171124571004</v>
      </c>
      <c r="E4512">
        <v>1.03724635291388</v>
      </c>
      <c r="F4512">
        <v>1.18613238636073</v>
      </c>
      <c r="G4512">
        <v>1.1066838144464599</v>
      </c>
      <c r="H4512">
        <v>1.1021942464319101</v>
      </c>
      <c r="I4512">
        <v>1.44506668158935</v>
      </c>
      <c r="J4512">
        <v>1.0590289837984601</v>
      </c>
      <c r="K4512">
        <v>1.00382254749355</v>
      </c>
      <c r="L4512">
        <v>12555.597900423199</v>
      </c>
      <c r="M4512">
        <v>250</v>
      </c>
      <c r="O4512">
        <v>50.219178874081997</v>
      </c>
      <c r="P4512">
        <v>0.187289175419454</v>
      </c>
      <c r="Q4512">
        <v>1.15048813393692</v>
      </c>
      <c r="R4512">
        <v>0.27332726720150602</v>
      </c>
      <c r="S4512" t="s">
        <v>10797</v>
      </c>
      <c r="T4512" t="s">
        <v>12568</v>
      </c>
      <c r="U4512" t="s">
        <v>12568</v>
      </c>
      <c r="V4512" t="s">
        <v>12568</v>
      </c>
      <c r="W4512" t="s">
        <v>17033</v>
      </c>
      <c r="X4512">
        <v>4</v>
      </c>
      <c r="Y4512" t="s">
        <v>23143</v>
      </c>
      <c r="Z4512" t="s">
        <v>29382</v>
      </c>
      <c r="AA4512">
        <v>1.0991965821019809</v>
      </c>
      <c r="AB4512" t="str">
        <f>HYPERLINK("Melting_Curves/meltCurve_Q93074_3_MED12.pdf", "Melting_Curves/meltCurve_Q93074_3_MED12.pdf")</f>
        <v>Melting_Curves/meltCurve_Q93074_3_MED12.pdf</v>
      </c>
    </row>
    <row r="4513" spans="1:28" x14ac:dyDescent="0.25">
      <c r="A4513" t="s">
        <v>4517</v>
      </c>
      <c r="B4513">
        <v>0.99352677808782597</v>
      </c>
      <c r="C4513">
        <v>0.89222110907043894</v>
      </c>
      <c r="D4513">
        <v>0.86334584607909004</v>
      </c>
      <c r="E4513">
        <v>0.33832809418116699</v>
      </c>
      <c r="F4513">
        <v>0.27643210504303101</v>
      </c>
      <c r="G4513">
        <v>0.15128732052368099</v>
      </c>
      <c r="H4513">
        <v>0.11668046668351199</v>
      </c>
      <c r="I4513">
        <v>0.115931500250782</v>
      </c>
      <c r="J4513">
        <v>0.101536582125842</v>
      </c>
      <c r="K4513">
        <v>9.7900510381652303E-2</v>
      </c>
      <c r="L4513">
        <v>1156.1141420597201</v>
      </c>
      <c r="M4513">
        <v>23.8635862501934</v>
      </c>
      <c r="N4513">
        <v>48.978252647775001</v>
      </c>
      <c r="O4513">
        <v>48.1104105879025</v>
      </c>
      <c r="P4513">
        <v>-0.109861241631294</v>
      </c>
      <c r="Q4513">
        <v>0.114066812417901</v>
      </c>
      <c r="R4513">
        <v>0.98674603749400003</v>
      </c>
      <c r="S4513" t="s">
        <v>10798</v>
      </c>
      <c r="T4513" t="s">
        <v>12568</v>
      </c>
      <c r="U4513" t="s">
        <v>12568</v>
      </c>
      <c r="V4513" t="s">
        <v>12568</v>
      </c>
      <c r="W4513" t="s">
        <v>17034</v>
      </c>
      <c r="X4513">
        <v>5</v>
      </c>
      <c r="Y4513" t="s">
        <v>23144</v>
      </c>
      <c r="Z4513" t="s">
        <v>29383</v>
      </c>
      <c r="AA4513">
        <v>0.37214241769249168</v>
      </c>
      <c r="AB4513" t="str">
        <f>HYPERLINK("Melting_Curves/meltCurve_Q93077_HIST1H2AC.pdf", "Melting_Curves/meltCurve_Q93077_HIST1H2AC.pdf")</f>
        <v>Melting_Curves/meltCurve_Q93077_HIST1H2AC.pdf</v>
      </c>
    </row>
    <row r="4514" spans="1:28" x14ac:dyDescent="0.25">
      <c r="A4514" t="s">
        <v>4518</v>
      </c>
      <c r="B4514">
        <v>0.99352677808782597</v>
      </c>
      <c r="C4514">
        <v>0.93577953316243301</v>
      </c>
      <c r="D4514">
        <v>0.94003811677139604</v>
      </c>
      <c r="E4514">
        <v>0.58287074800221905</v>
      </c>
      <c r="F4514">
        <v>0.44428482581156697</v>
      </c>
      <c r="G4514">
        <v>0.29419522167575302</v>
      </c>
      <c r="H4514">
        <v>0.14427902252491201</v>
      </c>
      <c r="I4514">
        <v>9.1639774861060397E-2</v>
      </c>
      <c r="J4514">
        <v>8.1948884721528795E-2</v>
      </c>
      <c r="K4514">
        <v>5.6170519011552802E-2</v>
      </c>
      <c r="L4514">
        <v>740.14945497261101</v>
      </c>
      <c r="M4514">
        <v>14.2818243396102</v>
      </c>
      <c r="N4514">
        <v>52.1635593605575</v>
      </c>
      <c r="O4514">
        <v>50.840272934287</v>
      </c>
      <c r="P4514">
        <v>-6.71247757633614E-2</v>
      </c>
      <c r="Q4514">
        <v>4.43169768316133E-2</v>
      </c>
      <c r="R4514">
        <v>0.99099788918588805</v>
      </c>
      <c r="S4514" t="s">
        <v>10799</v>
      </c>
      <c r="T4514" t="s">
        <v>12568</v>
      </c>
      <c r="U4514" t="s">
        <v>12568</v>
      </c>
      <c r="V4514" t="s">
        <v>12568</v>
      </c>
      <c r="W4514" t="s">
        <v>17035</v>
      </c>
      <c r="X4514">
        <v>5</v>
      </c>
      <c r="Y4514" t="s">
        <v>23145</v>
      </c>
      <c r="Z4514" t="s">
        <v>29384</v>
      </c>
      <c r="AA4514">
        <v>0.44416758839095088</v>
      </c>
      <c r="AB4514" t="str">
        <f>HYPERLINK("Melting_Curves/meltCurve_Q93096_PTP4A1.pdf", "Melting_Curves/meltCurve_Q93096_PTP4A1.pdf")</f>
        <v>Melting_Curves/meltCurve_Q93096_PTP4A1.pdf</v>
      </c>
    </row>
    <row r="4515" spans="1:28" x14ac:dyDescent="0.25">
      <c r="A4515" t="s">
        <v>4519</v>
      </c>
      <c r="B4515">
        <v>0.99352677808782597</v>
      </c>
      <c r="C4515">
        <v>1.06594192863672</v>
      </c>
      <c r="D4515">
        <v>0.93575375894883195</v>
      </c>
      <c r="E4515">
        <v>1.0212017585181401</v>
      </c>
      <c r="F4515">
        <v>0.81099823212719702</v>
      </c>
      <c r="G4515">
        <v>0.71482510061771398</v>
      </c>
      <c r="H4515">
        <v>0.79435178295442799</v>
      </c>
      <c r="I4515">
        <v>0.54436275355343799</v>
      </c>
      <c r="J4515">
        <v>0.31456944660212299</v>
      </c>
      <c r="K4515">
        <v>0.100832534652016</v>
      </c>
      <c r="L4515">
        <v>921.13271900596101</v>
      </c>
      <c r="M4515">
        <v>14.453812837539701</v>
      </c>
      <c r="N4515">
        <v>63.7293930302164</v>
      </c>
      <c r="O4515">
        <v>62.546743918973299</v>
      </c>
      <c r="P4515">
        <v>-5.77787929738151E-2</v>
      </c>
      <c r="Q4515">
        <v>0</v>
      </c>
      <c r="R4515">
        <v>0.91113449929120405</v>
      </c>
      <c r="S4515" t="s">
        <v>10800</v>
      </c>
      <c r="T4515" t="s">
        <v>12568</v>
      </c>
      <c r="U4515" t="s">
        <v>12568</v>
      </c>
      <c r="V4515" t="s">
        <v>12568</v>
      </c>
      <c r="W4515" t="s">
        <v>17036</v>
      </c>
      <c r="X4515">
        <v>10</v>
      </c>
      <c r="Y4515" t="s">
        <v>23146</v>
      </c>
      <c r="Z4515" t="s">
        <v>29385</v>
      </c>
      <c r="AA4515">
        <v>0.77473397343994033</v>
      </c>
      <c r="AB4515" t="str">
        <f>HYPERLINK("Melting_Curves/meltCurve_Q93099_HGD.pdf", "Melting_Curves/meltCurve_Q93099_HGD.pdf")</f>
        <v>Melting_Curves/meltCurve_Q93099_HGD.pdf</v>
      </c>
    </row>
    <row r="4516" spans="1:28" x14ac:dyDescent="0.25">
      <c r="A4516" t="s">
        <v>4520</v>
      </c>
      <c r="B4516">
        <v>0.99352677808782597</v>
      </c>
      <c r="C4516">
        <v>0.92818420465506002</v>
      </c>
      <c r="D4516">
        <v>0.73565914121525899</v>
      </c>
      <c r="E4516">
        <v>0.35410004704484999</v>
      </c>
      <c r="F4516">
        <v>0.29572104608911598</v>
      </c>
      <c r="G4516">
        <v>0.16742008933104299</v>
      </c>
      <c r="H4516">
        <v>0.11937059080708599</v>
      </c>
      <c r="I4516">
        <v>0.114919486288631</v>
      </c>
      <c r="J4516">
        <v>9.9735646793712995E-2</v>
      </c>
      <c r="K4516">
        <v>7.2155397732746901E-2</v>
      </c>
      <c r="L4516">
        <v>869.67789659998698</v>
      </c>
      <c r="M4516">
        <v>18.064834347211502</v>
      </c>
      <c r="N4516">
        <v>48.741019809262497</v>
      </c>
      <c r="O4516">
        <v>47.563725955066701</v>
      </c>
      <c r="P4516">
        <v>-8.5503528733450004E-2</v>
      </c>
      <c r="Q4516">
        <v>9.9539248772565994E-2</v>
      </c>
      <c r="R4516">
        <v>0.99396050653175505</v>
      </c>
      <c r="S4516" t="s">
        <v>10801</v>
      </c>
      <c r="T4516" t="s">
        <v>12568</v>
      </c>
      <c r="U4516" t="s">
        <v>12568</v>
      </c>
      <c r="V4516" t="s">
        <v>12568</v>
      </c>
      <c r="W4516" t="s">
        <v>17037</v>
      </c>
      <c r="X4516">
        <v>6</v>
      </c>
      <c r="Y4516" t="s">
        <v>23147</v>
      </c>
      <c r="Z4516" t="s">
        <v>29386</v>
      </c>
      <c r="AA4516">
        <v>0.35971714792410409</v>
      </c>
      <c r="AB4516" t="str">
        <f>HYPERLINK("Melting_Curves/meltCurve_Q93100_4_PHKB.pdf", "Melting_Curves/meltCurve_Q93100_4_PHKB.pdf")</f>
        <v>Melting_Curves/meltCurve_Q93100_4_PHKB.pdf</v>
      </c>
    </row>
    <row r="4517" spans="1:28" x14ac:dyDescent="0.25">
      <c r="A4517" t="s">
        <v>4521</v>
      </c>
      <c r="B4517">
        <v>0.99352677808782597</v>
      </c>
      <c r="C4517">
        <v>0.96898445513773002</v>
      </c>
      <c r="D4517">
        <v>1.0064893509094801</v>
      </c>
      <c r="E4517">
        <v>0.95048584796220004</v>
      </c>
      <c r="F4517">
        <v>0.96136312119662704</v>
      </c>
      <c r="G4517">
        <v>0.94432772260736897</v>
      </c>
      <c r="H4517">
        <v>0.87538426038922401</v>
      </c>
      <c r="I4517">
        <v>0.88936574057300299</v>
      </c>
      <c r="J4517">
        <v>0.93088219615535195</v>
      </c>
      <c r="K4517">
        <v>0.90899013738079104</v>
      </c>
      <c r="L4517">
        <v>738.63879928154802</v>
      </c>
      <c r="M4517">
        <v>14.012905648920899</v>
      </c>
      <c r="O4517">
        <v>51.672649114935801</v>
      </c>
      <c r="P4517">
        <v>-6.8296541908168399E-3</v>
      </c>
      <c r="Q4517">
        <v>0.89927576578236801</v>
      </c>
      <c r="R4517">
        <v>0.73299978124242005</v>
      </c>
      <c r="S4517" t="s">
        <v>10802</v>
      </c>
      <c r="T4517" t="s">
        <v>12568</v>
      </c>
      <c r="U4517" t="s">
        <v>12568</v>
      </c>
      <c r="V4517" t="s">
        <v>12568</v>
      </c>
      <c r="W4517" t="s">
        <v>17038</v>
      </c>
      <c r="X4517">
        <v>7</v>
      </c>
      <c r="Y4517" t="s">
        <v>23148</v>
      </c>
      <c r="Z4517" t="s">
        <v>29387</v>
      </c>
      <c r="AA4517">
        <v>0.94436499593580459</v>
      </c>
      <c r="AB4517" t="str">
        <f>HYPERLINK("Melting_Curves/meltCurve_Q969E4_TCEAL3.pdf", "Melting_Curves/meltCurve_Q969E4_TCEAL3.pdf")</f>
        <v>Melting_Curves/meltCurve_Q969E4_TCEAL3.pdf</v>
      </c>
    </row>
    <row r="4518" spans="1:28" x14ac:dyDescent="0.25">
      <c r="A4518" t="s">
        <v>4522</v>
      </c>
      <c r="B4518">
        <v>0.99352677808782597</v>
      </c>
      <c r="C4518">
        <v>0.90416976837756802</v>
      </c>
      <c r="D4518">
        <v>0.98968479306093704</v>
      </c>
      <c r="E4518">
        <v>1.02050720708735</v>
      </c>
      <c r="F4518">
        <v>0.989455500152981</v>
      </c>
      <c r="G4518">
        <v>0.95759699396474296</v>
      </c>
      <c r="H4518">
        <v>0.87591496183155204</v>
      </c>
      <c r="I4518">
        <v>1.0924709717682599</v>
      </c>
      <c r="J4518">
        <v>0.98004553175949505</v>
      </c>
      <c r="K4518">
        <v>0.921108589844709</v>
      </c>
      <c r="L4518">
        <v>2.6178323636390002</v>
      </c>
      <c r="M4518">
        <v>1.0000000000000001E-5</v>
      </c>
      <c r="Q4518">
        <v>0.94350899465211202</v>
      </c>
      <c r="R4518">
        <v>4.7567058409914196E-6</v>
      </c>
      <c r="S4518" t="s">
        <v>10803</v>
      </c>
      <c r="T4518" t="s">
        <v>12568</v>
      </c>
      <c r="U4518" t="s">
        <v>12568</v>
      </c>
      <c r="V4518" t="s">
        <v>12568</v>
      </c>
      <c r="W4518" t="s">
        <v>17039</v>
      </c>
      <c r="X4518">
        <v>2</v>
      </c>
      <c r="Y4518" t="s">
        <v>23149</v>
      </c>
      <c r="Z4518" t="s">
        <v>29388</v>
      </c>
      <c r="AA4518">
        <v>0.97244385986766657</v>
      </c>
      <c r="AB4518" t="str">
        <f>HYPERLINK("Melting_Curves/meltCurve_Q969E8_TSR2.pdf", "Melting_Curves/meltCurve_Q969E8_TSR2.pdf")</f>
        <v>Melting_Curves/meltCurve_Q969E8_TSR2.pdf</v>
      </c>
    </row>
    <row r="4519" spans="1:28" x14ac:dyDescent="0.25">
      <c r="A4519" t="s">
        <v>4523</v>
      </c>
      <c r="B4519">
        <v>0.99352677808782597</v>
      </c>
      <c r="C4519">
        <v>0.91744849592147704</v>
      </c>
      <c r="D4519">
        <v>0.67831921749417901</v>
      </c>
      <c r="E4519">
        <v>0.29335919131596899</v>
      </c>
      <c r="F4519">
        <v>0.24676226982612801</v>
      </c>
      <c r="G4519">
        <v>0.14335906439477</v>
      </c>
      <c r="H4519">
        <v>8.4625116432214598E-2</v>
      </c>
      <c r="I4519">
        <v>8.1474493777896007E-2</v>
      </c>
      <c r="J4519">
        <v>6.8020025359405295E-2</v>
      </c>
      <c r="K4519">
        <v>5.0530401782840899E-2</v>
      </c>
      <c r="L4519">
        <v>901.34741040472898</v>
      </c>
      <c r="M4519">
        <v>18.953839303899599</v>
      </c>
      <c r="N4519">
        <v>47.972520933258401</v>
      </c>
      <c r="O4519">
        <v>47.035020406190199</v>
      </c>
      <c r="P4519">
        <v>-9.3084276050453899E-2</v>
      </c>
      <c r="Q4519">
        <v>7.6062088324317295E-2</v>
      </c>
      <c r="R4519">
        <v>0.99366007153674196</v>
      </c>
      <c r="S4519" t="s">
        <v>10804</v>
      </c>
      <c r="T4519" t="s">
        <v>12568</v>
      </c>
      <c r="U4519" t="s">
        <v>12568</v>
      </c>
      <c r="V4519" t="s">
        <v>12568</v>
      </c>
      <c r="W4519" t="s">
        <v>17040</v>
      </c>
      <c r="X4519">
        <v>6</v>
      </c>
      <c r="Y4519" t="s">
        <v>23150</v>
      </c>
      <c r="Z4519" t="s">
        <v>29389</v>
      </c>
      <c r="AA4519">
        <v>0.32363876038949219</v>
      </c>
      <c r="AB4519" t="str">
        <f>HYPERLINK("Melting_Curves/meltCurve_Q969F9_HPS3.pdf", "Melting_Curves/meltCurve_Q969F9_HPS3.pdf")</f>
        <v>Melting_Curves/meltCurve_Q969F9_HPS3.pdf</v>
      </c>
    </row>
    <row r="4520" spans="1:28" x14ac:dyDescent="0.25">
      <c r="A4520" t="s">
        <v>4524</v>
      </c>
      <c r="B4520">
        <v>0.99352677808782597</v>
      </c>
      <c r="C4520">
        <v>0.93373761455521898</v>
      </c>
      <c r="D4520">
        <v>0.78656257805697605</v>
      </c>
      <c r="E4520">
        <v>0.49578980830828401</v>
      </c>
      <c r="F4520">
        <v>0.42514512995440001</v>
      </c>
      <c r="G4520">
        <v>0.27642420284744501</v>
      </c>
      <c r="H4520">
        <v>0.154865133470834</v>
      </c>
      <c r="I4520">
        <v>0.14315422961198801</v>
      </c>
      <c r="J4520">
        <v>0.14092547556844601</v>
      </c>
      <c r="K4520">
        <v>0.10980835758636</v>
      </c>
      <c r="L4520">
        <v>665.00267463036096</v>
      </c>
      <c r="M4520">
        <v>13.3047230381231</v>
      </c>
      <c r="N4520">
        <v>50.850850820031198</v>
      </c>
      <c r="O4520">
        <v>48.893777174525802</v>
      </c>
      <c r="P4520">
        <v>-6.11252873481576E-2</v>
      </c>
      <c r="Q4520">
        <v>0.10162314052780699</v>
      </c>
      <c r="R4520">
        <v>0.99347925641735702</v>
      </c>
      <c r="S4520" t="s">
        <v>10805</v>
      </c>
      <c r="T4520" t="s">
        <v>12568</v>
      </c>
      <c r="U4520" t="s">
        <v>12568</v>
      </c>
      <c r="V4520" t="s">
        <v>12568</v>
      </c>
      <c r="W4520" t="s">
        <v>17041</v>
      </c>
      <c r="X4520">
        <v>9</v>
      </c>
      <c r="Y4520" t="s">
        <v>23151</v>
      </c>
      <c r="Z4520" t="s">
        <v>29390</v>
      </c>
      <c r="AA4520">
        <v>0.426906005638509</v>
      </c>
      <c r="AB4520" t="str">
        <f>HYPERLINK("Melting_Curves/meltCurve_Q969G3_2_SMARCE1.pdf", "Melting_Curves/meltCurve_Q969G3_2_SMARCE1.pdf")</f>
        <v>Melting_Curves/meltCurve_Q969G3_2_SMARCE1.pdf</v>
      </c>
    </row>
    <row r="4521" spans="1:28" x14ac:dyDescent="0.25">
      <c r="A4521" t="s">
        <v>4525</v>
      </c>
      <c r="B4521">
        <v>0.99352677808782597</v>
      </c>
      <c r="C4521">
        <v>0.90169396006499303</v>
      </c>
      <c r="D4521">
        <v>0.94228881781146101</v>
      </c>
      <c r="E4521">
        <v>0.85550715141903</v>
      </c>
      <c r="F4521">
        <v>0.84078600032877804</v>
      </c>
      <c r="G4521">
        <v>0.77129296179564899</v>
      </c>
      <c r="H4521">
        <v>0.65675653463802297</v>
      </c>
      <c r="I4521">
        <v>0.70624273638155199</v>
      </c>
      <c r="J4521">
        <v>0.69280590956753496</v>
      </c>
      <c r="K4521">
        <v>0.64409400640205905</v>
      </c>
      <c r="L4521">
        <v>404.46116353264398</v>
      </c>
      <c r="M4521">
        <v>7.3769655729500103</v>
      </c>
      <c r="O4521">
        <v>51.230703936788402</v>
      </c>
      <c r="P4521">
        <v>-1.51016180844511E-2</v>
      </c>
      <c r="Q4521">
        <v>0.58113629765493802</v>
      </c>
      <c r="R4521">
        <v>0.93755473679681101</v>
      </c>
      <c r="S4521" t="s">
        <v>10806</v>
      </c>
      <c r="T4521" t="s">
        <v>12568</v>
      </c>
      <c r="U4521" t="s">
        <v>12568</v>
      </c>
      <c r="V4521" t="s">
        <v>12568</v>
      </c>
      <c r="W4521" t="s">
        <v>17042</v>
      </c>
      <c r="X4521">
        <v>1</v>
      </c>
      <c r="Y4521" t="s">
        <v>23152</v>
      </c>
      <c r="Z4521" t="s">
        <v>29391</v>
      </c>
      <c r="AA4521">
        <v>0.80012471042278599</v>
      </c>
      <c r="AB4521" t="str">
        <f>HYPERLINK("Melting_Curves/meltCurve_Q969G5_PRKCDBP.pdf", "Melting_Curves/meltCurve_Q969G5_PRKCDBP.pdf")</f>
        <v>Melting_Curves/meltCurve_Q969G5_PRKCDBP.pdf</v>
      </c>
    </row>
    <row r="4522" spans="1:28" x14ac:dyDescent="0.25">
      <c r="A4522" t="s">
        <v>4526</v>
      </c>
      <c r="B4522">
        <v>0.99352677808782597</v>
      </c>
      <c r="C4522">
        <v>0.58689203356929898</v>
      </c>
      <c r="D4522">
        <v>1.17032662091977</v>
      </c>
      <c r="E4522">
        <v>0.311745398561665</v>
      </c>
      <c r="F4522">
        <v>0.24134102013974501</v>
      </c>
      <c r="G4522">
        <v>9.0562780192363801E-2</v>
      </c>
      <c r="H4522">
        <v>4.8310901161668203E-2</v>
      </c>
      <c r="I4522">
        <v>4.8755541007860899E-2</v>
      </c>
      <c r="J4522">
        <v>3.3127368550619402E-2</v>
      </c>
      <c r="K4522">
        <v>2.7034865376301401E-2</v>
      </c>
      <c r="L4522">
        <v>4367.4608918575104</v>
      </c>
      <c r="M4522">
        <v>88.421568081336105</v>
      </c>
      <c r="N4522">
        <v>49.492152604320601</v>
      </c>
      <c r="O4522">
        <v>49.3683658580185</v>
      </c>
      <c r="P4522">
        <v>-0.41162495393301102</v>
      </c>
      <c r="Q4522">
        <v>8.0710733805980303E-2</v>
      </c>
      <c r="R4522">
        <v>0.85553505277230302</v>
      </c>
      <c r="S4522" t="s">
        <v>10807</v>
      </c>
      <c r="T4522" t="s">
        <v>12568</v>
      </c>
      <c r="U4522" t="s">
        <v>12568</v>
      </c>
      <c r="V4522" t="s">
        <v>12568</v>
      </c>
      <c r="W4522" t="s">
        <v>17043</v>
      </c>
      <c r="X4522">
        <v>4</v>
      </c>
      <c r="Y4522" t="s">
        <v>23153</v>
      </c>
      <c r="Z4522" t="s">
        <v>29392</v>
      </c>
      <c r="AA4522">
        <v>0.36919706781260547</v>
      </c>
      <c r="AB4522" t="str">
        <f>HYPERLINK("Melting_Curves/meltCurve_Q969G6_RFK.pdf", "Melting_Curves/meltCurve_Q969G6_RFK.pdf")</f>
        <v>Melting_Curves/meltCurve_Q969G6_RFK.pdf</v>
      </c>
    </row>
    <row r="4523" spans="1:28" x14ac:dyDescent="0.25">
      <c r="A4523" t="s">
        <v>4527</v>
      </c>
      <c r="B4523">
        <v>0.99352677808782597</v>
      </c>
      <c r="C4523">
        <v>0.88686609431498697</v>
      </c>
      <c r="D4523">
        <v>0.97722184320060201</v>
      </c>
      <c r="E4523">
        <v>0.89787671394871005</v>
      </c>
      <c r="F4523">
        <v>0.85514710802113703</v>
      </c>
      <c r="G4523">
        <v>0.96943439069670001</v>
      </c>
      <c r="H4523">
        <v>0.70693375984500695</v>
      </c>
      <c r="I4523">
        <v>0.60072337840265499</v>
      </c>
      <c r="J4523">
        <v>0.27803546916523098</v>
      </c>
      <c r="K4523">
        <v>0.108583997539293</v>
      </c>
      <c r="L4523">
        <v>1374.5806558036099</v>
      </c>
      <c r="M4523">
        <v>21.377105706420199</v>
      </c>
      <c r="N4523">
        <v>64.301523052201205</v>
      </c>
      <c r="O4523">
        <v>63.746791018882497</v>
      </c>
      <c r="P4523">
        <v>-8.3838132127050505E-2</v>
      </c>
      <c r="Q4523">
        <v>0</v>
      </c>
      <c r="R4523">
        <v>0.938703697507145</v>
      </c>
      <c r="S4523" t="s">
        <v>10808</v>
      </c>
      <c r="T4523" t="s">
        <v>12568</v>
      </c>
      <c r="U4523" t="s">
        <v>12568</v>
      </c>
      <c r="V4523" t="s">
        <v>12568</v>
      </c>
      <c r="W4523" t="s">
        <v>17044</v>
      </c>
      <c r="X4523">
        <v>4</v>
      </c>
      <c r="Y4523" t="s">
        <v>23154</v>
      </c>
      <c r="Z4523" t="s">
        <v>29393</v>
      </c>
      <c r="AA4523">
        <v>0.80432892285117086</v>
      </c>
      <c r="AB4523" t="str">
        <f>HYPERLINK("Melting_Curves/meltCurve_Q969H8_C19orf10.pdf", "Melting_Curves/meltCurve_Q969H8_C19orf10.pdf")</f>
        <v>Melting_Curves/meltCurve_Q969H8_C19orf10.pdf</v>
      </c>
    </row>
    <row r="4524" spans="1:28" x14ac:dyDescent="0.25">
      <c r="A4524" t="s">
        <v>4528</v>
      </c>
      <c r="B4524">
        <v>0.99352677808782597</v>
      </c>
      <c r="C4524">
        <v>0.977837315708597</v>
      </c>
      <c r="D4524">
        <v>1.00837517303905</v>
      </c>
      <c r="E4524">
        <v>0.65752100078369202</v>
      </c>
      <c r="F4524">
        <v>0.57119943538272699</v>
      </c>
      <c r="G4524">
        <v>0.35536027977379397</v>
      </c>
      <c r="H4524">
        <v>0.20869240510183101</v>
      </c>
      <c r="I4524">
        <v>0.215892648113612</v>
      </c>
      <c r="J4524">
        <v>0.18506800841641699</v>
      </c>
      <c r="K4524">
        <v>0.15960327975351299</v>
      </c>
      <c r="L4524">
        <v>862.50236229496397</v>
      </c>
      <c r="M4524">
        <v>16.4647540632462</v>
      </c>
      <c r="N4524">
        <v>53.633455446701099</v>
      </c>
      <c r="O4524">
        <v>51.630300857414703</v>
      </c>
      <c r="P4524">
        <v>-6.7036303265798999E-2</v>
      </c>
      <c r="Q4524">
        <v>0.15920713184270599</v>
      </c>
      <c r="R4524">
        <v>0.98593490413475604</v>
      </c>
      <c r="S4524" t="s">
        <v>10809</v>
      </c>
      <c r="T4524" t="s">
        <v>12568</v>
      </c>
      <c r="U4524" t="s">
        <v>12568</v>
      </c>
      <c r="V4524" t="s">
        <v>12568</v>
      </c>
      <c r="W4524" t="s">
        <v>17045</v>
      </c>
      <c r="X4524">
        <v>5</v>
      </c>
      <c r="Y4524" t="s">
        <v>23155</v>
      </c>
      <c r="Z4524" t="s">
        <v>29394</v>
      </c>
      <c r="AA4524">
        <v>0.5223868465108058</v>
      </c>
      <c r="AB4524" t="str">
        <f>HYPERLINK("Melting_Curves/meltCurve_Q969K3_RNF34.pdf", "Melting_Curves/meltCurve_Q969K3_RNF34.pdf")</f>
        <v>Melting_Curves/meltCurve_Q969K3_RNF34.pdf</v>
      </c>
    </row>
    <row r="4525" spans="1:28" x14ac:dyDescent="0.25">
      <c r="A4525" t="s">
        <v>4529</v>
      </c>
      <c r="B4525">
        <v>0.99352677808782597</v>
      </c>
      <c r="C4525">
        <v>0.91405698200067198</v>
      </c>
      <c r="D4525">
        <v>0.96180743330019103</v>
      </c>
      <c r="E4525">
        <v>0.84553651017444398</v>
      </c>
      <c r="F4525">
        <v>0.76691614561987898</v>
      </c>
      <c r="G4525">
        <v>0.72472031079988797</v>
      </c>
      <c r="H4525">
        <v>0.60366751759272097</v>
      </c>
      <c r="I4525">
        <v>0.65933436946342205</v>
      </c>
      <c r="J4525">
        <v>0.595496337562477</v>
      </c>
      <c r="K4525">
        <v>0.65034258520882404</v>
      </c>
      <c r="L4525">
        <v>637.264320456571</v>
      </c>
      <c r="M4525">
        <v>12.302454221673701</v>
      </c>
      <c r="O4525">
        <v>50.488167915118197</v>
      </c>
      <c r="P4525">
        <v>-2.4302850403739799E-2</v>
      </c>
      <c r="Q4525">
        <v>0.60114043985537102</v>
      </c>
      <c r="R4525">
        <v>0.94945022473198104</v>
      </c>
      <c r="S4525" t="s">
        <v>10810</v>
      </c>
      <c r="T4525" t="s">
        <v>12568</v>
      </c>
      <c r="U4525" t="s">
        <v>12568</v>
      </c>
      <c r="V4525" t="s">
        <v>12568</v>
      </c>
      <c r="W4525" t="s">
        <v>17046</v>
      </c>
      <c r="X4525">
        <v>1</v>
      </c>
      <c r="Y4525" t="s">
        <v>23156</v>
      </c>
      <c r="Z4525" t="s">
        <v>29395</v>
      </c>
      <c r="AA4525">
        <v>0.76998949024016217</v>
      </c>
      <c r="AB4525" t="str">
        <f>HYPERLINK("Melting_Curves/meltCurve_Q969M3_YIPF5.pdf", "Melting_Curves/meltCurve_Q969M3_YIPF5.pdf")</f>
        <v>Melting_Curves/meltCurve_Q969M3_YIPF5.pdf</v>
      </c>
    </row>
    <row r="4526" spans="1:28" x14ac:dyDescent="0.25">
      <c r="A4526" t="s">
        <v>4530</v>
      </c>
      <c r="B4526">
        <v>0.99352677808782597</v>
      </c>
      <c r="C4526">
        <v>1.00785972638504</v>
      </c>
      <c r="D4526">
        <v>1.0951481965074401</v>
      </c>
      <c r="E4526">
        <v>0.72754370359546205</v>
      </c>
      <c r="F4526">
        <v>0.67119748669925205</v>
      </c>
      <c r="G4526">
        <v>0.37772711374291701</v>
      </c>
      <c r="H4526">
        <v>0.29758374806510701</v>
      </c>
      <c r="I4526">
        <v>0.29725204912210501</v>
      </c>
      <c r="J4526">
        <v>0.31397322424747198</v>
      </c>
      <c r="K4526">
        <v>0.28760508053557199</v>
      </c>
      <c r="L4526">
        <v>1145.15037273086</v>
      </c>
      <c r="M4526">
        <v>21.7971492077153</v>
      </c>
      <c r="N4526">
        <v>54.658430844905197</v>
      </c>
      <c r="O4526">
        <v>52.100487912874499</v>
      </c>
      <c r="P4526">
        <v>-7.47365947022295E-2</v>
      </c>
      <c r="Q4526">
        <v>0.28546176147001801</v>
      </c>
      <c r="R4526">
        <v>0.96976612996731304</v>
      </c>
      <c r="S4526" t="s">
        <v>10811</v>
      </c>
      <c r="T4526" t="s">
        <v>12568</v>
      </c>
      <c r="U4526" t="s">
        <v>12568</v>
      </c>
      <c r="V4526" t="s">
        <v>12568</v>
      </c>
      <c r="W4526" t="s">
        <v>17047</v>
      </c>
      <c r="X4526">
        <v>6</v>
      </c>
      <c r="Y4526" t="s">
        <v>23157</v>
      </c>
      <c r="Z4526" t="s">
        <v>29396</v>
      </c>
      <c r="AA4526">
        <v>0.59251947185094855</v>
      </c>
      <c r="AB4526" t="str">
        <f>HYPERLINK("Melting_Curves/meltCurve_Q969Q0_RPL36AL.pdf", "Melting_Curves/meltCurve_Q969Q0_RPL36AL.pdf")</f>
        <v>Melting_Curves/meltCurve_Q969Q0_RPL36AL.pdf</v>
      </c>
    </row>
    <row r="4527" spans="1:28" x14ac:dyDescent="0.25">
      <c r="A4527" t="s">
        <v>4531</v>
      </c>
      <c r="B4527">
        <v>0.99352677808782597</v>
      </c>
      <c r="C4527">
        <v>0.98084003468357295</v>
      </c>
      <c r="D4527">
        <v>0.98393154276606298</v>
      </c>
      <c r="E4527">
        <v>0.97157028429000702</v>
      </c>
      <c r="F4527">
        <v>0.89995701080651003</v>
      </c>
      <c r="G4527">
        <v>0.79458234766732605</v>
      </c>
      <c r="H4527">
        <v>0.69457668332849798</v>
      </c>
      <c r="I4527">
        <v>0.72795540763214395</v>
      </c>
      <c r="J4527">
        <v>0.67695551807754095</v>
      </c>
      <c r="K4527">
        <v>0.62055653161183499</v>
      </c>
      <c r="L4527">
        <v>874.468659359105</v>
      </c>
      <c r="M4527">
        <v>15.5192646454102</v>
      </c>
      <c r="O4527">
        <v>55.436588045367401</v>
      </c>
      <c r="P4527">
        <v>-2.55829149022977E-2</v>
      </c>
      <c r="Q4527">
        <v>0.63449192592634596</v>
      </c>
      <c r="R4527">
        <v>0.97758920400147797</v>
      </c>
      <c r="S4527" t="s">
        <v>10812</v>
      </c>
      <c r="T4527" t="s">
        <v>12568</v>
      </c>
      <c r="U4527" t="s">
        <v>12568</v>
      </c>
      <c r="V4527" t="s">
        <v>12568</v>
      </c>
      <c r="W4527" t="s">
        <v>17048</v>
      </c>
      <c r="X4527">
        <v>4</v>
      </c>
      <c r="Y4527" t="s">
        <v>23158</v>
      </c>
      <c r="Z4527" t="s">
        <v>29397</v>
      </c>
      <c r="AA4527">
        <v>0.83975189295293029</v>
      </c>
      <c r="AB4527" t="str">
        <f>HYPERLINK("Melting_Curves/meltCurve_Q969R8_ITFG2.pdf", "Melting_Curves/meltCurve_Q969R8_ITFG2.pdf")</f>
        <v>Melting_Curves/meltCurve_Q969R8_ITFG2.pdf</v>
      </c>
    </row>
    <row r="4528" spans="1:28" x14ac:dyDescent="0.25">
      <c r="A4528" t="s">
        <v>4532</v>
      </c>
      <c r="B4528">
        <v>0.99352677808782597</v>
      </c>
      <c r="C4528">
        <v>0.93393236617302</v>
      </c>
      <c r="D4528">
        <v>0.87643444519024705</v>
      </c>
      <c r="E4528">
        <v>0.457308367466363</v>
      </c>
      <c r="F4528">
        <v>0.40900829189843202</v>
      </c>
      <c r="G4528">
        <v>0.29900647511644302</v>
      </c>
      <c r="H4528">
        <v>0.20086877226337599</v>
      </c>
      <c r="I4528">
        <v>0.18525257444034901</v>
      </c>
      <c r="J4528">
        <v>0.18006063338925901</v>
      </c>
      <c r="K4528">
        <v>0.14027664254480199</v>
      </c>
      <c r="L4528">
        <v>844.952676009642</v>
      </c>
      <c r="M4528">
        <v>17.109642071294498</v>
      </c>
      <c r="N4528">
        <v>50.631942351449403</v>
      </c>
      <c r="O4528">
        <v>48.724774662114498</v>
      </c>
      <c r="P4528">
        <v>-7.2694741623236497E-2</v>
      </c>
      <c r="Q4528">
        <v>0.171970641640286</v>
      </c>
      <c r="R4528">
        <v>0.98400918749751998</v>
      </c>
      <c r="S4528" t="s">
        <v>10813</v>
      </c>
      <c r="T4528" t="s">
        <v>12568</v>
      </c>
      <c r="U4528" t="s">
        <v>12568</v>
      </c>
      <c r="V4528" t="s">
        <v>12568</v>
      </c>
      <c r="W4528" t="s">
        <v>17049</v>
      </c>
      <c r="X4528">
        <v>7</v>
      </c>
      <c r="Y4528" t="s">
        <v>23159</v>
      </c>
      <c r="Z4528" t="s">
        <v>29398</v>
      </c>
      <c r="AA4528">
        <v>0.44671770975425051</v>
      </c>
      <c r="AB4528" t="str">
        <f>HYPERLINK("Melting_Curves/meltCurve_Q969S3_ZNF622.pdf", "Melting_Curves/meltCurve_Q969S3_ZNF622.pdf")</f>
        <v>Melting_Curves/meltCurve_Q969S3_ZNF622.pdf</v>
      </c>
    </row>
    <row r="4529" spans="1:28" x14ac:dyDescent="0.25">
      <c r="A4529" t="s">
        <v>4533</v>
      </c>
      <c r="B4529">
        <v>0.99352677808782597</v>
      </c>
      <c r="C4529">
        <v>0.82413317598695102</v>
      </c>
      <c r="D4529">
        <v>0.64740432341683096</v>
      </c>
      <c r="E4529">
        <v>0.41046153717018202</v>
      </c>
      <c r="F4529">
        <v>0.35987026453912502</v>
      </c>
      <c r="G4529">
        <v>0.20652504840952701</v>
      </c>
      <c r="H4529">
        <v>0.14598604833093901</v>
      </c>
      <c r="I4529">
        <v>8.8303099973074506E-2</v>
      </c>
      <c r="J4529">
        <v>7.1463517586701095E-2</v>
      </c>
      <c r="K4529">
        <v>6.4174802116388693E-2</v>
      </c>
      <c r="L4529">
        <v>554.40517043425598</v>
      </c>
      <c r="M4529">
        <v>11.396182470186099</v>
      </c>
      <c r="N4529">
        <v>49.038148252497699</v>
      </c>
      <c r="O4529">
        <v>47.2226060716633</v>
      </c>
      <c r="P4529">
        <v>-5.7736512045627401E-2</v>
      </c>
      <c r="Q4529">
        <v>4.3305172042708298E-2</v>
      </c>
      <c r="R4529">
        <v>0.99027588123515298</v>
      </c>
      <c r="S4529" t="s">
        <v>10814</v>
      </c>
      <c r="T4529" t="s">
        <v>12568</v>
      </c>
      <c r="U4529" t="s">
        <v>12568</v>
      </c>
      <c r="V4529" t="s">
        <v>12568</v>
      </c>
      <c r="W4529" t="s">
        <v>17050</v>
      </c>
      <c r="X4529">
        <v>2</v>
      </c>
      <c r="Y4529" t="s">
        <v>23160</v>
      </c>
      <c r="Z4529" t="s">
        <v>29399</v>
      </c>
      <c r="AA4529">
        <v>0.35826914491026679</v>
      </c>
      <c r="AB4529" t="str">
        <f>HYPERLINK("Melting_Curves/meltCurve_Q969S9_3_GFM2.pdf", "Melting_Curves/meltCurve_Q969S9_3_GFM2.pdf")</f>
        <v>Melting_Curves/meltCurve_Q969S9_3_GFM2.pdf</v>
      </c>
    </row>
    <row r="4530" spans="1:28" x14ac:dyDescent="0.25">
      <c r="A4530" t="s">
        <v>4534</v>
      </c>
      <c r="B4530">
        <v>0.99352677808782597</v>
      </c>
      <c r="C4530">
        <v>0.94426729958144695</v>
      </c>
      <c r="D4530">
        <v>0.96734331347848401</v>
      </c>
      <c r="E4530">
        <v>0.24236996703806801</v>
      </c>
      <c r="F4530">
        <v>0.17729044117364601</v>
      </c>
      <c r="G4530">
        <v>9.9422825242085996E-2</v>
      </c>
      <c r="H4530">
        <v>6.0807797684682099E-2</v>
      </c>
      <c r="I4530">
        <v>5.3327187584500502E-2</v>
      </c>
      <c r="J4530">
        <v>4.5525664482804103E-2</v>
      </c>
      <c r="K4530">
        <v>3.5335312461135603E-2</v>
      </c>
      <c r="L4530">
        <v>2424.2087675310399</v>
      </c>
      <c r="M4530">
        <v>49.884368933114303</v>
      </c>
      <c r="N4530">
        <v>48.753230850427897</v>
      </c>
      <c r="O4530">
        <v>48.518635667384899</v>
      </c>
      <c r="P4530">
        <v>-0.23800079125616899</v>
      </c>
      <c r="Q4530">
        <v>7.4061202451926295E-2</v>
      </c>
      <c r="R4530">
        <v>0.990688104033844</v>
      </c>
      <c r="S4530" t="s">
        <v>10815</v>
      </c>
      <c r="T4530" t="s">
        <v>12568</v>
      </c>
      <c r="U4530" t="s">
        <v>12568</v>
      </c>
      <c r="V4530" t="s">
        <v>12568</v>
      </c>
      <c r="W4530" t="s">
        <v>17051</v>
      </c>
      <c r="X4530">
        <v>5</v>
      </c>
      <c r="Y4530" t="s">
        <v>23161</v>
      </c>
      <c r="Z4530" t="s">
        <v>29400</v>
      </c>
      <c r="AA4530">
        <v>0.3413853829874906</v>
      </c>
      <c r="AB4530" t="str">
        <f>HYPERLINK("Melting_Curves/meltCurve_Q969T7_2_NT5C3B.pdf", "Melting_Curves/meltCurve_Q969T7_2_NT5C3B.pdf")</f>
        <v>Melting_Curves/meltCurve_Q969T7_2_NT5C3B.pdf</v>
      </c>
    </row>
    <row r="4531" spans="1:28" x14ac:dyDescent="0.25">
      <c r="A4531" t="s">
        <v>4535</v>
      </c>
      <c r="B4531">
        <v>0.99352677808782597</v>
      </c>
      <c r="C4531">
        <v>1.0122993925880399</v>
      </c>
      <c r="D4531">
        <v>1.0001091022658499</v>
      </c>
      <c r="E4531">
        <v>1.0675517969109101</v>
      </c>
      <c r="F4531">
        <v>0.919279060504124</v>
      </c>
      <c r="G4531">
        <v>0.86477481725863703</v>
      </c>
      <c r="H4531">
        <v>0.63094126057407895</v>
      </c>
      <c r="I4531">
        <v>0.31708322900911801</v>
      </c>
      <c r="J4531">
        <v>0.123710457144332</v>
      </c>
      <c r="K4531">
        <v>8.5234533152618197E-2</v>
      </c>
      <c r="L4531">
        <v>1448.8622786794999</v>
      </c>
      <c r="M4531">
        <v>23.353941353383501</v>
      </c>
      <c r="N4531">
        <v>62.039319201682702</v>
      </c>
      <c r="O4531">
        <v>61.589794821839398</v>
      </c>
      <c r="P4531">
        <v>-9.4797982407229905E-2</v>
      </c>
      <c r="Q4531">
        <v>0</v>
      </c>
      <c r="R4531">
        <v>0.991095245568273</v>
      </c>
      <c r="S4531" t="s">
        <v>10816</v>
      </c>
      <c r="T4531" t="s">
        <v>12568</v>
      </c>
      <c r="U4531" t="s">
        <v>12568</v>
      </c>
      <c r="V4531" t="s">
        <v>12568</v>
      </c>
      <c r="W4531" t="s">
        <v>17052</v>
      </c>
      <c r="X4531">
        <v>8</v>
      </c>
      <c r="Y4531" t="s">
        <v>23162</v>
      </c>
      <c r="Z4531" t="s">
        <v>29401</v>
      </c>
      <c r="AA4531">
        <v>0.73891100704377166</v>
      </c>
      <c r="AB4531" t="str">
        <f>HYPERLINK("Melting_Curves/meltCurve_Q969U7_PSMG2.pdf", "Melting_Curves/meltCurve_Q969U7_PSMG2.pdf")</f>
        <v>Melting_Curves/meltCurve_Q969U7_PSMG2.pdf</v>
      </c>
    </row>
    <row r="4532" spans="1:28" x14ac:dyDescent="0.25">
      <c r="A4532" t="s">
        <v>4536</v>
      </c>
      <c r="B4532">
        <v>0.99352677808782597</v>
      </c>
      <c r="C4532">
        <v>1.00955672697787</v>
      </c>
      <c r="D4532">
        <v>1.0433270854804899</v>
      </c>
      <c r="E4532">
        <v>0.96733733922116305</v>
      </c>
      <c r="F4532">
        <v>0.91614737384995104</v>
      </c>
      <c r="G4532">
        <v>0.76287686381769704</v>
      </c>
      <c r="H4532">
        <v>0.54174804475865401</v>
      </c>
      <c r="I4532">
        <v>0.48147638776764601</v>
      </c>
      <c r="J4532">
        <v>0.476044855958558</v>
      </c>
      <c r="K4532">
        <v>0.354113514972417</v>
      </c>
      <c r="L4532">
        <v>1077.6636345012701</v>
      </c>
      <c r="M4532">
        <v>18.451594533048901</v>
      </c>
      <c r="N4532">
        <v>62.971478840363801</v>
      </c>
      <c r="O4532">
        <v>57.731861204964297</v>
      </c>
      <c r="P4532">
        <v>-5.0434496518437802E-2</v>
      </c>
      <c r="Q4532">
        <v>0.368824840628944</v>
      </c>
      <c r="R4532">
        <v>0.98761181074400795</v>
      </c>
      <c r="S4532" t="s">
        <v>10817</v>
      </c>
      <c r="T4532" t="s">
        <v>12568</v>
      </c>
      <c r="U4532" t="s">
        <v>12568</v>
      </c>
      <c r="V4532" t="s">
        <v>12568</v>
      </c>
      <c r="W4532" t="s">
        <v>17053</v>
      </c>
      <c r="X4532">
        <v>1</v>
      </c>
      <c r="Y4532" t="s">
        <v>23163</v>
      </c>
      <c r="Z4532" t="s">
        <v>29402</v>
      </c>
      <c r="AA4532">
        <v>0.76332819611307579</v>
      </c>
      <c r="AB4532" t="str">
        <f>HYPERLINK("Melting_Curves/meltCurve_Q969V5_MUL1.pdf", "Melting_Curves/meltCurve_Q969V5_MUL1.pdf")</f>
        <v>Melting_Curves/meltCurve_Q969V5_MUL1.pdf</v>
      </c>
    </row>
    <row r="4533" spans="1:28" x14ac:dyDescent="0.25">
      <c r="A4533" t="s">
        <v>4537</v>
      </c>
      <c r="B4533">
        <v>0.99352677808782597</v>
      </c>
      <c r="C4533">
        <v>1.0631289479259201</v>
      </c>
      <c r="D4533">
        <v>1.07250466352465</v>
      </c>
      <c r="E4533">
        <v>1.1594330313463499</v>
      </c>
      <c r="F4533">
        <v>1.01531005288126</v>
      </c>
      <c r="G4533">
        <v>0.86061094940628302</v>
      </c>
      <c r="H4533">
        <v>1.05566172314875</v>
      </c>
      <c r="I4533">
        <v>1.18337614162569</v>
      </c>
      <c r="J4533">
        <v>1.0253085616163</v>
      </c>
      <c r="K4533">
        <v>0.90401807520811095</v>
      </c>
      <c r="L4533">
        <v>10320.8446506373</v>
      </c>
      <c r="M4533">
        <v>250</v>
      </c>
      <c r="O4533">
        <v>41.280744304603601</v>
      </c>
      <c r="P4533">
        <v>5.7087262651933798E-2</v>
      </c>
      <c r="Q4533">
        <v>1.0377056681475501</v>
      </c>
      <c r="R4533">
        <v>1.9077602423112801E-2</v>
      </c>
      <c r="S4533" t="s">
        <v>10818</v>
      </c>
      <c r="T4533" t="s">
        <v>12568</v>
      </c>
      <c r="U4533" t="s">
        <v>12568</v>
      </c>
      <c r="V4533" t="s">
        <v>12568</v>
      </c>
      <c r="W4533" t="s">
        <v>17054</v>
      </c>
      <c r="X4533">
        <v>4</v>
      </c>
      <c r="Y4533" t="s">
        <v>23164</v>
      </c>
      <c r="Z4533" t="s">
        <v>29403</v>
      </c>
      <c r="AA4533">
        <v>1.0360898512217049</v>
      </c>
      <c r="AB4533" t="str">
        <f>HYPERLINK("Melting_Curves/meltCurve_Q969W3_2_FAM104A.pdf", "Melting_Curves/meltCurve_Q969W3_2_FAM104A.pdf")</f>
        <v>Melting_Curves/meltCurve_Q969W3_2_FAM104A.pdf</v>
      </c>
    </row>
    <row r="4534" spans="1:28" x14ac:dyDescent="0.25">
      <c r="A4534" t="s">
        <v>4538</v>
      </c>
      <c r="B4534">
        <v>0.99352677808782597</v>
      </c>
      <c r="C4534">
        <v>0.99723910038597396</v>
      </c>
      <c r="D4534">
        <v>1.01781253863567</v>
      </c>
      <c r="E4534">
        <v>0.52979288204802499</v>
      </c>
      <c r="F4534">
        <v>0.42183666692455501</v>
      </c>
      <c r="G4534">
        <v>0.34568099513427802</v>
      </c>
      <c r="H4534">
        <v>0.27157428756956098</v>
      </c>
      <c r="I4534">
        <v>0.24956527915881499</v>
      </c>
      <c r="J4534">
        <v>0.269470541516875</v>
      </c>
      <c r="K4534">
        <v>0.22514144260677799</v>
      </c>
      <c r="L4534">
        <v>1616.3673568674501</v>
      </c>
      <c r="M4534">
        <v>32.651166466080099</v>
      </c>
      <c r="N4534">
        <v>50.762167996472897</v>
      </c>
      <c r="O4534">
        <v>49.319512472780303</v>
      </c>
      <c r="P4534">
        <v>-0.11959796238494801</v>
      </c>
      <c r="Q4534">
        <v>0.27739320799356199</v>
      </c>
      <c r="R4534">
        <v>0.98055857449686401</v>
      </c>
      <c r="S4534" t="s">
        <v>10819</v>
      </c>
      <c r="T4534" t="s">
        <v>12568</v>
      </c>
      <c r="U4534" t="s">
        <v>12568</v>
      </c>
      <c r="V4534" t="s">
        <v>12568</v>
      </c>
      <c r="W4534" t="s">
        <v>17055</v>
      </c>
      <c r="X4534">
        <v>2</v>
      </c>
      <c r="Y4534" t="s">
        <v>23165</v>
      </c>
      <c r="Z4534" t="s">
        <v>29404</v>
      </c>
      <c r="AA4534">
        <v>0.51005084360886987</v>
      </c>
      <c r="AB4534" t="str">
        <f>HYPERLINK("Melting_Curves/meltCurve_Q969X0_RILPL2.pdf", "Melting_Curves/meltCurve_Q969X0_RILPL2.pdf")</f>
        <v>Melting_Curves/meltCurve_Q969X0_RILPL2.pdf</v>
      </c>
    </row>
    <row r="4535" spans="1:28" x14ac:dyDescent="0.25">
      <c r="A4535" t="s">
        <v>4539</v>
      </c>
      <c r="B4535">
        <v>0.99352677808782597</v>
      </c>
      <c r="C4535">
        <v>0.83005910765755797</v>
      </c>
      <c r="D4535">
        <v>1.01433052366799</v>
      </c>
      <c r="E4535">
        <v>0.65833541431220399</v>
      </c>
      <c r="F4535">
        <v>0.52076079891007598</v>
      </c>
      <c r="G4535">
        <v>0.27310162831046703</v>
      </c>
      <c r="H4535">
        <v>0.11593495617380099</v>
      </c>
      <c r="I4535">
        <v>0.14887792888523199</v>
      </c>
      <c r="J4535">
        <v>0.107714486232656</v>
      </c>
      <c r="K4535">
        <v>0.19911711897916101</v>
      </c>
      <c r="L4535">
        <v>953.62114790868998</v>
      </c>
      <c r="M4535">
        <v>18.367301247160398</v>
      </c>
      <c r="N4535">
        <v>52.729064945950597</v>
      </c>
      <c r="O4535">
        <v>51.315818800157402</v>
      </c>
      <c r="P4535">
        <v>-7.8491103625360006E-2</v>
      </c>
      <c r="Q4535">
        <v>0.122865164809148</v>
      </c>
      <c r="R4535">
        <v>0.96297929462190501</v>
      </c>
      <c r="S4535" t="s">
        <v>10820</v>
      </c>
      <c r="T4535" t="s">
        <v>12568</v>
      </c>
      <c r="U4535" t="s">
        <v>12568</v>
      </c>
      <c r="V4535" t="s">
        <v>12568</v>
      </c>
      <c r="W4535" t="s">
        <v>17056</v>
      </c>
      <c r="X4535">
        <v>1</v>
      </c>
      <c r="Y4535" t="s">
        <v>23166</v>
      </c>
      <c r="Z4535" t="s">
        <v>29405</v>
      </c>
      <c r="AA4535">
        <v>0.48547816184515707</v>
      </c>
      <c r="AB4535" t="str">
        <f>HYPERLINK("Melting_Curves/meltCurve_Q969X6_CIRH1A.pdf", "Melting_Curves/meltCurve_Q969X6_CIRH1A.pdf")</f>
        <v>Melting_Curves/meltCurve_Q969X6_CIRH1A.pdf</v>
      </c>
    </row>
    <row r="4536" spans="1:28" x14ac:dyDescent="0.25">
      <c r="A4536" t="s">
        <v>4540</v>
      </c>
      <c r="B4536">
        <v>0.99352677808782597</v>
      </c>
      <c r="C4536">
        <v>0.95826711978032098</v>
      </c>
      <c r="D4536">
        <v>0.88430283525598197</v>
      </c>
      <c r="E4536">
        <v>0.29654640044097202</v>
      </c>
      <c r="F4536">
        <v>0.205155701138202</v>
      </c>
      <c r="G4536">
        <v>0.10745716504245</v>
      </c>
      <c r="H4536">
        <v>6.8858749076277703E-2</v>
      </c>
      <c r="I4536">
        <v>4.55025905508969E-2</v>
      </c>
      <c r="J4536">
        <v>3.38275629581282E-2</v>
      </c>
      <c r="K4536">
        <v>3.6302574171838103E-2</v>
      </c>
      <c r="L4536">
        <v>1446.33969948187</v>
      </c>
      <c r="M4536">
        <v>29.7849332546214</v>
      </c>
      <c r="N4536">
        <v>48.7803733283734</v>
      </c>
      <c r="O4536">
        <v>48.3421465563219</v>
      </c>
      <c r="P4536">
        <v>-0.14431378462224201</v>
      </c>
      <c r="Q4536">
        <v>6.3098369841848898E-2</v>
      </c>
      <c r="R4536">
        <v>0.99219468178245795</v>
      </c>
      <c r="S4536" t="s">
        <v>10821</v>
      </c>
      <c r="T4536" t="s">
        <v>12568</v>
      </c>
      <c r="U4536" t="s">
        <v>12568</v>
      </c>
      <c r="V4536" t="s">
        <v>12568</v>
      </c>
      <c r="W4536" t="s">
        <v>17057</v>
      </c>
      <c r="X4536">
        <v>3</v>
      </c>
      <c r="Y4536" t="s">
        <v>23167</v>
      </c>
      <c r="Z4536" t="s">
        <v>29406</v>
      </c>
      <c r="AA4536">
        <v>0.33616789379455891</v>
      </c>
      <c r="AB4536" t="str">
        <f>HYPERLINK("Melting_Curves/meltCurve_Q969Y2_3_GTPBP3.pdf", "Melting_Curves/meltCurve_Q969Y2_3_GTPBP3.pdf")</f>
        <v>Melting_Curves/meltCurve_Q969Y2_3_GTPBP3.pdf</v>
      </c>
    </row>
    <row r="4537" spans="1:28" x14ac:dyDescent="0.25">
      <c r="A4537" t="s">
        <v>4541</v>
      </c>
      <c r="B4537">
        <v>0.99352677808782597</v>
      </c>
      <c r="C4537">
        <v>0.80413417966924505</v>
      </c>
      <c r="D4537">
        <v>0.55102037058387998</v>
      </c>
      <c r="E4537">
        <v>0.26643395352827198</v>
      </c>
      <c r="F4537">
        <v>0.22619691283312801</v>
      </c>
      <c r="G4537">
        <v>0.13756540972404099</v>
      </c>
      <c r="H4537">
        <v>0.102881031973065</v>
      </c>
      <c r="I4537">
        <v>0.10826991816346</v>
      </c>
      <c r="J4537">
        <v>7.6409672899315495E-2</v>
      </c>
      <c r="K4537">
        <v>5.6506261781147302E-2</v>
      </c>
      <c r="L4537">
        <v>794.89215656231499</v>
      </c>
      <c r="M4537">
        <v>17.187570434223101</v>
      </c>
      <c r="N4537">
        <v>46.7752805839187</v>
      </c>
      <c r="O4537">
        <v>45.635639254885497</v>
      </c>
      <c r="P4537">
        <v>-8.5870600855173201E-2</v>
      </c>
      <c r="Q4537">
        <v>8.8055442863476205E-2</v>
      </c>
      <c r="R4537">
        <v>0.99280654349017805</v>
      </c>
      <c r="S4537" t="s">
        <v>10822</v>
      </c>
      <c r="T4537" t="s">
        <v>12568</v>
      </c>
      <c r="U4537" t="s">
        <v>12568</v>
      </c>
      <c r="V4537" t="s">
        <v>12568</v>
      </c>
      <c r="W4537" t="s">
        <v>17058</v>
      </c>
      <c r="X4537">
        <v>9</v>
      </c>
      <c r="Y4537" t="s">
        <v>23168</v>
      </c>
      <c r="Z4537" t="s">
        <v>29407</v>
      </c>
      <c r="AA4537">
        <v>0.29746385516217738</v>
      </c>
      <c r="AB4537" t="str">
        <f>HYPERLINK("Melting_Curves/meltCurve_Q969Z0_TBRG4.pdf", "Melting_Curves/meltCurve_Q969Z0_TBRG4.pdf")</f>
        <v>Melting_Curves/meltCurve_Q969Z0_TBRG4.pdf</v>
      </c>
    </row>
    <row r="4538" spans="1:28" x14ac:dyDescent="0.25">
      <c r="A4538" t="s">
        <v>4542</v>
      </c>
      <c r="B4538">
        <v>0.99352677808782597</v>
      </c>
      <c r="C4538">
        <v>0.91512340837734396</v>
      </c>
      <c r="D4538">
        <v>1.02499704971866</v>
      </c>
      <c r="E4538">
        <v>1.0262234946209901</v>
      </c>
      <c r="F4538">
        <v>0.96949858380059895</v>
      </c>
      <c r="G4538">
        <v>0.97406661603708999</v>
      </c>
      <c r="H4538">
        <v>0.77075449202157598</v>
      </c>
      <c r="I4538">
        <v>0.78323789240066799</v>
      </c>
      <c r="J4538">
        <v>0.88089053194378897</v>
      </c>
      <c r="K4538">
        <v>0.67416192033673294</v>
      </c>
      <c r="L4538">
        <v>14365.520941655401</v>
      </c>
      <c r="M4538">
        <v>250</v>
      </c>
      <c r="O4538">
        <v>57.458406567198402</v>
      </c>
      <c r="P4538">
        <v>-0.24228266884609601</v>
      </c>
      <c r="Q4538">
        <v>0.777261182781251</v>
      </c>
      <c r="R4538">
        <v>0.76659385646606504</v>
      </c>
      <c r="S4538" t="s">
        <v>10823</v>
      </c>
      <c r="T4538" t="s">
        <v>12568</v>
      </c>
      <c r="U4538" t="s">
        <v>12568</v>
      </c>
      <c r="V4538" t="s">
        <v>12568</v>
      </c>
      <c r="W4538" t="s">
        <v>17059</v>
      </c>
      <c r="X4538">
        <v>9</v>
      </c>
      <c r="Y4538" t="s">
        <v>23169</v>
      </c>
      <c r="Z4538" t="s">
        <v>29408</v>
      </c>
      <c r="AA4538">
        <v>0.90693310770297364</v>
      </c>
      <c r="AB4538" t="str">
        <f>HYPERLINK("Melting_Curves/meltCurve_Q96A00_PPP1R14A.pdf", "Melting_Curves/meltCurve_Q96A00_PPP1R14A.pdf")</f>
        <v>Melting_Curves/meltCurve_Q96A00_PPP1R14A.pdf</v>
      </c>
    </row>
    <row r="4539" spans="1:28" x14ac:dyDescent="0.25">
      <c r="A4539" t="s">
        <v>4543</v>
      </c>
      <c r="B4539">
        <v>0.99352677808782597</v>
      </c>
      <c r="C4539">
        <v>0.98379435593776798</v>
      </c>
      <c r="D4539">
        <v>0.97318423964962997</v>
      </c>
      <c r="E4539">
        <v>0.88984480516696496</v>
      </c>
      <c r="F4539">
        <v>0.84613266590105596</v>
      </c>
      <c r="G4539">
        <v>0.65939025162545895</v>
      </c>
      <c r="H4539">
        <v>0.64060236701361195</v>
      </c>
      <c r="I4539">
        <v>0.67578212110925795</v>
      </c>
      <c r="J4539">
        <v>0.74354344670206096</v>
      </c>
      <c r="K4539">
        <v>0.60344346101619795</v>
      </c>
      <c r="L4539">
        <v>1202.26277164002</v>
      </c>
      <c r="M4539">
        <v>22.960522641272998</v>
      </c>
      <c r="O4539">
        <v>51.969838156274697</v>
      </c>
      <c r="P4539">
        <v>-3.8022739741479697E-2</v>
      </c>
      <c r="Q4539">
        <v>0.65575733020114602</v>
      </c>
      <c r="R4539">
        <v>0.926769184202064</v>
      </c>
      <c r="S4539" t="s">
        <v>10824</v>
      </c>
      <c r="T4539" t="s">
        <v>12568</v>
      </c>
      <c r="U4539" t="s">
        <v>12568</v>
      </c>
      <c r="V4539" t="s">
        <v>12568</v>
      </c>
      <c r="W4539" t="s">
        <v>17060</v>
      </c>
      <c r="X4539">
        <v>16</v>
      </c>
      <c r="Y4539" t="s">
        <v>23170</v>
      </c>
      <c r="Z4539" t="s">
        <v>29409</v>
      </c>
      <c r="AA4539">
        <v>0.80131236448623044</v>
      </c>
      <c r="AB4539" t="str">
        <f>HYPERLINK("Melting_Curves/meltCurve_Q96A19_CCDC102A.pdf", "Melting_Curves/meltCurve_Q96A19_CCDC102A.pdf")</f>
        <v>Melting_Curves/meltCurve_Q96A19_CCDC102A.pdf</v>
      </c>
    </row>
    <row r="4540" spans="1:28" x14ac:dyDescent="0.25">
      <c r="A4540" t="s">
        <v>4544</v>
      </c>
      <c r="B4540">
        <v>0.99352677808782597</v>
      </c>
      <c r="C4540">
        <v>0.95692131159737503</v>
      </c>
      <c r="D4540">
        <v>1.00459798380173</v>
      </c>
      <c r="E4540">
        <v>1.03644661013952</v>
      </c>
      <c r="F4540">
        <v>1.0048565133342999</v>
      </c>
      <c r="G4540">
        <v>0.86939460324319495</v>
      </c>
      <c r="H4540">
        <v>0.83229255331390894</v>
      </c>
      <c r="I4540">
        <v>0.94037066913318701</v>
      </c>
      <c r="J4540">
        <v>0.85299236230128095</v>
      </c>
      <c r="K4540">
        <v>0.72158702836195299</v>
      </c>
      <c r="L4540">
        <v>501.926751844595</v>
      </c>
      <c r="M4540">
        <v>6.0143972220352904</v>
      </c>
      <c r="Q4540">
        <v>0</v>
      </c>
      <c r="R4540">
        <v>0.71686082538163298</v>
      </c>
      <c r="S4540" t="s">
        <v>10825</v>
      </c>
      <c r="T4540" t="s">
        <v>12568</v>
      </c>
      <c r="U4540" t="s">
        <v>12568</v>
      </c>
      <c r="V4540" t="s">
        <v>12568</v>
      </c>
      <c r="W4540" t="s">
        <v>17061</v>
      </c>
      <c r="X4540">
        <v>3</v>
      </c>
      <c r="Y4540" t="s">
        <v>23171</v>
      </c>
      <c r="Z4540" t="s">
        <v>29410</v>
      </c>
      <c r="AA4540">
        <v>0.93011459245386385</v>
      </c>
      <c r="AB4540" t="str">
        <f>HYPERLINK("Melting_Curves/meltCurve_Q96A37_3_RNF166.pdf", "Melting_Curves/meltCurve_Q96A37_3_RNF166.pdf")</f>
        <v>Melting_Curves/meltCurve_Q96A37_3_RNF166.pdf</v>
      </c>
    </row>
    <row r="4541" spans="1:28" x14ac:dyDescent="0.25">
      <c r="A4541" t="s">
        <v>4545</v>
      </c>
      <c r="B4541">
        <v>0.99352677808782597</v>
      </c>
      <c r="C4541">
        <v>0.76732181252281895</v>
      </c>
      <c r="D4541">
        <v>0.86194166037235898</v>
      </c>
      <c r="E4541">
        <v>0.94165370352181299</v>
      </c>
      <c r="F4541">
        <v>1.0564186157695901</v>
      </c>
      <c r="G4541">
        <v>1.0727922295910699</v>
      </c>
      <c r="H4541">
        <v>0.95692056001507397</v>
      </c>
      <c r="I4541">
        <v>1.1993694920509701</v>
      </c>
      <c r="J4541">
        <v>0.97230991866301197</v>
      </c>
      <c r="K4541">
        <v>1.07636341016599</v>
      </c>
      <c r="L4541">
        <v>12971.5022384608</v>
      </c>
      <c r="M4541">
        <v>250</v>
      </c>
      <c r="O4541">
        <v>51.8826935518506</v>
      </c>
      <c r="P4541">
        <v>6.7148882055677206E-2</v>
      </c>
      <c r="Q4541">
        <v>1.0557418325360499</v>
      </c>
      <c r="R4541">
        <v>0.13290270953733699</v>
      </c>
      <c r="S4541" t="s">
        <v>10826</v>
      </c>
      <c r="T4541" t="s">
        <v>12568</v>
      </c>
      <c r="U4541" t="s">
        <v>12568</v>
      </c>
      <c r="V4541" t="s">
        <v>12568</v>
      </c>
      <c r="W4541" t="s">
        <v>17062</v>
      </c>
      <c r="X4541">
        <v>2</v>
      </c>
      <c r="Y4541" t="s">
        <v>23172</v>
      </c>
      <c r="Z4541" t="s">
        <v>29411</v>
      </c>
      <c r="AA4541">
        <v>1.0336518260452481</v>
      </c>
      <c r="AB4541" t="str">
        <f>HYPERLINK("Melting_Curves/meltCurve_Q96A46_SLC25A28.pdf", "Melting_Curves/meltCurve_Q96A46_SLC25A28.pdf")</f>
        <v>Melting_Curves/meltCurve_Q96A46_SLC25A28.pdf</v>
      </c>
    </row>
    <row r="4542" spans="1:28" x14ac:dyDescent="0.25">
      <c r="A4542" t="s">
        <v>4546</v>
      </c>
      <c r="B4542">
        <v>0.99352677808782597</v>
      </c>
      <c r="C4542">
        <v>0.98913964149611999</v>
      </c>
      <c r="D4542">
        <v>1.1624063755015499</v>
      </c>
      <c r="E4542">
        <v>1.0108638961435601</v>
      </c>
      <c r="F4542">
        <v>0.781216749458855</v>
      </c>
      <c r="G4542">
        <v>0.71884368453394598</v>
      </c>
      <c r="H4542">
        <v>0.60849257648840105</v>
      </c>
      <c r="I4542">
        <v>0.52560507340129103</v>
      </c>
      <c r="J4542">
        <v>0.561255004422066</v>
      </c>
      <c r="K4542">
        <v>0.51285610170437701</v>
      </c>
      <c r="L4542">
        <v>1184.88688351414</v>
      </c>
      <c r="M4542">
        <v>21.506192175351298</v>
      </c>
      <c r="O4542">
        <v>54.6254242720454</v>
      </c>
      <c r="P4542">
        <v>-4.6139949047465399E-2</v>
      </c>
      <c r="Q4542">
        <v>0.53123217583057203</v>
      </c>
      <c r="R4542">
        <v>0.91747140755534295</v>
      </c>
      <c r="S4542" t="s">
        <v>10827</v>
      </c>
      <c r="T4542" t="s">
        <v>12568</v>
      </c>
      <c r="U4542" t="s">
        <v>12568</v>
      </c>
      <c r="V4542" t="s">
        <v>12568</v>
      </c>
      <c r="W4542" t="s">
        <v>17063</v>
      </c>
      <c r="X4542">
        <v>13</v>
      </c>
      <c r="Y4542" t="s">
        <v>23173</v>
      </c>
      <c r="Z4542" t="s">
        <v>29412</v>
      </c>
      <c r="AA4542">
        <v>0.77267283735812009</v>
      </c>
      <c r="AB4542" t="str">
        <f>HYPERLINK("Melting_Curves/meltCurve_Q96A49_SYAP1.pdf", "Melting_Curves/meltCurve_Q96A49_SYAP1.pdf")</f>
        <v>Melting_Curves/meltCurve_Q96A49_SYAP1.pdf</v>
      </c>
    </row>
    <row r="4543" spans="1:28" x14ac:dyDescent="0.25">
      <c r="A4543" t="s">
        <v>4547</v>
      </c>
      <c r="B4543">
        <v>0.99352677808782597</v>
      </c>
      <c r="C4543">
        <v>1.0310474183612</v>
      </c>
      <c r="D4543">
        <v>0.93111493173556603</v>
      </c>
      <c r="E4543">
        <v>0.40854744490910699</v>
      </c>
      <c r="F4543">
        <v>0.33168414161932502</v>
      </c>
      <c r="G4543">
        <v>0.22222970185500401</v>
      </c>
      <c r="H4543">
        <v>0.13531932467723501</v>
      </c>
      <c r="I4543">
        <v>0.13611651909255201</v>
      </c>
      <c r="J4543">
        <v>0.11036834651222401</v>
      </c>
      <c r="K4543">
        <v>8.8721189206554404E-2</v>
      </c>
      <c r="L4543">
        <v>1287.0586752827801</v>
      </c>
      <c r="M4543">
        <v>26.151548625318402</v>
      </c>
      <c r="N4543">
        <v>49.831438326016098</v>
      </c>
      <c r="O4543">
        <v>48.930315433711101</v>
      </c>
      <c r="P4543">
        <v>-0.11516263564021099</v>
      </c>
      <c r="Q4543">
        <v>0.138119001488516</v>
      </c>
      <c r="R4543">
        <v>0.98289796652811301</v>
      </c>
      <c r="S4543" t="s">
        <v>10828</v>
      </c>
      <c r="T4543" t="s">
        <v>12568</v>
      </c>
      <c r="U4543" t="s">
        <v>12568</v>
      </c>
      <c r="V4543" t="s">
        <v>12568</v>
      </c>
      <c r="W4543" t="s">
        <v>17064</v>
      </c>
      <c r="X4543">
        <v>25</v>
      </c>
      <c r="Y4543" t="s">
        <v>23174</v>
      </c>
      <c r="Z4543" t="s">
        <v>29413</v>
      </c>
      <c r="AA4543">
        <v>0.40984602016412602</v>
      </c>
      <c r="AB4543" t="str">
        <f>HYPERLINK("Melting_Curves/meltCurve_Q96A65_EXOC4.pdf", "Melting_Curves/meltCurve_Q96A65_EXOC4.pdf")</f>
        <v>Melting_Curves/meltCurve_Q96A65_EXOC4.pdf</v>
      </c>
    </row>
    <row r="4544" spans="1:28" x14ac:dyDescent="0.25">
      <c r="A4544" t="s">
        <v>4548</v>
      </c>
      <c r="B4544">
        <v>0.99352677808782597</v>
      </c>
      <c r="C4544">
        <v>0.89726619854116996</v>
      </c>
      <c r="D4544">
        <v>0.94423155823968696</v>
      </c>
      <c r="E4544">
        <v>0.29419734885786603</v>
      </c>
      <c r="F4544">
        <v>0.22319605473899501</v>
      </c>
      <c r="G4544">
        <v>0.116910145831298</v>
      </c>
      <c r="H4544">
        <v>8.6390813680459297E-2</v>
      </c>
      <c r="I4544">
        <v>7.8328010756145802E-2</v>
      </c>
      <c r="J4544">
        <v>7.2943962150587099E-2</v>
      </c>
      <c r="K4544">
        <v>5.2616678326494998E-2</v>
      </c>
      <c r="L4544">
        <v>1830.7693715027101</v>
      </c>
      <c r="M4544">
        <v>37.657751107187003</v>
      </c>
      <c r="N4544">
        <v>48.884732398339601</v>
      </c>
      <c r="O4544">
        <v>48.479515969247302</v>
      </c>
      <c r="P4544">
        <v>-0.17603831316427301</v>
      </c>
      <c r="Q4544">
        <v>9.3495556906825303E-2</v>
      </c>
      <c r="R4544">
        <v>0.98382292262933801</v>
      </c>
      <c r="S4544" t="s">
        <v>10829</v>
      </c>
      <c r="T4544" t="s">
        <v>12568</v>
      </c>
      <c r="U4544" t="s">
        <v>12568</v>
      </c>
      <c r="V4544" t="s">
        <v>12568</v>
      </c>
      <c r="W4544" t="s">
        <v>17065</v>
      </c>
      <c r="X4544">
        <v>7</v>
      </c>
      <c r="Y4544" t="s">
        <v>23175</v>
      </c>
      <c r="Z4544" t="s">
        <v>29414</v>
      </c>
      <c r="AA4544">
        <v>0.35729241229271808</v>
      </c>
      <c r="AB4544" t="str">
        <f>HYPERLINK("Melting_Curves/meltCurve_Q96A72_MAGOHB.pdf", "Melting_Curves/meltCurve_Q96A72_MAGOHB.pdf")</f>
        <v>Melting_Curves/meltCurve_Q96A72_MAGOHB.pdf</v>
      </c>
    </row>
    <row r="4545" spans="1:28" x14ac:dyDescent="0.25">
      <c r="A4545" t="s">
        <v>4549</v>
      </c>
      <c r="B4545">
        <v>0.99352677808782597</v>
      </c>
      <c r="C4545">
        <v>0.95003263932425497</v>
      </c>
      <c r="D4545">
        <v>0.95026925292263997</v>
      </c>
      <c r="E4545">
        <v>0.94372453441922299</v>
      </c>
      <c r="F4545">
        <v>0.89077574360388401</v>
      </c>
      <c r="G4545">
        <v>0.84525801980940696</v>
      </c>
      <c r="H4545">
        <v>0.75352972153986097</v>
      </c>
      <c r="I4545">
        <v>0.74882602398628295</v>
      </c>
      <c r="J4545">
        <v>0.71945724030496905</v>
      </c>
      <c r="K4545">
        <v>0.821033799900585</v>
      </c>
      <c r="L4545">
        <v>692.63014133584397</v>
      </c>
      <c r="M4545">
        <v>12.9034146224897</v>
      </c>
      <c r="O4545">
        <v>52.437838329428303</v>
      </c>
      <c r="P4545">
        <v>-1.5917447751898701E-2</v>
      </c>
      <c r="Q4545">
        <v>0.74130110423857398</v>
      </c>
      <c r="R4545">
        <v>0.87759615517007294</v>
      </c>
      <c r="S4545" t="s">
        <v>10830</v>
      </c>
      <c r="T4545" t="s">
        <v>12568</v>
      </c>
      <c r="U4545" t="s">
        <v>12568</v>
      </c>
      <c r="V4545" t="s">
        <v>12568</v>
      </c>
      <c r="W4545" t="s">
        <v>17066</v>
      </c>
      <c r="X4545">
        <v>2</v>
      </c>
      <c r="Y4545" t="s">
        <v>23176</v>
      </c>
      <c r="Z4545" t="s">
        <v>29415</v>
      </c>
      <c r="AA4545">
        <v>0.86570614677197499</v>
      </c>
      <c r="AB4545" t="str">
        <f>HYPERLINK("Melting_Curves/meltCurve_Q96A73_KIAA1191.pdf", "Melting_Curves/meltCurve_Q96A73_KIAA1191.pdf")</f>
        <v>Melting_Curves/meltCurve_Q96A73_KIAA1191.pdf</v>
      </c>
    </row>
    <row r="4546" spans="1:28" x14ac:dyDescent="0.25">
      <c r="A4546" t="s">
        <v>4550</v>
      </c>
      <c r="B4546">
        <v>0.99352677808782597</v>
      </c>
      <c r="C4546">
        <v>0.86498166018565104</v>
      </c>
      <c r="D4546">
        <v>0.750621086056107</v>
      </c>
      <c r="E4546">
        <v>0.46367660247613701</v>
      </c>
      <c r="F4546">
        <v>0.329627440063266</v>
      </c>
      <c r="G4546">
        <v>0.19933954088234501</v>
      </c>
      <c r="H4546">
        <v>0.15521499068772099</v>
      </c>
      <c r="I4546">
        <v>0.132411619068699</v>
      </c>
      <c r="J4546">
        <v>0.106815523440458</v>
      </c>
      <c r="K4546">
        <v>9.2954606607106902E-2</v>
      </c>
      <c r="L4546">
        <v>686.61952332149099</v>
      </c>
      <c r="M4546">
        <v>14.033520041721999</v>
      </c>
      <c r="N4546">
        <v>49.643288129790797</v>
      </c>
      <c r="O4546">
        <v>47.965758864153898</v>
      </c>
      <c r="P4546">
        <v>-6.6449408089998094E-2</v>
      </c>
      <c r="Q4546">
        <v>9.1638560971880598E-2</v>
      </c>
      <c r="R4546">
        <v>0.99773058084700394</v>
      </c>
      <c r="S4546" t="s">
        <v>10831</v>
      </c>
      <c r="T4546" t="s">
        <v>12568</v>
      </c>
      <c r="U4546" t="s">
        <v>12568</v>
      </c>
      <c r="V4546" t="s">
        <v>12568</v>
      </c>
      <c r="W4546" t="s">
        <v>17067</v>
      </c>
      <c r="X4546">
        <v>3</v>
      </c>
      <c r="Y4546" t="s">
        <v>23177</v>
      </c>
      <c r="Z4546" t="s">
        <v>29416</v>
      </c>
      <c r="AA4546">
        <v>0.38738757392243273</v>
      </c>
      <c r="AB4546" t="str">
        <f>HYPERLINK("Melting_Curves/meltCurve_Q96AB3_ISOC2.pdf", "Melting_Curves/meltCurve_Q96AB3_ISOC2.pdf")</f>
        <v>Melting_Curves/meltCurve_Q96AB3_ISOC2.pdf</v>
      </c>
    </row>
    <row r="4547" spans="1:28" x14ac:dyDescent="0.25">
      <c r="A4547" t="s">
        <v>4551</v>
      </c>
      <c r="B4547">
        <v>0.99352677808782597</v>
      </c>
      <c r="C4547">
        <v>0.90652888858549296</v>
      </c>
      <c r="D4547">
        <v>0.93958004858714705</v>
      </c>
      <c r="E4547">
        <v>0.31689179644279403</v>
      </c>
      <c r="F4547">
        <v>0.25182867016254801</v>
      </c>
      <c r="G4547">
        <v>0.142207013808241</v>
      </c>
      <c r="H4547">
        <v>9.9424772534513706E-2</v>
      </c>
      <c r="I4547">
        <v>9.8789600057311397E-2</v>
      </c>
      <c r="J4547">
        <v>7.9873005313100404E-2</v>
      </c>
      <c r="K4547">
        <v>6.5484747620171702E-2</v>
      </c>
      <c r="L4547">
        <v>1660.92973276875</v>
      </c>
      <c r="M4547">
        <v>34.129785513575897</v>
      </c>
      <c r="N4547">
        <v>49.012747289109498</v>
      </c>
      <c r="O4547">
        <v>48.498958824562102</v>
      </c>
      <c r="P4547">
        <v>-0.157018237758036</v>
      </c>
      <c r="Q4547">
        <v>0.107502231244001</v>
      </c>
      <c r="R4547">
        <v>0.98289339729163405</v>
      </c>
      <c r="S4547" t="s">
        <v>10832</v>
      </c>
      <c r="T4547" t="s">
        <v>12568</v>
      </c>
      <c r="U4547" t="s">
        <v>12568</v>
      </c>
      <c r="V4547" t="s">
        <v>12568</v>
      </c>
      <c r="W4547" t="s">
        <v>17068</v>
      </c>
      <c r="X4547">
        <v>6</v>
      </c>
      <c r="Y4547" t="s">
        <v>23178</v>
      </c>
      <c r="Z4547" t="s">
        <v>29417</v>
      </c>
      <c r="AA4547">
        <v>0.36944134219326352</v>
      </c>
      <c r="AB4547" t="str">
        <f>HYPERLINK("Melting_Curves/meltCurve_Q96AB6_NTAN1.pdf", "Melting_Curves/meltCurve_Q96AB6_NTAN1.pdf")</f>
        <v>Melting_Curves/meltCurve_Q96AB6_NTAN1.pdf</v>
      </c>
    </row>
    <row r="4548" spans="1:28" x14ac:dyDescent="0.25">
      <c r="A4548" t="s">
        <v>4552</v>
      </c>
      <c r="B4548">
        <v>0.99352677808782597</v>
      </c>
      <c r="C4548">
        <v>0.96267295412947396</v>
      </c>
      <c r="D4548">
        <v>0.96785776699654502</v>
      </c>
      <c r="E4548">
        <v>0.94401069411619998</v>
      </c>
      <c r="F4548">
        <v>0.83524240677313499</v>
      </c>
      <c r="G4548">
        <v>0.55199428397959205</v>
      </c>
      <c r="H4548">
        <v>0.155340414331508</v>
      </c>
      <c r="I4548">
        <v>0.107582975601598</v>
      </c>
      <c r="J4548">
        <v>8.6438447616730293E-2</v>
      </c>
      <c r="K4548">
        <v>6.0805348055621801E-2</v>
      </c>
      <c r="L4548">
        <v>1355.4218565835299</v>
      </c>
      <c r="M4548">
        <v>23.8202289283652</v>
      </c>
      <c r="N4548">
        <v>57.118905862806599</v>
      </c>
      <c r="O4548">
        <v>56.505626386703298</v>
      </c>
      <c r="P4548">
        <v>-0.10083572331685001</v>
      </c>
      <c r="Q4548">
        <v>4.3217486934111801E-2</v>
      </c>
      <c r="R4548">
        <v>0.99520787169394898</v>
      </c>
      <c r="S4548" t="s">
        <v>10833</v>
      </c>
      <c r="T4548" t="s">
        <v>12568</v>
      </c>
      <c r="U4548" t="s">
        <v>12568</v>
      </c>
      <c r="V4548" t="s">
        <v>12568</v>
      </c>
      <c r="W4548" t="s">
        <v>17069</v>
      </c>
      <c r="X4548">
        <v>28</v>
      </c>
      <c r="Y4548" t="s">
        <v>23179</v>
      </c>
      <c r="Z4548" t="s">
        <v>29418</v>
      </c>
      <c r="AA4548">
        <v>0.59157426361007048</v>
      </c>
      <c r="AB4548" t="str">
        <f>HYPERLINK("Melting_Curves/meltCurve_Q96AC1_FERMT2.pdf", "Melting_Curves/meltCurve_Q96AC1_FERMT2.pdf")</f>
        <v>Melting_Curves/meltCurve_Q96AC1_FERMT2.pdf</v>
      </c>
    </row>
    <row r="4549" spans="1:28" x14ac:dyDescent="0.25">
      <c r="A4549" t="s">
        <v>4553</v>
      </c>
      <c r="B4549">
        <v>0.99352677808782597</v>
      </c>
      <c r="C4549">
        <v>0.98172895974389995</v>
      </c>
      <c r="D4549">
        <v>1.02288538519634</v>
      </c>
      <c r="E4549">
        <v>1.0285105304073501</v>
      </c>
      <c r="F4549">
        <v>0.94893877763724399</v>
      </c>
      <c r="G4549">
        <v>0.82115993984925995</v>
      </c>
      <c r="H4549">
        <v>0.85894574998259698</v>
      </c>
      <c r="I4549">
        <v>0.91820903246517105</v>
      </c>
      <c r="J4549">
        <v>1.10793377171636</v>
      </c>
      <c r="K4549">
        <v>0.87338319364823802</v>
      </c>
      <c r="L4549">
        <v>13226.884686334601</v>
      </c>
      <c r="M4549">
        <v>250</v>
      </c>
      <c r="O4549">
        <v>52.904161308624097</v>
      </c>
      <c r="P4549">
        <v>-9.9323093839923604E-2</v>
      </c>
      <c r="Q4549">
        <v>0.91592633359736697</v>
      </c>
      <c r="R4549">
        <v>0.25663059083287099</v>
      </c>
      <c r="S4549" t="s">
        <v>10834</v>
      </c>
      <c r="T4549" t="s">
        <v>12568</v>
      </c>
      <c r="U4549" t="s">
        <v>12568</v>
      </c>
      <c r="V4549" t="s">
        <v>12568</v>
      </c>
      <c r="W4549" t="s">
        <v>17070</v>
      </c>
      <c r="X4549">
        <v>40</v>
      </c>
      <c r="Y4549" t="s">
        <v>23180</v>
      </c>
      <c r="Z4549" t="s">
        <v>29419</v>
      </c>
      <c r="AA4549">
        <v>0.95210694354944869</v>
      </c>
      <c r="AB4549" t="str">
        <f>HYPERLINK("Melting_Curves/meltCurve_Q96AE4_FUBP1.pdf", "Melting_Curves/meltCurve_Q96AE4_FUBP1.pdf")</f>
        <v>Melting_Curves/meltCurve_Q96AE4_FUBP1.pdf</v>
      </c>
    </row>
    <row r="4550" spans="1:28" x14ac:dyDescent="0.25">
      <c r="A4550" t="s">
        <v>4554</v>
      </c>
      <c r="B4550">
        <v>0.99352677808782597</v>
      </c>
      <c r="C4550">
        <v>0.91333502177000803</v>
      </c>
      <c r="D4550">
        <v>0.91740960998012999</v>
      </c>
      <c r="E4550">
        <v>0.84840968319110999</v>
      </c>
      <c r="F4550">
        <v>0.83061431398321095</v>
      </c>
      <c r="G4550">
        <v>0.70410365059102298</v>
      </c>
      <c r="H4550">
        <v>0.69549155383276795</v>
      </c>
      <c r="I4550">
        <v>0.74613578378577905</v>
      </c>
      <c r="J4550">
        <v>0.80524426118806403</v>
      </c>
      <c r="K4550">
        <v>0.673665843519617</v>
      </c>
      <c r="L4550">
        <v>553.07814179800096</v>
      </c>
      <c r="M4550">
        <v>11.2787781306622</v>
      </c>
      <c r="O4550">
        <v>47.571370098769201</v>
      </c>
      <c r="P4550">
        <v>-1.7300097524947301E-2</v>
      </c>
      <c r="Q4550">
        <v>0.70821757927656404</v>
      </c>
      <c r="R4550">
        <v>0.83747386232759802</v>
      </c>
      <c r="S4550" t="s">
        <v>10835</v>
      </c>
      <c r="T4550" t="s">
        <v>12568</v>
      </c>
      <c r="U4550" t="s">
        <v>12568</v>
      </c>
      <c r="V4550" t="s">
        <v>12568</v>
      </c>
      <c r="W4550" t="s">
        <v>17071</v>
      </c>
      <c r="X4550">
        <v>39</v>
      </c>
      <c r="Y4550" t="s">
        <v>23180</v>
      </c>
      <c r="Z4550" t="s">
        <v>29420</v>
      </c>
      <c r="AA4550">
        <v>0.80795034348949624</v>
      </c>
      <c r="AB4550" t="str">
        <f>HYPERLINK("Melting_Curves/meltCurve_Q96AE4_2_FUBP1.pdf", "Melting_Curves/meltCurve_Q96AE4_2_FUBP1.pdf")</f>
        <v>Melting_Curves/meltCurve_Q96AE4_2_FUBP1.pdf</v>
      </c>
    </row>
    <row r="4551" spans="1:28" x14ac:dyDescent="0.25">
      <c r="A4551" t="s">
        <v>4555</v>
      </c>
      <c r="B4551">
        <v>0.99352677808782597</v>
      </c>
      <c r="C4551">
        <v>0.96684949172923695</v>
      </c>
      <c r="D4551">
        <v>0.99537661481891804</v>
      </c>
      <c r="E4551">
        <v>0.73765390408026399</v>
      </c>
      <c r="F4551">
        <v>0.56672713149836695</v>
      </c>
      <c r="G4551">
        <v>0.28588776849860498</v>
      </c>
      <c r="H4551">
        <v>0.18299869539942901</v>
      </c>
      <c r="I4551">
        <v>0.15746205324474799</v>
      </c>
      <c r="J4551">
        <v>0.18373610813420199</v>
      </c>
      <c r="K4551">
        <v>0.11463426600375901</v>
      </c>
      <c r="L4551">
        <v>1019.00291604234</v>
      </c>
      <c r="M4551">
        <v>19.343563504634499</v>
      </c>
      <c r="N4551">
        <v>53.534527439070501</v>
      </c>
      <c r="O4551">
        <v>52.1258522025974</v>
      </c>
      <c r="P4551">
        <v>-8.0443870557630498E-2</v>
      </c>
      <c r="Q4551">
        <v>0.13293130870983599</v>
      </c>
      <c r="R4551">
        <v>0.99480887443629695</v>
      </c>
      <c r="S4551" t="s">
        <v>10836</v>
      </c>
      <c r="T4551" t="s">
        <v>12568</v>
      </c>
      <c r="U4551" t="s">
        <v>12568</v>
      </c>
      <c r="V4551" t="s">
        <v>12568</v>
      </c>
      <c r="W4551" t="s">
        <v>17072</v>
      </c>
      <c r="X4551">
        <v>7</v>
      </c>
      <c r="Y4551" t="s">
        <v>23181</v>
      </c>
      <c r="Z4551" t="s">
        <v>29421</v>
      </c>
      <c r="AA4551">
        <v>0.51204979369545145</v>
      </c>
      <c r="AB4551" t="str">
        <f>HYPERLINK("Melting_Curves/meltCurve_Q96AG4_LRRC59.pdf", "Melting_Curves/meltCurve_Q96AG4_LRRC59.pdf")</f>
        <v>Melting_Curves/meltCurve_Q96AG4_LRRC59.pdf</v>
      </c>
    </row>
    <row r="4552" spans="1:28" x14ac:dyDescent="0.25">
      <c r="A4552" t="s">
        <v>4556</v>
      </c>
      <c r="B4552">
        <v>0.99352677808782597</v>
      </c>
      <c r="C4552">
        <v>0.89242162738988695</v>
      </c>
      <c r="D4552">
        <v>0.92927604137578501</v>
      </c>
      <c r="E4552">
        <v>0.87591098943482404</v>
      </c>
      <c r="F4552">
        <v>0.86360497903094502</v>
      </c>
      <c r="G4552">
        <v>0.77918588204192996</v>
      </c>
      <c r="H4552">
        <v>0.65930092873539803</v>
      </c>
      <c r="I4552">
        <v>0.76673130442895798</v>
      </c>
      <c r="J4552">
        <v>0.65320849308073903</v>
      </c>
      <c r="K4552">
        <v>0.61916102457620603</v>
      </c>
      <c r="L4552">
        <v>280.04023161170602</v>
      </c>
      <c r="M4552">
        <v>4.0539447987688799</v>
      </c>
      <c r="O4552">
        <v>56.949886672102799</v>
      </c>
      <c r="P4552">
        <v>-1.30692362976184E-2</v>
      </c>
      <c r="Q4552">
        <v>0.27454438858748398</v>
      </c>
      <c r="R4552">
        <v>0.89819277136416797</v>
      </c>
      <c r="S4552" t="s">
        <v>10837</v>
      </c>
      <c r="T4552" t="s">
        <v>12568</v>
      </c>
      <c r="U4552" t="s">
        <v>12568</v>
      </c>
      <c r="V4552" t="s">
        <v>12568</v>
      </c>
      <c r="W4552" t="s">
        <v>17073</v>
      </c>
      <c r="X4552">
        <v>5</v>
      </c>
      <c r="Y4552" t="s">
        <v>23182</v>
      </c>
      <c r="Z4552" t="s">
        <v>29422</v>
      </c>
      <c r="AA4552">
        <v>0.80571889258466123</v>
      </c>
      <c r="AB4552" t="str">
        <f>HYPERLINK("Melting_Curves/meltCurve_Q96AJ9_1_VTI1A.pdf", "Melting_Curves/meltCurve_Q96AJ9_1_VTI1A.pdf")</f>
        <v>Melting_Curves/meltCurve_Q96AJ9_1_VTI1A.pdf</v>
      </c>
    </row>
    <row r="4553" spans="1:28" x14ac:dyDescent="0.25">
      <c r="A4553" t="s">
        <v>4557</v>
      </c>
      <c r="B4553">
        <v>0.99352677808782597</v>
      </c>
      <c r="C4553">
        <v>0.98652022213087798</v>
      </c>
      <c r="D4553">
        <v>0.92107325633060899</v>
      </c>
      <c r="E4553">
        <v>0.62931358501927603</v>
      </c>
      <c r="F4553">
        <v>0.54683108167082495</v>
      </c>
      <c r="G4553">
        <v>0.41361841623801998</v>
      </c>
      <c r="H4553">
        <v>0.32637916323447802</v>
      </c>
      <c r="I4553">
        <v>0.36230072072663499</v>
      </c>
      <c r="J4553">
        <v>0.37225483520317698</v>
      </c>
      <c r="K4553">
        <v>0.35661919237604101</v>
      </c>
      <c r="L4553">
        <v>986.77343519054705</v>
      </c>
      <c r="M4553">
        <v>19.770289147169802</v>
      </c>
      <c r="N4553">
        <v>53.191275209885198</v>
      </c>
      <c r="O4553">
        <v>49.409715003212</v>
      </c>
      <c r="P4553">
        <v>-6.4801431293255399E-2</v>
      </c>
      <c r="Q4553">
        <v>0.352217876950571</v>
      </c>
      <c r="R4553">
        <v>0.99113505889147302</v>
      </c>
      <c r="S4553" t="s">
        <v>10838</v>
      </c>
      <c r="T4553" t="s">
        <v>12568</v>
      </c>
      <c r="U4553" t="s">
        <v>12568</v>
      </c>
      <c r="V4553" t="s">
        <v>12568</v>
      </c>
      <c r="W4553" t="s">
        <v>17074</v>
      </c>
      <c r="X4553">
        <v>5</v>
      </c>
      <c r="Y4553" t="s">
        <v>23183</v>
      </c>
      <c r="Z4553" t="s">
        <v>29423</v>
      </c>
      <c r="AA4553">
        <v>0.57547098241941552</v>
      </c>
      <c r="AB4553" t="str">
        <f>HYPERLINK("Melting_Curves/meltCurve_Q96AP0_2_ACD.pdf", "Melting_Curves/meltCurve_Q96AP0_2_ACD.pdf")</f>
        <v>Melting_Curves/meltCurve_Q96AP0_2_ACD.pdf</v>
      </c>
    </row>
    <row r="4554" spans="1:28" x14ac:dyDescent="0.25">
      <c r="A4554" t="s">
        <v>4558</v>
      </c>
      <c r="B4554">
        <v>0.99352677808782597</v>
      </c>
      <c r="C4554">
        <v>0.95984821410882504</v>
      </c>
      <c r="D4554">
        <v>0.93537968192877996</v>
      </c>
      <c r="E4554">
        <v>0.83412418734706295</v>
      </c>
      <c r="F4554">
        <v>0.777130393655732</v>
      </c>
      <c r="G4554">
        <v>0.64836307771192903</v>
      </c>
      <c r="H4554">
        <v>0.53883057950411595</v>
      </c>
      <c r="I4554">
        <v>0.56218209439282996</v>
      </c>
      <c r="J4554">
        <v>0.59289897624311405</v>
      </c>
      <c r="K4554">
        <v>0.49512252930220901</v>
      </c>
      <c r="L4554">
        <v>663.79557209470602</v>
      </c>
      <c r="M4554">
        <v>12.510336190403301</v>
      </c>
      <c r="O4554">
        <v>51.758755040473403</v>
      </c>
      <c r="P4554">
        <v>-3.00772919949201E-2</v>
      </c>
      <c r="Q4554">
        <v>0.50234944103287305</v>
      </c>
      <c r="R4554">
        <v>0.97809279553892103</v>
      </c>
      <c r="S4554" t="s">
        <v>10839</v>
      </c>
      <c r="T4554" t="s">
        <v>12568</v>
      </c>
      <c r="U4554" t="s">
        <v>12568</v>
      </c>
      <c r="V4554" t="s">
        <v>12568</v>
      </c>
      <c r="W4554" t="s">
        <v>17075</v>
      </c>
      <c r="X4554">
        <v>9</v>
      </c>
      <c r="Y4554" t="s">
        <v>23184</v>
      </c>
      <c r="Z4554" t="s">
        <v>29424</v>
      </c>
      <c r="AA4554">
        <v>0.73244230182459191</v>
      </c>
      <c r="AB4554" t="str">
        <f>HYPERLINK("Melting_Curves/meltCurve_Q96AT1_KIAA1143.pdf", "Melting_Curves/meltCurve_Q96AT1_KIAA1143.pdf")</f>
        <v>Melting_Curves/meltCurve_Q96AT1_KIAA1143.pdf</v>
      </c>
    </row>
    <row r="4555" spans="1:28" x14ac:dyDescent="0.25">
      <c r="A4555" t="s">
        <v>4559</v>
      </c>
      <c r="B4555">
        <v>0.99352677808782597</v>
      </c>
      <c r="C4555">
        <v>0.97960198918155506</v>
      </c>
      <c r="D4555">
        <v>0.94818589618841997</v>
      </c>
      <c r="E4555">
        <v>0.70899047980631502</v>
      </c>
      <c r="F4555">
        <v>0.70972606654986703</v>
      </c>
      <c r="G4555">
        <v>0.39106220974554901</v>
      </c>
      <c r="H4555">
        <v>0.21023699440792801</v>
      </c>
      <c r="I4555">
        <v>0.14307194295664</v>
      </c>
      <c r="J4555">
        <v>0.110375435549881</v>
      </c>
      <c r="K4555">
        <v>9.7378361401134705E-2</v>
      </c>
      <c r="L4555">
        <v>721.04702610442098</v>
      </c>
      <c r="M4555">
        <v>13.112886651872699</v>
      </c>
      <c r="N4555">
        <v>55.183655573788997</v>
      </c>
      <c r="O4555">
        <v>53.755982860131297</v>
      </c>
      <c r="P4555">
        <v>-5.9606081666971199E-2</v>
      </c>
      <c r="Q4555">
        <v>2.2751923388087798E-2</v>
      </c>
      <c r="R4555">
        <v>0.98846616559623601</v>
      </c>
      <c r="S4555" t="s">
        <v>10840</v>
      </c>
      <c r="T4555" t="s">
        <v>12568</v>
      </c>
      <c r="U4555" t="s">
        <v>12568</v>
      </c>
      <c r="V4555" t="s">
        <v>12568</v>
      </c>
      <c r="W4555" t="s">
        <v>17076</v>
      </c>
      <c r="X4555">
        <v>5</v>
      </c>
      <c r="Y4555" t="s">
        <v>19005</v>
      </c>
      <c r="Z4555" t="s">
        <v>29425</v>
      </c>
      <c r="AA4555">
        <v>0.53241604259871267</v>
      </c>
      <c r="AB4555" t="str">
        <f>HYPERLINK("Melting_Curves/meltCurve_Q96AT9_RPE.pdf", "Melting_Curves/meltCurve_Q96AT9_RPE.pdf")</f>
        <v>Melting_Curves/meltCurve_Q96AT9_RPE.pdf</v>
      </c>
    </row>
    <row r="4556" spans="1:28" x14ac:dyDescent="0.25">
      <c r="A4556" t="s">
        <v>4560</v>
      </c>
      <c r="B4556">
        <v>0.99352677808782597</v>
      </c>
      <c r="C4556">
        <v>0.89538990812744101</v>
      </c>
      <c r="D4556">
        <v>0.84094960421392995</v>
      </c>
      <c r="E4556">
        <v>0.36186337569419802</v>
      </c>
      <c r="F4556">
        <v>0.30375748832667299</v>
      </c>
      <c r="G4556">
        <v>0.16079979754691201</v>
      </c>
      <c r="H4556">
        <v>0.114873516414486</v>
      </c>
      <c r="I4556">
        <v>9.0480843569626102E-2</v>
      </c>
      <c r="J4556">
        <v>7.1939980456171199E-2</v>
      </c>
      <c r="K4556">
        <v>6.0557907745964097E-2</v>
      </c>
      <c r="L4556">
        <v>915.66134840812197</v>
      </c>
      <c r="M4556">
        <v>18.763098653385899</v>
      </c>
      <c r="N4556">
        <v>49.268368223883598</v>
      </c>
      <c r="O4556">
        <v>48.256982368759502</v>
      </c>
      <c r="P4556">
        <v>-8.9286067486471096E-2</v>
      </c>
      <c r="Q4556">
        <v>8.1495923977956006E-2</v>
      </c>
      <c r="R4556">
        <v>0.98742589726601004</v>
      </c>
      <c r="S4556" t="s">
        <v>10841</v>
      </c>
      <c r="T4556" t="s">
        <v>12568</v>
      </c>
      <c r="U4556" t="s">
        <v>12568</v>
      </c>
      <c r="V4556" t="s">
        <v>12568</v>
      </c>
      <c r="W4556" t="s">
        <v>17077</v>
      </c>
      <c r="X4556">
        <v>9</v>
      </c>
      <c r="Y4556" t="s">
        <v>23185</v>
      </c>
      <c r="Z4556" t="s">
        <v>29426</v>
      </c>
      <c r="AA4556">
        <v>0.36564574799555222</v>
      </c>
      <c r="AB4556" t="str">
        <f>HYPERLINK("Melting_Curves/meltCurve_Q96AX1_VPS33A.pdf", "Melting_Curves/meltCurve_Q96AX1_VPS33A.pdf")</f>
        <v>Melting_Curves/meltCurve_Q96AX1_VPS33A.pdf</v>
      </c>
    </row>
    <row r="4557" spans="1:28" x14ac:dyDescent="0.25">
      <c r="A4557" t="s">
        <v>4561</v>
      </c>
      <c r="B4557">
        <v>0.99352677808782597</v>
      </c>
      <c r="C4557">
        <v>0.98612612474612005</v>
      </c>
      <c r="D4557">
        <v>0.94887649797663398</v>
      </c>
      <c r="E4557">
        <v>0.81180424953581798</v>
      </c>
      <c r="F4557">
        <v>0.751184510365554</v>
      </c>
      <c r="G4557">
        <v>0.60287971791828898</v>
      </c>
      <c r="H4557">
        <v>0.58561652795475905</v>
      </c>
      <c r="I4557">
        <v>0.646873879067839</v>
      </c>
      <c r="J4557">
        <v>0.68301505692780495</v>
      </c>
      <c r="K4557">
        <v>0.535385727235</v>
      </c>
      <c r="L4557">
        <v>981.56820454167905</v>
      </c>
      <c r="M4557">
        <v>19.400698493663</v>
      </c>
      <c r="O4557">
        <v>50.066125385503398</v>
      </c>
      <c r="P4557">
        <v>-3.8577262773338498E-2</v>
      </c>
      <c r="Q4557">
        <v>0.60179924866664003</v>
      </c>
      <c r="R4557">
        <v>0.94077772535580295</v>
      </c>
      <c r="S4557" t="s">
        <v>10842</v>
      </c>
      <c r="T4557" t="s">
        <v>12568</v>
      </c>
      <c r="U4557" t="s">
        <v>12568</v>
      </c>
      <c r="V4557" t="s">
        <v>12568</v>
      </c>
      <c r="W4557" t="s">
        <v>17078</v>
      </c>
      <c r="X4557">
        <v>24</v>
      </c>
      <c r="Y4557" t="s">
        <v>23186</v>
      </c>
      <c r="Z4557" t="s">
        <v>29427</v>
      </c>
      <c r="AA4557">
        <v>0.74828527211732532</v>
      </c>
      <c r="AB4557" t="str">
        <f>HYPERLINK("Melting_Curves/meltCurve_Q96AY3_FKBP10.pdf", "Melting_Curves/meltCurve_Q96AY3_FKBP10.pdf")</f>
        <v>Melting_Curves/meltCurve_Q96AY3_FKBP10.pdf</v>
      </c>
    </row>
    <row r="4558" spans="1:28" x14ac:dyDescent="0.25">
      <c r="A4558" t="s">
        <v>4562</v>
      </c>
      <c r="B4558">
        <v>0.99352677808782597</v>
      </c>
      <c r="C4558">
        <v>0.93233630105623899</v>
      </c>
      <c r="D4558">
        <v>0.82818040410459803</v>
      </c>
      <c r="E4558">
        <v>0.66412562491226701</v>
      </c>
      <c r="F4558">
        <v>0.56936936445916797</v>
      </c>
      <c r="G4558">
        <v>0.48600014978189698</v>
      </c>
      <c r="H4558">
        <v>0.48134224160348599</v>
      </c>
      <c r="I4558">
        <v>0.46959770667414702</v>
      </c>
      <c r="J4558">
        <v>0.49527558444654501</v>
      </c>
      <c r="K4558">
        <v>0.41719755679399401</v>
      </c>
      <c r="L4558">
        <v>750.89789591438205</v>
      </c>
      <c r="M4558">
        <v>15.5017379805989</v>
      </c>
      <c r="N4558">
        <v>57.046657096515503</v>
      </c>
      <c r="O4558">
        <v>47.654973871023401</v>
      </c>
      <c r="P4558">
        <v>-4.4586614332509301E-2</v>
      </c>
      <c r="Q4558">
        <v>0.451781488498466</v>
      </c>
      <c r="R4558">
        <v>0.99155947932551503</v>
      </c>
      <c r="S4558" t="s">
        <v>10843</v>
      </c>
      <c r="T4558" t="s">
        <v>12568</v>
      </c>
      <c r="U4558" t="s">
        <v>12568</v>
      </c>
      <c r="V4558" t="s">
        <v>12568</v>
      </c>
      <c r="W4558" t="s">
        <v>17079</v>
      </c>
      <c r="X4558">
        <v>7</v>
      </c>
      <c r="Y4558" t="s">
        <v>23187</v>
      </c>
      <c r="Z4558" t="s">
        <v>29428</v>
      </c>
      <c r="AA4558">
        <v>0.61898028448859466</v>
      </c>
      <c r="AB4558" t="str">
        <f>HYPERLINK("Melting_Curves/meltCurve_Q96AY4_TTC28.pdf", "Melting_Curves/meltCurve_Q96AY4_TTC28.pdf")</f>
        <v>Melting_Curves/meltCurve_Q96AY4_TTC28.pdf</v>
      </c>
    </row>
    <row r="4559" spans="1:28" x14ac:dyDescent="0.25">
      <c r="A4559" t="s">
        <v>4563</v>
      </c>
      <c r="B4559">
        <v>0.99352677808782597</v>
      </c>
      <c r="C4559">
        <v>0.96954989181552298</v>
      </c>
      <c r="D4559">
        <v>1.03208553809926</v>
      </c>
      <c r="E4559">
        <v>1.03468826969247</v>
      </c>
      <c r="F4559">
        <v>0.87226219948266204</v>
      </c>
      <c r="G4559">
        <v>0.81823977045489205</v>
      </c>
      <c r="H4559">
        <v>0.72792583007609701</v>
      </c>
      <c r="I4559">
        <v>0.73203665741969504</v>
      </c>
      <c r="J4559">
        <v>0.79413873841945404</v>
      </c>
      <c r="K4559">
        <v>0.70215344854803496</v>
      </c>
      <c r="L4559">
        <v>1668.1398575696601</v>
      </c>
      <c r="M4559">
        <v>30.8856976368535</v>
      </c>
      <c r="O4559">
        <v>53.785201653015299</v>
      </c>
      <c r="P4559">
        <v>-3.7088044373639398E-2</v>
      </c>
      <c r="Q4559">
        <v>0.74165693894415197</v>
      </c>
      <c r="R4559">
        <v>0.92018558572697795</v>
      </c>
      <c r="S4559" t="s">
        <v>10844</v>
      </c>
      <c r="T4559" t="s">
        <v>12568</v>
      </c>
      <c r="U4559" t="s">
        <v>12568</v>
      </c>
      <c r="V4559" t="s">
        <v>12568</v>
      </c>
      <c r="W4559" t="s">
        <v>17080</v>
      </c>
      <c r="X4559">
        <v>6</v>
      </c>
      <c r="Y4559" t="s">
        <v>23188</v>
      </c>
      <c r="Z4559" t="s">
        <v>29429</v>
      </c>
      <c r="AA4559">
        <v>0.8639083840062346</v>
      </c>
      <c r="AB4559" t="str">
        <f>HYPERLINK("Melting_Curves/meltCurve_Q96B01_2_RAD51AP1.pdf", "Melting_Curves/meltCurve_Q96B01_2_RAD51AP1.pdf")</f>
        <v>Melting_Curves/meltCurve_Q96B01_2_RAD51AP1.pdf</v>
      </c>
    </row>
    <row r="4560" spans="1:28" x14ac:dyDescent="0.25">
      <c r="A4560" t="s">
        <v>4564</v>
      </c>
      <c r="B4560">
        <v>0.99352677808782597</v>
      </c>
      <c r="C4560">
        <v>1.00615343273763</v>
      </c>
      <c r="D4560">
        <v>1.01582279317436</v>
      </c>
      <c r="E4560">
        <v>0.735837859942294</v>
      </c>
      <c r="F4560">
        <v>0.67998624879565095</v>
      </c>
      <c r="G4560">
        <v>0.475617791515138</v>
      </c>
      <c r="H4560">
        <v>0.290391758591039</v>
      </c>
      <c r="I4560">
        <v>7.31377939755532E-2</v>
      </c>
      <c r="J4560">
        <v>0.127950716739547</v>
      </c>
      <c r="K4560">
        <v>9.9316448953684106E-2</v>
      </c>
      <c r="L4560">
        <v>718.61045514011903</v>
      </c>
      <c r="M4560">
        <v>12.8564906919344</v>
      </c>
      <c r="N4560">
        <v>55.927444631440501</v>
      </c>
      <c r="O4560">
        <v>54.594248947654997</v>
      </c>
      <c r="P4560">
        <v>-5.8663399029585603E-2</v>
      </c>
      <c r="Q4560">
        <v>3.7425880329891902E-3</v>
      </c>
      <c r="R4560">
        <v>0.98095468164181798</v>
      </c>
      <c r="S4560" t="s">
        <v>10845</v>
      </c>
      <c r="T4560" t="s">
        <v>12568</v>
      </c>
      <c r="U4560" t="s">
        <v>12568</v>
      </c>
      <c r="V4560" t="s">
        <v>12568</v>
      </c>
      <c r="W4560" t="s">
        <v>17081</v>
      </c>
      <c r="X4560">
        <v>3</v>
      </c>
      <c r="Y4560" t="s">
        <v>23189</v>
      </c>
      <c r="Z4560" t="s">
        <v>29430</v>
      </c>
      <c r="AA4560">
        <v>0.55154100238428738</v>
      </c>
      <c r="AB4560" t="str">
        <f>HYPERLINK("Melting_Curves/meltCurve_Q96B02_2_UBE2W.pdf", "Melting_Curves/meltCurve_Q96B02_2_UBE2W.pdf")</f>
        <v>Melting_Curves/meltCurve_Q96B02_2_UBE2W.pdf</v>
      </c>
    </row>
    <row r="4561" spans="1:28" x14ac:dyDescent="0.25">
      <c r="A4561" t="s">
        <v>4565</v>
      </c>
      <c r="B4561">
        <v>0.99352677808782597</v>
      </c>
      <c r="C4561">
        <v>0.98210376129057197</v>
      </c>
      <c r="D4561">
        <v>0.98067823299940504</v>
      </c>
      <c r="E4561">
        <v>0.93709799400011395</v>
      </c>
      <c r="F4561">
        <v>0.86060699624325798</v>
      </c>
      <c r="G4561">
        <v>0.82748151993151897</v>
      </c>
      <c r="H4561">
        <v>0.76117343326061004</v>
      </c>
      <c r="I4561">
        <v>0.81181623404845904</v>
      </c>
      <c r="J4561">
        <v>0.88404613255554398</v>
      </c>
      <c r="K4561">
        <v>0.73499691072429096</v>
      </c>
      <c r="L4561">
        <v>1170.01454190767</v>
      </c>
      <c r="M4561">
        <v>22.7562776845235</v>
      </c>
      <c r="O4561">
        <v>51.022933996075501</v>
      </c>
      <c r="P4561">
        <v>-2.25527599161757E-2</v>
      </c>
      <c r="Q4561">
        <v>0.79773754605705405</v>
      </c>
      <c r="R4561">
        <v>0.82810276025575202</v>
      </c>
      <c r="S4561" t="s">
        <v>10846</v>
      </c>
      <c r="T4561" t="s">
        <v>12568</v>
      </c>
      <c r="U4561" t="s">
        <v>12568</v>
      </c>
      <c r="V4561" t="s">
        <v>12568</v>
      </c>
      <c r="W4561" t="s">
        <v>17082</v>
      </c>
      <c r="X4561">
        <v>6</v>
      </c>
      <c r="Y4561" t="s">
        <v>23190</v>
      </c>
      <c r="Z4561" t="s">
        <v>29431</v>
      </c>
      <c r="AA4561">
        <v>0.87689960218506491</v>
      </c>
      <c r="AB4561" t="str">
        <f>HYPERLINK("Melting_Curves/meltCurve_Q96B23_2_C18orf25.pdf", "Melting_Curves/meltCurve_Q96B23_2_C18orf25.pdf")</f>
        <v>Melting_Curves/meltCurve_Q96B23_2_C18orf25.pdf</v>
      </c>
    </row>
    <row r="4562" spans="1:28" x14ac:dyDescent="0.25">
      <c r="A4562" t="s">
        <v>4566</v>
      </c>
      <c r="B4562">
        <v>0.99352677808782597</v>
      </c>
      <c r="C4562">
        <v>1.1050655412249</v>
      </c>
      <c r="D4562">
        <v>1.21784946802086</v>
      </c>
      <c r="E4562">
        <v>1.16113921790187</v>
      </c>
      <c r="F4562">
        <v>0.99524099168730995</v>
      </c>
      <c r="G4562">
        <v>0.38544742111409602</v>
      </c>
      <c r="H4562">
        <v>0.18633957384536901</v>
      </c>
      <c r="I4562">
        <v>0.161580016592234</v>
      </c>
      <c r="J4562">
        <v>0.12375045666572</v>
      </c>
      <c r="K4562">
        <v>8.8649396497565106E-2</v>
      </c>
      <c r="L4562">
        <v>3809.7759712972302</v>
      </c>
      <c r="M4562">
        <v>67.739399355174896</v>
      </c>
      <c r="N4562">
        <v>56.512423945422597</v>
      </c>
      <c r="O4562">
        <v>56.192701474484998</v>
      </c>
      <c r="P4562">
        <v>-0.25960785839488998</v>
      </c>
      <c r="Q4562">
        <v>0.13857737820235799</v>
      </c>
      <c r="R4562">
        <v>0.95811317574218302</v>
      </c>
      <c r="S4562" t="s">
        <v>10847</v>
      </c>
      <c r="T4562" t="s">
        <v>12568</v>
      </c>
      <c r="U4562" t="s">
        <v>12568</v>
      </c>
      <c r="V4562" t="s">
        <v>12568</v>
      </c>
      <c r="W4562" t="s">
        <v>17083</v>
      </c>
      <c r="X4562">
        <v>6</v>
      </c>
      <c r="Y4562" t="s">
        <v>23191</v>
      </c>
      <c r="Z4562" t="s">
        <v>29432</v>
      </c>
      <c r="AA4562">
        <v>0.60610298564700515</v>
      </c>
      <c r="AB4562" t="str">
        <f>HYPERLINK("Melting_Curves/meltCurve_Q96B26_EXOSC8.pdf", "Melting_Curves/meltCurve_Q96B26_EXOSC8.pdf")</f>
        <v>Melting_Curves/meltCurve_Q96B26_EXOSC8.pdf</v>
      </c>
    </row>
    <row r="4563" spans="1:28" x14ac:dyDescent="0.25">
      <c r="A4563" t="s">
        <v>4567</v>
      </c>
      <c r="B4563">
        <v>0.99352677808782597</v>
      </c>
      <c r="C4563">
        <v>0.97196498579185298</v>
      </c>
      <c r="D4563">
        <v>0.97513494509740695</v>
      </c>
      <c r="E4563">
        <v>0.94613659496263203</v>
      </c>
      <c r="F4563">
        <v>0.90909067360045004</v>
      </c>
      <c r="G4563">
        <v>0.79290335696966696</v>
      </c>
      <c r="H4563">
        <v>0.68526748558097395</v>
      </c>
      <c r="I4563">
        <v>0.73433084473824695</v>
      </c>
      <c r="J4563">
        <v>0.860532737910919</v>
      </c>
      <c r="K4563">
        <v>0.74935444521373595</v>
      </c>
      <c r="L4563">
        <v>1592.4189588478</v>
      </c>
      <c r="M4563">
        <v>29.8253399083275</v>
      </c>
      <c r="O4563">
        <v>53.1532030656061</v>
      </c>
      <c r="P4563">
        <v>-3.4003642018314399E-2</v>
      </c>
      <c r="Q4563">
        <v>0.75760348712033698</v>
      </c>
      <c r="R4563">
        <v>0.83204780684221402</v>
      </c>
      <c r="S4563" t="s">
        <v>10848</v>
      </c>
      <c r="T4563" t="s">
        <v>12568</v>
      </c>
      <c r="U4563" t="s">
        <v>12568</v>
      </c>
      <c r="V4563" t="s">
        <v>12568</v>
      </c>
      <c r="W4563" t="s">
        <v>17084</v>
      </c>
      <c r="X4563">
        <v>9</v>
      </c>
      <c r="Y4563" t="s">
        <v>23192</v>
      </c>
      <c r="Z4563" t="s">
        <v>29433</v>
      </c>
      <c r="AA4563">
        <v>0.86740345497153615</v>
      </c>
      <c r="AB4563" t="str">
        <f>HYPERLINK("Melting_Curves/meltCurve_Q96B36_AKT1S1.pdf", "Melting_Curves/meltCurve_Q96B36_AKT1S1.pdf")</f>
        <v>Melting_Curves/meltCurve_Q96B36_AKT1S1.pdf</v>
      </c>
    </row>
    <row r="4564" spans="1:28" x14ac:dyDescent="0.25">
      <c r="A4564" t="s">
        <v>4568</v>
      </c>
      <c r="B4564">
        <v>0.99352677808782597</v>
      </c>
      <c r="C4564">
        <v>0.96849430651822999</v>
      </c>
      <c r="D4564">
        <v>0.99027227564099096</v>
      </c>
      <c r="E4564">
        <v>0.89634302557628798</v>
      </c>
      <c r="F4564">
        <v>0.77239444193303797</v>
      </c>
      <c r="G4564">
        <v>0.69507403118917699</v>
      </c>
      <c r="H4564">
        <v>0.602960113957559</v>
      </c>
      <c r="I4564">
        <v>0.61047893721866497</v>
      </c>
      <c r="J4564">
        <v>0.65852073763008001</v>
      </c>
      <c r="K4564">
        <v>0.62248541164071103</v>
      </c>
      <c r="L4564">
        <v>1146.30522207069</v>
      </c>
      <c r="M4564">
        <v>21.963857310115198</v>
      </c>
      <c r="O4564">
        <v>51.763676631564003</v>
      </c>
      <c r="P4564">
        <v>-4.0161423982148302E-2</v>
      </c>
      <c r="Q4564">
        <v>0.62140425682814704</v>
      </c>
      <c r="R4564">
        <v>0.983437262633162</v>
      </c>
      <c r="S4564" t="s">
        <v>10849</v>
      </c>
      <c r="T4564" t="s">
        <v>12568</v>
      </c>
      <c r="U4564" t="s">
        <v>12568</v>
      </c>
      <c r="V4564" t="s">
        <v>12568</v>
      </c>
      <c r="W4564" t="s">
        <v>17085</v>
      </c>
      <c r="X4564">
        <v>4</v>
      </c>
      <c r="Y4564" t="s">
        <v>23193</v>
      </c>
      <c r="Z4564" t="s">
        <v>29434</v>
      </c>
      <c r="AA4564">
        <v>0.77966492584957869</v>
      </c>
      <c r="AB4564" t="str">
        <f>HYPERLINK("Melting_Curves/meltCurve_Q96B45_C10orf32.pdf", "Melting_Curves/meltCurve_Q96B45_C10orf32.pdf")</f>
        <v>Melting_Curves/meltCurve_Q96B45_C10orf32.pdf</v>
      </c>
    </row>
    <row r="4565" spans="1:28" x14ac:dyDescent="0.25">
      <c r="A4565" t="s">
        <v>4569</v>
      </c>
      <c r="B4565">
        <v>0.99352677808782597</v>
      </c>
      <c r="C4565">
        <v>0.84988664119262003</v>
      </c>
      <c r="D4565">
        <v>0.71480963301358302</v>
      </c>
      <c r="E4565">
        <v>0.34275585422652999</v>
      </c>
      <c r="F4565">
        <v>0.25211719597504501</v>
      </c>
      <c r="G4565">
        <v>0.145610587107186</v>
      </c>
      <c r="H4565">
        <v>9.1842056155746005E-2</v>
      </c>
      <c r="I4565">
        <v>9.0810830448724802E-2</v>
      </c>
      <c r="J4565">
        <v>9.2553742504716305E-2</v>
      </c>
      <c r="K4565">
        <v>7.2788127106519204E-2</v>
      </c>
      <c r="L4565">
        <v>801.56940014977397</v>
      </c>
      <c r="M4565">
        <v>16.765531816107298</v>
      </c>
      <c r="N4565">
        <v>48.299698951530303</v>
      </c>
      <c r="O4565">
        <v>47.145884617408498</v>
      </c>
      <c r="P4565">
        <v>-8.1966349451304002E-2</v>
      </c>
      <c r="Q4565">
        <v>7.8078952776120605E-2</v>
      </c>
      <c r="R4565">
        <v>0.99579401057611405</v>
      </c>
      <c r="S4565" t="s">
        <v>10850</v>
      </c>
      <c r="T4565" t="s">
        <v>12568</v>
      </c>
      <c r="U4565" t="s">
        <v>12568</v>
      </c>
      <c r="V4565" t="s">
        <v>12568</v>
      </c>
      <c r="W4565" t="s">
        <v>17086</v>
      </c>
      <c r="X4565">
        <v>1</v>
      </c>
      <c r="Y4565" t="s">
        <v>23194</v>
      </c>
      <c r="Z4565" t="s">
        <v>29435</v>
      </c>
      <c r="AA4565">
        <v>0.33719241034024372</v>
      </c>
      <c r="AB4565" t="str">
        <f>HYPERLINK("Melting_Curves/meltCurve_Q96B70_LENG9.pdf", "Melting_Curves/meltCurve_Q96B70_LENG9.pdf")</f>
        <v>Melting_Curves/meltCurve_Q96B70_LENG9.pdf</v>
      </c>
    </row>
    <row r="4566" spans="1:28" x14ac:dyDescent="0.25">
      <c r="A4566" t="s">
        <v>4570</v>
      </c>
      <c r="B4566">
        <v>0.99352677808782597</v>
      </c>
      <c r="C4566">
        <v>1.0079189448927299</v>
      </c>
      <c r="D4566">
        <v>0.93047495791053003</v>
      </c>
      <c r="E4566">
        <v>0.91981311462940096</v>
      </c>
      <c r="F4566">
        <v>0.79991393608864403</v>
      </c>
      <c r="G4566">
        <v>0.643142707052345</v>
      </c>
      <c r="H4566">
        <v>0.76644341666928095</v>
      </c>
      <c r="I4566">
        <v>0.74851039658999197</v>
      </c>
      <c r="J4566">
        <v>0.95687757147527097</v>
      </c>
      <c r="K4566">
        <v>0.70233661607351305</v>
      </c>
      <c r="L4566">
        <v>2274.8666826415802</v>
      </c>
      <c r="M4566">
        <v>44.901425729017397</v>
      </c>
      <c r="O4566">
        <v>50.563388280223798</v>
      </c>
      <c r="P4566">
        <v>-5.2265587611525097E-2</v>
      </c>
      <c r="Q4566">
        <v>0.76457569271586101</v>
      </c>
      <c r="R4566">
        <v>0.60085098305345996</v>
      </c>
      <c r="S4566" t="s">
        <v>10851</v>
      </c>
      <c r="T4566" t="s">
        <v>12568</v>
      </c>
      <c r="U4566" t="s">
        <v>12568</v>
      </c>
      <c r="V4566" t="s">
        <v>12568</v>
      </c>
      <c r="W4566" t="s">
        <v>17087</v>
      </c>
      <c r="X4566">
        <v>30</v>
      </c>
      <c r="Y4566" t="s">
        <v>23195</v>
      </c>
      <c r="Z4566" t="s">
        <v>29436</v>
      </c>
      <c r="AA4566">
        <v>0.8489110763303116</v>
      </c>
      <c r="AB4566" t="str">
        <f>HYPERLINK("Melting_Curves/meltCurve_Q96B97_SH3KBP1.pdf", "Melting_Curves/meltCurve_Q96B97_SH3KBP1.pdf")</f>
        <v>Melting_Curves/meltCurve_Q96B97_SH3KBP1.pdf</v>
      </c>
    </row>
    <row r="4567" spans="1:28" x14ac:dyDescent="0.25">
      <c r="A4567" t="s">
        <v>4571</v>
      </c>
      <c r="B4567">
        <v>0.99352677808782597</v>
      </c>
      <c r="C4567">
        <v>0.94114112252193305</v>
      </c>
      <c r="D4567">
        <v>0.85632231989272201</v>
      </c>
      <c r="E4567">
        <v>0.54325083089482495</v>
      </c>
      <c r="F4567">
        <v>0.46341877335161502</v>
      </c>
      <c r="G4567">
        <v>0.36122086446177099</v>
      </c>
      <c r="H4567">
        <v>0.23443899622207701</v>
      </c>
      <c r="I4567">
        <v>0.204697208593076</v>
      </c>
      <c r="J4567">
        <v>0.196984352651564</v>
      </c>
      <c r="K4567">
        <v>0.16363306043224399</v>
      </c>
      <c r="L4567">
        <v>680.05676902821494</v>
      </c>
      <c r="M4567">
        <v>13.4809009582429</v>
      </c>
      <c r="N4567">
        <v>51.994360115880603</v>
      </c>
      <c r="O4567">
        <v>49.374723729250498</v>
      </c>
      <c r="P4567">
        <v>-5.6981689676861902E-2</v>
      </c>
      <c r="Q4567">
        <v>0.16533091810411599</v>
      </c>
      <c r="R4567">
        <v>0.99060752422586895</v>
      </c>
      <c r="S4567" t="s">
        <v>10852</v>
      </c>
      <c r="T4567" t="s">
        <v>12568</v>
      </c>
      <c r="U4567" t="s">
        <v>12568</v>
      </c>
      <c r="V4567" t="s">
        <v>12568</v>
      </c>
      <c r="W4567" t="s">
        <v>17088</v>
      </c>
      <c r="X4567">
        <v>3</v>
      </c>
      <c r="Y4567" t="s">
        <v>23196</v>
      </c>
      <c r="Z4567" t="s">
        <v>29437</v>
      </c>
      <c r="AA4567">
        <v>0.47941981381246562</v>
      </c>
      <c r="AB4567" t="str">
        <f>HYPERLINK("Melting_Curves/meltCurve_Q96BD5_2_PHF21A.pdf", "Melting_Curves/meltCurve_Q96BD5_2_PHF21A.pdf")</f>
        <v>Melting_Curves/meltCurve_Q96BD5_2_PHF21A.pdf</v>
      </c>
    </row>
    <row r="4568" spans="1:28" x14ac:dyDescent="0.25">
      <c r="A4568" t="s">
        <v>4572</v>
      </c>
      <c r="B4568">
        <v>0.99352677808782597</v>
      </c>
      <c r="C4568">
        <v>0.92860154669477102</v>
      </c>
      <c r="D4568">
        <v>0.96128506153703597</v>
      </c>
      <c r="E4568">
        <v>0.56998169731110504</v>
      </c>
      <c r="F4568">
        <v>0.49340098213052802</v>
      </c>
      <c r="G4568">
        <v>0.33421202294404601</v>
      </c>
      <c r="H4568">
        <v>0.249023336914836</v>
      </c>
      <c r="I4568">
        <v>0.26499002058125698</v>
      </c>
      <c r="J4568">
        <v>0.25679035402017503</v>
      </c>
      <c r="K4568">
        <v>0.28147977108289701</v>
      </c>
      <c r="L4568">
        <v>1003.10649025301</v>
      </c>
      <c r="M4568">
        <v>20.035062923241899</v>
      </c>
      <c r="N4568">
        <v>51.979855677199403</v>
      </c>
      <c r="O4568">
        <v>49.576738767450799</v>
      </c>
      <c r="P4568">
        <v>-7.4689756207257693E-2</v>
      </c>
      <c r="Q4568">
        <v>0.26074481036598801</v>
      </c>
      <c r="R4568">
        <v>0.98286132559809203</v>
      </c>
      <c r="S4568" t="s">
        <v>10853</v>
      </c>
      <c r="T4568" t="s">
        <v>12568</v>
      </c>
      <c r="U4568" t="s">
        <v>12568</v>
      </c>
      <c r="V4568" t="s">
        <v>12568</v>
      </c>
      <c r="W4568" t="s">
        <v>17089</v>
      </c>
      <c r="X4568">
        <v>3</v>
      </c>
      <c r="Y4568" t="s">
        <v>23197</v>
      </c>
      <c r="Z4568" t="s">
        <v>29438</v>
      </c>
      <c r="AA4568">
        <v>0.51908153655707401</v>
      </c>
      <c r="AB4568" t="str">
        <f>HYPERLINK("Melting_Curves/meltCurve_Q96BF6_NACC2.pdf", "Melting_Curves/meltCurve_Q96BF6_NACC2.pdf")</f>
        <v>Melting_Curves/meltCurve_Q96BF6_NACC2.pdf</v>
      </c>
    </row>
    <row r="4569" spans="1:28" x14ac:dyDescent="0.25">
      <c r="A4569" t="s">
        <v>4573</v>
      </c>
      <c r="B4569">
        <v>0.99352677808782597</v>
      </c>
      <c r="C4569">
        <v>1.00786750572159</v>
      </c>
      <c r="D4569">
        <v>0.94415675971730195</v>
      </c>
      <c r="E4569">
        <v>0.92892646346808505</v>
      </c>
      <c r="F4569">
        <v>0.83299071833857097</v>
      </c>
      <c r="G4569">
        <v>0.61635191650641097</v>
      </c>
      <c r="H4569">
        <v>0.51513394425940195</v>
      </c>
      <c r="I4569">
        <v>0.47209320140149502</v>
      </c>
      <c r="J4569">
        <v>0.454181405935562</v>
      </c>
      <c r="K4569">
        <v>0.322646576694186</v>
      </c>
      <c r="L4569">
        <v>763.17081798385402</v>
      </c>
      <c r="M4569">
        <v>13.4319090701044</v>
      </c>
      <c r="N4569">
        <v>61.666343606466199</v>
      </c>
      <c r="O4569">
        <v>55.602696237843297</v>
      </c>
      <c r="P4569">
        <v>-4.0705001225495099E-2</v>
      </c>
      <c r="Q4569">
        <v>0.32609555183815597</v>
      </c>
      <c r="R4569">
        <v>0.98441220008829899</v>
      </c>
      <c r="S4569" t="s">
        <v>10854</v>
      </c>
      <c r="T4569" t="s">
        <v>12568</v>
      </c>
      <c r="U4569" t="s">
        <v>12568</v>
      </c>
      <c r="V4569" t="s">
        <v>12568</v>
      </c>
      <c r="W4569" t="s">
        <v>17090</v>
      </c>
      <c r="X4569">
        <v>7</v>
      </c>
      <c r="Y4569" t="s">
        <v>23198</v>
      </c>
      <c r="Z4569" t="s">
        <v>29439</v>
      </c>
      <c r="AA4569">
        <v>0.71541227577877009</v>
      </c>
      <c r="AB4569" t="str">
        <f>HYPERLINK("Melting_Curves/meltCurve_Q96BH1_RNF25.pdf", "Melting_Curves/meltCurve_Q96BH1_RNF25.pdf")</f>
        <v>Melting_Curves/meltCurve_Q96BH1_RNF25.pdf</v>
      </c>
    </row>
    <row r="4570" spans="1:28" x14ac:dyDescent="0.25">
      <c r="A4570" t="s">
        <v>4574</v>
      </c>
      <c r="B4570">
        <v>0.99352677808782597</v>
      </c>
      <c r="C4570">
        <v>0.45276070497431398</v>
      </c>
      <c r="D4570">
        <v>1.26758965469841</v>
      </c>
      <c r="E4570">
        <v>0.65377600974260897</v>
      </c>
      <c r="F4570">
        <v>0.57819431556093404</v>
      </c>
      <c r="G4570">
        <v>0.28247868815898303</v>
      </c>
      <c r="H4570">
        <v>7.6195482542827098E-2</v>
      </c>
      <c r="I4570">
        <v>6.2883029089790904E-2</v>
      </c>
      <c r="J4570">
        <v>5.08279885080666E-2</v>
      </c>
      <c r="K4570">
        <v>4.3852085013700998E-2</v>
      </c>
      <c r="L4570">
        <v>896.96102819315502</v>
      </c>
      <c r="M4570">
        <v>16.7835040051609</v>
      </c>
      <c r="N4570">
        <v>53.499368519592302</v>
      </c>
      <c r="O4570">
        <v>52.701595383660298</v>
      </c>
      <c r="P4570">
        <v>-7.8923300701740695E-2</v>
      </c>
      <c r="Q4570">
        <v>8.7615502516840797E-3</v>
      </c>
      <c r="R4570">
        <v>0.75556956424378197</v>
      </c>
      <c r="S4570" t="s">
        <v>10855</v>
      </c>
      <c r="T4570" t="s">
        <v>12568</v>
      </c>
      <c r="U4570" t="s">
        <v>12568</v>
      </c>
      <c r="V4570" t="s">
        <v>12568</v>
      </c>
      <c r="W4570" t="s">
        <v>17091</v>
      </c>
      <c r="X4570">
        <v>13</v>
      </c>
      <c r="Y4570" t="s">
        <v>23199</v>
      </c>
      <c r="Z4570" t="s">
        <v>29440</v>
      </c>
      <c r="AA4570">
        <v>0.47081043140692203</v>
      </c>
      <c r="AB4570" t="str">
        <f>HYPERLINK("Melting_Curves/meltCurve_Q96BJ3_AIDA.pdf", "Melting_Curves/meltCurve_Q96BJ3_AIDA.pdf")</f>
        <v>Melting_Curves/meltCurve_Q96BJ3_AIDA.pdf</v>
      </c>
    </row>
    <row r="4571" spans="1:28" x14ac:dyDescent="0.25">
      <c r="A4571" t="s">
        <v>4575</v>
      </c>
      <c r="B4571">
        <v>0.99352677808782597</v>
      </c>
      <c r="C4571">
        <v>0.92320872334601101</v>
      </c>
      <c r="D4571">
        <v>0.92684923551217002</v>
      </c>
      <c r="E4571">
        <v>0.79209781213541097</v>
      </c>
      <c r="F4571">
        <v>0.97581127180972005</v>
      </c>
      <c r="G4571">
        <v>0.59828456951067399</v>
      </c>
      <c r="H4571">
        <v>0.93754245100870004</v>
      </c>
      <c r="I4571">
        <v>0.64028523703555595</v>
      </c>
      <c r="J4571">
        <v>0.57046376107695596</v>
      </c>
      <c r="K4571">
        <v>0.56066379561180701</v>
      </c>
      <c r="L4571">
        <v>299.41913481356499</v>
      </c>
      <c r="M4571">
        <v>3.97810070659642</v>
      </c>
      <c r="O4571">
        <v>61.682790110726899</v>
      </c>
      <c r="P4571">
        <v>-1.63341444542075E-2</v>
      </c>
      <c r="Q4571">
        <v>0</v>
      </c>
      <c r="R4571">
        <v>0.61571365234110698</v>
      </c>
      <c r="S4571" t="s">
        <v>10856</v>
      </c>
      <c r="T4571" t="s">
        <v>12568</v>
      </c>
      <c r="U4571" t="s">
        <v>12568</v>
      </c>
      <c r="V4571" t="s">
        <v>12568</v>
      </c>
      <c r="W4571" t="s">
        <v>17092</v>
      </c>
      <c r="X4571">
        <v>5</v>
      </c>
      <c r="Y4571" t="s">
        <v>23200</v>
      </c>
      <c r="Z4571" t="s">
        <v>29441</v>
      </c>
      <c r="AA4571">
        <v>0.79867729848222346</v>
      </c>
      <c r="AB4571" t="str">
        <f>HYPERLINK("Melting_Curves/meltCurve_Q96BK5_PINX1.pdf", "Melting_Curves/meltCurve_Q96BK5_PINX1.pdf")</f>
        <v>Melting_Curves/meltCurve_Q96BK5_PINX1.pdf</v>
      </c>
    </row>
    <row r="4572" spans="1:28" x14ac:dyDescent="0.25">
      <c r="A4572" t="s">
        <v>4576</v>
      </c>
      <c r="B4572">
        <v>0.99352677808782597</v>
      </c>
      <c r="C4572">
        <v>1.0171437578043601</v>
      </c>
      <c r="D4572">
        <v>0.99794512407385805</v>
      </c>
      <c r="E4572">
        <v>0.87482562140174402</v>
      </c>
      <c r="F4572">
        <v>0.71705662177776297</v>
      </c>
      <c r="G4572">
        <v>0.57897899864360403</v>
      </c>
      <c r="H4572">
        <v>0.303703562716096</v>
      </c>
      <c r="I4572">
        <v>0.164820900523511</v>
      </c>
      <c r="J4572">
        <v>0.15157700090885801</v>
      </c>
      <c r="K4572">
        <v>0.102960961928752</v>
      </c>
      <c r="L4572">
        <v>794.85918044160201</v>
      </c>
      <c r="M4572">
        <v>13.8816589156392</v>
      </c>
      <c r="N4572">
        <v>57.432234226086898</v>
      </c>
      <c r="O4572">
        <v>56.110624908307202</v>
      </c>
      <c r="P4572">
        <v>-6.0594501310311397E-2</v>
      </c>
      <c r="Q4572">
        <v>2.0425042007277398E-2</v>
      </c>
      <c r="R4572">
        <v>0.99363454975504995</v>
      </c>
      <c r="S4572" t="s">
        <v>10857</v>
      </c>
      <c r="T4572" t="s">
        <v>12568</v>
      </c>
      <c r="U4572" t="s">
        <v>12568</v>
      </c>
      <c r="V4572" t="s">
        <v>12568</v>
      </c>
      <c r="W4572" t="s">
        <v>17093</v>
      </c>
      <c r="X4572">
        <v>3</v>
      </c>
      <c r="Y4572" t="s">
        <v>23201</v>
      </c>
      <c r="Z4572" t="s">
        <v>29442</v>
      </c>
      <c r="AA4572">
        <v>0.59937688703742653</v>
      </c>
      <c r="AB4572" t="str">
        <f>HYPERLINK("Melting_Curves/meltCurve_Q96BM9_ARL8A.pdf", "Melting_Curves/meltCurve_Q96BM9_ARL8A.pdf")</f>
        <v>Melting_Curves/meltCurve_Q96BM9_ARL8A.pdf</v>
      </c>
    </row>
    <row r="4573" spans="1:28" x14ac:dyDescent="0.25">
      <c r="A4573" t="s">
        <v>4577</v>
      </c>
      <c r="B4573">
        <v>0.99352677808782597</v>
      </c>
      <c r="C4573">
        <v>0.75329649774252105</v>
      </c>
      <c r="D4573">
        <v>0.95397940230150402</v>
      </c>
      <c r="E4573">
        <v>0.58483606660184795</v>
      </c>
      <c r="F4573">
        <v>0.511709642665372</v>
      </c>
      <c r="G4573">
        <v>0.16903805425128701</v>
      </c>
      <c r="H4573">
        <v>0.113408453870552</v>
      </c>
      <c r="I4573">
        <v>0.105305146746991</v>
      </c>
      <c r="J4573">
        <v>8.7631278996490203E-2</v>
      </c>
      <c r="K4573">
        <v>6.7788546661687904E-2</v>
      </c>
      <c r="L4573">
        <v>699.19342743027903</v>
      </c>
      <c r="M4573">
        <v>13.516292239260901</v>
      </c>
      <c r="N4573">
        <v>51.9335122469749</v>
      </c>
      <c r="O4573">
        <v>50.636723557033498</v>
      </c>
      <c r="P4573">
        <v>-6.5017593305769505E-2</v>
      </c>
      <c r="Q4573">
        <v>2.5833952090252701E-2</v>
      </c>
      <c r="R4573">
        <v>0.95056959295944199</v>
      </c>
      <c r="S4573" t="s">
        <v>10858</v>
      </c>
      <c r="T4573" t="s">
        <v>12568</v>
      </c>
      <c r="U4573" t="s">
        <v>12568</v>
      </c>
      <c r="V4573" t="s">
        <v>12568</v>
      </c>
      <c r="W4573" t="s">
        <v>17094</v>
      </c>
      <c r="X4573">
        <v>10</v>
      </c>
      <c r="Y4573" t="s">
        <v>23202</v>
      </c>
      <c r="Z4573" t="s">
        <v>29443</v>
      </c>
      <c r="AA4573">
        <v>0.43244544118888928</v>
      </c>
      <c r="AB4573" t="str">
        <f>HYPERLINK("Melting_Curves/meltCurve_Q96BN8_FAM105B.pdf", "Melting_Curves/meltCurve_Q96BN8_FAM105B.pdf")</f>
        <v>Melting_Curves/meltCurve_Q96BN8_FAM105B.pdf</v>
      </c>
    </row>
    <row r="4574" spans="1:28" x14ac:dyDescent="0.25">
      <c r="A4574" t="s">
        <v>4578</v>
      </c>
      <c r="B4574">
        <v>0.99352677808782597</v>
      </c>
      <c r="C4574">
        <v>0.99327182989250895</v>
      </c>
      <c r="D4574">
        <v>0.99127444670729903</v>
      </c>
      <c r="E4574">
        <v>0.85680491695793803</v>
      </c>
      <c r="F4574">
        <v>0.64419493780298398</v>
      </c>
      <c r="G4574">
        <v>0.60419593604467503</v>
      </c>
      <c r="H4574">
        <v>0.50466478426379602</v>
      </c>
      <c r="I4574">
        <v>0.48881086480344599</v>
      </c>
      <c r="J4574">
        <v>0.50966258644481699</v>
      </c>
      <c r="K4574">
        <v>0.38704965583399997</v>
      </c>
      <c r="L4574">
        <v>930.84284859739603</v>
      </c>
      <c r="M4574">
        <v>17.755988687308601</v>
      </c>
      <c r="N4574">
        <v>60.6677240247759</v>
      </c>
      <c r="O4574">
        <v>51.7727706105671</v>
      </c>
      <c r="P4574">
        <v>-4.6712468386877599E-2</v>
      </c>
      <c r="Q4574">
        <v>0.455212986974249</v>
      </c>
      <c r="R4574">
        <v>0.97204518201632995</v>
      </c>
      <c r="S4574" t="s">
        <v>10859</v>
      </c>
      <c r="T4574" t="s">
        <v>12568</v>
      </c>
      <c r="U4574" t="s">
        <v>12568</v>
      </c>
      <c r="V4574" t="s">
        <v>12568</v>
      </c>
      <c r="W4574" t="s">
        <v>17095</v>
      </c>
      <c r="X4574">
        <v>2</v>
      </c>
      <c r="Y4574" t="s">
        <v>23203</v>
      </c>
      <c r="Z4574" t="s">
        <v>29444</v>
      </c>
      <c r="AA4574">
        <v>0.69004585336987434</v>
      </c>
      <c r="AB4574" t="str">
        <f>HYPERLINK("Melting_Curves/meltCurve_Q96BP2_CHCHD1.pdf", "Melting_Curves/meltCurve_Q96BP2_CHCHD1.pdf")</f>
        <v>Melting_Curves/meltCurve_Q96BP2_CHCHD1.pdf</v>
      </c>
    </row>
    <row r="4575" spans="1:28" x14ac:dyDescent="0.25">
      <c r="A4575" t="s">
        <v>4579</v>
      </c>
      <c r="B4575">
        <v>0.99352677808782597</v>
      </c>
      <c r="C4575">
        <v>0.92645076002005899</v>
      </c>
      <c r="D4575">
        <v>0.971512225375052</v>
      </c>
      <c r="E4575">
        <v>0.33822756739671</v>
      </c>
      <c r="F4575">
        <v>0.249990754880727</v>
      </c>
      <c r="G4575">
        <v>0.158430674154555</v>
      </c>
      <c r="H4575">
        <v>0.10041696921163699</v>
      </c>
      <c r="I4575">
        <v>8.8140744913392702E-2</v>
      </c>
      <c r="J4575">
        <v>7.1259193294922196E-2</v>
      </c>
      <c r="K4575">
        <v>5.7559526366959303E-2</v>
      </c>
      <c r="L4575">
        <v>1802.0894754713199</v>
      </c>
      <c r="M4575">
        <v>36.860469934703701</v>
      </c>
      <c r="N4575">
        <v>49.210736758563698</v>
      </c>
      <c r="O4575">
        <v>48.746259473883498</v>
      </c>
      <c r="P4575">
        <v>-0.168827786039183</v>
      </c>
      <c r="Q4575">
        <v>0.10693495306388499</v>
      </c>
      <c r="R4575">
        <v>0.98318541262120296</v>
      </c>
      <c r="S4575" t="s">
        <v>10860</v>
      </c>
      <c r="T4575" t="s">
        <v>12568</v>
      </c>
      <c r="U4575" t="s">
        <v>12568</v>
      </c>
      <c r="V4575" t="s">
        <v>12568</v>
      </c>
      <c r="W4575" t="s">
        <v>17096</v>
      </c>
      <c r="X4575">
        <v>14</v>
      </c>
      <c r="Y4575" t="s">
        <v>23204</v>
      </c>
      <c r="Z4575" t="s">
        <v>29445</v>
      </c>
      <c r="AA4575">
        <v>0.37513101832176049</v>
      </c>
      <c r="AB4575" t="str">
        <f>HYPERLINK("Melting_Curves/meltCurve_Q96BP3_PPWD1.pdf", "Melting_Curves/meltCurve_Q96BP3_PPWD1.pdf")</f>
        <v>Melting_Curves/meltCurve_Q96BP3_PPWD1.pdf</v>
      </c>
    </row>
    <row r="4576" spans="1:28" x14ac:dyDescent="0.25">
      <c r="A4576" t="s">
        <v>4580</v>
      </c>
      <c r="B4576">
        <v>0.99352677808782597</v>
      </c>
      <c r="C4576">
        <v>0.95401595305147502</v>
      </c>
      <c r="D4576">
        <v>0.96629243500150797</v>
      </c>
      <c r="E4576">
        <v>0.88162952061328503</v>
      </c>
      <c r="F4576">
        <v>0.81455102214777597</v>
      </c>
      <c r="G4576">
        <v>0.74052367909146399</v>
      </c>
      <c r="H4576">
        <v>0.64464149246703695</v>
      </c>
      <c r="I4576">
        <v>0.69260958696919095</v>
      </c>
      <c r="J4576">
        <v>0.74639102484074704</v>
      </c>
      <c r="K4576">
        <v>0.63094925869922502</v>
      </c>
      <c r="L4576">
        <v>787.50736485881498</v>
      </c>
      <c r="M4576">
        <v>15.158484456747701</v>
      </c>
      <c r="O4576">
        <v>51.072609166603797</v>
      </c>
      <c r="P4576">
        <v>-2.48776390611762E-2</v>
      </c>
      <c r="Q4576">
        <v>0.66475731152305095</v>
      </c>
      <c r="R4576">
        <v>0.93552630965587902</v>
      </c>
      <c r="S4576" t="s">
        <v>10861</v>
      </c>
      <c r="T4576" t="s">
        <v>12568</v>
      </c>
      <c r="U4576" t="s">
        <v>12568</v>
      </c>
      <c r="V4576" t="s">
        <v>12568</v>
      </c>
      <c r="W4576" t="s">
        <v>17097</v>
      </c>
      <c r="X4576">
        <v>9</v>
      </c>
      <c r="Y4576" t="s">
        <v>23205</v>
      </c>
      <c r="Z4576" t="s">
        <v>29446</v>
      </c>
      <c r="AA4576">
        <v>0.80570039644464542</v>
      </c>
      <c r="AB4576" t="str">
        <f>HYPERLINK("Melting_Curves/meltCurve_Q96BR5_SELRC1.pdf", "Melting_Curves/meltCurve_Q96BR5_SELRC1.pdf")</f>
        <v>Melting_Curves/meltCurve_Q96BR5_SELRC1.pdf</v>
      </c>
    </row>
    <row r="4577" spans="1:28" x14ac:dyDescent="0.25">
      <c r="A4577" t="s">
        <v>4581</v>
      </c>
      <c r="B4577">
        <v>0.99352677808782597</v>
      </c>
      <c r="C4577">
        <v>0.97570950387329303</v>
      </c>
      <c r="D4577">
        <v>0.96730778661483297</v>
      </c>
      <c r="E4577">
        <v>0.85280070558288601</v>
      </c>
      <c r="F4577">
        <v>0.769608963282155</v>
      </c>
      <c r="G4577">
        <v>0.56906495468708995</v>
      </c>
      <c r="H4577">
        <v>0.34529452710504799</v>
      </c>
      <c r="I4577">
        <v>0.26722251096067101</v>
      </c>
      <c r="J4577">
        <v>0.205416299526158</v>
      </c>
      <c r="K4577">
        <v>0.13678269269245399</v>
      </c>
      <c r="L4577">
        <v>703.57807999049601</v>
      </c>
      <c r="M4577">
        <v>12.1962754038301</v>
      </c>
      <c r="N4577">
        <v>58.114680340769802</v>
      </c>
      <c r="O4577">
        <v>56.2027632375151</v>
      </c>
      <c r="P4577">
        <v>-5.1939244015025698E-2</v>
      </c>
      <c r="Q4577">
        <v>4.2832485626712997E-2</v>
      </c>
      <c r="R4577">
        <v>0.99842733495694802</v>
      </c>
      <c r="S4577" t="s">
        <v>10862</v>
      </c>
      <c r="T4577" t="s">
        <v>12568</v>
      </c>
      <c r="U4577" t="s">
        <v>12568</v>
      </c>
      <c r="V4577" t="s">
        <v>12568</v>
      </c>
      <c r="W4577" t="s">
        <v>17098</v>
      </c>
      <c r="X4577">
        <v>10</v>
      </c>
      <c r="Y4577" t="s">
        <v>23206</v>
      </c>
      <c r="Z4577" t="s">
        <v>29447</v>
      </c>
      <c r="AA4577">
        <v>0.6207299466295122</v>
      </c>
      <c r="AB4577" t="str">
        <f>HYPERLINK("Melting_Curves/meltCurve_Q96BS2_TESC.pdf", "Melting_Curves/meltCurve_Q96BS2_TESC.pdf")</f>
        <v>Melting_Curves/meltCurve_Q96BS2_TESC.pdf</v>
      </c>
    </row>
    <row r="4578" spans="1:28" x14ac:dyDescent="0.25">
      <c r="A4578" t="s">
        <v>4582</v>
      </c>
      <c r="B4578">
        <v>0.99352677808782597</v>
      </c>
      <c r="C4578">
        <v>0.96365856997969401</v>
      </c>
      <c r="D4578">
        <v>0.76713693842709796</v>
      </c>
      <c r="E4578">
        <v>0.36524685692146402</v>
      </c>
      <c r="F4578">
        <v>0.25840079904412899</v>
      </c>
      <c r="G4578">
        <v>0.149527181992092</v>
      </c>
      <c r="H4578">
        <v>7.5453989087528997E-2</v>
      </c>
      <c r="I4578">
        <v>8.7941378989513805E-2</v>
      </c>
      <c r="J4578">
        <v>4.5933105060165402E-2</v>
      </c>
      <c r="K4578">
        <v>4.6555411943342402E-2</v>
      </c>
      <c r="L4578">
        <v>935.42264500920101</v>
      </c>
      <c r="M4578">
        <v>19.257394404370999</v>
      </c>
      <c r="N4578">
        <v>48.929754738399701</v>
      </c>
      <c r="O4578">
        <v>48.060017990511703</v>
      </c>
      <c r="P4578">
        <v>-9.3645548710385704E-2</v>
      </c>
      <c r="Q4578">
        <v>6.5203359341956299E-2</v>
      </c>
      <c r="R4578">
        <v>0.99504707541975301</v>
      </c>
      <c r="S4578" t="s">
        <v>10863</v>
      </c>
      <c r="T4578" t="s">
        <v>12568</v>
      </c>
      <c r="U4578" t="s">
        <v>12568</v>
      </c>
      <c r="V4578" t="s">
        <v>12568</v>
      </c>
      <c r="W4578" t="s">
        <v>17099</v>
      </c>
      <c r="X4578">
        <v>1</v>
      </c>
      <c r="Y4578" t="s">
        <v>23207</v>
      </c>
      <c r="Z4578" t="s">
        <v>29448</v>
      </c>
      <c r="AA4578">
        <v>0.3466169401221596</v>
      </c>
      <c r="AB4578" t="str">
        <f>HYPERLINK("Melting_Curves/meltCurve_Q96BT7_ALKBH8.pdf", "Melting_Curves/meltCurve_Q96BT7_ALKBH8.pdf")</f>
        <v>Melting_Curves/meltCurve_Q96BT7_ALKBH8.pdf</v>
      </c>
    </row>
    <row r="4579" spans="1:28" x14ac:dyDescent="0.25">
      <c r="A4579" t="s">
        <v>4583</v>
      </c>
      <c r="B4579">
        <v>0.99352677808782597</v>
      </c>
      <c r="C4579">
        <v>0.82611373093704898</v>
      </c>
      <c r="D4579">
        <v>0.64148863070787199</v>
      </c>
      <c r="E4579">
        <v>0.61264039296258399</v>
      </c>
      <c r="F4579">
        <v>0.50265388588345705</v>
      </c>
      <c r="G4579">
        <v>0.40176294587337702</v>
      </c>
      <c r="H4579">
        <v>0.28710925320545899</v>
      </c>
      <c r="I4579">
        <v>0.26326285006609801</v>
      </c>
      <c r="J4579">
        <v>0.13634598715731899</v>
      </c>
      <c r="K4579">
        <v>0.104798080944097</v>
      </c>
      <c r="L4579">
        <v>375.78262730389099</v>
      </c>
      <c r="M4579">
        <v>7.1286295210085102</v>
      </c>
      <c r="N4579">
        <v>52.714567732666502</v>
      </c>
      <c r="O4579">
        <v>49.038698765079701</v>
      </c>
      <c r="P4579">
        <v>-3.6404877350816801E-2</v>
      </c>
      <c r="Q4579">
        <v>0</v>
      </c>
      <c r="R4579">
        <v>0.968749337806044</v>
      </c>
      <c r="S4579" t="s">
        <v>10864</v>
      </c>
      <c r="T4579" t="s">
        <v>12568</v>
      </c>
      <c r="U4579" t="s">
        <v>12568</v>
      </c>
      <c r="V4579" t="s">
        <v>12568</v>
      </c>
      <c r="W4579" t="s">
        <v>17100</v>
      </c>
      <c r="X4579">
        <v>4</v>
      </c>
      <c r="Y4579" t="s">
        <v>23208</v>
      </c>
      <c r="Z4579" t="s">
        <v>29449</v>
      </c>
      <c r="AA4579">
        <v>0.46983425094525239</v>
      </c>
      <c r="AB4579" t="str">
        <f>HYPERLINK("Melting_Curves/meltCurve_Q96BW1_UPRT.pdf", "Melting_Curves/meltCurve_Q96BW1_UPRT.pdf")</f>
        <v>Melting_Curves/meltCurve_Q96BW1_UPRT.pdf</v>
      </c>
    </row>
    <row r="4580" spans="1:28" x14ac:dyDescent="0.25">
      <c r="A4580" t="s">
        <v>4584</v>
      </c>
      <c r="B4580">
        <v>0.99352677808782597</v>
      </c>
      <c r="C4580">
        <v>0.99765160083234805</v>
      </c>
      <c r="D4580">
        <v>0.97401371161037997</v>
      </c>
      <c r="E4580">
        <v>0.91518130201164405</v>
      </c>
      <c r="F4580">
        <v>0.79543094925574998</v>
      </c>
      <c r="G4580">
        <v>0.70991281026473296</v>
      </c>
      <c r="H4580">
        <v>0.64652200316683095</v>
      </c>
      <c r="I4580">
        <v>0.41087805831385399</v>
      </c>
      <c r="J4580">
        <v>0.15814505000974699</v>
      </c>
      <c r="K4580">
        <v>0.105408177610455</v>
      </c>
      <c r="L4580">
        <v>807.12320917179898</v>
      </c>
      <c r="M4580">
        <v>13.1478671379017</v>
      </c>
      <c r="N4580">
        <v>61.388147710752797</v>
      </c>
      <c r="O4580">
        <v>60.020129831221098</v>
      </c>
      <c r="P4580">
        <v>-5.4773665234570099E-2</v>
      </c>
      <c r="Q4580">
        <v>0</v>
      </c>
      <c r="R4580">
        <v>0.96077331120551202</v>
      </c>
      <c r="S4580" t="s">
        <v>10865</v>
      </c>
      <c r="T4580" t="s">
        <v>12568</v>
      </c>
      <c r="U4580" t="s">
        <v>12568</v>
      </c>
      <c r="V4580" t="s">
        <v>12568</v>
      </c>
      <c r="W4580" t="s">
        <v>17101</v>
      </c>
      <c r="X4580">
        <v>10</v>
      </c>
      <c r="Y4580" t="s">
        <v>23209</v>
      </c>
      <c r="Z4580" t="s">
        <v>29450</v>
      </c>
      <c r="AA4580">
        <v>0.70962677686837528</v>
      </c>
      <c r="AB4580" t="str">
        <f>HYPERLINK("Melting_Curves/meltCurve_Q96BW5_2_PTER.pdf", "Melting_Curves/meltCurve_Q96BW5_2_PTER.pdf")</f>
        <v>Melting_Curves/meltCurve_Q96BW5_2_PTER.pdf</v>
      </c>
    </row>
    <row r="4581" spans="1:28" x14ac:dyDescent="0.25">
      <c r="A4581" t="s">
        <v>4585</v>
      </c>
      <c r="B4581">
        <v>0.99352677808782597</v>
      </c>
      <c r="C4581">
        <v>1.0074312230504301</v>
      </c>
      <c r="D4581">
        <v>1.0172041012633599</v>
      </c>
      <c r="E4581">
        <v>0.93521808576047705</v>
      </c>
      <c r="F4581">
        <v>0.68995486593719202</v>
      </c>
      <c r="G4581">
        <v>0.26094623080574197</v>
      </c>
      <c r="H4581">
        <v>0.10286759350944</v>
      </c>
      <c r="I4581">
        <v>8.6391692017918006E-2</v>
      </c>
      <c r="J4581">
        <v>7.9628227226422502E-2</v>
      </c>
      <c r="K4581">
        <v>7.2363011962545895E-2</v>
      </c>
      <c r="L4581">
        <v>1597.97131287705</v>
      </c>
      <c r="M4581">
        <v>29.440669838792701</v>
      </c>
      <c r="N4581">
        <v>54.5728473132639</v>
      </c>
      <c r="O4581">
        <v>54.0290953215992</v>
      </c>
      <c r="P4581">
        <v>-0.12620037217289201</v>
      </c>
      <c r="Q4581">
        <v>7.3601895080351698E-2</v>
      </c>
      <c r="R4581">
        <v>0.99960097417119398</v>
      </c>
      <c r="S4581" t="s">
        <v>10866</v>
      </c>
      <c r="T4581" t="s">
        <v>12568</v>
      </c>
      <c r="U4581" t="s">
        <v>12568</v>
      </c>
      <c r="V4581" t="s">
        <v>12568</v>
      </c>
      <c r="W4581" t="s">
        <v>17102</v>
      </c>
      <c r="X4581">
        <v>4</v>
      </c>
      <c r="Y4581" t="s">
        <v>23210</v>
      </c>
      <c r="Z4581" t="s">
        <v>29451</v>
      </c>
      <c r="AA4581">
        <v>0.52082369883273716</v>
      </c>
      <c r="AB4581" t="str">
        <f>HYPERLINK("Melting_Curves/meltCurve_Q96BX8_MOB3A.pdf", "Melting_Curves/meltCurve_Q96BX8_MOB3A.pdf")</f>
        <v>Melting_Curves/meltCurve_Q96BX8_MOB3A.pdf</v>
      </c>
    </row>
    <row r="4582" spans="1:28" x14ac:dyDescent="0.25">
      <c r="A4582" t="s">
        <v>4586</v>
      </c>
      <c r="B4582">
        <v>0.99352677808782597</v>
      </c>
      <c r="C4582">
        <v>0.92507490792213498</v>
      </c>
      <c r="D4582">
        <v>0.80207302234175004</v>
      </c>
      <c r="E4582">
        <v>0.60997214788879695</v>
      </c>
      <c r="F4582">
        <v>0.48386272461692098</v>
      </c>
      <c r="G4582">
        <v>0.18727535382508001</v>
      </c>
      <c r="H4582">
        <v>0.11623337912663501</v>
      </c>
      <c r="I4582">
        <v>0.10637143674537899</v>
      </c>
      <c r="J4582">
        <v>8.5758326494531606E-2</v>
      </c>
      <c r="K4582">
        <v>7.2561944430534098E-2</v>
      </c>
      <c r="L4582">
        <v>676.70090866432395</v>
      </c>
      <c r="M4582">
        <v>13.144301158427201</v>
      </c>
      <c r="N4582">
        <v>51.7201134169281</v>
      </c>
      <c r="O4582">
        <v>50.334583521400099</v>
      </c>
      <c r="P4582">
        <v>-6.3382166613603796E-2</v>
      </c>
      <c r="Q4582">
        <v>2.9305517315373699E-2</v>
      </c>
      <c r="R4582">
        <v>0.99297985690143398</v>
      </c>
      <c r="S4582" t="s">
        <v>10867</v>
      </c>
      <c r="T4582" t="s">
        <v>12568</v>
      </c>
      <c r="U4582" t="s">
        <v>12568</v>
      </c>
      <c r="V4582" t="s">
        <v>12568</v>
      </c>
      <c r="W4582" t="s">
        <v>17103</v>
      </c>
      <c r="X4582">
        <v>17</v>
      </c>
      <c r="Y4582" t="s">
        <v>23211</v>
      </c>
      <c r="Z4582" t="s">
        <v>29452</v>
      </c>
      <c r="AA4582">
        <v>0.42785725046312068</v>
      </c>
      <c r="AB4582" t="str">
        <f>HYPERLINK("Melting_Curves/meltCurve_Q96BY6_DOCK10.pdf", "Melting_Curves/meltCurve_Q96BY6_DOCK10.pdf")</f>
        <v>Melting_Curves/meltCurve_Q96BY6_DOCK10.pdf</v>
      </c>
    </row>
    <row r="4583" spans="1:28" x14ac:dyDescent="0.25">
      <c r="A4583" t="s">
        <v>4587</v>
      </c>
      <c r="B4583">
        <v>0.99352677808782597</v>
      </c>
      <c r="C4583">
        <v>0.99861950543579103</v>
      </c>
      <c r="D4583">
        <v>0.88817028679684695</v>
      </c>
      <c r="E4583">
        <v>0.79319992154705798</v>
      </c>
      <c r="F4583">
        <v>0.65045796693270597</v>
      </c>
      <c r="G4583">
        <v>0.46915220764988502</v>
      </c>
      <c r="H4583">
        <v>0.35617194884495901</v>
      </c>
      <c r="I4583">
        <v>0.27775800606881801</v>
      </c>
      <c r="J4583">
        <v>0.26257072963471201</v>
      </c>
      <c r="K4583">
        <v>0.17386027923121</v>
      </c>
      <c r="L4583">
        <v>610.59429508782796</v>
      </c>
      <c r="M4583">
        <v>11.098515675786899</v>
      </c>
      <c r="N4583">
        <v>56.511415198500899</v>
      </c>
      <c r="O4583">
        <v>53.320330809793099</v>
      </c>
      <c r="P4583">
        <v>-4.5429685088115498E-2</v>
      </c>
      <c r="Q4583">
        <v>0.12725755228756</v>
      </c>
      <c r="R4583">
        <v>0.99587329375398304</v>
      </c>
      <c r="S4583" t="s">
        <v>10868</v>
      </c>
      <c r="T4583" t="s">
        <v>12568</v>
      </c>
      <c r="U4583" t="s">
        <v>12568</v>
      </c>
      <c r="V4583" t="s">
        <v>12568</v>
      </c>
      <c r="W4583" t="s">
        <v>17104</v>
      </c>
      <c r="X4583">
        <v>25</v>
      </c>
      <c r="Y4583" t="s">
        <v>23212</v>
      </c>
      <c r="Z4583" t="s">
        <v>29453</v>
      </c>
      <c r="AA4583">
        <v>0.58553117899952545</v>
      </c>
      <c r="AB4583" t="str">
        <f>HYPERLINK("Melting_Curves/meltCurve_Q96BY7_ATG2B.pdf", "Melting_Curves/meltCurve_Q96BY7_ATG2B.pdf")</f>
        <v>Melting_Curves/meltCurve_Q96BY7_ATG2B.pdf</v>
      </c>
    </row>
    <row r="4584" spans="1:28" x14ac:dyDescent="0.25">
      <c r="A4584" t="s">
        <v>4588</v>
      </c>
      <c r="B4584">
        <v>0.99352677808782597</v>
      </c>
      <c r="C4584">
        <v>0.92395990649690296</v>
      </c>
      <c r="D4584">
        <v>1.0218196346048001</v>
      </c>
      <c r="E4584">
        <v>0.90214805135199805</v>
      </c>
      <c r="F4584">
        <v>0.84823174251284195</v>
      </c>
      <c r="G4584">
        <v>0.75068689383644205</v>
      </c>
      <c r="H4584">
        <v>0.701727080771258</v>
      </c>
      <c r="I4584">
        <v>0.75770682518760102</v>
      </c>
      <c r="J4584">
        <v>0.60333993583089496</v>
      </c>
      <c r="K4584">
        <v>0.44939113891148202</v>
      </c>
      <c r="L4584">
        <v>398.60527244647801</v>
      </c>
      <c r="M4584">
        <v>5.61435302545258</v>
      </c>
      <c r="O4584">
        <v>63.524500236243803</v>
      </c>
      <c r="P4584">
        <v>-2.2185769298209802E-2</v>
      </c>
      <c r="Q4584">
        <v>0</v>
      </c>
      <c r="R4584">
        <v>0.90502917525590998</v>
      </c>
      <c r="S4584" t="s">
        <v>10869</v>
      </c>
      <c r="T4584" t="s">
        <v>12568</v>
      </c>
      <c r="U4584" t="s">
        <v>12568</v>
      </c>
      <c r="V4584" t="s">
        <v>12568</v>
      </c>
      <c r="W4584" t="s">
        <v>17105</v>
      </c>
      <c r="X4584">
        <v>10</v>
      </c>
      <c r="Y4584" t="s">
        <v>23213</v>
      </c>
      <c r="Z4584" t="s">
        <v>29454</v>
      </c>
      <c r="AA4584">
        <v>0.80613354286818184</v>
      </c>
      <c r="AB4584" t="str">
        <f>HYPERLINK("Melting_Curves/meltCurve_Q96BZ8_LENG1.pdf", "Melting_Curves/meltCurve_Q96BZ8_LENG1.pdf")</f>
        <v>Melting_Curves/meltCurve_Q96BZ8_LENG1.pdf</v>
      </c>
    </row>
    <row r="4585" spans="1:28" x14ac:dyDescent="0.25">
      <c r="A4585" t="s">
        <v>4589</v>
      </c>
      <c r="B4585">
        <v>0.99352677808782597</v>
      </c>
      <c r="C4585">
        <v>1.0045348827079501</v>
      </c>
      <c r="D4585">
        <v>0.98234124296228598</v>
      </c>
      <c r="E4585">
        <v>0.66375088319811704</v>
      </c>
      <c r="F4585">
        <v>0.81427846589004405</v>
      </c>
      <c r="G4585">
        <v>0.21205043395109099</v>
      </c>
      <c r="H4585">
        <v>0.19034267279736899</v>
      </c>
      <c r="I4585">
        <v>0.14717819146154701</v>
      </c>
      <c r="J4585">
        <v>0.14633077920175699</v>
      </c>
      <c r="K4585">
        <v>0.121859617911873</v>
      </c>
      <c r="L4585">
        <v>1031.55602914224</v>
      </c>
      <c r="M4585">
        <v>19.151252192708998</v>
      </c>
      <c r="N4585">
        <v>54.510316006370502</v>
      </c>
      <c r="O4585">
        <v>53.286655586113902</v>
      </c>
      <c r="P4585">
        <v>-8.0722729461936801E-2</v>
      </c>
      <c r="Q4585">
        <v>0.10161945474971899</v>
      </c>
      <c r="R4585">
        <v>0.94203930164248295</v>
      </c>
      <c r="S4585" t="s">
        <v>10870</v>
      </c>
      <c r="T4585" t="s">
        <v>12568</v>
      </c>
      <c r="U4585" t="s">
        <v>12568</v>
      </c>
      <c r="V4585" t="s">
        <v>12568</v>
      </c>
      <c r="W4585" t="s">
        <v>17106</v>
      </c>
      <c r="X4585">
        <v>1</v>
      </c>
      <c r="Y4585" t="s">
        <v>23214</v>
      </c>
      <c r="Z4585" t="s">
        <v>29455</v>
      </c>
      <c r="AA4585">
        <v>0.52989456164830273</v>
      </c>
      <c r="AB4585" t="str">
        <f>HYPERLINK("Melting_Curves/meltCurve_Q96BZ9_TBC1D20.pdf", "Melting_Curves/meltCurve_Q96BZ9_TBC1D20.pdf")</f>
        <v>Melting_Curves/meltCurve_Q96BZ9_TBC1D20.pdf</v>
      </c>
    </row>
    <row r="4586" spans="1:28" x14ac:dyDescent="0.25">
      <c r="A4586" t="s">
        <v>4590</v>
      </c>
      <c r="B4586">
        <v>0.99352677808782597</v>
      </c>
      <c r="C4586">
        <v>0.97455775345245099</v>
      </c>
      <c r="D4586">
        <v>0.98066497008508302</v>
      </c>
      <c r="E4586">
        <v>0.87907315200330705</v>
      </c>
      <c r="F4586">
        <v>0.83479864187524999</v>
      </c>
      <c r="G4586">
        <v>0.71683364757137802</v>
      </c>
      <c r="H4586">
        <v>0.62835364097949897</v>
      </c>
      <c r="I4586">
        <v>0.68350694186319705</v>
      </c>
      <c r="J4586">
        <v>0.70421083035946697</v>
      </c>
      <c r="K4586">
        <v>0.60421245110344701</v>
      </c>
      <c r="L4586">
        <v>873.61160274909901</v>
      </c>
      <c r="M4586">
        <v>16.566522000439601</v>
      </c>
      <c r="O4586">
        <v>51.983121354914203</v>
      </c>
      <c r="P4586">
        <v>-2.87303549825451E-2</v>
      </c>
      <c r="Q4586">
        <v>0.63941928959674998</v>
      </c>
      <c r="R4586">
        <v>0.95794022076492802</v>
      </c>
      <c r="S4586" t="s">
        <v>10871</v>
      </c>
      <c r="T4586" t="s">
        <v>12568</v>
      </c>
      <c r="U4586" t="s">
        <v>12568</v>
      </c>
      <c r="V4586" t="s">
        <v>12568</v>
      </c>
      <c r="W4586" t="s">
        <v>17107</v>
      </c>
      <c r="X4586">
        <v>15</v>
      </c>
      <c r="Y4586" t="s">
        <v>23215</v>
      </c>
      <c r="Z4586" t="s">
        <v>29456</v>
      </c>
      <c r="AA4586">
        <v>0.79923615308939377</v>
      </c>
      <c r="AB4586" t="str">
        <f>HYPERLINK("Melting_Curves/meltCurve_Q96C01_FAM136A.pdf", "Melting_Curves/meltCurve_Q96C01_FAM136A.pdf")</f>
        <v>Melting_Curves/meltCurve_Q96C01_FAM136A.pdf</v>
      </c>
    </row>
    <row r="4587" spans="1:28" x14ac:dyDescent="0.25">
      <c r="A4587" t="s">
        <v>4591</v>
      </c>
      <c r="B4587">
        <v>0.99352677808782597</v>
      </c>
      <c r="C4587">
        <v>1.1499455615287399</v>
      </c>
      <c r="D4587">
        <v>1.20191244977717</v>
      </c>
      <c r="E4587">
        <v>0.970408722991568</v>
      </c>
      <c r="F4587">
        <v>0.85869221952619201</v>
      </c>
      <c r="G4587">
        <v>0.68155441082286095</v>
      </c>
      <c r="H4587">
        <v>0.48297159473392498</v>
      </c>
      <c r="I4587">
        <v>0.374950966899251</v>
      </c>
      <c r="J4587">
        <v>0.32236979274262401</v>
      </c>
      <c r="K4587">
        <v>0.24630698024325601</v>
      </c>
      <c r="L4587">
        <v>1038.2668197837399</v>
      </c>
      <c r="M4587">
        <v>17.8239136298996</v>
      </c>
      <c r="N4587">
        <v>60.4253164291693</v>
      </c>
      <c r="O4587">
        <v>57.532934469302603</v>
      </c>
      <c r="P4587">
        <v>-5.9122253421379098E-2</v>
      </c>
      <c r="Q4587">
        <v>0.236687890925148</v>
      </c>
      <c r="R4587">
        <v>0.93933262768207504</v>
      </c>
      <c r="S4587" t="s">
        <v>10872</v>
      </c>
      <c r="T4587" t="s">
        <v>12568</v>
      </c>
      <c r="U4587" t="s">
        <v>12568</v>
      </c>
      <c r="V4587" t="s">
        <v>12568</v>
      </c>
      <c r="W4587" t="s">
        <v>17108</v>
      </c>
      <c r="X4587">
        <v>26</v>
      </c>
      <c r="Y4587" t="s">
        <v>23216</v>
      </c>
      <c r="Z4587" t="s">
        <v>29457</v>
      </c>
      <c r="AA4587">
        <v>0.71025839788725642</v>
      </c>
      <c r="AB4587" t="str">
        <f>HYPERLINK("Melting_Curves/meltCurve_Q96C19_EFHD2.pdf", "Melting_Curves/meltCurve_Q96C19_EFHD2.pdf")</f>
        <v>Melting_Curves/meltCurve_Q96C19_EFHD2.pdf</v>
      </c>
    </row>
    <row r="4588" spans="1:28" x14ac:dyDescent="0.25">
      <c r="A4588" t="s">
        <v>4592</v>
      </c>
      <c r="B4588">
        <v>0.99352677808782597</v>
      </c>
      <c r="C4588">
        <v>1.3996881529425</v>
      </c>
      <c r="D4588">
        <v>0.43390319864413501</v>
      </c>
      <c r="E4588">
        <v>0.361895918137349</v>
      </c>
      <c r="F4588">
        <v>0.266081198705444</v>
      </c>
      <c r="G4588">
        <v>8.2531511291576806E-2</v>
      </c>
      <c r="H4588">
        <v>5.4082462029658801E-2</v>
      </c>
      <c r="I4588">
        <v>4.7855093986138901E-2</v>
      </c>
      <c r="J4588">
        <v>4.2975753664223598E-2</v>
      </c>
      <c r="K4588">
        <v>3.4663458802395401E-2</v>
      </c>
      <c r="L4588">
        <v>11471.8140620208</v>
      </c>
      <c r="M4588">
        <v>250</v>
      </c>
      <c r="N4588">
        <v>45.941180094316799</v>
      </c>
      <c r="O4588">
        <v>45.884342159484198</v>
      </c>
      <c r="P4588">
        <v>-1.1889205160023</v>
      </c>
      <c r="Q4588">
        <v>0.12715505161677201</v>
      </c>
      <c r="R4588">
        <v>0.86623701948854703</v>
      </c>
      <c r="S4588" t="s">
        <v>10873</v>
      </c>
      <c r="T4588" t="s">
        <v>12568</v>
      </c>
      <c r="U4588" t="s">
        <v>12568</v>
      </c>
      <c r="V4588" t="s">
        <v>12568</v>
      </c>
      <c r="W4588" t="s">
        <v>17109</v>
      </c>
      <c r="X4588">
        <v>14</v>
      </c>
      <c r="Y4588" t="s">
        <v>23217</v>
      </c>
      <c r="Z4588" t="s">
        <v>29458</v>
      </c>
      <c r="AA4588">
        <v>0.29851407225962068</v>
      </c>
      <c r="AB4588" t="str">
        <f>HYPERLINK("Melting_Curves/meltCurve_Q96C23_GALM.pdf", "Melting_Curves/meltCurve_Q96C23_GALM.pdf")</f>
        <v>Melting_Curves/meltCurve_Q96C23_GALM.pdf</v>
      </c>
    </row>
    <row r="4589" spans="1:28" x14ac:dyDescent="0.25">
      <c r="A4589" t="s">
        <v>4593</v>
      </c>
      <c r="B4589">
        <v>0.99352677808782597</v>
      </c>
      <c r="C4589">
        <v>0.83127732917016595</v>
      </c>
      <c r="D4589">
        <v>0.75975049103783798</v>
      </c>
      <c r="E4589">
        <v>0.36200362323005097</v>
      </c>
      <c r="F4589">
        <v>0.26395570564351301</v>
      </c>
      <c r="G4589">
        <v>0.20876060723752701</v>
      </c>
      <c r="H4589">
        <v>0.17299628149677301</v>
      </c>
      <c r="I4589">
        <v>0.17211233140003199</v>
      </c>
      <c r="J4589">
        <v>0.144621587298737</v>
      </c>
      <c r="K4589">
        <v>0.12861039276351499</v>
      </c>
      <c r="L4589">
        <v>858.53650592725296</v>
      </c>
      <c r="M4589">
        <v>18.04115940478</v>
      </c>
      <c r="N4589">
        <v>48.530905312216802</v>
      </c>
      <c r="O4589">
        <v>47.014552442547803</v>
      </c>
      <c r="P4589">
        <v>-8.1750826788933098E-2</v>
      </c>
      <c r="Q4589">
        <v>0.147884204747109</v>
      </c>
      <c r="R4589">
        <v>0.98909916467863301</v>
      </c>
      <c r="S4589" t="s">
        <v>10874</v>
      </c>
      <c r="T4589" t="s">
        <v>12568</v>
      </c>
      <c r="U4589" t="s">
        <v>12568</v>
      </c>
      <c r="V4589" t="s">
        <v>12568</v>
      </c>
      <c r="W4589" t="s">
        <v>17110</v>
      </c>
      <c r="X4589">
        <v>1</v>
      </c>
      <c r="Y4589" t="s">
        <v>23218</v>
      </c>
      <c r="Z4589" t="s">
        <v>29459</v>
      </c>
      <c r="AA4589">
        <v>0.37865844402609389</v>
      </c>
      <c r="AB4589" t="str">
        <f>HYPERLINK("Melting_Curves/meltCurve_Q96C24_SYTL4.pdf", "Melting_Curves/meltCurve_Q96C24_SYTL4.pdf")</f>
        <v>Melting_Curves/meltCurve_Q96C24_SYTL4.pdf</v>
      </c>
    </row>
    <row r="4590" spans="1:28" x14ac:dyDescent="0.25">
      <c r="A4590" t="s">
        <v>4594</v>
      </c>
      <c r="B4590">
        <v>0.99352677808782597</v>
      </c>
      <c r="C4590">
        <v>0.98928740745252197</v>
      </c>
      <c r="D4590">
        <v>0.84633644685242004</v>
      </c>
      <c r="E4590">
        <v>0.285834843336081</v>
      </c>
      <c r="F4590">
        <v>0.64685289888351205</v>
      </c>
      <c r="G4590">
        <v>0.44844490291297201</v>
      </c>
      <c r="H4590">
        <v>0.32310809714640698</v>
      </c>
      <c r="I4590">
        <v>0.23239084372535601</v>
      </c>
      <c r="J4590">
        <v>0.30778479820946802</v>
      </c>
      <c r="K4590">
        <v>0.19911317251077301</v>
      </c>
      <c r="L4590">
        <v>737.28282817327499</v>
      </c>
      <c r="M4590">
        <v>15.192116865560999</v>
      </c>
      <c r="N4590">
        <v>51.287932895509599</v>
      </c>
      <c r="O4590">
        <v>47.713051680429501</v>
      </c>
      <c r="P4590">
        <v>-5.7392837478152402E-2</v>
      </c>
      <c r="Q4590">
        <v>0.27906713507016401</v>
      </c>
      <c r="R4590">
        <v>0.82964682426495695</v>
      </c>
      <c r="S4590" t="s">
        <v>10875</v>
      </c>
      <c r="T4590" t="s">
        <v>12568</v>
      </c>
      <c r="U4590" t="s">
        <v>12568</v>
      </c>
      <c r="V4590" t="s">
        <v>12568</v>
      </c>
      <c r="W4590" t="s">
        <v>17111</v>
      </c>
      <c r="X4590">
        <v>3</v>
      </c>
      <c r="Y4590" t="s">
        <v>23219</v>
      </c>
      <c r="Z4590" t="s">
        <v>29460</v>
      </c>
      <c r="AA4590">
        <v>0.50174986044811221</v>
      </c>
      <c r="AB4590" t="str">
        <f>HYPERLINK("Melting_Curves/meltCurve_Q96C34_2_RUNDC1.pdf", "Melting_Curves/meltCurve_Q96C34_2_RUNDC1.pdf")</f>
        <v>Melting_Curves/meltCurve_Q96C34_2_RUNDC1.pdf</v>
      </c>
    </row>
    <row r="4591" spans="1:28" x14ac:dyDescent="0.25">
      <c r="A4591" t="s">
        <v>4595</v>
      </c>
      <c r="B4591">
        <v>0.99352677808782597</v>
      </c>
      <c r="C4591">
        <v>0.91311822734104897</v>
      </c>
      <c r="D4591">
        <v>0.85255695324514003</v>
      </c>
      <c r="E4591">
        <v>1.00470315438416</v>
      </c>
      <c r="F4591">
        <v>0.84331557648554101</v>
      </c>
      <c r="G4591">
        <v>0.711832720904512</v>
      </c>
      <c r="H4591">
        <v>0.653188757234478</v>
      </c>
      <c r="I4591">
        <v>0.43140566781270001</v>
      </c>
      <c r="J4591">
        <v>0.21947024231673201</v>
      </c>
      <c r="K4591">
        <v>0.13272082944948399</v>
      </c>
      <c r="L4591">
        <v>813.23320708337997</v>
      </c>
      <c r="M4591">
        <v>13.1142595148119</v>
      </c>
      <c r="N4591">
        <v>62.011370644564501</v>
      </c>
      <c r="O4591">
        <v>60.622628376592601</v>
      </c>
      <c r="P4591">
        <v>-5.40907659408787E-2</v>
      </c>
      <c r="Q4591">
        <v>0</v>
      </c>
      <c r="R4591">
        <v>0.94362761129105599</v>
      </c>
      <c r="S4591" t="s">
        <v>10876</v>
      </c>
      <c r="T4591" t="s">
        <v>12568</v>
      </c>
      <c r="U4591" t="s">
        <v>12568</v>
      </c>
      <c r="V4591" t="s">
        <v>12568</v>
      </c>
      <c r="W4591" t="s">
        <v>17112</v>
      </c>
      <c r="X4591">
        <v>7</v>
      </c>
      <c r="Y4591" t="s">
        <v>23220</v>
      </c>
      <c r="Z4591" t="s">
        <v>29461</v>
      </c>
      <c r="AA4591">
        <v>0.72613690313726409</v>
      </c>
      <c r="AB4591" t="str">
        <f>HYPERLINK("Melting_Curves/meltCurve_Q96C36_PYCR2.pdf", "Melting_Curves/meltCurve_Q96C36_PYCR2.pdf")</f>
        <v>Melting_Curves/meltCurve_Q96C36_PYCR2.pdf</v>
      </c>
    </row>
    <row r="4592" spans="1:28" x14ac:dyDescent="0.25">
      <c r="A4592" t="s">
        <v>4596</v>
      </c>
      <c r="B4592">
        <v>0.99352677808782597</v>
      </c>
      <c r="C4592">
        <v>0.89413058952086699</v>
      </c>
      <c r="D4592">
        <v>0.98518021693878799</v>
      </c>
      <c r="E4592">
        <v>0.91161821022121803</v>
      </c>
      <c r="F4592">
        <v>0.85098466923660698</v>
      </c>
      <c r="G4592">
        <v>0.76026010607178096</v>
      </c>
      <c r="H4592">
        <v>0.73772118221595695</v>
      </c>
      <c r="I4592">
        <v>0.69286884706649998</v>
      </c>
      <c r="J4592">
        <v>0.665011574068055</v>
      </c>
      <c r="K4592">
        <v>0.58425545746624397</v>
      </c>
      <c r="L4592">
        <v>329.40279216038101</v>
      </c>
      <c r="M4592">
        <v>4.73659159355749</v>
      </c>
      <c r="O4592">
        <v>59.903404066741302</v>
      </c>
      <c r="P4592">
        <v>-1.5650143882165998E-2</v>
      </c>
      <c r="Q4592">
        <v>0.214083114719122</v>
      </c>
      <c r="R4592">
        <v>0.94612680957358997</v>
      </c>
      <c r="S4592" t="s">
        <v>10877</v>
      </c>
      <c r="T4592" t="s">
        <v>12568</v>
      </c>
      <c r="U4592" t="s">
        <v>12568</v>
      </c>
      <c r="V4592" t="s">
        <v>12568</v>
      </c>
      <c r="W4592" t="s">
        <v>13037</v>
      </c>
      <c r="X4592">
        <v>5</v>
      </c>
      <c r="Y4592" t="s">
        <v>19268</v>
      </c>
      <c r="Z4592" t="s">
        <v>29462</v>
      </c>
      <c r="AA4592">
        <v>0.81266835010583371</v>
      </c>
      <c r="AB4592" t="str">
        <f>HYPERLINK("Melting_Curves/meltCurve_Q96C57_C12orf43.pdf", "Melting_Curves/meltCurve_Q96C57_C12orf43.pdf")</f>
        <v>Melting_Curves/meltCurve_Q96C57_C12orf43.pdf</v>
      </c>
    </row>
    <row r="4593" spans="1:28" x14ac:dyDescent="0.25">
      <c r="A4593" t="s">
        <v>4597</v>
      </c>
      <c r="B4593">
        <v>0.99352677808782597</v>
      </c>
      <c r="C4593">
        <v>1.0028201476508001</v>
      </c>
      <c r="D4593">
        <v>1.00920113929282</v>
      </c>
      <c r="E4593">
        <v>0.84141036133847502</v>
      </c>
      <c r="F4593">
        <v>0.79667681474383001</v>
      </c>
      <c r="G4593">
        <v>0.46939593305939697</v>
      </c>
      <c r="H4593">
        <v>0.15214692448839001</v>
      </c>
      <c r="I4593">
        <v>0.11105763613403601</v>
      </c>
      <c r="J4593">
        <v>8.3052252771802407E-2</v>
      </c>
      <c r="K4593">
        <v>6.9035291667224302E-2</v>
      </c>
      <c r="L4593">
        <v>1098.1542267385</v>
      </c>
      <c r="M4593">
        <v>19.5750812836115</v>
      </c>
      <c r="N4593">
        <v>56.302623230663499</v>
      </c>
      <c r="O4593">
        <v>55.523972466488203</v>
      </c>
      <c r="P4593">
        <v>-8.5137564027215396E-2</v>
      </c>
      <c r="Q4593">
        <v>3.40763882003942E-2</v>
      </c>
      <c r="R4593">
        <v>0.99310749845559398</v>
      </c>
      <c r="S4593" t="s">
        <v>10878</v>
      </c>
      <c r="T4593" t="s">
        <v>12568</v>
      </c>
      <c r="U4593" t="s">
        <v>12568</v>
      </c>
      <c r="V4593" t="s">
        <v>12568</v>
      </c>
      <c r="W4593" t="s">
        <v>17113</v>
      </c>
      <c r="X4593">
        <v>12</v>
      </c>
      <c r="Y4593" t="s">
        <v>23221</v>
      </c>
      <c r="Z4593" t="s">
        <v>29463</v>
      </c>
      <c r="AA4593">
        <v>0.56519130700814779</v>
      </c>
      <c r="AB4593" t="str">
        <f>HYPERLINK("Melting_Curves/meltCurve_Q96C86_DCPS.pdf", "Melting_Curves/meltCurve_Q96C86_DCPS.pdf")</f>
        <v>Melting_Curves/meltCurve_Q96C86_DCPS.pdf</v>
      </c>
    </row>
    <row r="4594" spans="1:28" x14ac:dyDescent="0.25">
      <c r="A4594" t="s">
        <v>4598</v>
      </c>
      <c r="B4594">
        <v>0.99352677808782597</v>
      </c>
      <c r="C4594">
        <v>0.92512398199726198</v>
      </c>
      <c r="D4594">
        <v>0.94411300210439197</v>
      </c>
      <c r="E4594">
        <v>0.87739141740397697</v>
      </c>
      <c r="F4594">
        <v>0.86573547974578002</v>
      </c>
      <c r="G4594">
        <v>0.76212875828169502</v>
      </c>
      <c r="H4594">
        <v>0.65348663050851097</v>
      </c>
      <c r="I4594">
        <v>0.73247269430888695</v>
      </c>
      <c r="J4594">
        <v>0.733768507225527</v>
      </c>
      <c r="K4594">
        <v>0.62199446426823501</v>
      </c>
      <c r="L4594">
        <v>449.22522144274802</v>
      </c>
      <c r="M4594">
        <v>8.1634216911432507</v>
      </c>
      <c r="O4594">
        <v>52.022559380493099</v>
      </c>
      <c r="P4594">
        <v>-1.5686151534769099E-2</v>
      </c>
      <c r="Q4594">
        <v>0.60057004193498098</v>
      </c>
      <c r="R4594">
        <v>0.90361379969748701</v>
      </c>
      <c r="S4594" t="s">
        <v>10879</v>
      </c>
      <c r="T4594" t="s">
        <v>12568</v>
      </c>
      <c r="U4594" t="s">
        <v>12568</v>
      </c>
      <c r="V4594" t="s">
        <v>12568</v>
      </c>
      <c r="W4594" t="s">
        <v>17114</v>
      </c>
      <c r="X4594">
        <v>4</v>
      </c>
      <c r="Y4594" t="s">
        <v>23222</v>
      </c>
      <c r="Z4594" t="s">
        <v>29464</v>
      </c>
      <c r="AA4594">
        <v>0.81142624147705023</v>
      </c>
      <c r="AB4594" t="str">
        <f>HYPERLINK("Melting_Curves/meltCurve_Q96C90_PPP1R14B.pdf", "Melting_Curves/meltCurve_Q96C90_PPP1R14B.pdf")</f>
        <v>Melting_Curves/meltCurve_Q96C90_PPP1R14B.pdf</v>
      </c>
    </row>
    <row r="4595" spans="1:28" x14ac:dyDescent="0.25">
      <c r="A4595" t="s">
        <v>4599</v>
      </c>
      <c r="B4595">
        <v>0.99352677808782597</v>
      </c>
      <c r="C4595">
        <v>0.89427727251547995</v>
      </c>
      <c r="D4595">
        <v>0.93268929130396205</v>
      </c>
      <c r="E4595">
        <v>0.85796011224192803</v>
      </c>
      <c r="F4595">
        <v>0.74081839391862903</v>
      </c>
      <c r="G4595">
        <v>0.65640257500336197</v>
      </c>
      <c r="H4595">
        <v>0.52015332271313497</v>
      </c>
      <c r="I4595">
        <v>0.53120081932664898</v>
      </c>
      <c r="J4595">
        <v>0.539310006653278</v>
      </c>
      <c r="K4595">
        <v>0.53518335940025596</v>
      </c>
      <c r="L4595">
        <v>626.42064226867603</v>
      </c>
      <c r="M4595">
        <v>11.8256877994609</v>
      </c>
      <c r="O4595">
        <v>51.5245408781172</v>
      </c>
      <c r="P4595">
        <v>-2.9633721667596001E-2</v>
      </c>
      <c r="Q4595">
        <v>0.48367502525490402</v>
      </c>
      <c r="R4595">
        <v>0.96621579748661501</v>
      </c>
      <c r="S4595" t="s">
        <v>10880</v>
      </c>
      <c r="T4595" t="s">
        <v>12568</v>
      </c>
      <c r="U4595" t="s">
        <v>12568</v>
      </c>
      <c r="V4595" t="s">
        <v>12568</v>
      </c>
      <c r="W4595" t="s">
        <v>17115</v>
      </c>
      <c r="X4595">
        <v>7</v>
      </c>
      <c r="Y4595" t="s">
        <v>23223</v>
      </c>
      <c r="Z4595" t="s">
        <v>29465</v>
      </c>
      <c r="AA4595">
        <v>0.72189509062130575</v>
      </c>
      <c r="AB4595" t="str">
        <f>HYPERLINK("Melting_Curves/meltCurve_Q96CB8_INTS12.pdf", "Melting_Curves/meltCurve_Q96CB8_INTS12.pdf")</f>
        <v>Melting_Curves/meltCurve_Q96CB8_INTS12.pdf</v>
      </c>
    </row>
    <row r="4596" spans="1:28" x14ac:dyDescent="0.25">
      <c r="A4596" t="s">
        <v>4600</v>
      </c>
      <c r="B4596">
        <v>0.99352677808782597</v>
      </c>
      <c r="C4596">
        <v>1.04552411627166</v>
      </c>
      <c r="D4596">
        <v>1.04751548329688</v>
      </c>
      <c r="E4596">
        <v>0.74783014782611901</v>
      </c>
      <c r="F4596">
        <v>0.661879439025719</v>
      </c>
      <c r="G4596">
        <v>0.31873787780007301</v>
      </c>
      <c r="H4596">
        <v>0.114998317026146</v>
      </c>
      <c r="I4596">
        <v>9.4863668608111601E-2</v>
      </c>
      <c r="J4596">
        <v>7.9637066177366406E-2</v>
      </c>
      <c r="K4596">
        <v>7.0143506298561406E-2</v>
      </c>
      <c r="L4596">
        <v>1019.36267112665</v>
      </c>
      <c r="M4596">
        <v>18.833672533852798</v>
      </c>
      <c r="N4596">
        <v>54.403822303091601</v>
      </c>
      <c r="O4596">
        <v>53.525344282147699</v>
      </c>
      <c r="P4596">
        <v>-8.3915471330715405E-2</v>
      </c>
      <c r="Q4596">
        <v>4.6087371716998803E-2</v>
      </c>
      <c r="R4596">
        <v>0.98778334637571397</v>
      </c>
      <c r="S4596" t="s">
        <v>10881</v>
      </c>
      <c r="T4596" t="s">
        <v>12568</v>
      </c>
      <c r="U4596" t="s">
        <v>12568</v>
      </c>
      <c r="V4596" t="s">
        <v>12568</v>
      </c>
      <c r="W4596" t="s">
        <v>17116</v>
      </c>
      <c r="X4596">
        <v>2</v>
      </c>
      <c r="Y4596" t="s">
        <v>23224</v>
      </c>
      <c r="Z4596" t="s">
        <v>29466</v>
      </c>
      <c r="AA4596">
        <v>0.50941645408095027</v>
      </c>
      <c r="AB4596" t="str">
        <f>HYPERLINK("Melting_Curves/meltCurve_Q96CD0_FBXL8.pdf", "Melting_Curves/meltCurve_Q96CD0_FBXL8.pdf")</f>
        <v>Melting_Curves/meltCurve_Q96CD0_FBXL8.pdf</v>
      </c>
    </row>
    <row r="4597" spans="1:28" x14ac:dyDescent="0.25">
      <c r="A4597" t="s">
        <v>4601</v>
      </c>
      <c r="B4597">
        <v>0.99352677808782597</v>
      </c>
      <c r="C4597">
        <v>0.98377909928654395</v>
      </c>
      <c r="D4597">
        <v>0.95337505259728805</v>
      </c>
      <c r="E4597">
        <v>0.82022405591252301</v>
      </c>
      <c r="F4597">
        <v>0.74929341691903795</v>
      </c>
      <c r="G4597">
        <v>0.60630328481727702</v>
      </c>
      <c r="H4597">
        <v>0.65001055636152905</v>
      </c>
      <c r="I4597">
        <v>0.68436468327213495</v>
      </c>
      <c r="J4597">
        <v>0.82993202474772798</v>
      </c>
      <c r="K4597">
        <v>0.65137943546702104</v>
      </c>
      <c r="L4597">
        <v>1373.08829637382</v>
      </c>
      <c r="M4597">
        <v>27.810551023820501</v>
      </c>
      <c r="O4597">
        <v>49.119764592019401</v>
      </c>
      <c r="P4597">
        <v>-4.4325771479898697E-2</v>
      </c>
      <c r="Q4597">
        <v>0.68684517368921305</v>
      </c>
      <c r="R4597">
        <v>0.83634094451450802</v>
      </c>
      <c r="S4597" t="s">
        <v>10882</v>
      </c>
      <c r="T4597" t="s">
        <v>12568</v>
      </c>
      <c r="U4597" t="s">
        <v>12568</v>
      </c>
      <c r="V4597" t="s">
        <v>12568</v>
      </c>
      <c r="W4597" t="s">
        <v>17117</v>
      </c>
      <c r="X4597">
        <v>8</v>
      </c>
      <c r="Y4597" t="s">
        <v>23225</v>
      </c>
      <c r="Z4597" t="s">
        <v>29467</v>
      </c>
      <c r="AA4597">
        <v>0.78692299372153807</v>
      </c>
      <c r="AB4597" t="str">
        <f>HYPERLINK("Melting_Curves/meltCurve_Q96CD2_PPCDC.pdf", "Melting_Curves/meltCurve_Q96CD2_PPCDC.pdf")</f>
        <v>Melting_Curves/meltCurve_Q96CD2_PPCDC.pdf</v>
      </c>
    </row>
    <row r="4598" spans="1:28" x14ac:dyDescent="0.25">
      <c r="A4598" t="s">
        <v>4602</v>
      </c>
      <c r="B4598">
        <v>0.99352677808782597</v>
      </c>
      <c r="C4598">
        <v>0.85294231242105301</v>
      </c>
      <c r="D4598">
        <v>0.84254024126198401</v>
      </c>
      <c r="E4598">
        <v>0.65179629545335804</v>
      </c>
      <c r="F4598">
        <v>0.68176452589817904</v>
      </c>
      <c r="G4598">
        <v>0.48819084968293602</v>
      </c>
      <c r="H4598">
        <v>0.49535457737283001</v>
      </c>
      <c r="I4598">
        <v>0.49019607587573599</v>
      </c>
      <c r="J4598">
        <v>0.451524631480542</v>
      </c>
      <c r="K4598">
        <v>0.38056757915770201</v>
      </c>
      <c r="L4598">
        <v>455.59938483937901</v>
      </c>
      <c r="M4598">
        <v>9.0185113185576107</v>
      </c>
      <c r="N4598">
        <v>59.577936816593002</v>
      </c>
      <c r="O4598">
        <v>48.219924853264999</v>
      </c>
      <c r="P4598">
        <v>-2.93320915649414E-2</v>
      </c>
      <c r="Q4598">
        <v>0.373123695525171</v>
      </c>
      <c r="R4598">
        <v>0.95673015198889999</v>
      </c>
      <c r="S4598" t="s">
        <v>10883</v>
      </c>
      <c r="T4598" t="s">
        <v>12568</v>
      </c>
      <c r="U4598" t="s">
        <v>12568</v>
      </c>
      <c r="V4598" t="s">
        <v>12568</v>
      </c>
      <c r="W4598" t="s">
        <v>17118</v>
      </c>
      <c r="X4598">
        <v>7</v>
      </c>
      <c r="Y4598" t="s">
        <v>23226</v>
      </c>
      <c r="Z4598" t="s">
        <v>29468</v>
      </c>
      <c r="AA4598">
        <v>0.62379924036581591</v>
      </c>
      <c r="AB4598" t="str">
        <f>HYPERLINK("Melting_Curves/meltCurve_Q96CF2_CHMP4C.pdf", "Melting_Curves/meltCurve_Q96CF2_CHMP4C.pdf")</f>
        <v>Melting_Curves/meltCurve_Q96CF2_CHMP4C.pdf</v>
      </c>
    </row>
    <row r="4599" spans="1:28" x14ac:dyDescent="0.25">
      <c r="A4599" t="s">
        <v>4603</v>
      </c>
      <c r="B4599">
        <v>0.99352677808782597</v>
      </c>
      <c r="C4599">
        <v>0.89614883748420304</v>
      </c>
      <c r="D4599">
        <v>0.895783122796588</v>
      </c>
      <c r="E4599">
        <v>0.76236959250273795</v>
      </c>
      <c r="F4599">
        <v>0.69465875869478</v>
      </c>
      <c r="G4599">
        <v>0.50563240518283104</v>
      </c>
      <c r="H4599">
        <v>0.24548337172405599</v>
      </c>
      <c r="I4599">
        <v>0.123160869963789</v>
      </c>
      <c r="J4599">
        <v>9.7284337881181293E-2</v>
      </c>
      <c r="K4599">
        <v>8.3542743641591505E-2</v>
      </c>
      <c r="L4599">
        <v>672.47159637419099</v>
      </c>
      <c r="M4599">
        <v>12.0391832703327</v>
      </c>
      <c r="N4599">
        <v>55.8569186004407</v>
      </c>
      <c r="O4599">
        <v>54.382759998150398</v>
      </c>
      <c r="P4599">
        <v>-5.53578427685983E-2</v>
      </c>
      <c r="Q4599">
        <v>0</v>
      </c>
      <c r="R4599">
        <v>0.98446756189563001</v>
      </c>
      <c r="S4599" t="s">
        <v>10884</v>
      </c>
      <c r="T4599" t="s">
        <v>12568</v>
      </c>
      <c r="U4599" t="s">
        <v>12568</v>
      </c>
      <c r="V4599" t="s">
        <v>12568</v>
      </c>
      <c r="W4599" t="s">
        <v>17119</v>
      </c>
      <c r="X4599">
        <v>2</v>
      </c>
      <c r="Y4599" t="s">
        <v>23227</v>
      </c>
      <c r="Z4599" t="s">
        <v>29469</v>
      </c>
      <c r="AA4599">
        <v>0.54938490854010902</v>
      </c>
      <c r="AB4599" t="str">
        <f>HYPERLINK("Melting_Curves/meltCurve_Q96CG3_TIFA.pdf", "Melting_Curves/meltCurve_Q96CG3_TIFA.pdf")</f>
        <v>Melting_Curves/meltCurve_Q96CG3_TIFA.pdf</v>
      </c>
    </row>
    <row r="4600" spans="1:28" x14ac:dyDescent="0.25">
      <c r="A4600" t="s">
        <v>4604</v>
      </c>
      <c r="B4600">
        <v>0.99352677808782597</v>
      </c>
      <c r="C4600">
        <v>1.05307483921524</v>
      </c>
      <c r="D4600">
        <v>0.96241375906211302</v>
      </c>
      <c r="E4600">
        <v>1.2277787203072801</v>
      </c>
      <c r="F4600">
        <v>1.4013721540948301</v>
      </c>
      <c r="G4600">
        <v>0.93646299636279196</v>
      </c>
      <c r="H4600">
        <v>1.1085355450079799</v>
      </c>
      <c r="I4600">
        <v>1.35861592194036</v>
      </c>
      <c r="J4600">
        <v>1.27401391191005</v>
      </c>
      <c r="K4600">
        <v>1.0589627543828199</v>
      </c>
      <c r="L4600">
        <v>11983.044225609599</v>
      </c>
      <c r="M4600">
        <v>250</v>
      </c>
      <c r="O4600">
        <v>47.929109484510697</v>
      </c>
      <c r="P4600">
        <v>0.254420806414975</v>
      </c>
      <c r="Q4600">
        <v>1.1951066030556801</v>
      </c>
      <c r="R4600">
        <v>0.30834076054294202</v>
      </c>
      <c r="S4600" t="s">
        <v>10885</v>
      </c>
      <c r="T4600" t="s">
        <v>12568</v>
      </c>
      <c r="U4600" t="s">
        <v>12568</v>
      </c>
      <c r="V4600" t="s">
        <v>12568</v>
      </c>
      <c r="W4600" t="s">
        <v>17120</v>
      </c>
      <c r="X4600">
        <v>2</v>
      </c>
      <c r="Y4600" t="s">
        <v>23228</v>
      </c>
      <c r="Z4600" t="s">
        <v>29470</v>
      </c>
      <c r="AA4600">
        <v>1.14350285430207</v>
      </c>
      <c r="AB4600" t="str">
        <f>HYPERLINK("Melting_Curves/meltCurve_Q96CN4_EVI5L.pdf", "Melting_Curves/meltCurve_Q96CN4_EVI5L.pdf")</f>
        <v>Melting_Curves/meltCurve_Q96CN4_EVI5L.pdf</v>
      </c>
    </row>
    <row r="4601" spans="1:28" x14ac:dyDescent="0.25">
      <c r="A4601" t="s">
        <v>4605</v>
      </c>
      <c r="B4601">
        <v>0.99352677808782597</v>
      </c>
      <c r="C4601">
        <v>1.0662839913928299</v>
      </c>
      <c r="D4601">
        <v>0.968696957178241</v>
      </c>
      <c r="E4601">
        <v>0.95790899177486</v>
      </c>
      <c r="F4601">
        <v>0.83865712682970195</v>
      </c>
      <c r="G4601">
        <v>0.65803578453087797</v>
      </c>
      <c r="H4601">
        <v>0.112866453937367</v>
      </c>
      <c r="I4601">
        <v>7.0102881292691002E-2</v>
      </c>
      <c r="J4601">
        <v>4.7924852632214597E-2</v>
      </c>
      <c r="K4601">
        <v>3.3795711016944202E-2</v>
      </c>
      <c r="L4601">
        <v>1745.34429703313</v>
      </c>
      <c r="M4601">
        <v>30.246940818541201</v>
      </c>
      <c r="N4601">
        <v>57.765597999630302</v>
      </c>
      <c r="O4601">
        <v>57.452704245501899</v>
      </c>
      <c r="P4601">
        <v>-0.12950105980905899</v>
      </c>
      <c r="Q4601">
        <v>1.60804669959085E-2</v>
      </c>
      <c r="R4601">
        <v>0.98677751801889801</v>
      </c>
      <c r="S4601" t="s">
        <v>10886</v>
      </c>
      <c r="T4601" t="s">
        <v>12568</v>
      </c>
      <c r="U4601" t="s">
        <v>12568</v>
      </c>
      <c r="V4601" t="s">
        <v>12568</v>
      </c>
      <c r="W4601" t="s">
        <v>17121</v>
      </c>
      <c r="X4601">
        <v>8</v>
      </c>
      <c r="Y4601" t="s">
        <v>23229</v>
      </c>
      <c r="Z4601" t="s">
        <v>29471</v>
      </c>
      <c r="AA4601">
        <v>0.60311490249132016</v>
      </c>
      <c r="AB4601" t="str">
        <f>HYPERLINK("Melting_Curves/meltCurve_Q96CN7_ISOC1.pdf", "Melting_Curves/meltCurve_Q96CN7_ISOC1.pdf")</f>
        <v>Melting_Curves/meltCurve_Q96CN7_ISOC1.pdf</v>
      </c>
    </row>
    <row r="4602" spans="1:28" x14ac:dyDescent="0.25">
      <c r="A4602" t="s">
        <v>4606</v>
      </c>
      <c r="B4602">
        <v>0.99352677808782597</v>
      </c>
      <c r="C4602">
        <v>0.96352119240960199</v>
      </c>
      <c r="D4602">
        <v>0.83098215962218203</v>
      </c>
      <c r="E4602">
        <v>0.42387751435547899</v>
      </c>
      <c r="F4602">
        <v>0.37237388171187402</v>
      </c>
      <c r="G4602">
        <v>0.23363608945918399</v>
      </c>
      <c r="H4602">
        <v>0.21239558468307601</v>
      </c>
      <c r="I4602">
        <v>0.27297291761544601</v>
      </c>
      <c r="J4602">
        <v>0.16065585700142601</v>
      </c>
      <c r="K4602">
        <v>0.12453865350846199</v>
      </c>
      <c r="L4602">
        <v>1005.19400675713</v>
      </c>
      <c r="M4602">
        <v>20.694159006501501</v>
      </c>
      <c r="N4602">
        <v>49.7463096935493</v>
      </c>
      <c r="O4602">
        <v>48.127048481053698</v>
      </c>
      <c r="P4602">
        <v>-8.6753155578639093E-2</v>
      </c>
      <c r="Q4602">
        <v>0.192998527951177</v>
      </c>
      <c r="R4602">
        <v>0.98159129355782504</v>
      </c>
      <c r="S4602" t="s">
        <v>10887</v>
      </c>
      <c r="T4602" t="s">
        <v>12568</v>
      </c>
      <c r="U4602" t="s">
        <v>12568</v>
      </c>
      <c r="V4602" t="s">
        <v>12568</v>
      </c>
      <c r="W4602" t="s">
        <v>17122</v>
      </c>
      <c r="X4602">
        <v>14</v>
      </c>
      <c r="Y4602" t="s">
        <v>23230</v>
      </c>
      <c r="Z4602" t="s">
        <v>29472</v>
      </c>
      <c r="AA4602">
        <v>0.43421706899221602</v>
      </c>
      <c r="AB4602" t="str">
        <f>HYPERLINK("Melting_Curves/meltCurve_Q96CN9_GCC1.pdf", "Melting_Curves/meltCurve_Q96CN9_GCC1.pdf")</f>
        <v>Melting_Curves/meltCurve_Q96CN9_GCC1.pdf</v>
      </c>
    </row>
    <row r="4603" spans="1:28" x14ac:dyDescent="0.25">
      <c r="A4603" t="s">
        <v>4607</v>
      </c>
      <c r="B4603">
        <v>0.99352677808782597</v>
      </c>
      <c r="C4603">
        <v>0.95613303909607805</v>
      </c>
      <c r="D4603">
        <v>1.0345291300526001</v>
      </c>
      <c r="E4603">
        <v>1.0227024991323299</v>
      </c>
      <c r="F4603">
        <v>0.86136883444828005</v>
      </c>
      <c r="G4603">
        <v>0.83308928824117501</v>
      </c>
      <c r="H4603">
        <v>0.75724656935675605</v>
      </c>
      <c r="I4603">
        <v>0.76390022793877999</v>
      </c>
      <c r="J4603">
        <v>0.81478963603288701</v>
      </c>
      <c r="K4603">
        <v>0.76373213360624104</v>
      </c>
      <c r="L4603">
        <v>13217.311356989199</v>
      </c>
      <c r="M4603">
        <v>250</v>
      </c>
      <c r="O4603">
        <v>52.865861234284303</v>
      </c>
      <c r="P4603">
        <v>-0.25234672603893998</v>
      </c>
      <c r="Q4603">
        <v>0.78655156453714203</v>
      </c>
      <c r="R4603">
        <v>0.92370206138482702</v>
      </c>
      <c r="S4603" t="s">
        <v>10888</v>
      </c>
      <c r="T4603" t="s">
        <v>12568</v>
      </c>
      <c r="U4603" t="s">
        <v>12568</v>
      </c>
      <c r="V4603" t="s">
        <v>12568</v>
      </c>
      <c r="W4603" t="s">
        <v>17123</v>
      </c>
      <c r="X4603">
        <v>8</v>
      </c>
      <c r="Y4603" t="s">
        <v>23231</v>
      </c>
      <c r="Z4603" t="s">
        <v>29473</v>
      </c>
      <c r="AA4603">
        <v>0.87813537935964081</v>
      </c>
      <c r="AB4603" t="str">
        <f>HYPERLINK("Melting_Curves/meltCurve_Q96CP2_FLYWCH2.pdf", "Melting_Curves/meltCurve_Q96CP2_FLYWCH2.pdf")</f>
        <v>Melting_Curves/meltCurve_Q96CP2_FLYWCH2.pdf</v>
      </c>
    </row>
    <row r="4604" spans="1:28" x14ac:dyDescent="0.25">
      <c r="A4604" t="s">
        <v>4608</v>
      </c>
      <c r="B4604">
        <v>0.99352677808782597</v>
      </c>
      <c r="C4604">
        <v>0.96194721296715602</v>
      </c>
      <c r="D4604">
        <v>0.96182920758948698</v>
      </c>
      <c r="E4604">
        <v>0.66620582364449898</v>
      </c>
      <c r="F4604">
        <v>0.62159426181184796</v>
      </c>
      <c r="G4604">
        <v>0.52452569204386401</v>
      </c>
      <c r="H4604">
        <v>0.42991415736882199</v>
      </c>
      <c r="I4604">
        <v>0.52520193916892599</v>
      </c>
      <c r="J4604">
        <v>0.42642573221862901</v>
      </c>
      <c r="K4604">
        <v>0.38944992569820402</v>
      </c>
      <c r="L4604">
        <v>883.784436835203</v>
      </c>
      <c r="M4604">
        <v>17.614274175880901</v>
      </c>
      <c r="N4604">
        <v>56.849421709201302</v>
      </c>
      <c r="O4604">
        <v>49.541035466040299</v>
      </c>
      <c r="P4604">
        <v>-5.00645112171813E-2</v>
      </c>
      <c r="Q4604">
        <v>0.436794429239861</v>
      </c>
      <c r="R4604">
        <v>0.96463499327341196</v>
      </c>
      <c r="S4604" t="s">
        <v>10889</v>
      </c>
      <c r="T4604" t="s">
        <v>12568</v>
      </c>
      <c r="U4604" t="s">
        <v>12568</v>
      </c>
      <c r="V4604" t="s">
        <v>12568</v>
      </c>
      <c r="W4604" t="s">
        <v>17124</v>
      </c>
      <c r="X4604">
        <v>5</v>
      </c>
      <c r="Y4604" t="s">
        <v>23232</v>
      </c>
      <c r="Z4604" t="s">
        <v>29474</v>
      </c>
      <c r="AA4604">
        <v>0.63778310679888095</v>
      </c>
      <c r="AB4604" t="str">
        <f>HYPERLINK("Melting_Curves/meltCurve_Q96CP6_2_GRAMD1A.pdf", "Melting_Curves/meltCurve_Q96CP6_2_GRAMD1A.pdf")</f>
        <v>Melting_Curves/meltCurve_Q96CP6_2_GRAMD1A.pdf</v>
      </c>
    </row>
    <row r="4605" spans="1:28" x14ac:dyDescent="0.25">
      <c r="A4605" t="s">
        <v>4609</v>
      </c>
      <c r="B4605">
        <v>0.99352677808782597</v>
      </c>
      <c r="C4605">
        <v>1.02842005602845</v>
      </c>
      <c r="D4605">
        <v>0.893748809991188</v>
      </c>
      <c r="E4605">
        <v>0.593656094806851</v>
      </c>
      <c r="F4605">
        <v>0.47100265730629798</v>
      </c>
      <c r="G4605">
        <v>0.321545893902</v>
      </c>
      <c r="H4605">
        <v>0.21066925832299099</v>
      </c>
      <c r="I4605">
        <v>0.189108503708731</v>
      </c>
      <c r="J4605">
        <v>0.19223247546920499</v>
      </c>
      <c r="K4605">
        <v>0.19759000075665001</v>
      </c>
      <c r="L4605">
        <v>880.20836718219402</v>
      </c>
      <c r="M4605">
        <v>17.359848615522999</v>
      </c>
      <c r="N4605">
        <v>52.085285110776503</v>
      </c>
      <c r="O4605">
        <v>50.045219857646501</v>
      </c>
      <c r="P4605">
        <v>-7.0723954032256106E-2</v>
      </c>
      <c r="Q4605">
        <v>0.18451032046701801</v>
      </c>
      <c r="R4605">
        <v>0.99213045132266398</v>
      </c>
      <c r="S4605" t="s">
        <v>10890</v>
      </c>
      <c r="T4605" t="s">
        <v>12568</v>
      </c>
      <c r="U4605" t="s">
        <v>12568</v>
      </c>
      <c r="V4605" t="s">
        <v>12568</v>
      </c>
      <c r="W4605" t="s">
        <v>17125</v>
      </c>
      <c r="X4605">
        <v>4</v>
      </c>
      <c r="Y4605" t="s">
        <v>23233</v>
      </c>
      <c r="Z4605" t="s">
        <v>29475</v>
      </c>
      <c r="AA4605">
        <v>0.49019564352187922</v>
      </c>
      <c r="AB4605" t="str">
        <f>HYPERLINK("Melting_Curves/meltCurve_Q96CS2_HAUS1.pdf", "Melting_Curves/meltCurve_Q96CS2_HAUS1.pdf")</f>
        <v>Melting_Curves/meltCurve_Q96CS2_HAUS1.pdf</v>
      </c>
    </row>
    <row r="4606" spans="1:28" x14ac:dyDescent="0.25">
      <c r="A4606" t="s">
        <v>4610</v>
      </c>
      <c r="B4606">
        <v>0.99352677808782597</v>
      </c>
      <c r="C4606">
        <v>0.96209693525373796</v>
      </c>
      <c r="D4606">
        <v>0.981571444829347</v>
      </c>
      <c r="E4606">
        <v>0.98236878295650898</v>
      </c>
      <c r="F4606">
        <v>0.911872872902315</v>
      </c>
      <c r="G4606">
        <v>0.80986660876050598</v>
      </c>
      <c r="H4606">
        <v>0.73731966669354099</v>
      </c>
      <c r="I4606">
        <v>0.84381134160134696</v>
      </c>
      <c r="J4606">
        <v>0.81529996421601802</v>
      </c>
      <c r="K4606">
        <v>0.692709335134576</v>
      </c>
      <c r="L4606">
        <v>1638.5535156436099</v>
      </c>
      <c r="M4606">
        <v>30.439592553304799</v>
      </c>
      <c r="O4606">
        <v>53.598955050321898</v>
      </c>
      <c r="P4606">
        <v>-3.2526111380141297E-2</v>
      </c>
      <c r="Q4606">
        <v>0.770909566648182</v>
      </c>
      <c r="R4606">
        <v>0.84560303235268297</v>
      </c>
      <c r="S4606" t="s">
        <v>10891</v>
      </c>
      <c r="T4606" t="s">
        <v>12568</v>
      </c>
      <c r="U4606" t="s">
        <v>12568</v>
      </c>
      <c r="V4606" t="s">
        <v>12568</v>
      </c>
      <c r="W4606" t="s">
        <v>17126</v>
      </c>
      <c r="X4606">
        <v>18</v>
      </c>
      <c r="Y4606" t="s">
        <v>23234</v>
      </c>
      <c r="Z4606" t="s">
        <v>29476</v>
      </c>
      <c r="AA4606">
        <v>0.877977905316912</v>
      </c>
      <c r="AB4606" t="str">
        <f>HYPERLINK("Melting_Curves/meltCurve_Q96CT7_CCDC124.pdf", "Melting_Curves/meltCurve_Q96CT7_CCDC124.pdf")</f>
        <v>Melting_Curves/meltCurve_Q96CT7_CCDC124.pdf</v>
      </c>
    </row>
    <row r="4607" spans="1:28" x14ac:dyDescent="0.25">
      <c r="A4607" t="s">
        <v>4611</v>
      </c>
      <c r="B4607">
        <v>0.99352677808782597</v>
      </c>
      <c r="C4607">
        <v>0.96416357255934704</v>
      </c>
      <c r="D4607">
        <v>0.95223430496083405</v>
      </c>
      <c r="E4607">
        <v>0.86825701475358996</v>
      </c>
      <c r="F4607">
        <v>0.83619379131377403</v>
      </c>
      <c r="G4607">
        <v>0.75800208500812905</v>
      </c>
      <c r="H4607">
        <v>0.78821536449001794</v>
      </c>
      <c r="I4607">
        <v>0.89044912420645606</v>
      </c>
      <c r="J4607">
        <v>0.99289740956751305</v>
      </c>
      <c r="K4607">
        <v>0.82544560971589398</v>
      </c>
      <c r="L4607">
        <v>1442.82258537594</v>
      </c>
      <c r="M4607">
        <v>30.854002117990401</v>
      </c>
      <c r="O4607">
        <v>46.567775205651202</v>
      </c>
      <c r="P4607">
        <v>-2.51052710113513E-2</v>
      </c>
      <c r="Q4607">
        <v>0.84843589564432498</v>
      </c>
      <c r="R4607">
        <v>0.450920052648211</v>
      </c>
      <c r="S4607" t="s">
        <v>10892</v>
      </c>
      <c r="T4607" t="s">
        <v>12568</v>
      </c>
      <c r="U4607" t="s">
        <v>12568</v>
      </c>
      <c r="V4607" t="s">
        <v>12568</v>
      </c>
      <c r="W4607" t="s">
        <v>17127</v>
      </c>
      <c r="X4607">
        <v>30</v>
      </c>
      <c r="Y4607" t="s">
        <v>23235</v>
      </c>
      <c r="Z4607" t="s">
        <v>29477</v>
      </c>
      <c r="AA4607">
        <v>0.88345978440353679</v>
      </c>
      <c r="AB4607" t="str">
        <f>HYPERLINK("Melting_Curves/meltCurve_Q96CV9_OPTN.pdf", "Melting_Curves/meltCurve_Q96CV9_OPTN.pdf")</f>
        <v>Melting_Curves/meltCurve_Q96CV9_OPTN.pdf</v>
      </c>
    </row>
    <row r="4608" spans="1:28" x14ac:dyDescent="0.25">
      <c r="A4608" t="s">
        <v>4612</v>
      </c>
      <c r="B4608">
        <v>0.99352677808782597</v>
      </c>
      <c r="C4608">
        <v>0.92500025231651295</v>
      </c>
      <c r="D4608">
        <v>0.83099316346299601</v>
      </c>
      <c r="E4608">
        <v>0.67334677463375103</v>
      </c>
      <c r="F4608">
        <v>0.57052949740386705</v>
      </c>
      <c r="G4608">
        <v>0.28231286150281099</v>
      </c>
      <c r="H4608">
        <v>0.21544100264409699</v>
      </c>
      <c r="I4608">
        <v>0.14903613894291401</v>
      </c>
      <c r="J4608">
        <v>0.123784570556318</v>
      </c>
      <c r="K4608">
        <v>8.6529852103709795E-2</v>
      </c>
      <c r="L4608">
        <v>597.58991621741495</v>
      </c>
      <c r="M4608">
        <v>11.258026100091699</v>
      </c>
      <c r="N4608">
        <v>53.339530770552898</v>
      </c>
      <c r="O4608">
        <v>51.489097580973301</v>
      </c>
      <c r="P4608">
        <v>-5.3228452071960503E-2</v>
      </c>
      <c r="Q4608">
        <v>2.6529302179475502E-2</v>
      </c>
      <c r="R4608">
        <v>0.99415415504878402</v>
      </c>
      <c r="S4608" t="s">
        <v>10893</v>
      </c>
      <c r="T4608" t="s">
        <v>12568</v>
      </c>
      <c r="U4608" t="s">
        <v>12568</v>
      </c>
      <c r="V4608" t="s">
        <v>12568</v>
      </c>
      <c r="W4608" t="s">
        <v>17128</v>
      </c>
      <c r="X4608">
        <v>14</v>
      </c>
      <c r="Y4608" t="s">
        <v>23236</v>
      </c>
      <c r="Z4608" t="s">
        <v>29478</v>
      </c>
      <c r="AA4608">
        <v>0.48047433892271041</v>
      </c>
      <c r="AB4608" t="str">
        <f>HYPERLINK("Melting_Curves/meltCurve_Q96CW1_2_AP2M1.pdf", "Melting_Curves/meltCurve_Q96CW1_2_AP2M1.pdf")</f>
        <v>Melting_Curves/meltCurve_Q96CW1_2_AP2M1.pdf</v>
      </c>
    </row>
    <row r="4609" spans="1:28" x14ac:dyDescent="0.25">
      <c r="A4609" t="s">
        <v>4613</v>
      </c>
      <c r="B4609">
        <v>0.99352677808782597</v>
      </c>
      <c r="C4609">
        <v>0.98919582097647796</v>
      </c>
      <c r="D4609">
        <v>0.92864912174155101</v>
      </c>
      <c r="E4609">
        <v>0.76023160244927102</v>
      </c>
      <c r="F4609">
        <v>0.70359028270397295</v>
      </c>
      <c r="G4609">
        <v>0.48965571157361798</v>
      </c>
      <c r="H4609">
        <v>0.33596707521484898</v>
      </c>
      <c r="I4609">
        <v>0.273126853055568</v>
      </c>
      <c r="J4609">
        <v>0.25090165794716801</v>
      </c>
      <c r="K4609">
        <v>0.19435290578626199</v>
      </c>
      <c r="L4609">
        <v>639.76702962148295</v>
      </c>
      <c r="M4609">
        <v>11.581571248321501</v>
      </c>
      <c r="N4609">
        <v>56.736964459086899</v>
      </c>
      <c r="O4609">
        <v>53.670221664431601</v>
      </c>
      <c r="P4609">
        <v>-4.6858982534470302E-2</v>
      </c>
      <c r="Q4609">
        <v>0.13164230855998499</v>
      </c>
      <c r="R4609">
        <v>0.99585502087994704</v>
      </c>
      <c r="S4609" t="s">
        <v>10894</v>
      </c>
      <c r="T4609" t="s">
        <v>12568</v>
      </c>
      <c r="U4609" t="s">
        <v>12568</v>
      </c>
      <c r="V4609" t="s">
        <v>12568</v>
      </c>
      <c r="W4609" t="s">
        <v>17129</v>
      </c>
      <c r="X4609">
        <v>5</v>
      </c>
      <c r="Y4609" t="s">
        <v>23237</v>
      </c>
      <c r="Z4609" t="s">
        <v>29479</v>
      </c>
      <c r="AA4609">
        <v>0.59295082746209571</v>
      </c>
      <c r="AB4609" t="str">
        <f>HYPERLINK("Melting_Curves/meltCurve_Q96CW5_2_TUBGCP3.pdf", "Melting_Curves/meltCurve_Q96CW5_2_TUBGCP3.pdf")</f>
        <v>Melting_Curves/meltCurve_Q96CW5_2_TUBGCP3.pdf</v>
      </c>
    </row>
    <row r="4610" spans="1:28" x14ac:dyDescent="0.25">
      <c r="A4610" t="s">
        <v>4614</v>
      </c>
      <c r="B4610">
        <v>0.99352677808782597</v>
      </c>
      <c r="C4610">
        <v>0.95560682491986604</v>
      </c>
      <c r="D4610">
        <v>0.98692338337646901</v>
      </c>
      <c r="E4610">
        <v>1.0002979806658201</v>
      </c>
      <c r="F4610">
        <v>0.99010630070467698</v>
      </c>
      <c r="G4610">
        <v>0.86692227964267399</v>
      </c>
      <c r="H4610">
        <v>0.84692023495419</v>
      </c>
      <c r="I4610">
        <v>0.97532432775766298</v>
      </c>
      <c r="J4610">
        <v>0.970361017727983</v>
      </c>
      <c r="K4610">
        <v>0.79932173414725205</v>
      </c>
      <c r="L4610">
        <v>13371.713953667</v>
      </c>
      <c r="M4610">
        <v>250</v>
      </c>
      <c r="O4610">
        <v>53.483433026287898</v>
      </c>
      <c r="P4610">
        <v>-0.12647617864895799</v>
      </c>
      <c r="Q4610">
        <v>0.89176991647539405</v>
      </c>
      <c r="R4610">
        <v>0.440560142961333</v>
      </c>
      <c r="S4610" t="s">
        <v>10895</v>
      </c>
      <c r="T4610" t="s">
        <v>12568</v>
      </c>
      <c r="U4610" t="s">
        <v>12568</v>
      </c>
      <c r="V4610" t="s">
        <v>12568</v>
      </c>
      <c r="W4610" t="s">
        <v>17130</v>
      </c>
      <c r="X4610">
        <v>6</v>
      </c>
      <c r="Y4610" t="s">
        <v>23238</v>
      </c>
      <c r="Z4610" t="s">
        <v>29480</v>
      </c>
      <c r="AA4610">
        <v>0.94043619359195441</v>
      </c>
      <c r="AB4610" t="str">
        <f>HYPERLINK("Melting_Curves/meltCurve_Q96CW6_SLC7A6OS.pdf", "Melting_Curves/meltCurve_Q96CW6_SLC7A6OS.pdf")</f>
        <v>Melting_Curves/meltCurve_Q96CW6_SLC7A6OS.pdf</v>
      </c>
    </row>
    <row r="4611" spans="1:28" x14ac:dyDescent="0.25">
      <c r="A4611" t="s">
        <v>4615</v>
      </c>
      <c r="B4611">
        <v>0.99352677808782597</v>
      </c>
      <c r="C4611">
        <v>0.91116129730811801</v>
      </c>
      <c r="D4611">
        <v>0.69058960454139395</v>
      </c>
      <c r="E4611">
        <v>0.68549994988280305</v>
      </c>
      <c r="F4611">
        <v>0.51310954601714798</v>
      </c>
      <c r="G4611">
        <v>0.36576591718392298</v>
      </c>
      <c r="H4611">
        <v>0.31069019402116099</v>
      </c>
      <c r="I4611">
        <v>0.25299642717529502</v>
      </c>
      <c r="J4611">
        <v>0.23784191099816401</v>
      </c>
      <c r="K4611">
        <v>0.14002339794326901</v>
      </c>
      <c r="L4611">
        <v>446.89957658088298</v>
      </c>
      <c r="M4611">
        <v>8.5301667577649702</v>
      </c>
      <c r="N4611">
        <v>53.527769627946597</v>
      </c>
      <c r="O4611">
        <v>49.7492863530059</v>
      </c>
      <c r="P4611">
        <v>-3.93479214913161E-2</v>
      </c>
      <c r="Q4611">
        <v>8.28821400598789E-2</v>
      </c>
      <c r="R4611">
        <v>0.97604224318955601</v>
      </c>
      <c r="S4611" t="s">
        <v>10896</v>
      </c>
      <c r="T4611" t="s">
        <v>12568</v>
      </c>
      <c r="U4611" t="s">
        <v>12568</v>
      </c>
      <c r="V4611" t="s">
        <v>12568</v>
      </c>
      <c r="W4611" t="s">
        <v>17131</v>
      </c>
      <c r="X4611">
        <v>2</v>
      </c>
      <c r="Y4611" t="s">
        <v>23239</v>
      </c>
      <c r="Z4611" t="s">
        <v>29481</v>
      </c>
      <c r="AA4611">
        <v>0.50050747197890788</v>
      </c>
      <c r="AB4611" t="str">
        <f>HYPERLINK("Melting_Curves/meltCurve_Q96CX2_KCTD12.pdf", "Melting_Curves/meltCurve_Q96CX2_KCTD12.pdf")</f>
        <v>Melting_Curves/meltCurve_Q96CX2_KCTD12.pdf</v>
      </c>
    </row>
    <row r="4612" spans="1:28" x14ac:dyDescent="0.25">
      <c r="A4612" t="s">
        <v>4616</v>
      </c>
      <c r="B4612">
        <v>0.99352677808782597</v>
      </c>
      <c r="C4612">
        <v>0.85179702182557504</v>
      </c>
      <c r="D4612">
        <v>0.78204865128397705</v>
      </c>
      <c r="E4612">
        <v>0.28170531603223598</v>
      </c>
      <c r="F4612">
        <v>0.21387989155537401</v>
      </c>
      <c r="G4612">
        <v>0.129579307459429</v>
      </c>
      <c r="H4612">
        <v>8.8731181964227093E-2</v>
      </c>
      <c r="I4612">
        <v>0.10743229258772</v>
      </c>
      <c r="J4612">
        <v>7.5006159241380294E-2</v>
      </c>
      <c r="K4612">
        <v>5.0893969704543698E-2</v>
      </c>
      <c r="L4612">
        <v>1019.71483114292</v>
      </c>
      <c r="M4612">
        <v>21.340765894167401</v>
      </c>
      <c r="N4612">
        <v>48.184242712041801</v>
      </c>
      <c r="O4612">
        <v>47.3688560181632</v>
      </c>
      <c r="P4612">
        <v>-0.103453711669497</v>
      </c>
      <c r="Q4612">
        <v>8.1502400011915596E-2</v>
      </c>
      <c r="R4612">
        <v>0.98726477992504003</v>
      </c>
      <c r="S4612" t="s">
        <v>10897</v>
      </c>
      <c r="T4612" t="s">
        <v>12568</v>
      </c>
      <c r="U4612" t="s">
        <v>12568</v>
      </c>
      <c r="V4612" t="s">
        <v>12568</v>
      </c>
      <c r="W4612" t="s">
        <v>17132</v>
      </c>
      <c r="X4612">
        <v>4</v>
      </c>
      <c r="Y4612" t="s">
        <v>23240</v>
      </c>
      <c r="Z4612" t="s">
        <v>29482</v>
      </c>
      <c r="AA4612">
        <v>0.33118810502318807</v>
      </c>
      <c r="AB4612" t="str">
        <f>HYPERLINK("Melting_Curves/meltCurve_Q96CX6_LRRC58.pdf", "Melting_Curves/meltCurve_Q96CX6_LRRC58.pdf")</f>
        <v>Melting_Curves/meltCurve_Q96CX6_LRRC58.pdf</v>
      </c>
    </row>
    <row r="4613" spans="1:28" x14ac:dyDescent="0.25">
      <c r="A4613" t="s">
        <v>4617</v>
      </c>
      <c r="B4613">
        <v>0.99352677808782597</v>
      </c>
      <c r="C4613">
        <v>0.87276858114464195</v>
      </c>
      <c r="D4613">
        <v>0.95609234038366597</v>
      </c>
      <c r="E4613">
        <v>0.97835213866081905</v>
      </c>
      <c r="F4613">
        <v>0.95394844834595804</v>
      </c>
      <c r="G4613">
        <v>0.97334966674223899</v>
      </c>
      <c r="H4613">
        <v>0.95763906600568305</v>
      </c>
      <c r="I4613">
        <v>1.1275582246495399</v>
      </c>
      <c r="J4613">
        <v>1.0180936378110399</v>
      </c>
      <c r="K4613">
        <v>0.97725772493983698</v>
      </c>
      <c r="L4613">
        <v>2787.1244501676601</v>
      </c>
      <c r="M4613">
        <v>45.173437014928702</v>
      </c>
      <c r="O4613">
        <v>61.577759272774003</v>
      </c>
      <c r="P4613">
        <v>5.6382966937640697E-3</v>
      </c>
      <c r="Q4613">
        <v>1.03074313157105</v>
      </c>
      <c r="R4613">
        <v>-2.88003160714356E-2</v>
      </c>
      <c r="S4613" t="s">
        <v>10898</v>
      </c>
      <c r="T4613" t="s">
        <v>12568</v>
      </c>
      <c r="U4613" t="s">
        <v>12568</v>
      </c>
      <c r="V4613" t="s">
        <v>12568</v>
      </c>
      <c r="W4613" t="s">
        <v>17133</v>
      </c>
      <c r="X4613">
        <v>5</v>
      </c>
      <c r="Y4613" t="s">
        <v>23241</v>
      </c>
      <c r="Z4613" t="s">
        <v>29483</v>
      </c>
      <c r="AA4613">
        <v>1.0084136377639961</v>
      </c>
      <c r="AB4613" t="str">
        <f>HYPERLINK("Melting_Curves/meltCurve_Q96D09_GPRASP2.pdf", "Melting_Curves/meltCurve_Q96D09_GPRASP2.pdf")</f>
        <v>Melting_Curves/meltCurve_Q96D09_GPRASP2.pdf</v>
      </c>
    </row>
    <row r="4614" spans="1:28" x14ac:dyDescent="0.25">
      <c r="A4614" t="s">
        <v>4618</v>
      </c>
      <c r="B4614">
        <v>0.99352677808782597</v>
      </c>
      <c r="C4614">
        <v>0.56810601997176602</v>
      </c>
      <c r="D4614">
        <v>1.11546133009592</v>
      </c>
      <c r="E4614">
        <v>0.35482791577922801</v>
      </c>
      <c r="F4614">
        <v>0.26007189211137099</v>
      </c>
      <c r="G4614">
        <v>9.2244820940175498E-2</v>
      </c>
      <c r="H4614">
        <v>5.57560408551094E-2</v>
      </c>
      <c r="I4614">
        <v>5.18945780517681E-2</v>
      </c>
      <c r="J4614">
        <v>4.23044647348313E-2</v>
      </c>
      <c r="K4614">
        <v>3.2348979187033701E-2</v>
      </c>
      <c r="L4614">
        <v>2664.48727177706</v>
      </c>
      <c r="M4614">
        <v>54.012738327916701</v>
      </c>
      <c r="N4614">
        <v>49.495283544091699</v>
      </c>
      <c r="O4614">
        <v>49.263237008919297</v>
      </c>
      <c r="P4614">
        <v>-0.25157413070302798</v>
      </c>
      <c r="Q4614">
        <v>8.2190706700437197E-2</v>
      </c>
      <c r="R4614">
        <v>0.84244698045171396</v>
      </c>
      <c r="S4614" t="s">
        <v>10899</v>
      </c>
      <c r="T4614" t="s">
        <v>12568</v>
      </c>
      <c r="U4614" t="s">
        <v>12568</v>
      </c>
      <c r="V4614" t="s">
        <v>12568</v>
      </c>
      <c r="W4614" t="s">
        <v>17134</v>
      </c>
      <c r="X4614">
        <v>12</v>
      </c>
      <c r="Y4614" t="s">
        <v>23242</v>
      </c>
      <c r="Z4614" t="s">
        <v>29484</v>
      </c>
      <c r="AA4614">
        <v>0.36936152942631728</v>
      </c>
      <c r="AB4614" t="str">
        <f>HYPERLINK("Melting_Curves/meltCurve_Q96D46_NMD3.pdf", "Melting_Curves/meltCurve_Q96D46_NMD3.pdf")</f>
        <v>Melting_Curves/meltCurve_Q96D46_NMD3.pdf</v>
      </c>
    </row>
    <row r="4615" spans="1:28" x14ac:dyDescent="0.25">
      <c r="A4615" t="s">
        <v>4619</v>
      </c>
      <c r="B4615">
        <v>0.99352677808782597</v>
      </c>
      <c r="C4615">
        <v>2.2775426819984999</v>
      </c>
      <c r="D4615">
        <v>2.5541929875807199</v>
      </c>
      <c r="E4615">
        <v>2.09739079125093</v>
      </c>
      <c r="F4615">
        <v>2.0264688422568899</v>
      </c>
      <c r="G4615">
        <v>1.87091762272441</v>
      </c>
      <c r="H4615">
        <v>1.7410130044982799</v>
      </c>
      <c r="I4615">
        <v>1.9540022330725</v>
      </c>
      <c r="J4615">
        <v>1.73890894092536</v>
      </c>
      <c r="K4615">
        <v>1.7585469725695499</v>
      </c>
      <c r="L4615">
        <v>1.0000000000000001E-5</v>
      </c>
      <c r="M4615">
        <v>25.3397176061032</v>
      </c>
      <c r="Q4615">
        <v>1.5</v>
      </c>
      <c r="R4615">
        <v>-1.0577368933579501</v>
      </c>
      <c r="S4615" t="s">
        <v>10900</v>
      </c>
      <c r="T4615" t="s">
        <v>12568</v>
      </c>
      <c r="U4615" t="s">
        <v>12568</v>
      </c>
      <c r="V4615" t="s">
        <v>12568</v>
      </c>
      <c r="W4615" t="s">
        <v>17135</v>
      </c>
      <c r="X4615">
        <v>3</v>
      </c>
      <c r="Y4615" t="s">
        <v>23243</v>
      </c>
      <c r="Z4615" t="s">
        <v>29485</v>
      </c>
      <c r="AA4615">
        <v>1.499999999995056</v>
      </c>
      <c r="AB4615" t="str">
        <f>HYPERLINK("Melting_Curves/meltCurve_Q96D53_ADCK4.pdf", "Melting_Curves/meltCurve_Q96D53_ADCK4.pdf")</f>
        <v>Melting_Curves/meltCurve_Q96D53_ADCK4.pdf</v>
      </c>
    </row>
    <row r="4616" spans="1:28" x14ac:dyDescent="0.25">
      <c r="A4616" t="s">
        <v>4620</v>
      </c>
      <c r="B4616">
        <v>0.99352677808782597</v>
      </c>
      <c r="C4616">
        <v>0.94451062150418297</v>
      </c>
      <c r="D4616">
        <v>0.910267540010956</v>
      </c>
      <c r="E4616">
        <v>0.65403155088040199</v>
      </c>
      <c r="F4616">
        <v>0.585398287306099</v>
      </c>
      <c r="G4616">
        <v>0.478523655385798</v>
      </c>
      <c r="H4616">
        <v>0.43546091182947</v>
      </c>
      <c r="I4616">
        <v>0.45218068105569698</v>
      </c>
      <c r="J4616">
        <v>0.43877449230911902</v>
      </c>
      <c r="K4616">
        <v>0.39902309396671298</v>
      </c>
      <c r="L4616">
        <v>860.81828243295695</v>
      </c>
      <c r="M4616">
        <v>17.379342016214999</v>
      </c>
      <c r="N4616">
        <v>55.480200675090302</v>
      </c>
      <c r="O4616">
        <v>48.889270763690803</v>
      </c>
      <c r="P4616">
        <v>-5.1331094832710498E-2</v>
      </c>
      <c r="Q4616">
        <v>0.42244106675919002</v>
      </c>
      <c r="R4616">
        <v>0.99150881257128898</v>
      </c>
      <c r="S4616" t="s">
        <v>10901</v>
      </c>
      <c r="T4616" t="s">
        <v>12568</v>
      </c>
      <c r="U4616" t="s">
        <v>12568</v>
      </c>
      <c r="V4616" t="s">
        <v>12568</v>
      </c>
      <c r="W4616" t="s">
        <v>17136</v>
      </c>
      <c r="X4616">
        <v>14</v>
      </c>
      <c r="Y4616" t="s">
        <v>23244</v>
      </c>
      <c r="Z4616" t="s">
        <v>29486</v>
      </c>
      <c r="AA4616">
        <v>0.61654451576247038</v>
      </c>
      <c r="AB4616" t="str">
        <f>HYPERLINK("Melting_Curves/meltCurve_Q96D71_3_REPS1.pdf", "Melting_Curves/meltCurve_Q96D71_3_REPS1.pdf")</f>
        <v>Melting_Curves/meltCurve_Q96D71_3_REPS1.pdf</v>
      </c>
    </row>
    <row r="4617" spans="1:28" x14ac:dyDescent="0.25">
      <c r="A4617" t="s">
        <v>4621</v>
      </c>
      <c r="B4617">
        <v>0.99352677808782597</v>
      </c>
      <c r="C4617">
        <v>0.97154298087077196</v>
      </c>
      <c r="D4617">
        <v>1.0130719793968801</v>
      </c>
      <c r="E4617">
        <v>0.52984970828997502</v>
      </c>
      <c r="F4617">
        <v>0.399310560960147</v>
      </c>
      <c r="G4617">
        <v>0.12593280702127699</v>
      </c>
      <c r="H4617">
        <v>9.0829490036596294E-2</v>
      </c>
      <c r="I4617">
        <v>8.2170534028928696E-2</v>
      </c>
      <c r="J4617">
        <v>6.1457956213171801E-2</v>
      </c>
      <c r="K4617">
        <v>4.5734125380527499E-2</v>
      </c>
      <c r="L4617">
        <v>1118.2150296396201</v>
      </c>
      <c r="M4617">
        <v>22.001915638026201</v>
      </c>
      <c r="N4617">
        <v>51.130387687453599</v>
      </c>
      <c r="O4617">
        <v>50.409268381081603</v>
      </c>
      <c r="P4617">
        <v>-0.102370003768289</v>
      </c>
      <c r="Q4617">
        <v>6.18486403553688E-2</v>
      </c>
      <c r="R4617">
        <v>0.98586430774350498</v>
      </c>
      <c r="S4617" t="s">
        <v>10902</v>
      </c>
      <c r="T4617" t="s">
        <v>12568</v>
      </c>
      <c r="U4617" t="s">
        <v>12568</v>
      </c>
      <c r="V4617" t="s">
        <v>12568</v>
      </c>
      <c r="W4617" t="s">
        <v>17137</v>
      </c>
      <c r="X4617">
        <v>7</v>
      </c>
      <c r="Y4617" t="s">
        <v>23245</v>
      </c>
      <c r="Z4617" t="s">
        <v>29487</v>
      </c>
      <c r="AA4617">
        <v>0.41117767225389062</v>
      </c>
      <c r="AB4617" t="str">
        <f>HYPERLINK("Melting_Curves/meltCurve_Q96DB5_RMDN1.pdf", "Melting_Curves/meltCurve_Q96DB5_RMDN1.pdf")</f>
        <v>Melting_Curves/meltCurve_Q96DB5_RMDN1.pdf</v>
      </c>
    </row>
    <row r="4618" spans="1:28" x14ac:dyDescent="0.25">
      <c r="A4618" t="s">
        <v>4622</v>
      </c>
      <c r="B4618">
        <v>0.99352677808782597</v>
      </c>
      <c r="C4618">
        <v>0.964056059806218</v>
      </c>
      <c r="D4618">
        <v>0.86497228069654197</v>
      </c>
      <c r="E4618">
        <v>0.39484224664622802</v>
      </c>
      <c r="F4618">
        <v>0.37385076003531598</v>
      </c>
      <c r="G4618">
        <v>0.16793860653445999</v>
      </c>
      <c r="H4618">
        <v>0.150105483914558</v>
      </c>
      <c r="I4618">
        <v>8.3875084123846699E-2</v>
      </c>
      <c r="J4618">
        <v>7.9795957771966894E-2</v>
      </c>
      <c r="K4618">
        <v>8.7022477387377298E-2</v>
      </c>
      <c r="L4618">
        <v>922.41547420836196</v>
      </c>
      <c r="M4618">
        <v>18.695944508209202</v>
      </c>
      <c r="N4618">
        <v>49.9009425309671</v>
      </c>
      <c r="O4618">
        <v>48.783667678297299</v>
      </c>
      <c r="P4618">
        <v>-8.6700830922128297E-2</v>
      </c>
      <c r="Q4618">
        <v>9.5118306499163502E-2</v>
      </c>
      <c r="R4618">
        <v>0.98361775564196996</v>
      </c>
      <c r="S4618" t="s">
        <v>10903</v>
      </c>
      <c r="T4618" t="s">
        <v>12568</v>
      </c>
      <c r="U4618" t="s">
        <v>12568</v>
      </c>
      <c r="V4618" t="s">
        <v>12568</v>
      </c>
      <c r="W4618" t="s">
        <v>17138</v>
      </c>
      <c r="X4618">
        <v>2</v>
      </c>
      <c r="Y4618" t="s">
        <v>23246</v>
      </c>
      <c r="Z4618" t="s">
        <v>29488</v>
      </c>
      <c r="AA4618">
        <v>0.39122805282411433</v>
      </c>
      <c r="AB4618" t="str">
        <f>HYPERLINK("Melting_Curves/meltCurve_Q96DC7_TMCO6.pdf", "Melting_Curves/meltCurve_Q96DC7_TMCO6.pdf")</f>
        <v>Melting_Curves/meltCurve_Q96DC7_TMCO6.pdf</v>
      </c>
    </row>
    <row r="4619" spans="1:28" x14ac:dyDescent="0.25">
      <c r="A4619" t="s">
        <v>4623</v>
      </c>
      <c r="B4619">
        <v>0.99352677808782597</v>
      </c>
      <c r="C4619">
        <v>0.95437000652084003</v>
      </c>
      <c r="D4619">
        <v>1.0216582709883</v>
      </c>
      <c r="E4619">
        <v>0.54075039501231703</v>
      </c>
      <c r="F4619">
        <v>0.53668569530561705</v>
      </c>
      <c r="G4619">
        <v>0.21378468984332399</v>
      </c>
      <c r="H4619">
        <v>0.113616169903746</v>
      </c>
      <c r="I4619">
        <v>9.2169062254543493E-2</v>
      </c>
      <c r="J4619">
        <v>4.6725101999358802E-2</v>
      </c>
      <c r="K4619">
        <v>5.1917805815517498E-2</v>
      </c>
      <c r="L4619">
        <v>846.78398866114003</v>
      </c>
      <c r="M4619">
        <v>16.260406289342399</v>
      </c>
      <c r="N4619">
        <v>52.318509051955701</v>
      </c>
      <c r="O4619">
        <v>51.307896972245501</v>
      </c>
      <c r="P4619">
        <v>-7.6364077300116601E-2</v>
      </c>
      <c r="Q4619">
        <v>3.6237615581037101E-2</v>
      </c>
      <c r="R4619">
        <v>0.972688310508108</v>
      </c>
      <c r="S4619" t="s">
        <v>10904</v>
      </c>
      <c r="T4619" t="s">
        <v>12568</v>
      </c>
      <c r="U4619" t="s">
        <v>12568</v>
      </c>
      <c r="V4619" t="s">
        <v>12568</v>
      </c>
      <c r="W4619" t="s">
        <v>17139</v>
      </c>
      <c r="X4619">
        <v>1</v>
      </c>
      <c r="Y4619" t="s">
        <v>23247</v>
      </c>
      <c r="Z4619" t="s">
        <v>29489</v>
      </c>
      <c r="AA4619">
        <v>0.44314514153849421</v>
      </c>
      <c r="AB4619" t="str">
        <f>HYPERLINK("Melting_Curves/meltCurve_Q96DC9_OTUB2.pdf", "Melting_Curves/meltCurve_Q96DC9_OTUB2.pdf")</f>
        <v>Melting_Curves/meltCurve_Q96DC9_OTUB2.pdf</v>
      </c>
    </row>
    <row r="4620" spans="1:28" x14ac:dyDescent="0.25">
      <c r="A4620" t="s">
        <v>4624</v>
      </c>
      <c r="B4620">
        <v>0.99352677808782597</v>
      </c>
      <c r="C4620">
        <v>0.93986034340559999</v>
      </c>
      <c r="D4620">
        <v>0.88799909398630705</v>
      </c>
      <c r="E4620">
        <v>0.52787401159456104</v>
      </c>
      <c r="F4620">
        <v>0.47263684113580401</v>
      </c>
      <c r="G4620">
        <v>0.19338443912390399</v>
      </c>
      <c r="H4620">
        <v>0.11115547451364099</v>
      </c>
      <c r="I4620">
        <v>8.0948842200463805E-2</v>
      </c>
      <c r="J4620">
        <v>7.0605984272032393E-2</v>
      </c>
      <c r="K4620">
        <v>4.9085292897469802E-2</v>
      </c>
      <c r="L4620">
        <v>744.19378228349694</v>
      </c>
      <c r="M4620">
        <v>14.5152757510326</v>
      </c>
      <c r="N4620">
        <v>51.4990907772887</v>
      </c>
      <c r="O4620">
        <v>50.326037508254998</v>
      </c>
      <c r="P4620">
        <v>-6.9856899800022507E-2</v>
      </c>
      <c r="Q4620">
        <v>3.1304995054273699E-2</v>
      </c>
      <c r="R4620">
        <v>0.99030645812573703</v>
      </c>
      <c r="S4620" t="s">
        <v>10905</v>
      </c>
      <c r="T4620" t="s">
        <v>12568</v>
      </c>
      <c r="U4620" t="s">
        <v>12568</v>
      </c>
      <c r="V4620" t="s">
        <v>12568</v>
      </c>
      <c r="W4620" t="s">
        <v>17140</v>
      </c>
      <c r="X4620">
        <v>6</v>
      </c>
      <c r="Y4620" t="s">
        <v>23248</v>
      </c>
      <c r="Z4620" t="s">
        <v>29490</v>
      </c>
      <c r="AA4620">
        <v>0.4185931015172184</v>
      </c>
      <c r="AB4620" t="str">
        <f>HYPERLINK("Melting_Curves/meltCurve_Q96DE0_NUDT16.pdf", "Melting_Curves/meltCurve_Q96DE0_NUDT16.pdf")</f>
        <v>Melting_Curves/meltCurve_Q96DE0_NUDT16.pdf</v>
      </c>
    </row>
    <row r="4621" spans="1:28" x14ac:dyDescent="0.25">
      <c r="A4621" t="s">
        <v>4625</v>
      </c>
      <c r="B4621">
        <v>0.99352677808782597</v>
      </c>
      <c r="C4621">
        <v>1.0186590180247199</v>
      </c>
      <c r="D4621">
        <v>0.94513947082762595</v>
      </c>
      <c r="E4621">
        <v>0.91302513411734298</v>
      </c>
      <c r="F4621">
        <v>0.76692411050199905</v>
      </c>
      <c r="G4621">
        <v>0.69182961366409002</v>
      </c>
      <c r="H4621">
        <v>0.58033469422782002</v>
      </c>
      <c r="I4621">
        <v>0.67305904587586196</v>
      </c>
      <c r="J4621">
        <v>0.51665716827243402</v>
      </c>
      <c r="K4621">
        <v>0.49146431952127601</v>
      </c>
      <c r="L4621">
        <v>642.14380777474901</v>
      </c>
      <c r="M4621">
        <v>11.6294108156082</v>
      </c>
      <c r="O4621">
        <v>53.660295494673001</v>
      </c>
      <c r="P4621">
        <v>-2.79967805933618E-2</v>
      </c>
      <c r="Q4621">
        <v>0.483410904544127</v>
      </c>
      <c r="R4621">
        <v>0.95209263026551405</v>
      </c>
      <c r="S4621" t="s">
        <v>10906</v>
      </c>
      <c r="T4621" t="s">
        <v>12568</v>
      </c>
      <c r="U4621" t="s">
        <v>12568</v>
      </c>
      <c r="V4621" t="s">
        <v>12568</v>
      </c>
      <c r="W4621" t="s">
        <v>17141</v>
      </c>
      <c r="X4621">
        <v>1</v>
      </c>
      <c r="Y4621" t="s">
        <v>23249</v>
      </c>
      <c r="Z4621" t="s">
        <v>29491</v>
      </c>
      <c r="AA4621">
        <v>0.7574612018523792</v>
      </c>
      <c r="AB4621" t="str">
        <f>HYPERLINK("Melting_Curves/meltCurve_Q96DE5_ANAPC16.pdf", "Melting_Curves/meltCurve_Q96DE5_ANAPC16.pdf")</f>
        <v>Melting_Curves/meltCurve_Q96DE5_ANAPC16.pdf</v>
      </c>
    </row>
    <row r="4622" spans="1:28" x14ac:dyDescent="0.25">
      <c r="A4622" t="s">
        <v>4626</v>
      </c>
      <c r="B4622">
        <v>0.99352677808782597</v>
      </c>
      <c r="C4622">
        <v>1.0064956576671999</v>
      </c>
      <c r="D4622">
        <v>1.03976631870985</v>
      </c>
      <c r="E4622">
        <v>0.80615817391989497</v>
      </c>
      <c r="F4622">
        <v>0.79677957293898005</v>
      </c>
      <c r="G4622">
        <v>0.66718449764841503</v>
      </c>
      <c r="H4622">
        <v>0.56783108450897202</v>
      </c>
      <c r="I4622">
        <v>0.60965508185474804</v>
      </c>
      <c r="J4622">
        <v>0.62831019598912796</v>
      </c>
      <c r="K4622">
        <v>0.52250848529260696</v>
      </c>
      <c r="L4622">
        <v>922.29104642628795</v>
      </c>
      <c r="M4622">
        <v>17.5746515859325</v>
      </c>
      <c r="O4622">
        <v>51.813173594977997</v>
      </c>
      <c r="P4622">
        <v>-3.6538567146367197E-2</v>
      </c>
      <c r="Q4622">
        <v>0.56913478920621496</v>
      </c>
      <c r="R4622">
        <v>0.94653943424633402</v>
      </c>
      <c r="S4622" t="s">
        <v>10907</v>
      </c>
      <c r="T4622" t="s">
        <v>12568</v>
      </c>
      <c r="U4622" t="s">
        <v>12568</v>
      </c>
      <c r="V4622" t="s">
        <v>12568</v>
      </c>
      <c r="W4622" t="s">
        <v>17142</v>
      </c>
      <c r="X4622">
        <v>3</v>
      </c>
      <c r="Y4622" t="s">
        <v>23250</v>
      </c>
      <c r="Z4622" t="s">
        <v>29492</v>
      </c>
      <c r="AA4622">
        <v>0.75575798423964502</v>
      </c>
      <c r="AB4622" t="str">
        <f>HYPERLINK("Melting_Curves/meltCurve_Q96DF8_DGCR14.pdf", "Melting_Curves/meltCurve_Q96DF8_DGCR14.pdf")</f>
        <v>Melting_Curves/meltCurve_Q96DF8_DGCR14.pdf</v>
      </c>
    </row>
    <row r="4623" spans="1:28" x14ac:dyDescent="0.25">
      <c r="A4623" t="s">
        <v>4627</v>
      </c>
      <c r="B4623">
        <v>0.99352677808782597</v>
      </c>
      <c r="C4623">
        <v>0.991167159438887</v>
      </c>
      <c r="D4623">
        <v>1.02737131026964</v>
      </c>
      <c r="E4623">
        <v>0.75835260631176105</v>
      </c>
      <c r="F4623">
        <v>0.64957346728480103</v>
      </c>
      <c r="G4623">
        <v>0.26664459310475602</v>
      </c>
      <c r="H4623">
        <v>0.15285578730095301</v>
      </c>
      <c r="I4623">
        <v>0.13193892166166099</v>
      </c>
      <c r="J4623">
        <v>0.10943521500825699</v>
      </c>
      <c r="K4623">
        <v>7.7306695628180405E-2</v>
      </c>
      <c r="L4623">
        <v>1069.9857063439499</v>
      </c>
      <c r="M4623">
        <v>19.9509742671084</v>
      </c>
      <c r="N4623">
        <v>54.111981585003697</v>
      </c>
      <c r="O4623">
        <v>53.100680114538903</v>
      </c>
      <c r="P4623">
        <v>-8.6296909976754099E-2</v>
      </c>
      <c r="Q4623">
        <v>8.1293548693008699E-2</v>
      </c>
      <c r="R4623">
        <v>0.99157399273070501</v>
      </c>
      <c r="S4623" t="s">
        <v>10908</v>
      </c>
      <c r="T4623" t="s">
        <v>12568</v>
      </c>
      <c r="U4623" t="s">
        <v>12568</v>
      </c>
      <c r="V4623" t="s">
        <v>12568</v>
      </c>
      <c r="W4623" t="s">
        <v>17143</v>
      </c>
      <c r="X4623">
        <v>12</v>
      </c>
      <c r="Y4623" t="s">
        <v>23251</v>
      </c>
      <c r="Z4623" t="s">
        <v>29493</v>
      </c>
      <c r="AA4623">
        <v>0.51131824580709628</v>
      </c>
      <c r="AB4623" t="str">
        <f>HYPERLINK("Melting_Curves/meltCurve_Q96DG6_CMBL.pdf", "Melting_Curves/meltCurve_Q96DG6_CMBL.pdf")</f>
        <v>Melting_Curves/meltCurve_Q96DG6_CMBL.pdf</v>
      </c>
    </row>
    <row r="4624" spans="1:28" x14ac:dyDescent="0.25">
      <c r="A4624" t="s">
        <v>4628</v>
      </c>
      <c r="B4624">
        <v>0.99352677808782597</v>
      </c>
      <c r="C4624">
        <v>0.82354465281118305</v>
      </c>
      <c r="D4624">
        <v>0.77948526909245297</v>
      </c>
      <c r="E4624">
        <v>0.24882188065954</v>
      </c>
      <c r="F4624">
        <v>0.26933326017251602</v>
      </c>
      <c r="G4624">
        <v>0.175076525523961</v>
      </c>
      <c r="H4624">
        <v>0.212461409349883</v>
      </c>
      <c r="I4624">
        <v>0.18007331021324199</v>
      </c>
      <c r="J4624">
        <v>9.5653281245936903E-2</v>
      </c>
      <c r="K4624">
        <v>9.5379298201728593E-2</v>
      </c>
      <c r="L4624">
        <v>1060.2993251989899</v>
      </c>
      <c r="M4624">
        <v>22.451585031741399</v>
      </c>
      <c r="N4624">
        <v>47.967162117428501</v>
      </c>
      <c r="O4624">
        <v>46.856161319692703</v>
      </c>
      <c r="P4624">
        <v>-0.10223568515461499</v>
      </c>
      <c r="Q4624">
        <v>0.146559481470769</v>
      </c>
      <c r="R4624">
        <v>0.96418351125159996</v>
      </c>
      <c r="S4624" t="s">
        <v>10909</v>
      </c>
      <c r="T4624" t="s">
        <v>12568</v>
      </c>
      <c r="U4624" t="s">
        <v>12568</v>
      </c>
      <c r="V4624" t="s">
        <v>12568</v>
      </c>
      <c r="W4624" t="s">
        <v>17144</v>
      </c>
      <c r="X4624">
        <v>3</v>
      </c>
      <c r="Y4624" t="s">
        <v>23252</v>
      </c>
      <c r="Z4624" t="s">
        <v>29494</v>
      </c>
      <c r="AA4624">
        <v>0.36173499224575001</v>
      </c>
      <c r="AB4624" t="str">
        <f>HYPERLINK("Melting_Curves/meltCurve_Q96DR7_ARHGEF26.pdf", "Melting_Curves/meltCurve_Q96DR7_ARHGEF26.pdf")</f>
        <v>Melting_Curves/meltCurve_Q96DR7_ARHGEF26.pdf</v>
      </c>
    </row>
    <row r="4625" spans="1:28" x14ac:dyDescent="0.25">
      <c r="A4625" t="s">
        <v>4629</v>
      </c>
      <c r="B4625">
        <v>0.99352677808782597</v>
      </c>
      <c r="C4625">
        <v>1.05846559353525</v>
      </c>
      <c r="D4625">
        <v>1.00081846359404</v>
      </c>
      <c r="E4625">
        <v>0.516876086720093</v>
      </c>
      <c r="F4625">
        <v>0.46821821185672502</v>
      </c>
      <c r="G4625">
        <v>0.35005698099743598</v>
      </c>
      <c r="H4625">
        <v>0.31802634808114499</v>
      </c>
      <c r="I4625">
        <v>0.29771595297039</v>
      </c>
      <c r="J4625">
        <v>0.278354045396492</v>
      </c>
      <c r="K4625">
        <v>0.191656175993525</v>
      </c>
      <c r="L4625">
        <v>1468.06440231186</v>
      </c>
      <c r="M4625">
        <v>29.693480014265099</v>
      </c>
      <c r="N4625">
        <v>50.951487490570202</v>
      </c>
      <c r="O4625">
        <v>49.218016514906502</v>
      </c>
      <c r="P4625">
        <v>-0.106678398814642</v>
      </c>
      <c r="Q4625">
        <v>0.29271158909997602</v>
      </c>
      <c r="R4625">
        <v>0.96536908145023304</v>
      </c>
      <c r="S4625" t="s">
        <v>10910</v>
      </c>
      <c r="T4625" t="s">
        <v>12568</v>
      </c>
      <c r="U4625" t="s">
        <v>12568</v>
      </c>
      <c r="V4625" t="s">
        <v>12568</v>
      </c>
      <c r="W4625" t="s">
        <v>17145</v>
      </c>
      <c r="X4625">
        <v>1</v>
      </c>
      <c r="Y4625" t="s">
        <v>23253</v>
      </c>
      <c r="Z4625" t="s">
        <v>29495</v>
      </c>
      <c r="AA4625">
        <v>0.5197143519021229</v>
      </c>
      <c r="AB4625" t="str">
        <f>HYPERLINK("Melting_Curves/meltCurve_Q96DT6_ATG4C.pdf", "Melting_Curves/meltCurve_Q96DT6_ATG4C.pdf")</f>
        <v>Melting_Curves/meltCurve_Q96DT6_ATG4C.pdf</v>
      </c>
    </row>
    <row r="4626" spans="1:28" x14ac:dyDescent="0.25">
      <c r="A4626" t="s">
        <v>4630</v>
      </c>
      <c r="B4626">
        <v>0.99352677808782597</v>
      </c>
      <c r="C4626">
        <v>0.91772937390208997</v>
      </c>
      <c r="D4626">
        <v>0.84908250582707401</v>
      </c>
      <c r="E4626">
        <v>0.60200900790992395</v>
      </c>
      <c r="F4626">
        <v>0.53640717591007503</v>
      </c>
      <c r="G4626">
        <v>0.44592567308985198</v>
      </c>
      <c r="H4626">
        <v>0.38259828765610499</v>
      </c>
      <c r="I4626">
        <v>0.45637870794093199</v>
      </c>
      <c r="J4626">
        <v>0.40767456306043198</v>
      </c>
      <c r="K4626">
        <v>0.32023408985478902</v>
      </c>
      <c r="L4626">
        <v>749.71214336164303</v>
      </c>
      <c r="M4626">
        <v>15.3607659092593</v>
      </c>
      <c r="N4626">
        <v>53.750550148270499</v>
      </c>
      <c r="O4626">
        <v>48.002190398202302</v>
      </c>
      <c r="P4626">
        <v>-4.9743451874344799E-2</v>
      </c>
      <c r="Q4626">
        <v>0.37826668651856499</v>
      </c>
      <c r="R4626">
        <v>0.978877247423244</v>
      </c>
      <c r="S4626" t="s">
        <v>10911</v>
      </c>
      <c r="T4626" t="s">
        <v>12568</v>
      </c>
      <c r="U4626" t="s">
        <v>12568</v>
      </c>
      <c r="V4626" t="s">
        <v>12568</v>
      </c>
      <c r="W4626" t="s">
        <v>17146</v>
      </c>
      <c r="X4626">
        <v>4</v>
      </c>
      <c r="Y4626" t="s">
        <v>23254</v>
      </c>
      <c r="Z4626" t="s">
        <v>29496</v>
      </c>
      <c r="AA4626">
        <v>0.57555754317008478</v>
      </c>
      <c r="AB4626" t="str">
        <f>HYPERLINK("Melting_Curves/meltCurve_Q96DU7_ITPKC.pdf", "Melting_Curves/meltCurve_Q96DU7_ITPKC.pdf")</f>
        <v>Melting_Curves/meltCurve_Q96DU7_ITPKC.pdf</v>
      </c>
    </row>
    <row r="4627" spans="1:28" x14ac:dyDescent="0.25">
      <c r="A4627" t="s">
        <v>4631</v>
      </c>
      <c r="B4627">
        <v>0.99352677808782597</v>
      </c>
      <c r="C4627">
        <v>0.88227278087479399</v>
      </c>
      <c r="D4627">
        <v>1.1367331652424899</v>
      </c>
      <c r="E4627">
        <v>0.54845894128051598</v>
      </c>
      <c r="F4627">
        <v>0.40209922807839599</v>
      </c>
      <c r="G4627">
        <v>0.23000872336545899</v>
      </c>
      <c r="H4627">
        <v>0.18544070277954899</v>
      </c>
      <c r="I4627">
        <v>0.23536411824555301</v>
      </c>
      <c r="J4627">
        <v>0.128816984471288</v>
      </c>
      <c r="K4627">
        <v>4.4070941311298503E-2</v>
      </c>
      <c r="L4627">
        <v>1397.3595892691901</v>
      </c>
      <c r="M4627">
        <v>27.659852934139298</v>
      </c>
      <c r="N4627">
        <v>51.230074155004402</v>
      </c>
      <c r="O4627">
        <v>50.257564643925903</v>
      </c>
      <c r="P4627">
        <v>-0.115669197655489</v>
      </c>
      <c r="Q4627">
        <v>0.15933035270851501</v>
      </c>
      <c r="R4627">
        <v>0.941214966719503</v>
      </c>
      <c r="S4627" t="s">
        <v>10912</v>
      </c>
      <c r="T4627" t="s">
        <v>12568</v>
      </c>
      <c r="U4627" t="s">
        <v>12568</v>
      </c>
      <c r="V4627" t="s">
        <v>12568</v>
      </c>
      <c r="W4627" t="s">
        <v>17147</v>
      </c>
      <c r="X4627">
        <v>1</v>
      </c>
      <c r="Y4627" t="s">
        <v>23255</v>
      </c>
      <c r="Z4627" t="s">
        <v>29497</v>
      </c>
      <c r="AA4627">
        <v>0.46028226548418227</v>
      </c>
      <c r="AB4627" t="str">
        <f>HYPERLINK("Melting_Curves/meltCurve_Q96DV4_MRPL38.pdf", "Melting_Curves/meltCurve_Q96DV4_MRPL38.pdf")</f>
        <v>Melting_Curves/meltCurve_Q96DV4_MRPL38.pdf</v>
      </c>
    </row>
    <row r="4628" spans="1:28" x14ac:dyDescent="0.25">
      <c r="A4628" t="s">
        <v>4632</v>
      </c>
      <c r="B4628">
        <v>0.99352677808782597</v>
      </c>
      <c r="C4628">
        <v>0.96460439034137302</v>
      </c>
      <c r="D4628">
        <v>0.77223584294069203</v>
      </c>
      <c r="E4628">
        <v>0.44839586411826399</v>
      </c>
      <c r="F4628">
        <v>0.37844611728869998</v>
      </c>
      <c r="G4628">
        <v>0.246641098972433</v>
      </c>
      <c r="H4628">
        <v>0.17950784805196299</v>
      </c>
      <c r="I4628">
        <v>0.18292752841239701</v>
      </c>
      <c r="J4628">
        <v>0.13612099908233699</v>
      </c>
      <c r="K4628">
        <v>9.9624636756222504E-2</v>
      </c>
      <c r="L4628">
        <v>776.85564863664001</v>
      </c>
      <c r="M4628">
        <v>15.841740063564099</v>
      </c>
      <c r="N4628">
        <v>50.0454068375061</v>
      </c>
      <c r="O4628">
        <v>48.277064454796701</v>
      </c>
      <c r="P4628">
        <v>-7.0846595441298593E-2</v>
      </c>
      <c r="Q4628">
        <v>0.13646183168744</v>
      </c>
      <c r="R4628">
        <v>0.99034906969283898</v>
      </c>
      <c r="S4628" t="s">
        <v>10913</v>
      </c>
      <c r="T4628" t="s">
        <v>12568</v>
      </c>
      <c r="U4628" t="s">
        <v>12568</v>
      </c>
      <c r="V4628" t="s">
        <v>12568</v>
      </c>
      <c r="W4628" t="s">
        <v>17148</v>
      </c>
      <c r="X4628">
        <v>7</v>
      </c>
      <c r="Y4628" t="s">
        <v>23256</v>
      </c>
      <c r="Z4628" t="s">
        <v>29498</v>
      </c>
      <c r="AA4628">
        <v>0.41582027952737988</v>
      </c>
      <c r="AB4628" t="str">
        <f>HYPERLINK("Melting_Curves/meltCurve_Q96DX5_ASB9.pdf", "Melting_Curves/meltCurve_Q96DX5_ASB9.pdf")</f>
        <v>Melting_Curves/meltCurve_Q96DX5_ASB9.pdf</v>
      </c>
    </row>
    <row r="4629" spans="1:28" x14ac:dyDescent="0.25">
      <c r="A4629" t="s">
        <v>4633</v>
      </c>
      <c r="B4629">
        <v>0.99352677808782597</v>
      </c>
      <c r="C4629">
        <v>0.89738250746613102</v>
      </c>
      <c r="D4629">
        <v>0.76997580206744698</v>
      </c>
      <c r="E4629">
        <v>0.41692786951794703</v>
      </c>
      <c r="F4629">
        <v>0.34763381502553398</v>
      </c>
      <c r="G4629">
        <v>0.291901939967255</v>
      </c>
      <c r="H4629">
        <v>0.21193918339634599</v>
      </c>
      <c r="I4629">
        <v>0.111405980785243</v>
      </c>
      <c r="J4629">
        <v>0.10341108189470601</v>
      </c>
      <c r="K4629">
        <v>0.10187904017970401</v>
      </c>
      <c r="L4629">
        <v>678.231476677714</v>
      </c>
      <c r="M4629">
        <v>13.857975945422</v>
      </c>
      <c r="N4629">
        <v>49.844299246092703</v>
      </c>
      <c r="O4629">
        <v>47.9562602415943</v>
      </c>
      <c r="P4629">
        <v>-6.4234249270165494E-2</v>
      </c>
      <c r="Q4629">
        <v>0.11097867355328001</v>
      </c>
      <c r="R4629">
        <v>0.98357432338029005</v>
      </c>
      <c r="S4629" t="s">
        <v>10914</v>
      </c>
      <c r="T4629" t="s">
        <v>12568</v>
      </c>
      <c r="U4629" t="s">
        <v>12568</v>
      </c>
      <c r="V4629" t="s">
        <v>12568</v>
      </c>
      <c r="W4629" t="s">
        <v>17149</v>
      </c>
      <c r="X4629">
        <v>6</v>
      </c>
      <c r="Y4629" t="s">
        <v>23256</v>
      </c>
      <c r="Z4629" t="s">
        <v>29499</v>
      </c>
      <c r="AA4629">
        <v>0.40142305184268529</v>
      </c>
      <c r="AB4629" t="str">
        <f>HYPERLINK("Melting_Curves/meltCurve_Q96DX5_2_ASB9.pdf", "Melting_Curves/meltCurve_Q96DX5_2_ASB9.pdf")</f>
        <v>Melting_Curves/meltCurve_Q96DX5_2_ASB9.pdf</v>
      </c>
    </row>
    <row r="4630" spans="1:28" x14ac:dyDescent="0.25">
      <c r="A4630" t="s">
        <v>4634</v>
      </c>
      <c r="B4630">
        <v>0.99352677808782597</v>
      </c>
      <c r="C4630">
        <v>0.93414299267821699</v>
      </c>
      <c r="D4630">
        <v>0.91153554694921701</v>
      </c>
      <c r="E4630">
        <v>0.80025348213617598</v>
      </c>
      <c r="F4630">
        <v>0.72503326157588199</v>
      </c>
      <c r="G4630">
        <v>0.61255759579063596</v>
      </c>
      <c r="H4630">
        <v>0.50966244084444901</v>
      </c>
      <c r="I4630">
        <v>0.55539601721160703</v>
      </c>
      <c r="J4630">
        <v>0.62316416072734704</v>
      </c>
      <c r="K4630">
        <v>0.47450930281151599</v>
      </c>
      <c r="L4630">
        <v>646.36471495368403</v>
      </c>
      <c r="M4630">
        <v>12.581103533420199</v>
      </c>
      <c r="O4630">
        <v>50.129692062913499</v>
      </c>
      <c r="P4630">
        <v>-3.0852187090088599E-2</v>
      </c>
      <c r="Q4630">
        <v>0.50837383852881801</v>
      </c>
      <c r="R4630">
        <v>0.95152131799829398</v>
      </c>
      <c r="S4630" t="s">
        <v>10915</v>
      </c>
      <c r="T4630" t="s">
        <v>12568</v>
      </c>
      <c r="U4630" t="s">
        <v>12568</v>
      </c>
      <c r="V4630" t="s">
        <v>12568</v>
      </c>
      <c r="W4630" t="s">
        <v>17150</v>
      </c>
      <c r="X4630">
        <v>5</v>
      </c>
      <c r="Y4630" t="s">
        <v>23257</v>
      </c>
      <c r="Z4630" t="s">
        <v>29500</v>
      </c>
      <c r="AA4630">
        <v>0.70945643167306449</v>
      </c>
      <c r="AB4630" t="str">
        <f>HYPERLINK("Melting_Curves/meltCurve_Q96DX7_TRIM44.pdf", "Melting_Curves/meltCurve_Q96DX7_TRIM44.pdf")</f>
        <v>Melting_Curves/meltCurve_Q96DX7_TRIM44.pdf</v>
      </c>
    </row>
    <row r="4631" spans="1:28" x14ac:dyDescent="0.25">
      <c r="A4631" t="s">
        <v>4635</v>
      </c>
      <c r="B4631">
        <v>0.99352677808782597</v>
      </c>
      <c r="C4631">
        <v>1.0340356684281999</v>
      </c>
      <c r="D4631">
        <v>0.96856716251418395</v>
      </c>
      <c r="E4631">
        <v>0.82180768548540895</v>
      </c>
      <c r="F4631">
        <v>0.70278490578183705</v>
      </c>
      <c r="G4631">
        <v>0.66624212199731703</v>
      </c>
      <c r="H4631">
        <v>0.55540150001237099</v>
      </c>
      <c r="I4631">
        <v>0.56472006145756803</v>
      </c>
      <c r="J4631">
        <v>0.56954307838470497</v>
      </c>
      <c r="K4631">
        <v>0.47978490303563598</v>
      </c>
      <c r="L4631">
        <v>817.73701292365797</v>
      </c>
      <c r="M4631">
        <v>15.691720880463601</v>
      </c>
      <c r="O4631">
        <v>51.288282841637802</v>
      </c>
      <c r="P4631">
        <v>-3.6409530798734803E-2</v>
      </c>
      <c r="Q4631">
        <v>0.52402290813716401</v>
      </c>
      <c r="R4631">
        <v>0.97324698404545495</v>
      </c>
      <c r="S4631" t="s">
        <v>10916</v>
      </c>
      <c r="T4631" t="s">
        <v>12568</v>
      </c>
      <c r="U4631" t="s">
        <v>12568</v>
      </c>
      <c r="V4631" t="s">
        <v>12568</v>
      </c>
      <c r="W4631" t="s">
        <v>17151</v>
      </c>
      <c r="X4631">
        <v>9</v>
      </c>
      <c r="Y4631" t="s">
        <v>23258</v>
      </c>
      <c r="Z4631" t="s">
        <v>29501</v>
      </c>
      <c r="AA4631">
        <v>0.72609035111350717</v>
      </c>
      <c r="AB4631" t="str">
        <f>HYPERLINK("Melting_Curves/meltCurve_Q96E09_FAM122A.pdf", "Melting_Curves/meltCurve_Q96E09_FAM122A.pdf")</f>
        <v>Melting_Curves/meltCurve_Q96E09_FAM122A.pdf</v>
      </c>
    </row>
    <row r="4632" spans="1:28" x14ac:dyDescent="0.25">
      <c r="A4632" t="s">
        <v>4636</v>
      </c>
      <c r="B4632">
        <v>0.99352677808782597</v>
      </c>
      <c r="C4632">
        <v>0.91342979338122599</v>
      </c>
      <c r="D4632">
        <v>1.00644922823326</v>
      </c>
      <c r="E4632">
        <v>0.54747458364624502</v>
      </c>
      <c r="F4632">
        <v>0.48546222904883402</v>
      </c>
      <c r="G4632">
        <v>0.30455910340855302</v>
      </c>
      <c r="H4632">
        <v>0.24329621082753999</v>
      </c>
      <c r="I4632">
        <v>0.26194011791423699</v>
      </c>
      <c r="J4632">
        <v>0.23637388644396601</v>
      </c>
      <c r="K4632">
        <v>0.19930767859974299</v>
      </c>
      <c r="L4632">
        <v>1048.84829557274</v>
      </c>
      <c r="M4632">
        <v>20.880830431822702</v>
      </c>
      <c r="N4632">
        <v>51.7886546397323</v>
      </c>
      <c r="O4632">
        <v>49.776306241340002</v>
      </c>
      <c r="P4632">
        <v>-8.0412116498977004E-2</v>
      </c>
      <c r="Q4632">
        <v>0.2332664529024</v>
      </c>
      <c r="R4632">
        <v>0.97137847327591598</v>
      </c>
      <c r="S4632" t="s">
        <v>10917</v>
      </c>
      <c r="T4632" t="s">
        <v>12568</v>
      </c>
      <c r="U4632" t="s">
        <v>12568</v>
      </c>
      <c r="V4632" t="s">
        <v>12568</v>
      </c>
      <c r="W4632" t="s">
        <v>17152</v>
      </c>
      <c r="X4632">
        <v>7</v>
      </c>
      <c r="Y4632" t="s">
        <v>23259</v>
      </c>
      <c r="Z4632" t="s">
        <v>29502</v>
      </c>
      <c r="AA4632">
        <v>0.50453684325182779</v>
      </c>
      <c r="AB4632" t="str">
        <f>HYPERLINK("Melting_Curves/meltCurve_Q96E11_3_MRRF.pdf", "Melting_Curves/meltCurve_Q96E11_3_MRRF.pdf")</f>
        <v>Melting_Curves/meltCurve_Q96E11_3_MRRF.pdf</v>
      </c>
    </row>
    <row r="4633" spans="1:28" x14ac:dyDescent="0.25">
      <c r="A4633" t="s">
        <v>4637</v>
      </c>
      <c r="B4633">
        <v>0.99352677808782597</v>
      </c>
      <c r="C4633">
        <v>0.93266351074189002</v>
      </c>
      <c r="D4633">
        <v>0.922237254054042</v>
      </c>
      <c r="E4633">
        <v>0.55213093962917903</v>
      </c>
      <c r="F4633">
        <v>0.56695735020512605</v>
      </c>
      <c r="G4633">
        <v>0.41107911761309002</v>
      </c>
      <c r="H4633">
        <v>0.408223833930425</v>
      </c>
      <c r="I4633">
        <v>0.30239209207990098</v>
      </c>
      <c r="J4633">
        <v>0.22754986019471499</v>
      </c>
      <c r="K4633">
        <v>0.23366754042560101</v>
      </c>
      <c r="L4633">
        <v>607.51884547138195</v>
      </c>
      <c r="M4633">
        <v>11.8639563450661</v>
      </c>
      <c r="N4633">
        <v>53.979872516262702</v>
      </c>
      <c r="O4633">
        <v>49.817248804792001</v>
      </c>
      <c r="P4633">
        <v>-4.5964628973667501E-2</v>
      </c>
      <c r="Q4633">
        <v>0.22816489177506299</v>
      </c>
      <c r="R4633">
        <v>0.96081003177025903</v>
      </c>
      <c r="S4633" t="s">
        <v>10918</v>
      </c>
      <c r="T4633" t="s">
        <v>12568</v>
      </c>
      <c r="U4633" t="s">
        <v>12568</v>
      </c>
      <c r="V4633" t="s">
        <v>12568</v>
      </c>
      <c r="W4633" t="s">
        <v>17153</v>
      </c>
      <c r="X4633">
        <v>5</v>
      </c>
      <c r="Y4633" t="s">
        <v>23260</v>
      </c>
      <c r="Z4633" t="s">
        <v>29503</v>
      </c>
      <c r="AA4633">
        <v>0.54175335545940939</v>
      </c>
      <c r="AB4633" t="str">
        <f>HYPERLINK("Melting_Curves/meltCurve_Q96E14_RMI2.pdf", "Melting_Curves/meltCurve_Q96E14_RMI2.pdf")</f>
        <v>Melting_Curves/meltCurve_Q96E14_RMI2.pdf</v>
      </c>
    </row>
    <row r="4634" spans="1:28" x14ac:dyDescent="0.25">
      <c r="A4634" t="s">
        <v>4638</v>
      </c>
      <c r="B4634">
        <v>0.99352677808782597</v>
      </c>
      <c r="C4634">
        <v>0.99577358713672903</v>
      </c>
      <c r="D4634">
        <v>0.95347263160874896</v>
      </c>
      <c r="E4634">
        <v>0.62953597757610102</v>
      </c>
      <c r="F4634">
        <v>0.52451524488033097</v>
      </c>
      <c r="G4634">
        <v>0.34926982145552099</v>
      </c>
      <c r="H4634">
        <v>0.22467563085796</v>
      </c>
      <c r="I4634">
        <v>0.20750756809266599</v>
      </c>
      <c r="J4634">
        <v>0.210577943843301</v>
      </c>
      <c r="K4634">
        <v>0.153957620413156</v>
      </c>
      <c r="L4634">
        <v>829.50472817301102</v>
      </c>
      <c r="M4634">
        <v>16.050859744463299</v>
      </c>
      <c r="N4634">
        <v>53.056778948908203</v>
      </c>
      <c r="O4634">
        <v>50.897561406963703</v>
      </c>
      <c r="P4634">
        <v>-6.5413909218370397E-2</v>
      </c>
      <c r="Q4634">
        <v>0.17034985089083399</v>
      </c>
      <c r="R4634">
        <v>0.99057360786222803</v>
      </c>
      <c r="S4634" t="s">
        <v>10919</v>
      </c>
      <c r="T4634" t="s">
        <v>12568</v>
      </c>
      <c r="U4634" t="s">
        <v>12568</v>
      </c>
      <c r="V4634" t="s">
        <v>12568</v>
      </c>
      <c r="W4634" t="s">
        <v>17154</v>
      </c>
      <c r="X4634">
        <v>14</v>
      </c>
      <c r="Y4634" t="s">
        <v>23261</v>
      </c>
      <c r="Z4634" t="s">
        <v>29504</v>
      </c>
      <c r="AA4634">
        <v>0.51017740714442572</v>
      </c>
      <c r="AB4634" t="str">
        <f>HYPERLINK("Melting_Curves/meltCurve_Q96EA4_SPDL1.pdf", "Melting_Curves/meltCurve_Q96EA4_SPDL1.pdf")</f>
        <v>Melting_Curves/meltCurve_Q96EA4_SPDL1.pdf</v>
      </c>
    </row>
    <row r="4635" spans="1:28" x14ac:dyDescent="0.25">
      <c r="A4635" t="s">
        <v>4639</v>
      </c>
      <c r="B4635">
        <v>0.99352677808782597</v>
      </c>
      <c r="C4635">
        <v>0.95840438213998702</v>
      </c>
      <c r="D4635">
        <v>0.94301107822929797</v>
      </c>
      <c r="E4635">
        <v>1.2525232979532701</v>
      </c>
      <c r="F4635">
        <v>1.0947975714603699</v>
      </c>
      <c r="G4635">
        <v>0.79799081299299102</v>
      </c>
      <c r="H4635">
        <v>0.62315613191028996</v>
      </c>
      <c r="I4635">
        <v>0.57507769042818901</v>
      </c>
      <c r="J4635">
        <v>0.56572393013438804</v>
      </c>
      <c r="K4635">
        <v>0.31154514380863102</v>
      </c>
      <c r="L4635">
        <v>1290.56650899383</v>
      </c>
      <c r="M4635">
        <v>21.3590961447916</v>
      </c>
      <c r="N4635">
        <v>65.002667160076101</v>
      </c>
      <c r="O4635">
        <v>59.900175846514401</v>
      </c>
      <c r="P4635">
        <v>-5.4469036809461198E-2</v>
      </c>
      <c r="Q4635">
        <v>0.38899605886000399</v>
      </c>
      <c r="R4635">
        <v>0.83979166288420304</v>
      </c>
      <c r="S4635" t="s">
        <v>10920</v>
      </c>
      <c r="T4635" t="s">
        <v>12568</v>
      </c>
      <c r="U4635" t="s">
        <v>12568</v>
      </c>
      <c r="V4635" t="s">
        <v>12568</v>
      </c>
      <c r="W4635" t="s">
        <v>17155</v>
      </c>
      <c r="X4635">
        <v>5</v>
      </c>
      <c r="Y4635" t="s">
        <v>23262</v>
      </c>
      <c r="Z4635" t="s">
        <v>29505</v>
      </c>
      <c r="AA4635">
        <v>0.80950512311825473</v>
      </c>
      <c r="AB4635" t="str">
        <f>HYPERLINK("Melting_Curves/meltCurve_Q96EB1_ELP4.pdf", "Melting_Curves/meltCurve_Q96EB1_ELP4.pdf")</f>
        <v>Melting_Curves/meltCurve_Q96EB1_ELP4.pdf</v>
      </c>
    </row>
    <row r="4636" spans="1:28" x14ac:dyDescent="0.25">
      <c r="A4636" t="s">
        <v>4640</v>
      </c>
      <c r="B4636">
        <v>0.99352677808782597</v>
      </c>
      <c r="C4636">
        <v>0.96426414370261104</v>
      </c>
      <c r="D4636">
        <v>0.92292096360902298</v>
      </c>
      <c r="E4636">
        <v>0.54221598212470001</v>
      </c>
      <c r="F4636">
        <v>0.44880632717334301</v>
      </c>
      <c r="G4636">
        <v>0.29316595959264302</v>
      </c>
      <c r="H4636">
        <v>0.19571602677479599</v>
      </c>
      <c r="I4636">
        <v>0.16771787842254701</v>
      </c>
      <c r="J4636">
        <v>0.15305538175317299</v>
      </c>
      <c r="K4636">
        <v>0.104462890462314</v>
      </c>
      <c r="L4636">
        <v>808.99112092220696</v>
      </c>
      <c r="M4636">
        <v>15.9365052244948</v>
      </c>
      <c r="N4636">
        <v>51.753540082596999</v>
      </c>
      <c r="O4636">
        <v>49.984257162599803</v>
      </c>
      <c r="P4636">
        <v>-6.92395986347423E-2</v>
      </c>
      <c r="Q4636">
        <v>0.13139948149210501</v>
      </c>
      <c r="R4636">
        <v>0.98880345492794697</v>
      </c>
      <c r="S4636" t="s">
        <v>10921</v>
      </c>
      <c r="T4636" t="s">
        <v>12568</v>
      </c>
      <c r="U4636" t="s">
        <v>12568</v>
      </c>
      <c r="V4636" t="s">
        <v>12568</v>
      </c>
      <c r="W4636" t="s">
        <v>17156</v>
      </c>
      <c r="X4636">
        <v>18</v>
      </c>
      <c r="Y4636" t="s">
        <v>23263</v>
      </c>
      <c r="Z4636" t="s">
        <v>29506</v>
      </c>
      <c r="AA4636">
        <v>0.4612672204869393</v>
      </c>
      <c r="AB4636" t="str">
        <f>HYPERLINK("Melting_Curves/meltCurve_Q96EB6_SIRT1.pdf", "Melting_Curves/meltCurve_Q96EB6_SIRT1.pdf")</f>
        <v>Melting_Curves/meltCurve_Q96EB6_SIRT1.pdf</v>
      </c>
    </row>
    <row r="4637" spans="1:28" x14ac:dyDescent="0.25">
      <c r="A4637" t="s">
        <v>4641</v>
      </c>
      <c r="B4637">
        <v>0.99352677808782597</v>
      </c>
      <c r="C4637">
        <v>0.98373567359847502</v>
      </c>
      <c r="D4637">
        <v>0.84859898971998404</v>
      </c>
      <c r="E4637">
        <v>0.53851073958595796</v>
      </c>
      <c r="F4637">
        <v>0.44231963388288198</v>
      </c>
      <c r="G4637">
        <v>0.33614721792116697</v>
      </c>
      <c r="H4637">
        <v>0.27500858917650101</v>
      </c>
      <c r="I4637">
        <v>0.24007920237717001</v>
      </c>
      <c r="J4637">
        <v>0.26452453842310403</v>
      </c>
      <c r="K4637">
        <v>0.207770170024866</v>
      </c>
      <c r="L4637">
        <v>868.16453249711401</v>
      </c>
      <c r="M4637">
        <v>17.569206252885401</v>
      </c>
      <c r="N4637">
        <v>51.329954143345702</v>
      </c>
      <c r="O4637">
        <v>48.787149063028401</v>
      </c>
      <c r="P4637">
        <v>-6.8382612065070195E-2</v>
      </c>
      <c r="Q4637">
        <v>0.24048666793710899</v>
      </c>
      <c r="R4637">
        <v>0.99278210877754303</v>
      </c>
      <c r="S4637" t="s">
        <v>10922</v>
      </c>
      <c r="T4637" t="s">
        <v>12568</v>
      </c>
      <c r="U4637" t="s">
        <v>12568</v>
      </c>
      <c r="V4637" t="s">
        <v>12568</v>
      </c>
      <c r="W4637" t="s">
        <v>17157</v>
      </c>
      <c r="X4637">
        <v>5</v>
      </c>
      <c r="Y4637" t="s">
        <v>23264</v>
      </c>
      <c r="Z4637" t="s">
        <v>29507</v>
      </c>
      <c r="AA4637">
        <v>0.49251447154800909</v>
      </c>
      <c r="AB4637" t="str">
        <f>HYPERLINK("Melting_Curves/meltCurve_Q96ED9_2_HOOK2.pdf", "Melting_Curves/meltCurve_Q96ED9_2_HOOK2.pdf")</f>
        <v>Melting_Curves/meltCurve_Q96ED9_2_HOOK2.pdf</v>
      </c>
    </row>
    <row r="4638" spans="1:28" x14ac:dyDescent="0.25">
      <c r="A4638" t="s">
        <v>4642</v>
      </c>
      <c r="B4638">
        <v>0.99352677808782597</v>
      </c>
      <c r="C4638">
        <v>1.01740175158172</v>
      </c>
      <c r="D4638">
        <v>0.93753968559908396</v>
      </c>
      <c r="E4638">
        <v>0.79445013668423503</v>
      </c>
      <c r="F4638">
        <v>0.66317107166721401</v>
      </c>
      <c r="G4638">
        <v>0.301115286431971</v>
      </c>
      <c r="H4638">
        <v>0.13534116416682301</v>
      </c>
      <c r="I4638">
        <v>0.116924943061187</v>
      </c>
      <c r="J4638">
        <v>8.4284344031499397E-2</v>
      </c>
      <c r="K4638">
        <v>6.4104639207307607E-2</v>
      </c>
      <c r="L4638">
        <v>986.12222612809205</v>
      </c>
      <c r="M4638">
        <v>18.210101896753301</v>
      </c>
      <c r="N4638">
        <v>54.455022655844701</v>
      </c>
      <c r="O4638">
        <v>53.512106809380903</v>
      </c>
      <c r="P4638">
        <v>-8.0985532226304793E-2</v>
      </c>
      <c r="Q4638">
        <v>4.8110280605376601E-2</v>
      </c>
      <c r="R4638">
        <v>0.99614644641383099</v>
      </c>
      <c r="S4638" t="s">
        <v>10923</v>
      </c>
      <c r="T4638" t="s">
        <v>12568</v>
      </c>
      <c r="U4638" t="s">
        <v>12568</v>
      </c>
      <c r="V4638" t="s">
        <v>12568</v>
      </c>
      <c r="W4638" t="s">
        <v>17158</v>
      </c>
      <c r="X4638">
        <v>5</v>
      </c>
      <c r="Y4638" t="s">
        <v>23265</v>
      </c>
      <c r="Z4638" t="s">
        <v>29508</v>
      </c>
      <c r="AA4638">
        <v>0.51207079870653516</v>
      </c>
      <c r="AB4638" t="str">
        <f>HYPERLINK("Melting_Curves/meltCurve_Q96EE3_SEH1L.pdf", "Melting_Curves/meltCurve_Q96EE3_SEH1L.pdf")</f>
        <v>Melting_Curves/meltCurve_Q96EE3_SEH1L.pdf</v>
      </c>
    </row>
    <row r="4639" spans="1:28" x14ac:dyDescent="0.25">
      <c r="A4639" t="s">
        <v>4643</v>
      </c>
      <c r="B4639">
        <v>0.99352677808782597</v>
      </c>
      <c r="C4639">
        <v>0.88514962105108796</v>
      </c>
      <c r="D4639">
        <v>0.80759507427648902</v>
      </c>
      <c r="E4639">
        <v>0.66678343973821197</v>
      </c>
      <c r="F4639">
        <v>0.70212338021573495</v>
      </c>
      <c r="G4639">
        <v>0.30500208513709798</v>
      </c>
      <c r="H4639">
        <v>0.24472077967780601</v>
      </c>
      <c r="I4639">
        <v>0.17449716314694</v>
      </c>
      <c r="J4639">
        <v>0.15564110858330599</v>
      </c>
      <c r="K4639">
        <v>0.109292797100751</v>
      </c>
      <c r="L4639">
        <v>520.69405240893502</v>
      </c>
      <c r="M4639">
        <v>9.5908388711049692</v>
      </c>
      <c r="N4639">
        <v>54.290772503441701</v>
      </c>
      <c r="O4639">
        <v>52.0878867370565</v>
      </c>
      <c r="P4639">
        <v>-4.6058260890339202E-2</v>
      </c>
      <c r="Q4639">
        <v>0</v>
      </c>
      <c r="R4639">
        <v>0.967901292187483</v>
      </c>
      <c r="S4639" t="s">
        <v>10924</v>
      </c>
      <c r="T4639" t="s">
        <v>12568</v>
      </c>
      <c r="U4639" t="s">
        <v>12568</v>
      </c>
      <c r="V4639" t="s">
        <v>12568</v>
      </c>
      <c r="W4639" t="s">
        <v>17159</v>
      </c>
      <c r="X4639">
        <v>2</v>
      </c>
      <c r="Y4639" t="s">
        <v>23266</v>
      </c>
      <c r="Z4639" t="s">
        <v>29509</v>
      </c>
      <c r="AA4639">
        <v>0.50605133221536547</v>
      </c>
      <c r="AB4639" t="str">
        <f>HYPERLINK("Melting_Curves/meltCurve_Q96EH3_MALSU1.pdf", "Melting_Curves/meltCurve_Q96EH3_MALSU1.pdf")</f>
        <v>Melting_Curves/meltCurve_Q96EH3_MALSU1.pdf</v>
      </c>
    </row>
    <row r="4640" spans="1:28" x14ac:dyDescent="0.25">
      <c r="A4640" t="s">
        <v>4644</v>
      </c>
      <c r="B4640">
        <v>0.99352677808782597</v>
      </c>
      <c r="C4640">
        <v>0.96922724922596404</v>
      </c>
      <c r="D4640">
        <v>0.98957057812347904</v>
      </c>
      <c r="E4640">
        <v>0.95855418516191004</v>
      </c>
      <c r="F4640">
        <v>0.89432406561313305</v>
      </c>
      <c r="G4640">
        <v>0.79561854829491196</v>
      </c>
      <c r="H4640">
        <v>0.81472499029327805</v>
      </c>
      <c r="I4640">
        <v>0.877207574509969</v>
      </c>
      <c r="J4640">
        <v>0.89621121597892905</v>
      </c>
      <c r="K4640">
        <v>0.83318245384844403</v>
      </c>
      <c r="L4640">
        <v>2077.3044159198498</v>
      </c>
      <c r="M4640">
        <v>40.3256298935882</v>
      </c>
      <c r="O4640">
        <v>51.387063325402998</v>
      </c>
      <c r="P4640">
        <v>-3.0522329851591801E-2</v>
      </c>
      <c r="Q4640">
        <v>0.84442156163737603</v>
      </c>
      <c r="R4640">
        <v>0.81875265579904599</v>
      </c>
      <c r="S4640" t="s">
        <v>10925</v>
      </c>
      <c r="T4640" t="s">
        <v>12568</v>
      </c>
      <c r="U4640" t="s">
        <v>12568</v>
      </c>
      <c r="V4640" t="s">
        <v>12568</v>
      </c>
      <c r="W4640" t="s">
        <v>17160</v>
      </c>
      <c r="X4640">
        <v>16</v>
      </c>
      <c r="Y4640" t="s">
        <v>23267</v>
      </c>
      <c r="Z4640" t="s">
        <v>29510</v>
      </c>
      <c r="AA4640">
        <v>0.90467356425068546</v>
      </c>
      <c r="AB4640" t="str">
        <f>HYPERLINK("Melting_Curves/meltCurve_Q96EI5_TCEAL4.pdf", "Melting_Curves/meltCurve_Q96EI5_TCEAL4.pdf")</f>
        <v>Melting_Curves/meltCurve_Q96EI5_TCEAL4.pdf</v>
      </c>
    </row>
    <row r="4641" spans="1:28" x14ac:dyDescent="0.25">
      <c r="A4641" t="s">
        <v>4645</v>
      </c>
      <c r="B4641">
        <v>0.99352677808782597</v>
      </c>
      <c r="C4641">
        <v>0.89501663169601797</v>
      </c>
      <c r="D4641">
        <v>0.99700528093931096</v>
      </c>
      <c r="E4641">
        <v>0.502794328349636</v>
      </c>
      <c r="F4641">
        <v>0.370099382100812</v>
      </c>
      <c r="G4641">
        <v>0.20633070293018599</v>
      </c>
      <c r="H4641">
        <v>0.110096360748046</v>
      </c>
      <c r="I4641">
        <v>0.18398833659759201</v>
      </c>
      <c r="J4641">
        <v>0.12367944904351801</v>
      </c>
      <c r="K4641">
        <v>0.121967808173071</v>
      </c>
      <c r="L4641">
        <v>1180.38266619107</v>
      </c>
      <c r="M4641">
        <v>23.6031339002874</v>
      </c>
      <c r="N4641">
        <v>50.710185838326296</v>
      </c>
      <c r="O4641">
        <v>49.654746562399701</v>
      </c>
      <c r="P4641">
        <v>-0.102303642577884</v>
      </c>
      <c r="Q4641">
        <v>0.139135394776844</v>
      </c>
      <c r="R4641">
        <v>0.97753816335471999</v>
      </c>
      <c r="S4641" t="s">
        <v>10926</v>
      </c>
      <c r="T4641" t="s">
        <v>12568</v>
      </c>
      <c r="U4641" t="s">
        <v>12568</v>
      </c>
      <c r="V4641" t="s">
        <v>12568</v>
      </c>
      <c r="W4641" t="s">
        <v>17161</v>
      </c>
      <c r="X4641">
        <v>2</v>
      </c>
      <c r="Y4641" t="s">
        <v>23268</v>
      </c>
      <c r="Z4641" t="s">
        <v>29511</v>
      </c>
      <c r="AA4641">
        <v>0.43500051267913231</v>
      </c>
      <c r="AB4641" t="str">
        <f>HYPERLINK("Melting_Curves/meltCurve_Q96EK4_THAP11.pdf", "Melting_Curves/meltCurve_Q96EK4_THAP11.pdf")</f>
        <v>Melting_Curves/meltCurve_Q96EK4_THAP11.pdf</v>
      </c>
    </row>
    <row r="4642" spans="1:28" x14ac:dyDescent="0.25">
      <c r="A4642" t="s">
        <v>4646</v>
      </c>
      <c r="B4642">
        <v>0.99352677808782597</v>
      </c>
      <c r="C4642">
        <v>0.918811575786877</v>
      </c>
      <c r="D4642">
        <v>0.57840929830613796</v>
      </c>
      <c r="E4642">
        <v>0.23385276210517</v>
      </c>
      <c r="F4642">
        <v>0.17055647094044801</v>
      </c>
      <c r="G4642">
        <v>0.110239574901372</v>
      </c>
      <c r="H4642">
        <v>7.4223796296438604E-2</v>
      </c>
      <c r="I4642">
        <v>7.0866964533656804E-2</v>
      </c>
      <c r="J4642">
        <v>5.6848801984500298E-2</v>
      </c>
      <c r="K4642">
        <v>4.8418242521019901E-2</v>
      </c>
      <c r="L4642">
        <v>1054.7006023936599</v>
      </c>
      <c r="M4642">
        <v>22.635686076932799</v>
      </c>
      <c r="N4642">
        <v>46.924029214669901</v>
      </c>
      <c r="O4642">
        <v>46.235480299047801</v>
      </c>
      <c r="P4642">
        <v>-0.113403960028088</v>
      </c>
      <c r="Q4642">
        <v>7.3465760111597805E-2</v>
      </c>
      <c r="R4642">
        <v>0.99572367844284604</v>
      </c>
      <c r="S4642" t="s">
        <v>10927</v>
      </c>
      <c r="T4642" t="s">
        <v>12568</v>
      </c>
      <c r="U4642" t="s">
        <v>12568</v>
      </c>
      <c r="V4642" t="s">
        <v>12568</v>
      </c>
      <c r="W4642" t="s">
        <v>17162</v>
      </c>
      <c r="X4642">
        <v>14</v>
      </c>
      <c r="Y4642" t="s">
        <v>23269</v>
      </c>
      <c r="Z4642" t="s">
        <v>29512</v>
      </c>
      <c r="AA4642">
        <v>0.28758861929760138</v>
      </c>
      <c r="AB4642" t="str">
        <f>HYPERLINK("Melting_Curves/meltCurve_Q96EK5_KIAA1279.pdf", "Melting_Curves/meltCurve_Q96EK5_KIAA1279.pdf")</f>
        <v>Melting_Curves/meltCurve_Q96EK5_KIAA1279.pdf</v>
      </c>
    </row>
    <row r="4643" spans="1:28" x14ac:dyDescent="0.25">
      <c r="A4643" t="s">
        <v>4647</v>
      </c>
      <c r="B4643">
        <v>0.99352677808782597</v>
      </c>
      <c r="C4643">
        <v>1.00676185906113</v>
      </c>
      <c r="D4643">
        <v>0.99270380920922596</v>
      </c>
      <c r="E4643">
        <v>0.912066202413508</v>
      </c>
      <c r="F4643">
        <v>0.81336600672428006</v>
      </c>
      <c r="G4643">
        <v>0.63425369292639699</v>
      </c>
      <c r="H4643">
        <v>0.23470558721931001</v>
      </c>
      <c r="I4643">
        <v>0.204917976329932</v>
      </c>
      <c r="J4643">
        <v>0.12033544166536</v>
      </c>
      <c r="K4643">
        <v>8.9773324815259098E-2</v>
      </c>
      <c r="L4643">
        <v>1047.26149410278</v>
      </c>
      <c r="M4643">
        <v>18.170987845069501</v>
      </c>
      <c r="N4643">
        <v>57.952009865971597</v>
      </c>
      <c r="O4643">
        <v>56.949290547953098</v>
      </c>
      <c r="P4643">
        <v>-7.5983547796967602E-2</v>
      </c>
      <c r="Q4643">
        <v>4.7491861785878602E-2</v>
      </c>
      <c r="R4643">
        <v>0.992173706517815</v>
      </c>
      <c r="S4643" t="s">
        <v>10928</v>
      </c>
      <c r="T4643" t="s">
        <v>12568</v>
      </c>
      <c r="U4643" t="s">
        <v>12568</v>
      </c>
      <c r="V4643" t="s">
        <v>12568</v>
      </c>
      <c r="W4643" t="s">
        <v>17163</v>
      </c>
      <c r="X4643">
        <v>9</v>
      </c>
      <c r="Y4643" t="s">
        <v>23270</v>
      </c>
      <c r="Z4643" t="s">
        <v>29513</v>
      </c>
      <c r="AA4643">
        <v>0.61956825850294017</v>
      </c>
      <c r="AB4643" t="str">
        <f>HYPERLINK("Melting_Curves/meltCurve_Q96EK6_GNPNAT1.pdf", "Melting_Curves/meltCurve_Q96EK6_GNPNAT1.pdf")</f>
        <v>Melting_Curves/meltCurve_Q96EK6_GNPNAT1.pdf</v>
      </c>
    </row>
    <row r="4644" spans="1:28" x14ac:dyDescent="0.25">
      <c r="A4644" t="s">
        <v>4648</v>
      </c>
      <c r="B4644">
        <v>0.99352677808782597</v>
      </c>
      <c r="C4644">
        <v>0.884448340799871</v>
      </c>
      <c r="D4644">
        <v>0.67388297203745195</v>
      </c>
      <c r="E4644">
        <v>0.36590263648532001</v>
      </c>
      <c r="F4644">
        <v>0.31878354096010802</v>
      </c>
      <c r="G4644">
        <v>0.22988916736835999</v>
      </c>
      <c r="H4644">
        <v>0.169235018904275</v>
      </c>
      <c r="I4644">
        <v>0.18372227010433401</v>
      </c>
      <c r="J4644">
        <v>9.17672113581567E-2</v>
      </c>
      <c r="K4644">
        <v>7.9261920412592196E-2</v>
      </c>
      <c r="L4644">
        <v>723.96601837115804</v>
      </c>
      <c r="M4644">
        <v>15.169820867278601</v>
      </c>
      <c r="N4644">
        <v>48.626930050826203</v>
      </c>
      <c r="O4644">
        <v>46.917816356954901</v>
      </c>
      <c r="P4644">
        <v>-7.0918101665194799E-2</v>
      </c>
      <c r="Q4644">
        <v>0.122731671087107</v>
      </c>
      <c r="R4644">
        <v>0.98631229996327596</v>
      </c>
      <c r="S4644" t="s">
        <v>10929</v>
      </c>
      <c r="T4644" t="s">
        <v>12568</v>
      </c>
      <c r="U4644" t="s">
        <v>12568</v>
      </c>
      <c r="V4644" t="s">
        <v>12568</v>
      </c>
      <c r="W4644" t="s">
        <v>17164</v>
      </c>
      <c r="X4644">
        <v>4</v>
      </c>
      <c r="Y4644" t="s">
        <v>23271</v>
      </c>
      <c r="Z4644" t="s">
        <v>29514</v>
      </c>
      <c r="AA4644">
        <v>0.37097252512467632</v>
      </c>
      <c r="AB4644" t="str">
        <f>HYPERLINK("Melting_Curves/meltCurve_Q96EK7_FAM120B.pdf", "Melting_Curves/meltCurve_Q96EK7_FAM120B.pdf")</f>
        <v>Melting_Curves/meltCurve_Q96EK7_FAM120B.pdf</v>
      </c>
    </row>
    <row r="4645" spans="1:28" x14ac:dyDescent="0.25">
      <c r="A4645" t="s">
        <v>4649</v>
      </c>
      <c r="B4645">
        <v>0.99352677808782597</v>
      </c>
      <c r="C4645">
        <v>0.77215688130482996</v>
      </c>
      <c r="D4645">
        <v>0.63795401938688601</v>
      </c>
      <c r="E4645">
        <v>0.43413561193295003</v>
      </c>
      <c r="F4645">
        <v>0.36760810390779303</v>
      </c>
      <c r="G4645">
        <v>0.25381653177572799</v>
      </c>
      <c r="H4645">
        <v>0.18309591505627801</v>
      </c>
      <c r="I4645">
        <v>0.19208103514613201</v>
      </c>
      <c r="J4645">
        <v>0.16963697339783601</v>
      </c>
      <c r="K4645">
        <v>0.14909356333336801</v>
      </c>
      <c r="L4645">
        <v>569.75630136288498</v>
      </c>
      <c r="M4645">
        <v>12.013474767085301</v>
      </c>
      <c r="N4645">
        <v>48.821504146255101</v>
      </c>
      <c r="O4645">
        <v>46.169649955068401</v>
      </c>
      <c r="P4645">
        <v>-5.5613370640642999E-2</v>
      </c>
      <c r="Q4645">
        <v>0.14528186551064301</v>
      </c>
      <c r="R4645">
        <v>0.98766702288404595</v>
      </c>
      <c r="S4645" t="s">
        <v>10930</v>
      </c>
      <c r="T4645" t="s">
        <v>12568</v>
      </c>
      <c r="U4645" t="s">
        <v>12568</v>
      </c>
      <c r="V4645" t="s">
        <v>12568</v>
      </c>
      <c r="W4645" t="s">
        <v>17165</v>
      </c>
      <c r="X4645">
        <v>5</v>
      </c>
      <c r="Y4645" t="s">
        <v>23272</v>
      </c>
      <c r="Z4645" t="s">
        <v>29515</v>
      </c>
      <c r="AA4645">
        <v>0.39158046421979481</v>
      </c>
      <c r="AB4645" t="str">
        <f>HYPERLINK("Melting_Curves/meltCurve_Q96EK9_KTI12.pdf", "Melting_Curves/meltCurve_Q96EK9_KTI12.pdf")</f>
        <v>Melting_Curves/meltCurve_Q96EK9_KTI12.pdf</v>
      </c>
    </row>
    <row r="4646" spans="1:28" x14ac:dyDescent="0.25">
      <c r="A4646" t="s">
        <v>4650</v>
      </c>
      <c r="B4646">
        <v>0.99352677808782597</v>
      </c>
      <c r="C4646">
        <v>0.91449671535049304</v>
      </c>
      <c r="D4646">
        <v>1.0546479576672301</v>
      </c>
      <c r="E4646">
        <v>0.47549937059327102</v>
      </c>
      <c r="F4646">
        <v>0.407555038591289</v>
      </c>
      <c r="G4646">
        <v>0.26756627163963298</v>
      </c>
      <c r="H4646">
        <v>0.16639616856071399</v>
      </c>
      <c r="I4646">
        <v>0.17439024976864301</v>
      </c>
      <c r="J4646">
        <v>0.13541748641538301</v>
      </c>
      <c r="K4646">
        <v>0.118008007424197</v>
      </c>
      <c r="L4646">
        <v>1214.5034934411501</v>
      </c>
      <c r="M4646">
        <v>24.279430341740799</v>
      </c>
      <c r="N4646">
        <v>50.853976213442103</v>
      </c>
      <c r="O4646">
        <v>49.686275230897699</v>
      </c>
      <c r="P4646">
        <v>-0.102140234169232</v>
      </c>
      <c r="Q4646">
        <v>0.163919238006134</v>
      </c>
      <c r="R4646">
        <v>0.96061717091962895</v>
      </c>
      <c r="S4646" t="s">
        <v>10931</v>
      </c>
      <c r="T4646" t="s">
        <v>12568</v>
      </c>
      <c r="U4646" t="s">
        <v>12568</v>
      </c>
      <c r="V4646" t="s">
        <v>12568</v>
      </c>
      <c r="W4646" t="s">
        <v>17166</v>
      </c>
      <c r="X4646">
        <v>1</v>
      </c>
      <c r="Y4646" t="s">
        <v>23273</v>
      </c>
      <c r="Z4646" t="s">
        <v>29516</v>
      </c>
      <c r="AA4646">
        <v>0.45114978559727847</v>
      </c>
      <c r="AB4646" t="str">
        <f>HYPERLINK("Melting_Curves/meltCurve_Q96EL3_MRPL53.pdf", "Melting_Curves/meltCurve_Q96EL3_MRPL53.pdf")</f>
        <v>Melting_Curves/meltCurve_Q96EL3_MRPL53.pdf</v>
      </c>
    </row>
    <row r="4647" spans="1:28" x14ac:dyDescent="0.25">
      <c r="A4647" t="s">
        <v>4651</v>
      </c>
      <c r="B4647">
        <v>0.99352677808782597</v>
      </c>
      <c r="C4647">
        <v>0.88297333782760901</v>
      </c>
      <c r="D4647">
        <v>0.91798936328973602</v>
      </c>
      <c r="E4647">
        <v>0.534495606558689</v>
      </c>
      <c r="F4647">
        <v>0.448023873641549</v>
      </c>
      <c r="G4647">
        <v>0.17803231263144401</v>
      </c>
      <c r="H4647">
        <v>5.8995975442074203E-2</v>
      </c>
      <c r="I4647">
        <v>5.5710174316866597E-2</v>
      </c>
      <c r="J4647">
        <v>3.2865216337145203E-2</v>
      </c>
      <c r="K4647">
        <v>2.79462018290173E-2</v>
      </c>
      <c r="L4647">
        <v>759.956085540804</v>
      </c>
      <c r="M4647">
        <v>14.7890182405958</v>
      </c>
      <c r="N4647">
        <v>51.386513544444099</v>
      </c>
      <c r="O4647">
        <v>50.474400771289503</v>
      </c>
      <c r="P4647">
        <v>-7.3257916066870599E-2</v>
      </c>
      <c r="Q4647">
        <v>0</v>
      </c>
      <c r="R4647">
        <v>0.98734678311235902</v>
      </c>
      <c r="S4647" t="s">
        <v>10932</v>
      </c>
      <c r="T4647" t="s">
        <v>12568</v>
      </c>
      <c r="U4647" t="s">
        <v>12568</v>
      </c>
      <c r="V4647" t="s">
        <v>12568</v>
      </c>
      <c r="W4647" t="s">
        <v>17167</v>
      </c>
      <c r="X4647">
        <v>9</v>
      </c>
      <c r="Y4647" t="s">
        <v>23274</v>
      </c>
      <c r="Z4647" t="s">
        <v>29517</v>
      </c>
      <c r="AA4647">
        <v>0.40289460176517661</v>
      </c>
      <c r="AB4647" t="str">
        <f>HYPERLINK("Melting_Curves/meltCurve_Q96EM0_L3HYPDH.pdf", "Melting_Curves/meltCurve_Q96EM0_L3HYPDH.pdf")</f>
        <v>Melting_Curves/meltCurve_Q96EM0_L3HYPDH.pdf</v>
      </c>
    </row>
    <row r="4648" spans="1:28" x14ac:dyDescent="0.25">
      <c r="A4648" t="s">
        <v>4652</v>
      </c>
      <c r="B4648">
        <v>0.99352677808782597</v>
      </c>
      <c r="C4648">
        <v>0.97828176127770705</v>
      </c>
      <c r="D4648">
        <v>0.90568869697700105</v>
      </c>
      <c r="E4648">
        <v>0.73923930975914398</v>
      </c>
      <c r="F4648">
        <v>0.640466104488286</v>
      </c>
      <c r="G4648">
        <v>0.46523344947025302</v>
      </c>
      <c r="H4648">
        <v>0.252616431085121</v>
      </c>
      <c r="I4648">
        <v>0.17408364815758001</v>
      </c>
      <c r="J4648">
        <v>9.6474691712861799E-2</v>
      </c>
      <c r="K4648">
        <v>9.2501142869212599E-2</v>
      </c>
      <c r="L4648">
        <v>628.57643256162498</v>
      </c>
      <c r="M4648">
        <v>11.3293166680669</v>
      </c>
      <c r="N4648">
        <v>55.482289970860798</v>
      </c>
      <c r="O4648">
        <v>53.837993236717303</v>
      </c>
      <c r="P4648">
        <v>-5.2624208412202798E-2</v>
      </c>
      <c r="Q4648">
        <v>0</v>
      </c>
      <c r="R4648">
        <v>0.99639190711073899</v>
      </c>
      <c r="S4648" t="s">
        <v>10933</v>
      </c>
      <c r="T4648" t="s">
        <v>12568</v>
      </c>
      <c r="U4648" t="s">
        <v>12568</v>
      </c>
      <c r="V4648" t="s">
        <v>12568</v>
      </c>
      <c r="W4648" t="s">
        <v>17168</v>
      </c>
      <c r="X4648">
        <v>5</v>
      </c>
      <c r="Y4648" t="s">
        <v>23275</v>
      </c>
      <c r="Z4648" t="s">
        <v>29518</v>
      </c>
      <c r="AA4648">
        <v>0.53874896893798385</v>
      </c>
      <c r="AB4648" t="str">
        <f>HYPERLINK("Melting_Curves/meltCurve_Q96EN8_MOCOS.pdf", "Melting_Curves/meltCurve_Q96EN8_MOCOS.pdf")</f>
        <v>Melting_Curves/meltCurve_Q96EN8_MOCOS.pdf</v>
      </c>
    </row>
    <row r="4649" spans="1:28" x14ac:dyDescent="0.25">
      <c r="A4649" t="s">
        <v>4653</v>
      </c>
      <c r="B4649">
        <v>0.99352677808782597</v>
      </c>
      <c r="C4649">
        <v>0.96406212592975005</v>
      </c>
      <c r="D4649">
        <v>0.86893800071442795</v>
      </c>
      <c r="E4649">
        <v>0.493340886387021</v>
      </c>
      <c r="F4649">
        <v>0.405948911686484</v>
      </c>
      <c r="G4649">
        <v>0.26934711181056398</v>
      </c>
      <c r="H4649">
        <v>0.17777005345713501</v>
      </c>
      <c r="I4649">
        <v>0.14986127859069701</v>
      </c>
      <c r="J4649">
        <v>0.14061077110699099</v>
      </c>
      <c r="K4649">
        <v>0.127688673075632</v>
      </c>
      <c r="L4649">
        <v>831.81914009366096</v>
      </c>
      <c r="M4649">
        <v>16.670562413757899</v>
      </c>
      <c r="N4649">
        <v>50.872023988370699</v>
      </c>
      <c r="O4649">
        <v>49.1960505985423</v>
      </c>
      <c r="P4649">
        <v>-7.3140139199708604E-2</v>
      </c>
      <c r="Q4649">
        <v>0.136689772448366</v>
      </c>
      <c r="R4649">
        <v>0.991896430022289</v>
      </c>
      <c r="S4649" t="s">
        <v>10934</v>
      </c>
      <c r="T4649" t="s">
        <v>12568</v>
      </c>
      <c r="U4649" t="s">
        <v>12568</v>
      </c>
      <c r="V4649" t="s">
        <v>12568</v>
      </c>
      <c r="W4649" t="s">
        <v>17169</v>
      </c>
      <c r="X4649">
        <v>9</v>
      </c>
      <c r="Y4649" t="s">
        <v>23276</v>
      </c>
      <c r="Z4649" t="s">
        <v>29519</v>
      </c>
      <c r="AA4649">
        <v>0.43854740059422681</v>
      </c>
      <c r="AB4649" t="str">
        <f>HYPERLINK("Melting_Curves/meltCurve_Q96EP0_RNF31.pdf", "Melting_Curves/meltCurve_Q96EP0_RNF31.pdf")</f>
        <v>Melting_Curves/meltCurve_Q96EP0_RNF31.pdf</v>
      </c>
    </row>
    <row r="4650" spans="1:28" x14ac:dyDescent="0.25">
      <c r="A4650" t="s">
        <v>4654</v>
      </c>
      <c r="B4650">
        <v>0.99352677808782597</v>
      </c>
      <c r="C4650">
        <v>0.97567082652732795</v>
      </c>
      <c r="D4650">
        <v>0.89351743502829095</v>
      </c>
      <c r="E4650">
        <v>0.62045073741522305</v>
      </c>
      <c r="F4650">
        <v>0.52195522263997296</v>
      </c>
      <c r="G4650">
        <v>0.38728336553373199</v>
      </c>
      <c r="H4650">
        <v>0.34513483390781202</v>
      </c>
      <c r="I4650">
        <v>0.34284054245432299</v>
      </c>
      <c r="J4650">
        <v>0.33031591320090498</v>
      </c>
      <c r="K4650">
        <v>0.294850478134625</v>
      </c>
      <c r="L4650">
        <v>881.99545220741697</v>
      </c>
      <c r="M4650">
        <v>17.6666477545878</v>
      </c>
      <c r="N4650">
        <v>52.934094370282601</v>
      </c>
      <c r="O4650">
        <v>49.297831533934897</v>
      </c>
      <c r="P4650">
        <v>-6.1204310508436E-2</v>
      </c>
      <c r="Q4650">
        <v>0.31688687974067498</v>
      </c>
      <c r="R4650">
        <v>0.99577461067112305</v>
      </c>
      <c r="S4650" t="s">
        <v>10935</v>
      </c>
      <c r="T4650" t="s">
        <v>12568</v>
      </c>
      <c r="U4650" t="s">
        <v>12568</v>
      </c>
      <c r="V4650" t="s">
        <v>12568</v>
      </c>
      <c r="W4650" t="s">
        <v>17170</v>
      </c>
      <c r="X4650">
        <v>5</v>
      </c>
      <c r="Y4650" t="s">
        <v>23277</v>
      </c>
      <c r="Z4650" t="s">
        <v>29520</v>
      </c>
      <c r="AA4650">
        <v>0.5549510039272969</v>
      </c>
      <c r="AB4650" t="str">
        <f>HYPERLINK("Melting_Curves/meltCurve_Q96EP1_2_CHFR.pdf", "Melting_Curves/meltCurve_Q96EP1_2_CHFR.pdf")</f>
        <v>Melting_Curves/meltCurve_Q96EP1_2_CHFR.pdf</v>
      </c>
    </row>
    <row r="4651" spans="1:28" x14ac:dyDescent="0.25">
      <c r="A4651" t="s">
        <v>4655</v>
      </c>
      <c r="B4651">
        <v>0.99352677808782597</v>
      </c>
      <c r="C4651">
        <v>0.95604458170838602</v>
      </c>
      <c r="D4651">
        <v>1.0120543688668799</v>
      </c>
      <c r="E4651">
        <v>0.90144056306406195</v>
      </c>
      <c r="F4651">
        <v>0.84315911266475296</v>
      </c>
      <c r="G4651">
        <v>0.73771036531883605</v>
      </c>
      <c r="H4651">
        <v>0.60132033127570195</v>
      </c>
      <c r="I4651">
        <v>0.51218868587242905</v>
      </c>
      <c r="J4651">
        <v>0.32577189106002802</v>
      </c>
      <c r="K4651">
        <v>0.223846947809208</v>
      </c>
      <c r="L4651">
        <v>641.00560660295002</v>
      </c>
      <c r="M4651">
        <v>10.185799440087999</v>
      </c>
      <c r="N4651">
        <v>62.9313178990514</v>
      </c>
      <c r="O4651">
        <v>60.6502524563424</v>
      </c>
      <c r="P4651">
        <v>-4.2004840594953997E-2</v>
      </c>
      <c r="Q4651">
        <v>0</v>
      </c>
      <c r="R4651">
        <v>0.98631918096925097</v>
      </c>
      <c r="S4651" t="s">
        <v>10936</v>
      </c>
      <c r="T4651" t="s">
        <v>12568</v>
      </c>
      <c r="U4651" t="s">
        <v>12568</v>
      </c>
      <c r="V4651" t="s">
        <v>12568</v>
      </c>
      <c r="W4651" t="s">
        <v>17171</v>
      </c>
      <c r="X4651">
        <v>7</v>
      </c>
      <c r="Y4651" t="s">
        <v>23278</v>
      </c>
      <c r="Z4651" t="s">
        <v>29521</v>
      </c>
      <c r="AA4651">
        <v>0.7351375985062345</v>
      </c>
      <c r="AB4651" t="str">
        <f>HYPERLINK("Melting_Curves/meltCurve_Q96EP5_DAZAP1.pdf", "Melting_Curves/meltCurve_Q96EP5_DAZAP1.pdf")</f>
        <v>Melting_Curves/meltCurve_Q96EP5_DAZAP1.pdf</v>
      </c>
    </row>
    <row r="4652" spans="1:28" x14ac:dyDescent="0.25">
      <c r="A4652" t="s">
        <v>4656</v>
      </c>
      <c r="B4652">
        <v>0.99352677808782597</v>
      </c>
      <c r="C4652">
        <v>1.0142469846775199</v>
      </c>
      <c r="D4652">
        <v>0.96813348950525902</v>
      </c>
      <c r="E4652">
        <v>0.96853031661440603</v>
      </c>
      <c r="F4652">
        <v>0.79840086457916903</v>
      </c>
      <c r="G4652">
        <v>0.63458951144223397</v>
      </c>
      <c r="H4652">
        <v>0.50385130118822896</v>
      </c>
      <c r="I4652">
        <v>0.45968807734801198</v>
      </c>
      <c r="J4652">
        <v>0.49850478282451899</v>
      </c>
      <c r="K4652">
        <v>0.37275195927748001</v>
      </c>
      <c r="L4652">
        <v>1027.00277986169</v>
      </c>
      <c r="M4652">
        <v>18.547909957457399</v>
      </c>
      <c r="N4652">
        <v>61.265779490538598</v>
      </c>
      <c r="O4652">
        <v>54.738677260259799</v>
      </c>
      <c r="P4652">
        <v>-4.9466058818363502E-2</v>
      </c>
      <c r="Q4652">
        <v>0.41608772668178301</v>
      </c>
      <c r="R4652">
        <v>0.98384894752061303</v>
      </c>
      <c r="S4652" t="s">
        <v>10937</v>
      </c>
      <c r="T4652" t="s">
        <v>12568</v>
      </c>
      <c r="U4652" t="s">
        <v>12568</v>
      </c>
      <c r="V4652" t="s">
        <v>12568</v>
      </c>
      <c r="W4652" t="s">
        <v>17172</v>
      </c>
      <c r="X4652">
        <v>3</v>
      </c>
      <c r="Y4652" t="s">
        <v>23279</v>
      </c>
      <c r="Z4652" t="s">
        <v>29522</v>
      </c>
      <c r="AA4652">
        <v>0.72379637163405619</v>
      </c>
      <c r="AB4652" t="str">
        <f>HYPERLINK("Melting_Curves/meltCurve_Q96EQ0_SGTB.pdf", "Melting_Curves/meltCurve_Q96EQ0_SGTB.pdf")</f>
        <v>Melting_Curves/meltCurve_Q96EQ0_SGTB.pdf</v>
      </c>
    </row>
    <row r="4653" spans="1:28" x14ac:dyDescent="0.25">
      <c r="A4653" t="s">
        <v>4657</v>
      </c>
      <c r="B4653">
        <v>0.99352677808782597</v>
      </c>
      <c r="C4653">
        <v>0.89265884769009995</v>
      </c>
      <c r="D4653">
        <v>0.65047280155028897</v>
      </c>
      <c r="E4653">
        <v>0.53963161655724501</v>
      </c>
      <c r="F4653">
        <v>0.43533832921488502</v>
      </c>
      <c r="G4653">
        <v>0.20097786138709101</v>
      </c>
      <c r="H4653">
        <v>0.12747516004300499</v>
      </c>
      <c r="I4653">
        <v>0.104833105673659</v>
      </c>
      <c r="J4653">
        <v>9.2598798911426097E-2</v>
      </c>
      <c r="K4653">
        <v>6.2507593063017605E-2</v>
      </c>
      <c r="L4653">
        <v>533.97474242920998</v>
      </c>
      <c r="M4653">
        <v>10.6083177238743</v>
      </c>
      <c r="N4653">
        <v>50.459407015523396</v>
      </c>
      <c r="O4653">
        <v>48.645597347563402</v>
      </c>
      <c r="P4653">
        <v>-5.3838261771665799E-2</v>
      </c>
      <c r="Q4653">
        <v>1.28580326227889E-2</v>
      </c>
      <c r="R4653">
        <v>0.98535741443759595</v>
      </c>
      <c r="S4653" t="s">
        <v>10938</v>
      </c>
      <c r="T4653" t="s">
        <v>12568</v>
      </c>
      <c r="U4653" t="s">
        <v>12568</v>
      </c>
      <c r="V4653" t="s">
        <v>12568</v>
      </c>
      <c r="W4653" t="s">
        <v>13316</v>
      </c>
      <c r="X4653">
        <v>8</v>
      </c>
      <c r="Y4653" t="s">
        <v>19541</v>
      </c>
      <c r="Z4653" t="s">
        <v>29523</v>
      </c>
      <c r="AA4653">
        <v>0.39302334719726401</v>
      </c>
      <c r="AB4653" t="str">
        <f>HYPERLINK("Melting_Curves/meltCurve_Q96ER3_SAAL1.pdf", "Melting_Curves/meltCurve_Q96ER3_SAAL1.pdf")</f>
        <v>Melting_Curves/meltCurve_Q96ER3_SAAL1.pdf</v>
      </c>
    </row>
    <row r="4654" spans="1:28" x14ac:dyDescent="0.25">
      <c r="A4654" t="s">
        <v>4658</v>
      </c>
      <c r="B4654">
        <v>0.99352677808782597</v>
      </c>
      <c r="C4654">
        <v>0.90073450185747295</v>
      </c>
      <c r="D4654">
        <v>0.95873922304366599</v>
      </c>
      <c r="E4654">
        <v>0.56365805466554597</v>
      </c>
      <c r="F4654">
        <v>0.49788653881351902</v>
      </c>
      <c r="G4654">
        <v>0.24060287250321599</v>
      </c>
      <c r="H4654">
        <v>0.13878407480056801</v>
      </c>
      <c r="I4654">
        <v>0.116423528908324</v>
      </c>
      <c r="J4654">
        <v>0.11050234391040099</v>
      </c>
      <c r="K4654">
        <v>0.10004779774182899</v>
      </c>
      <c r="L4654">
        <v>797.89065894438295</v>
      </c>
      <c r="M4654">
        <v>15.4952745997913</v>
      </c>
      <c r="N4654">
        <v>52.071627027536898</v>
      </c>
      <c r="O4654">
        <v>50.657748451896197</v>
      </c>
      <c r="P4654">
        <v>-7.04241013414353E-2</v>
      </c>
      <c r="Q4654">
        <v>7.9148992334192897E-2</v>
      </c>
      <c r="R4654">
        <v>0.98343534077191996</v>
      </c>
      <c r="S4654" t="s">
        <v>10939</v>
      </c>
      <c r="T4654" t="s">
        <v>12568</v>
      </c>
      <c r="U4654" t="s">
        <v>12568</v>
      </c>
      <c r="V4654" t="s">
        <v>12568</v>
      </c>
      <c r="W4654" t="s">
        <v>17173</v>
      </c>
      <c r="X4654">
        <v>3</v>
      </c>
      <c r="Y4654" t="s">
        <v>23280</v>
      </c>
      <c r="Z4654" t="s">
        <v>29524</v>
      </c>
      <c r="AA4654">
        <v>0.45178836055894728</v>
      </c>
      <c r="AB4654" t="str">
        <f>HYPERLINK("Melting_Curves/meltCurve_Q96ES7_CCDC101.pdf", "Melting_Curves/meltCurve_Q96ES7_CCDC101.pdf")</f>
        <v>Melting_Curves/meltCurve_Q96ES7_CCDC101.pdf</v>
      </c>
    </row>
    <row r="4655" spans="1:28" x14ac:dyDescent="0.25">
      <c r="A4655" t="s">
        <v>4659</v>
      </c>
      <c r="B4655">
        <v>0.99352677808782597</v>
      </c>
      <c r="C4655">
        <v>0.96387380443371695</v>
      </c>
      <c r="D4655">
        <v>0.99596209873297203</v>
      </c>
      <c r="E4655">
        <v>0.89634332952378304</v>
      </c>
      <c r="F4655">
        <v>0.82628006924076103</v>
      </c>
      <c r="G4655">
        <v>0.71927302004875204</v>
      </c>
      <c r="H4655">
        <v>0.67128486367754803</v>
      </c>
      <c r="I4655">
        <v>0.70993913144408904</v>
      </c>
      <c r="J4655">
        <v>0.70977200369166504</v>
      </c>
      <c r="K4655">
        <v>0.58196322840000303</v>
      </c>
      <c r="L4655">
        <v>834.32232388431203</v>
      </c>
      <c r="M4655">
        <v>15.737664400167301</v>
      </c>
      <c r="O4655">
        <v>52.180522543118798</v>
      </c>
      <c r="P4655">
        <v>-2.67746018888236E-2</v>
      </c>
      <c r="Q4655">
        <v>0.64492929382922304</v>
      </c>
      <c r="R4655">
        <v>0.94287831184648496</v>
      </c>
      <c r="S4655" t="s">
        <v>10940</v>
      </c>
      <c r="T4655" t="s">
        <v>12568</v>
      </c>
      <c r="U4655" t="s">
        <v>12568</v>
      </c>
      <c r="V4655" t="s">
        <v>12568</v>
      </c>
      <c r="W4655" t="s">
        <v>17174</v>
      </c>
      <c r="X4655">
        <v>13</v>
      </c>
      <c r="Y4655" t="s">
        <v>23281</v>
      </c>
      <c r="Z4655" t="s">
        <v>29525</v>
      </c>
      <c r="AA4655">
        <v>0.80609659898170238</v>
      </c>
      <c r="AB4655" t="str">
        <f>HYPERLINK("Melting_Curves/meltCurve_Q96EV2_RBM33.pdf", "Melting_Curves/meltCurve_Q96EV2_RBM33.pdf")</f>
        <v>Melting_Curves/meltCurve_Q96EV2_RBM33.pdf</v>
      </c>
    </row>
    <row r="4656" spans="1:28" x14ac:dyDescent="0.25">
      <c r="A4656" t="s">
        <v>4660</v>
      </c>
      <c r="B4656">
        <v>0.99352677808782597</v>
      </c>
      <c r="C4656">
        <v>0.97873507672330595</v>
      </c>
      <c r="D4656">
        <v>0.94559043948714405</v>
      </c>
      <c r="E4656">
        <v>0.823775814193213</v>
      </c>
      <c r="F4656">
        <v>0.72745509103480799</v>
      </c>
      <c r="G4656">
        <v>0.54341335426667303</v>
      </c>
      <c r="H4656">
        <v>0.41796152412675502</v>
      </c>
      <c r="I4656">
        <v>0.36782291043542897</v>
      </c>
      <c r="J4656">
        <v>0.43147557281626198</v>
      </c>
      <c r="K4656">
        <v>0.39930866342501697</v>
      </c>
      <c r="L4656">
        <v>862.94029030262698</v>
      </c>
      <c r="M4656">
        <v>16.175485493138499</v>
      </c>
      <c r="N4656">
        <v>58.228404085073002</v>
      </c>
      <c r="O4656">
        <v>52.553253950278098</v>
      </c>
      <c r="P4656">
        <v>-4.8396341147399803E-2</v>
      </c>
      <c r="Q4656">
        <v>0.37109916183234298</v>
      </c>
      <c r="R4656">
        <v>0.99103584688187696</v>
      </c>
      <c r="S4656" t="s">
        <v>10941</v>
      </c>
      <c r="T4656" t="s">
        <v>12568</v>
      </c>
      <c r="U4656" t="s">
        <v>12568</v>
      </c>
      <c r="V4656" t="s">
        <v>12568</v>
      </c>
      <c r="W4656" t="s">
        <v>17175</v>
      </c>
      <c r="X4656">
        <v>6</v>
      </c>
      <c r="Y4656" t="s">
        <v>23282</v>
      </c>
      <c r="Z4656" t="s">
        <v>29526</v>
      </c>
      <c r="AA4656">
        <v>0.66293377281643662</v>
      </c>
      <c r="AB4656" t="str">
        <f>HYPERLINK("Melting_Curves/meltCurve_Q96EV8_DTNBP1.pdf", "Melting_Curves/meltCurve_Q96EV8_DTNBP1.pdf")</f>
        <v>Melting_Curves/meltCurve_Q96EV8_DTNBP1.pdf</v>
      </c>
    </row>
    <row r="4657" spans="1:28" x14ac:dyDescent="0.25">
      <c r="A4657" t="s">
        <v>4661</v>
      </c>
      <c r="B4657">
        <v>0.99352677808782597</v>
      </c>
      <c r="C4657">
        <v>0.96635464494320999</v>
      </c>
      <c r="D4657">
        <v>0.90545538637544898</v>
      </c>
      <c r="E4657">
        <v>0.390538455695639</v>
      </c>
      <c r="F4657">
        <v>0.32757387197850002</v>
      </c>
      <c r="G4657">
        <v>0.21318047398225101</v>
      </c>
      <c r="H4657">
        <v>0.15960421144970099</v>
      </c>
      <c r="I4657">
        <v>0.127303743484905</v>
      </c>
      <c r="J4657">
        <v>0.103183152298541</v>
      </c>
      <c r="K4657">
        <v>7.0021351475505506E-2</v>
      </c>
      <c r="L4657">
        <v>1135.0869735332601</v>
      </c>
      <c r="M4657">
        <v>23.135986437975401</v>
      </c>
      <c r="N4657">
        <v>49.697153109967203</v>
      </c>
      <c r="O4657">
        <v>48.699421054171502</v>
      </c>
      <c r="P4657">
        <v>-0.103560379142157</v>
      </c>
      <c r="Q4657">
        <v>0.128070563944987</v>
      </c>
      <c r="R4657">
        <v>0.98308090303784201</v>
      </c>
      <c r="S4657" t="s">
        <v>10942</v>
      </c>
      <c r="T4657" t="s">
        <v>12568</v>
      </c>
      <c r="U4657" t="s">
        <v>12568</v>
      </c>
      <c r="V4657" t="s">
        <v>12568</v>
      </c>
      <c r="W4657" t="s">
        <v>17176</v>
      </c>
      <c r="X4657">
        <v>3</v>
      </c>
      <c r="Y4657" t="s">
        <v>23283</v>
      </c>
      <c r="Z4657" t="s">
        <v>29527</v>
      </c>
      <c r="AA4657">
        <v>0.40050247945483552</v>
      </c>
      <c r="AB4657" t="str">
        <f>HYPERLINK("Melting_Curves/meltCurve_Q96EW2_HSPBAP1.pdf", "Melting_Curves/meltCurve_Q96EW2_HSPBAP1.pdf")</f>
        <v>Melting_Curves/meltCurve_Q96EW2_HSPBAP1.pdf</v>
      </c>
    </row>
    <row r="4658" spans="1:28" x14ac:dyDescent="0.25">
      <c r="A4658" t="s">
        <v>4662</v>
      </c>
      <c r="B4658">
        <v>0.99352677808782597</v>
      </c>
      <c r="C4658">
        <v>0.915358661374162</v>
      </c>
      <c r="D4658">
        <v>0.82507618171183505</v>
      </c>
      <c r="E4658">
        <v>0.41297597056985103</v>
      </c>
      <c r="F4658">
        <v>0.31384461114982398</v>
      </c>
      <c r="G4658">
        <v>0.18507901118967701</v>
      </c>
      <c r="H4658">
        <v>0.12461193794531999</v>
      </c>
      <c r="I4658">
        <v>0.13140538068591001</v>
      </c>
      <c r="J4658">
        <v>0.11243001183708699</v>
      </c>
      <c r="K4658">
        <v>8.9541732736550195E-2</v>
      </c>
      <c r="L4658">
        <v>905.70853238230404</v>
      </c>
      <c r="M4658">
        <v>18.533233479377198</v>
      </c>
      <c r="N4658">
        <v>49.528880085405099</v>
      </c>
      <c r="O4658">
        <v>48.311127378616803</v>
      </c>
      <c r="P4658">
        <v>-8.5423440727567801E-2</v>
      </c>
      <c r="Q4658">
        <v>0.109335978265876</v>
      </c>
      <c r="R4658">
        <v>0.99435580302788695</v>
      </c>
      <c r="S4658" t="s">
        <v>10943</v>
      </c>
      <c r="T4658" t="s">
        <v>12568</v>
      </c>
      <c r="U4658" t="s">
        <v>12568</v>
      </c>
      <c r="V4658" t="s">
        <v>12568</v>
      </c>
      <c r="W4658" t="s">
        <v>17177</v>
      </c>
      <c r="X4658">
        <v>3</v>
      </c>
      <c r="Y4658" t="s">
        <v>23284</v>
      </c>
      <c r="Z4658" t="s">
        <v>29528</v>
      </c>
      <c r="AA4658">
        <v>0.38724228187759191</v>
      </c>
      <c r="AB4658" t="str">
        <f>HYPERLINK("Melting_Curves/meltCurve_Q96EX3_WDR34.pdf", "Melting_Curves/meltCurve_Q96EX3_WDR34.pdf")</f>
        <v>Melting_Curves/meltCurve_Q96EX3_WDR34.pdf</v>
      </c>
    </row>
    <row r="4659" spans="1:28" x14ac:dyDescent="0.25">
      <c r="A4659" t="s">
        <v>4663</v>
      </c>
      <c r="B4659">
        <v>0.99352677808782597</v>
      </c>
      <c r="C4659">
        <v>1.0684401633667</v>
      </c>
      <c r="D4659">
        <v>1.0932253562021801</v>
      </c>
      <c r="E4659">
        <v>0.92451637555130495</v>
      </c>
      <c r="F4659">
        <v>0.93308963533620803</v>
      </c>
      <c r="G4659">
        <v>0.46499455934220302</v>
      </c>
      <c r="H4659">
        <v>0.39359451708020399</v>
      </c>
      <c r="I4659">
        <v>0.377186471134483</v>
      </c>
      <c r="J4659">
        <v>0.24122772714569601</v>
      </c>
      <c r="K4659">
        <v>0.21648922632121201</v>
      </c>
      <c r="L4659">
        <v>1941.7764851884101</v>
      </c>
      <c r="M4659">
        <v>34.922049288485397</v>
      </c>
      <c r="N4659">
        <v>57.026107989578897</v>
      </c>
      <c r="O4659">
        <v>55.4217968588719</v>
      </c>
      <c r="P4659">
        <v>-0.111717354662101</v>
      </c>
      <c r="Q4659">
        <v>0.29081447088048601</v>
      </c>
      <c r="R4659">
        <v>0.96574235407946196</v>
      </c>
      <c r="S4659" t="s">
        <v>10944</v>
      </c>
      <c r="T4659" t="s">
        <v>12568</v>
      </c>
      <c r="U4659" t="s">
        <v>12568</v>
      </c>
      <c r="V4659" t="s">
        <v>12568</v>
      </c>
      <c r="W4659" t="s">
        <v>17178</v>
      </c>
      <c r="X4659">
        <v>2</v>
      </c>
      <c r="Y4659" t="s">
        <v>23285</v>
      </c>
      <c r="Z4659" t="s">
        <v>29529</v>
      </c>
      <c r="AA4659">
        <v>0.66320388279017572</v>
      </c>
      <c r="AB4659" t="str">
        <f>HYPERLINK("Melting_Curves/meltCurve_Q96EY1_2_DNAJA3.pdf", "Melting_Curves/meltCurve_Q96EY1_2_DNAJA3.pdf")</f>
        <v>Melting_Curves/meltCurve_Q96EY1_2_DNAJA3.pdf</v>
      </c>
    </row>
    <row r="4660" spans="1:28" x14ac:dyDescent="0.25">
      <c r="A4660" t="s">
        <v>4664</v>
      </c>
      <c r="B4660">
        <v>0.99352677808782597</v>
      </c>
      <c r="C4660">
        <v>0.93824473811605902</v>
      </c>
      <c r="D4660">
        <v>0.92123052115850701</v>
      </c>
      <c r="E4660">
        <v>0.69829050624553102</v>
      </c>
      <c r="F4660">
        <v>0.60356393359681904</v>
      </c>
      <c r="G4660">
        <v>0.35497643477818602</v>
      </c>
      <c r="H4660">
        <v>0.22844200832587699</v>
      </c>
      <c r="I4660">
        <v>0.21952554729499199</v>
      </c>
      <c r="J4660">
        <v>0.22152790130174099</v>
      </c>
      <c r="K4660">
        <v>0.173502596073173</v>
      </c>
      <c r="L4660">
        <v>746.87088085031598</v>
      </c>
      <c r="M4660">
        <v>14.1785120565375</v>
      </c>
      <c r="N4660">
        <v>54.078645357474898</v>
      </c>
      <c r="O4660">
        <v>51.661609023898102</v>
      </c>
      <c r="P4660">
        <v>-5.8064998918407398E-2</v>
      </c>
      <c r="Q4660">
        <v>0.15383122843584399</v>
      </c>
      <c r="R4660">
        <v>0.99374915699542199</v>
      </c>
      <c r="S4660" t="s">
        <v>10945</v>
      </c>
      <c r="T4660" t="s">
        <v>12568</v>
      </c>
      <c r="U4660" t="s">
        <v>12568</v>
      </c>
      <c r="V4660" t="s">
        <v>12568</v>
      </c>
      <c r="W4660" t="s">
        <v>17179</v>
      </c>
      <c r="X4660">
        <v>4</v>
      </c>
      <c r="Y4660" t="s">
        <v>23286</v>
      </c>
      <c r="Z4660" t="s">
        <v>29530</v>
      </c>
      <c r="AA4660">
        <v>0.53134201602275788</v>
      </c>
      <c r="AB4660" t="str">
        <f>HYPERLINK("Melting_Curves/meltCurve_Q96EY4_TMA16.pdf", "Melting_Curves/meltCurve_Q96EY4_TMA16.pdf")</f>
        <v>Melting_Curves/meltCurve_Q96EY4_TMA16.pdf</v>
      </c>
    </row>
    <row r="4661" spans="1:28" x14ac:dyDescent="0.25">
      <c r="A4661" t="s">
        <v>4665</v>
      </c>
      <c r="B4661">
        <v>0.99352677808782597</v>
      </c>
      <c r="C4661">
        <v>0.94924893991042503</v>
      </c>
      <c r="D4661">
        <v>0.88965821736053596</v>
      </c>
      <c r="E4661">
        <v>0.39109152795374802</v>
      </c>
      <c r="F4661">
        <v>0.334849977740589</v>
      </c>
      <c r="G4661">
        <v>0.216326318696199</v>
      </c>
      <c r="H4661">
        <v>0.167350287773679</v>
      </c>
      <c r="I4661">
        <v>0.143440631800371</v>
      </c>
      <c r="J4661">
        <v>0.12825629835008601</v>
      </c>
      <c r="K4661">
        <v>0.127991971961293</v>
      </c>
      <c r="L4661">
        <v>1153.10439359012</v>
      </c>
      <c r="M4661">
        <v>23.621984752346901</v>
      </c>
      <c r="N4661">
        <v>49.582331065142398</v>
      </c>
      <c r="O4661">
        <v>48.4690975795924</v>
      </c>
      <c r="P4661">
        <v>-0.103186052938639</v>
      </c>
      <c r="Q4661">
        <v>0.153119671231469</v>
      </c>
      <c r="R4661">
        <v>0.98706398033332698</v>
      </c>
      <c r="S4661" t="s">
        <v>10946</v>
      </c>
      <c r="T4661" t="s">
        <v>12568</v>
      </c>
      <c r="U4661" t="s">
        <v>12568</v>
      </c>
      <c r="V4661" t="s">
        <v>12568</v>
      </c>
      <c r="W4661" t="s">
        <v>17180</v>
      </c>
      <c r="X4661">
        <v>2</v>
      </c>
      <c r="Y4661" t="s">
        <v>23287</v>
      </c>
      <c r="Z4661" t="s">
        <v>29531</v>
      </c>
      <c r="AA4661">
        <v>0.41038865176260619</v>
      </c>
      <c r="AB4661" t="str">
        <f>HYPERLINK("Melting_Curves/meltCurve_Q96EY5_3_MVB12A.pdf", "Melting_Curves/meltCurve_Q96EY5_3_MVB12A.pdf")</f>
        <v>Melting_Curves/meltCurve_Q96EY5_3_MVB12A.pdf</v>
      </c>
    </row>
    <row r="4662" spans="1:28" x14ac:dyDescent="0.25">
      <c r="A4662" t="s">
        <v>4666</v>
      </c>
      <c r="B4662">
        <v>0.99352677808782597</v>
      </c>
      <c r="C4662">
        <v>0.86109380948472503</v>
      </c>
      <c r="D4662">
        <v>1.1614302642885901</v>
      </c>
      <c r="E4662">
        <v>0.66468174512767997</v>
      </c>
      <c r="F4662">
        <v>0.71679697145856003</v>
      </c>
      <c r="G4662">
        <v>0.32877571957375901</v>
      </c>
      <c r="H4662">
        <v>0.33482633914894</v>
      </c>
      <c r="I4662">
        <v>0.29314944158475997</v>
      </c>
      <c r="J4662">
        <v>0.19196593016212099</v>
      </c>
      <c r="K4662">
        <v>0.171728172512255</v>
      </c>
      <c r="L4662">
        <v>898.33236681198696</v>
      </c>
      <c r="M4662">
        <v>16.8127479835148</v>
      </c>
      <c r="N4662">
        <v>55.031129316262302</v>
      </c>
      <c r="O4662">
        <v>52.692877908037097</v>
      </c>
      <c r="P4662">
        <v>-6.4354296917357806E-2</v>
      </c>
      <c r="Q4662">
        <v>0.19328016983087301</v>
      </c>
      <c r="R4662">
        <v>0.90997075945525796</v>
      </c>
      <c r="S4662" t="s">
        <v>10947</v>
      </c>
      <c r="T4662" t="s">
        <v>12568</v>
      </c>
      <c r="U4662" t="s">
        <v>12568</v>
      </c>
      <c r="V4662" t="s">
        <v>12568</v>
      </c>
      <c r="W4662" t="s">
        <v>17181</v>
      </c>
      <c r="X4662">
        <v>3</v>
      </c>
      <c r="Y4662" t="s">
        <v>23288</v>
      </c>
      <c r="Z4662" t="s">
        <v>29532</v>
      </c>
      <c r="AA4662">
        <v>0.56898040695950991</v>
      </c>
      <c r="AB4662" t="str">
        <f>HYPERLINK("Melting_Curves/meltCurve_Q96EY7_PTCD3.pdf", "Melting_Curves/meltCurve_Q96EY7_PTCD3.pdf")</f>
        <v>Melting_Curves/meltCurve_Q96EY7_PTCD3.pdf</v>
      </c>
    </row>
    <row r="4663" spans="1:28" x14ac:dyDescent="0.25">
      <c r="A4663" t="s">
        <v>4667</v>
      </c>
      <c r="B4663">
        <v>0.99352677808782597</v>
      </c>
      <c r="C4663">
        <v>0.96812051144672595</v>
      </c>
      <c r="D4663">
        <v>0.94776738200596899</v>
      </c>
      <c r="E4663">
        <v>0.86947813701180798</v>
      </c>
      <c r="F4663">
        <v>0.800678513861525</v>
      </c>
      <c r="G4663">
        <v>0.64338808266178005</v>
      </c>
      <c r="H4663">
        <v>0.44842256993298701</v>
      </c>
      <c r="I4663">
        <v>0.34870653741304503</v>
      </c>
      <c r="J4663">
        <v>0.24506820046936201</v>
      </c>
      <c r="K4663">
        <v>0.15819208986895</v>
      </c>
      <c r="L4663">
        <v>628.23348139734401</v>
      </c>
      <c r="M4663">
        <v>10.4933923632973</v>
      </c>
      <c r="N4663">
        <v>59.869452631325103</v>
      </c>
      <c r="O4663">
        <v>57.817694309187601</v>
      </c>
      <c r="P4663">
        <v>-4.5391105881577999E-2</v>
      </c>
      <c r="Q4663">
        <v>0</v>
      </c>
      <c r="R4663">
        <v>0.99825918507981903</v>
      </c>
      <c r="S4663" t="s">
        <v>10948</v>
      </c>
      <c r="T4663" t="s">
        <v>12568</v>
      </c>
      <c r="U4663" t="s">
        <v>12568</v>
      </c>
      <c r="V4663" t="s">
        <v>12568</v>
      </c>
      <c r="W4663" t="s">
        <v>17182</v>
      </c>
      <c r="X4663">
        <v>8</v>
      </c>
      <c r="Y4663" t="s">
        <v>23289</v>
      </c>
      <c r="Z4663" t="s">
        <v>29533</v>
      </c>
      <c r="AA4663">
        <v>0.66118708077989707</v>
      </c>
      <c r="AB4663" t="str">
        <f>HYPERLINK("Melting_Curves/meltCurve_Q96EY8_MMAB.pdf", "Melting_Curves/meltCurve_Q96EY8_MMAB.pdf")</f>
        <v>Melting_Curves/meltCurve_Q96EY8_MMAB.pdf</v>
      </c>
    </row>
    <row r="4664" spans="1:28" x14ac:dyDescent="0.25">
      <c r="A4664" t="s">
        <v>4668</v>
      </c>
      <c r="B4664">
        <v>0.99352677808782597</v>
      </c>
      <c r="C4664">
        <v>0.98178172520449203</v>
      </c>
      <c r="D4664">
        <v>0.89972284732152097</v>
      </c>
      <c r="E4664">
        <v>0.73034942755960397</v>
      </c>
      <c r="F4664">
        <v>0.65568599028393304</v>
      </c>
      <c r="G4664">
        <v>0.420912387182726</v>
      </c>
      <c r="H4664">
        <v>0.36381502129627702</v>
      </c>
      <c r="I4664">
        <v>0.18125051179269699</v>
      </c>
      <c r="J4664">
        <v>0.14284358132876701</v>
      </c>
      <c r="K4664">
        <v>0.12827903949873201</v>
      </c>
      <c r="L4664">
        <v>561.28011252501801</v>
      </c>
      <c r="M4664">
        <v>10.0472910968122</v>
      </c>
      <c r="N4664">
        <v>55.863825095763403</v>
      </c>
      <c r="O4664">
        <v>53.786156084761501</v>
      </c>
      <c r="P4664">
        <v>-4.6722480912136898E-2</v>
      </c>
      <c r="Q4664">
        <v>0</v>
      </c>
      <c r="R4664">
        <v>0.99142889002354795</v>
      </c>
      <c r="S4664" t="s">
        <v>10949</v>
      </c>
      <c r="T4664" t="s">
        <v>12568</v>
      </c>
      <c r="U4664" t="s">
        <v>12568</v>
      </c>
      <c r="V4664" t="s">
        <v>12568</v>
      </c>
      <c r="W4664" t="s">
        <v>17183</v>
      </c>
      <c r="X4664">
        <v>5</v>
      </c>
      <c r="Y4664" t="s">
        <v>23290</v>
      </c>
      <c r="Z4664" t="s">
        <v>29534</v>
      </c>
      <c r="AA4664">
        <v>0.55056598201354778</v>
      </c>
      <c r="AB4664" t="str">
        <f>HYPERLINK("Melting_Curves/meltCurve_Q96EY9_ADAT3.pdf", "Melting_Curves/meltCurve_Q96EY9_ADAT3.pdf")</f>
        <v>Melting_Curves/meltCurve_Q96EY9_ADAT3.pdf</v>
      </c>
    </row>
    <row r="4665" spans="1:28" x14ac:dyDescent="0.25">
      <c r="A4665" t="s">
        <v>4669</v>
      </c>
      <c r="B4665">
        <v>0.99352677808782597</v>
      </c>
      <c r="C4665">
        <v>0.91167576501312897</v>
      </c>
      <c r="D4665">
        <v>1.03315817867209</v>
      </c>
      <c r="E4665">
        <v>0.81910919536853899</v>
      </c>
      <c r="F4665">
        <v>0.73398083486382204</v>
      </c>
      <c r="G4665">
        <v>0.74714424184683703</v>
      </c>
      <c r="H4665">
        <v>0.70091007534599703</v>
      </c>
      <c r="I4665">
        <v>0.71793246328873495</v>
      </c>
      <c r="J4665">
        <v>0.71209977292701798</v>
      </c>
      <c r="K4665">
        <v>0.68697720136724205</v>
      </c>
      <c r="L4665">
        <v>3735.0330107713798</v>
      </c>
      <c r="M4665">
        <v>75.248480707887794</v>
      </c>
      <c r="O4665">
        <v>49.600969775995303</v>
      </c>
      <c r="P4665">
        <v>-0.107711673102994</v>
      </c>
      <c r="Q4665">
        <v>0.71600210489918503</v>
      </c>
      <c r="R4665">
        <v>0.92396546418931502</v>
      </c>
      <c r="S4665" t="s">
        <v>10950</v>
      </c>
      <c r="T4665" t="s">
        <v>12568</v>
      </c>
      <c r="U4665" t="s">
        <v>12568</v>
      </c>
      <c r="V4665" t="s">
        <v>12568</v>
      </c>
      <c r="W4665" t="s">
        <v>17184</v>
      </c>
      <c r="X4665">
        <v>1</v>
      </c>
      <c r="Y4665" t="s">
        <v>23291</v>
      </c>
      <c r="Z4665" t="s">
        <v>29535</v>
      </c>
      <c r="AA4665">
        <v>0.80749583297849248</v>
      </c>
      <c r="AB4665" t="str">
        <f>HYPERLINK("Melting_Curves/meltCurve_Q96EZ8_3_MCRS1.pdf", "Melting_Curves/meltCurve_Q96EZ8_3_MCRS1.pdf")</f>
        <v>Melting_Curves/meltCurve_Q96EZ8_3_MCRS1.pdf</v>
      </c>
    </row>
    <row r="4666" spans="1:28" x14ac:dyDescent="0.25">
      <c r="A4666" t="s">
        <v>4670</v>
      </c>
      <c r="B4666">
        <v>0.99352677808782597</v>
      </c>
      <c r="C4666">
        <v>0.98568721414127003</v>
      </c>
      <c r="D4666">
        <v>0.97156824511159401</v>
      </c>
      <c r="E4666">
        <v>0.90935015203604197</v>
      </c>
      <c r="F4666">
        <v>0.90763185560389303</v>
      </c>
      <c r="G4666">
        <v>0.75012708422556296</v>
      </c>
      <c r="H4666">
        <v>0.73333163368593701</v>
      </c>
      <c r="I4666">
        <v>0.74604979115638803</v>
      </c>
      <c r="J4666">
        <v>0.75448284191732296</v>
      </c>
      <c r="K4666">
        <v>0.60964490645154601</v>
      </c>
      <c r="L4666">
        <v>566.02787118793901</v>
      </c>
      <c r="M4666">
        <v>10.0455164324724</v>
      </c>
      <c r="O4666">
        <v>54.250009263411698</v>
      </c>
      <c r="P4666">
        <v>-1.7293483878260501E-2</v>
      </c>
      <c r="Q4666">
        <v>0.62661016903243005</v>
      </c>
      <c r="R4666">
        <v>0.91442316306039295</v>
      </c>
      <c r="S4666" t="s">
        <v>10951</v>
      </c>
      <c r="T4666" t="s">
        <v>12568</v>
      </c>
      <c r="U4666" t="s">
        <v>12568</v>
      </c>
      <c r="V4666" t="s">
        <v>12568</v>
      </c>
      <c r="W4666" t="s">
        <v>17185</v>
      </c>
      <c r="X4666">
        <v>4</v>
      </c>
      <c r="Y4666" t="s">
        <v>23292</v>
      </c>
      <c r="Z4666" t="s">
        <v>29536</v>
      </c>
      <c r="AA4666">
        <v>0.83728563986477689</v>
      </c>
      <c r="AB4666" t="str">
        <f>HYPERLINK("Melting_Curves/meltCurve_Q96F24_NRBF2.pdf", "Melting_Curves/meltCurve_Q96F24_NRBF2.pdf")</f>
        <v>Melting_Curves/meltCurve_Q96F24_NRBF2.pdf</v>
      </c>
    </row>
    <row r="4667" spans="1:28" x14ac:dyDescent="0.25">
      <c r="A4667" t="s">
        <v>4671</v>
      </c>
      <c r="B4667">
        <v>0.99352677808782597</v>
      </c>
      <c r="C4667">
        <v>0.95122386633076506</v>
      </c>
      <c r="D4667">
        <v>0.84171307047011901</v>
      </c>
      <c r="E4667">
        <v>0.53609536408416802</v>
      </c>
      <c r="F4667">
        <v>0.49014701712175701</v>
      </c>
      <c r="G4667">
        <v>0.26559336231354302</v>
      </c>
      <c r="H4667">
        <v>0.176663708325488</v>
      </c>
      <c r="I4667">
        <v>0.15290244070303</v>
      </c>
      <c r="J4667">
        <v>0.13059856658430199</v>
      </c>
      <c r="K4667">
        <v>0.31873532969527002</v>
      </c>
      <c r="L4667">
        <v>806.04837472524002</v>
      </c>
      <c r="M4667">
        <v>16.134564110245702</v>
      </c>
      <c r="N4667">
        <v>51.371719481465497</v>
      </c>
      <c r="O4667">
        <v>49.2093527090788</v>
      </c>
      <c r="P4667">
        <v>-6.72784198371425E-2</v>
      </c>
      <c r="Q4667">
        <v>0.17928366491455699</v>
      </c>
      <c r="R4667">
        <v>0.96593426148255701</v>
      </c>
      <c r="S4667" t="s">
        <v>10952</v>
      </c>
      <c r="T4667" t="s">
        <v>12568</v>
      </c>
      <c r="U4667" t="s">
        <v>12568</v>
      </c>
      <c r="V4667" t="s">
        <v>12568</v>
      </c>
      <c r="W4667" t="s">
        <v>17186</v>
      </c>
      <c r="X4667">
        <v>7</v>
      </c>
      <c r="Y4667" t="s">
        <v>23293</v>
      </c>
      <c r="Z4667" t="s">
        <v>29537</v>
      </c>
      <c r="AA4667">
        <v>0.46888436267466721</v>
      </c>
      <c r="AB4667" t="str">
        <f>HYPERLINK("Melting_Curves/meltCurve_Q96F44_3_TRIM11.pdf", "Melting_Curves/meltCurve_Q96F44_3_TRIM11.pdf")</f>
        <v>Melting_Curves/meltCurve_Q96F44_3_TRIM11.pdf</v>
      </c>
    </row>
    <row r="4668" spans="1:28" x14ac:dyDescent="0.25">
      <c r="A4668" t="s">
        <v>4672</v>
      </c>
      <c r="B4668">
        <v>0.99352677808782597</v>
      </c>
      <c r="C4668">
        <v>1.0854169444280199</v>
      </c>
      <c r="D4668">
        <v>1.1631035361261099</v>
      </c>
      <c r="E4668">
        <v>1.02334679237876</v>
      </c>
      <c r="F4668">
        <v>0.92723674743168005</v>
      </c>
      <c r="G4668">
        <v>0.94864766697420899</v>
      </c>
      <c r="H4668">
        <v>0.92028725770267505</v>
      </c>
      <c r="I4668">
        <v>0.76365840533312801</v>
      </c>
      <c r="J4668">
        <v>0.86701867898889196</v>
      </c>
      <c r="K4668">
        <v>0.871937415449616</v>
      </c>
      <c r="L4668">
        <v>1320.59900170078</v>
      </c>
      <c r="M4668">
        <v>22.796048809925299</v>
      </c>
      <c r="O4668">
        <v>57.490770230988197</v>
      </c>
      <c r="P4668">
        <v>-1.5954659356649699E-2</v>
      </c>
      <c r="Q4668">
        <v>0.839054938076502</v>
      </c>
      <c r="R4668">
        <v>0.58459462028898901</v>
      </c>
      <c r="S4668" t="s">
        <v>10953</v>
      </c>
      <c r="T4668" t="s">
        <v>12568</v>
      </c>
      <c r="U4668" t="s">
        <v>12568</v>
      </c>
      <c r="V4668" t="s">
        <v>12568</v>
      </c>
      <c r="W4668" t="s">
        <v>17187</v>
      </c>
      <c r="X4668">
        <v>1</v>
      </c>
      <c r="Y4668" t="s">
        <v>23294</v>
      </c>
      <c r="Z4668" t="s">
        <v>29538</v>
      </c>
      <c r="AA4668">
        <v>0.93683884831936448</v>
      </c>
      <c r="AB4668" t="str">
        <f>HYPERLINK("Melting_Curves/meltCurve_Q96F46_IL17RA.pdf", "Melting_Curves/meltCurve_Q96F46_IL17RA.pdf")</f>
        <v>Melting_Curves/meltCurve_Q96F46_IL17RA.pdf</v>
      </c>
    </row>
    <row r="4669" spans="1:28" x14ac:dyDescent="0.25">
      <c r="A4669" t="s">
        <v>4673</v>
      </c>
      <c r="B4669">
        <v>0.99352677808782597</v>
      </c>
      <c r="C4669">
        <v>1.01497227557106</v>
      </c>
      <c r="D4669">
        <v>0.82599135808273405</v>
      </c>
      <c r="E4669">
        <v>1.0615533222062099</v>
      </c>
      <c r="F4669">
        <v>1.03052492498967</v>
      </c>
      <c r="G4669">
        <v>0.85224959940301503</v>
      </c>
      <c r="H4669">
        <v>0.82174817450697701</v>
      </c>
      <c r="I4669">
        <v>0.91469909244456704</v>
      </c>
      <c r="J4669">
        <v>0.99300145519003702</v>
      </c>
      <c r="K4669">
        <v>0.83459944753752902</v>
      </c>
      <c r="L4669">
        <v>334.673148781723</v>
      </c>
      <c r="M4669">
        <v>5.6531056637988497</v>
      </c>
      <c r="O4669">
        <v>53.041359179481603</v>
      </c>
      <c r="P4669">
        <v>-4.4651750279788502E-3</v>
      </c>
      <c r="Q4669">
        <v>0.83308615963548205</v>
      </c>
      <c r="R4669">
        <v>0.16102711773815501</v>
      </c>
      <c r="S4669" t="s">
        <v>10954</v>
      </c>
      <c r="T4669" t="s">
        <v>12568</v>
      </c>
      <c r="U4669" t="s">
        <v>12568</v>
      </c>
      <c r="V4669" t="s">
        <v>12568</v>
      </c>
      <c r="W4669" t="s">
        <v>17188</v>
      </c>
      <c r="X4669">
        <v>8</v>
      </c>
      <c r="Y4669" t="s">
        <v>23295</v>
      </c>
      <c r="Z4669" t="s">
        <v>29539</v>
      </c>
      <c r="AA4669">
        <v>0.93535821366232597</v>
      </c>
      <c r="AB4669" t="str">
        <f>HYPERLINK("Melting_Curves/meltCurve_Q96F63_CCDC97.pdf", "Melting_Curves/meltCurve_Q96F63_CCDC97.pdf")</f>
        <v>Melting_Curves/meltCurve_Q96F63_CCDC97.pdf</v>
      </c>
    </row>
    <row r="4670" spans="1:28" x14ac:dyDescent="0.25">
      <c r="A4670" t="s">
        <v>4674</v>
      </c>
      <c r="B4670">
        <v>0.99352677808782597</v>
      </c>
      <c r="C4670">
        <v>0.90043183122562098</v>
      </c>
      <c r="D4670">
        <v>0.937541245301452</v>
      </c>
      <c r="E4670">
        <v>0.74840791512665705</v>
      </c>
      <c r="F4670">
        <v>0.67153449899397599</v>
      </c>
      <c r="G4670">
        <v>0.65650672360216</v>
      </c>
      <c r="H4670">
        <v>0.585385809634274</v>
      </c>
      <c r="I4670">
        <v>0.60314521660794196</v>
      </c>
      <c r="J4670">
        <v>0.50441605824092905</v>
      </c>
      <c r="K4670">
        <v>0.38862122904340302</v>
      </c>
      <c r="L4670">
        <v>341.251419837757</v>
      </c>
      <c r="M4670">
        <v>5.8288919312467904</v>
      </c>
      <c r="N4670">
        <v>65.951035596593698</v>
      </c>
      <c r="O4670">
        <v>52.758156585913802</v>
      </c>
      <c r="P4670">
        <v>-2.10624822262916E-2</v>
      </c>
      <c r="Q4670">
        <v>0.24016894151688101</v>
      </c>
      <c r="R4670">
        <v>0.935020189217175</v>
      </c>
      <c r="S4670" t="s">
        <v>10955</v>
      </c>
      <c r="T4670" t="s">
        <v>12568</v>
      </c>
      <c r="U4670" t="s">
        <v>12568</v>
      </c>
      <c r="V4670" t="s">
        <v>12568</v>
      </c>
      <c r="W4670" t="s">
        <v>17189</v>
      </c>
      <c r="X4670">
        <v>9</v>
      </c>
      <c r="Y4670" t="s">
        <v>23296</v>
      </c>
      <c r="Z4670" t="s">
        <v>29540</v>
      </c>
      <c r="AA4670">
        <v>0.69705399192111528</v>
      </c>
      <c r="AB4670" t="str">
        <f>HYPERLINK("Melting_Curves/meltCurve_Q96F86_EDC3.pdf", "Melting_Curves/meltCurve_Q96F86_EDC3.pdf")</f>
        <v>Melting_Curves/meltCurve_Q96F86_EDC3.pdf</v>
      </c>
    </row>
    <row r="4671" spans="1:28" x14ac:dyDescent="0.25">
      <c r="A4671" t="s">
        <v>4675</v>
      </c>
      <c r="B4671">
        <v>0.99352677808782597</v>
      </c>
      <c r="C4671">
        <v>0.98732991731754105</v>
      </c>
      <c r="D4671">
        <v>0.97101080161206499</v>
      </c>
      <c r="E4671">
        <v>0.66326979354387605</v>
      </c>
      <c r="F4671">
        <v>0.59919507983553999</v>
      </c>
      <c r="G4671">
        <v>0.27998522608898602</v>
      </c>
      <c r="H4671">
        <v>0.23621277758829701</v>
      </c>
      <c r="I4671">
        <v>0.19323321405074101</v>
      </c>
      <c r="J4671">
        <v>0.19787935125424699</v>
      </c>
      <c r="K4671">
        <v>0.15905298139253499</v>
      </c>
      <c r="L4671">
        <v>897.65916568039302</v>
      </c>
      <c r="M4671">
        <v>17.183057830372999</v>
      </c>
      <c r="N4671">
        <v>53.447954968502302</v>
      </c>
      <c r="O4671">
        <v>51.548761399694399</v>
      </c>
      <c r="P4671">
        <v>-6.9937285361419604E-2</v>
      </c>
      <c r="Q4671">
        <v>0.16080860864927801</v>
      </c>
      <c r="R4671">
        <v>0.98742909634843501</v>
      </c>
      <c r="S4671" t="s">
        <v>10956</v>
      </c>
      <c r="T4671" t="s">
        <v>12568</v>
      </c>
      <c r="U4671" t="s">
        <v>12568</v>
      </c>
      <c r="V4671" t="s">
        <v>12568</v>
      </c>
      <c r="W4671" t="s">
        <v>17190</v>
      </c>
      <c r="X4671">
        <v>2</v>
      </c>
      <c r="Y4671" t="s">
        <v>23297</v>
      </c>
      <c r="Z4671" t="s">
        <v>29541</v>
      </c>
      <c r="AA4671">
        <v>0.51825716001396183</v>
      </c>
      <c r="AB4671" t="str">
        <f>HYPERLINK("Melting_Curves/meltCurve_Q96FC7_2_PHYHIPL.pdf", "Melting_Curves/meltCurve_Q96FC7_2_PHYHIPL.pdf")</f>
        <v>Melting_Curves/meltCurve_Q96FC7_2_PHYHIPL.pdf</v>
      </c>
    </row>
    <row r="4672" spans="1:28" x14ac:dyDescent="0.25">
      <c r="A4672" t="s">
        <v>4676</v>
      </c>
      <c r="B4672">
        <v>0.99352677808782597</v>
      </c>
      <c r="C4672">
        <v>0.96812217600533901</v>
      </c>
      <c r="D4672">
        <v>0.80274505263523299</v>
      </c>
      <c r="E4672">
        <v>0.370905840313274</v>
      </c>
      <c r="F4672">
        <v>0.33818914231421598</v>
      </c>
      <c r="G4672">
        <v>0.17859208341491101</v>
      </c>
      <c r="H4672">
        <v>7.4179644716275195E-2</v>
      </c>
      <c r="I4672">
        <v>5.8211341602538401E-2</v>
      </c>
      <c r="J4672">
        <v>2.1615466400168499E-2</v>
      </c>
      <c r="K4672">
        <v>5.6590384694115599E-2</v>
      </c>
      <c r="L4672">
        <v>826.79099123629203</v>
      </c>
      <c r="M4672">
        <v>16.787476023042</v>
      </c>
      <c r="N4672">
        <v>49.540963967675097</v>
      </c>
      <c r="O4672">
        <v>48.567530038464703</v>
      </c>
      <c r="P4672">
        <v>-8.2367854473188104E-2</v>
      </c>
      <c r="Q4672">
        <v>4.6874412843588599E-2</v>
      </c>
      <c r="R4672">
        <v>0.98599341598386903</v>
      </c>
      <c r="S4672" t="s">
        <v>10957</v>
      </c>
      <c r="T4672" t="s">
        <v>12568</v>
      </c>
      <c r="U4672" t="s">
        <v>12568</v>
      </c>
      <c r="V4672" t="s">
        <v>12568</v>
      </c>
      <c r="W4672" t="s">
        <v>17191</v>
      </c>
      <c r="X4672">
        <v>1</v>
      </c>
      <c r="Y4672" t="s">
        <v>23298</v>
      </c>
      <c r="Z4672" t="s">
        <v>29542</v>
      </c>
      <c r="AA4672">
        <v>0.35960132010253498</v>
      </c>
      <c r="AB4672" t="str">
        <f>HYPERLINK("Melting_Curves/meltCurve_Q96FC9_4_DDX11.pdf", "Melting_Curves/meltCurve_Q96FC9_4_DDX11.pdf")</f>
        <v>Melting_Curves/meltCurve_Q96FC9_4_DDX11.pdf</v>
      </c>
    </row>
    <row r="4673" spans="1:28" x14ac:dyDescent="0.25">
      <c r="A4673" t="s">
        <v>4677</v>
      </c>
      <c r="B4673">
        <v>0.99352677808782597</v>
      </c>
      <c r="C4673">
        <v>0.999927842278858</v>
      </c>
      <c r="D4673">
        <v>0.95774025018502595</v>
      </c>
      <c r="E4673">
        <v>0.91705499502397703</v>
      </c>
      <c r="F4673">
        <v>0.806905107799753</v>
      </c>
      <c r="G4673">
        <v>0.60504423759668602</v>
      </c>
      <c r="H4673">
        <v>0.49693768963479001</v>
      </c>
      <c r="I4673">
        <v>0.371671282976479</v>
      </c>
      <c r="J4673">
        <v>0.42605124629711499</v>
      </c>
      <c r="K4673">
        <v>0.34850250400251898</v>
      </c>
      <c r="L4673">
        <v>892.28979263872395</v>
      </c>
      <c r="M4673">
        <v>15.9899031691698</v>
      </c>
      <c r="N4673">
        <v>60.083769707577297</v>
      </c>
      <c r="O4673">
        <v>54.952399677053599</v>
      </c>
      <c r="P4673">
        <v>-4.8018455616451197E-2</v>
      </c>
      <c r="Q4673">
        <v>0.33995300003175699</v>
      </c>
      <c r="R4673">
        <v>0.992039898444531</v>
      </c>
      <c r="S4673" t="s">
        <v>10958</v>
      </c>
      <c r="T4673" t="s">
        <v>12568</v>
      </c>
      <c r="U4673" t="s">
        <v>12568</v>
      </c>
      <c r="V4673" t="s">
        <v>12568</v>
      </c>
      <c r="W4673" t="s">
        <v>17192</v>
      </c>
      <c r="X4673">
        <v>3</v>
      </c>
      <c r="Y4673" t="s">
        <v>23299</v>
      </c>
      <c r="Z4673" t="s">
        <v>29543</v>
      </c>
      <c r="AA4673">
        <v>0.69887442015436707</v>
      </c>
      <c r="AB4673" t="str">
        <f>HYPERLINK("Melting_Curves/meltCurve_Q96FH0_MEF2BNB.pdf", "Melting_Curves/meltCurve_Q96FH0_MEF2BNB.pdf")</f>
        <v>Melting_Curves/meltCurve_Q96FH0_MEF2BNB.pdf</v>
      </c>
    </row>
    <row r="4674" spans="1:28" x14ac:dyDescent="0.25">
      <c r="A4674" t="s">
        <v>4678</v>
      </c>
      <c r="B4674">
        <v>0.99352677808782597</v>
      </c>
      <c r="C4674">
        <v>0.95326374545052905</v>
      </c>
      <c r="D4674">
        <v>0.97149310774616504</v>
      </c>
      <c r="E4674">
        <v>0.75063098378906701</v>
      </c>
      <c r="F4674">
        <v>0.66072365580413805</v>
      </c>
      <c r="G4674">
        <v>0.34407350841828499</v>
      </c>
      <c r="H4674">
        <v>0.13753982910200799</v>
      </c>
      <c r="I4674">
        <v>0.11006875349417899</v>
      </c>
      <c r="J4674">
        <v>7.8799994608287502E-2</v>
      </c>
      <c r="K4674">
        <v>5.4213236448369E-2</v>
      </c>
      <c r="L4674">
        <v>844.25399081317801</v>
      </c>
      <c r="M4674">
        <v>15.4997631791581</v>
      </c>
      <c r="N4674">
        <v>54.586483788447502</v>
      </c>
      <c r="O4674">
        <v>53.586322881325302</v>
      </c>
      <c r="P4674">
        <v>-7.1130525053755597E-2</v>
      </c>
      <c r="Q4674">
        <v>1.6427640333739502E-2</v>
      </c>
      <c r="R4674">
        <v>0.994276455701951</v>
      </c>
      <c r="S4674" t="s">
        <v>10959</v>
      </c>
      <c r="T4674" t="s">
        <v>12568</v>
      </c>
      <c r="U4674" t="s">
        <v>12568</v>
      </c>
      <c r="V4674" t="s">
        <v>12568</v>
      </c>
      <c r="W4674" t="s">
        <v>17193</v>
      </c>
      <c r="X4674">
        <v>4</v>
      </c>
      <c r="Y4674" t="s">
        <v>23300</v>
      </c>
      <c r="Z4674" t="s">
        <v>29544</v>
      </c>
      <c r="AA4674">
        <v>0.50969460353691021</v>
      </c>
      <c r="AB4674" t="str">
        <f>HYPERLINK("Melting_Curves/meltCurve_Q96FJ0_STAMBPL1.pdf", "Melting_Curves/meltCurve_Q96FJ0_STAMBPL1.pdf")</f>
        <v>Melting_Curves/meltCurve_Q96FJ0_STAMBPL1.pdf</v>
      </c>
    </row>
    <row r="4675" spans="1:28" x14ac:dyDescent="0.25">
      <c r="A4675" t="s">
        <v>4679</v>
      </c>
      <c r="B4675">
        <v>0.99352677808782597</v>
      </c>
      <c r="C4675">
        <v>0.93130149665472295</v>
      </c>
      <c r="D4675">
        <v>0.97899840170775798</v>
      </c>
      <c r="E4675">
        <v>0.67189983009138698</v>
      </c>
      <c r="F4675">
        <v>0.566319681970745</v>
      </c>
      <c r="G4675">
        <v>0.24553851814101399</v>
      </c>
      <c r="H4675">
        <v>9.5939488906697595E-2</v>
      </c>
      <c r="I4675">
        <v>8.5443813578801306E-2</v>
      </c>
      <c r="J4675">
        <v>7.2866540843200697E-2</v>
      </c>
      <c r="K4675">
        <v>5.4166522032731E-2</v>
      </c>
      <c r="L4675">
        <v>874.11327062689804</v>
      </c>
      <c r="M4675">
        <v>16.5109570914769</v>
      </c>
      <c r="N4675">
        <v>53.136610771296503</v>
      </c>
      <c r="O4675">
        <v>52.183079163470403</v>
      </c>
      <c r="P4675">
        <v>-7.6779001130538899E-2</v>
      </c>
      <c r="Q4675">
        <v>2.9423439745048598E-2</v>
      </c>
      <c r="R4675">
        <v>0.99072206946555497</v>
      </c>
      <c r="S4675" t="s">
        <v>10960</v>
      </c>
      <c r="T4675" t="s">
        <v>12568</v>
      </c>
      <c r="U4675" t="s">
        <v>12568</v>
      </c>
      <c r="V4675" t="s">
        <v>12568</v>
      </c>
      <c r="W4675" t="s">
        <v>17194</v>
      </c>
      <c r="X4675">
        <v>4</v>
      </c>
      <c r="Y4675" t="s">
        <v>23301</v>
      </c>
      <c r="Z4675" t="s">
        <v>29545</v>
      </c>
      <c r="AA4675">
        <v>0.46631578776886251</v>
      </c>
      <c r="AB4675" t="str">
        <f>HYPERLINK("Melting_Curves/meltCurve_Q96FK6_WDR89.pdf", "Melting_Curves/meltCurve_Q96FK6_WDR89.pdf")</f>
        <v>Melting_Curves/meltCurve_Q96FK6_WDR89.pdf</v>
      </c>
    </row>
    <row r="4676" spans="1:28" x14ac:dyDescent="0.25">
      <c r="A4676" t="s">
        <v>4680</v>
      </c>
      <c r="B4676">
        <v>0.99352677808782597</v>
      </c>
      <c r="C4676">
        <v>0.929075825696562</v>
      </c>
      <c r="D4676">
        <v>0.96059399440549598</v>
      </c>
      <c r="E4676">
        <v>0.734998986159907</v>
      </c>
      <c r="F4676">
        <v>0.71287985077974902</v>
      </c>
      <c r="G4676">
        <v>0.497239431702443</v>
      </c>
      <c r="H4676">
        <v>0.31719234406077401</v>
      </c>
      <c r="I4676">
        <v>0.295669491602638</v>
      </c>
      <c r="J4676">
        <v>0.231364695695746</v>
      </c>
      <c r="K4676">
        <v>0.161547052953677</v>
      </c>
      <c r="L4676">
        <v>574.53174445056902</v>
      </c>
      <c r="M4676">
        <v>10.2362390908285</v>
      </c>
      <c r="N4676">
        <v>56.924247737906597</v>
      </c>
      <c r="O4676">
        <v>54.111630852765899</v>
      </c>
      <c r="P4676">
        <v>-4.4154527230287399E-2</v>
      </c>
      <c r="Q4676">
        <v>6.6762250650408306E-2</v>
      </c>
      <c r="R4676">
        <v>0.98826812997678504</v>
      </c>
      <c r="S4676" t="s">
        <v>10961</v>
      </c>
      <c r="T4676" t="s">
        <v>12568</v>
      </c>
      <c r="U4676" t="s">
        <v>12568</v>
      </c>
      <c r="V4676" t="s">
        <v>12568</v>
      </c>
      <c r="W4676" t="s">
        <v>17195</v>
      </c>
      <c r="X4676">
        <v>8</v>
      </c>
      <c r="Y4676" t="s">
        <v>23302</v>
      </c>
      <c r="Z4676" t="s">
        <v>29546</v>
      </c>
      <c r="AA4676">
        <v>0.58756094642239931</v>
      </c>
      <c r="AB4676" t="str">
        <f>HYPERLINK("Melting_Curves/meltCurve_Q96FQ6_S100A16.pdf", "Melting_Curves/meltCurve_Q96FQ6_S100A16.pdf")</f>
        <v>Melting_Curves/meltCurve_Q96FQ6_S100A16.pdf</v>
      </c>
    </row>
    <row r="4677" spans="1:28" x14ac:dyDescent="0.25">
      <c r="A4677" t="s">
        <v>4681</v>
      </c>
      <c r="B4677">
        <v>0.99352677808782597</v>
      </c>
      <c r="C4677">
        <v>0.92411381795791503</v>
      </c>
      <c r="D4677">
        <v>0.95085050176924801</v>
      </c>
      <c r="E4677">
        <v>0.77841470601637697</v>
      </c>
      <c r="F4677">
        <v>0.71194320167277902</v>
      </c>
      <c r="G4677">
        <v>0.67811385718678596</v>
      </c>
      <c r="H4677">
        <v>0.64115851587641903</v>
      </c>
      <c r="I4677">
        <v>0.69018466985665206</v>
      </c>
      <c r="J4677">
        <v>0.65826600127254598</v>
      </c>
      <c r="K4677">
        <v>0.60864715441170703</v>
      </c>
      <c r="L4677">
        <v>855.71770835049006</v>
      </c>
      <c r="M4677">
        <v>17.4681840882138</v>
      </c>
      <c r="O4677">
        <v>48.358735926717102</v>
      </c>
      <c r="P4677">
        <v>-3.2177673758954299E-2</v>
      </c>
      <c r="Q4677">
        <v>0.64369845637587098</v>
      </c>
      <c r="R4677">
        <v>0.959245535788814</v>
      </c>
      <c r="S4677" t="s">
        <v>10962</v>
      </c>
      <c r="T4677" t="s">
        <v>12568</v>
      </c>
      <c r="U4677" t="s">
        <v>12568</v>
      </c>
      <c r="V4677" t="s">
        <v>12568</v>
      </c>
      <c r="W4677" t="s">
        <v>17196</v>
      </c>
      <c r="X4677">
        <v>11</v>
      </c>
      <c r="Y4677" t="s">
        <v>23303</v>
      </c>
      <c r="Z4677" t="s">
        <v>29547</v>
      </c>
      <c r="AA4677">
        <v>0.75698923709786448</v>
      </c>
      <c r="AB4677" t="str">
        <f>HYPERLINK("Melting_Curves/meltCurve_Q96FS4_SIPA1.pdf", "Melting_Curves/meltCurve_Q96FS4_SIPA1.pdf")</f>
        <v>Melting_Curves/meltCurve_Q96FS4_SIPA1.pdf</v>
      </c>
    </row>
    <row r="4678" spans="1:28" x14ac:dyDescent="0.25">
      <c r="A4678" t="s">
        <v>4682</v>
      </c>
      <c r="B4678">
        <v>0.99352677808782597</v>
      </c>
      <c r="C4678">
        <v>0.91592896926391898</v>
      </c>
      <c r="D4678">
        <v>1.0267517921200899</v>
      </c>
      <c r="E4678">
        <v>1.37557058159965</v>
      </c>
      <c r="F4678">
        <v>1.21063720945218</v>
      </c>
      <c r="G4678">
        <v>1.1672074140314399</v>
      </c>
      <c r="H4678">
        <v>1.12178591822175</v>
      </c>
      <c r="I4678">
        <v>1.1790028695956001</v>
      </c>
      <c r="J4678">
        <v>1.1731247389613899</v>
      </c>
      <c r="K4678">
        <v>1.0739195772647601</v>
      </c>
      <c r="L4678">
        <v>11582.0266216404</v>
      </c>
      <c r="M4678">
        <v>250</v>
      </c>
      <c r="O4678">
        <v>46.325141768329203</v>
      </c>
      <c r="P4678">
        <v>0.25079876750652202</v>
      </c>
      <c r="Q4678">
        <v>1.18589261525026</v>
      </c>
      <c r="R4678">
        <v>0.59499348001590002</v>
      </c>
      <c r="S4678" t="s">
        <v>10963</v>
      </c>
      <c r="T4678" t="s">
        <v>12568</v>
      </c>
      <c r="U4678" t="s">
        <v>12568</v>
      </c>
      <c r="V4678" t="s">
        <v>12568</v>
      </c>
      <c r="W4678" t="s">
        <v>17197</v>
      </c>
      <c r="X4678">
        <v>7</v>
      </c>
      <c r="Y4678" t="s">
        <v>23304</v>
      </c>
      <c r="Z4678" t="s">
        <v>29548</v>
      </c>
      <c r="AA4678">
        <v>1.1466658924191959</v>
      </c>
      <c r="AB4678" t="str">
        <f>HYPERLINK("Melting_Curves/meltCurve_Q96FT9_IFT43.pdf", "Melting_Curves/meltCurve_Q96FT9_IFT43.pdf")</f>
        <v>Melting_Curves/meltCurve_Q96FT9_IFT43.pdf</v>
      </c>
    </row>
    <row r="4679" spans="1:28" x14ac:dyDescent="0.25">
      <c r="A4679" t="s">
        <v>4683</v>
      </c>
      <c r="B4679">
        <v>0.99352677808782597</v>
      </c>
      <c r="C4679">
        <v>0.75459009842931501</v>
      </c>
      <c r="D4679">
        <v>0.63138865394154398</v>
      </c>
      <c r="E4679">
        <v>0.74624050298153699</v>
      </c>
      <c r="F4679">
        <v>0.77157143352725299</v>
      </c>
      <c r="G4679">
        <v>0.63818510438047404</v>
      </c>
      <c r="H4679">
        <v>0.611350721444615</v>
      </c>
      <c r="I4679">
        <v>0.77816133838428903</v>
      </c>
      <c r="J4679">
        <v>0.70847696307006502</v>
      </c>
      <c r="K4679">
        <v>0.62862007683285004</v>
      </c>
      <c r="L4679">
        <v>10668.229823167099</v>
      </c>
      <c r="M4679">
        <v>250</v>
      </c>
      <c r="O4679">
        <v>42.670179379177299</v>
      </c>
      <c r="P4679">
        <v>-0.45516357778038502</v>
      </c>
      <c r="Q4679">
        <v>0.689249349481312</v>
      </c>
      <c r="R4679">
        <v>0.70952439482565299</v>
      </c>
      <c r="S4679" t="s">
        <v>10964</v>
      </c>
      <c r="T4679" t="s">
        <v>12568</v>
      </c>
      <c r="U4679" t="s">
        <v>12568</v>
      </c>
      <c r="V4679" t="s">
        <v>12568</v>
      </c>
      <c r="W4679" t="s">
        <v>17198</v>
      </c>
      <c r="X4679">
        <v>2</v>
      </c>
      <c r="Y4679" t="s">
        <v>23305</v>
      </c>
      <c r="Z4679" t="s">
        <v>29549</v>
      </c>
      <c r="AA4679">
        <v>0.7169596687453208</v>
      </c>
      <c r="AB4679" t="str">
        <f>HYPERLINK("Melting_Curves/meltCurve_Q96FV0_LRRC46.pdf", "Melting_Curves/meltCurve_Q96FV0_LRRC46.pdf")</f>
        <v>Melting_Curves/meltCurve_Q96FV0_LRRC46.pdf</v>
      </c>
    </row>
    <row r="4680" spans="1:28" x14ac:dyDescent="0.25">
      <c r="A4680" t="s">
        <v>4684</v>
      </c>
      <c r="B4680">
        <v>0.99352677808782597</v>
      </c>
      <c r="C4680">
        <v>0.956285459051612</v>
      </c>
      <c r="D4680">
        <v>0.94459748495561102</v>
      </c>
      <c r="E4680">
        <v>0.43301857764182899</v>
      </c>
      <c r="F4680">
        <v>0.357339311742018</v>
      </c>
      <c r="G4680">
        <v>0.208813975344952</v>
      </c>
      <c r="H4680">
        <v>0.14658585563710599</v>
      </c>
      <c r="I4680">
        <v>0.116639132924916</v>
      </c>
      <c r="J4680">
        <v>0.101280791072239</v>
      </c>
      <c r="K4680">
        <v>8.1792427634082399E-2</v>
      </c>
      <c r="L4680">
        <v>1075.7649716926601</v>
      </c>
      <c r="M4680">
        <v>21.6809615660266</v>
      </c>
      <c r="N4680">
        <v>50.241042660230001</v>
      </c>
      <c r="O4680">
        <v>49.201642459431497</v>
      </c>
      <c r="P4680">
        <v>-9.7179625013951595E-2</v>
      </c>
      <c r="Q4680">
        <v>0.117883723552516</v>
      </c>
      <c r="R4680">
        <v>0.98310863280298399</v>
      </c>
      <c r="S4680" t="s">
        <v>10965</v>
      </c>
      <c r="T4680" t="s">
        <v>12568</v>
      </c>
      <c r="U4680" t="s">
        <v>12568</v>
      </c>
      <c r="V4680" t="s">
        <v>12568</v>
      </c>
      <c r="W4680" t="s">
        <v>17199</v>
      </c>
      <c r="X4680">
        <v>8</v>
      </c>
      <c r="Y4680" t="s">
        <v>23306</v>
      </c>
      <c r="Z4680" t="s">
        <v>29550</v>
      </c>
      <c r="AA4680">
        <v>0.41116159059434237</v>
      </c>
      <c r="AB4680" t="str">
        <f>HYPERLINK("Melting_Curves/meltCurve_Q96FV2_SCRN2.pdf", "Melting_Curves/meltCurve_Q96FV2_SCRN2.pdf")</f>
        <v>Melting_Curves/meltCurve_Q96FV2_SCRN2.pdf</v>
      </c>
    </row>
    <row r="4681" spans="1:28" x14ac:dyDescent="0.25">
      <c r="A4681" t="s">
        <v>4685</v>
      </c>
      <c r="B4681">
        <v>0.99352677808782597</v>
      </c>
      <c r="C4681">
        <v>1.0560032489050799</v>
      </c>
      <c r="D4681">
        <v>1.0080812980984899</v>
      </c>
      <c r="E4681">
        <v>0.52291944471481</v>
      </c>
      <c r="F4681">
        <v>0.44345313786591201</v>
      </c>
      <c r="G4681">
        <v>0.25016667281427402</v>
      </c>
      <c r="H4681">
        <v>0.15668575556963299</v>
      </c>
      <c r="I4681">
        <v>0.13894531858499001</v>
      </c>
      <c r="J4681">
        <v>0.12576770098222501</v>
      </c>
      <c r="K4681">
        <v>0.110985512005746</v>
      </c>
      <c r="L4681">
        <v>1070.3791045969199</v>
      </c>
      <c r="M4681">
        <v>21.114211377965699</v>
      </c>
      <c r="N4681">
        <v>51.456835615288298</v>
      </c>
      <c r="O4681">
        <v>50.2465516908238</v>
      </c>
      <c r="P4681">
        <v>-9.0950064547971401E-2</v>
      </c>
      <c r="Q4681">
        <v>0.13426889359586799</v>
      </c>
      <c r="R4681">
        <v>0.97667166940122996</v>
      </c>
      <c r="S4681" t="s">
        <v>10966</v>
      </c>
      <c r="T4681" t="s">
        <v>12568</v>
      </c>
      <c r="U4681" t="s">
        <v>12568</v>
      </c>
      <c r="V4681" t="s">
        <v>12568</v>
      </c>
      <c r="W4681" t="s">
        <v>17200</v>
      </c>
      <c r="X4681">
        <v>3</v>
      </c>
      <c r="Y4681" t="s">
        <v>23307</v>
      </c>
      <c r="Z4681" t="s">
        <v>29551</v>
      </c>
      <c r="AA4681">
        <v>0.4537381153193783</v>
      </c>
      <c r="AB4681" t="str">
        <f>HYPERLINK("Melting_Curves/meltCurve_Q96FV9_THOC1.pdf", "Melting_Curves/meltCurve_Q96FV9_THOC1.pdf")</f>
        <v>Melting_Curves/meltCurve_Q96FV9_THOC1.pdf</v>
      </c>
    </row>
    <row r="4682" spans="1:28" x14ac:dyDescent="0.25">
      <c r="A4682" t="s">
        <v>4686</v>
      </c>
      <c r="B4682">
        <v>0.99352677808782597</v>
      </c>
      <c r="C4682">
        <v>0.800711831058455</v>
      </c>
      <c r="D4682">
        <v>1.15740480654338</v>
      </c>
      <c r="E4682">
        <v>0.715677344376483</v>
      </c>
      <c r="F4682">
        <v>0.621625006941952</v>
      </c>
      <c r="G4682">
        <v>0.180195134589094</v>
      </c>
      <c r="H4682">
        <v>9.9243084607649704E-2</v>
      </c>
      <c r="I4682">
        <v>8.6552036749320299E-2</v>
      </c>
      <c r="J4682">
        <v>7.3992545520118899E-2</v>
      </c>
      <c r="K4682">
        <v>5.7173023972776703E-2</v>
      </c>
      <c r="L4682">
        <v>1213.40591660072</v>
      </c>
      <c r="M4682">
        <v>22.8097537350639</v>
      </c>
      <c r="N4682">
        <v>53.469659725204899</v>
      </c>
      <c r="O4682">
        <v>52.792982763817299</v>
      </c>
      <c r="P4682">
        <v>-0.102082674017313</v>
      </c>
      <c r="Q4682">
        <v>5.4940330251323097E-2</v>
      </c>
      <c r="R4682">
        <v>0.94447420721213804</v>
      </c>
      <c r="S4682" t="s">
        <v>10967</v>
      </c>
      <c r="T4682" t="s">
        <v>12568</v>
      </c>
      <c r="U4682" t="s">
        <v>12568</v>
      </c>
      <c r="V4682" t="s">
        <v>12568</v>
      </c>
      <c r="W4682" t="s">
        <v>17201</v>
      </c>
      <c r="X4682">
        <v>15</v>
      </c>
      <c r="Y4682" t="s">
        <v>23308</v>
      </c>
      <c r="Z4682" t="s">
        <v>29552</v>
      </c>
      <c r="AA4682">
        <v>0.48097649462780617</v>
      </c>
      <c r="AB4682" t="str">
        <f>HYPERLINK("Melting_Curves/meltCurve_Q96FW1_OTUB1.pdf", "Melting_Curves/meltCurve_Q96FW1_OTUB1.pdf")</f>
        <v>Melting_Curves/meltCurve_Q96FW1_OTUB1.pdf</v>
      </c>
    </row>
    <row r="4683" spans="1:28" x14ac:dyDescent="0.25">
      <c r="A4683" t="s">
        <v>4687</v>
      </c>
      <c r="B4683">
        <v>0.99352677808782597</v>
      </c>
      <c r="C4683">
        <v>1.1073440812720901</v>
      </c>
      <c r="D4683">
        <v>1.1269886701118701</v>
      </c>
      <c r="E4683">
        <v>1.0275659310167999</v>
      </c>
      <c r="F4683">
        <v>0.77432099754686401</v>
      </c>
      <c r="G4683">
        <v>0.77122331316970805</v>
      </c>
      <c r="H4683">
        <v>0.79559159719832195</v>
      </c>
      <c r="I4683">
        <v>0.64133037125306303</v>
      </c>
      <c r="J4683">
        <v>0.67684071837687299</v>
      </c>
      <c r="K4683">
        <v>0.62588961376086605</v>
      </c>
      <c r="L4683">
        <v>13189.5577282308</v>
      </c>
      <c r="M4683">
        <v>250</v>
      </c>
      <c r="O4683">
        <v>52.754854732625702</v>
      </c>
      <c r="P4683">
        <v>-0.35284062868506599</v>
      </c>
      <c r="Q4683">
        <v>0.70217510256879301</v>
      </c>
      <c r="R4683">
        <v>0.84378080043394599</v>
      </c>
      <c r="S4683" t="s">
        <v>10968</v>
      </c>
      <c r="T4683" t="s">
        <v>12568</v>
      </c>
      <c r="U4683" t="s">
        <v>12568</v>
      </c>
      <c r="V4683" t="s">
        <v>12568</v>
      </c>
      <c r="W4683" t="s">
        <v>17202</v>
      </c>
      <c r="X4683">
        <v>1</v>
      </c>
      <c r="Y4683" t="s">
        <v>23309</v>
      </c>
      <c r="Z4683" t="s">
        <v>29553</v>
      </c>
      <c r="AA4683">
        <v>0.82885997190673444</v>
      </c>
      <c r="AB4683" t="str">
        <f>HYPERLINK("Melting_Curves/meltCurve_Q96FX2_DPH3.pdf", "Melting_Curves/meltCurve_Q96FX2_DPH3.pdf")</f>
        <v>Melting_Curves/meltCurve_Q96FX2_DPH3.pdf</v>
      </c>
    </row>
    <row r="4684" spans="1:28" x14ac:dyDescent="0.25">
      <c r="A4684" t="s">
        <v>4688</v>
      </c>
      <c r="B4684">
        <v>0.99352677808782597</v>
      </c>
      <c r="C4684">
        <v>1.01167472007756</v>
      </c>
      <c r="D4684">
        <v>0.83152212073304699</v>
      </c>
      <c r="E4684">
        <v>0.72149881840707697</v>
      </c>
      <c r="F4684">
        <v>0.66226858919383502</v>
      </c>
      <c r="G4684">
        <v>0.40756999090880403</v>
      </c>
      <c r="H4684">
        <v>0.148060844894156</v>
      </c>
      <c r="I4684">
        <v>0.138711729666123</v>
      </c>
      <c r="J4684">
        <v>8.6912343532927705E-2</v>
      </c>
      <c r="K4684">
        <v>8.4096512999317002E-2</v>
      </c>
      <c r="L4684">
        <v>669.50239591776506</v>
      </c>
      <c r="M4684">
        <v>12.2495485906752</v>
      </c>
      <c r="N4684">
        <v>54.655270809512103</v>
      </c>
      <c r="O4684">
        <v>53.259887304498903</v>
      </c>
      <c r="P4684">
        <v>-5.7511739879665298E-2</v>
      </c>
      <c r="Q4684">
        <v>0</v>
      </c>
      <c r="R4684">
        <v>0.98422447438579097</v>
      </c>
      <c r="S4684" t="s">
        <v>10969</v>
      </c>
      <c r="T4684" t="s">
        <v>12568</v>
      </c>
      <c r="U4684" t="s">
        <v>12568</v>
      </c>
      <c r="V4684" t="s">
        <v>12568</v>
      </c>
      <c r="W4684" t="s">
        <v>17203</v>
      </c>
      <c r="X4684">
        <v>3</v>
      </c>
      <c r="Y4684" t="s">
        <v>23310</v>
      </c>
      <c r="Z4684" t="s">
        <v>29554</v>
      </c>
      <c r="AA4684">
        <v>0.51252543466591205</v>
      </c>
      <c r="AB4684" t="str">
        <f>HYPERLINK("Melting_Curves/meltCurve_Q96FX7_TRMT61A.pdf", "Melting_Curves/meltCurve_Q96FX7_TRMT61A.pdf")</f>
        <v>Melting_Curves/meltCurve_Q96FX7_TRMT61A.pdf</v>
      </c>
    </row>
    <row r="4685" spans="1:28" x14ac:dyDescent="0.25">
      <c r="A4685" t="s">
        <v>4689</v>
      </c>
      <c r="B4685">
        <v>0.99352677808782597</v>
      </c>
      <c r="C4685">
        <v>0.86923955843067402</v>
      </c>
      <c r="D4685">
        <v>0.71541221846409697</v>
      </c>
      <c r="E4685">
        <v>0.34557640091344999</v>
      </c>
      <c r="F4685">
        <v>0.26298590264118599</v>
      </c>
      <c r="G4685">
        <v>0.179237914407087</v>
      </c>
      <c r="H4685">
        <v>7.3599189535420398E-2</v>
      </c>
      <c r="I4685">
        <v>6.45279317668042E-2</v>
      </c>
      <c r="J4685">
        <v>3.5634514594711397E-2</v>
      </c>
      <c r="K4685">
        <v>3.5607396537902902E-2</v>
      </c>
      <c r="L4685">
        <v>733.89158490656496</v>
      </c>
      <c r="M4685">
        <v>15.196112143713799</v>
      </c>
      <c r="N4685">
        <v>48.572410308458402</v>
      </c>
      <c r="O4685">
        <v>47.4815145496882</v>
      </c>
      <c r="P4685">
        <v>-7.6689117103710402E-2</v>
      </c>
      <c r="Q4685">
        <v>4.1605955683475797E-2</v>
      </c>
      <c r="R4685">
        <v>0.99306664745881301</v>
      </c>
      <c r="S4685" t="s">
        <v>10970</v>
      </c>
      <c r="T4685" t="s">
        <v>12568</v>
      </c>
      <c r="U4685" t="s">
        <v>12568</v>
      </c>
      <c r="V4685" t="s">
        <v>12568</v>
      </c>
      <c r="W4685" t="s">
        <v>17204</v>
      </c>
      <c r="X4685">
        <v>4</v>
      </c>
      <c r="Y4685" t="s">
        <v>23311</v>
      </c>
      <c r="Z4685" t="s">
        <v>29555</v>
      </c>
      <c r="AA4685">
        <v>0.33031651743708801</v>
      </c>
      <c r="AB4685" t="str">
        <f>HYPERLINK("Melting_Curves/meltCurve_Q96FZ2_C3orf37.pdf", "Melting_Curves/meltCurve_Q96FZ2_C3orf37.pdf")</f>
        <v>Melting_Curves/meltCurve_Q96FZ2_C3orf37.pdf</v>
      </c>
    </row>
    <row r="4686" spans="1:28" x14ac:dyDescent="0.25">
      <c r="A4686" t="s">
        <v>4690</v>
      </c>
      <c r="B4686">
        <v>0.99352677808782597</v>
      </c>
      <c r="C4686">
        <v>0.93586893677958805</v>
      </c>
      <c r="D4686">
        <v>0.96440400930899195</v>
      </c>
      <c r="E4686">
        <v>0.81707209433887096</v>
      </c>
      <c r="F4686">
        <v>0.75992956682847701</v>
      </c>
      <c r="G4686">
        <v>0.51618898019590298</v>
      </c>
      <c r="H4686">
        <v>0.332738346848725</v>
      </c>
      <c r="I4686">
        <v>0.30220474603783998</v>
      </c>
      <c r="J4686">
        <v>0.31903284468642701</v>
      </c>
      <c r="K4686">
        <v>0.18607447229455501</v>
      </c>
      <c r="L4686">
        <v>725.83186328767795</v>
      </c>
      <c r="M4686">
        <v>13.0377086800379</v>
      </c>
      <c r="N4686">
        <v>57.5213672801885</v>
      </c>
      <c r="O4686">
        <v>54.410837933099998</v>
      </c>
      <c r="P4686">
        <v>-4.9655586693954097E-2</v>
      </c>
      <c r="Q4686">
        <v>0.171225479392312</v>
      </c>
      <c r="R4686">
        <v>0.98587385391881199</v>
      </c>
      <c r="S4686" t="s">
        <v>10971</v>
      </c>
      <c r="T4686" t="s">
        <v>12568</v>
      </c>
      <c r="U4686" t="s">
        <v>12568</v>
      </c>
      <c r="V4686" t="s">
        <v>12568</v>
      </c>
      <c r="W4686" t="s">
        <v>17205</v>
      </c>
      <c r="X4686">
        <v>21</v>
      </c>
      <c r="Y4686" t="s">
        <v>23312</v>
      </c>
      <c r="Z4686" t="s">
        <v>29556</v>
      </c>
      <c r="AA4686">
        <v>0.62110656277930265</v>
      </c>
      <c r="AB4686" t="str">
        <f>HYPERLINK("Melting_Curves/meltCurve_Q96G03_PGM2.pdf", "Melting_Curves/meltCurve_Q96G03_PGM2.pdf")</f>
        <v>Melting_Curves/meltCurve_Q96G03_PGM2.pdf</v>
      </c>
    </row>
    <row r="4687" spans="1:28" x14ac:dyDescent="0.25">
      <c r="A4687" t="s">
        <v>4691</v>
      </c>
      <c r="B4687">
        <v>0.99352677808782597</v>
      </c>
      <c r="C4687">
        <v>0.99312243753346197</v>
      </c>
      <c r="D4687">
        <v>0.93957187950543897</v>
      </c>
      <c r="E4687">
        <v>0.40287014230621998</v>
      </c>
      <c r="F4687">
        <v>0.37784547693435999</v>
      </c>
      <c r="G4687">
        <v>0.15875275544246001</v>
      </c>
      <c r="H4687">
        <v>0.14802559666493101</v>
      </c>
      <c r="I4687">
        <v>0.148672021299188</v>
      </c>
      <c r="J4687">
        <v>0.11632252274852201</v>
      </c>
      <c r="K4687">
        <v>9.6096789066225499E-2</v>
      </c>
      <c r="L4687">
        <v>1201.54207000053</v>
      </c>
      <c r="M4687">
        <v>24.359568837003799</v>
      </c>
      <c r="N4687">
        <v>49.9659925562474</v>
      </c>
      <c r="O4687">
        <v>48.9964724500419</v>
      </c>
      <c r="P4687">
        <v>-0.107621203707592</v>
      </c>
      <c r="Q4687">
        <v>0.13414259874239501</v>
      </c>
      <c r="R4687">
        <v>0.97958842803060497</v>
      </c>
      <c r="S4687" t="s">
        <v>10972</v>
      </c>
      <c r="T4687" t="s">
        <v>12568</v>
      </c>
      <c r="U4687" t="s">
        <v>12568</v>
      </c>
      <c r="V4687" t="s">
        <v>12568</v>
      </c>
      <c r="W4687" t="s">
        <v>17206</v>
      </c>
      <c r="X4687">
        <v>5</v>
      </c>
      <c r="Y4687" t="s">
        <v>23313</v>
      </c>
      <c r="Z4687" t="s">
        <v>29557</v>
      </c>
      <c r="AA4687">
        <v>0.41139698866858992</v>
      </c>
      <c r="AB4687" t="str">
        <f>HYPERLINK("Melting_Curves/meltCurve_Q96G04_FAM86A.pdf", "Melting_Curves/meltCurve_Q96G04_FAM86A.pdf")</f>
        <v>Melting_Curves/meltCurve_Q96G04_FAM86A.pdf</v>
      </c>
    </row>
    <row r="4688" spans="1:28" x14ac:dyDescent="0.25">
      <c r="A4688" t="s">
        <v>4692</v>
      </c>
      <c r="B4688">
        <v>0.99352677808782597</v>
      </c>
      <c r="C4688">
        <v>0.95722522684371902</v>
      </c>
      <c r="D4688">
        <v>0.93854954464432805</v>
      </c>
      <c r="E4688">
        <v>1.2106311271203001</v>
      </c>
      <c r="F4688">
        <v>1.05076353457691</v>
      </c>
      <c r="G4688">
        <v>0.931965499465638</v>
      </c>
      <c r="H4688">
        <v>0.97043244834605402</v>
      </c>
      <c r="I4688">
        <v>0.90306610156146605</v>
      </c>
      <c r="J4688">
        <v>0.89186858357618604</v>
      </c>
      <c r="K4688">
        <v>0.75520439568503805</v>
      </c>
      <c r="L4688">
        <v>1027.1169491282999</v>
      </c>
      <c r="M4688">
        <v>13.494709469902</v>
      </c>
      <c r="Q4688">
        <v>0</v>
      </c>
      <c r="R4688">
        <v>0.52901416806685198</v>
      </c>
      <c r="S4688" t="s">
        <v>10973</v>
      </c>
      <c r="T4688" t="s">
        <v>12568</v>
      </c>
      <c r="U4688" t="s">
        <v>12568</v>
      </c>
      <c r="V4688" t="s">
        <v>12568</v>
      </c>
      <c r="W4688" t="s">
        <v>17207</v>
      </c>
      <c r="X4688">
        <v>1</v>
      </c>
      <c r="Y4688" t="s">
        <v>23314</v>
      </c>
      <c r="Z4688" t="s">
        <v>29558</v>
      </c>
      <c r="AA4688">
        <v>0.96250767478353338</v>
      </c>
      <c r="AB4688" t="str">
        <f>HYPERLINK("Melting_Curves/meltCurve_Q96G25_MED8.pdf", "Melting_Curves/meltCurve_Q96G25_MED8.pdf")</f>
        <v>Melting_Curves/meltCurve_Q96G25_MED8.pdf</v>
      </c>
    </row>
    <row r="4689" spans="1:28" x14ac:dyDescent="0.25">
      <c r="A4689" t="s">
        <v>4693</v>
      </c>
      <c r="B4689">
        <v>0.99352677808782597</v>
      </c>
      <c r="C4689">
        <v>0.94085672073280502</v>
      </c>
      <c r="D4689">
        <v>0.95068636600143197</v>
      </c>
      <c r="E4689">
        <v>0.80429478724630299</v>
      </c>
      <c r="F4689">
        <v>0.82971169147510804</v>
      </c>
      <c r="G4689">
        <v>0.63876678341913995</v>
      </c>
      <c r="H4689">
        <v>0.46507774157632498</v>
      </c>
      <c r="I4689">
        <v>0.44593551278008797</v>
      </c>
      <c r="J4689">
        <v>0.435278998860952</v>
      </c>
      <c r="K4689">
        <v>0.342021780970093</v>
      </c>
      <c r="L4689">
        <v>558.73558615011098</v>
      </c>
      <c r="M4689">
        <v>9.7459184326589394</v>
      </c>
      <c r="N4689">
        <v>61.618003635700802</v>
      </c>
      <c r="O4689">
        <v>55.0726993531216</v>
      </c>
      <c r="P4689">
        <v>-3.3365467986328001E-2</v>
      </c>
      <c r="Q4689">
        <v>0.246231521284383</v>
      </c>
      <c r="R4689">
        <v>0.97787361017002605</v>
      </c>
      <c r="S4689" t="s">
        <v>10974</v>
      </c>
      <c r="T4689" t="s">
        <v>12568</v>
      </c>
      <c r="U4689" t="s">
        <v>12568</v>
      </c>
      <c r="V4689" t="s">
        <v>12568</v>
      </c>
      <c r="W4689" t="s">
        <v>17208</v>
      </c>
      <c r="X4689">
        <v>9</v>
      </c>
      <c r="Y4689" t="s">
        <v>23315</v>
      </c>
      <c r="Z4689" t="s">
        <v>29559</v>
      </c>
      <c r="AA4689">
        <v>0.69187357934016902</v>
      </c>
      <c r="AB4689" t="str">
        <f>HYPERLINK("Melting_Curves/meltCurve_Q96G28_CCDC104.pdf", "Melting_Curves/meltCurve_Q96G28_CCDC104.pdf")</f>
        <v>Melting_Curves/meltCurve_Q96G28_CCDC104.pdf</v>
      </c>
    </row>
    <row r="4690" spans="1:28" x14ac:dyDescent="0.25">
      <c r="A4690" t="s">
        <v>4694</v>
      </c>
      <c r="B4690">
        <v>0.99352677808782597</v>
      </c>
      <c r="C4690">
        <v>1.0352226179261701</v>
      </c>
      <c r="D4690">
        <v>0.96106588868392695</v>
      </c>
      <c r="E4690">
        <v>0.72053379846653898</v>
      </c>
      <c r="F4690">
        <v>0.62201876919495902</v>
      </c>
      <c r="G4690">
        <v>0.335903153723626</v>
      </c>
      <c r="H4690">
        <v>0.17357264378331799</v>
      </c>
      <c r="I4690">
        <v>0.14629582718790099</v>
      </c>
      <c r="J4690">
        <v>0.108386489006966</v>
      </c>
      <c r="K4690">
        <v>8.3911132872314206E-2</v>
      </c>
      <c r="L4690">
        <v>833.99309378884698</v>
      </c>
      <c r="M4690">
        <v>15.510169479214399</v>
      </c>
      <c r="N4690">
        <v>54.238334805533597</v>
      </c>
      <c r="O4690">
        <v>52.900666519094003</v>
      </c>
      <c r="P4690">
        <v>-6.8717676738662595E-2</v>
      </c>
      <c r="Q4690">
        <v>6.2579214430931396E-2</v>
      </c>
      <c r="R4690">
        <v>0.99375641742922605</v>
      </c>
      <c r="S4690" t="s">
        <v>10975</v>
      </c>
      <c r="T4690" t="s">
        <v>12568</v>
      </c>
      <c r="U4690" t="s">
        <v>12568</v>
      </c>
      <c r="V4690" t="s">
        <v>12568</v>
      </c>
      <c r="W4690" t="s">
        <v>17209</v>
      </c>
      <c r="X4690">
        <v>10</v>
      </c>
      <c r="Y4690" t="s">
        <v>23316</v>
      </c>
      <c r="Z4690" t="s">
        <v>29560</v>
      </c>
      <c r="AA4690">
        <v>0.51151630480911559</v>
      </c>
      <c r="AB4690" t="str">
        <f>HYPERLINK("Melting_Curves/meltCurve_Q96G46_DUS3L.pdf", "Melting_Curves/meltCurve_Q96G46_DUS3L.pdf")</f>
        <v>Melting_Curves/meltCurve_Q96G46_DUS3L.pdf</v>
      </c>
    </row>
    <row r="4691" spans="1:28" x14ac:dyDescent="0.25">
      <c r="A4691" t="s">
        <v>4695</v>
      </c>
      <c r="B4691">
        <v>0.99352677808782597</v>
      </c>
      <c r="C4691">
        <v>0.89732189397561202</v>
      </c>
      <c r="D4691">
        <v>0.93914990468326998</v>
      </c>
      <c r="E4691">
        <v>0.39739833327635099</v>
      </c>
      <c r="F4691">
        <v>0.338948966438472</v>
      </c>
      <c r="G4691">
        <v>0.17040844762057999</v>
      </c>
      <c r="H4691">
        <v>0.11132150911201701</v>
      </c>
      <c r="I4691">
        <v>9.9606178697115605E-2</v>
      </c>
      <c r="J4691">
        <v>8.9505743855218797E-2</v>
      </c>
      <c r="K4691">
        <v>7.3795394502551903E-2</v>
      </c>
      <c r="L4691">
        <v>1058.9201010588199</v>
      </c>
      <c r="M4691">
        <v>21.440153504941801</v>
      </c>
      <c r="N4691">
        <v>49.894014861499798</v>
      </c>
      <c r="O4691">
        <v>48.965920748321103</v>
      </c>
      <c r="P4691">
        <v>-9.8800891344222902E-2</v>
      </c>
      <c r="Q4691">
        <v>9.74396164236008E-2</v>
      </c>
      <c r="R4691">
        <v>0.97844554406161999</v>
      </c>
      <c r="S4691" t="s">
        <v>10976</v>
      </c>
      <c r="T4691" t="s">
        <v>12568</v>
      </c>
      <c r="U4691" t="s">
        <v>12568</v>
      </c>
      <c r="V4691" t="s">
        <v>12568</v>
      </c>
      <c r="W4691" t="s">
        <v>17210</v>
      </c>
      <c r="X4691">
        <v>5</v>
      </c>
      <c r="Y4691" t="s">
        <v>23317</v>
      </c>
      <c r="Z4691" t="s">
        <v>29561</v>
      </c>
      <c r="AA4691">
        <v>0.39088783061987792</v>
      </c>
      <c r="AB4691" t="str">
        <f>HYPERLINK("Melting_Curves/meltCurve_Q96G61_NUDT11.pdf", "Melting_Curves/meltCurve_Q96G61_NUDT11.pdf")</f>
        <v>Melting_Curves/meltCurve_Q96G61_NUDT11.pdf</v>
      </c>
    </row>
    <row r="4692" spans="1:28" x14ac:dyDescent="0.25">
      <c r="A4692" t="s">
        <v>4696</v>
      </c>
      <c r="B4692">
        <v>0.99352677808782597</v>
      </c>
      <c r="C4692">
        <v>0.96244754601889004</v>
      </c>
      <c r="D4692">
        <v>0.93166760185312902</v>
      </c>
      <c r="E4692">
        <v>0.67329496941420697</v>
      </c>
      <c r="F4692">
        <v>0.62798977211084706</v>
      </c>
      <c r="G4692">
        <v>0.50148719061851799</v>
      </c>
      <c r="H4692">
        <v>0.47390390328272097</v>
      </c>
      <c r="I4692">
        <v>0.471973167046565</v>
      </c>
      <c r="J4692">
        <v>0.55074262268290797</v>
      </c>
      <c r="K4692">
        <v>0.41408716764370401</v>
      </c>
      <c r="L4692">
        <v>957.36619866145395</v>
      </c>
      <c r="M4692">
        <v>19.3274209451526</v>
      </c>
      <c r="N4692">
        <v>58.285864372775897</v>
      </c>
      <c r="O4692">
        <v>49.012949554901098</v>
      </c>
      <c r="P4692">
        <v>-5.2000145738055503E-2</v>
      </c>
      <c r="Q4692">
        <v>0.47254513399485398</v>
      </c>
      <c r="R4692">
        <v>0.96942526362930204</v>
      </c>
      <c r="S4692" t="s">
        <v>10977</v>
      </c>
      <c r="T4692" t="s">
        <v>12568</v>
      </c>
      <c r="U4692" t="s">
        <v>12568</v>
      </c>
      <c r="V4692" t="s">
        <v>12568</v>
      </c>
      <c r="W4692" t="s">
        <v>17211</v>
      </c>
      <c r="X4692">
        <v>10</v>
      </c>
      <c r="Y4692" t="s">
        <v>23318</v>
      </c>
      <c r="Z4692" t="s">
        <v>29562</v>
      </c>
      <c r="AA4692">
        <v>0.64804724935950875</v>
      </c>
      <c r="AB4692" t="str">
        <f>HYPERLINK("Melting_Curves/meltCurve_Q96G74_3_OTUD5.pdf", "Melting_Curves/meltCurve_Q96G74_3_OTUD5.pdf")</f>
        <v>Melting_Curves/meltCurve_Q96G74_3_OTUD5.pdf</v>
      </c>
    </row>
    <row r="4693" spans="1:28" x14ac:dyDescent="0.25">
      <c r="A4693" t="s">
        <v>4697</v>
      </c>
      <c r="B4693">
        <v>0.99352677808782597</v>
      </c>
      <c r="C4693">
        <v>0.976048464026681</v>
      </c>
      <c r="D4693">
        <v>1.0131680846836799</v>
      </c>
      <c r="E4693">
        <v>0.84331236802759002</v>
      </c>
      <c r="F4693">
        <v>0.72829503090915304</v>
      </c>
      <c r="G4693">
        <v>0.61652412956834202</v>
      </c>
      <c r="H4693">
        <v>0.50614496761929195</v>
      </c>
      <c r="I4693">
        <v>0.52075435124621094</v>
      </c>
      <c r="J4693">
        <v>0.53761017749726603</v>
      </c>
      <c r="K4693">
        <v>0.47483113728375198</v>
      </c>
      <c r="L4693">
        <v>985.688321121434</v>
      </c>
      <c r="M4693">
        <v>18.731580316469</v>
      </c>
      <c r="O4693">
        <v>52.032996383724303</v>
      </c>
      <c r="P4693">
        <v>-4.5269581310953599E-2</v>
      </c>
      <c r="Q4693">
        <v>0.49701784830663898</v>
      </c>
      <c r="R4693">
        <v>0.986691531490405</v>
      </c>
      <c r="S4693" t="s">
        <v>10978</v>
      </c>
      <c r="T4693" t="s">
        <v>12568</v>
      </c>
      <c r="U4693" t="s">
        <v>12568</v>
      </c>
      <c r="V4693" t="s">
        <v>12568</v>
      </c>
      <c r="W4693" t="s">
        <v>17212</v>
      </c>
      <c r="X4693">
        <v>9</v>
      </c>
      <c r="Y4693" t="s">
        <v>23319</v>
      </c>
      <c r="Z4693" t="s">
        <v>29563</v>
      </c>
      <c r="AA4693">
        <v>0.71639543119391413</v>
      </c>
      <c r="AB4693" t="str">
        <f>HYPERLINK("Melting_Curves/meltCurve_Q96GA3_LTV1.pdf", "Melting_Curves/meltCurve_Q96GA3_LTV1.pdf")</f>
        <v>Melting_Curves/meltCurve_Q96GA3_LTV1.pdf</v>
      </c>
    </row>
    <row r="4694" spans="1:28" x14ac:dyDescent="0.25">
      <c r="A4694" t="s">
        <v>4698</v>
      </c>
      <c r="B4694">
        <v>0.99352677808782597</v>
      </c>
      <c r="C4694">
        <v>0.97468113781842702</v>
      </c>
      <c r="D4694">
        <v>0.98466091258330701</v>
      </c>
      <c r="E4694">
        <v>0.82158470578013498</v>
      </c>
      <c r="F4694">
        <v>0.75784120054280402</v>
      </c>
      <c r="G4694">
        <v>0.60460221848224704</v>
      </c>
      <c r="H4694">
        <v>0.44848981224680701</v>
      </c>
      <c r="I4694">
        <v>0.33736864299410702</v>
      </c>
      <c r="J4694">
        <v>0.17279459583694101</v>
      </c>
      <c r="K4694">
        <v>7.3364514842433504E-2</v>
      </c>
      <c r="L4694">
        <v>653.53083872932405</v>
      </c>
      <c r="M4694">
        <v>11.095928695199101</v>
      </c>
      <c r="N4694">
        <v>58.898273117143098</v>
      </c>
      <c r="O4694">
        <v>57.082255606105797</v>
      </c>
      <c r="P4694">
        <v>-4.8612061653685798E-2</v>
      </c>
      <c r="Q4694">
        <v>0</v>
      </c>
      <c r="R4694">
        <v>0.98597501990532399</v>
      </c>
      <c r="S4694" t="s">
        <v>10979</v>
      </c>
      <c r="T4694" t="s">
        <v>12568</v>
      </c>
      <c r="U4694" t="s">
        <v>12568</v>
      </c>
      <c r="V4694" t="s">
        <v>12568</v>
      </c>
      <c r="W4694" t="s">
        <v>17213</v>
      </c>
      <c r="X4694">
        <v>8</v>
      </c>
      <c r="Y4694" t="s">
        <v>23320</v>
      </c>
      <c r="Z4694" t="s">
        <v>29564</v>
      </c>
      <c r="AA4694">
        <v>0.63677427827568489</v>
      </c>
      <c r="AB4694" t="str">
        <f>HYPERLINK("Melting_Curves/meltCurve_Q96GA7_SDSL.pdf", "Melting_Curves/meltCurve_Q96GA7_SDSL.pdf")</f>
        <v>Melting_Curves/meltCurve_Q96GA7_SDSL.pdf</v>
      </c>
    </row>
    <row r="4695" spans="1:28" x14ac:dyDescent="0.25">
      <c r="A4695" t="s">
        <v>4699</v>
      </c>
      <c r="B4695">
        <v>0.99352677808782597</v>
      </c>
      <c r="C4695">
        <v>1.0238493730853699</v>
      </c>
      <c r="D4695">
        <v>1.01424104686594</v>
      </c>
      <c r="E4695">
        <v>0.94576550243922997</v>
      </c>
      <c r="F4695">
        <v>0.85124175532579605</v>
      </c>
      <c r="G4695">
        <v>0.73255854948101795</v>
      </c>
      <c r="H4695">
        <v>0.73158551131189498</v>
      </c>
      <c r="I4695">
        <v>0.76550865421760195</v>
      </c>
      <c r="J4695">
        <v>0.67491975330304399</v>
      </c>
      <c r="K4695">
        <v>0.34007863416198197</v>
      </c>
      <c r="L4695">
        <v>497.180422273857</v>
      </c>
      <c r="M4695">
        <v>7.1530346633720301</v>
      </c>
      <c r="N4695">
        <v>69.506229445265205</v>
      </c>
      <c r="O4695">
        <v>64.6887925171185</v>
      </c>
      <c r="P4695">
        <v>-2.7691370192472E-2</v>
      </c>
      <c r="Q4695">
        <v>0</v>
      </c>
      <c r="R4695">
        <v>0.84399397614510197</v>
      </c>
      <c r="S4695" t="s">
        <v>10980</v>
      </c>
      <c r="T4695" t="s">
        <v>12568</v>
      </c>
      <c r="U4695" t="s">
        <v>12568</v>
      </c>
      <c r="V4695" t="s">
        <v>12568</v>
      </c>
      <c r="W4695" t="s">
        <v>17214</v>
      </c>
      <c r="X4695">
        <v>10</v>
      </c>
      <c r="Y4695" t="s">
        <v>23321</v>
      </c>
      <c r="Z4695" t="s">
        <v>29565</v>
      </c>
      <c r="AA4695">
        <v>0.81993925543095292</v>
      </c>
      <c r="AB4695" t="str">
        <f>HYPERLINK("Melting_Curves/meltCurve_Q96GD0_PDXP.pdf", "Melting_Curves/meltCurve_Q96GD0_PDXP.pdf")</f>
        <v>Melting_Curves/meltCurve_Q96GD0_PDXP.pdf</v>
      </c>
    </row>
    <row r="4696" spans="1:28" x14ac:dyDescent="0.25">
      <c r="A4696" t="s">
        <v>4700</v>
      </c>
      <c r="B4696">
        <v>0.99352677808782597</v>
      </c>
      <c r="C4696">
        <v>1.02554955740964</v>
      </c>
      <c r="D4696">
        <v>1.2813023619344699</v>
      </c>
      <c r="E4696">
        <v>0.32914083660315402</v>
      </c>
      <c r="F4696">
        <v>0.206808019270279</v>
      </c>
      <c r="G4696">
        <v>0.11223260149735199</v>
      </c>
      <c r="H4696">
        <v>8.16184826375181E-2</v>
      </c>
      <c r="I4696">
        <v>7.2813028081543496E-2</v>
      </c>
      <c r="J4696">
        <v>6.5933264297377905E-2</v>
      </c>
      <c r="K4696">
        <v>3.8804157702398402E-2</v>
      </c>
      <c r="L4696">
        <v>5729.9179431987604</v>
      </c>
      <c r="M4696">
        <v>115.653324050108</v>
      </c>
      <c r="N4696">
        <v>49.635634285373797</v>
      </c>
      <c r="O4696">
        <v>49.529102034679802</v>
      </c>
      <c r="P4696">
        <v>-0.52759307220719398</v>
      </c>
      <c r="Q4696">
        <v>9.6222769569403996E-2</v>
      </c>
      <c r="R4696">
        <v>0.95350454456568901</v>
      </c>
      <c r="S4696" t="s">
        <v>10981</v>
      </c>
      <c r="T4696" t="s">
        <v>12568</v>
      </c>
      <c r="U4696" t="s">
        <v>12568</v>
      </c>
      <c r="V4696" t="s">
        <v>12568</v>
      </c>
      <c r="W4696" t="s">
        <v>17215</v>
      </c>
      <c r="X4696">
        <v>1</v>
      </c>
      <c r="Y4696" t="s">
        <v>23322</v>
      </c>
      <c r="Z4696" t="s">
        <v>29566</v>
      </c>
      <c r="AA4696">
        <v>0.38410922527294522</v>
      </c>
      <c r="AB4696" t="str">
        <f>HYPERLINK("Melting_Curves/meltCurve_Q96GE4_CEP95.pdf", "Melting_Curves/meltCurve_Q96GE4_CEP95.pdf")</f>
        <v>Melting_Curves/meltCurve_Q96GE4_CEP95.pdf</v>
      </c>
    </row>
    <row r="4697" spans="1:28" x14ac:dyDescent="0.25">
      <c r="A4697" t="s">
        <v>4701</v>
      </c>
      <c r="B4697">
        <v>0.99352677808782597</v>
      </c>
      <c r="C4697">
        <v>0.98171473157942801</v>
      </c>
      <c r="D4697">
        <v>1.0036451436149401</v>
      </c>
      <c r="E4697">
        <v>0.85114535687726101</v>
      </c>
      <c r="F4697">
        <v>0.790644290091851</v>
      </c>
      <c r="G4697">
        <v>0.29102177629972298</v>
      </c>
      <c r="H4697">
        <v>0.13836092004188799</v>
      </c>
      <c r="I4697">
        <v>0.13655556202298899</v>
      </c>
      <c r="J4697">
        <v>9.52579266250346E-2</v>
      </c>
      <c r="K4697">
        <v>7.9222244746066095E-2</v>
      </c>
      <c r="L4697">
        <v>1502.52868047529</v>
      </c>
      <c r="M4697">
        <v>27.441445037750199</v>
      </c>
      <c r="N4697">
        <v>55.152036067967799</v>
      </c>
      <c r="O4697">
        <v>54.465696439937602</v>
      </c>
      <c r="P4697">
        <v>-0.11464348585895701</v>
      </c>
      <c r="Q4697">
        <v>8.9832288185969805E-2</v>
      </c>
      <c r="R4697">
        <v>0.99200999923731603</v>
      </c>
      <c r="S4697" t="s">
        <v>10982</v>
      </c>
      <c r="T4697" t="s">
        <v>12568</v>
      </c>
      <c r="U4697" t="s">
        <v>12568</v>
      </c>
      <c r="V4697" t="s">
        <v>12568</v>
      </c>
      <c r="W4697" t="s">
        <v>17216</v>
      </c>
      <c r="X4697">
        <v>10</v>
      </c>
      <c r="Y4697" t="s">
        <v>23323</v>
      </c>
      <c r="Z4697" t="s">
        <v>29567</v>
      </c>
      <c r="AA4697">
        <v>0.5445721814087795</v>
      </c>
      <c r="AB4697" t="str">
        <f>HYPERLINK("Melting_Curves/meltCurve_Q96GG9_DCUN1D1.pdf", "Melting_Curves/meltCurve_Q96GG9_DCUN1D1.pdf")</f>
        <v>Melting_Curves/meltCurve_Q96GG9_DCUN1D1.pdf</v>
      </c>
    </row>
    <row r="4698" spans="1:28" x14ac:dyDescent="0.25">
      <c r="A4698" t="s">
        <v>4702</v>
      </c>
      <c r="B4698">
        <v>0.99352677808782597</v>
      </c>
      <c r="C4698">
        <v>0.92988624473058601</v>
      </c>
      <c r="D4698">
        <v>0.91799835720273903</v>
      </c>
      <c r="E4698">
        <v>0.48208694707529398</v>
      </c>
      <c r="F4698">
        <v>0.42129669403502101</v>
      </c>
      <c r="G4698">
        <v>0.191076973480379</v>
      </c>
      <c r="H4698">
        <v>0.14827418611113599</v>
      </c>
      <c r="I4698">
        <v>0.14006024362703201</v>
      </c>
      <c r="J4698">
        <v>0.114408024246965</v>
      </c>
      <c r="K4698">
        <v>7.1993000356359804E-2</v>
      </c>
      <c r="L4698">
        <v>867.92230558232598</v>
      </c>
      <c r="M4698">
        <v>17.282489678768901</v>
      </c>
      <c r="N4698">
        <v>50.874583704251499</v>
      </c>
      <c r="O4698">
        <v>49.561840454793</v>
      </c>
      <c r="P4698">
        <v>-7.8487434430438999E-2</v>
      </c>
      <c r="Q4698">
        <v>9.9723151187413595E-2</v>
      </c>
      <c r="R4698">
        <v>0.98520971363195198</v>
      </c>
      <c r="S4698" t="s">
        <v>10983</v>
      </c>
      <c r="T4698" t="s">
        <v>12568</v>
      </c>
      <c r="U4698" t="s">
        <v>12568</v>
      </c>
      <c r="V4698" t="s">
        <v>12568</v>
      </c>
      <c r="W4698" t="s">
        <v>17217</v>
      </c>
      <c r="X4698">
        <v>10</v>
      </c>
      <c r="Y4698" t="s">
        <v>23324</v>
      </c>
      <c r="Z4698" t="s">
        <v>29568</v>
      </c>
      <c r="AA4698">
        <v>0.42292691829125878</v>
      </c>
      <c r="AB4698" t="str">
        <f>HYPERLINK("Melting_Curves/meltCurve_Q96GK7_FAHD2A.pdf", "Melting_Curves/meltCurve_Q96GK7_FAHD2A.pdf")</f>
        <v>Melting_Curves/meltCurve_Q96GK7_FAHD2A.pdf</v>
      </c>
    </row>
    <row r="4699" spans="1:28" x14ac:dyDescent="0.25">
      <c r="A4699" t="s">
        <v>4703</v>
      </c>
      <c r="B4699">
        <v>0.99352677808782597</v>
      </c>
      <c r="C4699">
        <v>0.94760145219501102</v>
      </c>
      <c r="D4699">
        <v>0.707653424568918</v>
      </c>
      <c r="E4699">
        <v>0.28271677481822499</v>
      </c>
      <c r="F4699">
        <v>0.20749151186006001</v>
      </c>
      <c r="G4699">
        <v>0.124831901974767</v>
      </c>
      <c r="H4699">
        <v>8.1009758431138695E-2</v>
      </c>
      <c r="I4699">
        <v>7.6818174430025504E-2</v>
      </c>
      <c r="J4699">
        <v>5.6283261964758198E-2</v>
      </c>
      <c r="K4699">
        <v>4.1301395110705699E-2</v>
      </c>
      <c r="L4699">
        <v>1043.7694233666</v>
      </c>
      <c r="M4699">
        <v>21.909319244756599</v>
      </c>
      <c r="N4699">
        <v>47.979929336515902</v>
      </c>
      <c r="O4699">
        <v>47.248880444681902</v>
      </c>
      <c r="P4699">
        <v>-0.10760367972175</v>
      </c>
      <c r="Q4699">
        <v>7.1803768460337106E-2</v>
      </c>
      <c r="R4699">
        <v>0.99561503832556297</v>
      </c>
      <c r="S4699" t="s">
        <v>10984</v>
      </c>
      <c r="T4699" t="s">
        <v>12568</v>
      </c>
      <c r="U4699" t="s">
        <v>12568</v>
      </c>
      <c r="V4699" t="s">
        <v>12568</v>
      </c>
      <c r="W4699" t="s">
        <v>17218</v>
      </c>
      <c r="X4699">
        <v>6</v>
      </c>
      <c r="Y4699" t="s">
        <v>23325</v>
      </c>
      <c r="Z4699" t="s">
        <v>29569</v>
      </c>
      <c r="AA4699">
        <v>0.31912392787164179</v>
      </c>
      <c r="AB4699" t="str">
        <f>HYPERLINK("Melting_Curves/meltCurve_Q96GM5_SMARCD1.pdf", "Melting_Curves/meltCurve_Q96GM5_SMARCD1.pdf")</f>
        <v>Melting_Curves/meltCurve_Q96GM5_SMARCD1.pdf</v>
      </c>
    </row>
    <row r="4700" spans="1:28" x14ac:dyDescent="0.25">
      <c r="A4700" t="s">
        <v>4704</v>
      </c>
      <c r="B4700">
        <v>0.99352677808782597</v>
      </c>
      <c r="C4700">
        <v>0.95471808346634901</v>
      </c>
      <c r="D4700">
        <v>1.17262060037736</v>
      </c>
      <c r="E4700">
        <v>0.754261410525498</v>
      </c>
      <c r="F4700">
        <v>0.72567082249443304</v>
      </c>
      <c r="G4700">
        <v>0.33869885317520299</v>
      </c>
      <c r="H4700">
        <v>0.40417592322914098</v>
      </c>
      <c r="I4700">
        <v>0.42031123571135698</v>
      </c>
      <c r="J4700">
        <v>0.283863824513515</v>
      </c>
      <c r="K4700">
        <v>0.19028463781691701</v>
      </c>
      <c r="L4700">
        <v>1176.5745632057301</v>
      </c>
      <c r="M4700">
        <v>22.1608065118828</v>
      </c>
      <c r="N4700">
        <v>55.321635676298499</v>
      </c>
      <c r="O4700">
        <v>52.665946363895799</v>
      </c>
      <c r="P4700">
        <v>-7.4135835611741294E-2</v>
      </c>
      <c r="Q4700">
        <v>0.29526967278004801</v>
      </c>
      <c r="R4700">
        <v>0.91281757648779904</v>
      </c>
      <c r="S4700" t="s">
        <v>10985</v>
      </c>
      <c r="T4700" t="s">
        <v>12568</v>
      </c>
      <c r="U4700" t="s">
        <v>12568</v>
      </c>
      <c r="V4700" t="s">
        <v>12568</v>
      </c>
      <c r="W4700" t="s">
        <v>17219</v>
      </c>
      <c r="X4700">
        <v>2</v>
      </c>
      <c r="Y4700" t="s">
        <v>23326</v>
      </c>
      <c r="Z4700" t="s">
        <v>29570</v>
      </c>
      <c r="AA4700">
        <v>0.61092549780260486</v>
      </c>
      <c r="AB4700" t="str">
        <f>HYPERLINK("Melting_Curves/meltCurve_Q96GM8_TOE1.pdf", "Melting_Curves/meltCurve_Q96GM8_TOE1.pdf")</f>
        <v>Melting_Curves/meltCurve_Q96GM8_TOE1.pdf</v>
      </c>
    </row>
    <row r="4701" spans="1:28" x14ac:dyDescent="0.25">
      <c r="A4701" t="s">
        <v>4705</v>
      </c>
      <c r="B4701">
        <v>0.99352677808782597</v>
      </c>
      <c r="C4701">
        <v>1.0163245152452001</v>
      </c>
      <c r="D4701">
        <v>1.03335951820988</v>
      </c>
      <c r="E4701">
        <v>0.737216869826264</v>
      </c>
      <c r="F4701">
        <v>0.65820625547450795</v>
      </c>
      <c r="G4701">
        <v>0.46958735682720398</v>
      </c>
      <c r="H4701">
        <v>0.39347763304141498</v>
      </c>
      <c r="I4701">
        <v>0.37960519368747198</v>
      </c>
      <c r="J4701">
        <v>0.36802081541523302</v>
      </c>
      <c r="K4701">
        <v>0.27774513497359199</v>
      </c>
      <c r="L4701">
        <v>910.65139317357796</v>
      </c>
      <c r="M4701">
        <v>17.327940222586498</v>
      </c>
      <c r="N4701">
        <v>55.987705573032898</v>
      </c>
      <c r="O4701">
        <v>51.868972102858102</v>
      </c>
      <c r="P4701">
        <v>-5.6190221672114703E-2</v>
      </c>
      <c r="Q4701">
        <v>0.32724560998281199</v>
      </c>
      <c r="R4701">
        <v>0.97766291595219601</v>
      </c>
      <c r="S4701" t="s">
        <v>10986</v>
      </c>
      <c r="T4701" t="s">
        <v>12568</v>
      </c>
      <c r="U4701" t="s">
        <v>12568</v>
      </c>
      <c r="V4701" t="s">
        <v>12568</v>
      </c>
      <c r="W4701" t="s">
        <v>17220</v>
      </c>
      <c r="X4701">
        <v>8</v>
      </c>
      <c r="Y4701" t="s">
        <v>23327</v>
      </c>
      <c r="Z4701" t="s">
        <v>29571</v>
      </c>
      <c r="AA4701">
        <v>0.62058251054347013</v>
      </c>
      <c r="AB4701" t="str">
        <f>HYPERLINK("Melting_Curves/meltCurve_Q96GQ7_DDX27.pdf", "Melting_Curves/meltCurve_Q96GQ7_DDX27.pdf")</f>
        <v>Melting_Curves/meltCurve_Q96GQ7_DDX27.pdf</v>
      </c>
    </row>
    <row r="4702" spans="1:28" x14ac:dyDescent="0.25">
      <c r="A4702" t="s">
        <v>4706</v>
      </c>
      <c r="B4702">
        <v>0.99352677808782597</v>
      </c>
      <c r="C4702">
        <v>0.99529768495273896</v>
      </c>
      <c r="D4702">
        <v>0.92028435537531295</v>
      </c>
      <c r="E4702">
        <v>0.81317818162177102</v>
      </c>
      <c r="F4702">
        <v>0.748530599522924</v>
      </c>
      <c r="G4702">
        <v>0.55118449241619605</v>
      </c>
      <c r="H4702">
        <v>0.405481428242422</v>
      </c>
      <c r="I4702">
        <v>0.31140971813676899</v>
      </c>
      <c r="J4702">
        <v>0.27009012393661402</v>
      </c>
      <c r="K4702">
        <v>0.235338245305694</v>
      </c>
      <c r="L4702">
        <v>616.98929091054504</v>
      </c>
      <c r="M4702">
        <v>10.8848930256743</v>
      </c>
      <c r="N4702">
        <v>58.309990434393796</v>
      </c>
      <c r="O4702">
        <v>54.870571772447398</v>
      </c>
      <c r="P4702">
        <v>-4.3113935589697401E-2</v>
      </c>
      <c r="Q4702">
        <v>0.130958702246777</v>
      </c>
      <c r="R4702">
        <v>0.99748570249609803</v>
      </c>
      <c r="S4702" t="s">
        <v>10987</v>
      </c>
      <c r="T4702" t="s">
        <v>12568</v>
      </c>
      <c r="U4702" t="s">
        <v>12568</v>
      </c>
      <c r="V4702" t="s">
        <v>12568</v>
      </c>
      <c r="W4702" t="s">
        <v>17221</v>
      </c>
      <c r="X4702">
        <v>12</v>
      </c>
      <c r="Y4702" t="s">
        <v>23328</v>
      </c>
      <c r="Z4702" t="s">
        <v>29572</v>
      </c>
      <c r="AA4702">
        <v>0.62986212629026561</v>
      </c>
      <c r="AB4702" t="str">
        <f>HYPERLINK("Melting_Curves/meltCurve_Q96GS4_C17orf59.pdf", "Melting_Curves/meltCurve_Q96GS4_C17orf59.pdf")</f>
        <v>Melting_Curves/meltCurve_Q96GS4_C17orf59.pdf</v>
      </c>
    </row>
    <row r="4703" spans="1:28" x14ac:dyDescent="0.25">
      <c r="A4703" t="s">
        <v>4707</v>
      </c>
      <c r="B4703">
        <v>0.99352677808782597</v>
      </c>
      <c r="C4703">
        <v>0.83784644800131403</v>
      </c>
      <c r="D4703">
        <v>0.94351833179657596</v>
      </c>
      <c r="E4703">
        <v>0.67047353764562301</v>
      </c>
      <c r="F4703">
        <v>0.55049557875378297</v>
      </c>
      <c r="G4703">
        <v>0.36986349516609102</v>
      </c>
      <c r="H4703">
        <v>0.22244784390053099</v>
      </c>
      <c r="I4703">
        <v>0.205593614367864</v>
      </c>
      <c r="J4703">
        <v>0.12618456244422199</v>
      </c>
      <c r="K4703">
        <v>0.102195755709603</v>
      </c>
      <c r="L4703">
        <v>570.49964322113601</v>
      </c>
      <c r="M4703">
        <v>10.6292961048058</v>
      </c>
      <c r="N4703">
        <v>53.983220387179799</v>
      </c>
      <c r="O4703">
        <v>51.877189234137902</v>
      </c>
      <c r="P4703">
        <v>-4.9721955303618698E-2</v>
      </c>
      <c r="Q4703">
        <v>2.9684486134383299E-2</v>
      </c>
      <c r="R4703">
        <v>0.98201918987610304</v>
      </c>
      <c r="S4703" t="s">
        <v>10988</v>
      </c>
      <c r="T4703" t="s">
        <v>12568</v>
      </c>
      <c r="U4703" t="s">
        <v>12568</v>
      </c>
      <c r="V4703" t="s">
        <v>12568</v>
      </c>
      <c r="W4703" t="s">
        <v>17222</v>
      </c>
      <c r="X4703">
        <v>2</v>
      </c>
      <c r="Y4703" t="s">
        <v>23329</v>
      </c>
      <c r="Z4703" t="s">
        <v>29573</v>
      </c>
      <c r="AA4703">
        <v>0.50107128545427393</v>
      </c>
      <c r="AB4703" t="str">
        <f>HYPERLINK("Melting_Curves/meltCurve_Q96GV9_C5orf30.pdf", "Melting_Curves/meltCurve_Q96GV9_C5orf30.pdf")</f>
        <v>Melting_Curves/meltCurve_Q96GV9_C5orf30.pdf</v>
      </c>
    </row>
    <row r="4704" spans="1:28" x14ac:dyDescent="0.25">
      <c r="A4704" t="s">
        <v>4708</v>
      </c>
      <c r="B4704">
        <v>0.99352677808782597</v>
      </c>
      <c r="C4704">
        <v>0.96515111713632495</v>
      </c>
      <c r="D4704">
        <v>0.95200311299662499</v>
      </c>
      <c r="E4704">
        <v>0.84674892580945804</v>
      </c>
      <c r="F4704">
        <v>0.79593188350311395</v>
      </c>
      <c r="G4704">
        <v>0.59011794004315199</v>
      </c>
      <c r="H4704">
        <v>0.31590575049113101</v>
      </c>
      <c r="I4704">
        <v>0.213430422714322</v>
      </c>
      <c r="J4704">
        <v>0.16473885295613899</v>
      </c>
      <c r="K4704">
        <v>0.154027893356351</v>
      </c>
      <c r="L4704">
        <v>790.80147059230205</v>
      </c>
      <c r="M4704">
        <v>13.768023283416801</v>
      </c>
      <c r="N4704">
        <v>57.902728235673699</v>
      </c>
      <c r="O4704">
        <v>56.266495104415</v>
      </c>
      <c r="P4704">
        <v>-5.79785198967087E-2</v>
      </c>
      <c r="Q4704">
        <v>5.2358660321812397E-2</v>
      </c>
      <c r="R4704">
        <v>0.99348026612693796</v>
      </c>
      <c r="S4704" t="s">
        <v>10989</v>
      </c>
      <c r="T4704" t="s">
        <v>12568</v>
      </c>
      <c r="U4704" t="s">
        <v>12568</v>
      </c>
      <c r="V4704" t="s">
        <v>12568</v>
      </c>
      <c r="W4704" t="s">
        <v>17223</v>
      </c>
      <c r="X4704">
        <v>4</v>
      </c>
      <c r="Y4704" t="s">
        <v>23330</v>
      </c>
      <c r="Z4704" t="s">
        <v>29574</v>
      </c>
      <c r="AA4704">
        <v>0.61759717503260059</v>
      </c>
      <c r="AB4704" t="str">
        <f>HYPERLINK("Melting_Curves/meltCurve_Q96GW9_MARS2.pdf", "Melting_Curves/meltCurve_Q96GW9_MARS2.pdf")</f>
        <v>Melting_Curves/meltCurve_Q96GW9_MARS2.pdf</v>
      </c>
    </row>
    <row r="4705" spans="1:28" x14ac:dyDescent="0.25">
      <c r="A4705" t="s">
        <v>4709</v>
      </c>
      <c r="B4705">
        <v>0.99352677808782597</v>
      </c>
      <c r="C4705">
        <v>0.98578897911824903</v>
      </c>
      <c r="D4705">
        <v>0.98244814468687403</v>
      </c>
      <c r="E4705">
        <v>0.91748262662329405</v>
      </c>
      <c r="F4705">
        <v>0.81164279139370699</v>
      </c>
      <c r="G4705">
        <v>0.56918268323164101</v>
      </c>
      <c r="H4705">
        <v>0.35743595732924499</v>
      </c>
      <c r="I4705">
        <v>0.283838054973577</v>
      </c>
      <c r="J4705">
        <v>0.22250164371037001</v>
      </c>
      <c r="K4705">
        <v>0.178638864948929</v>
      </c>
      <c r="L4705">
        <v>922.28253212755101</v>
      </c>
      <c r="M4705">
        <v>16.186363731209799</v>
      </c>
      <c r="N4705">
        <v>58.239836024110303</v>
      </c>
      <c r="O4705">
        <v>56.1305764860913</v>
      </c>
      <c r="P4705">
        <v>-6.1441404799959402E-2</v>
      </c>
      <c r="Q4705">
        <v>0.14780540285439001</v>
      </c>
      <c r="R4705">
        <v>0.999499874236219</v>
      </c>
      <c r="S4705" t="s">
        <v>10990</v>
      </c>
      <c r="T4705" t="s">
        <v>12568</v>
      </c>
      <c r="U4705" t="s">
        <v>12568</v>
      </c>
      <c r="V4705" t="s">
        <v>12568</v>
      </c>
      <c r="W4705" t="s">
        <v>17224</v>
      </c>
      <c r="X4705">
        <v>3</v>
      </c>
      <c r="Y4705" t="s">
        <v>23331</v>
      </c>
      <c r="Z4705" t="s">
        <v>29575</v>
      </c>
      <c r="AA4705">
        <v>0.64296925228888269</v>
      </c>
      <c r="AB4705" t="str">
        <f>HYPERLINK("Melting_Curves/meltCurve_Q96GX2_ATXN7L3B.pdf", "Melting_Curves/meltCurve_Q96GX2_ATXN7L3B.pdf")</f>
        <v>Melting_Curves/meltCurve_Q96GX2_ATXN7L3B.pdf</v>
      </c>
    </row>
    <row r="4706" spans="1:28" x14ac:dyDescent="0.25">
      <c r="A4706" t="s">
        <v>4710</v>
      </c>
      <c r="B4706">
        <v>0.99352677808782597</v>
      </c>
      <c r="C4706">
        <v>0.93544452553915303</v>
      </c>
      <c r="D4706">
        <v>0.88361704271681996</v>
      </c>
      <c r="E4706">
        <v>0.53573618029458403</v>
      </c>
      <c r="F4706">
        <v>0.48311900447146</v>
      </c>
      <c r="G4706">
        <v>0.39641811651414499</v>
      </c>
      <c r="H4706">
        <v>0.32683030854438699</v>
      </c>
      <c r="I4706">
        <v>0.36814291292442203</v>
      </c>
      <c r="J4706">
        <v>0.369648390157645</v>
      </c>
      <c r="K4706">
        <v>0.32962536045145102</v>
      </c>
      <c r="L4706">
        <v>1039.9899641495599</v>
      </c>
      <c r="M4706">
        <v>21.419449983223799</v>
      </c>
      <c r="N4706">
        <v>51.484616079709099</v>
      </c>
      <c r="O4706">
        <v>48.136280022866998</v>
      </c>
      <c r="P4706">
        <v>-7.2054228141009299E-2</v>
      </c>
      <c r="Q4706">
        <v>0.35230166982665601</v>
      </c>
      <c r="R4706">
        <v>0.98799529667861896</v>
      </c>
      <c r="S4706" t="s">
        <v>10991</v>
      </c>
      <c r="T4706" t="s">
        <v>12568</v>
      </c>
      <c r="U4706" t="s">
        <v>12568</v>
      </c>
      <c r="V4706" t="s">
        <v>12568</v>
      </c>
      <c r="W4706" t="s">
        <v>17225</v>
      </c>
      <c r="X4706">
        <v>8</v>
      </c>
      <c r="Y4706" t="s">
        <v>23332</v>
      </c>
      <c r="Z4706" t="s">
        <v>29576</v>
      </c>
      <c r="AA4706">
        <v>0.54487979972415479</v>
      </c>
      <c r="AB4706" t="str">
        <f>HYPERLINK("Melting_Curves/meltCurve_Q96GX5_MASTL.pdf", "Melting_Curves/meltCurve_Q96GX5_MASTL.pdf")</f>
        <v>Melting_Curves/meltCurve_Q96GX5_MASTL.pdf</v>
      </c>
    </row>
    <row r="4707" spans="1:28" x14ac:dyDescent="0.25">
      <c r="A4707" t="s">
        <v>4711</v>
      </c>
      <c r="B4707">
        <v>0.99352677808782597</v>
      </c>
      <c r="C4707">
        <v>1.05604664525154</v>
      </c>
      <c r="D4707">
        <v>0.93907272194069302</v>
      </c>
      <c r="E4707">
        <v>0.86306332715508804</v>
      </c>
      <c r="F4707">
        <v>0.74940437769527601</v>
      </c>
      <c r="G4707">
        <v>0.59334957493305795</v>
      </c>
      <c r="H4707">
        <v>0.83818093037485797</v>
      </c>
      <c r="I4707">
        <v>0.78918182350527899</v>
      </c>
      <c r="J4707">
        <v>0.96800908780707295</v>
      </c>
      <c r="K4707">
        <v>0.62894071349311398</v>
      </c>
      <c r="L4707">
        <v>1703.3340648682699</v>
      </c>
      <c r="M4707">
        <v>34.826596635662597</v>
      </c>
      <c r="O4707">
        <v>48.748585533744603</v>
      </c>
      <c r="P4707">
        <v>-4.2657544853882103E-2</v>
      </c>
      <c r="Q4707">
        <v>0.76116098798073595</v>
      </c>
      <c r="R4707">
        <v>0.52219718972845997</v>
      </c>
      <c r="S4707" t="s">
        <v>10992</v>
      </c>
      <c r="T4707" t="s">
        <v>12568</v>
      </c>
      <c r="U4707" t="s">
        <v>12568</v>
      </c>
      <c r="V4707" t="s">
        <v>12568</v>
      </c>
      <c r="W4707" t="s">
        <v>17226</v>
      </c>
      <c r="X4707">
        <v>9</v>
      </c>
      <c r="Y4707" t="s">
        <v>23333</v>
      </c>
      <c r="Z4707" t="s">
        <v>29577</v>
      </c>
      <c r="AA4707">
        <v>0.83315910420597561</v>
      </c>
      <c r="AB4707" t="str">
        <f>HYPERLINK("Melting_Curves/meltCurve_Q96GX9_APIP.pdf", "Melting_Curves/meltCurve_Q96GX9_APIP.pdf")</f>
        <v>Melting_Curves/meltCurve_Q96GX9_APIP.pdf</v>
      </c>
    </row>
    <row r="4708" spans="1:28" x14ac:dyDescent="0.25">
      <c r="A4708" t="s">
        <v>4712</v>
      </c>
      <c r="B4708">
        <v>0.99352677808782597</v>
      </c>
      <c r="C4708">
        <v>0.95152063698562706</v>
      </c>
      <c r="D4708">
        <v>0.96189275984953504</v>
      </c>
      <c r="E4708">
        <v>0.93272535059205597</v>
      </c>
      <c r="F4708">
        <v>0.92675328114137601</v>
      </c>
      <c r="G4708">
        <v>0.892598143843641</v>
      </c>
      <c r="H4708">
        <v>0.97667858008172603</v>
      </c>
      <c r="I4708">
        <v>0.98984752881173799</v>
      </c>
      <c r="J4708">
        <v>0.96469387820336305</v>
      </c>
      <c r="K4708">
        <v>0.84114467035143603</v>
      </c>
      <c r="L4708">
        <v>809.51115487479694</v>
      </c>
      <c r="M4708">
        <v>18.924344771921</v>
      </c>
      <c r="O4708">
        <v>42.307113013188101</v>
      </c>
      <c r="P4708">
        <v>-7.5892256518257997E-3</v>
      </c>
      <c r="Q4708">
        <v>0.93213709827897295</v>
      </c>
      <c r="R4708">
        <v>0.16355157565525699</v>
      </c>
      <c r="S4708" t="s">
        <v>10993</v>
      </c>
      <c r="T4708" t="s">
        <v>12568</v>
      </c>
      <c r="U4708" t="s">
        <v>12568</v>
      </c>
      <c r="V4708" t="s">
        <v>12568</v>
      </c>
      <c r="W4708" t="s">
        <v>17227</v>
      </c>
      <c r="X4708">
        <v>8</v>
      </c>
      <c r="Y4708" t="s">
        <v>23333</v>
      </c>
      <c r="Z4708" t="s">
        <v>29578</v>
      </c>
      <c r="AA4708">
        <v>0.94030046663620781</v>
      </c>
      <c r="AB4708" t="str">
        <f>HYPERLINK("Melting_Curves/meltCurve_Q96GX9_3_APIP.pdf", "Melting_Curves/meltCurve_Q96GX9_3_APIP.pdf")</f>
        <v>Melting_Curves/meltCurve_Q96GX9_3_APIP.pdf</v>
      </c>
    </row>
    <row r="4709" spans="1:28" x14ac:dyDescent="0.25">
      <c r="A4709" t="s">
        <v>4713</v>
      </c>
      <c r="B4709">
        <v>0.99352677808782597</v>
      </c>
      <c r="C4709">
        <v>0.96544271082994904</v>
      </c>
      <c r="D4709">
        <v>0.95058195650444</v>
      </c>
      <c r="E4709">
        <v>0.97169978637342003</v>
      </c>
      <c r="F4709">
        <v>0.89573943389137101</v>
      </c>
      <c r="G4709">
        <v>0.80679938614674396</v>
      </c>
      <c r="H4709">
        <v>0.61542613276345004</v>
      </c>
      <c r="I4709">
        <v>0.71375874159237296</v>
      </c>
      <c r="J4709">
        <v>0.67284848705258904</v>
      </c>
      <c r="K4709">
        <v>0.55532643429951001</v>
      </c>
      <c r="L4709">
        <v>821.24482055765202</v>
      </c>
      <c r="M4709">
        <v>14.4242545375992</v>
      </c>
      <c r="O4709">
        <v>55.874227482266399</v>
      </c>
      <c r="P4709">
        <v>-2.7079571438351401E-2</v>
      </c>
      <c r="Q4709">
        <v>0.58046442563807599</v>
      </c>
      <c r="R4709">
        <v>0.92272438854960004</v>
      </c>
      <c r="S4709" t="s">
        <v>10994</v>
      </c>
      <c r="T4709" t="s">
        <v>12568</v>
      </c>
      <c r="U4709" t="s">
        <v>12568</v>
      </c>
      <c r="V4709" t="s">
        <v>12568</v>
      </c>
      <c r="W4709" t="s">
        <v>17228</v>
      </c>
      <c r="X4709">
        <v>15</v>
      </c>
      <c r="Y4709" t="s">
        <v>23334</v>
      </c>
      <c r="Z4709" t="s">
        <v>29579</v>
      </c>
      <c r="AA4709">
        <v>0.82413095907642697</v>
      </c>
      <c r="AB4709" t="str">
        <f>HYPERLINK("Melting_Curves/meltCurve_Q96GY0_ZC2HC1A.pdf", "Melting_Curves/meltCurve_Q96GY0_ZC2HC1A.pdf")</f>
        <v>Melting_Curves/meltCurve_Q96GY0_ZC2HC1A.pdf</v>
      </c>
    </row>
    <row r="4710" spans="1:28" x14ac:dyDescent="0.25">
      <c r="A4710" t="s">
        <v>4714</v>
      </c>
      <c r="B4710">
        <v>0.99352677808782597</v>
      </c>
      <c r="C4710">
        <v>1.00175294447139</v>
      </c>
      <c r="D4710">
        <v>0.97464694020788301</v>
      </c>
      <c r="E4710">
        <v>0.58306900104583403</v>
      </c>
      <c r="F4710">
        <v>0.45515354297676502</v>
      </c>
      <c r="G4710">
        <v>0.19177153494681101</v>
      </c>
      <c r="H4710">
        <v>9.6007909939608796E-2</v>
      </c>
      <c r="I4710">
        <v>8.2131257970697799E-2</v>
      </c>
      <c r="J4710">
        <v>7.52824594872918E-2</v>
      </c>
      <c r="K4710">
        <v>5.2761083009235099E-2</v>
      </c>
      <c r="L4710">
        <v>961.98907039498295</v>
      </c>
      <c r="M4710">
        <v>18.676399422403701</v>
      </c>
      <c r="N4710">
        <v>51.840793526280102</v>
      </c>
      <c r="O4710">
        <v>50.928640783728298</v>
      </c>
      <c r="P4710">
        <v>-8.6507762332342503E-2</v>
      </c>
      <c r="Q4710">
        <v>5.6448782118276503E-2</v>
      </c>
      <c r="R4710">
        <v>0.99143256640672195</v>
      </c>
      <c r="S4710" t="s">
        <v>10995</v>
      </c>
      <c r="T4710" t="s">
        <v>12568</v>
      </c>
      <c r="U4710" t="s">
        <v>12568</v>
      </c>
      <c r="V4710" t="s">
        <v>12568</v>
      </c>
      <c r="W4710" t="s">
        <v>17229</v>
      </c>
      <c r="X4710">
        <v>9</v>
      </c>
      <c r="Y4710" t="s">
        <v>23335</v>
      </c>
      <c r="Z4710" t="s">
        <v>29580</v>
      </c>
      <c r="AA4710">
        <v>0.43320754619581159</v>
      </c>
      <c r="AB4710" t="str">
        <f>HYPERLINK("Melting_Curves/meltCurve_Q96H20_SNF8.pdf", "Melting_Curves/meltCurve_Q96H20_SNF8.pdf")</f>
        <v>Melting_Curves/meltCurve_Q96H20_SNF8.pdf</v>
      </c>
    </row>
    <row r="4711" spans="1:28" x14ac:dyDescent="0.25">
      <c r="A4711" t="s">
        <v>4715</v>
      </c>
      <c r="B4711">
        <v>0.99352677808782597</v>
      </c>
      <c r="C4711">
        <v>0.87229788852775403</v>
      </c>
      <c r="D4711">
        <v>0.99131682090820294</v>
      </c>
      <c r="E4711">
        <v>0.48695931094788802</v>
      </c>
      <c r="F4711">
        <v>0.472459681154697</v>
      </c>
      <c r="G4711">
        <v>0.178074415492809</v>
      </c>
      <c r="H4711">
        <v>0.118284114809589</v>
      </c>
      <c r="I4711">
        <v>0.11454211025041799</v>
      </c>
      <c r="J4711">
        <v>9.6176235852067596E-2</v>
      </c>
      <c r="K4711">
        <v>8.47429719158794E-2</v>
      </c>
      <c r="L4711">
        <v>873.35809341858896</v>
      </c>
      <c r="M4711">
        <v>17.194615916975799</v>
      </c>
      <c r="N4711">
        <v>51.313672338354102</v>
      </c>
      <c r="O4711">
        <v>50.120450634029403</v>
      </c>
      <c r="P4711">
        <v>-7.8899933265088595E-2</v>
      </c>
      <c r="Q4711">
        <v>8.0115200014421004E-2</v>
      </c>
      <c r="R4711">
        <v>0.96556924775854802</v>
      </c>
      <c r="S4711" t="s">
        <v>10996</v>
      </c>
      <c r="T4711" t="s">
        <v>12568</v>
      </c>
      <c r="U4711" t="s">
        <v>12568</v>
      </c>
      <c r="V4711" t="s">
        <v>12568</v>
      </c>
      <c r="W4711" t="s">
        <v>17230</v>
      </c>
      <c r="X4711">
        <v>9</v>
      </c>
      <c r="Y4711" t="s">
        <v>23336</v>
      </c>
      <c r="Z4711" t="s">
        <v>29581</v>
      </c>
      <c r="AA4711">
        <v>0.42792181794325679</v>
      </c>
      <c r="AB4711" t="str">
        <f>HYPERLINK("Melting_Curves/meltCurve_Q96H79_ZC3HAV1L.pdf", "Melting_Curves/meltCurve_Q96H79_ZC3HAV1L.pdf")</f>
        <v>Melting_Curves/meltCurve_Q96H79_ZC3HAV1L.pdf</v>
      </c>
    </row>
    <row r="4712" spans="1:28" x14ac:dyDescent="0.25">
      <c r="A4712" t="s">
        <v>4716</v>
      </c>
      <c r="B4712">
        <v>0.99352677808782597</v>
      </c>
      <c r="C4712">
        <v>0.88218542051918802</v>
      </c>
      <c r="D4712">
        <v>0.53739566220596302</v>
      </c>
      <c r="E4712">
        <v>0.40645767104578401</v>
      </c>
      <c r="F4712">
        <v>0.29996684959500097</v>
      </c>
      <c r="G4712">
        <v>0.18998500902781601</v>
      </c>
      <c r="H4712">
        <v>0.137271685109638</v>
      </c>
      <c r="I4712">
        <v>0.13556130789832599</v>
      </c>
      <c r="J4712">
        <v>9.3175795519774895E-2</v>
      </c>
      <c r="K4712">
        <v>0.10748666799578099</v>
      </c>
      <c r="L4712">
        <v>679.21301138230797</v>
      </c>
      <c r="M4712">
        <v>14.4047811326231</v>
      </c>
      <c r="N4712">
        <v>47.974547975255398</v>
      </c>
      <c r="O4712">
        <v>46.271119318424901</v>
      </c>
      <c r="P4712">
        <v>-6.9319652740785401E-2</v>
      </c>
      <c r="Q4712">
        <v>0.10942956448197801</v>
      </c>
      <c r="R4712">
        <v>0.98060932726150396</v>
      </c>
      <c r="S4712" t="s">
        <v>10997</v>
      </c>
      <c r="T4712" t="s">
        <v>12568</v>
      </c>
      <c r="U4712" t="s">
        <v>12568</v>
      </c>
      <c r="V4712" t="s">
        <v>12568</v>
      </c>
      <c r="W4712" t="s">
        <v>17231</v>
      </c>
      <c r="X4712">
        <v>4</v>
      </c>
      <c r="Y4712" t="s">
        <v>23337</v>
      </c>
      <c r="Z4712" t="s">
        <v>29582</v>
      </c>
      <c r="AA4712">
        <v>0.34776606870960092</v>
      </c>
      <c r="AB4712" t="str">
        <f>HYPERLINK("Melting_Curves/meltCurve_Q96HA7_2_TONSL.pdf", "Melting_Curves/meltCurve_Q96HA7_2_TONSL.pdf")</f>
        <v>Melting_Curves/meltCurve_Q96HA7_2_TONSL.pdf</v>
      </c>
    </row>
    <row r="4713" spans="1:28" x14ac:dyDescent="0.25">
      <c r="A4713" t="s">
        <v>4717</v>
      </c>
      <c r="B4713">
        <v>0.99352677808782597</v>
      </c>
      <c r="C4713">
        <v>0.94809002682652299</v>
      </c>
      <c r="D4713">
        <v>0.927030222766418</v>
      </c>
      <c r="E4713">
        <v>0.36745150329804099</v>
      </c>
      <c r="F4713">
        <v>0.296963016779204</v>
      </c>
      <c r="G4713">
        <v>0.21091455847097401</v>
      </c>
      <c r="H4713">
        <v>0.17549240777855701</v>
      </c>
      <c r="I4713">
        <v>0.14312768745681101</v>
      </c>
      <c r="J4713">
        <v>0.13735373751369201</v>
      </c>
      <c r="K4713">
        <v>9.9281291855783799E-2</v>
      </c>
      <c r="L4713">
        <v>1536.6719487463399</v>
      </c>
      <c r="M4713">
        <v>31.565909787709298</v>
      </c>
      <c r="N4713">
        <v>49.283192246051001</v>
      </c>
      <c r="O4713">
        <v>48.487259781151401</v>
      </c>
      <c r="P4713">
        <v>-0.136724839121422</v>
      </c>
      <c r="Q4713">
        <v>0.159932247659378</v>
      </c>
      <c r="R4713">
        <v>0.98541383316055597</v>
      </c>
      <c r="S4713" t="s">
        <v>10998</v>
      </c>
      <c r="T4713" t="s">
        <v>12568</v>
      </c>
      <c r="U4713" t="s">
        <v>12568</v>
      </c>
      <c r="V4713" t="s">
        <v>12568</v>
      </c>
      <c r="W4713" t="s">
        <v>17232</v>
      </c>
      <c r="X4713">
        <v>2</v>
      </c>
      <c r="Y4713" t="s">
        <v>23338</v>
      </c>
      <c r="Z4713" t="s">
        <v>29583</v>
      </c>
      <c r="AA4713">
        <v>0.40761853275473803</v>
      </c>
      <c r="AB4713" t="str">
        <f>HYPERLINK("Melting_Curves/meltCurve_Q96HA8_WDYHV1.pdf", "Melting_Curves/meltCurve_Q96HA8_WDYHV1.pdf")</f>
        <v>Melting_Curves/meltCurve_Q96HA8_WDYHV1.pdf</v>
      </c>
    </row>
    <row r="4714" spans="1:28" x14ac:dyDescent="0.25">
      <c r="A4714" t="s">
        <v>4718</v>
      </c>
      <c r="B4714">
        <v>0.99352677808782597</v>
      </c>
      <c r="C4714">
        <v>0.97361547158445605</v>
      </c>
      <c r="D4714">
        <v>1.0164841222579299</v>
      </c>
      <c r="E4714">
        <v>0.92028218078560498</v>
      </c>
      <c r="F4714">
        <v>0.82051657431476099</v>
      </c>
      <c r="G4714">
        <v>0.70246447107316401</v>
      </c>
      <c r="H4714">
        <v>0.503061289516193</v>
      </c>
      <c r="I4714">
        <v>0.47133859712989501</v>
      </c>
      <c r="J4714">
        <v>0.45533561912973702</v>
      </c>
      <c r="K4714">
        <v>0.36410236491752501</v>
      </c>
      <c r="L4714">
        <v>810.25145057580005</v>
      </c>
      <c r="M4714">
        <v>14.1832535529167</v>
      </c>
      <c r="N4714">
        <v>62.307796896372302</v>
      </c>
      <c r="O4714">
        <v>56.027650741742399</v>
      </c>
      <c r="P4714">
        <v>-4.1379362917087902E-2</v>
      </c>
      <c r="Q4714">
        <v>0.34624378124447602</v>
      </c>
      <c r="R4714">
        <v>0.98989826154277205</v>
      </c>
      <c r="S4714" t="s">
        <v>10999</v>
      </c>
      <c r="T4714" t="s">
        <v>12568</v>
      </c>
      <c r="U4714" t="s">
        <v>12568</v>
      </c>
      <c r="V4714" t="s">
        <v>12568</v>
      </c>
      <c r="W4714" t="s">
        <v>17233</v>
      </c>
      <c r="X4714">
        <v>37</v>
      </c>
      <c r="Y4714" t="s">
        <v>23339</v>
      </c>
      <c r="Z4714" t="s">
        <v>29584</v>
      </c>
      <c r="AA4714">
        <v>0.72990485767750757</v>
      </c>
      <c r="AB4714" t="str">
        <f>HYPERLINK("Melting_Curves/meltCurve_Q96HC4_PDLIM5.pdf", "Melting_Curves/meltCurve_Q96HC4_PDLIM5.pdf")</f>
        <v>Melting_Curves/meltCurve_Q96HC4_PDLIM5.pdf</v>
      </c>
    </row>
    <row r="4715" spans="1:28" x14ac:dyDescent="0.25">
      <c r="A4715" t="s">
        <v>4719</v>
      </c>
      <c r="B4715">
        <v>0.99352677808782597</v>
      </c>
      <c r="C4715">
        <v>0.97460607511472097</v>
      </c>
      <c r="D4715">
        <v>0.91234177975019703</v>
      </c>
      <c r="E4715">
        <v>0.29796182757475798</v>
      </c>
      <c r="F4715">
        <v>0.20458991038208099</v>
      </c>
      <c r="G4715">
        <v>0.14155947406125599</v>
      </c>
      <c r="H4715">
        <v>8.1354340645151804E-2</v>
      </c>
      <c r="I4715">
        <v>7.8545407915552701E-2</v>
      </c>
      <c r="J4715">
        <v>6.7517713538464905E-2</v>
      </c>
      <c r="K4715">
        <v>5.7641114805905697E-2</v>
      </c>
      <c r="L4715">
        <v>1737.55865510218</v>
      </c>
      <c r="M4715">
        <v>35.807422916694598</v>
      </c>
      <c r="N4715">
        <v>48.807518623084903</v>
      </c>
      <c r="O4715">
        <v>48.374488517447702</v>
      </c>
      <c r="P4715">
        <v>-0.167738185653799</v>
      </c>
      <c r="Q4715">
        <v>9.3570749411997403E-2</v>
      </c>
      <c r="R4715">
        <v>0.99275551237277704</v>
      </c>
      <c r="S4715" t="s">
        <v>11000</v>
      </c>
      <c r="T4715" t="s">
        <v>12568</v>
      </c>
      <c r="U4715" t="s">
        <v>12568</v>
      </c>
      <c r="V4715" t="s">
        <v>12568</v>
      </c>
      <c r="W4715" t="s">
        <v>17234</v>
      </c>
      <c r="X4715">
        <v>2</v>
      </c>
      <c r="Y4715" t="s">
        <v>23340</v>
      </c>
      <c r="Z4715" t="s">
        <v>29585</v>
      </c>
      <c r="AA4715">
        <v>0.35496548595300642</v>
      </c>
      <c r="AB4715" t="str">
        <f>HYPERLINK("Melting_Curves/meltCurve_Q96HD9_ACY3.pdf", "Melting_Curves/meltCurve_Q96HD9_ACY3.pdf")</f>
        <v>Melting_Curves/meltCurve_Q96HD9_ACY3.pdf</v>
      </c>
    </row>
    <row r="4716" spans="1:28" x14ac:dyDescent="0.25">
      <c r="A4716" t="s">
        <v>4720</v>
      </c>
      <c r="B4716">
        <v>0.99352677808782597</v>
      </c>
      <c r="C4716">
        <v>0.89196965131794503</v>
      </c>
      <c r="D4716">
        <v>0.95350238328507797</v>
      </c>
      <c r="E4716">
        <v>0.64176649704104805</v>
      </c>
      <c r="F4716">
        <v>0.50610428152131404</v>
      </c>
      <c r="G4716">
        <v>0.18463827757390799</v>
      </c>
      <c r="H4716">
        <v>0.10982808577141399</v>
      </c>
      <c r="I4716">
        <v>0.100977948557353</v>
      </c>
      <c r="J4716">
        <v>8.6288613577765405E-2</v>
      </c>
      <c r="K4716">
        <v>6.9536408091596003E-2</v>
      </c>
      <c r="L4716">
        <v>889.342490705758</v>
      </c>
      <c r="M4716">
        <v>17.106275246257901</v>
      </c>
      <c r="N4716">
        <v>52.338822616075497</v>
      </c>
      <c r="O4716">
        <v>51.294370041745701</v>
      </c>
      <c r="P4716">
        <v>-7.8877060830556803E-2</v>
      </c>
      <c r="Q4716">
        <v>5.3983378871569503E-2</v>
      </c>
      <c r="R4716">
        <v>0.98835676001348205</v>
      </c>
      <c r="S4716" t="s">
        <v>11001</v>
      </c>
      <c r="T4716" t="s">
        <v>12568</v>
      </c>
      <c r="U4716" t="s">
        <v>12568</v>
      </c>
      <c r="V4716" t="s">
        <v>12568</v>
      </c>
      <c r="W4716" t="s">
        <v>17235</v>
      </c>
      <c r="X4716">
        <v>23</v>
      </c>
      <c r="Y4716" t="s">
        <v>23341</v>
      </c>
      <c r="Z4716" t="s">
        <v>29586</v>
      </c>
      <c r="AA4716">
        <v>0.44920580530205201</v>
      </c>
      <c r="AB4716" t="str">
        <f>HYPERLINK("Melting_Curves/meltCurve_Q96HE7_ERO1L.pdf", "Melting_Curves/meltCurve_Q96HE7_ERO1L.pdf")</f>
        <v>Melting_Curves/meltCurve_Q96HE7_ERO1L.pdf</v>
      </c>
    </row>
    <row r="4717" spans="1:28" x14ac:dyDescent="0.25">
      <c r="A4717" t="s">
        <v>4721</v>
      </c>
      <c r="B4717">
        <v>0.99352677808782597</v>
      </c>
      <c r="C4717">
        <v>0.90682043214499297</v>
      </c>
      <c r="D4717">
        <v>0.94340950533847301</v>
      </c>
      <c r="E4717">
        <v>0.60750208247125004</v>
      </c>
      <c r="F4717">
        <v>0.52525582257730197</v>
      </c>
      <c r="G4717">
        <v>0.31866490111801998</v>
      </c>
      <c r="H4717">
        <v>0.236194652899897</v>
      </c>
      <c r="I4717">
        <v>0.234263729259169</v>
      </c>
      <c r="J4717">
        <v>0.24248040722584599</v>
      </c>
      <c r="K4717">
        <v>0.18684244734768499</v>
      </c>
      <c r="L4717">
        <v>803.20009043904997</v>
      </c>
      <c r="M4717">
        <v>15.7356648430966</v>
      </c>
      <c r="N4717">
        <v>52.712977268225799</v>
      </c>
      <c r="O4717">
        <v>50.240251704066203</v>
      </c>
      <c r="P4717">
        <v>-6.2939942403863899E-2</v>
      </c>
      <c r="Q4717">
        <v>0.196257973587706</v>
      </c>
      <c r="R4717">
        <v>0.98571726338187204</v>
      </c>
      <c r="S4717" t="s">
        <v>11002</v>
      </c>
      <c r="T4717" t="s">
        <v>12568</v>
      </c>
      <c r="U4717" t="s">
        <v>12568</v>
      </c>
      <c r="V4717" t="s">
        <v>12568</v>
      </c>
      <c r="W4717" t="s">
        <v>17236</v>
      </c>
      <c r="X4717">
        <v>20</v>
      </c>
      <c r="Y4717" t="s">
        <v>23342</v>
      </c>
      <c r="Z4717" t="s">
        <v>29587</v>
      </c>
      <c r="AA4717">
        <v>0.50924287267680945</v>
      </c>
      <c r="AB4717" t="str">
        <f>HYPERLINK("Melting_Curves/meltCurve_Q96HJ9_2_C7orf55.pdf", "Melting_Curves/meltCurve_Q96HJ9_2_C7orf55.pdf")</f>
        <v>Melting_Curves/meltCurve_Q96HJ9_2_C7orf55.pdf</v>
      </c>
    </row>
    <row r="4718" spans="1:28" x14ac:dyDescent="0.25">
      <c r="A4718" t="s">
        <v>4722</v>
      </c>
      <c r="B4718">
        <v>0.99352677808782597</v>
      </c>
      <c r="C4718">
        <v>1.0309459243654899</v>
      </c>
      <c r="D4718">
        <v>0.886416873113965</v>
      </c>
      <c r="E4718">
        <v>0.43634955436339201</v>
      </c>
      <c r="F4718">
        <v>0.35830520051888998</v>
      </c>
      <c r="G4718">
        <v>0.187915981863155</v>
      </c>
      <c r="H4718">
        <v>9.2245563123041704E-2</v>
      </c>
      <c r="I4718">
        <v>6.6589250387949703E-2</v>
      </c>
      <c r="J4718">
        <v>5.2947985903604097E-2</v>
      </c>
      <c r="K4718">
        <v>3.4330722588022403E-2</v>
      </c>
      <c r="L4718">
        <v>935.591962676702</v>
      </c>
      <c r="M4718">
        <v>18.7143446133921</v>
      </c>
      <c r="N4718">
        <v>50.327652044943598</v>
      </c>
      <c r="O4718">
        <v>49.4329652667669</v>
      </c>
      <c r="P4718">
        <v>-8.9116439699590697E-2</v>
      </c>
      <c r="Q4718">
        <v>5.8454235244450099E-2</v>
      </c>
      <c r="R4718">
        <v>0.98546418733138996</v>
      </c>
      <c r="S4718" t="s">
        <v>11003</v>
      </c>
      <c r="T4718" t="s">
        <v>12568</v>
      </c>
      <c r="U4718" t="s">
        <v>12568</v>
      </c>
      <c r="V4718" t="s">
        <v>12568</v>
      </c>
      <c r="W4718" t="s">
        <v>17237</v>
      </c>
      <c r="X4718">
        <v>8</v>
      </c>
      <c r="Y4718" t="s">
        <v>23343</v>
      </c>
      <c r="Z4718" t="s">
        <v>29588</v>
      </c>
      <c r="AA4718">
        <v>0.38700036631389928</v>
      </c>
      <c r="AB4718" t="str">
        <f>HYPERLINK("Melting_Curves/meltCurve_Q96HN2_2_AHCYL2.pdf", "Melting_Curves/meltCurve_Q96HN2_2_AHCYL2.pdf")</f>
        <v>Melting_Curves/meltCurve_Q96HN2_2_AHCYL2.pdf</v>
      </c>
    </row>
    <row r="4719" spans="1:28" x14ac:dyDescent="0.25">
      <c r="A4719" t="s">
        <v>4723</v>
      </c>
      <c r="B4719">
        <v>0.99352677808782597</v>
      </c>
      <c r="C4719">
        <v>0.70601618692076296</v>
      </c>
      <c r="D4719">
        <v>0.59642862018857801</v>
      </c>
      <c r="E4719">
        <v>0.192227161139223</v>
      </c>
      <c r="F4719">
        <v>0.15395149183298801</v>
      </c>
      <c r="G4719">
        <v>9.7825557165083801E-2</v>
      </c>
      <c r="H4719">
        <v>7.8776047004526895E-2</v>
      </c>
      <c r="I4719">
        <v>6.9436969699088996E-2</v>
      </c>
      <c r="J4719">
        <v>6.1659128623521603E-2</v>
      </c>
      <c r="K4719">
        <v>5.4691879597781198E-2</v>
      </c>
      <c r="L4719">
        <v>799.784013409301</v>
      </c>
      <c r="M4719">
        <v>17.401037101292001</v>
      </c>
      <c r="N4719">
        <v>46.294023599792602</v>
      </c>
      <c r="O4719">
        <v>45.367731081253403</v>
      </c>
      <c r="P4719">
        <v>-9.0266458852326301E-2</v>
      </c>
      <c r="Q4719">
        <v>5.86874719152524E-2</v>
      </c>
      <c r="R4719">
        <v>0.98216200991971003</v>
      </c>
      <c r="S4719" t="s">
        <v>11004</v>
      </c>
      <c r="T4719" t="s">
        <v>12568</v>
      </c>
      <c r="U4719" t="s">
        <v>12568</v>
      </c>
      <c r="V4719" t="s">
        <v>12568</v>
      </c>
      <c r="W4719" t="s">
        <v>17238</v>
      </c>
      <c r="X4719">
        <v>3</v>
      </c>
      <c r="Y4719" t="s">
        <v>23344</v>
      </c>
      <c r="Z4719" t="s">
        <v>29589</v>
      </c>
      <c r="AA4719">
        <v>0.26574342978893439</v>
      </c>
      <c r="AB4719" t="str">
        <f>HYPERLINK("Melting_Curves/meltCurve_Q96HP4_OXNAD1.pdf", "Melting_Curves/meltCurve_Q96HP4_OXNAD1.pdf")</f>
        <v>Melting_Curves/meltCurve_Q96HP4_OXNAD1.pdf</v>
      </c>
    </row>
    <row r="4720" spans="1:28" x14ac:dyDescent="0.25">
      <c r="A4720" t="s">
        <v>4724</v>
      </c>
      <c r="B4720">
        <v>0.99352677808782597</v>
      </c>
      <c r="C4720">
        <v>0.988198154695896</v>
      </c>
      <c r="D4720">
        <v>0.99053849037193997</v>
      </c>
      <c r="E4720">
        <v>0.91931467355726704</v>
      </c>
      <c r="F4720">
        <v>0.81901652077736897</v>
      </c>
      <c r="G4720">
        <v>0.68723107318445198</v>
      </c>
      <c r="H4720">
        <v>0.87015655360229005</v>
      </c>
      <c r="I4720">
        <v>0.84145315047569202</v>
      </c>
      <c r="J4720">
        <v>0.78547052909175397</v>
      </c>
      <c r="K4720">
        <v>0.61081784652613502</v>
      </c>
      <c r="L4720">
        <v>1928.25461202371</v>
      </c>
      <c r="M4720">
        <v>37.818506231062599</v>
      </c>
      <c r="O4720">
        <v>50.845128236851401</v>
      </c>
      <c r="P4720">
        <v>-4.4612185963499897E-2</v>
      </c>
      <c r="Q4720">
        <v>0.76008503061355703</v>
      </c>
      <c r="R4720">
        <v>0.688155185640136</v>
      </c>
      <c r="S4720" t="s">
        <v>11005</v>
      </c>
      <c r="T4720" t="s">
        <v>12568</v>
      </c>
      <c r="U4720" t="s">
        <v>12568</v>
      </c>
      <c r="V4720" t="s">
        <v>12568</v>
      </c>
      <c r="W4720" t="s">
        <v>17239</v>
      </c>
      <c r="X4720">
        <v>5</v>
      </c>
      <c r="Y4720" t="s">
        <v>23345</v>
      </c>
      <c r="Z4720" t="s">
        <v>29590</v>
      </c>
      <c r="AA4720">
        <v>0.84889702784695198</v>
      </c>
      <c r="AB4720" t="str">
        <f>HYPERLINK("Melting_Curves/meltCurve_Q96HQ2_CDKN2AIPNL.pdf", "Melting_Curves/meltCurve_Q96HQ2_CDKN2AIPNL.pdf")</f>
        <v>Melting_Curves/meltCurve_Q96HQ2_CDKN2AIPNL.pdf</v>
      </c>
    </row>
    <row r="4721" spans="1:28" x14ac:dyDescent="0.25">
      <c r="A4721" t="s">
        <v>4725</v>
      </c>
      <c r="B4721">
        <v>0.99352677808782597</v>
      </c>
      <c r="C4721">
        <v>0.95197124679233203</v>
      </c>
      <c r="D4721">
        <v>0.873458578741801</v>
      </c>
      <c r="E4721">
        <v>0.93806686745983403</v>
      </c>
      <c r="F4721">
        <v>0.72407435989611602</v>
      </c>
      <c r="G4721">
        <v>0.70853814162819095</v>
      </c>
      <c r="H4721">
        <v>0.99483438618215503</v>
      </c>
      <c r="I4721">
        <v>0.65647884389150302</v>
      </c>
      <c r="J4721">
        <v>0.31097055531011097</v>
      </c>
      <c r="K4721">
        <v>0.12818481542318999</v>
      </c>
      <c r="L4721">
        <v>2421.3889572184098</v>
      </c>
      <c r="M4721">
        <v>37.206552772536398</v>
      </c>
      <c r="N4721">
        <v>65.328417022525798</v>
      </c>
      <c r="O4721">
        <v>64.892479811139196</v>
      </c>
      <c r="P4721">
        <v>-0.133871463449238</v>
      </c>
      <c r="Q4721">
        <v>6.6053899927765405E-2</v>
      </c>
      <c r="R4721">
        <v>0.76742426182311896</v>
      </c>
      <c r="S4721" t="s">
        <v>11006</v>
      </c>
      <c r="T4721" t="s">
        <v>12568</v>
      </c>
      <c r="U4721" t="s">
        <v>12568</v>
      </c>
      <c r="V4721" t="s">
        <v>12568</v>
      </c>
      <c r="W4721" t="s">
        <v>17240</v>
      </c>
      <c r="X4721">
        <v>1</v>
      </c>
      <c r="Y4721" t="s">
        <v>23346</v>
      </c>
      <c r="Z4721" t="s">
        <v>29591</v>
      </c>
      <c r="AA4721">
        <v>0.84695043187692609</v>
      </c>
      <c r="AB4721" t="str">
        <f>HYPERLINK("Melting_Curves/meltCurve_Q96HS1_2_PGAM5.pdf", "Melting_Curves/meltCurve_Q96HS1_2_PGAM5.pdf")</f>
        <v>Melting_Curves/meltCurve_Q96HS1_2_PGAM5.pdf</v>
      </c>
    </row>
    <row r="4722" spans="1:28" x14ac:dyDescent="0.25">
      <c r="A4722" t="s">
        <v>4726</v>
      </c>
      <c r="B4722">
        <v>0.99352677808782597</v>
      </c>
      <c r="C4722">
        <v>0.88497189811257804</v>
      </c>
      <c r="D4722">
        <v>0.54505582003140196</v>
      </c>
      <c r="E4722">
        <v>0.42186201768662002</v>
      </c>
      <c r="F4722">
        <v>0.34206008789266901</v>
      </c>
      <c r="G4722">
        <v>0.178685301924287</v>
      </c>
      <c r="H4722">
        <v>0.16994222476873699</v>
      </c>
      <c r="I4722">
        <v>0.245874625425751</v>
      </c>
      <c r="J4722">
        <v>8.9174230369708202E-2</v>
      </c>
      <c r="K4722">
        <v>7.84388653062673E-2</v>
      </c>
      <c r="L4722">
        <v>652.33096184730198</v>
      </c>
      <c r="M4722">
        <v>13.8005801060583</v>
      </c>
      <c r="N4722">
        <v>48.290003420180703</v>
      </c>
      <c r="O4722">
        <v>46.3090399910405</v>
      </c>
      <c r="P4722">
        <v>-6.5079441739945204E-2</v>
      </c>
      <c r="Q4722">
        <v>0.126603500971469</v>
      </c>
      <c r="R4722">
        <v>0.96155303213794896</v>
      </c>
      <c r="S4722" t="s">
        <v>11007</v>
      </c>
      <c r="T4722" t="s">
        <v>12568</v>
      </c>
      <c r="U4722" t="s">
        <v>12568</v>
      </c>
      <c r="V4722" t="s">
        <v>12568</v>
      </c>
      <c r="W4722" t="s">
        <v>17241</v>
      </c>
      <c r="X4722">
        <v>1</v>
      </c>
      <c r="Y4722" t="s">
        <v>23347</v>
      </c>
      <c r="Z4722" t="s">
        <v>29592</v>
      </c>
      <c r="AA4722">
        <v>0.36580177460490232</v>
      </c>
      <c r="AB4722" t="str">
        <f>HYPERLINK("Melting_Curves/meltCurve_Q96HW7_INTS4.pdf", "Melting_Curves/meltCurve_Q96HW7_INTS4.pdf")</f>
        <v>Melting_Curves/meltCurve_Q96HW7_INTS4.pdf</v>
      </c>
    </row>
    <row r="4723" spans="1:28" x14ac:dyDescent="0.25">
      <c r="A4723" t="s">
        <v>4727</v>
      </c>
      <c r="B4723">
        <v>0.99352677808782597</v>
      </c>
      <c r="C4723">
        <v>0.99977784323046004</v>
      </c>
      <c r="D4723">
        <v>1.0573901124284399</v>
      </c>
      <c r="E4723">
        <v>0.91828205613082203</v>
      </c>
      <c r="F4723">
        <v>0.86874645260880201</v>
      </c>
      <c r="G4723">
        <v>0.80666270959207398</v>
      </c>
      <c r="H4723">
        <v>0.63170435821555804</v>
      </c>
      <c r="I4723">
        <v>0.69817486167498499</v>
      </c>
      <c r="J4723">
        <v>0.75749614877636895</v>
      </c>
      <c r="K4723">
        <v>0.69622036468473203</v>
      </c>
      <c r="L4723">
        <v>1192.91529436582</v>
      </c>
      <c r="M4723">
        <v>22.232532489127099</v>
      </c>
      <c r="O4723">
        <v>53.2278477532194</v>
      </c>
      <c r="P4723">
        <v>-3.1658380438307099E-2</v>
      </c>
      <c r="Q4723">
        <v>0.69682781367092395</v>
      </c>
      <c r="R4723">
        <v>0.90910994394109301</v>
      </c>
      <c r="S4723" t="s">
        <v>11008</v>
      </c>
      <c r="T4723" t="s">
        <v>12568</v>
      </c>
      <c r="U4723" t="s">
        <v>12568</v>
      </c>
      <c r="V4723" t="s">
        <v>12568</v>
      </c>
      <c r="W4723" t="s">
        <v>17242</v>
      </c>
      <c r="X4723">
        <v>3</v>
      </c>
      <c r="Y4723" t="s">
        <v>23348</v>
      </c>
      <c r="Z4723" t="s">
        <v>29593</v>
      </c>
      <c r="AA4723">
        <v>0.83829442577127489</v>
      </c>
      <c r="AB4723" t="str">
        <f>HYPERLINK("Melting_Curves/meltCurve_Q96HY6_DDRGK1.pdf", "Melting_Curves/meltCurve_Q96HY6_DDRGK1.pdf")</f>
        <v>Melting_Curves/meltCurve_Q96HY6_DDRGK1.pdf</v>
      </c>
    </row>
    <row r="4724" spans="1:28" x14ac:dyDescent="0.25">
      <c r="A4724" t="s">
        <v>4728</v>
      </c>
      <c r="B4724">
        <v>0.99352677808782597</v>
      </c>
      <c r="C4724">
        <v>0.75423191190470795</v>
      </c>
      <c r="D4724">
        <v>0.47398749577259502</v>
      </c>
      <c r="E4724">
        <v>0.27906837263371997</v>
      </c>
      <c r="F4724">
        <v>0.25806765574611901</v>
      </c>
      <c r="G4724">
        <v>0.151232488715247</v>
      </c>
      <c r="H4724">
        <v>9.96734091033252E-2</v>
      </c>
      <c r="I4724">
        <v>0.111680324419971</v>
      </c>
      <c r="J4724">
        <v>9.3110822098516705E-2</v>
      </c>
      <c r="K4724">
        <v>8.75322814801449E-2</v>
      </c>
      <c r="L4724">
        <v>754.760085102012</v>
      </c>
      <c r="M4724">
        <v>16.568253512788498</v>
      </c>
      <c r="N4724">
        <v>46.226218893276098</v>
      </c>
      <c r="O4724">
        <v>44.9064530060446</v>
      </c>
      <c r="P4724">
        <v>-8.2376531133344894E-2</v>
      </c>
      <c r="Q4724">
        <v>0.106970013887966</v>
      </c>
      <c r="R4724">
        <v>0.98412803823377704</v>
      </c>
      <c r="S4724" t="s">
        <v>11009</v>
      </c>
      <c r="T4724" t="s">
        <v>12568</v>
      </c>
      <c r="U4724" t="s">
        <v>12568</v>
      </c>
      <c r="V4724" t="s">
        <v>12568</v>
      </c>
      <c r="W4724" t="s">
        <v>17243</v>
      </c>
      <c r="X4724">
        <v>4</v>
      </c>
      <c r="Y4724" t="s">
        <v>23349</v>
      </c>
      <c r="Z4724" t="s">
        <v>29594</v>
      </c>
      <c r="AA4724">
        <v>0.29421219079996858</v>
      </c>
      <c r="AB4724" t="str">
        <f>HYPERLINK("Melting_Curves/meltCurve_Q96HY7_DHTKD1.pdf", "Melting_Curves/meltCurve_Q96HY7_DHTKD1.pdf")</f>
        <v>Melting_Curves/meltCurve_Q96HY7_DHTKD1.pdf</v>
      </c>
    </row>
    <row r="4725" spans="1:28" x14ac:dyDescent="0.25">
      <c r="A4725" t="s">
        <v>4729</v>
      </c>
      <c r="B4725">
        <v>0.99352677808782597</v>
      </c>
      <c r="C4725">
        <v>1.0077826735425901</v>
      </c>
      <c r="D4725">
        <v>0.95804870435262901</v>
      </c>
      <c r="E4725">
        <v>0.87742805265438295</v>
      </c>
      <c r="F4725">
        <v>0.83106268166983899</v>
      </c>
      <c r="G4725">
        <v>0.58075916011481699</v>
      </c>
      <c r="H4725">
        <v>0.27781898209161199</v>
      </c>
      <c r="I4725">
        <v>0.16588074979728901</v>
      </c>
      <c r="J4725">
        <v>0.106520323529635</v>
      </c>
      <c r="K4725">
        <v>9.3455237485249795E-2</v>
      </c>
      <c r="L4725">
        <v>959.74158750507604</v>
      </c>
      <c r="M4725">
        <v>16.6684159836873</v>
      </c>
      <c r="N4725">
        <v>57.7574074644372</v>
      </c>
      <c r="O4725">
        <v>56.768829710203299</v>
      </c>
      <c r="P4725">
        <v>-7.1562147878842006E-2</v>
      </c>
      <c r="Q4725">
        <v>2.5167171817295799E-2</v>
      </c>
      <c r="R4725">
        <v>0.99592037225561603</v>
      </c>
      <c r="S4725" t="s">
        <v>11010</v>
      </c>
      <c r="T4725" t="s">
        <v>12568</v>
      </c>
      <c r="U4725" t="s">
        <v>12568</v>
      </c>
      <c r="V4725" t="s">
        <v>12568</v>
      </c>
      <c r="W4725" t="s">
        <v>17244</v>
      </c>
      <c r="X4725">
        <v>13</v>
      </c>
      <c r="Y4725" t="s">
        <v>23350</v>
      </c>
      <c r="Z4725" t="s">
        <v>29595</v>
      </c>
      <c r="AA4725">
        <v>0.60976939020023879</v>
      </c>
      <c r="AB4725" t="str">
        <f>HYPERLINK("Melting_Curves/meltCurve_Q96I15_SCLY.pdf", "Melting_Curves/meltCurve_Q96I15_SCLY.pdf")</f>
        <v>Melting_Curves/meltCurve_Q96I15_SCLY.pdf</v>
      </c>
    </row>
    <row r="4726" spans="1:28" x14ac:dyDescent="0.25">
      <c r="A4726" t="s">
        <v>4730</v>
      </c>
      <c r="B4726">
        <v>0.99352677808782597</v>
      </c>
      <c r="C4726">
        <v>1.01527519771036</v>
      </c>
      <c r="D4726">
        <v>0.90136997667950303</v>
      </c>
      <c r="E4726">
        <v>0.53775587791628299</v>
      </c>
      <c r="F4726">
        <v>0.52921615876184402</v>
      </c>
      <c r="G4726">
        <v>0.49373799890435299</v>
      </c>
      <c r="H4726">
        <v>0.33436297516275598</v>
      </c>
      <c r="I4726">
        <v>0.37932174033557298</v>
      </c>
      <c r="J4726">
        <v>0.32970851250941302</v>
      </c>
      <c r="K4726">
        <v>0.25905990580197302</v>
      </c>
      <c r="L4726">
        <v>855.26353901180096</v>
      </c>
      <c r="M4726">
        <v>17.275306925506001</v>
      </c>
      <c r="N4726">
        <v>52.847698832183802</v>
      </c>
      <c r="O4726">
        <v>48.858751767182703</v>
      </c>
      <c r="P4726">
        <v>-5.9034235046461901E-2</v>
      </c>
      <c r="Q4726">
        <v>0.33218628644496401</v>
      </c>
      <c r="R4726">
        <v>0.95405546630149496</v>
      </c>
      <c r="S4726" t="s">
        <v>11011</v>
      </c>
      <c r="T4726" t="s">
        <v>12568</v>
      </c>
      <c r="U4726" t="s">
        <v>12568</v>
      </c>
      <c r="V4726" t="s">
        <v>12568</v>
      </c>
      <c r="W4726" t="s">
        <v>17245</v>
      </c>
      <c r="X4726">
        <v>1</v>
      </c>
      <c r="Y4726" t="s">
        <v>23351</v>
      </c>
      <c r="Z4726" t="s">
        <v>29596</v>
      </c>
      <c r="AA4726">
        <v>0.55625245813756707</v>
      </c>
      <c r="AB4726" t="str">
        <f>HYPERLINK("Melting_Curves/meltCurve_Q96I23_PYURF.pdf", "Melting_Curves/meltCurve_Q96I23_PYURF.pdf")</f>
        <v>Melting_Curves/meltCurve_Q96I23_PYURF.pdf</v>
      </c>
    </row>
    <row r="4727" spans="1:28" x14ac:dyDescent="0.25">
      <c r="A4727" t="s">
        <v>4731</v>
      </c>
      <c r="B4727">
        <v>0.99352677808782597</v>
      </c>
      <c r="C4727">
        <v>0.97578408988906895</v>
      </c>
      <c r="D4727">
        <v>0.98797684640849603</v>
      </c>
      <c r="E4727">
        <v>0.79288717068038606</v>
      </c>
      <c r="F4727">
        <v>0.67080697850633297</v>
      </c>
      <c r="G4727">
        <v>0.50870854827952505</v>
      </c>
      <c r="H4727">
        <v>0.37591712541085298</v>
      </c>
      <c r="I4727">
        <v>0.34969444593968402</v>
      </c>
      <c r="J4727">
        <v>0.34912716746697098</v>
      </c>
      <c r="K4727">
        <v>0.29306267766539301</v>
      </c>
      <c r="L4727">
        <v>813.48693917798801</v>
      </c>
      <c r="M4727">
        <v>15.2097621511488</v>
      </c>
      <c r="N4727">
        <v>56.807619344811499</v>
      </c>
      <c r="O4727">
        <v>52.585542278973499</v>
      </c>
      <c r="P4727">
        <v>-5.1010889728879398E-2</v>
      </c>
      <c r="Q4727">
        <v>0.29461666053450802</v>
      </c>
      <c r="R4727">
        <v>0.99483281571450999</v>
      </c>
      <c r="S4727" t="s">
        <v>11012</v>
      </c>
      <c r="T4727" t="s">
        <v>12568</v>
      </c>
      <c r="U4727" t="s">
        <v>12568</v>
      </c>
      <c r="V4727" t="s">
        <v>12568</v>
      </c>
      <c r="W4727" t="s">
        <v>17246</v>
      </c>
      <c r="X4727">
        <v>14</v>
      </c>
      <c r="Y4727" t="s">
        <v>23352</v>
      </c>
      <c r="Z4727" t="s">
        <v>29597</v>
      </c>
      <c r="AA4727">
        <v>0.62625785741067119</v>
      </c>
      <c r="AB4727" t="str">
        <f>HYPERLINK("Melting_Curves/meltCurve_Q96I24_FUBP3.pdf", "Melting_Curves/meltCurve_Q96I24_FUBP3.pdf")</f>
        <v>Melting_Curves/meltCurve_Q96I24_FUBP3.pdf</v>
      </c>
    </row>
    <row r="4728" spans="1:28" x14ac:dyDescent="0.25">
      <c r="A4728" t="s">
        <v>4732</v>
      </c>
      <c r="B4728">
        <v>0.99352677808782597</v>
      </c>
      <c r="C4728">
        <v>0.95152414108261396</v>
      </c>
      <c r="D4728">
        <v>1.0301560614515299</v>
      </c>
      <c r="E4728">
        <v>0.91185650311274802</v>
      </c>
      <c r="F4728">
        <v>0.82503705238411296</v>
      </c>
      <c r="G4728">
        <v>0.58573905874092502</v>
      </c>
      <c r="H4728">
        <v>0.29145239863935302</v>
      </c>
      <c r="I4728">
        <v>0.21667306810501</v>
      </c>
      <c r="J4728">
        <v>0.16749617627152899</v>
      </c>
      <c r="K4728">
        <v>0.13054164281945399</v>
      </c>
      <c r="L4728">
        <v>1044.6377471335099</v>
      </c>
      <c r="M4728">
        <v>18.2705770145141</v>
      </c>
      <c r="N4728">
        <v>57.888928280184899</v>
      </c>
      <c r="O4728">
        <v>56.504232098925698</v>
      </c>
      <c r="P4728">
        <v>-7.2696161103527099E-2</v>
      </c>
      <c r="Q4728">
        <v>0.100751318284311</v>
      </c>
      <c r="R4728">
        <v>0.99532010028973406</v>
      </c>
      <c r="S4728" t="s">
        <v>11013</v>
      </c>
      <c r="T4728" t="s">
        <v>12568</v>
      </c>
      <c r="U4728" t="s">
        <v>12568</v>
      </c>
      <c r="V4728" t="s">
        <v>12568</v>
      </c>
      <c r="W4728" t="s">
        <v>17247</v>
      </c>
      <c r="X4728">
        <v>11</v>
      </c>
      <c r="Y4728" t="s">
        <v>23353</v>
      </c>
      <c r="Z4728" t="s">
        <v>29598</v>
      </c>
      <c r="AA4728">
        <v>0.62757844799806084</v>
      </c>
      <c r="AB4728" t="str">
        <f>HYPERLINK("Melting_Curves/meltCurve_Q96I25_RBM17.pdf", "Melting_Curves/meltCurve_Q96I25_RBM17.pdf")</f>
        <v>Melting_Curves/meltCurve_Q96I25_RBM17.pdf</v>
      </c>
    </row>
    <row r="4729" spans="1:28" x14ac:dyDescent="0.25">
      <c r="A4729" t="s">
        <v>4733</v>
      </c>
      <c r="B4729">
        <v>0.99352677808782597</v>
      </c>
      <c r="C4729">
        <v>0.94535147103320205</v>
      </c>
      <c r="D4729">
        <v>0.69112593136313805</v>
      </c>
      <c r="E4729">
        <v>0.33889738768322603</v>
      </c>
      <c r="F4729">
        <v>0.3065660365549</v>
      </c>
      <c r="G4729">
        <v>0.18971084661197299</v>
      </c>
      <c r="H4729">
        <v>0.113393366276865</v>
      </c>
      <c r="I4729">
        <v>0.11415004328291101</v>
      </c>
      <c r="J4729">
        <v>8.3016026017537298E-2</v>
      </c>
      <c r="K4729">
        <v>8.4493755056699496E-2</v>
      </c>
      <c r="L4729">
        <v>842.75616906412995</v>
      </c>
      <c r="M4729">
        <v>17.5922795745211</v>
      </c>
      <c r="N4729">
        <v>48.5353370262048</v>
      </c>
      <c r="O4729">
        <v>47.2987516690768</v>
      </c>
      <c r="P4729">
        <v>-8.34916088929199E-2</v>
      </c>
      <c r="Q4729">
        <v>0.10214349175472</v>
      </c>
      <c r="R4729">
        <v>0.98914354236213597</v>
      </c>
      <c r="S4729" t="s">
        <v>11014</v>
      </c>
      <c r="T4729" t="s">
        <v>12568</v>
      </c>
      <c r="U4729" t="s">
        <v>12568</v>
      </c>
      <c r="V4729" t="s">
        <v>12568</v>
      </c>
      <c r="W4729" t="s">
        <v>17248</v>
      </c>
      <c r="X4729">
        <v>6</v>
      </c>
      <c r="Y4729" t="s">
        <v>23354</v>
      </c>
      <c r="Z4729" t="s">
        <v>29599</v>
      </c>
      <c r="AA4729">
        <v>0.35548729375386351</v>
      </c>
      <c r="AB4729" t="str">
        <f>HYPERLINK("Melting_Curves/meltCurve_Q96I59_NARS2.pdf", "Melting_Curves/meltCurve_Q96I59_NARS2.pdf")</f>
        <v>Melting_Curves/meltCurve_Q96I59_NARS2.pdf</v>
      </c>
    </row>
    <row r="4730" spans="1:28" x14ac:dyDescent="0.25">
      <c r="A4730" t="s">
        <v>4734</v>
      </c>
      <c r="B4730">
        <v>0.99352677808782597</v>
      </c>
      <c r="C4730">
        <v>0.92765829402870903</v>
      </c>
      <c r="D4730">
        <v>0.96704334950036097</v>
      </c>
      <c r="E4730">
        <v>0.42621279316369598</v>
      </c>
      <c r="F4730">
        <v>0.340640283400237</v>
      </c>
      <c r="G4730">
        <v>0.15841470595898899</v>
      </c>
      <c r="H4730">
        <v>0.118595544666799</v>
      </c>
      <c r="I4730">
        <v>0.12887025664558299</v>
      </c>
      <c r="J4730">
        <v>8.4640122620965694E-2</v>
      </c>
      <c r="K4730">
        <v>5.8887296529151298E-2</v>
      </c>
      <c r="L4730">
        <v>1165.0742421187599</v>
      </c>
      <c r="M4730">
        <v>23.4817122350719</v>
      </c>
      <c r="N4730">
        <v>50.107754913797599</v>
      </c>
      <c r="O4730">
        <v>49.260595887080299</v>
      </c>
      <c r="P4730">
        <v>-0.106914156837791</v>
      </c>
      <c r="Q4730">
        <v>0.102865378209793</v>
      </c>
      <c r="R4730">
        <v>0.98091005515455898</v>
      </c>
      <c r="S4730" t="s">
        <v>11015</v>
      </c>
      <c r="T4730" t="s">
        <v>12568</v>
      </c>
      <c r="U4730" t="s">
        <v>12568</v>
      </c>
      <c r="V4730" t="s">
        <v>12568</v>
      </c>
      <c r="W4730" t="s">
        <v>17249</v>
      </c>
      <c r="X4730">
        <v>19</v>
      </c>
      <c r="Y4730" t="s">
        <v>23355</v>
      </c>
      <c r="Z4730" t="s">
        <v>29600</v>
      </c>
      <c r="AA4730">
        <v>0.39950368233422251</v>
      </c>
      <c r="AB4730" t="str">
        <f>HYPERLINK("Melting_Curves/meltCurve_Q96I99_SUCLG2.pdf", "Melting_Curves/meltCurve_Q96I99_SUCLG2.pdf")</f>
        <v>Melting_Curves/meltCurve_Q96I99_SUCLG2.pdf</v>
      </c>
    </row>
    <row r="4731" spans="1:28" x14ac:dyDescent="0.25">
      <c r="A4731" t="s">
        <v>4735</v>
      </c>
      <c r="B4731">
        <v>0.99352677808782597</v>
      </c>
      <c r="C4731">
        <v>0.99337994078708503</v>
      </c>
      <c r="D4731">
        <v>0.98465988849629904</v>
      </c>
      <c r="E4731">
        <v>0.80811663163018199</v>
      </c>
      <c r="F4731">
        <v>0.71076904246719497</v>
      </c>
      <c r="G4731">
        <v>0.57838119810212996</v>
      </c>
      <c r="H4731">
        <v>0.50132780269243304</v>
      </c>
      <c r="I4731">
        <v>0.48220531868972799</v>
      </c>
      <c r="J4731">
        <v>0.50186395556197705</v>
      </c>
      <c r="K4731">
        <v>0.42091005509759899</v>
      </c>
      <c r="L4731">
        <v>852.85927482130205</v>
      </c>
      <c r="M4731">
        <v>16.223908762835499</v>
      </c>
      <c r="N4731">
        <v>61.296017854935698</v>
      </c>
      <c r="O4731">
        <v>51.788852565470897</v>
      </c>
      <c r="P4731">
        <v>-4.3048423765672403E-2</v>
      </c>
      <c r="Q4731">
        <v>0.45037587895924502</v>
      </c>
      <c r="R4731">
        <v>0.99029184297230399</v>
      </c>
      <c r="S4731" t="s">
        <v>11016</v>
      </c>
      <c r="T4731" t="s">
        <v>12568</v>
      </c>
      <c r="U4731" t="s">
        <v>12568</v>
      </c>
      <c r="V4731" t="s">
        <v>12568</v>
      </c>
      <c r="W4731" t="s">
        <v>17250</v>
      </c>
      <c r="X4731">
        <v>12</v>
      </c>
      <c r="Y4731" t="s">
        <v>23356</v>
      </c>
      <c r="Z4731" t="s">
        <v>29601</v>
      </c>
      <c r="AA4731">
        <v>0.69133483941139828</v>
      </c>
      <c r="AB4731" t="str">
        <f>HYPERLINK("Melting_Curves/meltCurve_Q96IF1_AJUBA.pdf", "Melting_Curves/meltCurve_Q96IF1_AJUBA.pdf")</f>
        <v>Melting_Curves/meltCurve_Q96IF1_AJUBA.pdf</v>
      </c>
    </row>
    <row r="4732" spans="1:28" x14ac:dyDescent="0.25">
      <c r="A4732" t="s">
        <v>4736</v>
      </c>
      <c r="B4732">
        <v>0.99352677808782597</v>
      </c>
      <c r="C4732">
        <v>0.93716425140932802</v>
      </c>
      <c r="D4732">
        <v>0.821837843983382</v>
      </c>
      <c r="E4732">
        <v>0.58919034813553195</v>
      </c>
      <c r="F4732">
        <v>0.43307880535854798</v>
      </c>
      <c r="G4732">
        <v>0.36523045388898601</v>
      </c>
      <c r="H4732">
        <v>0.21110135797261501</v>
      </c>
      <c r="I4732">
        <v>0.119616573529556</v>
      </c>
      <c r="J4732">
        <v>8.0550913977346997E-2</v>
      </c>
      <c r="K4732">
        <v>6.4784872526610499E-2</v>
      </c>
      <c r="L4732">
        <v>545.16237244727404</v>
      </c>
      <c r="M4732">
        <v>10.4006344043298</v>
      </c>
      <c r="N4732">
        <v>52.439123614357598</v>
      </c>
      <c r="O4732">
        <v>50.5896164988051</v>
      </c>
      <c r="P4732">
        <v>-5.1302271479047298E-2</v>
      </c>
      <c r="Q4732">
        <v>2.2625729470955201E-3</v>
      </c>
      <c r="R4732">
        <v>0.991850598200125</v>
      </c>
      <c r="S4732" t="s">
        <v>11017</v>
      </c>
      <c r="T4732" t="s">
        <v>12568</v>
      </c>
      <c r="U4732" t="s">
        <v>12568</v>
      </c>
      <c r="V4732" t="s">
        <v>12568</v>
      </c>
      <c r="W4732" t="s">
        <v>17251</v>
      </c>
      <c r="X4732">
        <v>9</v>
      </c>
      <c r="Y4732" t="s">
        <v>23357</v>
      </c>
      <c r="Z4732" t="s">
        <v>29602</v>
      </c>
      <c r="AA4732">
        <v>0.45009997661362761</v>
      </c>
      <c r="AB4732" t="str">
        <f>HYPERLINK("Melting_Curves/meltCurve_Q96IJ6_GMPPA.pdf", "Melting_Curves/meltCurve_Q96IJ6_GMPPA.pdf")</f>
        <v>Melting_Curves/meltCurve_Q96IJ6_GMPPA.pdf</v>
      </c>
    </row>
    <row r="4733" spans="1:28" x14ac:dyDescent="0.25">
      <c r="A4733" t="s">
        <v>4737</v>
      </c>
      <c r="B4733">
        <v>0.99352677808782597</v>
      </c>
      <c r="C4733">
        <v>0.96462841785514997</v>
      </c>
      <c r="D4733">
        <v>0.97873712735686802</v>
      </c>
      <c r="E4733">
        <v>0.89884295407549297</v>
      </c>
      <c r="F4733">
        <v>0.78782520688895197</v>
      </c>
      <c r="G4733">
        <v>0.75026891525804895</v>
      </c>
      <c r="H4733">
        <v>0.54378538717823899</v>
      </c>
      <c r="I4733">
        <v>0.64447310402041902</v>
      </c>
      <c r="J4733">
        <v>0.76606504346450699</v>
      </c>
      <c r="K4733">
        <v>0.70669577183020604</v>
      </c>
      <c r="L4733">
        <v>1252.81579148891</v>
      </c>
      <c r="M4733">
        <v>24.240974162428099</v>
      </c>
      <c r="O4733">
        <v>51.333881726722097</v>
      </c>
      <c r="P4733">
        <v>-3.8600883429302103E-2</v>
      </c>
      <c r="Q4733">
        <v>0.67303243605375895</v>
      </c>
      <c r="R4733">
        <v>0.84346064376477003</v>
      </c>
      <c r="S4733" t="s">
        <v>11018</v>
      </c>
      <c r="T4733" t="s">
        <v>12568</v>
      </c>
      <c r="U4733" t="s">
        <v>12568</v>
      </c>
      <c r="V4733" t="s">
        <v>12568</v>
      </c>
      <c r="W4733" t="s">
        <v>17252</v>
      </c>
      <c r="X4733">
        <v>8</v>
      </c>
      <c r="Y4733" t="s">
        <v>23358</v>
      </c>
      <c r="Z4733" t="s">
        <v>29603</v>
      </c>
      <c r="AA4733">
        <v>0.80350883130933159</v>
      </c>
      <c r="AB4733" t="str">
        <f>HYPERLINK("Melting_Curves/meltCurve_Q96IK1_BOD1.pdf", "Melting_Curves/meltCurve_Q96IK1_BOD1.pdf")</f>
        <v>Melting_Curves/meltCurve_Q96IK1_BOD1.pdf</v>
      </c>
    </row>
    <row r="4734" spans="1:28" x14ac:dyDescent="0.25">
      <c r="A4734" t="s">
        <v>4738</v>
      </c>
      <c r="B4734">
        <v>0.99352677808782597</v>
      </c>
      <c r="C4734">
        <v>0.90344300642116504</v>
      </c>
      <c r="D4734">
        <v>0.76813118564271599</v>
      </c>
      <c r="E4734">
        <v>0.56879546586289298</v>
      </c>
      <c r="F4734">
        <v>0.53323815647871398</v>
      </c>
      <c r="G4734">
        <v>0.37606250357035798</v>
      </c>
      <c r="H4734">
        <v>0.18884702848575799</v>
      </c>
      <c r="I4734">
        <v>0.165515099565538</v>
      </c>
      <c r="J4734">
        <v>0.113918365008982</v>
      </c>
      <c r="K4734">
        <v>0.113994951365733</v>
      </c>
      <c r="L4734">
        <v>478.708650394232</v>
      </c>
      <c r="M4734">
        <v>9.0748128069930303</v>
      </c>
      <c r="N4734">
        <v>52.751350997438202</v>
      </c>
      <c r="O4734">
        <v>50.378946547145603</v>
      </c>
      <c r="P4734">
        <v>-4.5064458384669999E-2</v>
      </c>
      <c r="Q4734">
        <v>0</v>
      </c>
      <c r="R4734">
        <v>0.98891571436707304</v>
      </c>
      <c r="S4734" t="s">
        <v>11019</v>
      </c>
      <c r="T4734" t="s">
        <v>12568</v>
      </c>
      <c r="U4734" t="s">
        <v>12568</v>
      </c>
      <c r="V4734" t="s">
        <v>12568</v>
      </c>
      <c r="W4734" t="s">
        <v>17253</v>
      </c>
      <c r="X4734">
        <v>3</v>
      </c>
      <c r="Y4734" t="s">
        <v>23359</v>
      </c>
      <c r="Z4734" t="s">
        <v>29604</v>
      </c>
      <c r="AA4734">
        <v>0.46340322225689162</v>
      </c>
      <c r="AB4734" t="str">
        <f>HYPERLINK("Melting_Curves/meltCurve_Q96IR7_HPDL.pdf", "Melting_Curves/meltCurve_Q96IR7_HPDL.pdf")</f>
        <v>Melting_Curves/meltCurve_Q96IR7_HPDL.pdf</v>
      </c>
    </row>
    <row r="4735" spans="1:28" x14ac:dyDescent="0.25">
      <c r="A4735" t="s">
        <v>4739</v>
      </c>
      <c r="B4735">
        <v>0.99352677808782597</v>
      </c>
      <c r="C4735">
        <v>0.98085340204854898</v>
      </c>
      <c r="D4735">
        <v>0.99634370938533801</v>
      </c>
      <c r="E4735">
        <v>0.64831324574149796</v>
      </c>
      <c r="F4735">
        <v>0.55042963540242396</v>
      </c>
      <c r="G4735">
        <v>0.35725953949543199</v>
      </c>
      <c r="H4735">
        <v>0.18906877392423099</v>
      </c>
      <c r="I4735">
        <v>0.143730528018881</v>
      </c>
      <c r="J4735">
        <v>0.116121924482776</v>
      </c>
      <c r="K4735">
        <v>8.4535853027872698E-2</v>
      </c>
      <c r="L4735">
        <v>757.86952514928203</v>
      </c>
      <c r="M4735">
        <v>14.2707205039525</v>
      </c>
      <c r="N4735">
        <v>53.657553028582797</v>
      </c>
      <c r="O4735">
        <v>52.096435396113797</v>
      </c>
      <c r="P4735">
        <v>-6.3823010269914202E-2</v>
      </c>
      <c r="Q4735">
        <v>6.8149890898231605E-2</v>
      </c>
      <c r="R4735">
        <v>0.98790910111630503</v>
      </c>
      <c r="S4735" t="s">
        <v>11020</v>
      </c>
      <c r="T4735" t="s">
        <v>12568</v>
      </c>
      <c r="U4735" t="s">
        <v>12568</v>
      </c>
      <c r="V4735" t="s">
        <v>12568</v>
      </c>
      <c r="W4735" t="s">
        <v>17254</v>
      </c>
      <c r="X4735">
        <v>7</v>
      </c>
      <c r="Y4735" t="s">
        <v>23360</v>
      </c>
      <c r="Z4735" t="s">
        <v>29605</v>
      </c>
      <c r="AA4735">
        <v>0.49660884634891589</v>
      </c>
      <c r="AB4735" t="str">
        <f>HYPERLINK("Melting_Curves/meltCurve_Q96IU4_ABHD14B.pdf", "Melting_Curves/meltCurve_Q96IU4_ABHD14B.pdf")</f>
        <v>Melting_Curves/meltCurve_Q96IU4_ABHD14B.pdf</v>
      </c>
    </row>
    <row r="4736" spans="1:28" x14ac:dyDescent="0.25">
      <c r="A4736" t="s">
        <v>4740</v>
      </c>
      <c r="B4736">
        <v>0.99352677808782597</v>
      </c>
      <c r="C4736">
        <v>0.83885178108060499</v>
      </c>
      <c r="D4736">
        <v>0.67377041119678704</v>
      </c>
      <c r="E4736">
        <v>0.49788252527610299</v>
      </c>
      <c r="F4736">
        <v>0.45344545979348</v>
      </c>
      <c r="G4736">
        <v>0.39294332134433702</v>
      </c>
      <c r="H4736">
        <v>0.32651076528402601</v>
      </c>
      <c r="I4736">
        <v>0.34246839304101501</v>
      </c>
      <c r="J4736">
        <v>0.28435353164346</v>
      </c>
      <c r="K4736">
        <v>0.25781925056017402</v>
      </c>
      <c r="L4736">
        <v>604.12919401392901</v>
      </c>
      <c r="M4736">
        <v>12.816141726779801</v>
      </c>
      <c r="N4736">
        <v>50.536331068629998</v>
      </c>
      <c r="O4736">
        <v>46.034732203706298</v>
      </c>
      <c r="P4736">
        <v>-4.9509251481351602E-2</v>
      </c>
      <c r="Q4736">
        <v>0.28879704385051203</v>
      </c>
      <c r="R4736">
        <v>0.98294654273105797</v>
      </c>
      <c r="S4736" t="s">
        <v>11021</v>
      </c>
      <c r="T4736" t="s">
        <v>12568</v>
      </c>
      <c r="U4736" t="s">
        <v>12568</v>
      </c>
      <c r="V4736" t="s">
        <v>12568</v>
      </c>
      <c r="W4736" t="s">
        <v>17255</v>
      </c>
      <c r="X4736">
        <v>12</v>
      </c>
      <c r="Y4736" t="s">
        <v>23361</v>
      </c>
      <c r="Z4736" t="s">
        <v>29606</v>
      </c>
      <c r="AA4736">
        <v>0.48416727816003691</v>
      </c>
      <c r="AB4736" t="str">
        <f>HYPERLINK("Melting_Curves/meltCurve_Q96IV0_2_NGLY1.pdf", "Melting_Curves/meltCurve_Q96IV0_2_NGLY1.pdf")</f>
        <v>Melting_Curves/meltCurve_Q96IV0_2_NGLY1.pdf</v>
      </c>
    </row>
    <row r="4737" spans="1:28" x14ac:dyDescent="0.25">
      <c r="A4737" t="s">
        <v>4741</v>
      </c>
      <c r="B4737">
        <v>0.99352677808782597</v>
      </c>
      <c r="C4737">
        <v>1.0158710039851599</v>
      </c>
      <c r="D4737">
        <v>0.89987154308431805</v>
      </c>
      <c r="E4737">
        <v>0.44536910152708897</v>
      </c>
      <c r="F4737">
        <v>0.36800860803533703</v>
      </c>
      <c r="G4737">
        <v>0.27014020946797002</v>
      </c>
      <c r="H4737">
        <v>0.160802153906802</v>
      </c>
      <c r="I4737">
        <v>0.15777745343497701</v>
      </c>
      <c r="J4737">
        <v>0.16441232558142299</v>
      </c>
      <c r="K4737">
        <v>0.119031890816001</v>
      </c>
      <c r="L4737">
        <v>1088.8649601024399</v>
      </c>
      <c r="M4737">
        <v>22.078093077137499</v>
      </c>
      <c r="N4737">
        <v>50.2223960472068</v>
      </c>
      <c r="O4737">
        <v>48.919516477250603</v>
      </c>
      <c r="P4737">
        <v>-9.4337230172845302E-2</v>
      </c>
      <c r="Q4737">
        <v>0.16390761385136399</v>
      </c>
      <c r="R4737">
        <v>0.98424040759173004</v>
      </c>
      <c r="S4737" t="s">
        <v>11022</v>
      </c>
      <c r="T4737" t="s">
        <v>12568</v>
      </c>
      <c r="U4737" t="s">
        <v>12568</v>
      </c>
      <c r="V4737" t="s">
        <v>12568</v>
      </c>
      <c r="W4737" t="s">
        <v>17256</v>
      </c>
      <c r="X4737">
        <v>5</v>
      </c>
      <c r="Y4737" t="s">
        <v>23362</v>
      </c>
      <c r="Z4737" t="s">
        <v>29607</v>
      </c>
      <c r="AA4737">
        <v>0.43318747679028358</v>
      </c>
      <c r="AB4737" t="str">
        <f>HYPERLINK("Melting_Curves/meltCurve_Q96IY1_NSL1.pdf", "Melting_Curves/meltCurve_Q96IY1_NSL1.pdf")</f>
        <v>Melting_Curves/meltCurve_Q96IY1_NSL1.pdf</v>
      </c>
    </row>
    <row r="4738" spans="1:28" x14ac:dyDescent="0.25">
      <c r="A4738" t="s">
        <v>4742</v>
      </c>
      <c r="B4738">
        <v>0.99352677808782597</v>
      </c>
      <c r="C4738">
        <v>1.0069046991083399</v>
      </c>
      <c r="D4738">
        <v>1.0000974103073501</v>
      </c>
      <c r="E4738">
        <v>1.03289944744267</v>
      </c>
      <c r="F4738">
        <v>0.94378908267817296</v>
      </c>
      <c r="G4738">
        <v>0.86041195781728197</v>
      </c>
      <c r="H4738">
        <v>0.81499720230825701</v>
      </c>
      <c r="I4738">
        <v>0.85633965082032604</v>
      </c>
      <c r="J4738">
        <v>0.97495825841963302</v>
      </c>
      <c r="K4738">
        <v>0.78403470832337996</v>
      </c>
      <c r="L4738">
        <v>13272.315694069201</v>
      </c>
      <c r="M4738">
        <v>250</v>
      </c>
      <c r="O4738">
        <v>53.085870068887701</v>
      </c>
      <c r="P4738">
        <v>-0.16700731630007901</v>
      </c>
      <c r="Q4738">
        <v>0.85814835348490803</v>
      </c>
      <c r="R4738">
        <v>0.69348242352648204</v>
      </c>
      <c r="S4738" t="s">
        <v>11023</v>
      </c>
      <c r="T4738" t="s">
        <v>12568</v>
      </c>
      <c r="U4738" t="s">
        <v>12568</v>
      </c>
      <c r="V4738" t="s">
        <v>12568</v>
      </c>
      <c r="W4738" t="s">
        <v>17257</v>
      </c>
      <c r="X4738">
        <v>15</v>
      </c>
      <c r="Y4738" t="s">
        <v>23363</v>
      </c>
      <c r="Z4738" t="s">
        <v>29608</v>
      </c>
      <c r="AA4738">
        <v>0.920052685803325</v>
      </c>
      <c r="AB4738" t="str">
        <f>HYPERLINK("Melting_Curves/meltCurve_Q96IZ0_PAWR.pdf", "Melting_Curves/meltCurve_Q96IZ0_PAWR.pdf")</f>
        <v>Melting_Curves/meltCurve_Q96IZ0_PAWR.pdf</v>
      </c>
    </row>
    <row r="4739" spans="1:28" x14ac:dyDescent="0.25">
      <c r="A4739" t="s">
        <v>4743</v>
      </c>
      <c r="B4739">
        <v>0.99352677808782597</v>
      </c>
      <c r="C4739">
        <v>0.90158304965206504</v>
      </c>
      <c r="D4739">
        <v>0.86674747775928196</v>
      </c>
      <c r="E4739">
        <v>0.69401682256887998</v>
      </c>
      <c r="F4739">
        <v>0.38064602566255001</v>
      </c>
      <c r="G4739">
        <v>0.53009393946883798</v>
      </c>
      <c r="H4739">
        <v>0.43816525679319601</v>
      </c>
      <c r="I4739">
        <v>0.48924810215308001</v>
      </c>
      <c r="J4739">
        <v>0.38367735619558402</v>
      </c>
      <c r="K4739">
        <v>0.44634741906318898</v>
      </c>
      <c r="L4739">
        <v>1041.0703076264999</v>
      </c>
      <c r="M4739">
        <v>21.505304782529699</v>
      </c>
      <c r="N4739">
        <v>53.535466425240202</v>
      </c>
      <c r="O4739">
        <v>47.997162294929502</v>
      </c>
      <c r="P4739">
        <v>-6.3154105580341693E-2</v>
      </c>
      <c r="Q4739">
        <v>0.43620531690980602</v>
      </c>
      <c r="R4739">
        <v>0.923850004612223</v>
      </c>
      <c r="S4739" t="s">
        <v>11024</v>
      </c>
      <c r="T4739" t="s">
        <v>12568</v>
      </c>
      <c r="U4739" t="s">
        <v>12568</v>
      </c>
      <c r="V4739" t="s">
        <v>12568</v>
      </c>
      <c r="W4739" t="s">
        <v>17258</v>
      </c>
      <c r="X4739">
        <v>2</v>
      </c>
      <c r="Y4739" t="s">
        <v>23364</v>
      </c>
      <c r="Z4739" t="s">
        <v>29609</v>
      </c>
      <c r="AA4739">
        <v>0.60108882170472966</v>
      </c>
      <c r="AB4739" t="str">
        <f>HYPERLINK("Melting_Curves/meltCurve_Q96IZ5_2_RBM41.pdf", "Melting_Curves/meltCurve_Q96IZ5_2_RBM41.pdf")</f>
        <v>Melting_Curves/meltCurve_Q96IZ5_2_RBM41.pdf</v>
      </c>
    </row>
    <row r="4740" spans="1:28" x14ac:dyDescent="0.25">
      <c r="A4740" t="s">
        <v>4744</v>
      </c>
      <c r="B4740">
        <v>0.99352677808782597</v>
      </c>
      <c r="C4740">
        <v>0.80395371464123799</v>
      </c>
      <c r="D4740">
        <v>0.55244969181704895</v>
      </c>
      <c r="E4740">
        <v>0.237203961758821</v>
      </c>
      <c r="F4740">
        <v>0.21492578225036099</v>
      </c>
      <c r="G4740">
        <v>0.14481434202353999</v>
      </c>
      <c r="H4740">
        <v>0.114685211401559</v>
      </c>
      <c r="I4740">
        <v>0.109571929757833</v>
      </c>
      <c r="J4740">
        <v>7.73010377791232E-2</v>
      </c>
      <c r="K4740">
        <v>9.4508168805640003E-2</v>
      </c>
      <c r="L4740">
        <v>877.84280515453702</v>
      </c>
      <c r="M4740">
        <v>19.0930199830131</v>
      </c>
      <c r="N4740">
        <v>46.549564514789502</v>
      </c>
      <c r="O4740">
        <v>45.481706980972497</v>
      </c>
      <c r="P4740">
        <v>-9.3972184629928804E-2</v>
      </c>
      <c r="Q4740">
        <v>0.104626093876304</v>
      </c>
      <c r="R4740">
        <v>0.99391656534878603</v>
      </c>
      <c r="S4740" t="s">
        <v>11025</v>
      </c>
      <c r="T4740" t="s">
        <v>12568</v>
      </c>
      <c r="U4740" t="s">
        <v>12568</v>
      </c>
      <c r="V4740" t="s">
        <v>12568</v>
      </c>
      <c r="W4740" t="s">
        <v>17259</v>
      </c>
      <c r="X4740">
        <v>7</v>
      </c>
      <c r="Y4740" t="s">
        <v>23365</v>
      </c>
      <c r="Z4740" t="s">
        <v>29610</v>
      </c>
      <c r="AA4740">
        <v>0.29843258348322582</v>
      </c>
      <c r="AB4740" t="str">
        <f>HYPERLINK("Melting_Curves/meltCurve_Q96IZ6_METTL2A.pdf", "Melting_Curves/meltCurve_Q96IZ6_METTL2A.pdf")</f>
        <v>Melting_Curves/meltCurve_Q96IZ6_METTL2A.pdf</v>
      </c>
    </row>
    <row r="4741" spans="1:28" x14ac:dyDescent="0.25">
      <c r="A4741" t="s">
        <v>4745</v>
      </c>
      <c r="B4741">
        <v>0.99352677808782597</v>
      </c>
      <c r="C4741">
        <v>0.99876304816450101</v>
      </c>
      <c r="D4741">
        <v>0.97769356932213103</v>
      </c>
      <c r="E4741">
        <v>1.0086349930623499</v>
      </c>
      <c r="F4741">
        <v>1.1204681375591501</v>
      </c>
      <c r="G4741">
        <v>1.0486272700939201</v>
      </c>
      <c r="H4741">
        <v>0.92908717906731797</v>
      </c>
      <c r="I4741">
        <v>0.99063676874705797</v>
      </c>
      <c r="J4741">
        <v>1.1352899208663001</v>
      </c>
      <c r="K4741">
        <v>0.962805584930846</v>
      </c>
      <c r="L4741">
        <v>12547.9173951885</v>
      </c>
      <c r="M4741">
        <v>250</v>
      </c>
      <c r="O4741">
        <v>50.1884576576741</v>
      </c>
      <c r="P4741">
        <v>3.87943102239834E-2</v>
      </c>
      <c r="Q4741">
        <v>1.03115242549331</v>
      </c>
      <c r="R4741">
        <v>7.9818767329228504E-2</v>
      </c>
      <c r="S4741" t="s">
        <v>11026</v>
      </c>
      <c r="T4741" t="s">
        <v>12568</v>
      </c>
      <c r="U4741" t="s">
        <v>12568</v>
      </c>
      <c r="V4741" t="s">
        <v>12568</v>
      </c>
      <c r="W4741" t="s">
        <v>17260</v>
      </c>
      <c r="X4741">
        <v>4</v>
      </c>
      <c r="Y4741" t="s">
        <v>23366</v>
      </c>
      <c r="Z4741" t="s">
        <v>29611</v>
      </c>
      <c r="AA4741">
        <v>1.0205665071710219</v>
      </c>
      <c r="AB4741" t="str">
        <f>HYPERLINK("Melting_Curves/meltCurve_Q96IZ7_2_RSRC1.pdf", "Melting_Curves/meltCurve_Q96IZ7_2_RSRC1.pdf")</f>
        <v>Melting_Curves/meltCurve_Q96IZ7_2_RSRC1.pdf</v>
      </c>
    </row>
    <row r="4742" spans="1:28" x14ac:dyDescent="0.25">
      <c r="A4742" t="s">
        <v>4746</v>
      </c>
      <c r="B4742">
        <v>0.99352677808782597</v>
      </c>
      <c r="C4742">
        <v>0.90033246020739799</v>
      </c>
      <c r="D4742">
        <v>0.89924727954129102</v>
      </c>
      <c r="E4742">
        <v>0.439481151681683</v>
      </c>
      <c r="F4742">
        <v>0.38440527038403</v>
      </c>
      <c r="G4742">
        <v>0.16779918694174101</v>
      </c>
      <c r="H4742">
        <v>8.7761082160703593E-2</v>
      </c>
      <c r="I4742">
        <v>7.2144985330019298E-2</v>
      </c>
      <c r="J4742">
        <v>6.2306202767273999E-2</v>
      </c>
      <c r="K4742">
        <v>4.5954064264461802E-2</v>
      </c>
      <c r="L4742">
        <v>819.09280521228197</v>
      </c>
      <c r="M4742">
        <v>16.350711396881898</v>
      </c>
      <c r="N4742">
        <v>50.395715684341702</v>
      </c>
      <c r="O4742">
        <v>49.363889282656203</v>
      </c>
      <c r="P4742">
        <v>-7.8966879744071197E-2</v>
      </c>
      <c r="Q4742">
        <v>4.64435566642993E-2</v>
      </c>
      <c r="R4742">
        <v>0.98486840377924501</v>
      </c>
      <c r="S4742" t="s">
        <v>11027</v>
      </c>
      <c r="T4742" t="s">
        <v>12568</v>
      </c>
      <c r="U4742" t="s">
        <v>12568</v>
      </c>
      <c r="V4742" t="s">
        <v>12568</v>
      </c>
      <c r="W4742" t="s">
        <v>17261</v>
      </c>
      <c r="X4742">
        <v>9</v>
      </c>
      <c r="Y4742" t="s">
        <v>23367</v>
      </c>
      <c r="Z4742" t="s">
        <v>29612</v>
      </c>
      <c r="AA4742">
        <v>0.38674244657003159</v>
      </c>
      <c r="AB4742" t="str">
        <f>HYPERLINK("Melting_Curves/meltCurve_Q96J01_THOC3.pdf", "Melting_Curves/meltCurve_Q96J01_THOC3.pdf")</f>
        <v>Melting_Curves/meltCurve_Q96J01_THOC3.pdf</v>
      </c>
    </row>
    <row r="4743" spans="1:28" x14ac:dyDescent="0.25">
      <c r="A4743" t="s">
        <v>4747</v>
      </c>
      <c r="B4743">
        <v>0.99352677808782597</v>
      </c>
      <c r="C4743">
        <v>1.0615252991316899</v>
      </c>
      <c r="D4743">
        <v>0.99289394409031095</v>
      </c>
      <c r="E4743">
        <v>0.58983052495523103</v>
      </c>
      <c r="F4743">
        <v>0.46979923959562297</v>
      </c>
      <c r="G4743">
        <v>0.37978194585951403</v>
      </c>
      <c r="H4743">
        <v>0.213913349838219</v>
      </c>
      <c r="I4743">
        <v>0.157127403842971</v>
      </c>
      <c r="J4743">
        <v>9.8555256879174005E-2</v>
      </c>
      <c r="K4743">
        <v>7.6807421400906198E-2</v>
      </c>
      <c r="L4743">
        <v>777.89055443961001</v>
      </c>
      <c r="M4743">
        <v>14.895662587599301</v>
      </c>
      <c r="N4743">
        <v>52.956595506170402</v>
      </c>
      <c r="O4743">
        <v>51.308512608056397</v>
      </c>
      <c r="P4743">
        <v>-6.5816492391747902E-2</v>
      </c>
      <c r="Q4743">
        <v>9.3267423548986594E-2</v>
      </c>
      <c r="R4743">
        <v>0.97060114319472202</v>
      </c>
      <c r="S4743" t="s">
        <v>11028</v>
      </c>
      <c r="T4743" t="s">
        <v>12568</v>
      </c>
      <c r="U4743" t="s">
        <v>12568</v>
      </c>
      <c r="V4743" t="s">
        <v>12568</v>
      </c>
      <c r="W4743" t="s">
        <v>17262</v>
      </c>
      <c r="X4743">
        <v>5</v>
      </c>
      <c r="Y4743" t="s">
        <v>23368</v>
      </c>
      <c r="Z4743" t="s">
        <v>29613</v>
      </c>
      <c r="AA4743">
        <v>0.4830118393762054</v>
      </c>
      <c r="AB4743" t="str">
        <f>HYPERLINK("Melting_Curves/meltCurve_Q96J02_2_ITCH.pdf", "Melting_Curves/meltCurve_Q96J02_2_ITCH.pdf")</f>
        <v>Melting_Curves/meltCurve_Q96J02_2_ITCH.pdf</v>
      </c>
    </row>
    <row r="4744" spans="1:28" x14ac:dyDescent="0.25">
      <c r="A4744" t="s">
        <v>4748</v>
      </c>
      <c r="B4744">
        <v>0.99352677808782597</v>
      </c>
      <c r="C4744">
        <v>1.00314312678852</v>
      </c>
      <c r="D4744">
        <v>1.0519576702272899</v>
      </c>
      <c r="E4744">
        <v>1.08338572586073</v>
      </c>
      <c r="F4744">
        <v>0.95033245990010495</v>
      </c>
      <c r="G4744">
        <v>0.93226288432738602</v>
      </c>
      <c r="H4744">
        <v>0.85670628291846695</v>
      </c>
      <c r="I4744">
        <v>0.98886329893574398</v>
      </c>
      <c r="J4744">
        <v>0.79017434337319004</v>
      </c>
      <c r="K4744">
        <v>0.89195596279300304</v>
      </c>
      <c r="L4744">
        <v>1740.3136590890499</v>
      </c>
      <c r="M4744">
        <v>31.172736239642301</v>
      </c>
      <c r="O4744">
        <v>55.599834154310898</v>
      </c>
      <c r="P4744">
        <v>-1.6761410574414E-2</v>
      </c>
      <c r="Q4744">
        <v>0.88041777338615901</v>
      </c>
      <c r="R4744">
        <v>0.55693453341066601</v>
      </c>
      <c r="S4744" t="s">
        <v>11029</v>
      </c>
      <c r="T4744" t="s">
        <v>12568</v>
      </c>
      <c r="U4744" t="s">
        <v>12568</v>
      </c>
      <c r="V4744" t="s">
        <v>12568</v>
      </c>
      <c r="W4744" t="s">
        <v>17263</v>
      </c>
      <c r="X4744">
        <v>3</v>
      </c>
      <c r="Y4744" t="s">
        <v>23369</v>
      </c>
      <c r="Z4744" t="s">
        <v>29614</v>
      </c>
      <c r="AA4744">
        <v>0.9442518863196</v>
      </c>
      <c r="AB4744" t="str">
        <f>HYPERLINK("Melting_Curves/meltCurve_Q96J84_KIRREL.pdf", "Melting_Curves/meltCurve_Q96J84_KIRREL.pdf")</f>
        <v>Melting_Curves/meltCurve_Q96J84_KIRREL.pdf</v>
      </c>
    </row>
    <row r="4745" spans="1:28" x14ac:dyDescent="0.25">
      <c r="A4745" t="s">
        <v>4749</v>
      </c>
      <c r="B4745">
        <v>0.99352677808782597</v>
      </c>
      <c r="C4745">
        <v>0.96753530459471804</v>
      </c>
      <c r="D4745">
        <v>0.58608442286570495</v>
      </c>
      <c r="E4745">
        <v>0.29883318644707202</v>
      </c>
      <c r="F4745">
        <v>0.25178978299159599</v>
      </c>
      <c r="G4745">
        <v>0.13724321261064401</v>
      </c>
      <c r="H4745">
        <v>0.11626536404051301</v>
      </c>
      <c r="I4745">
        <v>0.14655879082669501</v>
      </c>
      <c r="J4745">
        <v>7.3413652718117298E-2</v>
      </c>
      <c r="K4745">
        <v>5.9175901138924798E-2</v>
      </c>
      <c r="L4745">
        <v>979.48469204775995</v>
      </c>
      <c r="M4745">
        <v>20.883180388618701</v>
      </c>
      <c r="N4745">
        <v>47.463213574589801</v>
      </c>
      <c r="O4745">
        <v>46.479307406630703</v>
      </c>
      <c r="P4745">
        <v>-0.100059550385172</v>
      </c>
      <c r="Q4745">
        <v>0.10922169328372899</v>
      </c>
      <c r="R4745">
        <v>0.98297488537001199</v>
      </c>
      <c r="S4745" t="s">
        <v>11030</v>
      </c>
      <c r="T4745" t="s">
        <v>12568</v>
      </c>
      <c r="U4745" t="s">
        <v>12568</v>
      </c>
      <c r="V4745" t="s">
        <v>12568</v>
      </c>
      <c r="W4745" t="s">
        <v>17264</v>
      </c>
      <c r="X4745">
        <v>11</v>
      </c>
      <c r="Y4745" t="s">
        <v>23370</v>
      </c>
      <c r="Z4745" t="s">
        <v>29615</v>
      </c>
      <c r="AA4745">
        <v>0.32608493020955659</v>
      </c>
      <c r="AB4745" t="str">
        <f>HYPERLINK("Melting_Curves/meltCurve_Q96JB2_COG3.pdf", "Melting_Curves/meltCurve_Q96JB2_COG3.pdf")</f>
        <v>Melting_Curves/meltCurve_Q96JB2_COG3.pdf</v>
      </c>
    </row>
    <row r="4746" spans="1:28" x14ac:dyDescent="0.25">
      <c r="A4746" t="s">
        <v>4750</v>
      </c>
      <c r="B4746">
        <v>0.99352677808782597</v>
      </c>
      <c r="C4746">
        <v>0.96346771200499504</v>
      </c>
      <c r="D4746">
        <v>0.76968178056425895</v>
      </c>
      <c r="E4746">
        <v>0.27414271442355698</v>
      </c>
      <c r="F4746">
        <v>0.209396071974254</v>
      </c>
      <c r="G4746">
        <v>0.133565759234757</v>
      </c>
      <c r="H4746">
        <v>9.0087691148671004E-2</v>
      </c>
      <c r="I4746">
        <v>9.1587308135157697E-2</v>
      </c>
      <c r="J4746">
        <v>7.6159659905878405E-2</v>
      </c>
      <c r="K4746">
        <v>5.6662816927735497E-2</v>
      </c>
      <c r="L4746">
        <v>1246.9736591536901</v>
      </c>
      <c r="M4746">
        <v>26.090981986651698</v>
      </c>
      <c r="N4746">
        <v>48.164388539486801</v>
      </c>
      <c r="O4746">
        <v>47.5151709045969</v>
      </c>
      <c r="P4746">
        <v>-0.124778563913472</v>
      </c>
      <c r="Q4746">
        <v>9.1056459194728295E-2</v>
      </c>
      <c r="R4746">
        <v>0.99506223988299403</v>
      </c>
      <c r="S4746" t="s">
        <v>11031</v>
      </c>
      <c r="T4746" t="s">
        <v>12568</v>
      </c>
      <c r="U4746" t="s">
        <v>12568</v>
      </c>
      <c r="V4746" t="s">
        <v>12568</v>
      </c>
      <c r="W4746" t="s">
        <v>17265</v>
      </c>
      <c r="X4746">
        <v>9</v>
      </c>
      <c r="Y4746" t="s">
        <v>23371</v>
      </c>
      <c r="Z4746" t="s">
        <v>29616</v>
      </c>
      <c r="AA4746">
        <v>0.33451723563301877</v>
      </c>
      <c r="AB4746" t="str">
        <f>HYPERLINK("Melting_Curves/meltCurve_Q96JB5_CDK5RAP3.pdf", "Melting_Curves/meltCurve_Q96JB5_CDK5RAP3.pdf")</f>
        <v>Melting_Curves/meltCurve_Q96JB5_CDK5RAP3.pdf</v>
      </c>
    </row>
    <row r="4747" spans="1:28" x14ac:dyDescent="0.25">
      <c r="A4747" t="s">
        <v>4751</v>
      </c>
      <c r="B4747">
        <v>0.99352677808782597</v>
      </c>
      <c r="C4747">
        <v>0.95785294825024003</v>
      </c>
      <c r="D4747">
        <v>0.94144815768768897</v>
      </c>
      <c r="E4747">
        <v>0.56988954536973802</v>
      </c>
      <c r="F4747">
        <v>0.43516111156882997</v>
      </c>
      <c r="G4747">
        <v>0.28873357492177498</v>
      </c>
      <c r="H4747">
        <v>0.185348251441082</v>
      </c>
      <c r="I4747">
        <v>0.18372246002162601</v>
      </c>
      <c r="J4747">
        <v>0.144306353428828</v>
      </c>
      <c r="K4747">
        <v>0.10533763103360699</v>
      </c>
      <c r="L4747">
        <v>862.80273389474701</v>
      </c>
      <c r="M4747">
        <v>16.969538603439201</v>
      </c>
      <c r="N4747">
        <v>51.809614537454401</v>
      </c>
      <c r="O4747">
        <v>50.153879585240098</v>
      </c>
      <c r="P4747">
        <v>-7.3126549954617398E-2</v>
      </c>
      <c r="Q4747">
        <v>0.13554470566197599</v>
      </c>
      <c r="R4747">
        <v>0.99055021549715605</v>
      </c>
      <c r="S4747" t="s">
        <v>11032</v>
      </c>
      <c r="T4747" t="s">
        <v>12568</v>
      </c>
      <c r="U4747" t="s">
        <v>12568</v>
      </c>
      <c r="V4747" t="s">
        <v>12568</v>
      </c>
      <c r="W4747" t="s">
        <v>17266</v>
      </c>
      <c r="X4747">
        <v>5</v>
      </c>
      <c r="Y4747" t="s">
        <v>23372</v>
      </c>
      <c r="Z4747" t="s">
        <v>29617</v>
      </c>
      <c r="AA4747">
        <v>0.46424547824452478</v>
      </c>
      <c r="AB4747" t="str">
        <f>HYPERLINK("Melting_Curves/meltCurve_Q96JC1_2_VPS39.pdf", "Melting_Curves/meltCurve_Q96JC1_2_VPS39.pdf")</f>
        <v>Melting_Curves/meltCurve_Q96JC1_2_VPS39.pdf</v>
      </c>
    </row>
    <row r="4748" spans="1:28" x14ac:dyDescent="0.25">
      <c r="A4748" t="s">
        <v>4752</v>
      </c>
      <c r="B4748">
        <v>0.99352677808782597</v>
      </c>
      <c r="C4748">
        <v>0.96412962990786799</v>
      </c>
      <c r="D4748">
        <v>1.0583823995660799</v>
      </c>
      <c r="E4748">
        <v>0.75423730965008895</v>
      </c>
      <c r="F4748">
        <v>0.65672357167079998</v>
      </c>
      <c r="G4748">
        <v>0.57445357201571701</v>
      </c>
      <c r="H4748">
        <v>0.46596326768083801</v>
      </c>
      <c r="I4748">
        <v>0.51142690680843395</v>
      </c>
      <c r="J4748">
        <v>0.46667479225424302</v>
      </c>
      <c r="K4748">
        <v>0.415874507122106</v>
      </c>
      <c r="L4748">
        <v>1047.87177813625</v>
      </c>
      <c r="M4748">
        <v>20.365352495574001</v>
      </c>
      <c r="N4748">
        <v>59.015244530096801</v>
      </c>
      <c r="O4748">
        <v>50.965242653083202</v>
      </c>
      <c r="P4748">
        <v>-5.3625928201880099E-2</v>
      </c>
      <c r="Q4748">
        <v>0.46321072544511099</v>
      </c>
      <c r="R4748">
        <v>0.96091170365452705</v>
      </c>
      <c r="S4748" t="s">
        <v>11033</v>
      </c>
      <c r="T4748" t="s">
        <v>12568</v>
      </c>
      <c r="U4748" t="s">
        <v>12568</v>
      </c>
      <c r="V4748" t="s">
        <v>12568</v>
      </c>
      <c r="W4748" t="s">
        <v>17267</v>
      </c>
      <c r="X4748">
        <v>2</v>
      </c>
      <c r="Y4748" t="s">
        <v>23373</v>
      </c>
      <c r="Z4748" t="s">
        <v>29618</v>
      </c>
      <c r="AA4748">
        <v>0.67534917932527505</v>
      </c>
      <c r="AB4748" t="str">
        <f>HYPERLINK("Melting_Curves/meltCurve_Q96JC9_EAF1.pdf", "Melting_Curves/meltCurve_Q96JC9_EAF1.pdf")</f>
        <v>Melting_Curves/meltCurve_Q96JC9_EAF1.pdf</v>
      </c>
    </row>
    <row r="4749" spans="1:28" x14ac:dyDescent="0.25">
      <c r="A4749" t="s">
        <v>4753</v>
      </c>
      <c r="B4749">
        <v>0.99352677808782597</v>
      </c>
      <c r="C4749">
        <v>1.0163090511795101</v>
      </c>
      <c r="D4749">
        <v>0.83385185187592803</v>
      </c>
      <c r="E4749">
        <v>0.80909594267038198</v>
      </c>
      <c r="F4749">
        <v>0.660933625651275</v>
      </c>
      <c r="G4749">
        <v>0.69527764469402797</v>
      </c>
      <c r="H4749">
        <v>0.53761247733980599</v>
      </c>
      <c r="I4749">
        <v>0.61456478352784305</v>
      </c>
      <c r="J4749">
        <v>0.63896304822952399</v>
      </c>
      <c r="K4749">
        <v>0.50044265581952496</v>
      </c>
      <c r="L4749">
        <v>646.25610553310003</v>
      </c>
      <c r="M4749">
        <v>12.924257662829501</v>
      </c>
      <c r="O4749">
        <v>48.851616766546201</v>
      </c>
      <c r="P4749">
        <v>-2.9191722114466599E-2</v>
      </c>
      <c r="Q4749">
        <v>0.55871967884375595</v>
      </c>
      <c r="R4749">
        <v>0.90459113236640298</v>
      </c>
      <c r="S4749" t="s">
        <v>11034</v>
      </c>
      <c r="T4749" t="s">
        <v>12568</v>
      </c>
      <c r="U4749" t="s">
        <v>12568</v>
      </c>
      <c r="V4749" t="s">
        <v>12568</v>
      </c>
      <c r="W4749" t="s">
        <v>17268</v>
      </c>
      <c r="X4749">
        <v>2</v>
      </c>
      <c r="Y4749" t="s">
        <v>23374</v>
      </c>
      <c r="Z4749" t="s">
        <v>29619</v>
      </c>
      <c r="AA4749">
        <v>0.71942653874822493</v>
      </c>
      <c r="AB4749" t="str">
        <f>HYPERLINK("Melting_Curves/meltCurve_Q96JE9_MAP6.pdf", "Melting_Curves/meltCurve_Q96JE9_MAP6.pdf")</f>
        <v>Melting_Curves/meltCurve_Q96JE9_MAP6.pdf</v>
      </c>
    </row>
    <row r="4750" spans="1:28" x14ac:dyDescent="0.25">
      <c r="A4750" t="s">
        <v>4754</v>
      </c>
      <c r="B4750">
        <v>0.99352677808782597</v>
      </c>
      <c r="C4750">
        <v>0.97291240016462399</v>
      </c>
      <c r="D4750">
        <v>0.85245615137715103</v>
      </c>
      <c r="E4750">
        <v>0.34975245301351299</v>
      </c>
      <c r="F4750">
        <v>0.27235516071284499</v>
      </c>
      <c r="G4750">
        <v>0.15152349639842499</v>
      </c>
      <c r="H4750">
        <v>0.102270657644113</v>
      </c>
      <c r="I4750">
        <v>0.101642768998913</v>
      </c>
      <c r="J4750">
        <v>7.0534270838148699E-2</v>
      </c>
      <c r="K4750">
        <v>5.8230188424206498E-2</v>
      </c>
      <c r="L4750">
        <v>1161.38479036591</v>
      </c>
      <c r="M4750">
        <v>23.8551796485559</v>
      </c>
      <c r="N4750">
        <v>49.112398222958497</v>
      </c>
      <c r="O4750">
        <v>48.3465345170681</v>
      </c>
      <c r="P4750">
        <v>-0.111789721559552</v>
      </c>
      <c r="Q4750">
        <v>9.3771585093413101E-2</v>
      </c>
      <c r="R4750">
        <v>0.99139589390621596</v>
      </c>
      <c r="S4750" t="s">
        <v>11035</v>
      </c>
      <c r="T4750" t="s">
        <v>12568</v>
      </c>
      <c r="U4750" t="s">
        <v>12568</v>
      </c>
      <c r="V4750" t="s">
        <v>12568</v>
      </c>
      <c r="W4750" t="s">
        <v>17269</v>
      </c>
      <c r="X4750">
        <v>7</v>
      </c>
      <c r="Y4750" t="s">
        <v>23375</v>
      </c>
      <c r="Z4750" t="s">
        <v>29620</v>
      </c>
      <c r="AA4750">
        <v>0.36495641950464902</v>
      </c>
      <c r="AB4750" t="str">
        <f>HYPERLINK("Melting_Curves/meltCurve_Q96JG6_CCDC132.pdf", "Melting_Curves/meltCurve_Q96JG6_CCDC132.pdf")</f>
        <v>Melting_Curves/meltCurve_Q96JG6_CCDC132.pdf</v>
      </c>
    </row>
    <row r="4751" spans="1:28" x14ac:dyDescent="0.25">
      <c r="A4751" t="s">
        <v>4755</v>
      </c>
      <c r="B4751">
        <v>0.99352677808782597</v>
      </c>
      <c r="C4751">
        <v>0.85303399016898196</v>
      </c>
      <c r="D4751">
        <v>0.92318540185626297</v>
      </c>
      <c r="E4751">
        <v>0.55101391482349404</v>
      </c>
      <c r="F4751">
        <v>0.649148528100574</v>
      </c>
      <c r="G4751">
        <v>0.54097316978403298</v>
      </c>
      <c r="H4751">
        <v>0.31019980123169899</v>
      </c>
      <c r="I4751">
        <v>0.43151710404341997</v>
      </c>
      <c r="J4751">
        <v>0.47636840961171201</v>
      </c>
      <c r="K4751">
        <v>0.433372151773944</v>
      </c>
      <c r="L4751">
        <v>667.95224598672598</v>
      </c>
      <c r="M4751">
        <v>13.6267002615787</v>
      </c>
      <c r="N4751">
        <v>56.036137717785799</v>
      </c>
      <c r="O4751">
        <v>47.9984067752752</v>
      </c>
      <c r="P4751">
        <v>-4.1933398858756903E-2</v>
      </c>
      <c r="Q4751">
        <v>0.40926580242927202</v>
      </c>
      <c r="R4751">
        <v>0.87705853263801703</v>
      </c>
      <c r="S4751" t="s">
        <v>11036</v>
      </c>
      <c r="T4751" t="s">
        <v>12568</v>
      </c>
      <c r="U4751" t="s">
        <v>12568</v>
      </c>
      <c r="V4751" t="s">
        <v>12568</v>
      </c>
      <c r="W4751" t="s">
        <v>17270</v>
      </c>
      <c r="X4751">
        <v>1</v>
      </c>
      <c r="Y4751" t="s">
        <v>23376</v>
      </c>
      <c r="Z4751" t="s">
        <v>29621</v>
      </c>
      <c r="AA4751">
        <v>0.60422323082453244</v>
      </c>
      <c r="AB4751" t="str">
        <f>HYPERLINK("Melting_Curves/meltCurve_Q96JG8_2_MAGED4.pdf", "Melting_Curves/meltCurve_Q96JG8_2_MAGED4.pdf")</f>
        <v>Melting_Curves/meltCurve_Q96JG8_2_MAGED4.pdf</v>
      </c>
    </row>
    <row r="4752" spans="1:28" x14ac:dyDescent="0.25">
      <c r="A4752" t="s">
        <v>4756</v>
      </c>
      <c r="B4752">
        <v>0.99352677808782597</v>
      </c>
      <c r="C4752">
        <v>0.74719122106578395</v>
      </c>
      <c r="D4752">
        <v>0.47600382231930599</v>
      </c>
      <c r="E4752">
        <v>0.288872324450198</v>
      </c>
      <c r="F4752">
        <v>0.246655226149194</v>
      </c>
      <c r="G4752">
        <v>0.18886156330003101</v>
      </c>
      <c r="H4752">
        <v>0.12991238034366401</v>
      </c>
      <c r="I4752">
        <v>0.131841045454127</v>
      </c>
      <c r="J4752">
        <v>0.112801677329274</v>
      </c>
      <c r="K4752">
        <v>0.102784348906238</v>
      </c>
      <c r="L4752">
        <v>783.12792396450504</v>
      </c>
      <c r="M4752">
        <v>17.276654097749699</v>
      </c>
      <c r="N4752">
        <v>46.1455843359604</v>
      </c>
      <c r="O4752">
        <v>44.7344532504911</v>
      </c>
      <c r="P4752">
        <v>-8.3835463642894695E-2</v>
      </c>
      <c r="Q4752">
        <v>0.13174944165131799</v>
      </c>
      <c r="R4752">
        <v>0.98570735133681897</v>
      </c>
      <c r="S4752" t="s">
        <v>11037</v>
      </c>
      <c r="T4752" t="s">
        <v>12568</v>
      </c>
      <c r="U4752" t="s">
        <v>12568</v>
      </c>
      <c r="V4752" t="s">
        <v>12568</v>
      </c>
      <c r="W4752" t="s">
        <v>17271</v>
      </c>
      <c r="X4752">
        <v>16</v>
      </c>
      <c r="Y4752" t="s">
        <v>23377</v>
      </c>
      <c r="Z4752" t="s">
        <v>29622</v>
      </c>
      <c r="AA4752">
        <v>0.30579984399984189</v>
      </c>
      <c r="AB4752" t="str">
        <f>HYPERLINK("Melting_Curves/meltCurve_Q96JH7_VCPIP1.pdf", "Melting_Curves/meltCurve_Q96JH7_VCPIP1.pdf")</f>
        <v>Melting_Curves/meltCurve_Q96JH7_VCPIP1.pdf</v>
      </c>
    </row>
    <row r="4753" spans="1:28" x14ac:dyDescent="0.25">
      <c r="A4753" t="s">
        <v>4757</v>
      </c>
      <c r="B4753">
        <v>0.99352677808782597</v>
      </c>
      <c r="C4753">
        <v>0.96585349974448798</v>
      </c>
      <c r="D4753">
        <v>0.79791231707770804</v>
      </c>
      <c r="E4753">
        <v>0.89248775935938296</v>
      </c>
      <c r="F4753">
        <v>0.75741285810584802</v>
      </c>
      <c r="G4753">
        <v>0.94953635032118799</v>
      </c>
      <c r="H4753">
        <v>1.6440042007551301</v>
      </c>
      <c r="I4753">
        <v>1.2967516183897501</v>
      </c>
      <c r="J4753">
        <v>1.5601236307547</v>
      </c>
      <c r="K4753">
        <v>1.11161899981657</v>
      </c>
      <c r="L4753">
        <v>14688.866165769099</v>
      </c>
      <c r="M4753">
        <v>250</v>
      </c>
      <c r="O4753">
        <v>58.7517047135645</v>
      </c>
      <c r="P4753">
        <v>0.42884180937473898</v>
      </c>
      <c r="Q4753">
        <v>1.40312299710681</v>
      </c>
      <c r="R4753">
        <v>0.65414043119518805</v>
      </c>
      <c r="S4753" t="s">
        <v>11038</v>
      </c>
      <c r="T4753" t="s">
        <v>12568</v>
      </c>
      <c r="U4753" t="s">
        <v>12568</v>
      </c>
      <c r="V4753" t="s">
        <v>12568</v>
      </c>
      <c r="W4753" t="s">
        <v>17272</v>
      </c>
      <c r="X4753">
        <v>2</v>
      </c>
      <c r="Y4753" t="s">
        <v>23378</v>
      </c>
      <c r="Z4753" t="s">
        <v>29623</v>
      </c>
      <c r="AA4753">
        <v>1.1510561248717679</v>
      </c>
      <c r="AB4753" t="str">
        <f>HYPERLINK("Melting_Curves/meltCurve_Q96JI7_2_SPG11.pdf", "Melting_Curves/meltCurve_Q96JI7_2_SPG11.pdf")</f>
        <v>Melting_Curves/meltCurve_Q96JI7_2_SPG11.pdf</v>
      </c>
    </row>
    <row r="4754" spans="1:28" x14ac:dyDescent="0.25">
      <c r="A4754" t="s">
        <v>4758</v>
      </c>
      <c r="B4754">
        <v>0.99352677808782597</v>
      </c>
      <c r="C4754">
        <v>1.0102750995413401</v>
      </c>
      <c r="D4754">
        <v>1.1030752859619599</v>
      </c>
      <c r="E4754">
        <v>1.13262962078414</v>
      </c>
      <c r="F4754">
        <v>0.94481886436486395</v>
      </c>
      <c r="G4754">
        <v>0.91534011016358796</v>
      </c>
      <c r="H4754">
        <v>0.87807838230331703</v>
      </c>
      <c r="I4754">
        <v>0.87502218602753601</v>
      </c>
      <c r="J4754">
        <v>1.1820822942568501</v>
      </c>
      <c r="K4754">
        <v>0.82265109259678904</v>
      </c>
      <c r="L4754">
        <v>13160.454234361199</v>
      </c>
      <c r="M4754">
        <v>250</v>
      </c>
      <c r="O4754">
        <v>52.638448307876502</v>
      </c>
      <c r="P4754">
        <v>-7.7611365050860595E-2</v>
      </c>
      <c r="Q4754">
        <v>0.93463453096041504</v>
      </c>
      <c r="R4754">
        <v>0.16999508593734799</v>
      </c>
      <c r="S4754" t="s">
        <v>11039</v>
      </c>
      <c r="T4754" t="s">
        <v>12568</v>
      </c>
      <c r="U4754" t="s">
        <v>12568</v>
      </c>
      <c r="V4754" t="s">
        <v>12568</v>
      </c>
      <c r="W4754" t="s">
        <v>17273</v>
      </c>
      <c r="X4754">
        <v>3</v>
      </c>
      <c r="Y4754" t="s">
        <v>23379</v>
      </c>
      <c r="Z4754" t="s">
        <v>29624</v>
      </c>
      <c r="AA4754">
        <v>0.96218517957411431</v>
      </c>
      <c r="AB4754" t="str">
        <f>HYPERLINK("Melting_Curves/meltCurve_Q96JK9_MAML3.pdf", "Melting_Curves/meltCurve_Q96JK9_MAML3.pdf")</f>
        <v>Melting_Curves/meltCurve_Q96JK9_MAML3.pdf</v>
      </c>
    </row>
    <row r="4755" spans="1:28" x14ac:dyDescent="0.25">
      <c r="A4755" t="s">
        <v>4759</v>
      </c>
      <c r="B4755">
        <v>0.99352677808782597</v>
      </c>
      <c r="C4755">
        <v>0.97943651263423803</v>
      </c>
      <c r="D4755">
        <v>0.95992678849360702</v>
      </c>
      <c r="E4755">
        <v>0.73853987053036596</v>
      </c>
      <c r="F4755">
        <v>0.64251949062929004</v>
      </c>
      <c r="G4755">
        <v>0.51724870826744096</v>
      </c>
      <c r="H4755">
        <v>0.44198794502365102</v>
      </c>
      <c r="I4755">
        <v>0.42530099606415001</v>
      </c>
      <c r="J4755">
        <v>0.47319330857290498</v>
      </c>
      <c r="K4755">
        <v>0.39610862981783601</v>
      </c>
      <c r="L4755">
        <v>891.12947087119096</v>
      </c>
      <c r="M4755">
        <v>17.402549307916001</v>
      </c>
      <c r="N4755">
        <v>57.267090024848898</v>
      </c>
      <c r="O4755">
        <v>50.545020263217701</v>
      </c>
      <c r="P4755">
        <v>-4.98641170087483E-2</v>
      </c>
      <c r="Q4755">
        <v>0.42071917933861502</v>
      </c>
      <c r="R4755">
        <v>0.98994386838395398</v>
      </c>
      <c r="S4755" t="s">
        <v>11040</v>
      </c>
      <c r="T4755" t="s">
        <v>12568</v>
      </c>
      <c r="U4755" t="s">
        <v>12568</v>
      </c>
      <c r="V4755" t="s">
        <v>12568</v>
      </c>
      <c r="W4755" t="s">
        <v>17274</v>
      </c>
      <c r="X4755">
        <v>15</v>
      </c>
      <c r="Y4755" t="s">
        <v>23380</v>
      </c>
      <c r="Z4755" t="s">
        <v>29625</v>
      </c>
      <c r="AA4755">
        <v>0.64745261448908087</v>
      </c>
      <c r="AB4755" t="str">
        <f>HYPERLINK("Melting_Curves/meltCurve_Q96JM3_CHAMP1.pdf", "Melting_Curves/meltCurve_Q96JM3_CHAMP1.pdf")</f>
        <v>Melting_Curves/meltCurve_Q96JM3_CHAMP1.pdf</v>
      </c>
    </row>
    <row r="4756" spans="1:28" x14ac:dyDescent="0.25">
      <c r="A4756" t="s">
        <v>4760</v>
      </c>
      <c r="B4756">
        <v>0.99352677808782597</v>
      </c>
      <c r="C4756">
        <v>0.96107410962428996</v>
      </c>
      <c r="D4756">
        <v>0.96563495854889703</v>
      </c>
      <c r="E4756">
        <v>0.369540358341097</v>
      </c>
      <c r="F4756">
        <v>0.293400360162058</v>
      </c>
      <c r="G4756">
        <v>0.190528420518048</v>
      </c>
      <c r="H4756">
        <v>0.152518636636019</v>
      </c>
      <c r="I4756">
        <v>0.16018180764197401</v>
      </c>
      <c r="J4756">
        <v>0.15718844700284701</v>
      </c>
      <c r="K4756">
        <v>0.13982770198878</v>
      </c>
      <c r="L4756">
        <v>1954.0747160579499</v>
      </c>
      <c r="M4756">
        <v>40.061693738270499</v>
      </c>
      <c r="N4756">
        <v>49.298039217315001</v>
      </c>
      <c r="O4756">
        <v>48.6555829017191</v>
      </c>
      <c r="P4756">
        <v>-0.17029568678583701</v>
      </c>
      <c r="Q4756">
        <v>0.17269425891381401</v>
      </c>
      <c r="R4756">
        <v>0.98969139510405602</v>
      </c>
      <c r="S4756" t="s">
        <v>11041</v>
      </c>
      <c r="T4756" t="s">
        <v>12568</v>
      </c>
      <c r="U4756" t="s">
        <v>12568</v>
      </c>
      <c r="V4756" t="s">
        <v>12568</v>
      </c>
      <c r="W4756" t="s">
        <v>17275</v>
      </c>
      <c r="X4756">
        <v>12</v>
      </c>
      <c r="Y4756" t="s">
        <v>19511</v>
      </c>
      <c r="Z4756" t="s">
        <v>29626</v>
      </c>
      <c r="AA4756">
        <v>0.4175107243587417</v>
      </c>
      <c r="AB4756" t="str">
        <f>HYPERLINK("Melting_Curves/meltCurve_Q96JP2_MYO15B.pdf", "Melting_Curves/meltCurve_Q96JP2_MYO15B.pdf")</f>
        <v>Melting_Curves/meltCurve_Q96JP2_MYO15B.pdf</v>
      </c>
    </row>
    <row r="4757" spans="1:28" x14ac:dyDescent="0.25">
      <c r="A4757" t="s">
        <v>4761</v>
      </c>
      <c r="B4757">
        <v>0.99352677808782597</v>
      </c>
      <c r="C4757">
        <v>0.98432323954317502</v>
      </c>
      <c r="D4757">
        <v>1.00615960192515</v>
      </c>
      <c r="E4757">
        <v>0.84749191286845105</v>
      </c>
      <c r="F4757">
        <v>0.73971707452663205</v>
      </c>
      <c r="G4757">
        <v>0.59448382218423201</v>
      </c>
      <c r="H4757">
        <v>0.66455411465687497</v>
      </c>
      <c r="I4757">
        <v>0.65213458024357596</v>
      </c>
      <c r="J4757">
        <v>0.81980394579642102</v>
      </c>
      <c r="K4757">
        <v>0.67525061292698596</v>
      </c>
      <c r="L4757">
        <v>2026.95296881801</v>
      </c>
      <c r="M4757">
        <v>40.385765700731902</v>
      </c>
      <c r="O4757">
        <v>50.067181076672298</v>
      </c>
      <c r="P4757">
        <v>-6.3671687186972803E-2</v>
      </c>
      <c r="Q4757">
        <v>0.68425938161922595</v>
      </c>
      <c r="R4757">
        <v>0.86518252404419205</v>
      </c>
      <c r="S4757" t="s">
        <v>11042</v>
      </c>
      <c r="T4757" t="s">
        <v>12568</v>
      </c>
      <c r="U4757" t="s">
        <v>12568</v>
      </c>
      <c r="V4757" t="s">
        <v>12568</v>
      </c>
      <c r="W4757" t="s">
        <v>17276</v>
      </c>
      <c r="X4757">
        <v>8</v>
      </c>
      <c r="Y4757" t="s">
        <v>23381</v>
      </c>
      <c r="Z4757" t="s">
        <v>29627</v>
      </c>
      <c r="AA4757">
        <v>0.79257836323050257</v>
      </c>
      <c r="AB4757" t="str">
        <f>HYPERLINK("Melting_Curves/meltCurve_Q96JP5_ZFP91.pdf", "Melting_Curves/meltCurve_Q96JP5_ZFP91.pdf")</f>
        <v>Melting_Curves/meltCurve_Q96JP5_ZFP91.pdf</v>
      </c>
    </row>
    <row r="4758" spans="1:28" x14ac:dyDescent="0.25">
      <c r="A4758" t="s">
        <v>4762</v>
      </c>
      <c r="B4758">
        <v>0.99352677808782597</v>
      </c>
      <c r="C4758">
        <v>0.93960297791721503</v>
      </c>
      <c r="D4758">
        <v>0.93966283841014897</v>
      </c>
      <c r="E4758">
        <v>0.86354109615353702</v>
      </c>
      <c r="F4758">
        <v>0.76721610174936605</v>
      </c>
      <c r="G4758">
        <v>0.57603902818647901</v>
      </c>
      <c r="H4758">
        <v>0.29782561876991598</v>
      </c>
      <c r="I4758">
        <v>0.217953696709311</v>
      </c>
      <c r="J4758">
        <v>0.18652921298352601</v>
      </c>
      <c r="K4758">
        <v>0.13223496414636701</v>
      </c>
      <c r="L4758">
        <v>755.99063885324995</v>
      </c>
      <c r="M4758">
        <v>13.1995575126146</v>
      </c>
      <c r="N4758">
        <v>57.682018096903299</v>
      </c>
      <c r="O4758">
        <v>56.007218017010203</v>
      </c>
      <c r="P4758">
        <v>-5.6301875513092701E-2</v>
      </c>
      <c r="Q4758">
        <v>4.4578143086482003E-2</v>
      </c>
      <c r="R4758">
        <v>0.99339094030158603</v>
      </c>
      <c r="S4758" t="s">
        <v>11043</v>
      </c>
      <c r="T4758" t="s">
        <v>12568</v>
      </c>
      <c r="U4758" t="s">
        <v>12568</v>
      </c>
      <c r="V4758" t="s">
        <v>12568</v>
      </c>
      <c r="W4758" t="s">
        <v>17277</v>
      </c>
      <c r="X4758">
        <v>13</v>
      </c>
      <c r="Y4758" t="s">
        <v>23382</v>
      </c>
      <c r="Z4758" t="s">
        <v>29628</v>
      </c>
      <c r="AA4758">
        <v>0.60981635997447869</v>
      </c>
      <c r="AB4758" t="str">
        <f>HYPERLINK("Melting_Curves/meltCurve_Q96JQ2_CLMN.pdf", "Melting_Curves/meltCurve_Q96JQ2_CLMN.pdf")</f>
        <v>Melting_Curves/meltCurve_Q96JQ2_CLMN.pdf</v>
      </c>
    </row>
    <row r="4759" spans="1:28" x14ac:dyDescent="0.25">
      <c r="A4759" t="s">
        <v>4763</v>
      </c>
      <c r="B4759">
        <v>0.99352677808782597</v>
      </c>
      <c r="C4759">
        <v>0.95303379263521604</v>
      </c>
      <c r="D4759">
        <v>1.0177100486684501</v>
      </c>
      <c r="E4759">
        <v>0.94824676824640197</v>
      </c>
      <c r="F4759">
        <v>1.05208840725264</v>
      </c>
      <c r="G4759">
        <v>1.0107766613051401</v>
      </c>
      <c r="H4759">
        <v>0.85698398047574798</v>
      </c>
      <c r="I4759">
        <v>1.0282503290298799</v>
      </c>
      <c r="J4759">
        <v>1.0371001912422599</v>
      </c>
      <c r="K4759">
        <v>0.88277672734539203</v>
      </c>
      <c r="L4759">
        <v>15000</v>
      </c>
      <c r="M4759">
        <v>212.26669107687999</v>
      </c>
      <c r="Q4759">
        <v>0</v>
      </c>
      <c r="R4759">
        <v>0.225196364302931</v>
      </c>
      <c r="S4759" t="s">
        <v>11044</v>
      </c>
      <c r="T4759" t="s">
        <v>12568</v>
      </c>
      <c r="U4759" t="s">
        <v>12568</v>
      </c>
      <c r="V4759" t="s">
        <v>12568</v>
      </c>
      <c r="W4759" t="s">
        <v>17278</v>
      </c>
      <c r="X4759">
        <v>10</v>
      </c>
      <c r="Y4759" t="s">
        <v>23383</v>
      </c>
      <c r="Z4759" t="s">
        <v>29629</v>
      </c>
      <c r="AA4759">
        <v>0.99865527005523025</v>
      </c>
      <c r="AB4759" t="str">
        <f>HYPERLINK("Melting_Curves/meltCurve_Q96JY6_PDLIM2.pdf", "Melting_Curves/meltCurve_Q96JY6_PDLIM2.pdf")</f>
        <v>Melting_Curves/meltCurve_Q96JY6_PDLIM2.pdf</v>
      </c>
    </row>
    <row r="4760" spans="1:28" x14ac:dyDescent="0.25">
      <c r="A4760" t="s">
        <v>4764</v>
      </c>
      <c r="B4760">
        <v>0.99352677808782597</v>
      </c>
      <c r="C4760">
        <v>0.93499009387309695</v>
      </c>
      <c r="D4760">
        <v>0.93124482943248399</v>
      </c>
      <c r="E4760">
        <v>0.244046464471188</v>
      </c>
      <c r="F4760">
        <v>0.191429146713469</v>
      </c>
      <c r="G4760">
        <v>0.115228239529143</v>
      </c>
      <c r="H4760">
        <v>9.18872339169301E-2</v>
      </c>
      <c r="I4760">
        <v>8.4693743749640393E-2</v>
      </c>
      <c r="J4760">
        <v>7.5264741429505899E-2</v>
      </c>
      <c r="K4760">
        <v>6.3145715987020595E-2</v>
      </c>
      <c r="L4760">
        <v>2176.5031853948299</v>
      </c>
      <c r="M4760">
        <v>45.043630407485303</v>
      </c>
      <c r="N4760">
        <v>48.555929848908903</v>
      </c>
      <c r="O4760">
        <v>48.224939418407097</v>
      </c>
      <c r="P4760">
        <v>-0.21054831046344499</v>
      </c>
      <c r="Q4760">
        <v>9.8326128188500103E-2</v>
      </c>
      <c r="R4760">
        <v>0.99151409301403304</v>
      </c>
      <c r="S4760" t="s">
        <v>11045</v>
      </c>
      <c r="T4760" t="s">
        <v>12568</v>
      </c>
      <c r="U4760" t="s">
        <v>12568</v>
      </c>
      <c r="V4760" t="s">
        <v>12568</v>
      </c>
      <c r="W4760" t="s">
        <v>17279</v>
      </c>
      <c r="X4760">
        <v>14</v>
      </c>
      <c r="Y4760" t="s">
        <v>23384</v>
      </c>
      <c r="Z4760" t="s">
        <v>29630</v>
      </c>
      <c r="AA4760">
        <v>0.3507598999830025</v>
      </c>
      <c r="AB4760" t="str">
        <f>HYPERLINK("Melting_Curves/meltCurve_Q96KB5_PBK.pdf", "Melting_Curves/meltCurve_Q96KB5_PBK.pdf")</f>
        <v>Melting_Curves/meltCurve_Q96KB5_PBK.pdf</v>
      </c>
    </row>
    <row r="4761" spans="1:28" x14ac:dyDescent="0.25">
      <c r="A4761" t="s">
        <v>4765</v>
      </c>
      <c r="B4761">
        <v>0.99352677808782597</v>
      </c>
      <c r="C4761">
        <v>0.96970133410623605</v>
      </c>
      <c r="D4761">
        <v>1.0234532563513301</v>
      </c>
      <c r="E4761">
        <v>1.0041473636146201</v>
      </c>
      <c r="F4761">
        <v>0.93145206742704101</v>
      </c>
      <c r="G4761">
        <v>0.97623075383467095</v>
      </c>
      <c r="H4761">
        <v>0.83491823173652502</v>
      </c>
      <c r="I4761">
        <v>0.88479041479298304</v>
      </c>
      <c r="J4761">
        <v>0.95196251360525297</v>
      </c>
      <c r="K4761">
        <v>0.83019042607229299</v>
      </c>
      <c r="L4761">
        <v>1069.39996095842</v>
      </c>
      <c r="M4761">
        <v>19.041468440977798</v>
      </c>
      <c r="O4761">
        <v>55.553206897018399</v>
      </c>
      <c r="P4761">
        <v>-1.09714851379913E-2</v>
      </c>
      <c r="Q4761">
        <v>0.87196846708445597</v>
      </c>
      <c r="R4761">
        <v>0.60507465767156399</v>
      </c>
      <c r="S4761" t="s">
        <v>11046</v>
      </c>
      <c r="T4761" t="s">
        <v>12568</v>
      </c>
      <c r="U4761" t="s">
        <v>12568</v>
      </c>
      <c r="V4761" t="s">
        <v>12568</v>
      </c>
      <c r="W4761" t="s">
        <v>17280</v>
      </c>
      <c r="X4761">
        <v>1</v>
      </c>
      <c r="Y4761" t="s">
        <v>23385</v>
      </c>
      <c r="Z4761" t="s">
        <v>29631</v>
      </c>
      <c r="AA4761">
        <v>0.94268716739969216</v>
      </c>
      <c r="AB4761" t="str">
        <f>HYPERLINK("Melting_Curves/meltCurve_Q96KC8_DNAJC1.pdf", "Melting_Curves/meltCurve_Q96KC8_DNAJC1.pdf")</f>
        <v>Melting_Curves/meltCurve_Q96KC8_DNAJC1.pdf</v>
      </c>
    </row>
    <row r="4762" spans="1:28" x14ac:dyDescent="0.25">
      <c r="A4762" t="s">
        <v>4766</v>
      </c>
      <c r="B4762">
        <v>0.99352677808782597</v>
      </c>
      <c r="C4762">
        <v>0.96474070439096105</v>
      </c>
      <c r="D4762">
        <v>0.94013186973499696</v>
      </c>
      <c r="E4762">
        <v>0.72799310659858496</v>
      </c>
      <c r="F4762">
        <v>0.61131215390153903</v>
      </c>
      <c r="G4762">
        <v>0.19887940729983999</v>
      </c>
      <c r="H4762">
        <v>0.13759937561552399</v>
      </c>
      <c r="I4762">
        <v>0.12931098215176101</v>
      </c>
      <c r="J4762">
        <v>0.10079647323372</v>
      </c>
      <c r="K4762">
        <v>8.52350959625299E-2</v>
      </c>
      <c r="L4762">
        <v>1008.4043486430101</v>
      </c>
      <c r="M4762">
        <v>19.0438869499439</v>
      </c>
      <c r="N4762">
        <v>53.405955323532602</v>
      </c>
      <c r="O4762">
        <v>52.3781086031941</v>
      </c>
      <c r="P4762">
        <v>-8.4101718689205102E-2</v>
      </c>
      <c r="Q4762">
        <v>7.4786793501903606E-2</v>
      </c>
      <c r="R4762">
        <v>0.99020107637098898</v>
      </c>
      <c r="S4762" t="s">
        <v>11047</v>
      </c>
      <c r="T4762" t="s">
        <v>12568</v>
      </c>
      <c r="U4762" t="s">
        <v>12568</v>
      </c>
      <c r="V4762" t="s">
        <v>12568</v>
      </c>
      <c r="W4762" t="s">
        <v>17281</v>
      </c>
      <c r="X4762">
        <v>8</v>
      </c>
      <c r="Y4762" t="s">
        <v>23386</v>
      </c>
      <c r="Z4762" t="s">
        <v>29632</v>
      </c>
      <c r="AA4762">
        <v>0.48804763696594089</v>
      </c>
      <c r="AB4762" t="str">
        <f>HYPERLINK("Melting_Curves/meltCurve_Q96KG9_3_SCYL1.pdf", "Melting_Curves/meltCurve_Q96KG9_3_SCYL1.pdf")</f>
        <v>Melting_Curves/meltCurve_Q96KG9_3_SCYL1.pdf</v>
      </c>
    </row>
    <row r="4763" spans="1:28" x14ac:dyDescent="0.25">
      <c r="A4763" t="s">
        <v>4767</v>
      </c>
      <c r="B4763">
        <v>0.99352677808782597</v>
      </c>
      <c r="C4763">
        <v>0.96473983707772804</v>
      </c>
      <c r="D4763">
        <v>0.87433901511081402</v>
      </c>
      <c r="E4763">
        <v>0.40628370142140802</v>
      </c>
      <c r="F4763">
        <v>0.32395587442115598</v>
      </c>
      <c r="G4763">
        <v>0.18091768354198201</v>
      </c>
      <c r="H4763">
        <v>0.105922950503557</v>
      </c>
      <c r="I4763">
        <v>8.8615432375793404E-2</v>
      </c>
      <c r="J4763">
        <v>7.5796000924828397E-2</v>
      </c>
      <c r="K4763">
        <v>6.0471351093177798E-2</v>
      </c>
      <c r="L4763">
        <v>982.41920329722404</v>
      </c>
      <c r="M4763">
        <v>19.910811790052001</v>
      </c>
      <c r="N4763">
        <v>49.805618329930802</v>
      </c>
      <c r="O4763">
        <v>48.851365137698401</v>
      </c>
      <c r="P4763">
        <v>-9.32616790036538E-2</v>
      </c>
      <c r="Q4763">
        <v>8.4756683938115807E-2</v>
      </c>
      <c r="R4763">
        <v>0.98996381412160905</v>
      </c>
      <c r="S4763" t="s">
        <v>11048</v>
      </c>
      <c r="T4763" t="s">
        <v>12568</v>
      </c>
      <c r="U4763" t="s">
        <v>12568</v>
      </c>
      <c r="V4763" t="s">
        <v>12568</v>
      </c>
      <c r="W4763" t="s">
        <v>17282</v>
      </c>
      <c r="X4763">
        <v>9</v>
      </c>
      <c r="Y4763" t="s">
        <v>23387</v>
      </c>
      <c r="Z4763" t="s">
        <v>29633</v>
      </c>
      <c r="AA4763">
        <v>0.38263292296406359</v>
      </c>
      <c r="AB4763" t="str">
        <f>HYPERLINK("Melting_Curves/meltCurve_Q96KP1_EXOC2.pdf", "Melting_Curves/meltCurve_Q96KP1_EXOC2.pdf")</f>
        <v>Melting_Curves/meltCurve_Q96KP1_EXOC2.pdf</v>
      </c>
    </row>
    <row r="4764" spans="1:28" x14ac:dyDescent="0.25">
      <c r="A4764" t="s">
        <v>4768</v>
      </c>
      <c r="B4764">
        <v>0.99352677808782597</v>
      </c>
      <c r="C4764">
        <v>0.986421533399787</v>
      </c>
      <c r="D4764">
        <v>0.92304306334112196</v>
      </c>
      <c r="E4764">
        <v>0.360607451054686</v>
      </c>
      <c r="F4764">
        <v>0.28525979669823498</v>
      </c>
      <c r="G4764">
        <v>0.141979328067458</v>
      </c>
      <c r="H4764">
        <v>9.2308076200457695E-2</v>
      </c>
      <c r="I4764">
        <v>7.8965055004160303E-2</v>
      </c>
      <c r="J4764">
        <v>6.4952946281184101E-2</v>
      </c>
      <c r="K4764">
        <v>4.6420367655248602E-2</v>
      </c>
      <c r="L4764">
        <v>1305.52842501028</v>
      </c>
      <c r="M4764">
        <v>26.604281628975802</v>
      </c>
      <c r="N4764">
        <v>49.425913903266398</v>
      </c>
      <c r="O4764">
        <v>48.797374597474899</v>
      </c>
      <c r="P4764">
        <v>-0.124483884386896</v>
      </c>
      <c r="Q4764">
        <v>8.6699950717443505E-2</v>
      </c>
      <c r="R4764">
        <v>0.98705813271215104</v>
      </c>
      <c r="S4764" t="s">
        <v>11049</v>
      </c>
      <c r="T4764" t="s">
        <v>12568</v>
      </c>
      <c r="U4764" t="s">
        <v>12568</v>
      </c>
      <c r="V4764" t="s">
        <v>12568</v>
      </c>
      <c r="W4764" t="s">
        <v>17283</v>
      </c>
      <c r="X4764">
        <v>13</v>
      </c>
      <c r="Y4764" t="s">
        <v>23388</v>
      </c>
      <c r="Z4764" t="s">
        <v>29634</v>
      </c>
      <c r="AA4764">
        <v>0.37001035473452287</v>
      </c>
      <c r="AB4764" t="str">
        <f>HYPERLINK("Melting_Curves/meltCurve_Q96KP4_CNDP2.pdf", "Melting_Curves/meltCurve_Q96KP4_CNDP2.pdf")</f>
        <v>Melting_Curves/meltCurve_Q96KP4_CNDP2.pdf</v>
      </c>
    </row>
    <row r="4765" spans="1:28" x14ac:dyDescent="0.25">
      <c r="A4765" t="s">
        <v>4769</v>
      </c>
      <c r="B4765">
        <v>0.99352677808782597</v>
      </c>
      <c r="C4765">
        <v>0.96176637257613995</v>
      </c>
      <c r="D4765">
        <v>0.85591052298652204</v>
      </c>
      <c r="E4765">
        <v>0.471042448628754</v>
      </c>
      <c r="F4765">
        <v>0.43626528831129002</v>
      </c>
      <c r="G4765">
        <v>0.32699224637056101</v>
      </c>
      <c r="H4765">
        <v>0.27711960442822398</v>
      </c>
      <c r="I4765">
        <v>0.31666484845122</v>
      </c>
      <c r="J4765">
        <v>0.25462807518699998</v>
      </c>
      <c r="K4765">
        <v>0.21255898118154101</v>
      </c>
      <c r="L4765">
        <v>1000.81185170157</v>
      </c>
      <c r="M4765">
        <v>20.594758558332401</v>
      </c>
      <c r="N4765">
        <v>50.4959701544078</v>
      </c>
      <c r="O4765">
        <v>48.144252969121197</v>
      </c>
      <c r="P4765">
        <v>-7.81053083135064E-2</v>
      </c>
      <c r="Q4765">
        <v>0.26967586756575501</v>
      </c>
      <c r="R4765">
        <v>0.98370775826457402</v>
      </c>
      <c r="S4765" t="s">
        <v>11050</v>
      </c>
      <c r="T4765" t="s">
        <v>12568</v>
      </c>
      <c r="U4765" t="s">
        <v>12568</v>
      </c>
      <c r="V4765" t="s">
        <v>12568</v>
      </c>
      <c r="W4765" t="s">
        <v>17284</v>
      </c>
      <c r="X4765">
        <v>3</v>
      </c>
      <c r="Y4765" t="s">
        <v>23389</v>
      </c>
      <c r="Z4765" t="s">
        <v>29635</v>
      </c>
      <c r="AA4765">
        <v>0.48859629877459521</v>
      </c>
      <c r="AB4765" t="str">
        <f>HYPERLINK("Melting_Curves/meltCurve_Q96KQ4_PPP1R13B.pdf", "Melting_Curves/meltCurve_Q96KQ4_PPP1R13B.pdf")</f>
        <v>Melting_Curves/meltCurve_Q96KQ4_PPP1R13B.pdf</v>
      </c>
    </row>
    <row r="4766" spans="1:28" x14ac:dyDescent="0.25">
      <c r="A4766" t="s">
        <v>4770</v>
      </c>
      <c r="B4766">
        <v>0.99352677808782597</v>
      </c>
      <c r="C4766">
        <v>0.95536244435917095</v>
      </c>
      <c r="D4766">
        <v>1.0181902988295299</v>
      </c>
      <c r="E4766">
        <v>0.96381431624050495</v>
      </c>
      <c r="F4766">
        <v>0.88433838602158299</v>
      </c>
      <c r="G4766">
        <v>0.77768505718400305</v>
      </c>
      <c r="H4766">
        <v>0.67142265214665398</v>
      </c>
      <c r="I4766">
        <v>0.67901890085046301</v>
      </c>
      <c r="J4766">
        <v>0.76068878690794595</v>
      </c>
      <c r="K4766">
        <v>0.60228835362243605</v>
      </c>
      <c r="L4766">
        <v>1190.1564552288801</v>
      </c>
      <c r="M4766">
        <v>21.7385703320362</v>
      </c>
      <c r="O4766">
        <v>54.291614078383802</v>
      </c>
      <c r="P4766">
        <v>-3.3371655497441498E-2</v>
      </c>
      <c r="Q4766">
        <v>0.66662775736068502</v>
      </c>
      <c r="R4766">
        <v>0.92377217411766999</v>
      </c>
      <c r="S4766" t="s">
        <v>11051</v>
      </c>
      <c r="T4766" t="s">
        <v>12568</v>
      </c>
      <c r="U4766" t="s">
        <v>12568</v>
      </c>
      <c r="V4766" t="s">
        <v>12568</v>
      </c>
      <c r="W4766" t="s">
        <v>17285</v>
      </c>
      <c r="X4766">
        <v>12</v>
      </c>
      <c r="Y4766" t="s">
        <v>23390</v>
      </c>
      <c r="Z4766" t="s">
        <v>29636</v>
      </c>
      <c r="AA4766">
        <v>0.83443579331202755</v>
      </c>
      <c r="AB4766" t="str">
        <f>HYPERLINK("Melting_Curves/meltCurve_Q96KR1_ZFR.pdf", "Melting_Curves/meltCurve_Q96KR1_ZFR.pdf")</f>
        <v>Melting_Curves/meltCurve_Q96KR1_ZFR.pdf</v>
      </c>
    </row>
    <row r="4767" spans="1:28" x14ac:dyDescent="0.25">
      <c r="A4767" t="s">
        <v>4771</v>
      </c>
      <c r="B4767">
        <v>0.99352677808782597</v>
      </c>
      <c r="C4767">
        <v>0.99991486517754302</v>
      </c>
      <c r="D4767">
        <v>0.91546503247405897</v>
      </c>
      <c r="E4767">
        <v>0.75050538810503797</v>
      </c>
      <c r="F4767">
        <v>0.64550416643908903</v>
      </c>
      <c r="G4767">
        <v>0.49227473255189702</v>
      </c>
      <c r="H4767">
        <v>0.44097944392788002</v>
      </c>
      <c r="I4767">
        <v>0.46143729477695999</v>
      </c>
      <c r="J4767">
        <v>0.451844961001093</v>
      </c>
      <c r="K4767">
        <v>0.35939908428728001</v>
      </c>
      <c r="L4767">
        <v>809.585731577768</v>
      </c>
      <c r="M4767">
        <v>15.764271244085799</v>
      </c>
      <c r="N4767">
        <v>57.313374454607697</v>
      </c>
      <c r="O4767">
        <v>50.550635428350503</v>
      </c>
      <c r="P4767">
        <v>-4.6556887520607701E-2</v>
      </c>
      <c r="Q4767">
        <v>0.40288147694287602</v>
      </c>
      <c r="R4767">
        <v>0.98841076265362304</v>
      </c>
      <c r="S4767" t="s">
        <v>11052</v>
      </c>
      <c r="T4767" t="s">
        <v>12568</v>
      </c>
      <c r="U4767" t="s">
        <v>12568</v>
      </c>
      <c r="V4767" t="s">
        <v>12568</v>
      </c>
      <c r="W4767" t="s">
        <v>17286</v>
      </c>
      <c r="X4767">
        <v>5</v>
      </c>
      <c r="Y4767" t="s">
        <v>23391</v>
      </c>
      <c r="Z4767" t="s">
        <v>29637</v>
      </c>
      <c r="AA4767">
        <v>0.64148245180367691</v>
      </c>
      <c r="AB4767" t="str">
        <f>HYPERLINK("Melting_Curves/meltCurve_Q96L35_EPHB4.pdf", "Melting_Curves/meltCurve_Q96L35_EPHB4.pdf")</f>
        <v>Melting_Curves/meltCurve_Q96L35_EPHB4.pdf</v>
      </c>
    </row>
    <row r="4768" spans="1:28" x14ac:dyDescent="0.25">
      <c r="A4768" t="s">
        <v>4772</v>
      </c>
      <c r="B4768">
        <v>0.99352677808782597</v>
      </c>
      <c r="C4768">
        <v>0.85556885405980998</v>
      </c>
      <c r="D4768">
        <v>0.86929598459167901</v>
      </c>
      <c r="E4768">
        <v>0.89686154852765398</v>
      </c>
      <c r="F4768">
        <v>0.81287721414394798</v>
      </c>
      <c r="G4768">
        <v>0.68699412369888002</v>
      </c>
      <c r="H4768">
        <v>0.83325368347762196</v>
      </c>
      <c r="I4768">
        <v>0.645189633224869</v>
      </c>
      <c r="J4768">
        <v>0.73941334799008895</v>
      </c>
      <c r="K4768">
        <v>0.53082887875046503</v>
      </c>
      <c r="L4768">
        <v>220.45705447693999</v>
      </c>
      <c r="M4768">
        <v>2.6679530090250898</v>
      </c>
      <c r="O4768">
        <v>57.597181799281699</v>
      </c>
      <c r="P4768">
        <v>-1.20774874934711E-2</v>
      </c>
      <c r="Q4768">
        <v>0</v>
      </c>
      <c r="R4768">
        <v>0.72498303261042596</v>
      </c>
      <c r="S4768" t="s">
        <v>11053</v>
      </c>
      <c r="T4768" t="s">
        <v>12568</v>
      </c>
      <c r="U4768" t="s">
        <v>12568</v>
      </c>
      <c r="V4768" t="s">
        <v>12568</v>
      </c>
      <c r="W4768" t="s">
        <v>17287</v>
      </c>
      <c r="X4768">
        <v>3</v>
      </c>
      <c r="Y4768" t="s">
        <v>23392</v>
      </c>
      <c r="Z4768" t="s">
        <v>29638</v>
      </c>
      <c r="AA4768">
        <v>0.78918128326707482</v>
      </c>
      <c r="AB4768" t="str">
        <f>HYPERLINK("Melting_Curves/meltCurve_Q96L73_2_NSD1.pdf", "Melting_Curves/meltCurve_Q96L73_2_NSD1.pdf")</f>
        <v>Melting_Curves/meltCurve_Q96L73_2_NSD1.pdf</v>
      </c>
    </row>
    <row r="4769" spans="1:28" x14ac:dyDescent="0.25">
      <c r="A4769" t="s">
        <v>4773</v>
      </c>
      <c r="B4769">
        <v>0.99352677808782597</v>
      </c>
      <c r="C4769">
        <v>0.99462703695187704</v>
      </c>
      <c r="D4769">
        <v>1.0282444635207</v>
      </c>
      <c r="E4769">
        <v>0.97397584887451705</v>
      </c>
      <c r="F4769">
        <v>0.82551874326830699</v>
      </c>
      <c r="G4769">
        <v>0.76638110618722899</v>
      </c>
      <c r="H4769">
        <v>0.66358133756766502</v>
      </c>
      <c r="I4769">
        <v>0.66612746839763504</v>
      </c>
      <c r="J4769">
        <v>0.70161926345739301</v>
      </c>
      <c r="K4769">
        <v>0.59997461861360002</v>
      </c>
      <c r="L4769">
        <v>1135.8337338644301</v>
      </c>
      <c r="M4769">
        <v>20.974464452092501</v>
      </c>
      <c r="O4769">
        <v>53.668119611103201</v>
      </c>
      <c r="P4769">
        <v>-3.4461934737017703E-2</v>
      </c>
      <c r="Q4769">
        <v>0.64729351192165796</v>
      </c>
      <c r="R4769">
        <v>0.96118822373798096</v>
      </c>
      <c r="S4769" t="s">
        <v>11054</v>
      </c>
      <c r="T4769" t="s">
        <v>12568</v>
      </c>
      <c r="U4769" t="s">
        <v>12568</v>
      </c>
      <c r="V4769" t="s">
        <v>12568</v>
      </c>
      <c r="W4769" t="s">
        <v>17288</v>
      </c>
      <c r="X4769">
        <v>12</v>
      </c>
      <c r="Y4769" t="s">
        <v>23393</v>
      </c>
      <c r="Z4769" t="s">
        <v>29639</v>
      </c>
      <c r="AA4769">
        <v>0.81811752686796591</v>
      </c>
      <c r="AB4769" t="str">
        <f>HYPERLINK("Melting_Curves/meltCurve_Q96L91_5_EP400.pdf", "Melting_Curves/meltCurve_Q96L91_5_EP400.pdf")</f>
        <v>Melting_Curves/meltCurve_Q96L91_5_EP400.pdf</v>
      </c>
    </row>
    <row r="4770" spans="1:28" x14ac:dyDescent="0.25">
      <c r="A4770" t="s">
        <v>4774</v>
      </c>
      <c r="B4770">
        <v>0.99352677808782597</v>
      </c>
      <c r="C4770">
        <v>0.94551342767791402</v>
      </c>
      <c r="D4770">
        <v>0.87657342958141304</v>
      </c>
      <c r="E4770">
        <v>0.28208318110039399</v>
      </c>
      <c r="F4770">
        <v>0.220362527925446</v>
      </c>
      <c r="G4770">
        <v>0.13917584629009599</v>
      </c>
      <c r="H4770">
        <v>0.119178992717176</v>
      </c>
      <c r="I4770">
        <v>0.117776363930094</v>
      </c>
      <c r="J4770">
        <v>8.9561254501838397E-2</v>
      </c>
      <c r="K4770">
        <v>7.39474127310739E-2</v>
      </c>
      <c r="L4770">
        <v>1652.7722823880199</v>
      </c>
      <c r="M4770">
        <v>34.305784124381702</v>
      </c>
      <c r="N4770">
        <v>48.549890818562602</v>
      </c>
      <c r="O4770">
        <v>48.014828450024602</v>
      </c>
      <c r="P4770">
        <v>-0.15796617351401199</v>
      </c>
      <c r="Q4770">
        <v>0.11563714454258001</v>
      </c>
      <c r="R4770">
        <v>0.99220106054663304</v>
      </c>
      <c r="S4770" t="s">
        <v>11055</v>
      </c>
      <c r="T4770" t="s">
        <v>12568</v>
      </c>
      <c r="U4770" t="s">
        <v>12568</v>
      </c>
      <c r="V4770" t="s">
        <v>12568</v>
      </c>
      <c r="W4770" t="s">
        <v>17289</v>
      </c>
      <c r="X4770">
        <v>14</v>
      </c>
      <c r="Y4770" t="s">
        <v>23394</v>
      </c>
      <c r="Z4770" t="s">
        <v>29640</v>
      </c>
      <c r="AA4770">
        <v>0.36074464674940609</v>
      </c>
      <c r="AB4770" t="str">
        <f>HYPERLINK("Melting_Curves/meltCurve_Q96L92_SNX27.pdf", "Melting_Curves/meltCurve_Q96L92_SNX27.pdf")</f>
        <v>Melting_Curves/meltCurve_Q96L92_SNX27.pdf</v>
      </c>
    </row>
    <row r="4771" spans="1:28" x14ac:dyDescent="0.25">
      <c r="A4771" t="s">
        <v>4775</v>
      </c>
      <c r="B4771">
        <v>0.99352677808782597</v>
      </c>
      <c r="C4771">
        <v>0.784703350221995</v>
      </c>
      <c r="D4771">
        <v>0.66204839086085998</v>
      </c>
      <c r="E4771">
        <v>0.37267057459451902</v>
      </c>
      <c r="F4771">
        <v>0.35551251856940003</v>
      </c>
      <c r="G4771">
        <v>0.233193539715674</v>
      </c>
      <c r="H4771">
        <v>0.20679099789489</v>
      </c>
      <c r="I4771">
        <v>0.16722310227774601</v>
      </c>
      <c r="J4771">
        <v>0.17416138135147299</v>
      </c>
      <c r="K4771">
        <v>0.14354531123840999</v>
      </c>
      <c r="L4771">
        <v>644.82759659843703</v>
      </c>
      <c r="M4771">
        <v>13.697030954384401</v>
      </c>
      <c r="N4771">
        <v>48.409077453769903</v>
      </c>
      <c r="O4771">
        <v>46.108432812409802</v>
      </c>
      <c r="P4771">
        <v>-6.2620621625549197E-2</v>
      </c>
      <c r="Q4771">
        <v>0.156920176803062</v>
      </c>
      <c r="R4771">
        <v>0.98633275716955604</v>
      </c>
      <c r="S4771" t="s">
        <v>11056</v>
      </c>
      <c r="T4771" t="s">
        <v>12568</v>
      </c>
      <c r="U4771" t="s">
        <v>12568</v>
      </c>
      <c r="V4771" t="s">
        <v>12568</v>
      </c>
      <c r="W4771" t="s">
        <v>17290</v>
      </c>
      <c r="X4771">
        <v>14</v>
      </c>
      <c r="Y4771" t="s">
        <v>23395</v>
      </c>
      <c r="Z4771" t="s">
        <v>29641</v>
      </c>
      <c r="AA4771">
        <v>0.38319830002535737</v>
      </c>
      <c r="AB4771" t="str">
        <f>HYPERLINK("Melting_Curves/meltCurve_Q96L93_6_KIF16B.pdf", "Melting_Curves/meltCurve_Q96L93_6_KIF16B.pdf")</f>
        <v>Melting_Curves/meltCurve_Q96L93_6_KIF16B.pdf</v>
      </c>
    </row>
    <row r="4772" spans="1:28" x14ac:dyDescent="0.25">
      <c r="A4772" t="s">
        <v>4776</v>
      </c>
      <c r="B4772">
        <v>0.99352677808782597</v>
      </c>
      <c r="C4772">
        <v>0.91954695798738195</v>
      </c>
      <c r="D4772">
        <v>0.82892627626883697</v>
      </c>
      <c r="E4772">
        <v>0.483437908074066</v>
      </c>
      <c r="F4772">
        <v>0.42631006814348399</v>
      </c>
      <c r="G4772">
        <v>0.28306448410253499</v>
      </c>
      <c r="H4772">
        <v>0.224661772434819</v>
      </c>
      <c r="I4772">
        <v>0.21372313934415699</v>
      </c>
      <c r="J4772">
        <v>0.220107580215093</v>
      </c>
      <c r="K4772">
        <v>0.19857432693389501</v>
      </c>
      <c r="L4772">
        <v>808.31260114023405</v>
      </c>
      <c r="M4772">
        <v>16.491433365418398</v>
      </c>
      <c r="N4772">
        <v>50.616006306790602</v>
      </c>
      <c r="O4772">
        <v>48.3103925750085</v>
      </c>
      <c r="P4772">
        <v>-6.7994922968035096E-2</v>
      </c>
      <c r="Q4772">
        <v>0.20331174625918699</v>
      </c>
      <c r="R4772">
        <v>0.99287422457104701</v>
      </c>
      <c r="S4772" t="s">
        <v>11057</v>
      </c>
      <c r="T4772" t="s">
        <v>12568</v>
      </c>
      <c r="U4772" t="s">
        <v>12568</v>
      </c>
      <c r="V4772" t="s">
        <v>12568</v>
      </c>
      <c r="W4772" t="s">
        <v>17291</v>
      </c>
      <c r="X4772">
        <v>16</v>
      </c>
      <c r="Y4772" t="s">
        <v>23396</v>
      </c>
      <c r="Z4772" t="s">
        <v>29642</v>
      </c>
      <c r="AA4772">
        <v>0.45908447397711949</v>
      </c>
      <c r="AB4772" t="str">
        <f>HYPERLINK("Melting_Curves/meltCurve_Q96LB3_IFT74.pdf", "Melting_Curves/meltCurve_Q96LB3_IFT74.pdf")</f>
        <v>Melting_Curves/meltCurve_Q96LB3_IFT74.pdf</v>
      </c>
    </row>
    <row r="4773" spans="1:28" x14ac:dyDescent="0.25">
      <c r="A4773" t="s">
        <v>4777</v>
      </c>
      <c r="B4773">
        <v>0.99352677808782597</v>
      </c>
      <c r="C4773">
        <v>0.85637902743911098</v>
      </c>
      <c r="D4773">
        <v>0.66240029166741998</v>
      </c>
      <c r="E4773">
        <v>0.39221961707611003</v>
      </c>
      <c r="F4773">
        <v>0.334108459656701</v>
      </c>
      <c r="G4773">
        <v>0.19504479444893499</v>
      </c>
      <c r="H4773">
        <v>0.187150293961138</v>
      </c>
      <c r="I4773">
        <v>0.18334987882206699</v>
      </c>
      <c r="J4773">
        <v>0.17137088409043699</v>
      </c>
      <c r="K4773">
        <v>0.118461863177363</v>
      </c>
      <c r="L4773">
        <v>728.03438006206102</v>
      </c>
      <c r="M4773">
        <v>15.3626919823827</v>
      </c>
      <c r="N4773">
        <v>48.531370958593897</v>
      </c>
      <c r="O4773">
        <v>46.608582677621897</v>
      </c>
      <c r="P4773">
        <v>-6.9913490841351997E-2</v>
      </c>
      <c r="Q4773">
        <v>0.151641451744573</v>
      </c>
      <c r="R4773">
        <v>0.99298164192322103</v>
      </c>
      <c r="S4773" t="s">
        <v>11058</v>
      </c>
      <c r="T4773" t="s">
        <v>12568</v>
      </c>
      <c r="U4773" t="s">
        <v>12568</v>
      </c>
      <c r="V4773" t="s">
        <v>12568</v>
      </c>
      <c r="W4773" t="s">
        <v>17292</v>
      </c>
      <c r="X4773">
        <v>18</v>
      </c>
      <c r="Y4773" t="s">
        <v>23397</v>
      </c>
      <c r="Z4773" t="s">
        <v>29643</v>
      </c>
      <c r="AA4773">
        <v>0.38206784056772308</v>
      </c>
      <c r="AB4773" t="str">
        <f>HYPERLINK("Melting_Curves/meltCurve_Q96LD4_TRIM47.pdf", "Melting_Curves/meltCurve_Q96LD4_TRIM47.pdf")</f>
        <v>Melting_Curves/meltCurve_Q96LD4_TRIM47.pdf</v>
      </c>
    </row>
    <row r="4774" spans="1:28" x14ac:dyDescent="0.25">
      <c r="A4774" t="s">
        <v>4778</v>
      </c>
      <c r="B4774">
        <v>0.99352677808782597</v>
      </c>
      <c r="C4774">
        <v>0.92797614219028601</v>
      </c>
      <c r="D4774">
        <v>0.93174941933586797</v>
      </c>
      <c r="E4774">
        <v>0.59885257741577802</v>
      </c>
      <c r="F4774">
        <v>0.52098131630732902</v>
      </c>
      <c r="G4774">
        <v>0.206352339858281</v>
      </c>
      <c r="H4774">
        <v>0.170524156783569</v>
      </c>
      <c r="I4774">
        <v>0.166289598778526</v>
      </c>
      <c r="J4774">
        <v>0.151499818199061</v>
      </c>
      <c r="K4774">
        <v>9.2927538990592903E-2</v>
      </c>
      <c r="L4774">
        <v>832.70407928387203</v>
      </c>
      <c r="M4774">
        <v>16.181066170304799</v>
      </c>
      <c r="N4774">
        <v>52.236253714660997</v>
      </c>
      <c r="O4774">
        <v>50.6948924573529</v>
      </c>
      <c r="P4774">
        <v>-7.1290139867053098E-2</v>
      </c>
      <c r="Q4774">
        <v>0.106665917552472</v>
      </c>
      <c r="R4774">
        <v>0.98624403519431003</v>
      </c>
      <c r="S4774" t="s">
        <v>11059</v>
      </c>
      <c r="T4774" t="s">
        <v>12568</v>
      </c>
      <c r="U4774" t="s">
        <v>12568</v>
      </c>
      <c r="V4774" t="s">
        <v>12568</v>
      </c>
      <c r="W4774" t="s">
        <v>17293</v>
      </c>
      <c r="X4774">
        <v>5</v>
      </c>
      <c r="Y4774" t="s">
        <v>23398</v>
      </c>
      <c r="Z4774" t="s">
        <v>29644</v>
      </c>
      <c r="AA4774">
        <v>0.46593793044383103</v>
      </c>
      <c r="AB4774" t="str">
        <f>HYPERLINK("Melting_Curves/meltCurve_Q96LR5_UBE2E2.pdf", "Melting_Curves/meltCurve_Q96LR5_UBE2E2.pdf")</f>
        <v>Melting_Curves/meltCurve_Q96LR5_UBE2E2.pdf</v>
      </c>
    </row>
    <row r="4775" spans="1:28" x14ac:dyDescent="0.25">
      <c r="A4775" t="s">
        <v>4779</v>
      </c>
      <c r="B4775">
        <v>0.99352677808782597</v>
      </c>
      <c r="C4775">
        <v>1.0559291748725901</v>
      </c>
      <c r="D4775">
        <v>0.95392023800953296</v>
      </c>
      <c r="E4775">
        <v>0.87498450593913502</v>
      </c>
      <c r="F4775">
        <v>0.73879203275194805</v>
      </c>
      <c r="G4775">
        <v>0.38612639797364301</v>
      </c>
      <c r="H4775">
        <v>0.15749960559551601</v>
      </c>
      <c r="I4775">
        <v>9.8696294250738906E-2</v>
      </c>
      <c r="J4775">
        <v>9.5490626391034297E-2</v>
      </c>
      <c r="K4775">
        <v>5.4512843734600601E-2</v>
      </c>
      <c r="L4775">
        <v>1110.55876112193</v>
      </c>
      <c r="M4775">
        <v>20.0778794776875</v>
      </c>
      <c r="N4775">
        <v>55.579379394719197</v>
      </c>
      <c r="O4775">
        <v>54.772619323072703</v>
      </c>
      <c r="P4775">
        <v>-8.7434018918269102E-2</v>
      </c>
      <c r="Q4775">
        <v>4.5947755220788603E-2</v>
      </c>
      <c r="R4775">
        <v>0.99616161646881896</v>
      </c>
      <c r="S4775" t="s">
        <v>11060</v>
      </c>
      <c r="T4775" t="s">
        <v>12568</v>
      </c>
      <c r="U4775" t="s">
        <v>12568</v>
      </c>
      <c r="V4775" t="s">
        <v>12568</v>
      </c>
      <c r="W4775" t="s">
        <v>17294</v>
      </c>
      <c r="X4775">
        <v>3</v>
      </c>
      <c r="Y4775" t="s">
        <v>23399</v>
      </c>
      <c r="Z4775" t="s">
        <v>29645</v>
      </c>
      <c r="AA4775">
        <v>0.54543416860888272</v>
      </c>
      <c r="AB4775" t="str">
        <f>HYPERLINK("Melting_Curves/meltCurve_Q96LT7_C9orf72.pdf", "Melting_Curves/meltCurve_Q96LT7_C9orf72.pdf")</f>
        <v>Melting_Curves/meltCurve_Q96LT7_C9orf72.pdf</v>
      </c>
    </row>
    <row r="4776" spans="1:28" x14ac:dyDescent="0.25">
      <c r="A4776" t="s">
        <v>4780</v>
      </c>
      <c r="B4776">
        <v>0.99352677808782597</v>
      </c>
      <c r="C4776">
        <v>0.98701726467235695</v>
      </c>
      <c r="D4776">
        <v>1.12209462238409</v>
      </c>
      <c r="E4776">
        <v>1.1011420960530101</v>
      </c>
      <c r="F4776">
        <v>1.0012042018996099</v>
      </c>
      <c r="G4776">
        <v>0.94875665352458805</v>
      </c>
      <c r="H4776">
        <v>0.98254089105144804</v>
      </c>
      <c r="I4776">
        <v>0.99443307402779502</v>
      </c>
      <c r="J4776">
        <v>0.68768474197419804</v>
      </c>
      <c r="K4776">
        <v>0.17859521919267299</v>
      </c>
      <c r="L4776">
        <v>6332.57494303975</v>
      </c>
      <c r="M4776">
        <v>93.9805356707068</v>
      </c>
      <c r="N4776">
        <v>67.647123376474198</v>
      </c>
      <c r="O4776">
        <v>67.351278410606398</v>
      </c>
      <c r="P4776">
        <v>-0.295065424459166</v>
      </c>
      <c r="Q4776">
        <v>0.15416391325692999</v>
      </c>
      <c r="R4776">
        <v>0.95960038615480303</v>
      </c>
      <c r="S4776" t="s">
        <v>11061</v>
      </c>
      <c r="T4776" t="s">
        <v>12568</v>
      </c>
      <c r="U4776" t="s">
        <v>12568</v>
      </c>
      <c r="V4776" t="s">
        <v>12568</v>
      </c>
      <c r="W4776" t="s">
        <v>17295</v>
      </c>
      <c r="X4776">
        <v>10</v>
      </c>
      <c r="Y4776" t="s">
        <v>23400</v>
      </c>
      <c r="Z4776" t="s">
        <v>29646</v>
      </c>
      <c r="AA4776">
        <v>0.92623485402222339</v>
      </c>
      <c r="AB4776" t="str">
        <f>HYPERLINK("Melting_Curves/meltCurve_Q96M27_PRRC1.pdf", "Melting_Curves/meltCurve_Q96M27_PRRC1.pdf")</f>
        <v>Melting_Curves/meltCurve_Q96M27_PRRC1.pdf</v>
      </c>
    </row>
    <row r="4777" spans="1:28" x14ac:dyDescent="0.25">
      <c r="A4777" t="s">
        <v>4781</v>
      </c>
      <c r="B4777">
        <v>0.99352677808782597</v>
      </c>
      <c r="C4777">
        <v>1.03045623822521</v>
      </c>
      <c r="D4777">
        <v>0.95748518782199299</v>
      </c>
      <c r="E4777">
        <v>0.72931511425154305</v>
      </c>
      <c r="F4777">
        <v>0.62222511511363998</v>
      </c>
      <c r="G4777">
        <v>0.23922400160032301</v>
      </c>
      <c r="H4777">
        <v>0.13887367942380999</v>
      </c>
      <c r="I4777">
        <v>0.134326444222019</v>
      </c>
      <c r="J4777">
        <v>0.11401247809291799</v>
      </c>
      <c r="K4777">
        <v>8.6780946966513894E-2</v>
      </c>
      <c r="L4777">
        <v>1008.92969688043</v>
      </c>
      <c r="M4777">
        <v>18.9808972807927</v>
      </c>
      <c r="N4777">
        <v>53.657744479612703</v>
      </c>
      <c r="O4777">
        <v>52.5755347624617</v>
      </c>
      <c r="P4777">
        <v>-8.2906076177999694E-2</v>
      </c>
      <c r="Q4777">
        <v>8.1464489282372404E-2</v>
      </c>
      <c r="R4777">
        <v>0.99156162112165802</v>
      </c>
      <c r="S4777" t="s">
        <v>11062</v>
      </c>
      <c r="T4777" t="s">
        <v>12568</v>
      </c>
      <c r="U4777" t="s">
        <v>12568</v>
      </c>
      <c r="V4777" t="s">
        <v>12568</v>
      </c>
      <c r="W4777" t="s">
        <v>17296</v>
      </c>
      <c r="X4777">
        <v>13</v>
      </c>
      <c r="Y4777" t="s">
        <v>23401</v>
      </c>
      <c r="Z4777" t="s">
        <v>29647</v>
      </c>
      <c r="AA4777">
        <v>0.49800729232529162</v>
      </c>
      <c r="AB4777" t="str">
        <f>HYPERLINK("Melting_Curves/meltCurve_Q96ME1_4_FBXL18.pdf", "Melting_Curves/meltCurve_Q96ME1_4_FBXL18.pdf")</f>
        <v>Melting_Curves/meltCurve_Q96ME1_4_FBXL18.pdf</v>
      </c>
    </row>
    <row r="4778" spans="1:28" x14ac:dyDescent="0.25">
      <c r="A4778" t="s">
        <v>4782</v>
      </c>
      <c r="B4778">
        <v>0.99352677808782597</v>
      </c>
      <c r="C4778">
        <v>1.0593744135972201</v>
      </c>
      <c r="D4778">
        <v>1.0365377260953399</v>
      </c>
      <c r="E4778">
        <v>1.03109629979829</v>
      </c>
      <c r="F4778">
        <v>0.86787178180818203</v>
      </c>
      <c r="G4778">
        <v>0.78875148701662101</v>
      </c>
      <c r="H4778">
        <v>1.0236935287069</v>
      </c>
      <c r="I4778">
        <v>1.0617443919448799</v>
      </c>
      <c r="J4778">
        <v>1.28733280177821</v>
      </c>
      <c r="K4778">
        <v>0.87480217645227698</v>
      </c>
      <c r="L4778">
        <v>6030.75296608395</v>
      </c>
      <c r="M4778">
        <v>98.001527541138998</v>
      </c>
      <c r="O4778">
        <v>61.511730802039303</v>
      </c>
      <c r="P4778">
        <v>3.0020152033091801E-2</v>
      </c>
      <c r="Q4778">
        <v>1.0753698958924101</v>
      </c>
      <c r="R4778">
        <v>0.10101936458711699</v>
      </c>
      <c r="S4778" t="s">
        <v>11063</v>
      </c>
      <c r="T4778" t="s">
        <v>12568</v>
      </c>
      <c r="U4778" t="s">
        <v>12568</v>
      </c>
      <c r="V4778" t="s">
        <v>12568</v>
      </c>
      <c r="W4778" t="s">
        <v>17297</v>
      </c>
      <c r="X4778">
        <v>2</v>
      </c>
      <c r="Y4778" t="s">
        <v>23402</v>
      </c>
      <c r="Z4778" t="s">
        <v>29648</v>
      </c>
      <c r="AA4778">
        <v>1.0212079834656791</v>
      </c>
      <c r="AB4778" t="str">
        <f>HYPERLINK("Melting_Curves/meltCurve_Q96ME7_3_ZNF512.pdf", "Melting_Curves/meltCurve_Q96ME7_3_ZNF512.pdf")</f>
        <v>Melting_Curves/meltCurve_Q96ME7_3_ZNF512.pdf</v>
      </c>
    </row>
    <row r="4779" spans="1:28" x14ac:dyDescent="0.25">
      <c r="A4779" t="s">
        <v>4783</v>
      </c>
      <c r="B4779">
        <v>0.99352677808782597</v>
      </c>
      <c r="C4779">
        <v>0.84182422177079796</v>
      </c>
      <c r="D4779">
        <v>0.70289456167102604</v>
      </c>
      <c r="E4779">
        <v>0.36382236100363202</v>
      </c>
      <c r="F4779">
        <v>0.29002372276268401</v>
      </c>
      <c r="G4779">
        <v>0.18574520103661701</v>
      </c>
      <c r="H4779">
        <v>0.109857679241378</v>
      </c>
      <c r="I4779">
        <v>9.8439429897049194E-2</v>
      </c>
      <c r="J4779">
        <v>8.6592093198274295E-2</v>
      </c>
      <c r="K4779">
        <v>6.5567954724719296E-2</v>
      </c>
      <c r="L4779">
        <v>702.54259715418402</v>
      </c>
      <c r="M4779">
        <v>14.6242580820113</v>
      </c>
      <c r="N4779">
        <v>48.575495629665703</v>
      </c>
      <c r="O4779">
        <v>47.168089955623302</v>
      </c>
      <c r="P4779">
        <v>-7.1744165302895402E-2</v>
      </c>
      <c r="Q4779">
        <v>7.4508193730000394E-2</v>
      </c>
      <c r="R4779">
        <v>0.99415161921187201</v>
      </c>
      <c r="S4779" t="s">
        <v>11064</v>
      </c>
      <c r="T4779" t="s">
        <v>12568</v>
      </c>
      <c r="U4779" t="s">
        <v>12568</v>
      </c>
      <c r="V4779" t="s">
        <v>12568</v>
      </c>
      <c r="W4779" t="s">
        <v>17298</v>
      </c>
      <c r="X4779">
        <v>7</v>
      </c>
      <c r="Y4779" t="s">
        <v>23403</v>
      </c>
      <c r="Z4779" t="s">
        <v>29649</v>
      </c>
      <c r="AA4779">
        <v>0.34751304507477171</v>
      </c>
      <c r="AB4779" t="str">
        <f>HYPERLINK("Melting_Curves/meltCurve_Q96MG7_NDNL2.pdf", "Melting_Curves/meltCurve_Q96MG7_NDNL2.pdf")</f>
        <v>Melting_Curves/meltCurve_Q96MG7_NDNL2.pdf</v>
      </c>
    </row>
    <row r="4780" spans="1:28" x14ac:dyDescent="0.25">
      <c r="A4780" t="s">
        <v>4784</v>
      </c>
      <c r="B4780">
        <v>0.99352677808782597</v>
      </c>
      <c r="C4780">
        <v>1.03715806469472</v>
      </c>
      <c r="D4780">
        <v>1.1314977422788199</v>
      </c>
      <c r="E4780">
        <v>1.0617432586537501</v>
      </c>
      <c r="F4780">
        <v>1.01065498938729</v>
      </c>
      <c r="G4780">
        <v>0.827642248261795</v>
      </c>
      <c r="H4780">
        <v>0.90649722315510795</v>
      </c>
      <c r="I4780">
        <v>0.98757491747152204</v>
      </c>
      <c r="J4780">
        <v>1.16247471585241</v>
      </c>
      <c r="K4780">
        <v>0.96086385804663499</v>
      </c>
      <c r="S4780" t="s">
        <v>11065</v>
      </c>
      <c r="T4780" t="s">
        <v>12568</v>
      </c>
      <c r="U4780" t="s">
        <v>12569</v>
      </c>
      <c r="V4780" t="s">
        <v>12568</v>
      </c>
      <c r="W4780" t="s">
        <v>17299</v>
      </c>
      <c r="X4780">
        <v>11</v>
      </c>
      <c r="Y4780" t="s">
        <v>23404</v>
      </c>
      <c r="Z4780" t="s">
        <v>29650</v>
      </c>
      <c r="AB4780" t="str">
        <f>HYPERLINK("Melting_Curves/meltCurve_Q96MH2_HEXIM2.pdf", "Melting_Curves/meltCurve_Q96MH2_HEXIM2.pdf")</f>
        <v>Melting_Curves/meltCurve_Q96MH2_HEXIM2.pdf</v>
      </c>
    </row>
    <row r="4781" spans="1:28" x14ac:dyDescent="0.25">
      <c r="A4781" t="s">
        <v>4785</v>
      </c>
      <c r="B4781">
        <v>0.99352677808782597</v>
      </c>
      <c r="C4781">
        <v>0.92904216957213104</v>
      </c>
      <c r="D4781">
        <v>1.0251084414940399</v>
      </c>
      <c r="E4781">
        <v>0.94958649472300505</v>
      </c>
      <c r="F4781">
        <v>0.89680495418674</v>
      </c>
      <c r="G4781">
        <v>0.889743952663543</v>
      </c>
      <c r="H4781">
        <v>0.85980238040247903</v>
      </c>
      <c r="I4781">
        <v>0.93999556323079103</v>
      </c>
      <c r="J4781">
        <v>0.92985034015188806</v>
      </c>
      <c r="K4781">
        <v>0.89880693801531697</v>
      </c>
      <c r="L4781">
        <v>12496.5856047462</v>
      </c>
      <c r="M4781">
        <v>250</v>
      </c>
      <c r="O4781">
        <v>49.9831432340372</v>
      </c>
      <c r="P4781">
        <v>-0.121915251964196</v>
      </c>
      <c r="Q4781">
        <v>0.90250067933085099</v>
      </c>
      <c r="R4781">
        <v>0.553835930455576</v>
      </c>
      <c r="S4781" t="s">
        <v>11066</v>
      </c>
      <c r="T4781" t="s">
        <v>12568</v>
      </c>
      <c r="U4781" t="s">
        <v>12568</v>
      </c>
      <c r="V4781" t="s">
        <v>12568</v>
      </c>
      <c r="W4781" t="s">
        <v>17300</v>
      </c>
      <c r="X4781">
        <v>7</v>
      </c>
      <c r="Y4781" t="s">
        <v>23405</v>
      </c>
      <c r="Z4781" t="s">
        <v>29651</v>
      </c>
      <c r="AA4781">
        <v>0.93496461921077301</v>
      </c>
      <c r="AB4781" t="str">
        <f>HYPERLINK("Melting_Curves/meltCurve_Q96MU7_2_YTHDC1.pdf", "Melting_Curves/meltCurve_Q96MU7_2_YTHDC1.pdf")</f>
        <v>Melting_Curves/meltCurve_Q96MU7_2_YTHDC1.pdf</v>
      </c>
    </row>
    <row r="4782" spans="1:28" x14ac:dyDescent="0.25">
      <c r="A4782" t="s">
        <v>4786</v>
      </c>
      <c r="B4782">
        <v>0.99352677808782597</v>
      </c>
      <c r="C4782">
        <v>0.94056918296409897</v>
      </c>
      <c r="D4782">
        <v>1.0506163629892</v>
      </c>
      <c r="E4782">
        <v>1.0381491779518199</v>
      </c>
      <c r="F4782">
        <v>1.0011123682548499</v>
      </c>
      <c r="G4782">
        <v>0.99068266393506499</v>
      </c>
      <c r="H4782">
        <v>0.98628394058920099</v>
      </c>
      <c r="I4782">
        <v>1.09318917986558</v>
      </c>
      <c r="J4782">
        <v>1.0875256546490399</v>
      </c>
      <c r="K4782">
        <v>0.96215414695108303</v>
      </c>
      <c r="L4782">
        <v>522.88984496758906</v>
      </c>
      <c r="M4782">
        <v>9.7114431503424203</v>
      </c>
      <c r="O4782">
        <v>51.708380731926603</v>
      </c>
      <c r="P4782">
        <v>1.55779472257518E-3</v>
      </c>
      <c r="Q4782">
        <v>1.0331597501276999</v>
      </c>
      <c r="R4782">
        <v>7.9027869151841804E-2</v>
      </c>
      <c r="S4782" t="s">
        <v>11067</v>
      </c>
      <c r="T4782" t="s">
        <v>12568</v>
      </c>
      <c r="U4782" t="s">
        <v>12568</v>
      </c>
      <c r="V4782" t="s">
        <v>12568</v>
      </c>
      <c r="W4782" t="s">
        <v>17301</v>
      </c>
      <c r="X4782">
        <v>7</v>
      </c>
      <c r="Y4782" t="s">
        <v>23406</v>
      </c>
      <c r="Z4782" t="s">
        <v>29652</v>
      </c>
      <c r="AA4782">
        <v>1.016814678559846</v>
      </c>
      <c r="AB4782" t="str">
        <f>HYPERLINK("Melting_Curves/meltCurve_Q96MW1_CCDC43.pdf", "Melting_Curves/meltCurve_Q96MW1_CCDC43.pdf")</f>
        <v>Melting_Curves/meltCurve_Q96MW1_CCDC43.pdf</v>
      </c>
    </row>
    <row r="4783" spans="1:28" x14ac:dyDescent="0.25">
      <c r="A4783" t="s">
        <v>4787</v>
      </c>
      <c r="B4783">
        <v>0.99352677808782597</v>
      </c>
      <c r="C4783">
        <v>1.0419868668499599</v>
      </c>
      <c r="D4783">
        <v>0.89529516959854105</v>
      </c>
      <c r="E4783">
        <v>0.84256423398407498</v>
      </c>
      <c r="F4783">
        <v>0.69975664684032501</v>
      </c>
      <c r="G4783">
        <v>0.61205211405238202</v>
      </c>
      <c r="H4783">
        <v>0.618204220716424</v>
      </c>
      <c r="I4783">
        <v>0.50300655634997504</v>
      </c>
      <c r="J4783">
        <v>0.534901855867707</v>
      </c>
      <c r="K4783">
        <v>0.23920977985116801</v>
      </c>
      <c r="L4783">
        <v>388.928712067459</v>
      </c>
      <c r="M4783">
        <v>6.1360582079949104</v>
      </c>
      <c r="N4783">
        <v>63.384130149014403</v>
      </c>
      <c r="O4783">
        <v>57.6426916431545</v>
      </c>
      <c r="P4783">
        <v>-2.66920135874909E-2</v>
      </c>
      <c r="Q4783">
        <v>0</v>
      </c>
      <c r="R4783">
        <v>0.91226074529278101</v>
      </c>
      <c r="S4783" t="s">
        <v>11068</v>
      </c>
      <c r="T4783" t="s">
        <v>12568</v>
      </c>
      <c r="U4783" t="s">
        <v>12568</v>
      </c>
      <c r="V4783" t="s">
        <v>12568</v>
      </c>
      <c r="W4783" t="s">
        <v>17302</v>
      </c>
      <c r="X4783">
        <v>1</v>
      </c>
      <c r="Y4783" t="s">
        <v>23407</v>
      </c>
      <c r="Z4783" t="s">
        <v>29653</v>
      </c>
      <c r="AA4783">
        <v>0.6998747668090346</v>
      </c>
      <c r="AB4783" t="str">
        <f>HYPERLINK("Melting_Curves/meltCurve_Q96MX3_ZNF48.pdf", "Melting_Curves/meltCurve_Q96MX3_ZNF48.pdf")</f>
        <v>Melting_Curves/meltCurve_Q96MX3_ZNF48.pdf</v>
      </c>
    </row>
    <row r="4784" spans="1:28" x14ac:dyDescent="0.25">
      <c r="A4784" t="s">
        <v>4788</v>
      </c>
      <c r="B4784">
        <v>0.99352677808782597</v>
      </c>
      <c r="C4784">
        <v>0.92031372485130403</v>
      </c>
      <c r="D4784">
        <v>0.85859210126229801</v>
      </c>
      <c r="E4784">
        <v>0.58311472004034404</v>
      </c>
      <c r="F4784">
        <v>0.523212081458442</v>
      </c>
      <c r="G4784">
        <v>0.271710048548854</v>
      </c>
      <c r="H4784">
        <v>0.12647668242162899</v>
      </c>
      <c r="I4784">
        <v>0.10864959246719</v>
      </c>
      <c r="J4784">
        <v>9.8600006364749998E-2</v>
      </c>
      <c r="K4784">
        <v>8.5349115590828195E-2</v>
      </c>
      <c r="L4784">
        <v>646.55167095989202</v>
      </c>
      <c r="M4784">
        <v>12.4233386524373</v>
      </c>
      <c r="N4784">
        <v>52.305504484690204</v>
      </c>
      <c r="O4784">
        <v>50.750016675549197</v>
      </c>
      <c r="P4784">
        <v>-5.9363748518675402E-2</v>
      </c>
      <c r="Q4784">
        <v>3.0187763096653601E-2</v>
      </c>
      <c r="R4784">
        <v>0.992266949288925</v>
      </c>
      <c r="S4784" t="s">
        <v>11069</v>
      </c>
      <c r="T4784" t="s">
        <v>12568</v>
      </c>
      <c r="U4784" t="s">
        <v>12568</v>
      </c>
      <c r="V4784" t="s">
        <v>12568</v>
      </c>
      <c r="W4784" t="s">
        <v>17303</v>
      </c>
      <c r="X4784">
        <v>12</v>
      </c>
      <c r="Y4784" t="s">
        <v>23408</v>
      </c>
      <c r="Z4784" t="s">
        <v>29654</v>
      </c>
      <c r="AA4784">
        <v>0.44780539748368808</v>
      </c>
      <c r="AB4784" t="str">
        <f>HYPERLINK("Melting_Curves/meltCurve_Q96MX6_WDR92.pdf", "Melting_Curves/meltCurve_Q96MX6_WDR92.pdf")</f>
        <v>Melting_Curves/meltCurve_Q96MX6_WDR92.pdf</v>
      </c>
    </row>
    <row r="4785" spans="1:28" x14ac:dyDescent="0.25">
      <c r="A4785" t="s">
        <v>4789</v>
      </c>
      <c r="B4785">
        <v>0.99352677808782597</v>
      </c>
      <c r="C4785">
        <v>0.96882627247210895</v>
      </c>
      <c r="D4785">
        <v>0.87368129760694702</v>
      </c>
      <c r="E4785">
        <v>0.76120934741560398</v>
      </c>
      <c r="F4785">
        <v>0.63095477371814501</v>
      </c>
      <c r="G4785">
        <v>0.54375468928883197</v>
      </c>
      <c r="H4785">
        <v>0.49957079430433099</v>
      </c>
      <c r="I4785">
        <v>0.50365621901452196</v>
      </c>
      <c r="J4785">
        <v>0.62337147617769995</v>
      </c>
      <c r="K4785">
        <v>0.50074723499361096</v>
      </c>
      <c r="L4785">
        <v>868.39108265176901</v>
      </c>
      <c r="M4785">
        <v>17.588578519587799</v>
      </c>
      <c r="O4785">
        <v>48.747481442699403</v>
      </c>
      <c r="P4785">
        <v>-4.3133247816564801E-2</v>
      </c>
      <c r="Q4785">
        <v>0.52184343809932898</v>
      </c>
      <c r="R4785">
        <v>0.960079979730458</v>
      </c>
      <c r="S4785" t="s">
        <v>11070</v>
      </c>
      <c r="T4785" t="s">
        <v>12568</v>
      </c>
      <c r="U4785" t="s">
        <v>12568</v>
      </c>
      <c r="V4785" t="s">
        <v>12568</v>
      </c>
      <c r="W4785" t="s">
        <v>17304</v>
      </c>
      <c r="X4785">
        <v>2</v>
      </c>
      <c r="Y4785" t="s">
        <v>23409</v>
      </c>
      <c r="Z4785" t="s">
        <v>29655</v>
      </c>
      <c r="AA4785">
        <v>0.67983510091438926</v>
      </c>
      <c r="AB4785" t="str">
        <f>HYPERLINK("Melting_Curves/meltCurve_Q96MY1_C20orf112.pdf", "Melting_Curves/meltCurve_Q96MY1_C20orf112.pdf")</f>
        <v>Melting_Curves/meltCurve_Q96MY1_C20orf112.pdf</v>
      </c>
    </row>
    <row r="4786" spans="1:28" x14ac:dyDescent="0.25">
      <c r="A4786" t="s">
        <v>4790</v>
      </c>
      <c r="B4786">
        <v>0.99352677808782597</v>
      </c>
      <c r="C4786">
        <v>1.07937740719834</v>
      </c>
      <c r="D4786">
        <v>1.0270353363164599</v>
      </c>
      <c r="E4786">
        <v>0.991163054968069</v>
      </c>
      <c r="F4786">
        <v>0.80935986256402404</v>
      </c>
      <c r="G4786">
        <v>0.83211425006520801</v>
      </c>
      <c r="H4786">
        <v>0.75768285637371602</v>
      </c>
      <c r="I4786">
        <v>0.81622345866979196</v>
      </c>
      <c r="J4786">
        <v>0.76735620277848104</v>
      </c>
      <c r="K4786">
        <v>0.67901743141806004</v>
      </c>
      <c r="L4786">
        <v>4072.36435184216</v>
      </c>
      <c r="M4786">
        <v>78.395361339559201</v>
      </c>
      <c r="O4786">
        <v>51.912726456362101</v>
      </c>
      <c r="P4786">
        <v>-8.6722720731731706E-2</v>
      </c>
      <c r="Q4786">
        <v>0.770291918754756</v>
      </c>
      <c r="R4786">
        <v>0.87043482522572602</v>
      </c>
      <c r="S4786" t="s">
        <v>11071</v>
      </c>
      <c r="T4786" t="s">
        <v>12568</v>
      </c>
      <c r="U4786" t="s">
        <v>12568</v>
      </c>
      <c r="V4786" t="s">
        <v>12568</v>
      </c>
      <c r="W4786" t="s">
        <v>17305</v>
      </c>
      <c r="X4786">
        <v>5</v>
      </c>
      <c r="Y4786" t="s">
        <v>23410</v>
      </c>
      <c r="Z4786" t="s">
        <v>29656</v>
      </c>
      <c r="AA4786">
        <v>0.86197887473596435</v>
      </c>
      <c r="AB4786" t="str">
        <f>HYPERLINK("Melting_Curves/meltCurve_Q96N06_C16orf55.pdf", "Melting_Curves/meltCurve_Q96N06_C16orf55.pdf")</f>
        <v>Melting_Curves/meltCurve_Q96N06_C16orf55.pdf</v>
      </c>
    </row>
    <row r="4787" spans="1:28" x14ac:dyDescent="0.25">
      <c r="A4787" t="s">
        <v>4791</v>
      </c>
      <c r="B4787">
        <v>0.99352677808782597</v>
      </c>
      <c r="C4787">
        <v>1.02351356579812</v>
      </c>
      <c r="D4787">
        <v>0.97233622177809498</v>
      </c>
      <c r="E4787">
        <v>0.67847548935619095</v>
      </c>
      <c r="F4787">
        <v>0.61637797652100901</v>
      </c>
      <c r="G4787">
        <v>0.49003378731523101</v>
      </c>
      <c r="H4787">
        <v>0.36911306356506102</v>
      </c>
      <c r="I4787">
        <v>0.43736470395129201</v>
      </c>
      <c r="J4787">
        <v>0.38333966638749201</v>
      </c>
      <c r="K4787">
        <v>0.35411611253126601</v>
      </c>
      <c r="L4787">
        <v>932.94423668762795</v>
      </c>
      <c r="M4787">
        <v>18.306677721071701</v>
      </c>
      <c r="N4787">
        <v>55.263258768469598</v>
      </c>
      <c r="O4787">
        <v>50.365539897081703</v>
      </c>
      <c r="P4787">
        <v>-5.63660642058001E-2</v>
      </c>
      <c r="Q4787">
        <v>0.37972886090907998</v>
      </c>
      <c r="R4787">
        <v>0.977879664060465</v>
      </c>
      <c r="S4787" t="s">
        <v>11072</v>
      </c>
      <c r="T4787" t="s">
        <v>12568</v>
      </c>
      <c r="U4787" t="s">
        <v>12568</v>
      </c>
      <c r="V4787" t="s">
        <v>12568</v>
      </c>
      <c r="W4787" t="s">
        <v>17306</v>
      </c>
      <c r="X4787">
        <v>4</v>
      </c>
      <c r="Y4787" t="s">
        <v>23411</v>
      </c>
      <c r="Z4787" t="s">
        <v>29657</v>
      </c>
      <c r="AA4787">
        <v>0.61651555128132807</v>
      </c>
      <c r="AB4787" t="str">
        <f>HYPERLINK("Melting_Curves/meltCurve_Q96N21_2_ENTHD2.pdf", "Melting_Curves/meltCurve_Q96N21_2_ENTHD2.pdf")</f>
        <v>Melting_Curves/meltCurve_Q96N21_2_ENTHD2.pdf</v>
      </c>
    </row>
    <row r="4788" spans="1:28" x14ac:dyDescent="0.25">
      <c r="A4788" t="s">
        <v>4792</v>
      </c>
      <c r="B4788">
        <v>0.99352677808782597</v>
      </c>
      <c r="C4788">
        <v>0.90233895548065401</v>
      </c>
      <c r="D4788">
        <v>0.77914990907489101</v>
      </c>
      <c r="E4788">
        <v>0.44966700922992398</v>
      </c>
      <c r="F4788">
        <v>0.40985495800891802</v>
      </c>
      <c r="G4788">
        <v>0.201186179006347</v>
      </c>
      <c r="H4788">
        <v>0.11301520654870099</v>
      </c>
      <c r="I4788">
        <v>0.143379367532738</v>
      </c>
      <c r="J4788">
        <v>0.134971791369633</v>
      </c>
      <c r="K4788">
        <v>0.114377329768242</v>
      </c>
      <c r="L4788">
        <v>714.14756038214898</v>
      </c>
      <c r="M4788">
        <v>14.487694032666299</v>
      </c>
      <c r="N4788">
        <v>50.079093002436103</v>
      </c>
      <c r="O4788">
        <v>48.382777659592897</v>
      </c>
      <c r="P4788">
        <v>-6.7257353368817996E-2</v>
      </c>
      <c r="Q4788">
        <v>0.101659388864727</v>
      </c>
      <c r="R4788">
        <v>0.99011027946066399</v>
      </c>
      <c r="S4788" t="s">
        <v>11073</v>
      </c>
      <c r="T4788" t="s">
        <v>12568</v>
      </c>
      <c r="U4788" t="s">
        <v>12568</v>
      </c>
      <c r="V4788" t="s">
        <v>12568</v>
      </c>
      <c r="W4788" t="s">
        <v>17307</v>
      </c>
      <c r="X4788">
        <v>7</v>
      </c>
      <c r="Y4788" t="s">
        <v>23412</v>
      </c>
      <c r="Z4788" t="s">
        <v>29658</v>
      </c>
      <c r="AA4788">
        <v>0.40332898180307231</v>
      </c>
      <c r="AB4788" t="str">
        <f>HYPERLINK("Melting_Curves/meltCurve_Q96N67_4_DOCK7.pdf", "Melting_Curves/meltCurve_Q96N67_4_DOCK7.pdf")</f>
        <v>Melting_Curves/meltCurve_Q96N67_4_DOCK7.pdf</v>
      </c>
    </row>
    <row r="4789" spans="1:28" x14ac:dyDescent="0.25">
      <c r="A4789" t="s">
        <v>4793</v>
      </c>
      <c r="B4789">
        <v>0.99352677808782597</v>
      </c>
      <c r="C4789">
        <v>0.89840452928979297</v>
      </c>
      <c r="D4789">
        <v>0.71771683132150699</v>
      </c>
      <c r="E4789">
        <v>0.63433197569555799</v>
      </c>
      <c r="F4789">
        <v>0.52705587832747502</v>
      </c>
      <c r="G4789">
        <v>0.49323979474123703</v>
      </c>
      <c r="H4789">
        <v>0.284436409194188</v>
      </c>
      <c r="I4789">
        <v>0.31683905894944803</v>
      </c>
      <c r="J4789">
        <v>0.241843726842495</v>
      </c>
      <c r="K4789">
        <v>0.19981044651445401</v>
      </c>
      <c r="L4789">
        <v>413.13249503124501</v>
      </c>
      <c r="M4789">
        <v>7.8466309501079001</v>
      </c>
      <c r="N4789">
        <v>54.283089528738103</v>
      </c>
      <c r="O4789">
        <v>49.559949286540203</v>
      </c>
      <c r="P4789">
        <v>-3.5465289924640098E-2</v>
      </c>
      <c r="Q4789">
        <v>0.105081471177363</v>
      </c>
      <c r="R4789">
        <v>0.97426240389598395</v>
      </c>
      <c r="S4789" t="s">
        <v>11074</v>
      </c>
      <c r="T4789" t="s">
        <v>12568</v>
      </c>
      <c r="U4789" t="s">
        <v>12568</v>
      </c>
      <c r="V4789" t="s">
        <v>12568</v>
      </c>
      <c r="W4789" t="s">
        <v>17308</v>
      </c>
      <c r="X4789">
        <v>2</v>
      </c>
      <c r="Y4789" t="s">
        <v>23413</v>
      </c>
      <c r="Z4789" t="s">
        <v>29659</v>
      </c>
      <c r="AA4789">
        <v>0.52147220599393096</v>
      </c>
      <c r="AB4789" t="str">
        <f>HYPERLINK("Melting_Curves/meltCurve_Q96NA2_RILP.pdf", "Melting_Curves/meltCurve_Q96NA2_RILP.pdf")</f>
        <v>Melting_Curves/meltCurve_Q96NA2_RILP.pdf</v>
      </c>
    </row>
    <row r="4790" spans="1:28" x14ac:dyDescent="0.25">
      <c r="A4790" t="s">
        <v>4794</v>
      </c>
      <c r="B4790">
        <v>0.99352677808782597</v>
      </c>
      <c r="C4790">
        <v>0.84917810848349895</v>
      </c>
      <c r="D4790">
        <v>0.96794963836782699</v>
      </c>
      <c r="E4790">
        <v>0.215128691434193</v>
      </c>
      <c r="F4790">
        <v>0.13863209431703499</v>
      </c>
      <c r="G4790">
        <v>0.109161705549044</v>
      </c>
      <c r="H4790">
        <v>7.7959353829630804E-2</v>
      </c>
      <c r="I4790">
        <v>6.5348643101604501E-2</v>
      </c>
      <c r="J4790">
        <v>5.4695356414149299E-2</v>
      </c>
      <c r="K4790">
        <v>3.6374226385962702E-2</v>
      </c>
      <c r="L4790">
        <v>2703.1603593762802</v>
      </c>
      <c r="M4790">
        <v>55.753947538698299</v>
      </c>
      <c r="N4790">
        <v>48.631859598309099</v>
      </c>
      <c r="O4790">
        <v>48.421493359407798</v>
      </c>
      <c r="P4790">
        <v>-0.26537935134952501</v>
      </c>
      <c r="Q4790">
        <v>7.8088066693834807E-2</v>
      </c>
      <c r="R4790">
        <v>0.98079514629126596</v>
      </c>
      <c r="S4790" t="s">
        <v>11075</v>
      </c>
      <c r="T4790" t="s">
        <v>12568</v>
      </c>
      <c r="U4790" t="s">
        <v>12568</v>
      </c>
      <c r="V4790" t="s">
        <v>12568</v>
      </c>
      <c r="W4790" t="s">
        <v>17309</v>
      </c>
      <c r="X4790">
        <v>2</v>
      </c>
      <c r="Y4790" t="s">
        <v>23414</v>
      </c>
      <c r="Z4790" t="s">
        <v>29660</v>
      </c>
      <c r="AA4790">
        <v>0.34038108930876487</v>
      </c>
      <c r="AB4790" t="str">
        <f>HYPERLINK("Melting_Curves/meltCurve_Q96NB1_FOPNL.pdf", "Melting_Curves/meltCurve_Q96NB1_FOPNL.pdf")</f>
        <v>Melting_Curves/meltCurve_Q96NB1_FOPNL.pdf</v>
      </c>
    </row>
    <row r="4791" spans="1:28" x14ac:dyDescent="0.25">
      <c r="A4791" t="s">
        <v>4795</v>
      </c>
      <c r="B4791">
        <v>0.99352677808782597</v>
      </c>
      <c r="C4791">
        <v>1.07435664964174</v>
      </c>
      <c r="D4791">
        <v>1.08434625051184</v>
      </c>
      <c r="E4791">
        <v>1.0930758281028601</v>
      </c>
      <c r="F4791">
        <v>1.05265457093512</v>
      </c>
      <c r="G4791">
        <v>0.93003603562661197</v>
      </c>
      <c r="H4791">
        <v>0.90665801769946996</v>
      </c>
      <c r="I4791">
        <v>1.01349794449505</v>
      </c>
      <c r="J4791">
        <v>1.0004599498735101</v>
      </c>
      <c r="K4791">
        <v>0.74679527570945303</v>
      </c>
      <c r="L4791">
        <v>15000</v>
      </c>
      <c r="M4791">
        <v>213.20412123650701</v>
      </c>
      <c r="Q4791">
        <v>0</v>
      </c>
      <c r="R4791">
        <v>0.62438299152795396</v>
      </c>
      <c r="S4791" t="s">
        <v>11076</v>
      </c>
      <c r="T4791" t="s">
        <v>12568</v>
      </c>
      <c r="U4791" t="s">
        <v>12568</v>
      </c>
      <c r="V4791" t="s">
        <v>12568</v>
      </c>
      <c r="W4791" t="s">
        <v>17310</v>
      </c>
      <c r="X4791">
        <v>6</v>
      </c>
      <c r="Y4791" t="s">
        <v>23415</v>
      </c>
      <c r="Z4791" t="s">
        <v>29661</v>
      </c>
      <c r="AA4791">
        <v>0.99685228826218941</v>
      </c>
      <c r="AB4791" t="str">
        <f>HYPERLINK("Melting_Curves/meltCurve_Q96NB3_ZNF830.pdf", "Melting_Curves/meltCurve_Q96NB3_ZNF830.pdf")</f>
        <v>Melting_Curves/meltCurve_Q96NB3_ZNF830.pdf</v>
      </c>
    </row>
    <row r="4792" spans="1:28" x14ac:dyDescent="0.25">
      <c r="A4792" t="s">
        <v>4796</v>
      </c>
      <c r="B4792">
        <v>0.99352677808782597</v>
      </c>
      <c r="C4792">
        <v>0.94634214671140005</v>
      </c>
      <c r="D4792">
        <v>0.96410238744997101</v>
      </c>
      <c r="E4792">
        <v>1.07670139694927</v>
      </c>
      <c r="F4792">
        <v>1.1313933194377399</v>
      </c>
      <c r="G4792">
        <v>1.0512314416191999</v>
      </c>
      <c r="H4792">
        <v>0.72963190439165404</v>
      </c>
      <c r="I4792">
        <v>0.88843108283406202</v>
      </c>
      <c r="J4792">
        <v>0.95599156136002506</v>
      </c>
      <c r="K4792">
        <v>0.72309811985710704</v>
      </c>
      <c r="L4792">
        <v>5122.0652709783399</v>
      </c>
      <c r="M4792">
        <v>87.131932320894194</v>
      </c>
      <c r="O4792">
        <v>58.754222827726601</v>
      </c>
      <c r="P4792">
        <v>-6.5066569050236098E-2</v>
      </c>
      <c r="Q4792">
        <v>0.82449899872132804</v>
      </c>
      <c r="R4792">
        <v>0.55617212938183003</v>
      </c>
      <c r="S4792" t="s">
        <v>11077</v>
      </c>
      <c r="T4792" t="s">
        <v>12568</v>
      </c>
      <c r="U4792" t="s">
        <v>12568</v>
      </c>
      <c r="V4792" t="s">
        <v>12568</v>
      </c>
      <c r="W4792" t="s">
        <v>17311</v>
      </c>
      <c r="X4792">
        <v>5</v>
      </c>
      <c r="Y4792" t="s">
        <v>23416</v>
      </c>
      <c r="Z4792" t="s">
        <v>29662</v>
      </c>
      <c r="AA4792">
        <v>0.93454214710784778</v>
      </c>
      <c r="AB4792" t="str">
        <f>HYPERLINK("Melting_Curves/meltCurve_Q96NC0_ZMAT2.pdf", "Melting_Curves/meltCurve_Q96NC0_ZMAT2.pdf")</f>
        <v>Melting_Curves/meltCurve_Q96NC0_ZMAT2.pdf</v>
      </c>
    </row>
    <row r="4793" spans="1:28" x14ac:dyDescent="0.25">
      <c r="A4793" t="s">
        <v>4797</v>
      </c>
      <c r="B4793">
        <v>0.99352677808782597</v>
      </c>
      <c r="C4793">
        <v>1.00480823313902</v>
      </c>
      <c r="D4793">
        <v>0.78505193171299903</v>
      </c>
      <c r="E4793">
        <v>0.57941608289422297</v>
      </c>
      <c r="F4793">
        <v>0.52079869142839696</v>
      </c>
      <c r="G4793">
        <v>0.29577792363976302</v>
      </c>
      <c r="H4793">
        <v>0.16748435728157801</v>
      </c>
      <c r="I4793">
        <v>0.140966371930248</v>
      </c>
      <c r="J4793">
        <v>0.111214314742012</v>
      </c>
      <c r="K4793">
        <v>8.5598635735474493E-2</v>
      </c>
      <c r="L4793">
        <v>613.31037499229706</v>
      </c>
      <c r="M4793">
        <v>11.8107076475762</v>
      </c>
      <c r="N4793">
        <v>52.348154350339897</v>
      </c>
      <c r="O4793">
        <v>50.506737800671203</v>
      </c>
      <c r="P4793">
        <v>-5.5833751300017602E-2</v>
      </c>
      <c r="Q4793">
        <v>4.51857996903492E-2</v>
      </c>
      <c r="R4793">
        <v>0.98781956485676303</v>
      </c>
      <c r="S4793" t="s">
        <v>11078</v>
      </c>
      <c r="T4793" t="s">
        <v>12568</v>
      </c>
      <c r="U4793" t="s">
        <v>12568</v>
      </c>
      <c r="V4793" t="s">
        <v>12568</v>
      </c>
      <c r="W4793" t="s">
        <v>17312</v>
      </c>
      <c r="X4793">
        <v>1</v>
      </c>
      <c r="Y4793" t="s">
        <v>23417</v>
      </c>
      <c r="Z4793" t="s">
        <v>29663</v>
      </c>
      <c r="AA4793">
        <v>0.45479792726521417</v>
      </c>
      <c r="AB4793" t="str">
        <f>HYPERLINK("Melting_Curves/meltCurve_Q96NL6_SCLT1.pdf", "Melting_Curves/meltCurve_Q96NL6_SCLT1.pdf")</f>
        <v>Melting_Curves/meltCurve_Q96NL6_SCLT1.pdf</v>
      </c>
    </row>
    <row r="4794" spans="1:28" x14ac:dyDescent="0.25">
      <c r="A4794" t="s">
        <v>4798</v>
      </c>
      <c r="B4794">
        <v>0.99352677808782597</v>
      </c>
      <c r="C4794">
        <v>0.93204460670226097</v>
      </c>
      <c r="D4794">
        <v>1.01900178039357</v>
      </c>
      <c r="E4794">
        <v>0.76733074935529999</v>
      </c>
      <c r="F4794">
        <v>0.75148692040882004</v>
      </c>
      <c r="G4794">
        <v>0.429280015239695</v>
      </c>
      <c r="H4794">
        <v>0.24465403578772099</v>
      </c>
      <c r="I4794">
        <v>0.184699324629087</v>
      </c>
      <c r="J4794">
        <v>0.15017363604762299</v>
      </c>
      <c r="K4794">
        <v>0.109291675913759</v>
      </c>
      <c r="L4794">
        <v>819.89881100934997</v>
      </c>
      <c r="M4794">
        <v>14.784268978135501</v>
      </c>
      <c r="N4794">
        <v>56.025916105029403</v>
      </c>
      <c r="O4794">
        <v>54.472527034805204</v>
      </c>
      <c r="P4794">
        <v>-6.3133336325075395E-2</v>
      </c>
      <c r="Q4794">
        <v>6.9642281733600805E-2</v>
      </c>
      <c r="R4794">
        <v>0.985800873804903</v>
      </c>
      <c r="S4794" t="s">
        <v>11079</v>
      </c>
      <c r="T4794" t="s">
        <v>12568</v>
      </c>
      <c r="U4794" t="s">
        <v>12568</v>
      </c>
      <c r="V4794" t="s">
        <v>12568</v>
      </c>
      <c r="W4794" t="s">
        <v>17313</v>
      </c>
      <c r="X4794">
        <v>6</v>
      </c>
      <c r="Y4794" t="s">
        <v>23418</v>
      </c>
      <c r="Z4794" t="s">
        <v>29664</v>
      </c>
      <c r="AA4794">
        <v>0.56657500011390038</v>
      </c>
      <c r="AB4794" t="str">
        <f>HYPERLINK("Melting_Curves/meltCurve_Q96NL8_C8orf37.pdf", "Melting_Curves/meltCurve_Q96NL8_C8orf37.pdf")</f>
        <v>Melting_Curves/meltCurve_Q96NL8_C8orf37.pdf</v>
      </c>
    </row>
    <row r="4795" spans="1:28" x14ac:dyDescent="0.25">
      <c r="A4795" t="s">
        <v>4799</v>
      </c>
      <c r="B4795">
        <v>0.99352677808782597</v>
      </c>
      <c r="C4795">
        <v>0.80912631215710495</v>
      </c>
      <c r="D4795">
        <v>0.88289200270080603</v>
      </c>
      <c r="E4795">
        <v>0.69020569984333502</v>
      </c>
      <c r="F4795">
        <v>0</v>
      </c>
      <c r="G4795">
        <v>1.0174301137529</v>
      </c>
      <c r="H4795">
        <v>0.94553043827255001</v>
      </c>
      <c r="I4795">
        <v>1.0522242873557199</v>
      </c>
      <c r="J4795">
        <v>0.95333625737663497</v>
      </c>
      <c r="K4795">
        <v>0.957450124211497</v>
      </c>
      <c r="L4795">
        <v>10133.3438607199</v>
      </c>
      <c r="M4795">
        <v>250</v>
      </c>
      <c r="O4795">
        <v>40.530781616149198</v>
      </c>
      <c r="P4795">
        <v>-0.28986970026988901</v>
      </c>
      <c r="Q4795">
        <v>0.812021672107479</v>
      </c>
      <c r="R4795">
        <v>3.4169143492212103E-2</v>
      </c>
      <c r="S4795" t="s">
        <v>11080</v>
      </c>
      <c r="T4795" t="s">
        <v>12568</v>
      </c>
      <c r="U4795" t="s">
        <v>12568</v>
      </c>
      <c r="V4795" t="s">
        <v>12568</v>
      </c>
      <c r="W4795" t="s">
        <v>17314</v>
      </c>
      <c r="X4795">
        <v>1</v>
      </c>
      <c r="Y4795" t="s">
        <v>23419</v>
      </c>
      <c r="Z4795" t="s">
        <v>29665</v>
      </c>
      <c r="AA4795">
        <v>0.81541154237896607</v>
      </c>
      <c r="AB4795" t="str">
        <f>HYPERLINK("Melting_Curves/meltCurve_Q96NT1_NAP1L5.pdf", "Melting_Curves/meltCurve_Q96NT1_NAP1L5.pdf")</f>
        <v>Melting_Curves/meltCurve_Q96NT1_NAP1L5.pdf</v>
      </c>
    </row>
    <row r="4796" spans="1:28" x14ac:dyDescent="0.25">
      <c r="A4796" t="s">
        <v>4800</v>
      </c>
      <c r="B4796">
        <v>0.99352677808782597</v>
      </c>
      <c r="C4796">
        <v>0.98085473298255699</v>
      </c>
      <c r="D4796">
        <v>0.93586824122777901</v>
      </c>
      <c r="E4796">
        <v>0.64236021060841597</v>
      </c>
      <c r="F4796">
        <v>0.57750013487641805</v>
      </c>
      <c r="G4796">
        <v>0.23888910005368499</v>
      </c>
      <c r="H4796">
        <v>0.14214143738680099</v>
      </c>
      <c r="I4796">
        <v>0.117669404726351</v>
      </c>
      <c r="J4796">
        <v>8.9414745471243298E-2</v>
      </c>
      <c r="K4796">
        <v>7.3148671491553102E-2</v>
      </c>
      <c r="L4796">
        <v>813.76720166050904</v>
      </c>
      <c r="M4796">
        <v>15.449910256147801</v>
      </c>
      <c r="N4796">
        <v>53.036999001122197</v>
      </c>
      <c r="O4796">
        <v>51.812569647394902</v>
      </c>
      <c r="P4796">
        <v>-7.0787145643713897E-2</v>
      </c>
      <c r="Q4796">
        <v>5.0522920124989601E-2</v>
      </c>
      <c r="R4796">
        <v>0.99083908230306295</v>
      </c>
      <c r="S4796" t="s">
        <v>11081</v>
      </c>
      <c r="T4796" t="s">
        <v>12568</v>
      </c>
      <c r="U4796" t="s">
        <v>12568</v>
      </c>
      <c r="V4796" t="s">
        <v>12568</v>
      </c>
      <c r="W4796" t="s">
        <v>17315</v>
      </c>
      <c r="X4796">
        <v>7</v>
      </c>
      <c r="Y4796" t="s">
        <v>23420</v>
      </c>
      <c r="Z4796" t="s">
        <v>29666</v>
      </c>
      <c r="AA4796">
        <v>0.47139584934629553</v>
      </c>
      <c r="AB4796" t="str">
        <f>HYPERLINK("Melting_Curves/meltCurve_Q96NU7_AMDHD1.pdf", "Melting_Curves/meltCurve_Q96NU7_AMDHD1.pdf")</f>
        <v>Melting_Curves/meltCurve_Q96NU7_AMDHD1.pdf</v>
      </c>
    </row>
    <row r="4797" spans="1:28" x14ac:dyDescent="0.25">
      <c r="A4797" t="s">
        <v>4801</v>
      </c>
      <c r="B4797">
        <v>0.99352677808782597</v>
      </c>
      <c r="C4797">
        <v>0.927309114974324</v>
      </c>
      <c r="D4797">
        <v>0.94100498413494205</v>
      </c>
      <c r="E4797">
        <v>1.3677041370607601</v>
      </c>
      <c r="F4797">
        <v>1.33119415942955</v>
      </c>
      <c r="G4797">
        <v>1.30685743985322</v>
      </c>
      <c r="H4797">
        <v>1.21859527214773</v>
      </c>
      <c r="I4797">
        <v>1.2756095226182</v>
      </c>
      <c r="J4797">
        <v>1.0917212172374899</v>
      </c>
      <c r="K4797">
        <v>0.97321565590218495</v>
      </c>
      <c r="L4797">
        <v>11959.493477096001</v>
      </c>
      <c r="M4797">
        <v>250</v>
      </c>
      <c r="O4797">
        <v>47.834912741739501</v>
      </c>
      <c r="P4797">
        <v>0.29209394658209498</v>
      </c>
      <c r="Q4797">
        <v>1.22355661420818</v>
      </c>
      <c r="R4797">
        <v>0.52775312691671405</v>
      </c>
      <c r="S4797" t="s">
        <v>11082</v>
      </c>
      <c r="T4797" t="s">
        <v>12568</v>
      </c>
      <c r="U4797" t="s">
        <v>12568</v>
      </c>
      <c r="V4797" t="s">
        <v>12568</v>
      </c>
      <c r="W4797" t="s">
        <v>17316</v>
      </c>
      <c r="X4797">
        <v>1</v>
      </c>
      <c r="Y4797" t="s">
        <v>23421</v>
      </c>
      <c r="Z4797" t="s">
        <v>29667</v>
      </c>
      <c r="AA4797">
        <v>1.1651301485613821</v>
      </c>
      <c r="AB4797" t="str">
        <f>HYPERLINK("Melting_Curves/meltCurve_Q96NW4_ANKRD27.pdf", "Melting_Curves/meltCurve_Q96NW4_ANKRD27.pdf")</f>
        <v>Melting_Curves/meltCurve_Q96NW4_ANKRD27.pdf</v>
      </c>
    </row>
    <row r="4798" spans="1:28" x14ac:dyDescent="0.25">
      <c r="A4798" t="s">
        <v>4802</v>
      </c>
      <c r="B4798">
        <v>0.99352677808782597</v>
      </c>
      <c r="C4798">
        <v>0.91653041638025301</v>
      </c>
      <c r="D4798">
        <v>0.83326469420153004</v>
      </c>
      <c r="E4798">
        <v>0.72470523520579799</v>
      </c>
      <c r="F4798">
        <v>0.70423732072873901</v>
      </c>
      <c r="G4798">
        <v>0.57698426445624795</v>
      </c>
      <c r="H4798">
        <v>0.49648213827865301</v>
      </c>
      <c r="I4798">
        <v>0.44117645956634099</v>
      </c>
      <c r="J4798">
        <v>0.45986544724120199</v>
      </c>
      <c r="K4798">
        <v>0.33207174099044801</v>
      </c>
      <c r="L4798">
        <v>380.88102318205398</v>
      </c>
      <c r="M4798">
        <v>6.8197981847602902</v>
      </c>
      <c r="N4798">
        <v>60.890200901281602</v>
      </c>
      <c r="O4798">
        <v>51.637839448989403</v>
      </c>
      <c r="P4798">
        <v>-2.5948307424038398E-2</v>
      </c>
      <c r="Q4798">
        <v>0.215702736139742</v>
      </c>
      <c r="R4798">
        <v>0.98072733949017998</v>
      </c>
      <c r="S4798" t="s">
        <v>11083</v>
      </c>
      <c r="T4798" t="s">
        <v>12568</v>
      </c>
      <c r="U4798" t="s">
        <v>12568</v>
      </c>
      <c r="V4798" t="s">
        <v>12568</v>
      </c>
      <c r="W4798" t="s">
        <v>17317</v>
      </c>
      <c r="X4798">
        <v>6</v>
      </c>
      <c r="Y4798" t="s">
        <v>23422</v>
      </c>
      <c r="Z4798" t="s">
        <v>29668</v>
      </c>
      <c r="AA4798">
        <v>0.6449152591811772</v>
      </c>
      <c r="AB4798" t="str">
        <f>HYPERLINK("Melting_Curves/meltCurve_Q96P11_2_NSUN5.pdf", "Melting_Curves/meltCurve_Q96P11_2_NSUN5.pdf")</f>
        <v>Melting_Curves/meltCurve_Q96P11_2_NSUN5.pdf</v>
      </c>
    </row>
    <row r="4799" spans="1:28" x14ac:dyDescent="0.25">
      <c r="A4799" t="s">
        <v>4803</v>
      </c>
      <c r="B4799">
        <v>0.99352677808782597</v>
      </c>
      <c r="C4799">
        <v>0.92628931843073803</v>
      </c>
      <c r="D4799">
        <v>0.89448024885511401</v>
      </c>
      <c r="E4799">
        <v>0.36019750742672402</v>
      </c>
      <c r="F4799">
        <v>0.30175524786493202</v>
      </c>
      <c r="G4799">
        <v>0.18217247944815201</v>
      </c>
      <c r="H4799">
        <v>0.12932671216786401</v>
      </c>
      <c r="I4799">
        <v>0.122124086159748</v>
      </c>
      <c r="J4799">
        <v>0.120750905531941</v>
      </c>
      <c r="K4799">
        <v>0.11279213767452299</v>
      </c>
      <c r="L4799">
        <v>1253.8210118012901</v>
      </c>
      <c r="M4799">
        <v>25.763228623283499</v>
      </c>
      <c r="N4799">
        <v>49.2646250534629</v>
      </c>
      <c r="O4799">
        <v>48.376682163629702</v>
      </c>
      <c r="P4799">
        <v>-0.11527422632658101</v>
      </c>
      <c r="Q4799">
        <v>0.13418924084029399</v>
      </c>
      <c r="R4799">
        <v>0.98682794245564398</v>
      </c>
      <c r="S4799" t="s">
        <v>11084</v>
      </c>
      <c r="T4799" t="s">
        <v>12568</v>
      </c>
      <c r="U4799" t="s">
        <v>12568</v>
      </c>
      <c r="V4799" t="s">
        <v>12568</v>
      </c>
      <c r="W4799" t="s">
        <v>17318</v>
      </c>
      <c r="X4799">
        <v>5</v>
      </c>
      <c r="Y4799" t="s">
        <v>23423</v>
      </c>
      <c r="Z4799" t="s">
        <v>29669</v>
      </c>
      <c r="AA4799">
        <v>0.39151869246375992</v>
      </c>
      <c r="AB4799" t="str">
        <f>HYPERLINK("Melting_Curves/meltCurve_Q96P16_RPRD1A.pdf", "Melting_Curves/meltCurve_Q96P16_RPRD1A.pdf")</f>
        <v>Melting_Curves/meltCurve_Q96P16_RPRD1A.pdf</v>
      </c>
    </row>
    <row r="4800" spans="1:28" x14ac:dyDescent="0.25">
      <c r="A4800" t="s">
        <v>4804</v>
      </c>
      <c r="B4800">
        <v>0.99352677808782597</v>
      </c>
      <c r="C4800">
        <v>0.86881418429684898</v>
      </c>
      <c r="D4800">
        <v>0.84195434471765396</v>
      </c>
      <c r="E4800">
        <v>0.56502051047997004</v>
      </c>
      <c r="F4800">
        <v>0.48720632392028601</v>
      </c>
      <c r="G4800">
        <v>0.29390903984322098</v>
      </c>
      <c r="H4800">
        <v>0.12973950734556899</v>
      </c>
      <c r="I4800">
        <v>0.12552088862682501</v>
      </c>
      <c r="J4800">
        <v>0.104623909940468</v>
      </c>
      <c r="K4800">
        <v>8.1934373838549707E-2</v>
      </c>
      <c r="L4800">
        <v>579.72176652037899</v>
      </c>
      <c r="M4800">
        <v>11.194321595080099</v>
      </c>
      <c r="N4800">
        <v>51.997035370022203</v>
      </c>
      <c r="O4800">
        <v>50.2169633983914</v>
      </c>
      <c r="P4800">
        <v>-5.4515773346761498E-2</v>
      </c>
      <c r="Q4800">
        <v>2.20922829764418E-2</v>
      </c>
      <c r="R4800">
        <v>0.99152790077308794</v>
      </c>
      <c r="S4800" t="s">
        <v>11085</v>
      </c>
      <c r="T4800" t="s">
        <v>12568</v>
      </c>
      <c r="U4800" t="s">
        <v>12568</v>
      </c>
      <c r="V4800" t="s">
        <v>12568</v>
      </c>
      <c r="W4800" t="s">
        <v>17319</v>
      </c>
      <c r="X4800">
        <v>3</v>
      </c>
      <c r="Y4800" t="s">
        <v>23424</v>
      </c>
      <c r="Z4800" t="s">
        <v>29670</v>
      </c>
      <c r="AA4800">
        <v>0.4394886092816645</v>
      </c>
      <c r="AB4800" t="str">
        <f>HYPERLINK("Melting_Curves/meltCurve_Q96P47_AGAP3.pdf", "Melting_Curves/meltCurve_Q96P47_AGAP3.pdf")</f>
        <v>Melting_Curves/meltCurve_Q96P47_AGAP3.pdf</v>
      </c>
    </row>
    <row r="4801" spans="1:28" x14ac:dyDescent="0.25">
      <c r="A4801" t="s">
        <v>4805</v>
      </c>
      <c r="B4801">
        <v>0.99352677808782597</v>
      </c>
      <c r="C4801">
        <v>0.92013196310838297</v>
      </c>
      <c r="D4801">
        <v>0.84153367990030303</v>
      </c>
      <c r="E4801">
        <v>0.36953884411508903</v>
      </c>
      <c r="F4801">
        <v>0.30340572150567102</v>
      </c>
      <c r="G4801">
        <v>0.201582068013893</v>
      </c>
      <c r="H4801">
        <v>0.16017947980418101</v>
      </c>
      <c r="I4801">
        <v>0.169065750251987</v>
      </c>
      <c r="J4801">
        <v>0.12654880809077301</v>
      </c>
      <c r="K4801">
        <v>9.7029154769136705E-2</v>
      </c>
      <c r="L4801">
        <v>1071.38596949715</v>
      </c>
      <c r="M4801">
        <v>22.127261155150102</v>
      </c>
      <c r="N4801">
        <v>49.175218497476401</v>
      </c>
      <c r="O4801">
        <v>48.029015390307102</v>
      </c>
      <c r="P4801">
        <v>-9.8573911096335801E-2</v>
      </c>
      <c r="Q4801">
        <v>0.14416809428692801</v>
      </c>
      <c r="R4801">
        <v>0.98866044311801105</v>
      </c>
      <c r="S4801" t="s">
        <v>11086</v>
      </c>
      <c r="T4801" t="s">
        <v>12568</v>
      </c>
      <c r="U4801" t="s">
        <v>12568</v>
      </c>
      <c r="V4801" t="s">
        <v>12568</v>
      </c>
      <c r="W4801" t="s">
        <v>17320</v>
      </c>
      <c r="X4801">
        <v>12</v>
      </c>
      <c r="Y4801" t="s">
        <v>23425</v>
      </c>
      <c r="Z4801" t="s">
        <v>29671</v>
      </c>
      <c r="AA4801">
        <v>0.39412274295154859</v>
      </c>
      <c r="AB4801" t="str">
        <f>HYPERLINK("Melting_Curves/meltCurve_Q96P48_3_ARAP1.pdf", "Melting_Curves/meltCurve_Q96P48_3_ARAP1.pdf")</f>
        <v>Melting_Curves/meltCurve_Q96P48_3_ARAP1.pdf</v>
      </c>
    </row>
    <row r="4802" spans="1:28" x14ac:dyDescent="0.25">
      <c r="A4802" t="s">
        <v>4806</v>
      </c>
      <c r="B4802">
        <v>0.99352677808782597</v>
      </c>
      <c r="C4802">
        <v>1.0616381614696799</v>
      </c>
      <c r="D4802">
        <v>0.96515556115345502</v>
      </c>
      <c r="E4802">
        <v>0.909126132420082</v>
      </c>
      <c r="F4802">
        <v>0.80267709618765004</v>
      </c>
      <c r="G4802">
        <v>0.63920731875969705</v>
      </c>
      <c r="H4802">
        <v>0.24381509154066999</v>
      </c>
      <c r="I4802">
        <v>0.15934659657554201</v>
      </c>
      <c r="J4802">
        <v>0.13924696640604101</v>
      </c>
      <c r="K4802">
        <v>9.7409785578304001E-2</v>
      </c>
      <c r="L4802">
        <v>1053.2830461677499</v>
      </c>
      <c r="M4802">
        <v>18.301871736969101</v>
      </c>
      <c r="N4802">
        <v>57.881968437848698</v>
      </c>
      <c r="O4802">
        <v>56.8766806095974</v>
      </c>
      <c r="P4802">
        <v>-7.6447431029272206E-2</v>
      </c>
      <c r="Q4802">
        <v>4.9741957062522303E-2</v>
      </c>
      <c r="R4802">
        <v>0.98849892456996302</v>
      </c>
      <c r="S4802" t="s">
        <v>11087</v>
      </c>
      <c r="T4802" t="s">
        <v>12568</v>
      </c>
      <c r="U4802" t="s">
        <v>12568</v>
      </c>
      <c r="V4802" t="s">
        <v>12568</v>
      </c>
      <c r="W4802" t="s">
        <v>17321</v>
      </c>
      <c r="X4802">
        <v>31</v>
      </c>
      <c r="Y4802" t="s">
        <v>23426</v>
      </c>
      <c r="Z4802" t="s">
        <v>29672</v>
      </c>
      <c r="AA4802">
        <v>0.61786273183729534</v>
      </c>
      <c r="AB4802" t="str">
        <f>HYPERLINK("Melting_Curves/meltCurve_Q96P70_IPO9.pdf", "Melting_Curves/meltCurve_Q96P70_IPO9.pdf")</f>
        <v>Melting_Curves/meltCurve_Q96P70_IPO9.pdf</v>
      </c>
    </row>
    <row r="4803" spans="1:28" x14ac:dyDescent="0.25">
      <c r="A4803" t="s">
        <v>4807</v>
      </c>
      <c r="B4803">
        <v>0.99352677808782597</v>
      </c>
      <c r="C4803">
        <v>0.99848165602245498</v>
      </c>
      <c r="D4803">
        <v>1.0326628920444201</v>
      </c>
      <c r="E4803">
        <v>1.02666382680018</v>
      </c>
      <c r="F4803">
        <v>0.90586070591398204</v>
      </c>
      <c r="G4803">
        <v>0.90199720410575901</v>
      </c>
      <c r="H4803">
        <v>0.815950675023288</v>
      </c>
      <c r="I4803">
        <v>0.82394195975642903</v>
      </c>
      <c r="J4803">
        <v>0.85041633371504299</v>
      </c>
      <c r="K4803">
        <v>0.76951728919303097</v>
      </c>
      <c r="L4803">
        <v>1141.0785811534499</v>
      </c>
      <c r="M4803">
        <v>20.494671091649501</v>
      </c>
      <c r="O4803">
        <v>55.154891433381202</v>
      </c>
      <c r="P4803">
        <v>-1.81477431874481E-2</v>
      </c>
      <c r="Q4803">
        <v>0.804650248248445</v>
      </c>
      <c r="R4803">
        <v>0.89248893556783804</v>
      </c>
      <c r="S4803" t="s">
        <v>11088</v>
      </c>
      <c r="T4803" t="s">
        <v>12568</v>
      </c>
      <c r="U4803" t="s">
        <v>12568</v>
      </c>
      <c r="V4803" t="s">
        <v>12568</v>
      </c>
      <c r="W4803" t="s">
        <v>17322</v>
      </c>
      <c r="X4803">
        <v>7</v>
      </c>
      <c r="Y4803" t="s">
        <v>23427</v>
      </c>
      <c r="Z4803" t="s">
        <v>29673</v>
      </c>
      <c r="AA4803">
        <v>0.90919297737442872</v>
      </c>
      <c r="AB4803" t="str">
        <f>HYPERLINK("Melting_Curves/meltCurve_Q96PD2_DCBLD2.pdf", "Melting_Curves/meltCurve_Q96PD2_DCBLD2.pdf")</f>
        <v>Melting_Curves/meltCurve_Q96PD2_DCBLD2.pdf</v>
      </c>
    </row>
    <row r="4804" spans="1:28" x14ac:dyDescent="0.25">
      <c r="A4804" t="s">
        <v>4808</v>
      </c>
      <c r="B4804">
        <v>0.99352677808782597</v>
      </c>
      <c r="C4804">
        <v>0.97670198537183095</v>
      </c>
      <c r="D4804">
        <v>0.91846061605906404</v>
      </c>
      <c r="E4804">
        <v>0.74403955155664203</v>
      </c>
      <c r="F4804">
        <v>0.69685312575011005</v>
      </c>
      <c r="G4804">
        <v>0.53796228629905996</v>
      </c>
      <c r="H4804">
        <v>0.465965810358972</v>
      </c>
      <c r="I4804">
        <v>0.39832758124376</v>
      </c>
      <c r="J4804">
        <v>0.38986492146600799</v>
      </c>
      <c r="K4804">
        <v>0.31971604896500899</v>
      </c>
      <c r="L4804">
        <v>568.52671725695302</v>
      </c>
      <c r="M4804">
        <v>10.5266032576902</v>
      </c>
      <c r="N4804">
        <v>58.737857942677003</v>
      </c>
      <c r="O4804">
        <v>52.168685134229499</v>
      </c>
      <c r="P4804">
        <v>-3.6043808874669798E-2</v>
      </c>
      <c r="Q4804">
        <v>0.28576881219637401</v>
      </c>
      <c r="R4804">
        <v>0.99273466545515199</v>
      </c>
      <c r="S4804" t="s">
        <v>11089</v>
      </c>
      <c r="T4804" t="s">
        <v>12568</v>
      </c>
      <c r="U4804" t="s">
        <v>12568</v>
      </c>
      <c r="V4804" t="s">
        <v>12568</v>
      </c>
      <c r="W4804" t="s">
        <v>17323</v>
      </c>
      <c r="X4804">
        <v>8</v>
      </c>
      <c r="Y4804" t="s">
        <v>23428</v>
      </c>
      <c r="Z4804" t="s">
        <v>29674</v>
      </c>
      <c r="AA4804">
        <v>0.64006307463287626</v>
      </c>
      <c r="AB4804" t="str">
        <f>HYPERLINK("Melting_Curves/meltCurve_Q96PE2_ARHGEF17.pdf", "Melting_Curves/meltCurve_Q96PE2_ARHGEF17.pdf")</f>
        <v>Melting_Curves/meltCurve_Q96PE2_ARHGEF17.pdf</v>
      </c>
    </row>
    <row r="4805" spans="1:28" x14ac:dyDescent="0.25">
      <c r="A4805" t="s">
        <v>4809</v>
      </c>
      <c r="B4805">
        <v>0.99352677808782597</v>
      </c>
      <c r="C4805">
        <v>0.94590227722411901</v>
      </c>
      <c r="D4805">
        <v>0.93733169291960705</v>
      </c>
      <c r="E4805">
        <v>0.770578953259767</v>
      </c>
      <c r="F4805">
        <v>0.73872899266269099</v>
      </c>
      <c r="G4805">
        <v>0.67519614500803105</v>
      </c>
      <c r="H4805">
        <v>0.47332626731577199</v>
      </c>
      <c r="I4805">
        <v>0.43912040378240302</v>
      </c>
      <c r="J4805">
        <v>0.334028524096879</v>
      </c>
      <c r="K4805">
        <v>0.210134983888734</v>
      </c>
      <c r="L4805">
        <v>459.50294818278201</v>
      </c>
      <c r="M4805">
        <v>7.5792283446587101</v>
      </c>
      <c r="N4805">
        <v>60.626613528309797</v>
      </c>
      <c r="O4805">
        <v>56.837632467854199</v>
      </c>
      <c r="P4805">
        <v>-3.3383293974373403E-2</v>
      </c>
      <c r="Q4805">
        <v>0</v>
      </c>
      <c r="R4805">
        <v>0.98113461545737701</v>
      </c>
      <c r="S4805" t="s">
        <v>11090</v>
      </c>
      <c r="T4805" t="s">
        <v>12568</v>
      </c>
      <c r="U4805" t="s">
        <v>12568</v>
      </c>
      <c r="V4805" t="s">
        <v>12568</v>
      </c>
      <c r="W4805" t="s">
        <v>17324</v>
      </c>
      <c r="X4805">
        <v>4</v>
      </c>
      <c r="Y4805" t="s">
        <v>23429</v>
      </c>
      <c r="Z4805" t="s">
        <v>29675</v>
      </c>
      <c r="AA4805">
        <v>0.6624327304452462</v>
      </c>
      <c r="AB4805" t="str">
        <f>HYPERLINK("Melting_Curves/meltCurve_Q96PE7_MCEE.pdf", "Melting_Curves/meltCurve_Q96PE7_MCEE.pdf")</f>
        <v>Melting_Curves/meltCurve_Q96PE7_MCEE.pdf</v>
      </c>
    </row>
    <row r="4806" spans="1:28" x14ac:dyDescent="0.25">
      <c r="A4806" t="s">
        <v>4810</v>
      </c>
      <c r="B4806">
        <v>0.99352677808782597</v>
      </c>
      <c r="C4806">
        <v>0.91829002981017405</v>
      </c>
      <c r="D4806">
        <v>0.97262363897467796</v>
      </c>
      <c r="E4806">
        <v>0.75701566265440501</v>
      </c>
      <c r="F4806">
        <v>0.67987418100419605</v>
      </c>
      <c r="G4806">
        <v>0.72296912714268602</v>
      </c>
      <c r="H4806">
        <v>0.62066331897360205</v>
      </c>
      <c r="I4806">
        <v>0.62928615592849901</v>
      </c>
      <c r="J4806">
        <v>0.63406440362457295</v>
      </c>
      <c r="K4806">
        <v>0.57811780780893196</v>
      </c>
      <c r="L4806">
        <v>813.04799881149302</v>
      </c>
      <c r="M4806">
        <v>16.475463809910099</v>
      </c>
      <c r="O4806">
        <v>48.639176055320704</v>
      </c>
      <c r="P4806">
        <v>-3.2526875839070497E-2</v>
      </c>
      <c r="Q4806">
        <v>0.61592102634437695</v>
      </c>
      <c r="R4806">
        <v>0.93072457778253803</v>
      </c>
      <c r="S4806" t="s">
        <v>11091</v>
      </c>
      <c r="T4806" t="s">
        <v>12568</v>
      </c>
      <c r="U4806" t="s">
        <v>12568</v>
      </c>
      <c r="V4806" t="s">
        <v>12568</v>
      </c>
      <c r="W4806" t="s">
        <v>17325</v>
      </c>
      <c r="X4806">
        <v>12</v>
      </c>
      <c r="Y4806" t="s">
        <v>23430</v>
      </c>
      <c r="Z4806" t="s">
        <v>29676</v>
      </c>
      <c r="AA4806">
        <v>0.74346133645148382</v>
      </c>
      <c r="AB4806" t="str">
        <f>HYPERLINK("Melting_Curves/meltCurve_Q96PK6_RBM14.pdf", "Melting_Curves/meltCurve_Q96PK6_RBM14.pdf")</f>
        <v>Melting_Curves/meltCurve_Q96PK6_RBM14.pdf</v>
      </c>
    </row>
    <row r="4807" spans="1:28" x14ac:dyDescent="0.25">
      <c r="A4807" t="s">
        <v>4811</v>
      </c>
      <c r="B4807">
        <v>0.99352677808782597</v>
      </c>
      <c r="C4807">
        <v>0.96000348408890501</v>
      </c>
      <c r="D4807">
        <v>1.0123004006355201</v>
      </c>
      <c r="E4807">
        <v>0.86488593723131302</v>
      </c>
      <c r="F4807">
        <v>0.86670973082319902</v>
      </c>
      <c r="G4807">
        <v>0.82743792370204505</v>
      </c>
      <c r="H4807">
        <v>0.58335942084522396</v>
      </c>
      <c r="I4807">
        <v>0.67002146254678496</v>
      </c>
      <c r="J4807">
        <v>0.71115620776180399</v>
      </c>
      <c r="K4807">
        <v>0.62850655528528299</v>
      </c>
      <c r="L4807">
        <v>758.69339054326304</v>
      </c>
      <c r="M4807">
        <v>13.912812467377901</v>
      </c>
      <c r="O4807">
        <v>53.442442900397097</v>
      </c>
      <c r="P4807">
        <v>-2.4456716915171699E-2</v>
      </c>
      <c r="Q4807">
        <v>0.62427457405661901</v>
      </c>
      <c r="R4807">
        <v>0.87759665715200297</v>
      </c>
      <c r="S4807" t="s">
        <v>11092</v>
      </c>
      <c r="T4807" t="s">
        <v>12568</v>
      </c>
      <c r="U4807" t="s">
        <v>12568</v>
      </c>
      <c r="V4807" t="s">
        <v>12568</v>
      </c>
      <c r="W4807" t="s">
        <v>17326</v>
      </c>
      <c r="X4807">
        <v>9</v>
      </c>
      <c r="Y4807" t="s">
        <v>23431</v>
      </c>
      <c r="Z4807" t="s">
        <v>29677</v>
      </c>
      <c r="AA4807">
        <v>0.81439056156511025</v>
      </c>
      <c r="AB4807" t="str">
        <f>HYPERLINK("Melting_Curves/meltCurve_Q96PM5_RCHY1.pdf", "Melting_Curves/meltCurve_Q96PM5_RCHY1.pdf")</f>
        <v>Melting_Curves/meltCurve_Q96PM5_RCHY1.pdf</v>
      </c>
    </row>
    <row r="4808" spans="1:28" x14ac:dyDescent="0.25">
      <c r="A4808" t="s">
        <v>4812</v>
      </c>
      <c r="B4808">
        <v>0.99352677808782597</v>
      </c>
      <c r="C4808">
        <v>0.91630832431430398</v>
      </c>
      <c r="D4808">
        <v>0.94485260954005801</v>
      </c>
      <c r="E4808">
        <v>0.83498428197655705</v>
      </c>
      <c r="F4808">
        <v>0.75567686439660398</v>
      </c>
      <c r="G4808">
        <v>0.73322975945041602</v>
      </c>
      <c r="H4808">
        <v>0.62312128953076196</v>
      </c>
      <c r="I4808">
        <v>0.68080262782538503</v>
      </c>
      <c r="J4808">
        <v>0.758996893168842</v>
      </c>
      <c r="K4808">
        <v>0.65979076469564202</v>
      </c>
      <c r="L4808">
        <v>714.11151733850602</v>
      </c>
      <c r="M4808">
        <v>14.424279157632</v>
      </c>
      <c r="O4808">
        <v>48.585222893047799</v>
      </c>
      <c r="P4808">
        <v>-2.41971973686897E-2</v>
      </c>
      <c r="Q4808">
        <v>0.67402521198006804</v>
      </c>
      <c r="R4808">
        <v>0.89480267129109903</v>
      </c>
      <c r="S4808" t="s">
        <v>11093</v>
      </c>
      <c r="T4808" t="s">
        <v>12568</v>
      </c>
      <c r="U4808" t="s">
        <v>12568</v>
      </c>
      <c r="V4808" t="s">
        <v>12568</v>
      </c>
      <c r="W4808" t="s">
        <v>17327</v>
      </c>
      <c r="X4808">
        <v>1</v>
      </c>
      <c r="Y4808" t="s">
        <v>23432</v>
      </c>
      <c r="Z4808" t="s">
        <v>29678</v>
      </c>
      <c r="AA4808">
        <v>0.78581446063534555</v>
      </c>
      <c r="AB4808" t="str">
        <f>HYPERLINK("Melting_Curves/meltCurve_Q96PN7_4_TRERF1.pdf", "Melting_Curves/meltCurve_Q96PN7_4_TRERF1.pdf")</f>
        <v>Melting_Curves/meltCurve_Q96PN7_4_TRERF1.pdf</v>
      </c>
    </row>
    <row r="4809" spans="1:28" x14ac:dyDescent="0.25">
      <c r="A4809" t="s">
        <v>4813</v>
      </c>
      <c r="B4809">
        <v>0.99352677808782597</v>
      </c>
      <c r="C4809">
        <v>0.95434323135371102</v>
      </c>
      <c r="D4809">
        <v>0.808692539071445</v>
      </c>
      <c r="E4809">
        <v>0.32787528272698402</v>
      </c>
      <c r="F4809">
        <v>0.26628037976853802</v>
      </c>
      <c r="G4809">
        <v>0.147798194656831</v>
      </c>
      <c r="H4809">
        <v>8.1142285789516405E-2</v>
      </c>
      <c r="I4809">
        <v>6.6854951571316101E-2</v>
      </c>
      <c r="J4809">
        <v>6.4724255898892094E-2</v>
      </c>
      <c r="K4809">
        <v>5.4837065428868001E-2</v>
      </c>
      <c r="L4809">
        <v>1041.0521566479599</v>
      </c>
      <c r="M4809">
        <v>21.473289370540702</v>
      </c>
      <c r="N4809">
        <v>48.854175591688502</v>
      </c>
      <c r="O4809">
        <v>48.066678380436102</v>
      </c>
      <c r="P4809">
        <v>-0.103245096751753</v>
      </c>
      <c r="Q4809">
        <v>7.5590816039228501E-2</v>
      </c>
      <c r="R4809">
        <v>0.99167905362140996</v>
      </c>
      <c r="S4809" t="s">
        <v>11094</v>
      </c>
      <c r="T4809" t="s">
        <v>12568</v>
      </c>
      <c r="U4809" t="s">
        <v>12568</v>
      </c>
      <c r="V4809" t="s">
        <v>12568</v>
      </c>
      <c r="W4809" t="s">
        <v>17328</v>
      </c>
      <c r="X4809">
        <v>2</v>
      </c>
      <c r="Y4809" t="s">
        <v>23433</v>
      </c>
      <c r="Z4809" t="s">
        <v>29679</v>
      </c>
      <c r="AA4809">
        <v>0.34816316005147901</v>
      </c>
      <c r="AB4809" t="str">
        <f>HYPERLINK("Melting_Curves/meltCurve_Q96PQ7_5_KLHL5.pdf", "Melting_Curves/meltCurve_Q96PQ7_5_KLHL5.pdf")</f>
        <v>Melting_Curves/meltCurve_Q96PQ7_5_KLHL5.pdf</v>
      </c>
    </row>
    <row r="4810" spans="1:28" x14ac:dyDescent="0.25">
      <c r="A4810" t="s">
        <v>4814</v>
      </c>
      <c r="B4810">
        <v>0.99352677808782597</v>
      </c>
      <c r="C4810">
        <v>0.89369259919024302</v>
      </c>
      <c r="D4810">
        <v>0.96965240349581505</v>
      </c>
      <c r="E4810">
        <v>0.898721705125754</v>
      </c>
      <c r="F4810">
        <v>0.88299351072961196</v>
      </c>
      <c r="G4810">
        <v>0.81926875308611802</v>
      </c>
      <c r="H4810">
        <v>0.73666882432147596</v>
      </c>
      <c r="I4810">
        <v>0.81261733588337604</v>
      </c>
      <c r="J4810">
        <v>0.63988842439217497</v>
      </c>
      <c r="K4810">
        <v>0.54616826520517703</v>
      </c>
      <c r="L4810">
        <v>347.340347563926</v>
      </c>
      <c r="M4810">
        <v>4.5559019915541601</v>
      </c>
      <c r="O4810">
        <v>65.010781883496307</v>
      </c>
      <c r="P4810">
        <v>-1.7666847249563199E-2</v>
      </c>
      <c r="Q4810">
        <v>0</v>
      </c>
      <c r="R4810">
        <v>0.880093988858069</v>
      </c>
      <c r="S4810" t="s">
        <v>11095</v>
      </c>
      <c r="T4810" t="s">
        <v>12568</v>
      </c>
      <c r="U4810" t="s">
        <v>12568</v>
      </c>
      <c r="V4810" t="s">
        <v>12568</v>
      </c>
      <c r="W4810" t="s">
        <v>17329</v>
      </c>
      <c r="X4810">
        <v>3</v>
      </c>
      <c r="Y4810" t="s">
        <v>23434</v>
      </c>
      <c r="Z4810" t="s">
        <v>29680</v>
      </c>
      <c r="AA4810">
        <v>0.83137090570867378</v>
      </c>
      <c r="AB4810" t="str">
        <f>HYPERLINK("Melting_Curves/meltCurve_Q96PU4_UHRF2.pdf", "Melting_Curves/meltCurve_Q96PU4_UHRF2.pdf")</f>
        <v>Melting_Curves/meltCurve_Q96PU4_UHRF2.pdf</v>
      </c>
    </row>
    <row r="4811" spans="1:28" x14ac:dyDescent="0.25">
      <c r="A4811" t="s">
        <v>4815</v>
      </c>
      <c r="B4811">
        <v>0.99352677808782597</v>
      </c>
      <c r="C4811">
        <v>0.97718907605958805</v>
      </c>
      <c r="D4811">
        <v>0.94686614432197802</v>
      </c>
      <c r="E4811">
        <v>0.68688135582180199</v>
      </c>
      <c r="F4811">
        <v>0.60656900877346898</v>
      </c>
      <c r="G4811">
        <v>0.55079900512562996</v>
      </c>
      <c r="H4811">
        <v>0.44417484424468701</v>
      </c>
      <c r="I4811">
        <v>0.45851463953042498</v>
      </c>
      <c r="J4811">
        <v>0.47382512901491097</v>
      </c>
      <c r="K4811">
        <v>0.39749851974959999</v>
      </c>
      <c r="L4811">
        <v>875.00750668591502</v>
      </c>
      <c r="M4811">
        <v>17.416605545685002</v>
      </c>
      <c r="N4811">
        <v>57.178094268089602</v>
      </c>
      <c r="O4811">
        <v>49.591552918209899</v>
      </c>
      <c r="P4811">
        <v>-4.9207138322801998E-2</v>
      </c>
      <c r="Q4811">
        <v>0.43958742923238597</v>
      </c>
      <c r="R4811">
        <v>0.98135318953205197</v>
      </c>
      <c r="S4811" t="s">
        <v>11096</v>
      </c>
      <c r="T4811" t="s">
        <v>12568</v>
      </c>
      <c r="U4811" t="s">
        <v>12568</v>
      </c>
      <c r="V4811" t="s">
        <v>12568</v>
      </c>
      <c r="W4811" t="s">
        <v>17330</v>
      </c>
      <c r="X4811">
        <v>10</v>
      </c>
      <c r="Y4811" t="s">
        <v>23435</v>
      </c>
      <c r="Z4811" t="s">
        <v>29681</v>
      </c>
      <c r="AA4811">
        <v>0.64100404108922404</v>
      </c>
      <c r="AB4811" t="str">
        <f>HYPERLINK("Melting_Curves/meltCurve_Q96PU5_7_NEDD4L.pdf", "Melting_Curves/meltCurve_Q96PU5_7_NEDD4L.pdf")</f>
        <v>Melting_Curves/meltCurve_Q96PU5_7_NEDD4L.pdf</v>
      </c>
    </row>
    <row r="4812" spans="1:28" x14ac:dyDescent="0.25">
      <c r="A4812" t="s">
        <v>4816</v>
      </c>
      <c r="B4812">
        <v>0.99352677808782597</v>
      </c>
      <c r="C4812">
        <v>1.0272867163060599</v>
      </c>
      <c r="D4812">
        <v>0.95773423654726098</v>
      </c>
      <c r="E4812">
        <v>0.66039060231727398</v>
      </c>
      <c r="F4812">
        <v>0.51198478671723702</v>
      </c>
      <c r="G4812">
        <v>0.31263480659229498</v>
      </c>
      <c r="H4812">
        <v>0.247222438587926</v>
      </c>
      <c r="I4812">
        <v>0.239121460196349</v>
      </c>
      <c r="J4812">
        <v>0.20050534772683201</v>
      </c>
      <c r="K4812">
        <v>0.13834005547976999</v>
      </c>
      <c r="L4812">
        <v>926.82646067762198</v>
      </c>
      <c r="M4812">
        <v>17.9627079517124</v>
      </c>
      <c r="N4812">
        <v>52.941864723781499</v>
      </c>
      <c r="O4812">
        <v>50.970515597621201</v>
      </c>
      <c r="P4812">
        <v>-7.1969916108595405E-2</v>
      </c>
      <c r="Q4812">
        <v>0.18316074066597801</v>
      </c>
      <c r="R4812">
        <v>0.991000664752553</v>
      </c>
      <c r="S4812" t="s">
        <v>11097</v>
      </c>
      <c r="T4812" t="s">
        <v>12568</v>
      </c>
      <c r="U4812" t="s">
        <v>12568</v>
      </c>
      <c r="V4812" t="s">
        <v>12568</v>
      </c>
      <c r="W4812" t="s">
        <v>17331</v>
      </c>
      <c r="X4812">
        <v>7</v>
      </c>
      <c r="Y4812" t="s">
        <v>23436</v>
      </c>
      <c r="Z4812" t="s">
        <v>29682</v>
      </c>
      <c r="AA4812">
        <v>0.51264503393983418</v>
      </c>
      <c r="AB4812" t="str">
        <f>HYPERLINK("Melting_Curves/meltCurve_Q96PU8_9_QKI.pdf", "Melting_Curves/meltCurve_Q96PU8_9_QKI.pdf")</f>
        <v>Melting_Curves/meltCurve_Q96PU8_9_QKI.pdf</v>
      </c>
    </row>
    <row r="4813" spans="1:28" x14ac:dyDescent="0.25">
      <c r="A4813" t="s">
        <v>4817</v>
      </c>
      <c r="B4813">
        <v>0.99352677808782597</v>
      </c>
      <c r="C4813">
        <v>0.96501956321156601</v>
      </c>
      <c r="D4813">
        <v>0.77397374528789498</v>
      </c>
      <c r="E4813">
        <v>0.28232481754565097</v>
      </c>
      <c r="F4813">
        <v>0.205392904413253</v>
      </c>
      <c r="G4813">
        <v>0.19747799429985999</v>
      </c>
      <c r="H4813">
        <v>5.8803139664810399E-2</v>
      </c>
      <c r="I4813">
        <v>0.21981699383931699</v>
      </c>
      <c r="J4813">
        <v>4.6906231161090203E-2</v>
      </c>
      <c r="K4813">
        <v>3.0637955990963899E-2</v>
      </c>
      <c r="L4813">
        <v>1281.34981757993</v>
      </c>
      <c r="M4813">
        <v>26.842526538165899</v>
      </c>
      <c r="N4813">
        <v>48.1829838655553</v>
      </c>
      <c r="O4813">
        <v>47.4732392890187</v>
      </c>
      <c r="P4813">
        <v>-0.12577189122539101</v>
      </c>
      <c r="Q4813">
        <v>0.110256988494445</v>
      </c>
      <c r="R4813">
        <v>0.97443462727652197</v>
      </c>
      <c r="S4813" t="s">
        <v>11098</v>
      </c>
      <c r="T4813" t="s">
        <v>12568</v>
      </c>
      <c r="U4813" t="s">
        <v>12568</v>
      </c>
      <c r="V4813" t="s">
        <v>12568</v>
      </c>
      <c r="W4813" t="s">
        <v>17332</v>
      </c>
      <c r="X4813">
        <v>4</v>
      </c>
      <c r="Y4813" t="s">
        <v>23437</v>
      </c>
      <c r="Z4813" t="s">
        <v>29683</v>
      </c>
      <c r="AA4813">
        <v>0.3464491671184266</v>
      </c>
      <c r="AB4813" t="str">
        <f>HYPERLINK("Melting_Curves/meltCurve_Q96PY5_FMNL2.pdf", "Melting_Curves/meltCurve_Q96PY5_FMNL2.pdf")</f>
        <v>Melting_Curves/meltCurve_Q96PY5_FMNL2.pdf</v>
      </c>
    </row>
    <row r="4814" spans="1:28" x14ac:dyDescent="0.25">
      <c r="A4814" t="s">
        <v>4818</v>
      </c>
      <c r="B4814">
        <v>0.99352677808782597</v>
      </c>
      <c r="C4814">
        <v>1.0446337373318899</v>
      </c>
      <c r="D4814">
        <v>0.98984540853476399</v>
      </c>
      <c r="E4814">
        <v>0.93360163531183105</v>
      </c>
      <c r="F4814">
        <v>0.84251416240657495</v>
      </c>
      <c r="G4814">
        <v>0.60626431746464504</v>
      </c>
      <c r="H4814">
        <v>0.28942277422294999</v>
      </c>
      <c r="I4814">
        <v>0.25174267016182</v>
      </c>
      <c r="J4814">
        <v>0.22489577112220599</v>
      </c>
      <c r="K4814">
        <v>0.190143938056515</v>
      </c>
      <c r="L4814">
        <v>1212.42645482486</v>
      </c>
      <c r="M4814">
        <v>21.343279303740299</v>
      </c>
      <c r="N4814">
        <v>57.994815183827299</v>
      </c>
      <c r="O4814">
        <v>56.314378798710599</v>
      </c>
      <c r="P4814">
        <v>-7.7964852730662504E-2</v>
      </c>
      <c r="Q4814">
        <v>0.17717766203245899</v>
      </c>
      <c r="R4814">
        <v>0.99497905155330801</v>
      </c>
      <c r="S4814" t="s">
        <v>11099</v>
      </c>
      <c r="T4814" t="s">
        <v>12568</v>
      </c>
      <c r="U4814" t="s">
        <v>12568</v>
      </c>
      <c r="V4814" t="s">
        <v>12568</v>
      </c>
      <c r="W4814" t="s">
        <v>17333</v>
      </c>
      <c r="X4814">
        <v>23</v>
      </c>
      <c r="Y4814" t="s">
        <v>23438</v>
      </c>
      <c r="Z4814" t="s">
        <v>29684</v>
      </c>
      <c r="AA4814">
        <v>0.64749993418116081</v>
      </c>
      <c r="AB4814" t="str">
        <f>HYPERLINK("Melting_Curves/meltCurve_Q96PZ0_PUS7.pdf", "Melting_Curves/meltCurve_Q96PZ0_PUS7.pdf")</f>
        <v>Melting_Curves/meltCurve_Q96PZ0_PUS7.pdf</v>
      </c>
    </row>
    <row r="4815" spans="1:28" x14ac:dyDescent="0.25">
      <c r="A4815" t="s">
        <v>4819</v>
      </c>
      <c r="B4815">
        <v>0.99352677808782597</v>
      </c>
      <c r="C4815">
        <v>0.93629981914544003</v>
      </c>
      <c r="D4815">
        <v>0.86752022096895498</v>
      </c>
      <c r="E4815">
        <v>0.65263776896570302</v>
      </c>
      <c r="F4815">
        <v>0.53894675359362199</v>
      </c>
      <c r="G4815">
        <v>0.29574205974059797</v>
      </c>
      <c r="H4815">
        <v>0.197772360514745</v>
      </c>
      <c r="I4815">
        <v>0.185370925937269</v>
      </c>
      <c r="J4815">
        <v>0.14262999173257501</v>
      </c>
      <c r="K4815">
        <v>0.10314322418835201</v>
      </c>
      <c r="L4815">
        <v>661.54496487166</v>
      </c>
      <c r="M4815">
        <v>12.637815609295799</v>
      </c>
      <c r="N4815">
        <v>53.068560515538898</v>
      </c>
      <c r="O4815">
        <v>51.087682302811302</v>
      </c>
      <c r="P4815">
        <v>-5.6969701825761103E-2</v>
      </c>
      <c r="Q4815">
        <v>7.8993923717979198E-2</v>
      </c>
      <c r="R4815">
        <v>0.996913847348878</v>
      </c>
      <c r="S4815" t="s">
        <v>11100</v>
      </c>
      <c r="T4815" t="s">
        <v>12568</v>
      </c>
      <c r="U4815" t="s">
        <v>12568</v>
      </c>
      <c r="V4815" t="s">
        <v>12568</v>
      </c>
      <c r="W4815" t="s">
        <v>17334</v>
      </c>
      <c r="X4815">
        <v>5</v>
      </c>
      <c r="Y4815" t="s">
        <v>23439</v>
      </c>
      <c r="Z4815" t="s">
        <v>29685</v>
      </c>
      <c r="AA4815">
        <v>0.48381984605663758</v>
      </c>
      <c r="AB4815" t="str">
        <f>HYPERLINK("Melting_Curves/meltCurve_Q96Q05_3_TRAPPC9.pdf", "Melting_Curves/meltCurve_Q96Q05_3_TRAPPC9.pdf")</f>
        <v>Melting_Curves/meltCurve_Q96Q05_3_TRAPPC9.pdf</v>
      </c>
    </row>
    <row r="4816" spans="1:28" x14ac:dyDescent="0.25">
      <c r="A4816" t="s">
        <v>4820</v>
      </c>
      <c r="B4816">
        <v>0.99352677808782597</v>
      </c>
      <c r="C4816">
        <v>1.0008405634275801</v>
      </c>
      <c r="D4816">
        <v>0.90638167435116102</v>
      </c>
      <c r="E4816">
        <v>0.27086299323714402</v>
      </c>
      <c r="F4816">
        <v>0.19824843845685899</v>
      </c>
      <c r="G4816">
        <v>0.129042118141699</v>
      </c>
      <c r="H4816">
        <v>9.43203735653044E-2</v>
      </c>
      <c r="I4816">
        <v>9.0981769393453399E-2</v>
      </c>
      <c r="J4816">
        <v>7.8748296470154105E-2</v>
      </c>
      <c r="K4816">
        <v>5.6733049477477003E-2</v>
      </c>
      <c r="L4816">
        <v>1904.0093615917699</v>
      </c>
      <c r="M4816">
        <v>39.385239288283103</v>
      </c>
      <c r="N4816">
        <v>48.619066548106503</v>
      </c>
      <c r="O4816">
        <v>48.219095029883498</v>
      </c>
      <c r="P4816">
        <v>-0.18375436019497501</v>
      </c>
      <c r="Q4816">
        <v>0.100124867659935</v>
      </c>
      <c r="R4816">
        <v>0.99410814441682205</v>
      </c>
      <c r="S4816" t="s">
        <v>11101</v>
      </c>
      <c r="T4816" t="s">
        <v>12568</v>
      </c>
      <c r="U4816" t="s">
        <v>12568</v>
      </c>
      <c r="V4816" t="s">
        <v>12568</v>
      </c>
      <c r="W4816" t="s">
        <v>17335</v>
      </c>
      <c r="X4816">
        <v>13</v>
      </c>
      <c r="Y4816" t="s">
        <v>23440</v>
      </c>
      <c r="Z4816" t="s">
        <v>29686</v>
      </c>
      <c r="AA4816">
        <v>0.35349633325317409</v>
      </c>
      <c r="AB4816" t="str">
        <f>HYPERLINK("Melting_Curves/meltCurve_Q96Q11_2_TRNT1.pdf", "Melting_Curves/meltCurve_Q96Q11_2_TRNT1.pdf")</f>
        <v>Melting_Curves/meltCurve_Q96Q11_2_TRNT1.pdf</v>
      </c>
    </row>
    <row r="4817" spans="1:28" x14ac:dyDescent="0.25">
      <c r="A4817" t="s">
        <v>4821</v>
      </c>
      <c r="B4817">
        <v>0.99352677808782597</v>
      </c>
      <c r="C4817">
        <v>0.88114249765754404</v>
      </c>
      <c r="D4817">
        <v>0.86853065893611803</v>
      </c>
      <c r="E4817">
        <v>0.58892043543499595</v>
      </c>
      <c r="F4817">
        <v>0.52867533960185698</v>
      </c>
      <c r="G4817">
        <v>0.43103397401958499</v>
      </c>
      <c r="H4817">
        <v>0.37472674208550499</v>
      </c>
      <c r="I4817">
        <v>0.30333459779507099</v>
      </c>
      <c r="J4817">
        <v>0.372999637328436</v>
      </c>
      <c r="K4817">
        <v>0.364934401258035</v>
      </c>
      <c r="L4817">
        <v>714.34376265780702</v>
      </c>
      <c r="M4817">
        <v>14.534585410992801</v>
      </c>
      <c r="N4817">
        <v>53.268186429534602</v>
      </c>
      <c r="O4817">
        <v>48.2456071423005</v>
      </c>
      <c r="P4817">
        <v>-4.9898256241617402E-2</v>
      </c>
      <c r="Q4817">
        <v>0.33755343696090101</v>
      </c>
      <c r="R4817">
        <v>0.98105099406864305</v>
      </c>
      <c r="S4817" t="s">
        <v>11102</v>
      </c>
      <c r="T4817" t="s">
        <v>12568</v>
      </c>
      <c r="U4817" t="s">
        <v>12568</v>
      </c>
      <c r="V4817" t="s">
        <v>12568</v>
      </c>
      <c r="W4817" t="s">
        <v>17336</v>
      </c>
      <c r="X4817">
        <v>10</v>
      </c>
      <c r="Y4817" t="s">
        <v>23441</v>
      </c>
      <c r="Z4817" t="s">
        <v>29687</v>
      </c>
      <c r="AA4817">
        <v>0.55679117506208231</v>
      </c>
      <c r="AB4817" t="str">
        <f>HYPERLINK("Melting_Curves/meltCurve_Q96Q15_SMG1.pdf", "Melting_Curves/meltCurve_Q96Q15_SMG1.pdf")</f>
        <v>Melting_Curves/meltCurve_Q96Q15_SMG1.pdf</v>
      </c>
    </row>
    <row r="4818" spans="1:28" x14ac:dyDescent="0.25">
      <c r="A4818" t="s">
        <v>4822</v>
      </c>
      <c r="B4818">
        <v>0.99352677808782597</v>
      </c>
      <c r="C4818">
        <v>1.0077989415626001</v>
      </c>
      <c r="D4818">
        <v>0.83009027728916696</v>
      </c>
      <c r="E4818">
        <v>0.56723028512500795</v>
      </c>
      <c r="F4818">
        <v>0.38168997891025203</v>
      </c>
      <c r="G4818">
        <v>0.35577883214838701</v>
      </c>
      <c r="H4818">
        <v>0.27329355904696501</v>
      </c>
      <c r="I4818">
        <v>0.24118969363184201</v>
      </c>
      <c r="J4818">
        <v>0.17381548716574599</v>
      </c>
      <c r="K4818">
        <v>0.12835516225685301</v>
      </c>
      <c r="L4818">
        <v>787.22682585624602</v>
      </c>
      <c r="M4818">
        <v>15.766642555952901</v>
      </c>
      <c r="N4818">
        <v>51.459945026452402</v>
      </c>
      <c r="O4818">
        <v>49.147378930793401</v>
      </c>
      <c r="P4818">
        <v>-6.5199248784919395E-2</v>
      </c>
      <c r="Q4818">
        <v>0.18711775458902799</v>
      </c>
      <c r="R4818">
        <v>0.98141044578738901</v>
      </c>
      <c r="S4818" t="s">
        <v>11103</v>
      </c>
      <c r="T4818" t="s">
        <v>12568</v>
      </c>
      <c r="U4818" t="s">
        <v>12568</v>
      </c>
      <c r="V4818" t="s">
        <v>12568</v>
      </c>
      <c r="W4818" t="s">
        <v>17337</v>
      </c>
      <c r="X4818">
        <v>3</v>
      </c>
      <c r="Y4818" t="s">
        <v>23442</v>
      </c>
      <c r="Z4818" t="s">
        <v>29688</v>
      </c>
      <c r="AA4818">
        <v>0.47394080705552821</v>
      </c>
      <c r="AB4818" t="str">
        <f>HYPERLINK("Melting_Curves/meltCurve_Q96Q42_ALS2.pdf", "Melting_Curves/meltCurve_Q96Q42_ALS2.pdf")</f>
        <v>Melting_Curves/meltCurve_Q96Q42_ALS2.pdf</v>
      </c>
    </row>
    <row r="4819" spans="1:28" x14ac:dyDescent="0.25">
      <c r="A4819" t="s">
        <v>4823</v>
      </c>
      <c r="B4819">
        <v>0.99352677808782597</v>
      </c>
      <c r="C4819">
        <v>0.958255518465711</v>
      </c>
      <c r="D4819">
        <v>0.97926617728964305</v>
      </c>
      <c r="E4819">
        <v>0.91360809741485105</v>
      </c>
      <c r="F4819">
        <v>0.88829046717384796</v>
      </c>
      <c r="G4819">
        <v>0.79259358774703104</v>
      </c>
      <c r="H4819">
        <v>0.691090397144279</v>
      </c>
      <c r="I4819">
        <v>0.740265414581885</v>
      </c>
      <c r="J4819">
        <v>0.68168140588540704</v>
      </c>
      <c r="K4819">
        <v>0.57527701859839298</v>
      </c>
      <c r="L4819">
        <v>420.97940866444202</v>
      </c>
      <c r="M4819">
        <v>6.5953939969153001</v>
      </c>
      <c r="O4819">
        <v>58.725647291224902</v>
      </c>
      <c r="P4819">
        <v>-1.71782956584496E-2</v>
      </c>
      <c r="Q4819">
        <v>0.389581359784203</v>
      </c>
      <c r="R4819">
        <v>0.95555125703335198</v>
      </c>
      <c r="S4819" t="s">
        <v>11104</v>
      </c>
      <c r="T4819" t="s">
        <v>12568</v>
      </c>
      <c r="U4819" t="s">
        <v>12568</v>
      </c>
      <c r="V4819" t="s">
        <v>12568</v>
      </c>
      <c r="W4819" t="s">
        <v>17338</v>
      </c>
      <c r="X4819">
        <v>6</v>
      </c>
      <c r="Y4819" t="s">
        <v>23443</v>
      </c>
      <c r="Z4819" t="s">
        <v>29689</v>
      </c>
      <c r="AA4819">
        <v>0.82642484977180364</v>
      </c>
      <c r="AB4819" t="str">
        <f>HYPERLINK("Melting_Curves/meltCurve_Q96Q45_2_TMEM237.pdf", "Melting_Curves/meltCurve_Q96Q45_2_TMEM237.pdf")</f>
        <v>Melting_Curves/meltCurve_Q96Q45_2_TMEM237.pdf</v>
      </c>
    </row>
    <row r="4820" spans="1:28" x14ac:dyDescent="0.25">
      <c r="A4820" t="s">
        <v>4824</v>
      </c>
      <c r="B4820">
        <v>0.99352677808782597</v>
      </c>
      <c r="C4820">
        <v>0.914706743656587</v>
      </c>
      <c r="D4820">
        <v>0.95702044195082203</v>
      </c>
      <c r="E4820">
        <v>0.70121321092020295</v>
      </c>
      <c r="F4820">
        <v>0.67660481228456204</v>
      </c>
      <c r="G4820">
        <v>0.58950402157970405</v>
      </c>
      <c r="H4820">
        <v>0.485386937707596</v>
      </c>
      <c r="I4820">
        <v>0.53132909794896199</v>
      </c>
      <c r="J4820">
        <v>0.45253035077199599</v>
      </c>
      <c r="K4820">
        <v>0.380362480570408</v>
      </c>
      <c r="L4820">
        <v>539.31530361666501</v>
      </c>
      <c r="M4820">
        <v>10.2900393995914</v>
      </c>
      <c r="N4820">
        <v>61.2285462582389</v>
      </c>
      <c r="O4820">
        <v>50.547738552239402</v>
      </c>
      <c r="P4820">
        <v>-3.1242056346712101E-2</v>
      </c>
      <c r="Q4820">
        <v>0.38638656547896699</v>
      </c>
      <c r="R4820">
        <v>0.958648909347389</v>
      </c>
      <c r="S4820" t="s">
        <v>11105</v>
      </c>
      <c r="T4820" t="s">
        <v>12568</v>
      </c>
      <c r="U4820" t="s">
        <v>12568</v>
      </c>
      <c r="V4820" t="s">
        <v>12568</v>
      </c>
      <c r="W4820" t="s">
        <v>17339</v>
      </c>
      <c r="X4820">
        <v>5</v>
      </c>
      <c r="Y4820" t="s">
        <v>23444</v>
      </c>
      <c r="Z4820" t="s">
        <v>29690</v>
      </c>
      <c r="AA4820">
        <v>0.66196134995624623</v>
      </c>
      <c r="AB4820" t="str">
        <f>HYPERLINK("Melting_Curves/meltCurve_Q96Q83_ALKBH3.pdf", "Melting_Curves/meltCurve_Q96Q83_ALKBH3.pdf")</f>
        <v>Melting_Curves/meltCurve_Q96Q83_ALKBH3.pdf</v>
      </c>
    </row>
    <row r="4821" spans="1:28" x14ac:dyDescent="0.25">
      <c r="A4821" t="s">
        <v>4825</v>
      </c>
      <c r="B4821">
        <v>0.99352677808782597</v>
      </c>
      <c r="C4821">
        <v>0.91509425996600702</v>
      </c>
      <c r="D4821">
        <v>0.79546732830960798</v>
      </c>
      <c r="E4821">
        <v>0.81106832915916804</v>
      </c>
      <c r="F4821">
        <v>0.84646668519078105</v>
      </c>
      <c r="G4821">
        <v>0.79285245483122002</v>
      </c>
      <c r="H4821">
        <v>0.67198795979705395</v>
      </c>
      <c r="I4821">
        <v>0.67689958163652697</v>
      </c>
      <c r="J4821">
        <v>0.68211777375179306</v>
      </c>
      <c r="K4821">
        <v>0.59036294351802698</v>
      </c>
      <c r="L4821">
        <v>203.49919997123101</v>
      </c>
      <c r="M4821">
        <v>2.4380649426272298</v>
      </c>
      <c r="O4821">
        <v>55.551140599724803</v>
      </c>
      <c r="P4821">
        <v>-1.15720392954168E-2</v>
      </c>
      <c r="Q4821">
        <v>0</v>
      </c>
      <c r="R4821">
        <v>0.86918707019290198</v>
      </c>
      <c r="S4821" t="s">
        <v>11106</v>
      </c>
      <c r="T4821" t="s">
        <v>12568</v>
      </c>
      <c r="U4821" t="s">
        <v>12568</v>
      </c>
      <c r="V4821" t="s">
        <v>12568</v>
      </c>
      <c r="W4821" t="s">
        <v>17340</v>
      </c>
      <c r="X4821">
        <v>5</v>
      </c>
      <c r="Y4821" t="s">
        <v>23445</v>
      </c>
      <c r="Z4821" t="s">
        <v>29691</v>
      </c>
      <c r="AA4821">
        <v>0.77815618565587252</v>
      </c>
      <c r="AB4821" t="str">
        <f>HYPERLINK("Melting_Curves/meltCurve_Q96Q89_4_KIF20B.pdf", "Melting_Curves/meltCurve_Q96Q89_4_KIF20B.pdf")</f>
        <v>Melting_Curves/meltCurve_Q96Q89_4_KIF20B.pdf</v>
      </c>
    </row>
    <row r="4822" spans="1:28" x14ac:dyDescent="0.25">
      <c r="A4822" t="s">
        <v>4826</v>
      </c>
      <c r="B4822">
        <v>0.99352677808782597</v>
      </c>
      <c r="C4822">
        <v>0.95272802945489299</v>
      </c>
      <c r="D4822">
        <v>0.98354311132598604</v>
      </c>
      <c r="E4822">
        <v>0.88920929074363497</v>
      </c>
      <c r="F4822">
        <v>0.77832123717052504</v>
      </c>
      <c r="G4822">
        <v>0.60426322247754705</v>
      </c>
      <c r="H4822">
        <v>0.52460478793939402</v>
      </c>
      <c r="I4822">
        <v>0.38584673829808502</v>
      </c>
      <c r="J4822">
        <v>0.34507973420186799</v>
      </c>
      <c r="K4822">
        <v>0.28413976958847798</v>
      </c>
      <c r="L4822">
        <v>624.09491050904205</v>
      </c>
      <c r="M4822">
        <v>10.733012842631</v>
      </c>
      <c r="N4822">
        <v>60.610545988861901</v>
      </c>
      <c r="O4822">
        <v>56.237729995931403</v>
      </c>
      <c r="P4822">
        <v>-3.9293558171787403E-2</v>
      </c>
      <c r="Q4822">
        <v>0.17675966641180199</v>
      </c>
      <c r="R4822">
        <v>0.99365382084998299</v>
      </c>
      <c r="S4822" t="s">
        <v>11107</v>
      </c>
      <c r="T4822" t="s">
        <v>12568</v>
      </c>
      <c r="U4822" t="s">
        <v>12568</v>
      </c>
      <c r="V4822" t="s">
        <v>12568</v>
      </c>
      <c r="W4822" t="s">
        <v>17341</v>
      </c>
      <c r="X4822">
        <v>8</v>
      </c>
      <c r="Y4822" t="s">
        <v>23446</v>
      </c>
      <c r="Z4822" t="s">
        <v>29692</v>
      </c>
      <c r="AA4822">
        <v>0.68333237988864071</v>
      </c>
      <c r="AB4822" t="str">
        <f>HYPERLINK("Melting_Curves/meltCurve_Q96QC0_PPP1R10.pdf", "Melting_Curves/meltCurve_Q96QC0_PPP1R10.pdf")</f>
        <v>Melting_Curves/meltCurve_Q96QC0_PPP1R10.pdf</v>
      </c>
    </row>
    <row r="4823" spans="1:28" x14ac:dyDescent="0.25">
      <c r="A4823" t="s">
        <v>4827</v>
      </c>
      <c r="B4823">
        <v>0.99352677808782597</v>
      </c>
      <c r="C4823">
        <v>1.0353897348796</v>
      </c>
      <c r="D4823">
        <v>1.03621704084049</v>
      </c>
      <c r="E4823">
        <v>0.83075695617171696</v>
      </c>
      <c r="F4823">
        <v>0.76765154055748097</v>
      </c>
      <c r="G4823">
        <v>0.62842448612054802</v>
      </c>
      <c r="H4823">
        <v>0.54672075026767597</v>
      </c>
      <c r="I4823">
        <v>0.58441877101019901</v>
      </c>
      <c r="J4823">
        <v>0.57627835168586905</v>
      </c>
      <c r="K4823">
        <v>0.452128354125722</v>
      </c>
      <c r="L4823">
        <v>960.58879354092699</v>
      </c>
      <c r="M4823">
        <v>18.160769331445099</v>
      </c>
      <c r="O4823">
        <v>52.264811576819298</v>
      </c>
      <c r="P4823">
        <v>-4.1554553132170602E-2</v>
      </c>
      <c r="Q4823">
        <v>0.52166417384583097</v>
      </c>
      <c r="R4823">
        <v>0.95827168006102503</v>
      </c>
      <c r="S4823" t="s">
        <v>11108</v>
      </c>
      <c r="T4823" t="s">
        <v>12568</v>
      </c>
      <c r="U4823" t="s">
        <v>12568</v>
      </c>
      <c r="V4823" t="s">
        <v>12568</v>
      </c>
      <c r="W4823" t="s">
        <v>17342</v>
      </c>
      <c r="X4823">
        <v>1</v>
      </c>
      <c r="Y4823" t="s">
        <v>23447</v>
      </c>
      <c r="Z4823" t="s">
        <v>29693</v>
      </c>
      <c r="AA4823">
        <v>0.73498262159240535</v>
      </c>
      <c r="AB4823" t="str">
        <f>HYPERLINK("Melting_Curves/meltCurve_Q96QE3_2_ATAD5.pdf", "Melting_Curves/meltCurve_Q96QE3_2_ATAD5.pdf")</f>
        <v>Melting_Curves/meltCurve_Q96QE3_2_ATAD5.pdf</v>
      </c>
    </row>
    <row r="4824" spans="1:28" x14ac:dyDescent="0.25">
      <c r="A4824" t="s">
        <v>4828</v>
      </c>
      <c r="B4824">
        <v>0.99352677808782597</v>
      </c>
      <c r="C4824">
        <v>1.00068148346606</v>
      </c>
      <c r="D4824">
        <v>0.90764014407706195</v>
      </c>
      <c r="E4824">
        <v>0.620748919559857</v>
      </c>
      <c r="F4824">
        <v>0.57182128549055</v>
      </c>
      <c r="G4824">
        <v>0.295559893737255</v>
      </c>
      <c r="H4824">
        <v>0.22921471555242001</v>
      </c>
      <c r="I4824">
        <v>0.224834885644983</v>
      </c>
      <c r="J4824">
        <v>0.216269221151944</v>
      </c>
      <c r="K4824">
        <v>0.20487533375686401</v>
      </c>
      <c r="L4824">
        <v>829.89933894361604</v>
      </c>
      <c r="M4824">
        <v>16.145087073010998</v>
      </c>
      <c r="N4824">
        <v>52.953640098152803</v>
      </c>
      <c r="O4824">
        <v>50.633380320112998</v>
      </c>
      <c r="P4824">
        <v>-6.4701772240745706E-2</v>
      </c>
      <c r="Q4824">
        <v>0.188403895120241</v>
      </c>
      <c r="R4824">
        <v>0.98809338587662598</v>
      </c>
      <c r="S4824" t="s">
        <v>11109</v>
      </c>
      <c r="T4824" t="s">
        <v>12568</v>
      </c>
      <c r="U4824" t="s">
        <v>12568</v>
      </c>
      <c r="V4824" t="s">
        <v>12568</v>
      </c>
      <c r="W4824" t="s">
        <v>17343</v>
      </c>
      <c r="X4824">
        <v>6</v>
      </c>
      <c r="Y4824" t="s">
        <v>23448</v>
      </c>
      <c r="Z4824" t="s">
        <v>29694</v>
      </c>
      <c r="AA4824">
        <v>0.51328982503411114</v>
      </c>
      <c r="AB4824" t="str">
        <f>HYPERLINK("Melting_Curves/meltCurve_Q96QF0_2_RAB3IP.pdf", "Melting_Curves/meltCurve_Q96QF0_2_RAB3IP.pdf")</f>
        <v>Melting_Curves/meltCurve_Q96QF0_2_RAB3IP.pdf</v>
      </c>
    </row>
    <row r="4825" spans="1:28" x14ac:dyDescent="0.25">
      <c r="A4825" t="s">
        <v>4829</v>
      </c>
      <c r="B4825">
        <v>0.99352677808782597</v>
      </c>
      <c r="C4825">
        <v>0.99828920061200399</v>
      </c>
      <c r="D4825">
        <v>0.91882721742278695</v>
      </c>
      <c r="E4825">
        <v>0.33522616957864698</v>
      </c>
      <c r="F4825">
        <v>0.25155170829731199</v>
      </c>
      <c r="G4825">
        <v>0.14674723235272699</v>
      </c>
      <c r="H4825">
        <v>0.103633243245184</v>
      </c>
      <c r="I4825">
        <v>0.11162328272111199</v>
      </c>
      <c r="J4825">
        <v>7.1204930943205694E-2</v>
      </c>
      <c r="K4825">
        <v>4.9287622069794097E-2</v>
      </c>
      <c r="L4825">
        <v>1565.0906086115899</v>
      </c>
      <c r="M4825">
        <v>32.109197948286102</v>
      </c>
      <c r="N4825">
        <v>49.1014066213368</v>
      </c>
      <c r="O4825">
        <v>48.554847440129898</v>
      </c>
      <c r="P4825">
        <v>-0.14804328368427599</v>
      </c>
      <c r="Q4825">
        <v>0.104532664993201</v>
      </c>
      <c r="R4825">
        <v>0.98930225479335598</v>
      </c>
      <c r="S4825" t="s">
        <v>11110</v>
      </c>
      <c r="T4825" t="s">
        <v>12568</v>
      </c>
      <c r="U4825" t="s">
        <v>12568</v>
      </c>
      <c r="V4825" t="s">
        <v>12568</v>
      </c>
      <c r="W4825" t="s">
        <v>17344</v>
      </c>
      <c r="X4825">
        <v>7</v>
      </c>
      <c r="Y4825" t="s">
        <v>23449</v>
      </c>
      <c r="Z4825" t="s">
        <v>29695</v>
      </c>
      <c r="AA4825">
        <v>0.37022102222869713</v>
      </c>
      <c r="AB4825" t="str">
        <f>HYPERLINK("Melting_Curves/meltCurve_Q96QG7_MTMR9.pdf", "Melting_Curves/meltCurve_Q96QG7_MTMR9.pdf")</f>
        <v>Melting_Curves/meltCurve_Q96QG7_MTMR9.pdf</v>
      </c>
    </row>
    <row r="4826" spans="1:28" x14ac:dyDescent="0.25">
      <c r="A4826" t="s">
        <v>4830</v>
      </c>
      <c r="B4826">
        <v>0.99352677808782597</v>
      </c>
      <c r="C4826">
        <v>0.827649651093887</v>
      </c>
      <c r="D4826">
        <v>0.90577092304849405</v>
      </c>
      <c r="E4826">
        <v>0.59556073394859099</v>
      </c>
      <c r="F4826">
        <v>0.48034358900130403</v>
      </c>
      <c r="G4826">
        <v>0.176667332030606</v>
      </c>
      <c r="H4826">
        <v>0.107893134098776</v>
      </c>
      <c r="I4826">
        <v>8.9306369379772502E-2</v>
      </c>
      <c r="J4826">
        <v>7.3965066888786193E-2</v>
      </c>
      <c r="K4826">
        <v>5.7559870863466603E-2</v>
      </c>
      <c r="L4826">
        <v>713.43609846374602</v>
      </c>
      <c r="M4826">
        <v>13.814147851386901</v>
      </c>
      <c r="N4826">
        <v>51.797283330861099</v>
      </c>
      <c r="O4826">
        <v>50.599141361139502</v>
      </c>
      <c r="P4826">
        <v>-6.6906783136628206E-2</v>
      </c>
      <c r="Q4826">
        <v>1.9858774651680001E-2</v>
      </c>
      <c r="R4826">
        <v>0.980959078200074</v>
      </c>
      <c r="S4826" t="s">
        <v>11111</v>
      </c>
      <c r="T4826" t="s">
        <v>12568</v>
      </c>
      <c r="U4826" t="s">
        <v>12568</v>
      </c>
      <c r="V4826" t="s">
        <v>12568</v>
      </c>
      <c r="W4826" t="s">
        <v>17345</v>
      </c>
      <c r="X4826">
        <v>34</v>
      </c>
      <c r="Y4826" t="s">
        <v>23450</v>
      </c>
      <c r="Z4826" t="s">
        <v>29696</v>
      </c>
      <c r="AA4826">
        <v>0.42548827509961712</v>
      </c>
      <c r="AB4826" t="str">
        <f>HYPERLINK("Melting_Curves/meltCurve_Q96QK1_VPS35.pdf", "Melting_Curves/meltCurve_Q96QK1_VPS35.pdf")</f>
        <v>Melting_Curves/meltCurve_Q96QK1_VPS35.pdf</v>
      </c>
    </row>
    <row r="4827" spans="1:28" x14ac:dyDescent="0.25">
      <c r="A4827" t="s">
        <v>4831</v>
      </c>
      <c r="B4827">
        <v>0.99352677808782597</v>
      </c>
      <c r="C4827">
        <v>0.85067724507123998</v>
      </c>
      <c r="D4827">
        <v>0.68224018240559503</v>
      </c>
      <c r="E4827">
        <v>0.51272177954668796</v>
      </c>
      <c r="F4827">
        <v>0.46996256155181798</v>
      </c>
      <c r="G4827">
        <v>0.400324180679209</v>
      </c>
      <c r="H4827">
        <v>0.34006132133461298</v>
      </c>
      <c r="I4827">
        <v>0.26661410776224898</v>
      </c>
      <c r="J4827">
        <v>0.34185415196456798</v>
      </c>
      <c r="K4827">
        <v>0.25673981663293499</v>
      </c>
      <c r="L4827">
        <v>586.23263032319699</v>
      </c>
      <c r="M4827">
        <v>12.3354084719015</v>
      </c>
      <c r="N4827">
        <v>50.9795476114396</v>
      </c>
      <c r="O4827">
        <v>46.327186218386302</v>
      </c>
      <c r="P4827">
        <v>-4.7719545036107598E-2</v>
      </c>
      <c r="Q4827">
        <v>0.28328812617228499</v>
      </c>
      <c r="R4827">
        <v>0.97846610240017995</v>
      </c>
      <c r="S4827" t="s">
        <v>11112</v>
      </c>
      <c r="T4827" t="s">
        <v>12568</v>
      </c>
      <c r="U4827" t="s">
        <v>12568</v>
      </c>
      <c r="V4827" t="s">
        <v>12568</v>
      </c>
      <c r="W4827" t="s">
        <v>17346</v>
      </c>
      <c r="X4827">
        <v>2</v>
      </c>
      <c r="Y4827" t="s">
        <v>23451</v>
      </c>
      <c r="Z4827" t="s">
        <v>29697</v>
      </c>
      <c r="AA4827">
        <v>0.49060268901531862</v>
      </c>
      <c r="AB4827" t="str">
        <f>HYPERLINK("Melting_Curves/meltCurve_Q96QP1_ALPK1.pdf", "Melting_Curves/meltCurve_Q96QP1_ALPK1.pdf")</f>
        <v>Melting_Curves/meltCurve_Q96QP1_ALPK1.pdf</v>
      </c>
    </row>
    <row r="4828" spans="1:28" x14ac:dyDescent="0.25">
      <c r="A4828" t="s">
        <v>4832</v>
      </c>
      <c r="B4828">
        <v>0.99352677808782597</v>
      </c>
      <c r="C4828">
        <v>0.98288191189429297</v>
      </c>
      <c r="D4828">
        <v>1.06325289363344</v>
      </c>
      <c r="E4828">
        <v>1.1436227790231399</v>
      </c>
      <c r="F4828">
        <v>1.04508595940986</v>
      </c>
      <c r="G4828">
        <v>1.1611807635742599</v>
      </c>
      <c r="H4828">
        <v>1.3033090339670801</v>
      </c>
      <c r="I4828">
        <v>1.0114234085249401</v>
      </c>
      <c r="J4828">
        <v>0.66742202361664604</v>
      </c>
      <c r="K4828">
        <v>0.22781027367912801</v>
      </c>
      <c r="L4828">
        <v>15000</v>
      </c>
      <c r="M4828">
        <v>223.60141576235</v>
      </c>
      <c r="N4828">
        <v>67.266524317939997</v>
      </c>
      <c r="O4828">
        <v>67.078283459706896</v>
      </c>
      <c r="P4828">
        <v>-0.64357000778503304</v>
      </c>
      <c r="Q4828">
        <v>0.22774059517835099</v>
      </c>
      <c r="R4828">
        <v>0.82642163592912599</v>
      </c>
      <c r="S4828" t="s">
        <v>11113</v>
      </c>
      <c r="T4828" t="s">
        <v>12568</v>
      </c>
      <c r="U4828" t="s">
        <v>12568</v>
      </c>
      <c r="V4828" t="s">
        <v>12568</v>
      </c>
      <c r="W4828" t="s">
        <v>17347</v>
      </c>
      <c r="X4828">
        <v>4</v>
      </c>
      <c r="Y4828" t="s">
        <v>23452</v>
      </c>
      <c r="Z4828" t="s">
        <v>29698</v>
      </c>
      <c r="AA4828">
        <v>0.92504037428279284</v>
      </c>
      <c r="AB4828" t="str">
        <f>HYPERLINK("Melting_Curves/meltCurve_Q96QR8_PURB.pdf", "Melting_Curves/meltCurve_Q96QR8_PURB.pdf")</f>
        <v>Melting_Curves/meltCurve_Q96QR8_PURB.pdf</v>
      </c>
    </row>
    <row r="4829" spans="1:28" x14ac:dyDescent="0.25">
      <c r="A4829" t="s">
        <v>4833</v>
      </c>
      <c r="B4829">
        <v>0.99352677808782597</v>
      </c>
      <c r="C4829">
        <v>1.09901731676357</v>
      </c>
      <c r="D4829">
        <v>0.96061685103857497</v>
      </c>
      <c r="E4829">
        <v>0.809611298150406</v>
      </c>
      <c r="F4829">
        <v>0.67434124187585098</v>
      </c>
      <c r="G4829">
        <v>0.473991849390686</v>
      </c>
      <c r="H4829">
        <v>0.28665637353434298</v>
      </c>
      <c r="I4829">
        <v>8.6373579552082705E-2</v>
      </c>
      <c r="J4829">
        <v>5.4786800921659003E-2</v>
      </c>
      <c r="K4829">
        <v>4.04537160793077E-2</v>
      </c>
      <c r="L4829">
        <v>808.840253952181</v>
      </c>
      <c r="M4829">
        <v>14.4380198566841</v>
      </c>
      <c r="N4829">
        <v>56.021549906129501</v>
      </c>
      <c r="O4829">
        <v>54.979740436069797</v>
      </c>
      <c r="P4829">
        <v>-6.5659258449410604E-2</v>
      </c>
      <c r="Q4829">
        <v>0</v>
      </c>
      <c r="R4829">
        <v>0.98541606066967202</v>
      </c>
      <c r="S4829" t="s">
        <v>11114</v>
      </c>
      <c r="T4829" t="s">
        <v>12568</v>
      </c>
      <c r="U4829" t="s">
        <v>12568</v>
      </c>
      <c r="V4829" t="s">
        <v>12568</v>
      </c>
      <c r="W4829" t="s">
        <v>17348</v>
      </c>
      <c r="X4829">
        <v>4</v>
      </c>
      <c r="Y4829" t="s">
        <v>23453</v>
      </c>
      <c r="Z4829" t="s">
        <v>29699</v>
      </c>
      <c r="AA4829">
        <v>0.55230949359539439</v>
      </c>
      <c r="AB4829" t="str">
        <f>HYPERLINK("Melting_Curves/meltCurve_Q96QU6_ACCS.pdf", "Melting_Curves/meltCurve_Q96QU6_ACCS.pdf")</f>
        <v>Melting_Curves/meltCurve_Q96QU6_ACCS.pdf</v>
      </c>
    </row>
    <row r="4830" spans="1:28" x14ac:dyDescent="0.25">
      <c r="A4830" t="s">
        <v>4834</v>
      </c>
      <c r="B4830">
        <v>0.99352677808782597</v>
      </c>
      <c r="C4830">
        <v>0.96182577538704495</v>
      </c>
      <c r="D4830">
        <v>0.86303205788571402</v>
      </c>
      <c r="E4830">
        <v>0.23845361630329701</v>
      </c>
      <c r="F4830">
        <v>0.172776891425694</v>
      </c>
      <c r="G4830">
        <v>9.8861766714854804E-2</v>
      </c>
      <c r="H4830">
        <v>7.5807682347600297E-2</v>
      </c>
      <c r="I4830">
        <v>7.5116297803367704E-2</v>
      </c>
      <c r="J4830">
        <v>5.6039677813860302E-2</v>
      </c>
      <c r="K4830">
        <v>4.3346517988457303E-2</v>
      </c>
      <c r="L4830">
        <v>1726.7499056691499</v>
      </c>
      <c r="M4830">
        <v>35.916845315230901</v>
      </c>
      <c r="N4830">
        <v>48.303731635765502</v>
      </c>
      <c r="O4830">
        <v>47.928018558285601</v>
      </c>
      <c r="P4830">
        <v>-0.172774556047949</v>
      </c>
      <c r="Q4830">
        <v>7.7790298997632595E-2</v>
      </c>
      <c r="R4830">
        <v>0.99492886148207804</v>
      </c>
      <c r="S4830" t="s">
        <v>11115</v>
      </c>
      <c r="T4830" t="s">
        <v>12568</v>
      </c>
      <c r="U4830" t="s">
        <v>12568</v>
      </c>
      <c r="V4830" t="s">
        <v>12568</v>
      </c>
      <c r="W4830" t="s">
        <v>17349</v>
      </c>
      <c r="X4830">
        <v>8</v>
      </c>
      <c r="Y4830" t="s">
        <v>23454</v>
      </c>
      <c r="Z4830" t="s">
        <v>29700</v>
      </c>
      <c r="AA4830">
        <v>0.32988754274442122</v>
      </c>
      <c r="AB4830" t="str">
        <f>HYPERLINK("Melting_Curves/meltCurve_Q96QU8_XPO6.pdf", "Melting_Curves/meltCurve_Q96QU8_XPO6.pdf")</f>
        <v>Melting_Curves/meltCurve_Q96QU8_XPO6.pdf</v>
      </c>
    </row>
    <row r="4831" spans="1:28" x14ac:dyDescent="0.25">
      <c r="A4831" t="s">
        <v>4835</v>
      </c>
      <c r="B4831">
        <v>0.99352677808782597</v>
      </c>
      <c r="C4831">
        <v>0.94946200569718397</v>
      </c>
      <c r="D4831">
        <v>0.93291940596278899</v>
      </c>
      <c r="E4831">
        <v>0.809481317967639</v>
      </c>
      <c r="F4831">
        <v>0.73279259985976897</v>
      </c>
      <c r="G4831">
        <v>0.47271086361909997</v>
      </c>
      <c r="H4831">
        <v>0.35667607805983598</v>
      </c>
      <c r="I4831">
        <v>0.29182791377926798</v>
      </c>
      <c r="J4831">
        <v>0.24831168346491</v>
      </c>
      <c r="K4831">
        <v>0.214012853074009</v>
      </c>
      <c r="L4831">
        <v>691.09348317587103</v>
      </c>
      <c r="M4831">
        <v>12.4947111642725</v>
      </c>
      <c r="N4831">
        <v>57.041368904645999</v>
      </c>
      <c r="O4831">
        <v>53.9514113487039</v>
      </c>
      <c r="P4831">
        <v>-4.8774786368751502E-2</v>
      </c>
      <c r="Q4831">
        <v>0.15774721244924</v>
      </c>
      <c r="R4831">
        <v>0.99588166078002405</v>
      </c>
      <c r="S4831" t="s">
        <v>11116</v>
      </c>
      <c r="T4831" t="s">
        <v>12568</v>
      </c>
      <c r="U4831" t="s">
        <v>12568</v>
      </c>
      <c r="V4831" t="s">
        <v>12568</v>
      </c>
      <c r="W4831" t="s">
        <v>17350</v>
      </c>
      <c r="X4831">
        <v>9</v>
      </c>
      <c r="Y4831" t="s">
        <v>23455</v>
      </c>
      <c r="Z4831" t="s">
        <v>29701</v>
      </c>
      <c r="AA4831">
        <v>0.60610416241948506</v>
      </c>
      <c r="AB4831" t="str">
        <f>HYPERLINK("Melting_Curves/meltCurve_Q96QZ7_7_MAGI1.pdf", "Melting_Curves/meltCurve_Q96QZ7_7_MAGI1.pdf")</f>
        <v>Melting_Curves/meltCurve_Q96QZ7_7_MAGI1.pdf</v>
      </c>
    </row>
    <row r="4832" spans="1:28" x14ac:dyDescent="0.25">
      <c r="A4832" t="s">
        <v>4836</v>
      </c>
      <c r="B4832">
        <v>0.99352677808782597</v>
      </c>
      <c r="C4832">
        <v>0.98367831913021897</v>
      </c>
      <c r="D4832">
        <v>0.86741982041238397</v>
      </c>
      <c r="E4832">
        <v>0.579711983326478</v>
      </c>
      <c r="F4832">
        <v>0.468484909360598</v>
      </c>
      <c r="G4832">
        <v>0.34013978048476901</v>
      </c>
      <c r="H4832">
        <v>0.23768852433885099</v>
      </c>
      <c r="I4832">
        <v>0.22995287661657501</v>
      </c>
      <c r="J4832">
        <v>0.20812930247809799</v>
      </c>
      <c r="K4832">
        <v>0.17478484459885901</v>
      </c>
      <c r="L4832">
        <v>772.28415548684404</v>
      </c>
      <c r="M4832">
        <v>15.294318891888</v>
      </c>
      <c r="N4832">
        <v>52.112848741759301</v>
      </c>
      <c r="O4832">
        <v>49.655197702557601</v>
      </c>
      <c r="P4832">
        <v>-6.2453701348522503E-2</v>
      </c>
      <c r="Q4832">
        <v>0.18901636591596199</v>
      </c>
      <c r="R4832">
        <v>0.99437824500391003</v>
      </c>
      <c r="S4832" t="s">
        <v>11117</v>
      </c>
      <c r="T4832" t="s">
        <v>12568</v>
      </c>
      <c r="U4832" t="s">
        <v>12568</v>
      </c>
      <c r="V4832" t="s">
        <v>12568</v>
      </c>
      <c r="W4832" t="s">
        <v>17351</v>
      </c>
      <c r="X4832">
        <v>19</v>
      </c>
      <c r="Y4832" t="s">
        <v>23456</v>
      </c>
      <c r="Z4832" t="s">
        <v>29702</v>
      </c>
      <c r="AA4832">
        <v>0.49113194678826932</v>
      </c>
      <c r="AB4832" t="str">
        <f>HYPERLINK("Melting_Curves/meltCurve_Q96R06_SPAG5.pdf", "Melting_Curves/meltCurve_Q96R06_SPAG5.pdf")</f>
        <v>Melting_Curves/meltCurve_Q96R06_SPAG5.pdf</v>
      </c>
    </row>
    <row r="4833" spans="1:28" x14ac:dyDescent="0.25">
      <c r="A4833" t="s">
        <v>4837</v>
      </c>
      <c r="B4833">
        <v>0.99352677808782597</v>
      </c>
      <c r="C4833">
        <v>0.96612686066951603</v>
      </c>
      <c r="D4833">
        <v>0.93761924751498904</v>
      </c>
      <c r="E4833">
        <v>0.76573841713538104</v>
      </c>
      <c r="F4833">
        <v>0.66343557923795105</v>
      </c>
      <c r="G4833">
        <v>0.47496034029251399</v>
      </c>
      <c r="H4833">
        <v>0.34690087389678098</v>
      </c>
      <c r="I4833">
        <v>0.315839918089178</v>
      </c>
      <c r="J4833">
        <v>0.28137243194858302</v>
      </c>
      <c r="K4833">
        <v>0.17205106818987301</v>
      </c>
      <c r="L4833">
        <v>612.59375535463198</v>
      </c>
      <c r="M4833">
        <v>11.155531835435101</v>
      </c>
      <c r="N4833">
        <v>56.64603075894</v>
      </c>
      <c r="O4833">
        <v>53.237911584874503</v>
      </c>
      <c r="P4833">
        <v>-4.4829303932717897E-2</v>
      </c>
      <c r="Q4833">
        <v>0.14451197816658501</v>
      </c>
      <c r="R4833">
        <v>0.99407973513280101</v>
      </c>
      <c r="S4833" t="s">
        <v>11118</v>
      </c>
      <c r="T4833" t="s">
        <v>12568</v>
      </c>
      <c r="U4833" t="s">
        <v>12568</v>
      </c>
      <c r="V4833" t="s">
        <v>12568</v>
      </c>
      <c r="W4833" t="s">
        <v>17352</v>
      </c>
      <c r="X4833">
        <v>6</v>
      </c>
      <c r="Y4833" t="s">
        <v>23457</v>
      </c>
      <c r="Z4833" t="s">
        <v>29703</v>
      </c>
      <c r="AA4833">
        <v>0.59105992386747475</v>
      </c>
      <c r="AB4833" t="str">
        <f>HYPERLINK("Melting_Curves/meltCurve_Q96RE7_NACC1.pdf", "Melting_Curves/meltCurve_Q96RE7_NACC1.pdf")</f>
        <v>Melting_Curves/meltCurve_Q96RE7_NACC1.pdf</v>
      </c>
    </row>
    <row r="4834" spans="1:28" x14ac:dyDescent="0.25">
      <c r="A4834" t="s">
        <v>4838</v>
      </c>
      <c r="B4834">
        <v>0.99352677808782597</v>
      </c>
      <c r="C4834">
        <v>0.91744073221039402</v>
      </c>
      <c r="D4834">
        <v>0.94398453572780805</v>
      </c>
      <c r="E4834">
        <v>0.69058318169459398</v>
      </c>
      <c r="F4834">
        <v>0.58018929698835497</v>
      </c>
      <c r="G4834">
        <v>0.49315138750565402</v>
      </c>
      <c r="H4834">
        <v>0.43635507406803498</v>
      </c>
      <c r="I4834">
        <v>0.53237021027166298</v>
      </c>
      <c r="J4834">
        <v>0.489084022066895</v>
      </c>
      <c r="K4834">
        <v>0.41927565190742599</v>
      </c>
      <c r="L4834">
        <v>1036.7061391366699</v>
      </c>
      <c r="M4834">
        <v>20.942116389632901</v>
      </c>
      <c r="N4834">
        <v>56.6621419849874</v>
      </c>
      <c r="O4834">
        <v>49.058640219646001</v>
      </c>
      <c r="P4834">
        <v>-5.7147102019286397E-2</v>
      </c>
      <c r="Q4834">
        <v>0.464527083755708</v>
      </c>
      <c r="R4834">
        <v>0.96987692628773903</v>
      </c>
      <c r="S4834" t="s">
        <v>11119</v>
      </c>
      <c r="T4834" t="s">
        <v>12568</v>
      </c>
      <c r="U4834" t="s">
        <v>12568</v>
      </c>
      <c r="V4834" t="s">
        <v>12568</v>
      </c>
      <c r="W4834" t="s">
        <v>17353</v>
      </c>
      <c r="X4834">
        <v>3</v>
      </c>
      <c r="Y4834" t="s">
        <v>23458</v>
      </c>
      <c r="Z4834" t="s">
        <v>29704</v>
      </c>
      <c r="AA4834">
        <v>0.64097002218127719</v>
      </c>
      <c r="AB4834" t="str">
        <f>HYPERLINK("Melting_Curves/meltCurve_Q96RF0_3_SNX18.pdf", "Melting_Curves/meltCurve_Q96RF0_3_SNX18.pdf")</f>
        <v>Melting_Curves/meltCurve_Q96RF0_3_SNX18.pdf</v>
      </c>
    </row>
    <row r="4835" spans="1:28" x14ac:dyDescent="0.25">
      <c r="A4835" t="s">
        <v>4839</v>
      </c>
      <c r="B4835">
        <v>0.99352677808782597</v>
      </c>
      <c r="C4835">
        <v>1.05219203943352</v>
      </c>
      <c r="D4835">
        <v>0.91868508865907295</v>
      </c>
      <c r="E4835">
        <v>0.53858615017268097</v>
      </c>
      <c r="F4835">
        <v>0.43281192790636203</v>
      </c>
      <c r="G4835">
        <v>0.249475679476406</v>
      </c>
      <c r="H4835">
        <v>0.14889449064169299</v>
      </c>
      <c r="I4835">
        <v>0.244044243589983</v>
      </c>
      <c r="J4835">
        <v>0.16172945971222799</v>
      </c>
      <c r="K4835">
        <v>0.126337075903805</v>
      </c>
      <c r="L4835">
        <v>1030.4694289157101</v>
      </c>
      <c r="M4835">
        <v>20.516022681798301</v>
      </c>
      <c r="N4835">
        <v>51.248187373626898</v>
      </c>
      <c r="O4835">
        <v>49.757642018571801</v>
      </c>
      <c r="P4835">
        <v>-8.5795086705148904E-2</v>
      </c>
      <c r="Q4835">
        <v>0.16770698510049301</v>
      </c>
      <c r="R4835">
        <v>0.98219349341366602</v>
      </c>
      <c r="S4835" t="s">
        <v>11120</v>
      </c>
      <c r="T4835" t="s">
        <v>12568</v>
      </c>
      <c r="U4835" t="s">
        <v>12568</v>
      </c>
      <c r="V4835" t="s">
        <v>12568</v>
      </c>
      <c r="W4835" t="s">
        <v>17354</v>
      </c>
      <c r="X4835">
        <v>4</v>
      </c>
      <c r="Y4835" t="s">
        <v>23459</v>
      </c>
      <c r="Z4835" t="s">
        <v>29705</v>
      </c>
      <c r="AA4835">
        <v>0.46247039909653798</v>
      </c>
      <c r="AB4835" t="str">
        <f>HYPERLINK("Melting_Curves/meltCurve_Q96RG2_PASK.pdf", "Melting_Curves/meltCurve_Q96RG2_PASK.pdf")</f>
        <v>Melting_Curves/meltCurve_Q96RG2_PASK.pdf</v>
      </c>
    </row>
    <row r="4836" spans="1:28" x14ac:dyDescent="0.25">
      <c r="A4836" t="s">
        <v>4840</v>
      </c>
      <c r="B4836">
        <v>0.99352677808782597</v>
      </c>
      <c r="C4836">
        <v>0.91399691945417005</v>
      </c>
      <c r="D4836">
        <v>0.99798488769888505</v>
      </c>
      <c r="E4836">
        <v>0.86695413005418098</v>
      </c>
      <c r="F4836">
        <v>0.88497470665689704</v>
      </c>
      <c r="G4836">
        <v>0.75921560441999403</v>
      </c>
      <c r="H4836">
        <v>0.72491383309817004</v>
      </c>
      <c r="I4836">
        <v>0.73622678446053003</v>
      </c>
      <c r="J4836">
        <v>0.71223610302126905</v>
      </c>
      <c r="K4836">
        <v>0.48826735970355001</v>
      </c>
      <c r="L4836">
        <v>337.87643241914299</v>
      </c>
      <c r="M4836">
        <v>4.5124341104367698</v>
      </c>
      <c r="O4836">
        <v>63.684453766495899</v>
      </c>
      <c r="P4836">
        <v>-1.7867547054897501E-2</v>
      </c>
      <c r="Q4836">
        <v>0</v>
      </c>
      <c r="R4836">
        <v>0.87342259648674303</v>
      </c>
      <c r="S4836" t="s">
        <v>11121</v>
      </c>
      <c r="T4836" t="s">
        <v>12568</v>
      </c>
      <c r="U4836" t="s">
        <v>12568</v>
      </c>
      <c r="V4836" t="s">
        <v>12568</v>
      </c>
      <c r="W4836" t="s">
        <v>13296</v>
      </c>
      <c r="X4836">
        <v>13</v>
      </c>
      <c r="Y4836" t="s">
        <v>19521</v>
      </c>
      <c r="Z4836" t="s">
        <v>29706</v>
      </c>
      <c r="AA4836">
        <v>0.81607006897531953</v>
      </c>
      <c r="AB4836" t="str">
        <f>HYPERLINK("Melting_Curves/meltCurve_Q96RK0_CIC.pdf", "Melting_Curves/meltCurve_Q96RK0_CIC.pdf")</f>
        <v>Melting_Curves/meltCurve_Q96RK0_CIC.pdf</v>
      </c>
    </row>
    <row r="4837" spans="1:28" x14ac:dyDescent="0.25">
      <c r="A4837" t="s">
        <v>4841</v>
      </c>
      <c r="B4837">
        <v>0.99352677808782597</v>
      </c>
      <c r="C4837">
        <v>0.97719379584711197</v>
      </c>
      <c r="D4837">
        <v>0.97526563527059495</v>
      </c>
      <c r="E4837">
        <v>0.90956860946955698</v>
      </c>
      <c r="F4837">
        <v>0.79349609486738004</v>
      </c>
      <c r="G4837">
        <v>0.74082184644204596</v>
      </c>
      <c r="H4837">
        <v>0.61014914348036398</v>
      </c>
      <c r="I4837">
        <v>0.68233735201989099</v>
      </c>
      <c r="J4837">
        <v>0.73241316751313901</v>
      </c>
      <c r="K4837">
        <v>0.643691818791852</v>
      </c>
      <c r="L4837">
        <v>1123.7523168666701</v>
      </c>
      <c r="M4837">
        <v>21.5890121833331</v>
      </c>
      <c r="O4837">
        <v>51.611617093831001</v>
      </c>
      <c r="P4837">
        <v>-3.4788999013614701E-2</v>
      </c>
      <c r="Q4837">
        <v>0.66733571126521196</v>
      </c>
      <c r="R4837">
        <v>0.94310674652493598</v>
      </c>
      <c r="S4837" t="s">
        <v>11122</v>
      </c>
      <c r="T4837" t="s">
        <v>12568</v>
      </c>
      <c r="U4837" t="s">
        <v>12568</v>
      </c>
      <c r="V4837" t="s">
        <v>12568</v>
      </c>
      <c r="W4837" t="s">
        <v>17355</v>
      </c>
      <c r="X4837">
        <v>11</v>
      </c>
      <c r="Y4837" t="s">
        <v>23460</v>
      </c>
      <c r="Z4837" t="s">
        <v>29707</v>
      </c>
      <c r="AA4837">
        <v>0.80498470929911881</v>
      </c>
      <c r="AB4837" t="str">
        <f>HYPERLINK("Melting_Curves/meltCurve_Q96RL1_UIMC1.pdf", "Melting_Curves/meltCurve_Q96RL1_UIMC1.pdf")</f>
        <v>Melting_Curves/meltCurve_Q96RL1_UIMC1.pdf</v>
      </c>
    </row>
    <row r="4838" spans="1:28" x14ac:dyDescent="0.25">
      <c r="A4838" t="s">
        <v>4842</v>
      </c>
      <c r="B4838">
        <v>0.99352677808782597</v>
      </c>
      <c r="C4838">
        <v>0.94497603238082295</v>
      </c>
      <c r="D4838">
        <v>0.97083853243289997</v>
      </c>
      <c r="E4838">
        <v>0.81926282092649905</v>
      </c>
      <c r="F4838">
        <v>0.69192526060265702</v>
      </c>
      <c r="G4838">
        <v>0.54645870038928201</v>
      </c>
      <c r="H4838">
        <v>0.42525630889750698</v>
      </c>
      <c r="I4838">
        <v>0.394641743276063</v>
      </c>
      <c r="J4838">
        <v>0.41971399932450498</v>
      </c>
      <c r="K4838">
        <v>0.38988137759243202</v>
      </c>
      <c r="L4838">
        <v>837.87191212119001</v>
      </c>
      <c r="M4838">
        <v>15.7888817958786</v>
      </c>
      <c r="N4838">
        <v>58.141248271438201</v>
      </c>
      <c r="O4838">
        <v>52.237804837083601</v>
      </c>
      <c r="P4838">
        <v>-4.7310022035540501E-2</v>
      </c>
      <c r="Q4838">
        <v>0.37394743132463598</v>
      </c>
      <c r="R4838">
        <v>0.99365271669024302</v>
      </c>
      <c r="S4838" t="s">
        <v>11123</v>
      </c>
      <c r="T4838" t="s">
        <v>12568</v>
      </c>
      <c r="U4838" t="s">
        <v>12568</v>
      </c>
      <c r="V4838" t="s">
        <v>12568</v>
      </c>
      <c r="W4838" t="s">
        <v>17356</v>
      </c>
      <c r="X4838">
        <v>7</v>
      </c>
      <c r="Y4838" t="s">
        <v>23461</v>
      </c>
      <c r="Z4838" t="s">
        <v>29708</v>
      </c>
      <c r="AA4838">
        <v>0.65913419209798463</v>
      </c>
      <c r="AB4838" t="str">
        <f>HYPERLINK("Melting_Curves/meltCurve_Q96RN5_3_MED15.pdf", "Melting_Curves/meltCurve_Q96RN5_3_MED15.pdf")</f>
        <v>Melting_Curves/meltCurve_Q96RN5_3_MED15.pdf</v>
      </c>
    </row>
    <row r="4839" spans="1:28" x14ac:dyDescent="0.25">
      <c r="A4839" t="s">
        <v>4843</v>
      </c>
      <c r="B4839">
        <v>0.99352677808782597</v>
      </c>
      <c r="C4839">
        <v>0.90144226260480298</v>
      </c>
      <c r="D4839">
        <v>0.856076283401072</v>
      </c>
      <c r="E4839">
        <v>0.26132595888267901</v>
      </c>
      <c r="F4839">
        <v>0.19311345374261299</v>
      </c>
      <c r="G4839">
        <v>0.11810120601792</v>
      </c>
      <c r="H4839">
        <v>8.0847151568965506E-2</v>
      </c>
      <c r="I4839">
        <v>7.59192085652967E-2</v>
      </c>
      <c r="J4839">
        <v>6.2467191475819001E-2</v>
      </c>
      <c r="K4839">
        <v>4.6820830489072901E-2</v>
      </c>
      <c r="L4839">
        <v>1469.42773976187</v>
      </c>
      <c r="M4839">
        <v>30.537075197562999</v>
      </c>
      <c r="N4839">
        <v>48.399525677677701</v>
      </c>
      <c r="O4839">
        <v>47.914525997955103</v>
      </c>
      <c r="P4839">
        <v>-0.14642853676002299</v>
      </c>
      <c r="Q4839">
        <v>8.0984588832398105E-2</v>
      </c>
      <c r="R4839">
        <v>0.98917760824379197</v>
      </c>
      <c r="S4839" t="s">
        <v>11124</v>
      </c>
      <c r="T4839" t="s">
        <v>12568</v>
      </c>
      <c r="U4839" t="s">
        <v>12568</v>
      </c>
      <c r="V4839" t="s">
        <v>12568</v>
      </c>
      <c r="W4839" t="s">
        <v>17357</v>
      </c>
      <c r="X4839">
        <v>21</v>
      </c>
      <c r="Y4839" t="s">
        <v>23462</v>
      </c>
      <c r="Z4839" t="s">
        <v>29709</v>
      </c>
      <c r="AA4839">
        <v>0.33505155210671322</v>
      </c>
      <c r="AB4839" t="str">
        <f>HYPERLINK("Melting_Curves/meltCurve_Q96RP9_GFM1.pdf", "Melting_Curves/meltCurve_Q96RP9_GFM1.pdf")</f>
        <v>Melting_Curves/meltCurve_Q96RP9_GFM1.pdf</v>
      </c>
    </row>
    <row r="4840" spans="1:28" x14ac:dyDescent="0.25">
      <c r="A4840" t="s">
        <v>4844</v>
      </c>
      <c r="B4840">
        <v>0.99352677808782597</v>
      </c>
      <c r="C4840">
        <v>1.0877628732537299</v>
      </c>
      <c r="D4840">
        <v>0.77770407367336403</v>
      </c>
      <c r="E4840">
        <v>0.910655323605017</v>
      </c>
      <c r="F4840">
        <v>0.84708860357002902</v>
      </c>
      <c r="G4840">
        <v>0.79486636375728204</v>
      </c>
      <c r="H4840">
        <v>0.74054079006866003</v>
      </c>
      <c r="I4840">
        <v>0.82699133759283205</v>
      </c>
      <c r="J4840">
        <v>1.1220973602715401</v>
      </c>
      <c r="K4840">
        <v>0.71893856275118495</v>
      </c>
      <c r="L4840">
        <v>11106.185233179</v>
      </c>
      <c r="M4840">
        <v>250</v>
      </c>
      <c r="O4840">
        <v>44.421898058613799</v>
      </c>
      <c r="P4840">
        <v>-0.22179433190209999</v>
      </c>
      <c r="Q4840">
        <v>0.84235959700904595</v>
      </c>
      <c r="R4840">
        <v>0.32644304200377</v>
      </c>
      <c r="S4840" t="s">
        <v>11125</v>
      </c>
      <c r="T4840" t="s">
        <v>12568</v>
      </c>
      <c r="U4840" t="s">
        <v>12568</v>
      </c>
      <c r="V4840" t="s">
        <v>12568</v>
      </c>
      <c r="W4840" t="s">
        <v>17358</v>
      </c>
      <c r="X4840">
        <v>1</v>
      </c>
      <c r="Y4840" t="s">
        <v>23463</v>
      </c>
      <c r="Z4840" t="s">
        <v>29710</v>
      </c>
      <c r="AA4840">
        <v>0.86562248552579912</v>
      </c>
      <c r="AB4840" t="str">
        <f>HYPERLINK("Melting_Curves/meltCurve_Q96RR1_PEO1.pdf", "Melting_Curves/meltCurve_Q96RR1_PEO1.pdf")</f>
        <v>Melting_Curves/meltCurve_Q96RR1_PEO1.pdf</v>
      </c>
    </row>
    <row r="4841" spans="1:28" x14ac:dyDescent="0.25">
      <c r="A4841" t="s">
        <v>4845</v>
      </c>
      <c r="B4841">
        <v>0.99352677808782597</v>
      </c>
      <c r="C4841">
        <v>0.81994994733072502</v>
      </c>
      <c r="D4841">
        <v>0.61235294111230498</v>
      </c>
      <c r="E4841">
        <v>0.47459783166402902</v>
      </c>
      <c r="F4841">
        <v>0.41417395195291801</v>
      </c>
      <c r="G4841">
        <v>0.34399826640161302</v>
      </c>
      <c r="H4841">
        <v>0.30212169973224801</v>
      </c>
      <c r="I4841">
        <v>0.34398541429680701</v>
      </c>
      <c r="J4841">
        <v>0.29386394024081403</v>
      </c>
      <c r="K4841">
        <v>0.31251467528721999</v>
      </c>
      <c r="L4841">
        <v>737.368614731614</v>
      </c>
      <c r="M4841">
        <v>16.094082531531299</v>
      </c>
      <c r="N4841">
        <v>48.817119329717997</v>
      </c>
      <c r="O4841">
        <v>45.126272244087303</v>
      </c>
      <c r="P4841">
        <v>-6.1160976596427198E-2</v>
      </c>
      <c r="Q4841">
        <v>0.31409416100233101</v>
      </c>
      <c r="R4841">
        <v>0.98661963926449203</v>
      </c>
      <c r="S4841" t="s">
        <v>11126</v>
      </c>
      <c r="T4841" t="s">
        <v>12568</v>
      </c>
      <c r="U4841" t="s">
        <v>12568</v>
      </c>
      <c r="V4841" t="s">
        <v>12568</v>
      </c>
      <c r="W4841" t="s">
        <v>17359</v>
      </c>
      <c r="X4841">
        <v>6</v>
      </c>
      <c r="Y4841" t="s">
        <v>23464</v>
      </c>
      <c r="Z4841" t="s">
        <v>29711</v>
      </c>
      <c r="AA4841">
        <v>0.46457476480221688</v>
      </c>
      <c r="AB4841" t="str">
        <f>HYPERLINK("Melting_Curves/meltCurve_Q96RR4_2_CAMKK2.pdf", "Melting_Curves/meltCurve_Q96RR4_2_CAMKK2.pdf")</f>
        <v>Melting_Curves/meltCurve_Q96RR4_2_CAMKK2.pdf</v>
      </c>
    </row>
    <row r="4842" spans="1:28" x14ac:dyDescent="0.25">
      <c r="A4842" t="s">
        <v>4846</v>
      </c>
      <c r="B4842">
        <v>0.99352677808782597</v>
      </c>
      <c r="C4842">
        <v>0.83082664919990601</v>
      </c>
      <c r="D4842">
        <v>0.60981164939631705</v>
      </c>
      <c r="E4842">
        <v>0.31973806537594901</v>
      </c>
      <c r="F4842">
        <v>0.22851654007501601</v>
      </c>
      <c r="G4842">
        <v>0.13472148888199001</v>
      </c>
      <c r="H4842">
        <v>6.2811956522099699E-2</v>
      </c>
      <c r="I4842">
        <v>5.37974261323984E-2</v>
      </c>
      <c r="J4842">
        <v>5.2498117000143403E-2</v>
      </c>
      <c r="K4842">
        <v>4.6414663993333903E-2</v>
      </c>
      <c r="L4842">
        <v>722.96210745046699</v>
      </c>
      <c r="M4842">
        <v>15.2865587103895</v>
      </c>
      <c r="N4842">
        <v>47.592195108736902</v>
      </c>
      <c r="O4842">
        <v>46.506797595987699</v>
      </c>
      <c r="P4842">
        <v>-7.8428142670340803E-2</v>
      </c>
      <c r="Q4842">
        <v>4.56718380630401E-2</v>
      </c>
      <c r="R4842">
        <v>0.99597602524762896</v>
      </c>
      <c r="S4842" t="s">
        <v>11127</v>
      </c>
      <c r="T4842" t="s">
        <v>12568</v>
      </c>
      <c r="U4842" t="s">
        <v>12568</v>
      </c>
      <c r="V4842" t="s">
        <v>12568</v>
      </c>
      <c r="W4842" t="s">
        <v>17360</v>
      </c>
      <c r="X4842">
        <v>2</v>
      </c>
      <c r="Y4842" t="s">
        <v>23465</v>
      </c>
      <c r="Z4842" t="s">
        <v>29712</v>
      </c>
      <c r="AA4842">
        <v>0.30220963159262543</v>
      </c>
      <c r="AB4842" t="str">
        <f>HYPERLINK("Melting_Curves/meltCurve_Q96RS0_TGS1.pdf", "Melting_Curves/meltCurve_Q96RS0_TGS1.pdf")</f>
        <v>Melting_Curves/meltCurve_Q96RS0_TGS1.pdf</v>
      </c>
    </row>
    <row r="4843" spans="1:28" x14ac:dyDescent="0.25">
      <c r="A4843" t="s">
        <v>4847</v>
      </c>
      <c r="B4843">
        <v>0.99352677808782597</v>
      </c>
      <c r="C4843">
        <v>1.02162202788207</v>
      </c>
      <c r="D4843">
        <v>1.0564278682445301</v>
      </c>
      <c r="E4843">
        <v>1.0898463132217899</v>
      </c>
      <c r="F4843">
        <v>0.99234453630198605</v>
      </c>
      <c r="G4843">
        <v>0.57818064842619898</v>
      </c>
      <c r="H4843">
        <v>0.190523505437352</v>
      </c>
      <c r="I4843">
        <v>0.15316232009358</v>
      </c>
      <c r="J4843">
        <v>0.12897961009024</v>
      </c>
      <c r="K4843">
        <v>0.10101839169078899</v>
      </c>
      <c r="L4843">
        <v>2558.5337131750298</v>
      </c>
      <c r="M4843">
        <v>44.794148851583302</v>
      </c>
      <c r="N4843">
        <v>57.499330178543602</v>
      </c>
      <c r="O4843">
        <v>57.004099131193101</v>
      </c>
      <c r="P4843">
        <v>-0.17118334673980801</v>
      </c>
      <c r="Q4843">
        <v>0.12862371404994599</v>
      </c>
      <c r="R4843">
        <v>0.99223388496791098</v>
      </c>
      <c r="S4843" t="s">
        <v>11128</v>
      </c>
      <c r="T4843" t="s">
        <v>12568</v>
      </c>
      <c r="U4843" t="s">
        <v>12568</v>
      </c>
      <c r="V4843" t="s">
        <v>12568</v>
      </c>
      <c r="W4843" t="s">
        <v>17361</v>
      </c>
      <c r="X4843">
        <v>18</v>
      </c>
      <c r="Y4843" t="s">
        <v>23466</v>
      </c>
      <c r="Z4843" t="s">
        <v>29713</v>
      </c>
      <c r="AA4843">
        <v>0.62854270684006763</v>
      </c>
      <c r="AB4843" t="str">
        <f>HYPERLINK("Melting_Curves/meltCurve_Q96RS6_NUDCD1.pdf", "Melting_Curves/meltCurve_Q96RS6_NUDCD1.pdf")</f>
        <v>Melting_Curves/meltCurve_Q96RS6_NUDCD1.pdf</v>
      </c>
    </row>
    <row r="4844" spans="1:28" x14ac:dyDescent="0.25">
      <c r="A4844" t="s">
        <v>4848</v>
      </c>
      <c r="B4844">
        <v>0.99352677808782597</v>
      </c>
      <c r="C4844">
        <v>0.96955854045126499</v>
      </c>
      <c r="D4844">
        <v>0.95356421570679395</v>
      </c>
      <c r="E4844">
        <v>0.80223617885920295</v>
      </c>
      <c r="F4844">
        <v>0.74549229627630997</v>
      </c>
      <c r="G4844">
        <v>0.58528800929163005</v>
      </c>
      <c r="H4844">
        <v>0.495785884524089</v>
      </c>
      <c r="I4844">
        <v>0.51268114249496</v>
      </c>
      <c r="J4844">
        <v>0.50139088707809498</v>
      </c>
      <c r="K4844">
        <v>0.42705109470054198</v>
      </c>
      <c r="L4844">
        <v>714.28608455649703</v>
      </c>
      <c r="M4844">
        <v>13.4726595603052</v>
      </c>
      <c r="N4844">
        <v>62.730759315795503</v>
      </c>
      <c r="O4844">
        <v>51.890278841294197</v>
      </c>
      <c r="P4844">
        <v>-3.6490126484292097E-2</v>
      </c>
      <c r="Q4844">
        <v>0.43791593652044303</v>
      </c>
      <c r="R4844">
        <v>0.988761936115788</v>
      </c>
      <c r="S4844" t="s">
        <v>11129</v>
      </c>
      <c r="T4844" t="s">
        <v>12568</v>
      </c>
      <c r="U4844" t="s">
        <v>12568</v>
      </c>
      <c r="V4844" t="s">
        <v>12568</v>
      </c>
      <c r="W4844" t="s">
        <v>17362</v>
      </c>
      <c r="X4844">
        <v>15</v>
      </c>
      <c r="Y4844" t="s">
        <v>23467</v>
      </c>
      <c r="Z4844" t="s">
        <v>29714</v>
      </c>
      <c r="AA4844">
        <v>0.6957449942848013</v>
      </c>
      <c r="AB4844" t="str">
        <f>HYPERLINK("Melting_Curves/meltCurve_Q96RT1_9_ERBB2IP.pdf", "Melting_Curves/meltCurve_Q96RT1_9_ERBB2IP.pdf")</f>
        <v>Melting_Curves/meltCurve_Q96RT1_9_ERBB2IP.pdf</v>
      </c>
    </row>
    <row r="4845" spans="1:28" x14ac:dyDescent="0.25">
      <c r="A4845" t="s">
        <v>4849</v>
      </c>
      <c r="B4845">
        <v>0.99352677808782597</v>
      </c>
      <c r="C4845">
        <v>0.94515640623018604</v>
      </c>
      <c r="D4845">
        <v>0.97737781556825198</v>
      </c>
      <c r="E4845">
        <v>0.79608811747556296</v>
      </c>
      <c r="F4845">
        <v>0.80083820403366102</v>
      </c>
      <c r="G4845">
        <v>0.52164843457643995</v>
      </c>
      <c r="H4845">
        <v>0.57382836963491701</v>
      </c>
      <c r="I4845">
        <v>0.428038565148113</v>
      </c>
      <c r="J4845">
        <v>0.44249978999831302</v>
      </c>
      <c r="K4845">
        <v>0.30737112917805198</v>
      </c>
      <c r="L4845">
        <v>536.44842207452098</v>
      </c>
      <c r="M4845">
        <v>9.4459896938599996</v>
      </c>
      <c r="N4845">
        <v>61.223945703758197</v>
      </c>
      <c r="O4845">
        <v>54.420428363521502</v>
      </c>
      <c r="P4845">
        <v>-3.2665473741461802E-2</v>
      </c>
      <c r="Q4845">
        <v>0.247682772845045</v>
      </c>
      <c r="R4845">
        <v>0.95399955463854402</v>
      </c>
      <c r="S4845" t="s">
        <v>11130</v>
      </c>
      <c r="T4845" t="s">
        <v>12568</v>
      </c>
      <c r="U4845" t="s">
        <v>12568</v>
      </c>
      <c r="V4845" t="s">
        <v>12568</v>
      </c>
      <c r="W4845" t="s">
        <v>17363</v>
      </c>
      <c r="X4845">
        <v>3</v>
      </c>
      <c r="Y4845" t="s">
        <v>23468</v>
      </c>
      <c r="Z4845" t="s">
        <v>29715</v>
      </c>
      <c r="AA4845">
        <v>0.68107958590722939</v>
      </c>
      <c r="AB4845" t="str">
        <f>HYPERLINK("Melting_Curves/meltCurve_Q96RT7_2_TUBGCP6.pdf", "Melting_Curves/meltCurve_Q96RT7_2_TUBGCP6.pdf")</f>
        <v>Melting_Curves/meltCurve_Q96RT7_2_TUBGCP6.pdf</v>
      </c>
    </row>
    <row r="4846" spans="1:28" x14ac:dyDescent="0.25">
      <c r="A4846" t="s">
        <v>4850</v>
      </c>
      <c r="B4846">
        <v>0.99352677808782597</v>
      </c>
      <c r="C4846">
        <v>1.0640565727659199</v>
      </c>
      <c r="D4846">
        <v>0.82884850185096703</v>
      </c>
      <c r="E4846">
        <v>0.43494926286790903</v>
      </c>
      <c r="F4846">
        <v>0.34771315089037202</v>
      </c>
      <c r="G4846">
        <v>0.22314749623102001</v>
      </c>
      <c r="H4846">
        <v>0.165703937703511</v>
      </c>
      <c r="I4846">
        <v>0.156334973671933</v>
      </c>
      <c r="J4846">
        <v>0.14565102838442101</v>
      </c>
      <c r="K4846">
        <v>0.115374343057759</v>
      </c>
      <c r="L4846">
        <v>1070.89463080211</v>
      </c>
      <c r="M4846">
        <v>21.855486630944998</v>
      </c>
      <c r="N4846">
        <v>49.835648127181798</v>
      </c>
      <c r="O4846">
        <v>48.594212593628598</v>
      </c>
      <c r="P4846">
        <v>-9.5172485888174299E-2</v>
      </c>
      <c r="Q4846">
        <v>0.153580886567593</v>
      </c>
      <c r="R4846">
        <v>0.98503731938823202</v>
      </c>
      <c r="S4846" t="s">
        <v>11131</v>
      </c>
      <c r="T4846" t="s">
        <v>12568</v>
      </c>
      <c r="U4846" t="s">
        <v>12568</v>
      </c>
      <c r="V4846" t="s">
        <v>12568</v>
      </c>
      <c r="W4846" t="s">
        <v>17364</v>
      </c>
      <c r="X4846">
        <v>8</v>
      </c>
      <c r="Y4846" t="s">
        <v>23469</v>
      </c>
      <c r="Z4846" t="s">
        <v>29716</v>
      </c>
      <c r="AA4846">
        <v>0.41736602315734311</v>
      </c>
      <c r="AB4846" t="str">
        <f>HYPERLINK("Melting_Curves/meltCurve_Q96RU2_2_USP28.pdf", "Melting_Curves/meltCurve_Q96RU2_2_USP28.pdf")</f>
        <v>Melting_Curves/meltCurve_Q96RU2_2_USP28.pdf</v>
      </c>
    </row>
    <row r="4847" spans="1:28" x14ac:dyDescent="0.25">
      <c r="A4847" t="s">
        <v>4851</v>
      </c>
      <c r="B4847">
        <v>0.99352677808782597</v>
      </c>
      <c r="C4847">
        <v>0.95236500182774597</v>
      </c>
      <c r="D4847">
        <v>0.84661189803984505</v>
      </c>
      <c r="E4847">
        <v>0.51139321909510305</v>
      </c>
      <c r="F4847">
        <v>0.45326404075697901</v>
      </c>
      <c r="G4847">
        <v>0.340621423708172</v>
      </c>
      <c r="H4847">
        <v>0.25616380603286798</v>
      </c>
      <c r="I4847">
        <v>0.25138302752102898</v>
      </c>
      <c r="J4847">
        <v>0.21188401876076801</v>
      </c>
      <c r="K4847">
        <v>0.18396798500327999</v>
      </c>
      <c r="L4847">
        <v>762.34451092971597</v>
      </c>
      <c r="M4847">
        <v>15.3780904329463</v>
      </c>
      <c r="N4847">
        <v>51.396999206002597</v>
      </c>
      <c r="O4847">
        <v>48.757813358735802</v>
      </c>
      <c r="P4847">
        <v>-6.22764407410593E-2</v>
      </c>
      <c r="Q4847">
        <v>0.21025700698778599</v>
      </c>
      <c r="R4847">
        <v>0.98895277598567999</v>
      </c>
      <c r="S4847" t="s">
        <v>11132</v>
      </c>
      <c r="T4847" t="s">
        <v>12568</v>
      </c>
      <c r="U4847" t="s">
        <v>12568</v>
      </c>
      <c r="V4847" t="s">
        <v>12568</v>
      </c>
      <c r="W4847" t="s">
        <v>17365</v>
      </c>
      <c r="X4847">
        <v>14</v>
      </c>
      <c r="Y4847" t="s">
        <v>23470</v>
      </c>
      <c r="Z4847" t="s">
        <v>29717</v>
      </c>
      <c r="AA4847">
        <v>0.48052427122594521</v>
      </c>
      <c r="AB4847" t="str">
        <f>HYPERLINK("Melting_Curves/meltCurve_Q96RU3_2_FNBP1.pdf", "Melting_Curves/meltCurve_Q96RU3_2_FNBP1.pdf")</f>
        <v>Melting_Curves/meltCurve_Q96RU3_2_FNBP1.pdf</v>
      </c>
    </row>
    <row r="4848" spans="1:28" x14ac:dyDescent="0.25">
      <c r="A4848" t="s">
        <v>4852</v>
      </c>
      <c r="B4848">
        <v>0.99352677808782597</v>
      </c>
      <c r="C4848">
        <v>0.94051171616625096</v>
      </c>
      <c r="D4848">
        <v>0.89580098051662205</v>
      </c>
      <c r="E4848">
        <v>0.83335477870198005</v>
      </c>
      <c r="F4848">
        <v>0.76408921717199096</v>
      </c>
      <c r="G4848">
        <v>0.67404447538710199</v>
      </c>
      <c r="H4848">
        <v>1.1646481511189</v>
      </c>
      <c r="I4848">
        <v>1.3269250128580301</v>
      </c>
      <c r="J4848">
        <v>1.91716993913207</v>
      </c>
      <c r="K4848">
        <v>2.2119640942360799</v>
      </c>
      <c r="L4848">
        <v>3860.2779409368</v>
      </c>
      <c r="M4848">
        <v>62.112992222643697</v>
      </c>
      <c r="O4848">
        <v>62.084957899084799</v>
      </c>
      <c r="P4848">
        <v>0.125056488200365</v>
      </c>
      <c r="Q4848">
        <v>1.5</v>
      </c>
      <c r="R4848">
        <v>0.61556068261601804</v>
      </c>
      <c r="S4848" t="s">
        <v>11133</v>
      </c>
      <c r="T4848" t="s">
        <v>12568</v>
      </c>
      <c r="U4848" t="s">
        <v>12568</v>
      </c>
      <c r="V4848" t="s">
        <v>12568</v>
      </c>
      <c r="W4848" t="s">
        <v>17366</v>
      </c>
      <c r="X4848">
        <v>2</v>
      </c>
      <c r="Y4848" t="s">
        <v>23471</v>
      </c>
      <c r="Z4848" t="s">
        <v>29718</v>
      </c>
      <c r="AA4848">
        <v>1.1299795232744509</v>
      </c>
      <c r="AB4848" t="str">
        <f>HYPERLINK("Melting_Curves/meltCurve_Q96RW7_2_HMCN1.pdf", "Melting_Curves/meltCurve_Q96RW7_2_HMCN1.pdf")</f>
        <v>Melting_Curves/meltCurve_Q96RW7_2_HMCN1.pdf</v>
      </c>
    </row>
    <row r="4849" spans="1:28" x14ac:dyDescent="0.25">
      <c r="A4849" t="s">
        <v>4853</v>
      </c>
      <c r="B4849">
        <v>0.99352677808782597</v>
      </c>
      <c r="C4849">
        <v>0.93617604595662496</v>
      </c>
      <c r="D4849">
        <v>0.958771795204301</v>
      </c>
      <c r="E4849">
        <v>0.89810555559349003</v>
      </c>
      <c r="F4849">
        <v>0.62212530488853901</v>
      </c>
      <c r="G4849">
        <v>0.50166786289279497</v>
      </c>
      <c r="H4849">
        <v>0.40543152861732901</v>
      </c>
      <c r="I4849">
        <v>0.26727794982639103</v>
      </c>
      <c r="J4849">
        <v>0.222718958594433</v>
      </c>
      <c r="K4849">
        <v>0.34286592383936498</v>
      </c>
      <c r="L4849">
        <v>891.54525198375995</v>
      </c>
      <c r="M4849">
        <v>16.5319502517352</v>
      </c>
      <c r="N4849">
        <v>56.466676503842599</v>
      </c>
      <c r="O4849">
        <v>53.158065863102102</v>
      </c>
      <c r="P4849">
        <v>-5.7369070085981001E-2</v>
      </c>
      <c r="Q4849">
        <v>0.26217573042230602</v>
      </c>
      <c r="R4849">
        <v>0.97212932677047303</v>
      </c>
      <c r="S4849" t="s">
        <v>11134</v>
      </c>
      <c r="T4849" t="s">
        <v>12568</v>
      </c>
      <c r="U4849" t="s">
        <v>12568</v>
      </c>
      <c r="V4849" t="s">
        <v>12568</v>
      </c>
      <c r="W4849" t="s">
        <v>17367</v>
      </c>
      <c r="X4849">
        <v>1</v>
      </c>
      <c r="Y4849" t="s">
        <v>23472</v>
      </c>
      <c r="Z4849" t="s">
        <v>29719</v>
      </c>
      <c r="AA4849">
        <v>0.61810663532016463</v>
      </c>
      <c r="AB4849" t="str">
        <f>HYPERLINK("Melting_Curves/meltCurve_Q96RY5_CRAMP1L.pdf", "Melting_Curves/meltCurve_Q96RY5_CRAMP1L.pdf")</f>
        <v>Melting_Curves/meltCurve_Q96RY5_CRAMP1L.pdf</v>
      </c>
    </row>
    <row r="4850" spans="1:28" x14ac:dyDescent="0.25">
      <c r="A4850" t="s">
        <v>4854</v>
      </c>
      <c r="B4850">
        <v>0.99352677808782597</v>
      </c>
      <c r="C4850">
        <v>0.87916062083294</v>
      </c>
      <c r="D4850">
        <v>0.85566672490526496</v>
      </c>
      <c r="E4850">
        <v>0.64128964131555399</v>
      </c>
      <c r="F4850">
        <v>0.40993560321815797</v>
      </c>
      <c r="G4850">
        <v>0.38366459828877097</v>
      </c>
      <c r="H4850">
        <v>0.242499407431118</v>
      </c>
      <c r="I4850">
        <v>0.21393952501087801</v>
      </c>
      <c r="J4850">
        <v>0.26114949563811202</v>
      </c>
      <c r="K4850">
        <v>0.231999885479761</v>
      </c>
      <c r="L4850">
        <v>715.46399583093296</v>
      </c>
      <c r="M4850">
        <v>14.262655222700101</v>
      </c>
      <c r="N4850">
        <v>52.177155000617098</v>
      </c>
      <c r="O4850">
        <v>49.208219150359298</v>
      </c>
      <c r="P4850">
        <v>-5.7131051787269099E-2</v>
      </c>
      <c r="Q4850">
        <v>0.21165553426804501</v>
      </c>
      <c r="R4850">
        <v>0.98472969683216205</v>
      </c>
      <c r="S4850" t="s">
        <v>11135</v>
      </c>
      <c r="T4850" t="s">
        <v>12568</v>
      </c>
      <c r="U4850" t="s">
        <v>12568</v>
      </c>
      <c r="V4850" t="s">
        <v>12568</v>
      </c>
      <c r="W4850" t="s">
        <v>17368</v>
      </c>
      <c r="X4850">
        <v>2</v>
      </c>
      <c r="Y4850" t="s">
        <v>23473</v>
      </c>
      <c r="Z4850" t="s">
        <v>29720</v>
      </c>
      <c r="AA4850">
        <v>0.49913797843259861</v>
      </c>
      <c r="AB4850" t="str">
        <f>HYPERLINK("Melting_Curves/meltCurve_Q96RY7_IFT140.pdf", "Melting_Curves/meltCurve_Q96RY7_IFT140.pdf")</f>
        <v>Melting_Curves/meltCurve_Q96RY7_IFT140.pdf</v>
      </c>
    </row>
    <row r="4851" spans="1:28" x14ac:dyDescent="0.25">
      <c r="A4851" t="s">
        <v>4855</v>
      </c>
      <c r="B4851">
        <v>0.99352677808782597</v>
      </c>
      <c r="C4851">
        <v>0.909209425295879</v>
      </c>
      <c r="D4851">
        <v>0.95615659819606602</v>
      </c>
      <c r="E4851">
        <v>0.22018075533998499</v>
      </c>
      <c r="F4851">
        <v>0.16137725634418601</v>
      </c>
      <c r="G4851">
        <v>9.5135647599786502E-2</v>
      </c>
      <c r="H4851">
        <v>8.0072155532660796E-2</v>
      </c>
      <c r="I4851">
        <v>6.9289811366600104E-2</v>
      </c>
      <c r="J4851">
        <v>5.1213619486020302E-2</v>
      </c>
      <c r="K4851">
        <v>3.84149485741129E-2</v>
      </c>
      <c r="L4851">
        <v>2496.9881881227302</v>
      </c>
      <c r="M4851">
        <v>51.563692160489801</v>
      </c>
      <c r="N4851">
        <v>48.587892433897601</v>
      </c>
      <c r="O4851">
        <v>48.352647727654798</v>
      </c>
      <c r="P4851">
        <v>-0.24547808479856101</v>
      </c>
      <c r="Q4851">
        <v>7.9235337192130995E-2</v>
      </c>
      <c r="R4851">
        <v>0.98950288535942599</v>
      </c>
      <c r="S4851" t="s">
        <v>11136</v>
      </c>
      <c r="T4851" t="s">
        <v>12568</v>
      </c>
      <c r="U4851" t="s">
        <v>12568</v>
      </c>
      <c r="V4851" t="s">
        <v>12568</v>
      </c>
      <c r="W4851" t="s">
        <v>17369</v>
      </c>
      <c r="X4851">
        <v>6</v>
      </c>
      <c r="Y4851" t="s">
        <v>23474</v>
      </c>
      <c r="Z4851" t="s">
        <v>29721</v>
      </c>
      <c r="AA4851">
        <v>0.33967557183497088</v>
      </c>
      <c r="AB4851" t="str">
        <f>HYPERLINK("Melting_Curves/meltCurve_Q96S19_C16orf13.pdf", "Melting_Curves/meltCurve_Q96S19_C16orf13.pdf")</f>
        <v>Melting_Curves/meltCurve_Q96S19_C16orf13.pdf</v>
      </c>
    </row>
    <row r="4852" spans="1:28" x14ac:dyDescent="0.25">
      <c r="A4852" t="s">
        <v>4856</v>
      </c>
      <c r="B4852">
        <v>0.99352677808782597</v>
      </c>
      <c r="C4852">
        <v>0.94994460683224702</v>
      </c>
      <c r="D4852">
        <v>0.866948818614376</v>
      </c>
      <c r="E4852">
        <v>0.70884547814196597</v>
      </c>
      <c r="F4852">
        <v>0.59538189249842599</v>
      </c>
      <c r="G4852">
        <v>0.33820899983807101</v>
      </c>
      <c r="H4852">
        <v>0.17063620608578101</v>
      </c>
      <c r="I4852">
        <v>0.20974498837108299</v>
      </c>
      <c r="J4852">
        <v>0.12320898756347</v>
      </c>
      <c r="K4852">
        <v>0.16209550310228699</v>
      </c>
      <c r="L4852">
        <v>703.62170639572901</v>
      </c>
      <c r="M4852">
        <v>13.276735183122399</v>
      </c>
      <c r="N4852">
        <v>53.836926021104802</v>
      </c>
      <c r="O4852">
        <v>51.837569435287598</v>
      </c>
      <c r="P4852">
        <v>-5.8047575211564603E-2</v>
      </c>
      <c r="Q4852">
        <v>9.3585732671493893E-2</v>
      </c>
      <c r="R4852">
        <v>0.99132729955929899</v>
      </c>
      <c r="S4852" t="s">
        <v>11137</v>
      </c>
      <c r="T4852" t="s">
        <v>12568</v>
      </c>
      <c r="U4852" t="s">
        <v>12568</v>
      </c>
      <c r="V4852" t="s">
        <v>12568</v>
      </c>
      <c r="W4852" t="s">
        <v>17370</v>
      </c>
      <c r="X4852">
        <v>3</v>
      </c>
      <c r="Y4852" t="s">
        <v>23475</v>
      </c>
      <c r="Z4852" t="s">
        <v>29722</v>
      </c>
      <c r="AA4852">
        <v>0.50917311117714126</v>
      </c>
      <c r="AB4852" t="str">
        <f>HYPERLINK("Melting_Curves/meltCurve_Q96S21_RAB40C.pdf", "Melting_Curves/meltCurve_Q96S21_RAB40C.pdf")</f>
        <v>Melting_Curves/meltCurve_Q96S21_RAB40C.pdf</v>
      </c>
    </row>
    <row r="4853" spans="1:28" x14ac:dyDescent="0.25">
      <c r="A4853" t="s">
        <v>4857</v>
      </c>
      <c r="B4853">
        <v>0.99352677808782597</v>
      </c>
      <c r="C4853">
        <v>0.94657401298797395</v>
      </c>
      <c r="D4853">
        <v>0.91029375489604503</v>
      </c>
      <c r="E4853">
        <v>0.73356604809765502</v>
      </c>
      <c r="F4853">
        <v>0.61313764993104503</v>
      </c>
      <c r="G4853">
        <v>0.408504251735958</v>
      </c>
      <c r="H4853">
        <v>0.26842941245235702</v>
      </c>
      <c r="I4853">
        <v>0.25994944855115598</v>
      </c>
      <c r="J4853">
        <v>0.247634316784621</v>
      </c>
      <c r="K4853">
        <v>0.20800228253612699</v>
      </c>
      <c r="L4853">
        <v>713.15136916056304</v>
      </c>
      <c r="M4853">
        <v>13.4612180305073</v>
      </c>
      <c r="N4853">
        <v>54.812465932716201</v>
      </c>
      <c r="O4853">
        <v>51.850032375372798</v>
      </c>
      <c r="P4853">
        <v>-5.3143394892211301E-2</v>
      </c>
      <c r="Q4853">
        <v>0.181333572213174</v>
      </c>
      <c r="R4853">
        <v>0.99711204858833802</v>
      </c>
      <c r="S4853" t="s">
        <v>11138</v>
      </c>
      <c r="T4853" t="s">
        <v>12568</v>
      </c>
      <c r="U4853" t="s">
        <v>12568</v>
      </c>
      <c r="V4853" t="s">
        <v>12568</v>
      </c>
      <c r="W4853" t="s">
        <v>17371</v>
      </c>
      <c r="X4853">
        <v>4</v>
      </c>
      <c r="Y4853" t="s">
        <v>23476</v>
      </c>
      <c r="Z4853" t="s">
        <v>29723</v>
      </c>
      <c r="AA4853">
        <v>0.55585532791587267</v>
      </c>
      <c r="AB4853" t="str">
        <f>HYPERLINK("Melting_Curves/meltCurve_Q96S38_RPS6KC1.pdf", "Melting_Curves/meltCurve_Q96S38_RPS6KC1.pdf")</f>
        <v>Melting_Curves/meltCurve_Q96S38_RPS6KC1.pdf</v>
      </c>
    </row>
    <row r="4854" spans="1:28" x14ac:dyDescent="0.25">
      <c r="A4854" t="s">
        <v>4858</v>
      </c>
      <c r="B4854">
        <v>0.99352677808782597</v>
      </c>
      <c r="C4854">
        <v>0.951641116807592</v>
      </c>
      <c r="D4854">
        <v>0.91456396103738202</v>
      </c>
      <c r="E4854">
        <v>0.49748728679299797</v>
      </c>
      <c r="F4854">
        <v>0.36935717319203398</v>
      </c>
      <c r="G4854">
        <v>0.140947254581124</v>
      </c>
      <c r="H4854">
        <v>8.8389243312832697E-2</v>
      </c>
      <c r="I4854">
        <v>8.0653723903045704E-2</v>
      </c>
      <c r="J4854">
        <v>6.3416102163779201E-2</v>
      </c>
      <c r="K4854">
        <v>4.4283224299825501E-2</v>
      </c>
      <c r="L4854">
        <v>945.48628175556303</v>
      </c>
      <c r="M4854">
        <v>18.778378562431602</v>
      </c>
      <c r="N4854">
        <v>50.660937848805602</v>
      </c>
      <c r="O4854">
        <v>49.789159968038597</v>
      </c>
      <c r="P4854">
        <v>-8.91567897097469E-2</v>
      </c>
      <c r="Q4854">
        <v>5.4475063546334197E-2</v>
      </c>
      <c r="R4854">
        <v>0.99350717394168497</v>
      </c>
      <c r="S4854" t="s">
        <v>11139</v>
      </c>
      <c r="T4854" t="s">
        <v>12568</v>
      </c>
      <c r="U4854" t="s">
        <v>12568</v>
      </c>
      <c r="V4854" t="s">
        <v>12568</v>
      </c>
      <c r="W4854" t="s">
        <v>17372</v>
      </c>
      <c r="X4854">
        <v>4</v>
      </c>
      <c r="Y4854" t="s">
        <v>23477</v>
      </c>
      <c r="Z4854" t="s">
        <v>29724</v>
      </c>
      <c r="AA4854">
        <v>0.39549941036541608</v>
      </c>
      <c r="AB4854" t="str">
        <f>HYPERLINK("Melting_Curves/meltCurve_Q96S44_TP53RK.pdf", "Melting_Curves/meltCurve_Q96S44_TP53RK.pdf")</f>
        <v>Melting_Curves/meltCurve_Q96S44_TP53RK.pdf</v>
      </c>
    </row>
    <row r="4855" spans="1:28" x14ac:dyDescent="0.25">
      <c r="A4855" t="s">
        <v>4859</v>
      </c>
      <c r="B4855">
        <v>0.99352677808782597</v>
      </c>
      <c r="C4855">
        <v>0.84238659474871802</v>
      </c>
      <c r="D4855">
        <v>0.74300546818406898</v>
      </c>
      <c r="E4855">
        <v>0.55725311931216204</v>
      </c>
      <c r="F4855">
        <v>0.41574446196703302</v>
      </c>
      <c r="G4855">
        <v>0.37201334404592701</v>
      </c>
      <c r="H4855">
        <v>0.30233459763947601</v>
      </c>
      <c r="I4855">
        <v>0.27809447949731902</v>
      </c>
      <c r="J4855">
        <v>0.254124750512424</v>
      </c>
      <c r="K4855">
        <v>0.241977728394592</v>
      </c>
      <c r="L4855">
        <v>587.59814847605503</v>
      </c>
      <c r="M4855">
        <v>12.104523460566799</v>
      </c>
      <c r="N4855">
        <v>51.242528823463701</v>
      </c>
      <c r="O4855">
        <v>47.2757225323274</v>
      </c>
      <c r="P4855">
        <v>-4.8934452160381198E-2</v>
      </c>
      <c r="Q4855">
        <v>0.23569950685407401</v>
      </c>
      <c r="R4855">
        <v>0.993033594089338</v>
      </c>
      <c r="S4855" t="s">
        <v>11140</v>
      </c>
      <c r="T4855" t="s">
        <v>12568</v>
      </c>
      <c r="U4855" t="s">
        <v>12568</v>
      </c>
      <c r="V4855" t="s">
        <v>12568</v>
      </c>
      <c r="W4855" t="s">
        <v>17373</v>
      </c>
      <c r="X4855">
        <v>6</v>
      </c>
      <c r="Y4855" t="s">
        <v>23478</v>
      </c>
      <c r="Z4855" t="s">
        <v>29725</v>
      </c>
      <c r="AA4855">
        <v>0.48181603601417222</v>
      </c>
      <c r="AB4855" t="str">
        <f>HYPERLINK("Melting_Curves/meltCurve_Q96S55_2_WRNIP1.pdf", "Melting_Curves/meltCurve_Q96S55_2_WRNIP1.pdf")</f>
        <v>Melting_Curves/meltCurve_Q96S55_2_WRNIP1.pdf</v>
      </c>
    </row>
    <row r="4856" spans="1:28" x14ac:dyDescent="0.25">
      <c r="A4856" t="s">
        <v>4860</v>
      </c>
      <c r="B4856">
        <v>0.99352677808782597</v>
      </c>
      <c r="C4856">
        <v>0.88572749782903004</v>
      </c>
      <c r="D4856">
        <v>0.79812939533987504</v>
      </c>
      <c r="E4856">
        <v>1.3084970941963701</v>
      </c>
      <c r="F4856">
        <v>1.10360043624537</v>
      </c>
      <c r="G4856">
        <v>0.608081892952128</v>
      </c>
      <c r="H4856">
        <v>0.31459420301615798</v>
      </c>
      <c r="I4856">
        <v>0.33251095281062198</v>
      </c>
      <c r="J4856">
        <v>0.324829151743244</v>
      </c>
      <c r="K4856">
        <v>0.28844889676785301</v>
      </c>
      <c r="L4856">
        <v>14233.4171213114</v>
      </c>
      <c r="M4856">
        <v>250</v>
      </c>
      <c r="N4856">
        <v>57.161130648425903</v>
      </c>
      <c r="O4856">
        <v>56.930025121381298</v>
      </c>
      <c r="P4856">
        <v>-0.751914535122721</v>
      </c>
      <c r="Q4856">
        <v>0.31509578698394802</v>
      </c>
      <c r="R4856">
        <v>0.87287818406714002</v>
      </c>
      <c r="S4856" t="s">
        <v>11141</v>
      </c>
      <c r="T4856" t="s">
        <v>12568</v>
      </c>
      <c r="U4856" t="s">
        <v>12568</v>
      </c>
      <c r="V4856" t="s">
        <v>12568</v>
      </c>
      <c r="W4856" t="s">
        <v>17374</v>
      </c>
      <c r="X4856">
        <v>3</v>
      </c>
      <c r="Y4856" t="s">
        <v>23479</v>
      </c>
      <c r="Z4856" t="s">
        <v>29726</v>
      </c>
      <c r="AA4856">
        <v>0.70176225061780539</v>
      </c>
      <c r="AB4856" t="str">
        <f>HYPERLINK("Melting_Curves/meltCurve_Q96S59_RANBP9.pdf", "Melting_Curves/meltCurve_Q96S59_RANBP9.pdf")</f>
        <v>Melting_Curves/meltCurve_Q96S59_RANBP9.pdf</v>
      </c>
    </row>
    <row r="4857" spans="1:28" x14ac:dyDescent="0.25">
      <c r="A4857" t="s">
        <v>4861</v>
      </c>
      <c r="B4857">
        <v>0.99352677808782597</v>
      </c>
      <c r="C4857">
        <v>0.90236418088744397</v>
      </c>
      <c r="D4857">
        <v>1.0372352283286299</v>
      </c>
      <c r="E4857">
        <v>0.94978730913675302</v>
      </c>
      <c r="F4857">
        <v>0.90395165948872402</v>
      </c>
      <c r="G4857">
        <v>0.98261413775789397</v>
      </c>
      <c r="H4857">
        <v>0.84939490818720798</v>
      </c>
      <c r="I4857">
        <v>0.86768574666145004</v>
      </c>
      <c r="J4857">
        <v>0.91159411056244199</v>
      </c>
      <c r="K4857">
        <v>0.99661364011368603</v>
      </c>
      <c r="L4857">
        <v>432.64138301658897</v>
      </c>
      <c r="M4857">
        <v>9.1520019933145207</v>
      </c>
      <c r="O4857">
        <v>45.179970179707098</v>
      </c>
      <c r="P4857">
        <v>-4.47705501400999E-3</v>
      </c>
      <c r="Q4857">
        <v>0.91165408463833497</v>
      </c>
      <c r="R4857">
        <v>0.139099523672951</v>
      </c>
      <c r="S4857" t="s">
        <v>11142</v>
      </c>
      <c r="T4857" t="s">
        <v>12568</v>
      </c>
      <c r="U4857" t="s">
        <v>12568</v>
      </c>
      <c r="V4857" t="s">
        <v>12568</v>
      </c>
      <c r="W4857" t="s">
        <v>17375</v>
      </c>
      <c r="X4857">
        <v>4</v>
      </c>
      <c r="Y4857" t="s">
        <v>23480</v>
      </c>
      <c r="Z4857" t="s">
        <v>29727</v>
      </c>
      <c r="AA4857">
        <v>0.9387586623201869</v>
      </c>
      <c r="AB4857" t="str">
        <f>HYPERLINK("Melting_Curves/meltCurve_Q96S66_4_CLCC1.pdf", "Melting_Curves/meltCurve_Q96S66_4_CLCC1.pdf")</f>
        <v>Melting_Curves/meltCurve_Q96S66_4_CLCC1.pdf</v>
      </c>
    </row>
    <row r="4858" spans="1:28" x14ac:dyDescent="0.25">
      <c r="A4858" t="s">
        <v>4862</v>
      </c>
      <c r="B4858">
        <v>0.99352677808782597</v>
      </c>
      <c r="C4858">
        <v>0.99253839493669305</v>
      </c>
      <c r="D4858">
        <v>0.90979624977593299</v>
      </c>
      <c r="E4858">
        <v>0.88187567256867505</v>
      </c>
      <c r="F4858">
        <v>0.80256715316744498</v>
      </c>
      <c r="G4858">
        <v>0.31834882329198899</v>
      </c>
      <c r="H4858">
        <v>0.134304152587124</v>
      </c>
      <c r="I4858">
        <v>0.11345372731329099</v>
      </c>
      <c r="J4858">
        <v>9.2390855393848295E-2</v>
      </c>
      <c r="K4858">
        <v>5.7663617201703397E-2</v>
      </c>
      <c r="L4858">
        <v>1465.5177916932701</v>
      </c>
      <c r="M4858">
        <v>26.606320860884701</v>
      </c>
      <c r="N4858">
        <v>55.4073924503721</v>
      </c>
      <c r="O4858">
        <v>54.773223868145202</v>
      </c>
      <c r="P4858">
        <v>-0.11264547140228701</v>
      </c>
      <c r="Q4858">
        <v>7.2417285486265304E-2</v>
      </c>
      <c r="R4858">
        <v>0.99086306905170396</v>
      </c>
      <c r="S4858" t="s">
        <v>11143</v>
      </c>
      <c r="T4858" t="s">
        <v>12568</v>
      </c>
      <c r="U4858" t="s">
        <v>12568</v>
      </c>
      <c r="V4858" t="s">
        <v>12568</v>
      </c>
      <c r="W4858" t="s">
        <v>17376</v>
      </c>
      <c r="X4858">
        <v>3</v>
      </c>
      <c r="Y4858" t="s">
        <v>23481</v>
      </c>
      <c r="Z4858" t="s">
        <v>29728</v>
      </c>
      <c r="AA4858">
        <v>0.54641301075335991</v>
      </c>
      <c r="AB4858" t="str">
        <f>HYPERLINK("Melting_Curves/meltCurve_Q96S82_UBL7.pdf", "Melting_Curves/meltCurve_Q96S82_UBL7.pdf")</f>
        <v>Melting_Curves/meltCurve_Q96S82_UBL7.pdf</v>
      </c>
    </row>
    <row r="4859" spans="1:28" x14ac:dyDescent="0.25">
      <c r="A4859" t="s">
        <v>4863</v>
      </c>
      <c r="B4859">
        <v>0.99352677808782597</v>
      </c>
      <c r="C4859">
        <v>0.85205552486185598</v>
      </c>
      <c r="D4859">
        <v>1.0035918035146401</v>
      </c>
      <c r="E4859">
        <v>0.90984610509914698</v>
      </c>
      <c r="F4859">
        <v>0.707188276784392</v>
      </c>
      <c r="G4859">
        <v>0.65436536078138297</v>
      </c>
      <c r="H4859">
        <v>0.52522054509511895</v>
      </c>
      <c r="I4859">
        <v>0.54694096687914495</v>
      </c>
      <c r="J4859">
        <v>0.501073116644706</v>
      </c>
      <c r="K4859">
        <v>0.41286341527084203</v>
      </c>
      <c r="L4859">
        <v>604.03583377200596</v>
      </c>
      <c r="M4859">
        <v>10.941185840626501</v>
      </c>
      <c r="N4859">
        <v>64.454656033977002</v>
      </c>
      <c r="O4859">
        <v>53.459377050232803</v>
      </c>
      <c r="P4859">
        <v>-3.0917588815280301E-2</v>
      </c>
      <c r="Q4859">
        <v>0.39594629556618699</v>
      </c>
      <c r="R4859">
        <v>0.92755991965000395</v>
      </c>
      <c r="S4859" t="s">
        <v>11144</v>
      </c>
      <c r="T4859" t="s">
        <v>12568</v>
      </c>
      <c r="U4859" t="s">
        <v>12568</v>
      </c>
      <c r="V4859" t="s">
        <v>12568</v>
      </c>
      <c r="W4859" t="s">
        <v>17377</v>
      </c>
      <c r="X4859">
        <v>6</v>
      </c>
      <c r="Y4859" t="s">
        <v>23482</v>
      </c>
      <c r="Z4859" t="s">
        <v>29729</v>
      </c>
      <c r="AA4859">
        <v>0.71667875635201317</v>
      </c>
      <c r="AB4859" t="str">
        <f>HYPERLINK("Melting_Curves/meltCurve_Q96S90_LYSMD1.pdf", "Melting_Curves/meltCurve_Q96S90_LYSMD1.pdf")</f>
        <v>Melting_Curves/meltCurve_Q96S90_LYSMD1.pdf</v>
      </c>
    </row>
    <row r="4860" spans="1:28" x14ac:dyDescent="0.25">
      <c r="A4860" t="s">
        <v>4864</v>
      </c>
      <c r="B4860">
        <v>0.99352677808782597</v>
      </c>
      <c r="C4860">
        <v>1.0059403656230199</v>
      </c>
      <c r="D4860">
        <v>0.68820940891003402</v>
      </c>
      <c r="E4860">
        <v>0.422397277447147</v>
      </c>
      <c r="F4860">
        <v>0.49124593488088097</v>
      </c>
      <c r="G4860">
        <v>0.30555374913382499</v>
      </c>
      <c r="H4860">
        <v>0.31833060761348098</v>
      </c>
      <c r="I4860">
        <v>0.59632442241118599</v>
      </c>
      <c r="J4860">
        <v>0.20985875224682499</v>
      </c>
      <c r="K4860">
        <v>0.10752933197742701</v>
      </c>
      <c r="L4860">
        <v>1017.73070585657</v>
      </c>
      <c r="M4860">
        <v>21.676914658174901</v>
      </c>
      <c r="N4860">
        <v>49.239423402535898</v>
      </c>
      <c r="O4860">
        <v>46.555889967529701</v>
      </c>
      <c r="P4860">
        <v>-7.9445802716681294E-2</v>
      </c>
      <c r="Q4860">
        <v>0.31750757467825202</v>
      </c>
      <c r="R4860">
        <v>0.81489118918699299</v>
      </c>
      <c r="S4860" t="s">
        <v>11145</v>
      </c>
      <c r="T4860" t="s">
        <v>12568</v>
      </c>
      <c r="U4860" t="s">
        <v>12568</v>
      </c>
      <c r="V4860" t="s">
        <v>12568</v>
      </c>
      <c r="W4860" t="s">
        <v>17378</v>
      </c>
      <c r="X4860">
        <v>1</v>
      </c>
      <c r="Y4860" t="s">
        <v>23483</v>
      </c>
      <c r="Z4860" t="s">
        <v>29730</v>
      </c>
      <c r="AA4860">
        <v>0.48399028638502622</v>
      </c>
      <c r="AB4860" t="str">
        <f>HYPERLINK("Melting_Curves/meltCurve_Q96S94_CCNL2.pdf", "Melting_Curves/meltCurve_Q96S94_CCNL2.pdf")</f>
        <v>Melting_Curves/meltCurve_Q96S94_CCNL2.pdf</v>
      </c>
    </row>
    <row r="4861" spans="1:28" x14ac:dyDescent="0.25">
      <c r="A4861" t="s">
        <v>4865</v>
      </c>
      <c r="B4861">
        <v>0.99352677808782597</v>
      </c>
      <c r="C4861">
        <v>0.96903194979447405</v>
      </c>
      <c r="D4861">
        <v>0.99935807221969597</v>
      </c>
      <c r="E4861">
        <v>0.43383901885152298</v>
      </c>
      <c r="F4861">
        <v>0.353686325453477</v>
      </c>
      <c r="G4861">
        <v>0.19543101526749501</v>
      </c>
      <c r="H4861">
        <v>0.120747927828341</v>
      </c>
      <c r="I4861">
        <v>9.1629887327822596E-2</v>
      </c>
      <c r="J4861">
        <v>7.5909462282915202E-2</v>
      </c>
      <c r="K4861">
        <v>8.2930862935907901E-2</v>
      </c>
      <c r="L4861">
        <v>1207.5029525136499</v>
      </c>
      <c r="M4861">
        <v>24.240937057481201</v>
      </c>
      <c r="N4861">
        <v>50.308646555673803</v>
      </c>
      <c r="O4861">
        <v>49.477275802310999</v>
      </c>
      <c r="P4861">
        <v>-0.109465961708446</v>
      </c>
      <c r="Q4861">
        <v>0.10630603063439301</v>
      </c>
      <c r="R4861">
        <v>0.97818702505077604</v>
      </c>
      <c r="S4861" t="s">
        <v>11146</v>
      </c>
      <c r="T4861" t="s">
        <v>12568</v>
      </c>
      <c r="U4861" t="s">
        <v>12568</v>
      </c>
      <c r="V4861" t="s">
        <v>12568</v>
      </c>
      <c r="W4861" t="s">
        <v>17379</v>
      </c>
      <c r="X4861">
        <v>4</v>
      </c>
      <c r="Y4861" t="s">
        <v>23484</v>
      </c>
      <c r="Z4861" t="s">
        <v>29731</v>
      </c>
      <c r="AA4861">
        <v>0.40710448195772542</v>
      </c>
      <c r="AB4861" t="str">
        <f>HYPERLINK("Melting_Curves/meltCurve_Q96S99_PLEKHF1.pdf", "Melting_Curves/meltCurve_Q96S99_PLEKHF1.pdf")</f>
        <v>Melting_Curves/meltCurve_Q96S99_PLEKHF1.pdf</v>
      </c>
    </row>
    <row r="4862" spans="1:28" x14ac:dyDescent="0.25">
      <c r="A4862" t="s">
        <v>4866</v>
      </c>
      <c r="B4862">
        <v>0.99352677808782597</v>
      </c>
      <c r="C4862">
        <v>0.97176490275509098</v>
      </c>
      <c r="D4862">
        <v>0.94587321976949201</v>
      </c>
      <c r="E4862">
        <v>0.86532267368856397</v>
      </c>
      <c r="F4862">
        <v>0.79633650285378599</v>
      </c>
      <c r="G4862">
        <v>0.68811468250039698</v>
      </c>
      <c r="H4862">
        <v>0.72010567504880996</v>
      </c>
      <c r="I4862">
        <v>0.77912111558388197</v>
      </c>
      <c r="J4862">
        <v>0.90776677323907395</v>
      </c>
      <c r="K4862">
        <v>0.814446085774298</v>
      </c>
      <c r="L4862">
        <v>1290.73596944939</v>
      </c>
      <c r="M4862">
        <v>26.7390874604265</v>
      </c>
      <c r="O4862">
        <v>48.003955939709002</v>
      </c>
      <c r="P4862">
        <v>-3.0234954329837301E-2</v>
      </c>
      <c r="Q4862">
        <v>0.78288235823394103</v>
      </c>
      <c r="R4862">
        <v>0.68848255640844203</v>
      </c>
      <c r="S4862" t="s">
        <v>11147</v>
      </c>
      <c r="T4862" t="s">
        <v>12568</v>
      </c>
      <c r="U4862" t="s">
        <v>12568</v>
      </c>
      <c r="V4862" t="s">
        <v>12568</v>
      </c>
      <c r="W4862" t="s">
        <v>17380</v>
      </c>
      <c r="X4862">
        <v>7</v>
      </c>
      <c r="Y4862" t="s">
        <v>23485</v>
      </c>
      <c r="Z4862" t="s">
        <v>29732</v>
      </c>
      <c r="AA4862">
        <v>0.8444111708604678</v>
      </c>
      <c r="AB4862" t="str">
        <f>HYPERLINK("Melting_Curves/meltCurve_Q96SB3_PPP1R9B.pdf", "Melting_Curves/meltCurve_Q96SB3_PPP1R9B.pdf")</f>
        <v>Melting_Curves/meltCurve_Q96SB3_PPP1R9B.pdf</v>
      </c>
    </row>
    <row r="4863" spans="1:28" x14ac:dyDescent="0.25">
      <c r="A4863" t="s">
        <v>4867</v>
      </c>
      <c r="B4863">
        <v>0.99352677808782597</v>
      </c>
      <c r="C4863">
        <v>1.0454757195837101</v>
      </c>
      <c r="D4863">
        <v>1.1515896188838499</v>
      </c>
      <c r="E4863">
        <v>0.550569594056324</v>
      </c>
      <c r="F4863">
        <v>0.41861154619726598</v>
      </c>
      <c r="G4863">
        <v>0.193137675619586</v>
      </c>
      <c r="H4863">
        <v>0.10418851055343099</v>
      </c>
      <c r="I4863">
        <v>9.10047343194611E-2</v>
      </c>
      <c r="J4863">
        <v>8.4922229868482094E-2</v>
      </c>
      <c r="K4863">
        <v>9.5775368949254605E-2</v>
      </c>
      <c r="L4863">
        <v>1324.17205485203</v>
      </c>
      <c r="M4863">
        <v>25.962457213765301</v>
      </c>
      <c r="N4863">
        <v>51.458338787693997</v>
      </c>
      <c r="O4863">
        <v>50.703633085495397</v>
      </c>
      <c r="P4863">
        <v>-0.11488350406742499</v>
      </c>
      <c r="Q4863">
        <v>0.10255897770273301</v>
      </c>
      <c r="R4863">
        <v>0.96291237841747601</v>
      </c>
      <c r="S4863" t="s">
        <v>11148</v>
      </c>
      <c r="T4863" t="s">
        <v>12568</v>
      </c>
      <c r="U4863" t="s">
        <v>12568</v>
      </c>
      <c r="V4863" t="s">
        <v>12568</v>
      </c>
      <c r="W4863" t="s">
        <v>17381</v>
      </c>
      <c r="X4863">
        <v>3</v>
      </c>
      <c r="Y4863" t="s">
        <v>23486</v>
      </c>
      <c r="Z4863" t="s">
        <v>29733</v>
      </c>
      <c r="AA4863">
        <v>0.43924617702303648</v>
      </c>
      <c r="AB4863" t="str">
        <f>HYPERLINK("Melting_Curves/meltCurve_Q96SB4_SRPK1.pdf", "Melting_Curves/meltCurve_Q96SB4_SRPK1.pdf")</f>
        <v>Melting_Curves/meltCurve_Q96SB4_SRPK1.pdf</v>
      </c>
    </row>
    <row r="4864" spans="1:28" x14ac:dyDescent="0.25">
      <c r="A4864" t="s">
        <v>4868</v>
      </c>
      <c r="B4864">
        <v>0.99352677808782597</v>
      </c>
      <c r="C4864">
        <v>1.0197003874872801</v>
      </c>
      <c r="D4864">
        <v>0.94395516293585602</v>
      </c>
      <c r="E4864">
        <v>0.95833804010914003</v>
      </c>
      <c r="F4864">
        <v>0.88084546900498095</v>
      </c>
      <c r="G4864">
        <v>1.2669435539327201</v>
      </c>
      <c r="H4864">
        <v>1.87340489670346</v>
      </c>
      <c r="I4864">
        <v>0.44827736131533102</v>
      </c>
      <c r="J4864">
        <v>0.192352660741656</v>
      </c>
      <c r="K4864">
        <v>0.14905520132234501</v>
      </c>
      <c r="L4864">
        <v>15000</v>
      </c>
      <c r="M4864">
        <v>235.06145231205599</v>
      </c>
      <c r="N4864">
        <v>63.926663987760001</v>
      </c>
      <c r="O4864">
        <v>63.808481108033199</v>
      </c>
      <c r="P4864">
        <v>-0.76377399586822503</v>
      </c>
      <c r="Q4864">
        <v>0.17068055171258101</v>
      </c>
      <c r="R4864">
        <v>0.63975746928038402</v>
      </c>
      <c r="S4864" t="s">
        <v>11149</v>
      </c>
      <c r="T4864" t="s">
        <v>12568</v>
      </c>
      <c r="U4864" t="s">
        <v>12568</v>
      </c>
      <c r="V4864" t="s">
        <v>12568</v>
      </c>
      <c r="W4864" t="s">
        <v>17382</v>
      </c>
      <c r="X4864">
        <v>5</v>
      </c>
      <c r="Y4864" t="s">
        <v>23487</v>
      </c>
      <c r="Z4864" t="s">
        <v>29734</v>
      </c>
      <c r="AA4864">
        <v>0.82907451393751486</v>
      </c>
      <c r="AB4864" t="str">
        <f>HYPERLINK("Melting_Curves/meltCurve_Q96SB8_SMC6.pdf", "Melting_Curves/meltCurve_Q96SB8_SMC6.pdf")</f>
        <v>Melting_Curves/meltCurve_Q96SB8_SMC6.pdf</v>
      </c>
    </row>
    <row r="4865" spans="1:28" x14ac:dyDescent="0.25">
      <c r="A4865" t="s">
        <v>4869</v>
      </c>
      <c r="B4865">
        <v>0.99352677808782597</v>
      </c>
      <c r="C4865">
        <v>0.98253345451042995</v>
      </c>
      <c r="D4865">
        <v>0.89443089790167796</v>
      </c>
      <c r="E4865">
        <v>0.96075093495325403</v>
      </c>
      <c r="F4865">
        <v>0.83423168788198698</v>
      </c>
      <c r="G4865">
        <v>0.72399982676401997</v>
      </c>
      <c r="H4865">
        <v>0.54901157616301399</v>
      </c>
      <c r="I4865">
        <v>0.26496326494564199</v>
      </c>
      <c r="J4865">
        <v>0.101350004122317</v>
      </c>
      <c r="K4865">
        <v>7.9088823741087305E-2</v>
      </c>
      <c r="L4865">
        <v>985.99308464303897</v>
      </c>
      <c r="M4865">
        <v>16.324247468667402</v>
      </c>
      <c r="N4865">
        <v>60.400523001298097</v>
      </c>
      <c r="O4865">
        <v>59.515933039168701</v>
      </c>
      <c r="P4865">
        <v>-6.8575885126393898E-2</v>
      </c>
      <c r="Q4865">
        <v>0</v>
      </c>
      <c r="R4865">
        <v>0.97640102155064201</v>
      </c>
      <c r="S4865" t="s">
        <v>11150</v>
      </c>
      <c r="T4865" t="s">
        <v>12568</v>
      </c>
      <c r="U4865" t="s">
        <v>12568</v>
      </c>
      <c r="V4865" t="s">
        <v>12568</v>
      </c>
      <c r="W4865" t="s">
        <v>17383</v>
      </c>
      <c r="X4865">
        <v>10</v>
      </c>
      <c r="Y4865" t="s">
        <v>23488</v>
      </c>
      <c r="Z4865" t="s">
        <v>29735</v>
      </c>
      <c r="AA4865">
        <v>0.68636967907534374</v>
      </c>
      <c r="AB4865" t="str">
        <f>HYPERLINK("Melting_Curves/meltCurve_Q96SI1_KCTD15.pdf", "Melting_Curves/meltCurve_Q96SI1_KCTD15.pdf")</f>
        <v>Melting_Curves/meltCurve_Q96SI1_KCTD15.pdf</v>
      </c>
    </row>
    <row r="4866" spans="1:28" x14ac:dyDescent="0.25">
      <c r="A4866" t="s">
        <v>4870</v>
      </c>
      <c r="B4866">
        <v>0.99352677808782597</v>
      </c>
      <c r="C4866">
        <v>1.25546529164662</v>
      </c>
      <c r="D4866">
        <v>0.97618731688248706</v>
      </c>
      <c r="E4866">
        <v>1.02391855166912</v>
      </c>
      <c r="F4866">
        <v>1.1289989180323801</v>
      </c>
      <c r="G4866">
        <v>0.58028170667589496</v>
      </c>
      <c r="H4866">
        <v>0.70247286682894305</v>
      </c>
      <c r="I4866">
        <v>0.83318478439324495</v>
      </c>
      <c r="J4866">
        <v>0.53556105769927098</v>
      </c>
      <c r="K4866">
        <v>0.36101579537540901</v>
      </c>
      <c r="L4866">
        <v>655.54481636153298</v>
      </c>
      <c r="M4866">
        <v>9.6567861526703904</v>
      </c>
      <c r="N4866">
        <v>67.884366928495993</v>
      </c>
      <c r="O4866">
        <v>65.164951560186395</v>
      </c>
      <c r="P4866">
        <v>-3.7068058067560597E-2</v>
      </c>
      <c r="Q4866">
        <v>0</v>
      </c>
      <c r="R4866">
        <v>0.68946541631979097</v>
      </c>
      <c r="S4866" t="s">
        <v>11151</v>
      </c>
      <c r="T4866" t="s">
        <v>12568</v>
      </c>
      <c r="U4866" t="s">
        <v>12568</v>
      </c>
      <c r="V4866" t="s">
        <v>12568</v>
      </c>
      <c r="W4866" t="s">
        <v>17384</v>
      </c>
      <c r="X4866">
        <v>3</v>
      </c>
      <c r="Y4866" t="s">
        <v>23489</v>
      </c>
      <c r="Z4866" t="s">
        <v>29736</v>
      </c>
      <c r="AA4866">
        <v>0.83008057484622855</v>
      </c>
      <c r="AB4866" t="str">
        <f>HYPERLINK("Melting_Curves/meltCurve_Q96SL8_FIZ1.pdf", "Melting_Curves/meltCurve_Q96SL8_FIZ1.pdf")</f>
        <v>Melting_Curves/meltCurve_Q96SL8_FIZ1.pdf</v>
      </c>
    </row>
    <row r="4867" spans="1:28" x14ac:dyDescent="0.25">
      <c r="A4867" t="s">
        <v>4871</v>
      </c>
      <c r="B4867">
        <v>0.99352677808782597</v>
      </c>
      <c r="C4867">
        <v>0.93998311547233204</v>
      </c>
      <c r="D4867">
        <v>0.78775451053419798</v>
      </c>
      <c r="E4867">
        <v>0.52159162363226097</v>
      </c>
      <c r="F4867">
        <v>0.48787974899939501</v>
      </c>
      <c r="G4867">
        <v>0.34089002592990097</v>
      </c>
      <c r="H4867">
        <v>0.210221778268047</v>
      </c>
      <c r="I4867">
        <v>0.209514354090064</v>
      </c>
      <c r="J4867">
        <v>0.170861170045354</v>
      </c>
      <c r="K4867">
        <v>0.17220176598846401</v>
      </c>
      <c r="L4867">
        <v>615.32026591810097</v>
      </c>
      <c r="M4867">
        <v>12.2393426170166</v>
      </c>
      <c r="N4867">
        <v>51.726624011947301</v>
      </c>
      <c r="O4867">
        <v>48.988386156847596</v>
      </c>
      <c r="P4867">
        <v>-5.3388291199324402E-2</v>
      </c>
      <c r="Q4867">
        <v>0.14543700175739499</v>
      </c>
      <c r="R4867">
        <v>0.98908511307270697</v>
      </c>
      <c r="S4867" t="s">
        <v>11152</v>
      </c>
      <c r="T4867" t="s">
        <v>12568</v>
      </c>
      <c r="U4867" t="s">
        <v>12568</v>
      </c>
      <c r="V4867" t="s">
        <v>12568</v>
      </c>
      <c r="W4867" t="s">
        <v>17385</v>
      </c>
      <c r="X4867">
        <v>5</v>
      </c>
      <c r="Y4867" t="s">
        <v>23490</v>
      </c>
      <c r="Z4867" t="s">
        <v>29737</v>
      </c>
      <c r="AA4867">
        <v>0.46633279125663352</v>
      </c>
      <c r="AB4867" t="str">
        <f>HYPERLINK("Melting_Curves/meltCurve_Q96SN8_4_CDK5RAP2.pdf", "Melting_Curves/meltCurve_Q96SN8_4_CDK5RAP2.pdf")</f>
        <v>Melting_Curves/meltCurve_Q96SN8_4_CDK5RAP2.pdf</v>
      </c>
    </row>
    <row r="4868" spans="1:28" x14ac:dyDescent="0.25">
      <c r="A4868" t="s">
        <v>4872</v>
      </c>
      <c r="B4868">
        <v>0.99352677808782597</v>
      </c>
      <c r="C4868">
        <v>0.99125379777337896</v>
      </c>
      <c r="D4868">
        <v>0.92742663556691896</v>
      </c>
      <c r="E4868">
        <v>0.72797809991603801</v>
      </c>
      <c r="F4868">
        <v>0.61710616331314105</v>
      </c>
      <c r="G4868">
        <v>0.435306149399591</v>
      </c>
      <c r="H4868">
        <v>0.42846508822455398</v>
      </c>
      <c r="I4868">
        <v>0.43201760404374701</v>
      </c>
      <c r="J4868">
        <v>0.51343640443361704</v>
      </c>
      <c r="K4868">
        <v>0.39228567375999601</v>
      </c>
      <c r="L4868">
        <v>1046.35389332163</v>
      </c>
      <c r="M4868">
        <v>20.749118718178</v>
      </c>
      <c r="N4868">
        <v>55.704015253145101</v>
      </c>
      <c r="O4868">
        <v>49.967429752300298</v>
      </c>
      <c r="P4868">
        <v>-5.9183683801845903E-2</v>
      </c>
      <c r="Q4868">
        <v>0.42991826117147303</v>
      </c>
      <c r="R4868">
        <v>0.97896154179843997</v>
      </c>
      <c r="S4868" t="s">
        <v>11153</v>
      </c>
      <c r="T4868" t="s">
        <v>12568</v>
      </c>
      <c r="U4868" t="s">
        <v>12568</v>
      </c>
      <c r="V4868" t="s">
        <v>12568</v>
      </c>
      <c r="W4868" t="s">
        <v>17386</v>
      </c>
      <c r="X4868">
        <v>15</v>
      </c>
      <c r="Y4868" t="s">
        <v>23491</v>
      </c>
      <c r="Z4868" t="s">
        <v>29738</v>
      </c>
      <c r="AA4868">
        <v>0.63547805246462663</v>
      </c>
      <c r="AB4868" t="str">
        <f>HYPERLINK("Melting_Curves/meltCurve_Q96ST2_IWS1.pdf", "Melting_Curves/meltCurve_Q96ST2_IWS1.pdf")</f>
        <v>Melting_Curves/meltCurve_Q96ST2_IWS1.pdf</v>
      </c>
    </row>
    <row r="4869" spans="1:28" x14ac:dyDescent="0.25">
      <c r="A4869" t="s">
        <v>4873</v>
      </c>
      <c r="B4869">
        <v>0.99352677808782597</v>
      </c>
      <c r="C4869">
        <v>0.96554984637529995</v>
      </c>
      <c r="D4869">
        <v>0.89936195553763598</v>
      </c>
      <c r="E4869">
        <v>0.60645190792247805</v>
      </c>
      <c r="F4869">
        <v>0.52782561010847595</v>
      </c>
      <c r="G4869">
        <v>0.39445337973485101</v>
      </c>
      <c r="H4869">
        <v>0.31974698733872198</v>
      </c>
      <c r="I4869">
        <v>0.31706123608910802</v>
      </c>
      <c r="J4869">
        <v>0.32872107814179102</v>
      </c>
      <c r="K4869">
        <v>0.25045686194218703</v>
      </c>
      <c r="L4869">
        <v>810.08256291221596</v>
      </c>
      <c r="M4869">
        <v>16.130477053368299</v>
      </c>
      <c r="N4869">
        <v>53.035264211544003</v>
      </c>
      <c r="O4869">
        <v>49.467782049101899</v>
      </c>
      <c r="P4869">
        <v>-5.8080616573511802E-2</v>
      </c>
      <c r="Q4869">
        <v>0.28758436331186699</v>
      </c>
      <c r="R4869">
        <v>0.99026064634325695</v>
      </c>
      <c r="S4869" t="s">
        <v>11154</v>
      </c>
      <c r="T4869" t="s">
        <v>12568</v>
      </c>
      <c r="U4869" t="s">
        <v>12568</v>
      </c>
      <c r="V4869" t="s">
        <v>12568</v>
      </c>
      <c r="W4869" t="s">
        <v>17387</v>
      </c>
      <c r="X4869">
        <v>15</v>
      </c>
      <c r="Y4869" t="s">
        <v>23492</v>
      </c>
      <c r="Z4869" t="s">
        <v>29739</v>
      </c>
      <c r="AA4869">
        <v>0.54512272895864522</v>
      </c>
      <c r="AB4869" t="str">
        <f>HYPERLINK("Melting_Curves/meltCurve_Q96ST3_SIN3A.pdf", "Melting_Curves/meltCurve_Q96ST3_SIN3A.pdf")</f>
        <v>Melting_Curves/meltCurve_Q96ST3_SIN3A.pdf</v>
      </c>
    </row>
    <row r="4870" spans="1:28" x14ac:dyDescent="0.25">
      <c r="A4870" t="s">
        <v>4874</v>
      </c>
      <c r="B4870">
        <v>0.99352677808782597</v>
      </c>
      <c r="C4870">
        <v>1.01587612768709</v>
      </c>
      <c r="D4870">
        <v>0.91623162665844904</v>
      </c>
      <c r="E4870">
        <v>0.50690424959908198</v>
      </c>
      <c r="F4870">
        <v>0.44529219300141198</v>
      </c>
      <c r="G4870">
        <v>0.19184956337667999</v>
      </c>
      <c r="H4870">
        <v>0.11663097569591301</v>
      </c>
      <c r="I4870">
        <v>0.102160904355611</v>
      </c>
      <c r="J4870">
        <v>8.1287316568817006E-2</v>
      </c>
      <c r="K4870">
        <v>5.58795669568918E-2</v>
      </c>
      <c r="L4870">
        <v>875.95542638504401</v>
      </c>
      <c r="M4870">
        <v>17.231976117337901</v>
      </c>
      <c r="N4870">
        <v>51.266849908297701</v>
      </c>
      <c r="O4870">
        <v>50.163343638804598</v>
      </c>
      <c r="P4870">
        <v>-8.0059100366722397E-2</v>
      </c>
      <c r="Q4870">
        <v>6.7826284294919201E-2</v>
      </c>
      <c r="R4870">
        <v>0.98665878813321695</v>
      </c>
      <c r="S4870" t="s">
        <v>11155</v>
      </c>
      <c r="T4870" t="s">
        <v>12568</v>
      </c>
      <c r="U4870" t="s">
        <v>12568</v>
      </c>
      <c r="V4870" t="s">
        <v>12568</v>
      </c>
      <c r="W4870" t="s">
        <v>17388</v>
      </c>
      <c r="X4870">
        <v>9</v>
      </c>
      <c r="Y4870" t="s">
        <v>23493</v>
      </c>
      <c r="Z4870" t="s">
        <v>29740</v>
      </c>
      <c r="AA4870">
        <v>0.42146362437573859</v>
      </c>
      <c r="AB4870" t="str">
        <f>HYPERLINK("Melting_Curves/meltCurve_Q96SU4_7_OSBPL9.pdf", "Melting_Curves/meltCurve_Q96SU4_7_OSBPL9.pdf")</f>
        <v>Melting_Curves/meltCurve_Q96SU4_7_OSBPL9.pdf</v>
      </c>
    </row>
    <row r="4871" spans="1:28" x14ac:dyDescent="0.25">
      <c r="A4871" t="s">
        <v>4875</v>
      </c>
      <c r="B4871">
        <v>0.99352677808782597</v>
      </c>
      <c r="C4871">
        <v>1.0124034383746701</v>
      </c>
      <c r="D4871">
        <v>0.92105815032244698</v>
      </c>
      <c r="E4871">
        <v>0.61029426276626897</v>
      </c>
      <c r="F4871">
        <v>0.55237931757309899</v>
      </c>
      <c r="G4871">
        <v>0.28898832320698598</v>
      </c>
      <c r="H4871">
        <v>0.18935713612403601</v>
      </c>
      <c r="I4871">
        <v>0.14937564132932099</v>
      </c>
      <c r="J4871">
        <v>0.16286467359427301</v>
      </c>
      <c r="K4871">
        <v>9.2447240931890995E-2</v>
      </c>
      <c r="L4871">
        <v>772.35751658111099</v>
      </c>
      <c r="M4871">
        <v>14.8140146843489</v>
      </c>
      <c r="N4871">
        <v>52.928252659645501</v>
      </c>
      <c r="O4871">
        <v>51.214530637799299</v>
      </c>
      <c r="P4871">
        <v>-6.5137331029164094E-2</v>
      </c>
      <c r="Q4871">
        <v>9.9332646252670104E-2</v>
      </c>
      <c r="R4871">
        <v>0.98851143981098</v>
      </c>
      <c r="S4871" t="s">
        <v>11156</v>
      </c>
      <c r="T4871" t="s">
        <v>12568</v>
      </c>
      <c r="U4871" t="s">
        <v>12568</v>
      </c>
      <c r="V4871" t="s">
        <v>12568</v>
      </c>
      <c r="W4871" t="s">
        <v>17389</v>
      </c>
      <c r="X4871">
        <v>4</v>
      </c>
      <c r="Y4871" t="s">
        <v>23494</v>
      </c>
      <c r="Z4871" t="s">
        <v>29741</v>
      </c>
      <c r="AA4871">
        <v>0.48412933637116973</v>
      </c>
      <c r="AB4871" t="str">
        <f>HYPERLINK("Melting_Curves/meltCurve_Q96SY0_4_VWA9.pdf", "Melting_Curves/meltCurve_Q96SY0_4_VWA9.pdf")</f>
        <v>Melting_Curves/meltCurve_Q96SY0_4_VWA9.pdf</v>
      </c>
    </row>
    <row r="4872" spans="1:28" x14ac:dyDescent="0.25">
      <c r="A4872" t="s">
        <v>4876</v>
      </c>
      <c r="B4872">
        <v>0.99352677808782597</v>
      </c>
      <c r="C4872">
        <v>0.92970044063988899</v>
      </c>
      <c r="D4872">
        <v>1.0081675154240699</v>
      </c>
      <c r="E4872">
        <v>0.78777884715076996</v>
      </c>
      <c r="F4872">
        <v>0.75408540042705097</v>
      </c>
      <c r="G4872">
        <v>0.635030847286574</v>
      </c>
      <c r="H4872">
        <v>0.44902427888164398</v>
      </c>
      <c r="I4872">
        <v>0.35128324014290602</v>
      </c>
      <c r="J4872">
        <v>0.138179732011424</v>
      </c>
      <c r="K4872">
        <v>6.96605081460408E-2</v>
      </c>
      <c r="L4872">
        <v>655.62342495590303</v>
      </c>
      <c r="M4872">
        <v>11.129790563266599</v>
      </c>
      <c r="N4872">
        <v>58.907092885786497</v>
      </c>
      <c r="O4872">
        <v>57.1013262657589</v>
      </c>
      <c r="P4872">
        <v>-4.8743977614197E-2</v>
      </c>
      <c r="Q4872">
        <v>0</v>
      </c>
      <c r="R4872">
        <v>0.96990535090701702</v>
      </c>
      <c r="S4872" t="s">
        <v>11157</v>
      </c>
      <c r="T4872" t="s">
        <v>12568</v>
      </c>
      <c r="U4872" t="s">
        <v>12568</v>
      </c>
      <c r="V4872" t="s">
        <v>12568</v>
      </c>
      <c r="W4872" t="s">
        <v>17390</v>
      </c>
      <c r="X4872">
        <v>11</v>
      </c>
      <c r="Y4872" t="s">
        <v>23495</v>
      </c>
      <c r="Z4872" t="s">
        <v>29742</v>
      </c>
      <c r="AA4872">
        <v>0.63708749169164591</v>
      </c>
      <c r="AB4872" t="str">
        <f>HYPERLINK("Melting_Curves/meltCurve_Q96SZ5_ADO.pdf", "Melting_Curves/meltCurve_Q96SZ5_ADO.pdf")</f>
        <v>Melting_Curves/meltCurve_Q96SZ5_ADO.pdf</v>
      </c>
    </row>
    <row r="4873" spans="1:28" x14ac:dyDescent="0.25">
      <c r="A4873" t="s">
        <v>4877</v>
      </c>
      <c r="B4873">
        <v>0.99352677808782597</v>
      </c>
      <c r="C4873">
        <v>0.89795592454905704</v>
      </c>
      <c r="D4873">
        <v>0.78809832447907302</v>
      </c>
      <c r="E4873">
        <v>0.65238548590150103</v>
      </c>
      <c r="F4873">
        <v>0.60395326803587202</v>
      </c>
      <c r="G4873">
        <v>0.33326572216153</v>
      </c>
      <c r="H4873">
        <v>0.22866785872838299</v>
      </c>
      <c r="I4873">
        <v>0.33361554463943099</v>
      </c>
      <c r="J4873">
        <v>0.156520863978688</v>
      </c>
      <c r="K4873">
        <v>0.18004040250122899</v>
      </c>
      <c r="L4873">
        <v>511.93285171851801</v>
      </c>
      <c r="M4873">
        <v>9.7467298014776809</v>
      </c>
      <c r="N4873">
        <v>53.773607650257702</v>
      </c>
      <c r="O4873">
        <v>50.455653634955603</v>
      </c>
      <c r="P4873">
        <v>-4.3421225533700702E-2</v>
      </c>
      <c r="Q4873">
        <v>0.10137181932023701</v>
      </c>
      <c r="R4873">
        <v>0.97067443551219601</v>
      </c>
      <c r="S4873" t="s">
        <v>11158</v>
      </c>
      <c r="T4873" t="s">
        <v>12568</v>
      </c>
      <c r="U4873" t="s">
        <v>12568</v>
      </c>
      <c r="V4873" t="s">
        <v>12568</v>
      </c>
      <c r="W4873" t="s">
        <v>17391</v>
      </c>
      <c r="X4873">
        <v>1</v>
      </c>
      <c r="Y4873" t="s">
        <v>23496</v>
      </c>
      <c r="Z4873" t="s">
        <v>29743</v>
      </c>
      <c r="AA4873">
        <v>0.50969909286169357</v>
      </c>
      <c r="AB4873" t="str">
        <f>HYPERLINK("Melting_Curves/meltCurve_Q96SZ6_2_CDK5RAP1.pdf", "Melting_Curves/meltCurve_Q96SZ6_2_CDK5RAP1.pdf")</f>
        <v>Melting_Curves/meltCurve_Q96SZ6_2_CDK5RAP1.pdf</v>
      </c>
    </row>
    <row r="4874" spans="1:28" x14ac:dyDescent="0.25">
      <c r="A4874" t="s">
        <v>4878</v>
      </c>
      <c r="B4874">
        <v>0.99352677808782597</v>
      </c>
      <c r="C4874">
        <v>0.95076027797752105</v>
      </c>
      <c r="D4874">
        <v>1.04494442023726</v>
      </c>
      <c r="E4874">
        <v>1.02559368330462</v>
      </c>
      <c r="F4874">
        <v>0.91396818444559802</v>
      </c>
      <c r="G4874">
        <v>0.88411810149171799</v>
      </c>
      <c r="H4874">
        <v>0.83488849295917</v>
      </c>
      <c r="I4874">
        <v>0.88606915531987795</v>
      </c>
      <c r="J4874">
        <v>0.92728763061667796</v>
      </c>
      <c r="K4874">
        <v>0.77061426765137497</v>
      </c>
      <c r="L4874">
        <v>13224.696913227501</v>
      </c>
      <c r="M4874">
        <v>250</v>
      </c>
      <c r="O4874">
        <v>52.895378361921203</v>
      </c>
      <c r="P4874">
        <v>-0.16471714557092901</v>
      </c>
      <c r="Q4874">
        <v>0.86059552434115905</v>
      </c>
      <c r="R4874">
        <v>0.699712104116612</v>
      </c>
      <c r="S4874" t="s">
        <v>11159</v>
      </c>
      <c r="T4874" t="s">
        <v>12568</v>
      </c>
      <c r="U4874" t="s">
        <v>12568</v>
      </c>
      <c r="V4874" t="s">
        <v>12568</v>
      </c>
      <c r="W4874" t="s">
        <v>17392</v>
      </c>
      <c r="X4874">
        <v>22</v>
      </c>
      <c r="Y4874" t="s">
        <v>23497</v>
      </c>
      <c r="Z4874" t="s">
        <v>29744</v>
      </c>
      <c r="AA4874">
        <v>0.92054675715122225</v>
      </c>
      <c r="AB4874" t="str">
        <f>HYPERLINK("Melting_Curves/meltCurve_Q96T17_MAP7D2.pdf", "Melting_Curves/meltCurve_Q96T17_MAP7D2.pdf")</f>
        <v>Melting_Curves/meltCurve_Q96T17_MAP7D2.pdf</v>
      </c>
    </row>
    <row r="4875" spans="1:28" x14ac:dyDescent="0.25">
      <c r="A4875" t="s">
        <v>4879</v>
      </c>
      <c r="B4875">
        <v>0.99352677808782597</v>
      </c>
      <c r="C4875">
        <v>0.95829433634996897</v>
      </c>
      <c r="D4875">
        <v>1.0174943441503801</v>
      </c>
      <c r="E4875">
        <v>0.66658549533567402</v>
      </c>
      <c r="F4875">
        <v>0.58628849412756101</v>
      </c>
      <c r="G4875">
        <v>0.36434189690322599</v>
      </c>
      <c r="H4875">
        <v>0.23928567100454301</v>
      </c>
      <c r="I4875">
        <v>0.238030342792697</v>
      </c>
      <c r="J4875">
        <v>0.17994568788945101</v>
      </c>
      <c r="K4875">
        <v>0.153788523737034</v>
      </c>
      <c r="L4875">
        <v>820.78790593186602</v>
      </c>
      <c r="M4875">
        <v>15.5817374640203</v>
      </c>
      <c r="N4875">
        <v>53.988262044269398</v>
      </c>
      <c r="O4875">
        <v>51.831529853896498</v>
      </c>
      <c r="P4875">
        <v>-6.3316057166552198E-2</v>
      </c>
      <c r="Q4875">
        <v>0.15760806090966301</v>
      </c>
      <c r="R4875">
        <v>0.98373568022673996</v>
      </c>
      <c r="S4875" t="s">
        <v>11160</v>
      </c>
      <c r="T4875" t="s">
        <v>12568</v>
      </c>
      <c r="U4875" t="s">
        <v>12568</v>
      </c>
      <c r="V4875" t="s">
        <v>12568</v>
      </c>
      <c r="W4875" t="s">
        <v>17393</v>
      </c>
      <c r="X4875">
        <v>4</v>
      </c>
      <c r="Y4875" t="s">
        <v>23498</v>
      </c>
      <c r="Z4875" t="s">
        <v>29745</v>
      </c>
      <c r="AA4875">
        <v>0.5309302931260359</v>
      </c>
      <c r="AB4875" t="str">
        <f>HYPERLINK("Melting_Curves/meltCurve_Q96T21_SECISBP2.pdf", "Melting_Curves/meltCurve_Q96T21_SECISBP2.pdf")</f>
        <v>Melting_Curves/meltCurve_Q96T21_SECISBP2.pdf</v>
      </c>
    </row>
    <row r="4876" spans="1:28" x14ac:dyDescent="0.25">
      <c r="A4876" t="s">
        <v>4880</v>
      </c>
      <c r="B4876">
        <v>0.99352677808782597</v>
      </c>
      <c r="C4876">
        <v>0.86107072655142303</v>
      </c>
      <c r="D4876">
        <v>0.94678406622982603</v>
      </c>
      <c r="E4876">
        <v>0.60034737288796303</v>
      </c>
      <c r="F4876">
        <v>0.52718185627740399</v>
      </c>
      <c r="G4876">
        <v>0.40744581938376101</v>
      </c>
      <c r="H4876">
        <v>0.349300799830431</v>
      </c>
      <c r="I4876">
        <v>0.35484647491981097</v>
      </c>
      <c r="J4876">
        <v>0.32692853501064201</v>
      </c>
      <c r="K4876">
        <v>0.31907427326939702</v>
      </c>
      <c r="L4876">
        <v>804.43752515250901</v>
      </c>
      <c r="M4876">
        <v>16.142147988205199</v>
      </c>
      <c r="N4876">
        <v>53.231063115037003</v>
      </c>
      <c r="O4876">
        <v>49.088626886919499</v>
      </c>
      <c r="P4876">
        <v>-5.5783992628244398E-2</v>
      </c>
      <c r="Q4876">
        <v>0.32149032891232399</v>
      </c>
      <c r="R4876">
        <v>0.97006718985770501</v>
      </c>
      <c r="S4876" t="s">
        <v>11161</v>
      </c>
      <c r="T4876" t="s">
        <v>12568</v>
      </c>
      <c r="U4876" t="s">
        <v>12568</v>
      </c>
      <c r="V4876" t="s">
        <v>12568</v>
      </c>
      <c r="W4876" t="s">
        <v>17394</v>
      </c>
      <c r="X4876">
        <v>4</v>
      </c>
      <c r="Y4876" t="s">
        <v>23499</v>
      </c>
      <c r="Z4876" t="s">
        <v>29746</v>
      </c>
      <c r="AA4876">
        <v>0.55815435481205211</v>
      </c>
      <c r="AB4876" t="str">
        <f>HYPERLINK("Melting_Curves/meltCurve_Q96T37_2_RBM15.pdf", "Melting_Curves/meltCurve_Q96T37_2_RBM15.pdf")</f>
        <v>Melting_Curves/meltCurve_Q96T37_2_RBM15.pdf</v>
      </c>
    </row>
    <row r="4877" spans="1:28" x14ac:dyDescent="0.25">
      <c r="A4877" t="s">
        <v>4881</v>
      </c>
      <c r="B4877">
        <v>0.99352677808782597</v>
      </c>
      <c r="C4877">
        <v>0.95924543245300797</v>
      </c>
      <c r="D4877">
        <v>0.91733418949872003</v>
      </c>
      <c r="E4877">
        <v>0.67486948255498902</v>
      </c>
      <c r="F4877">
        <v>0.63295948351076503</v>
      </c>
      <c r="G4877">
        <v>0.395461950049807</v>
      </c>
      <c r="H4877">
        <v>0.23103517158362599</v>
      </c>
      <c r="I4877">
        <v>0.19538329572830601</v>
      </c>
      <c r="J4877">
        <v>0.18616948048413701</v>
      </c>
      <c r="K4877">
        <v>0.14120647969240399</v>
      </c>
      <c r="L4877">
        <v>652.66787104817104</v>
      </c>
      <c r="M4877">
        <v>12.159601558388101</v>
      </c>
      <c r="N4877">
        <v>54.574417921195597</v>
      </c>
      <c r="O4877">
        <v>52.285287199648899</v>
      </c>
      <c r="P4877">
        <v>-5.2874236080412598E-2</v>
      </c>
      <c r="Q4877">
        <v>9.0789199770767395E-2</v>
      </c>
      <c r="R4877">
        <v>0.99199376182434895</v>
      </c>
      <c r="S4877" t="s">
        <v>11162</v>
      </c>
      <c r="T4877" t="s">
        <v>12568</v>
      </c>
      <c r="U4877" t="s">
        <v>12568</v>
      </c>
      <c r="V4877" t="s">
        <v>12568</v>
      </c>
      <c r="W4877" t="s">
        <v>17395</v>
      </c>
      <c r="X4877">
        <v>40</v>
      </c>
      <c r="Y4877" t="s">
        <v>23500</v>
      </c>
      <c r="Z4877" t="s">
        <v>29747</v>
      </c>
      <c r="AA4877">
        <v>0.5293889852631154</v>
      </c>
      <c r="AB4877" t="str">
        <f>HYPERLINK("Melting_Curves/meltCurve_Q96T51_RUFY1.pdf", "Melting_Curves/meltCurve_Q96T51_RUFY1.pdf")</f>
        <v>Melting_Curves/meltCurve_Q96T51_RUFY1.pdf</v>
      </c>
    </row>
    <row r="4878" spans="1:28" x14ac:dyDescent="0.25">
      <c r="A4878" t="s">
        <v>4882</v>
      </c>
      <c r="B4878">
        <v>0.99352677808782597</v>
      </c>
      <c r="C4878">
        <v>0.98062313216624297</v>
      </c>
      <c r="D4878">
        <v>0.98856854428026097</v>
      </c>
      <c r="E4878">
        <v>0.85739767499754205</v>
      </c>
      <c r="F4878">
        <v>0.78754862289600902</v>
      </c>
      <c r="G4878">
        <v>0.63344181456586601</v>
      </c>
      <c r="H4878">
        <v>0.53540904715489401</v>
      </c>
      <c r="I4878">
        <v>0.52829478351139403</v>
      </c>
      <c r="J4878">
        <v>0.54341478669589804</v>
      </c>
      <c r="K4878">
        <v>0.422813805066524</v>
      </c>
      <c r="L4878">
        <v>760.12599147033598</v>
      </c>
      <c r="M4878">
        <v>13.971163906355599</v>
      </c>
      <c r="N4878">
        <v>65.336014975288606</v>
      </c>
      <c r="O4878">
        <v>53.328488451702498</v>
      </c>
      <c r="P4878">
        <v>-3.5916506784317702E-2</v>
      </c>
      <c r="Q4878">
        <v>0.45169421281318001</v>
      </c>
      <c r="R4878">
        <v>0.98248897767988896</v>
      </c>
      <c r="S4878" t="s">
        <v>11163</v>
      </c>
      <c r="T4878" t="s">
        <v>12568</v>
      </c>
      <c r="U4878" t="s">
        <v>12568</v>
      </c>
      <c r="V4878" t="s">
        <v>12568</v>
      </c>
      <c r="W4878" t="s">
        <v>17396</v>
      </c>
      <c r="X4878">
        <v>22</v>
      </c>
      <c r="Y4878" t="s">
        <v>23501</v>
      </c>
      <c r="Z4878" t="s">
        <v>29748</v>
      </c>
      <c r="AA4878">
        <v>0.72690576211240387</v>
      </c>
      <c r="AB4878" t="str">
        <f>HYPERLINK("Melting_Curves/meltCurve_Q96T58_SPEN.pdf", "Melting_Curves/meltCurve_Q96T58_SPEN.pdf")</f>
        <v>Melting_Curves/meltCurve_Q96T58_SPEN.pdf</v>
      </c>
    </row>
    <row r="4879" spans="1:28" x14ac:dyDescent="0.25">
      <c r="A4879" t="s">
        <v>4883</v>
      </c>
      <c r="B4879">
        <v>0.99352677808782597</v>
      </c>
      <c r="C4879">
        <v>0.72248981858521399</v>
      </c>
      <c r="D4879">
        <v>0.39783139303516002</v>
      </c>
      <c r="E4879">
        <v>0.17031752754746499</v>
      </c>
      <c r="F4879">
        <v>0.13458316957930599</v>
      </c>
      <c r="G4879">
        <v>8.1355633308293804E-2</v>
      </c>
      <c r="H4879">
        <v>5.9131559892315902E-2</v>
      </c>
      <c r="I4879">
        <v>6.2840705103859903E-2</v>
      </c>
      <c r="J4879">
        <v>5.3305899934463899E-2</v>
      </c>
      <c r="K4879">
        <v>4.7264630154671701E-2</v>
      </c>
      <c r="L4879">
        <v>969.94198343119604</v>
      </c>
      <c r="M4879">
        <v>21.640618658078299</v>
      </c>
      <c r="N4879">
        <v>45.115912437569399</v>
      </c>
      <c r="O4879">
        <v>44.442980181673398</v>
      </c>
      <c r="P4879">
        <v>-0.11369163582599499</v>
      </c>
      <c r="Q4879">
        <v>6.60758048897961E-2</v>
      </c>
      <c r="R4879">
        <v>0.99387564530789396</v>
      </c>
      <c r="S4879" t="s">
        <v>11164</v>
      </c>
      <c r="T4879" t="s">
        <v>12568</v>
      </c>
      <c r="U4879" t="s">
        <v>12568</v>
      </c>
      <c r="V4879" t="s">
        <v>12568</v>
      </c>
      <c r="W4879" t="s">
        <v>17397</v>
      </c>
      <c r="X4879">
        <v>7</v>
      </c>
      <c r="Y4879" t="s">
        <v>23502</v>
      </c>
      <c r="Z4879" t="s">
        <v>29749</v>
      </c>
      <c r="AA4879">
        <v>0.22955276619819021</v>
      </c>
      <c r="AB4879" t="str">
        <f>HYPERLINK("Melting_Curves/meltCurve_Q96T60_PNKP.pdf", "Melting_Curves/meltCurve_Q96T60_PNKP.pdf")</f>
        <v>Melting_Curves/meltCurve_Q96T60_PNKP.pdf</v>
      </c>
    </row>
    <row r="4880" spans="1:28" x14ac:dyDescent="0.25">
      <c r="A4880" t="s">
        <v>4884</v>
      </c>
      <c r="B4880">
        <v>0.99352677808782597</v>
      </c>
      <c r="C4880">
        <v>0.85134096446197205</v>
      </c>
      <c r="D4880">
        <v>0.56122617637866001</v>
      </c>
      <c r="E4880">
        <v>0.24773316583605001</v>
      </c>
      <c r="F4880">
        <v>0.18897239377122799</v>
      </c>
      <c r="G4880">
        <v>0.10975579308736499</v>
      </c>
      <c r="H4880">
        <v>7.3932826567200696E-2</v>
      </c>
      <c r="I4880">
        <v>6.5082318034375405E-2</v>
      </c>
      <c r="J4880">
        <v>4.8472608394040897E-2</v>
      </c>
      <c r="K4880">
        <v>4.1465118872289E-2</v>
      </c>
      <c r="L4880">
        <v>873.21755431831605</v>
      </c>
      <c r="M4880">
        <v>18.7724799321342</v>
      </c>
      <c r="N4880">
        <v>46.846222366576697</v>
      </c>
      <c r="O4880">
        <v>45.997633939672802</v>
      </c>
      <c r="P4880">
        <v>-9.5707501958431501E-2</v>
      </c>
      <c r="Q4880">
        <v>6.2002642683345099E-2</v>
      </c>
      <c r="R4880">
        <v>0.99579433322544797</v>
      </c>
      <c r="S4880" t="s">
        <v>11165</v>
      </c>
      <c r="T4880" t="s">
        <v>12568</v>
      </c>
      <c r="U4880" t="s">
        <v>12568</v>
      </c>
      <c r="V4880" t="s">
        <v>12568</v>
      </c>
      <c r="W4880" t="s">
        <v>17398</v>
      </c>
      <c r="X4880">
        <v>16</v>
      </c>
      <c r="Y4880" t="s">
        <v>23503</v>
      </c>
      <c r="Z4880" t="s">
        <v>29750</v>
      </c>
      <c r="AA4880">
        <v>0.28191926036302412</v>
      </c>
      <c r="AB4880" t="str">
        <f>HYPERLINK("Melting_Curves/meltCurve_Q96T76_MMS19.pdf", "Melting_Curves/meltCurve_Q96T76_MMS19.pdf")</f>
        <v>Melting_Curves/meltCurve_Q96T76_MMS19.pdf</v>
      </c>
    </row>
    <row r="4881" spans="1:28" x14ac:dyDescent="0.25">
      <c r="A4881" t="s">
        <v>4885</v>
      </c>
      <c r="B4881">
        <v>0.99352677808782597</v>
      </c>
      <c r="C4881">
        <v>0.982532699256498</v>
      </c>
      <c r="D4881">
        <v>0.90078401600916203</v>
      </c>
      <c r="E4881">
        <v>0.68535263994432405</v>
      </c>
      <c r="F4881">
        <v>0.63734639128628301</v>
      </c>
      <c r="G4881">
        <v>0.357512472572522</v>
      </c>
      <c r="H4881">
        <v>0.27452804749981402</v>
      </c>
      <c r="I4881">
        <v>0.18876517443517399</v>
      </c>
      <c r="J4881">
        <v>0.19259374423464901</v>
      </c>
      <c r="K4881">
        <v>0.192785634807985</v>
      </c>
      <c r="L4881">
        <v>707.84224138005504</v>
      </c>
      <c r="M4881">
        <v>13.341137480452399</v>
      </c>
      <c r="N4881">
        <v>54.384960896287403</v>
      </c>
      <c r="O4881">
        <v>51.907544478163402</v>
      </c>
      <c r="P4881">
        <v>-5.5331747059707899E-2</v>
      </c>
      <c r="Q4881">
        <v>0.139001012133081</v>
      </c>
      <c r="R4881">
        <v>0.99109780553670401</v>
      </c>
      <c r="S4881" t="s">
        <v>11166</v>
      </c>
      <c r="T4881" t="s">
        <v>12568</v>
      </c>
      <c r="U4881" t="s">
        <v>12568</v>
      </c>
      <c r="V4881" t="s">
        <v>12568</v>
      </c>
      <c r="W4881" t="s">
        <v>17399</v>
      </c>
      <c r="X4881">
        <v>2</v>
      </c>
      <c r="Y4881" t="s">
        <v>23504</v>
      </c>
      <c r="Z4881" t="s">
        <v>29751</v>
      </c>
      <c r="AA4881">
        <v>0.53529290630374782</v>
      </c>
      <c r="AB4881" t="str">
        <f>HYPERLINK("Melting_Curves/meltCurve_Q96T88_UHRF1.pdf", "Melting_Curves/meltCurve_Q96T88_UHRF1.pdf")</f>
        <v>Melting_Curves/meltCurve_Q96T88_UHRF1.pdf</v>
      </c>
    </row>
    <row r="4882" spans="1:28" x14ac:dyDescent="0.25">
      <c r="A4882" t="s">
        <v>4886</v>
      </c>
      <c r="B4882">
        <v>0.99352677808782597</v>
      </c>
      <c r="C4882">
        <v>0.81351713869547504</v>
      </c>
      <c r="D4882">
        <v>0.94070268053068795</v>
      </c>
      <c r="E4882">
        <v>0.33575749458030102</v>
      </c>
      <c r="F4882">
        <v>0.25673554232815399</v>
      </c>
      <c r="G4882">
        <v>0.12063261538102001</v>
      </c>
      <c r="H4882">
        <v>7.6614163110170205E-2</v>
      </c>
      <c r="I4882">
        <v>7.1062210832367106E-2</v>
      </c>
      <c r="J4882">
        <v>5.7189029967428001E-2</v>
      </c>
      <c r="K4882">
        <v>4.5068104516470801E-2</v>
      </c>
      <c r="L4882">
        <v>1211.36380123405</v>
      </c>
      <c r="M4882">
        <v>24.768578399579798</v>
      </c>
      <c r="N4882">
        <v>49.210572068757301</v>
      </c>
      <c r="O4882">
        <v>48.591822515548799</v>
      </c>
      <c r="P4882">
        <v>-0.118413131515368</v>
      </c>
      <c r="Q4882">
        <v>7.0785710745984498E-2</v>
      </c>
      <c r="R4882">
        <v>0.96550710333565504</v>
      </c>
      <c r="S4882" t="s">
        <v>11167</v>
      </c>
      <c r="T4882" t="s">
        <v>12568</v>
      </c>
      <c r="U4882" t="s">
        <v>12568</v>
      </c>
      <c r="V4882" t="s">
        <v>12568</v>
      </c>
      <c r="W4882" t="s">
        <v>17400</v>
      </c>
      <c r="X4882">
        <v>27</v>
      </c>
      <c r="Y4882" t="s">
        <v>23505</v>
      </c>
      <c r="Z4882" t="s">
        <v>29752</v>
      </c>
      <c r="AA4882">
        <v>0.35506722239081012</v>
      </c>
      <c r="AB4882" t="str">
        <f>HYPERLINK("Melting_Curves/meltCurve_Q96TA1_FAM129B.pdf", "Melting_Curves/meltCurve_Q96TA1_FAM129B.pdf")</f>
        <v>Melting_Curves/meltCurve_Q96TA1_FAM129B.pdf</v>
      </c>
    </row>
    <row r="4883" spans="1:28" x14ac:dyDescent="0.25">
      <c r="A4883" t="s">
        <v>4887</v>
      </c>
      <c r="B4883">
        <v>0.99352677808782597</v>
      </c>
      <c r="C4883">
        <v>0.883054614010647</v>
      </c>
      <c r="D4883">
        <v>0.87852706182064599</v>
      </c>
      <c r="E4883">
        <v>0.66330588117750899</v>
      </c>
      <c r="F4883">
        <v>0.44859969031268299</v>
      </c>
      <c r="G4883">
        <v>0.31106538406309098</v>
      </c>
      <c r="H4883">
        <v>0.12511733488485399</v>
      </c>
      <c r="I4883">
        <v>0.122966297450244</v>
      </c>
      <c r="J4883">
        <v>5.9141567281928403E-2</v>
      </c>
      <c r="K4883">
        <v>4.5863787435699702E-2</v>
      </c>
      <c r="L4883">
        <v>638.19143940477704</v>
      </c>
      <c r="M4883">
        <v>12.139535628760299</v>
      </c>
      <c r="N4883">
        <v>52.571336041315398</v>
      </c>
      <c r="O4883">
        <v>51.205727287548903</v>
      </c>
      <c r="P4883">
        <v>-5.9282081395236698E-2</v>
      </c>
      <c r="Q4883">
        <v>0</v>
      </c>
      <c r="R4883">
        <v>0.99400794191688102</v>
      </c>
      <c r="S4883" t="s">
        <v>11168</v>
      </c>
      <c r="T4883" t="s">
        <v>12568</v>
      </c>
      <c r="U4883" t="s">
        <v>12568</v>
      </c>
      <c r="V4883" t="s">
        <v>12568</v>
      </c>
      <c r="W4883" t="s">
        <v>17401</v>
      </c>
      <c r="X4883">
        <v>1</v>
      </c>
      <c r="Y4883" t="s">
        <v>23506</v>
      </c>
      <c r="Z4883" t="s">
        <v>29753</v>
      </c>
      <c r="AA4883">
        <v>0.44804622282199591</v>
      </c>
      <c r="AB4883" t="str">
        <f>HYPERLINK("Melting_Curves/meltCurve_Q96TA2_3_YME1L1.pdf", "Melting_Curves/meltCurve_Q96TA2_3_YME1L1.pdf")</f>
        <v>Melting_Curves/meltCurve_Q96TA2_3_YME1L1.pdf</v>
      </c>
    </row>
    <row r="4884" spans="1:28" x14ac:dyDescent="0.25">
      <c r="A4884" t="s">
        <v>4888</v>
      </c>
      <c r="B4884">
        <v>0.99352677808782597</v>
      </c>
      <c r="C4884">
        <v>0.93120703748331002</v>
      </c>
      <c r="D4884">
        <v>0.99239373703115197</v>
      </c>
      <c r="E4884">
        <v>0.79304450091115097</v>
      </c>
      <c r="F4884">
        <v>0.68985522944787003</v>
      </c>
      <c r="G4884">
        <v>0.59218614322954899</v>
      </c>
      <c r="H4884">
        <v>0.47709181945420698</v>
      </c>
      <c r="I4884">
        <v>0.456096492671339</v>
      </c>
      <c r="J4884">
        <v>0.40505244790995798</v>
      </c>
      <c r="K4884">
        <v>0.36568599663722201</v>
      </c>
      <c r="L4884">
        <v>628.38233044631295</v>
      </c>
      <c r="M4884">
        <v>11.6094205975152</v>
      </c>
      <c r="N4884">
        <v>60.019214831562699</v>
      </c>
      <c r="O4884">
        <v>52.5957282047383</v>
      </c>
      <c r="P4884">
        <v>-3.6427668965961002E-2</v>
      </c>
      <c r="Q4884">
        <v>0.34004804859277599</v>
      </c>
      <c r="R4884">
        <v>0.98498742857794097</v>
      </c>
      <c r="S4884" t="s">
        <v>11169</v>
      </c>
      <c r="T4884" t="s">
        <v>12568</v>
      </c>
      <c r="U4884" t="s">
        <v>12568</v>
      </c>
      <c r="V4884" t="s">
        <v>12568</v>
      </c>
      <c r="W4884" t="s">
        <v>17402</v>
      </c>
      <c r="X4884">
        <v>8</v>
      </c>
      <c r="Y4884" t="s">
        <v>23507</v>
      </c>
      <c r="Z4884" t="s">
        <v>29754</v>
      </c>
      <c r="AA4884">
        <v>0.66834245276082604</v>
      </c>
      <c r="AB4884" t="str">
        <f>HYPERLINK("Melting_Curves/meltCurve_Q99081_TCF12.pdf", "Melting_Curves/meltCurve_Q99081_TCF12.pdf")</f>
        <v>Melting_Curves/meltCurve_Q99081_TCF12.pdf</v>
      </c>
    </row>
    <row r="4885" spans="1:28" x14ac:dyDescent="0.25">
      <c r="A4885" t="s">
        <v>4889</v>
      </c>
      <c r="B4885">
        <v>0.99352677808782597</v>
      </c>
      <c r="C4885">
        <v>0.96454703430286004</v>
      </c>
      <c r="D4885">
        <v>0.91484916947279005</v>
      </c>
      <c r="E4885">
        <v>0.77947685635428798</v>
      </c>
      <c r="F4885">
        <v>0.65687673500699495</v>
      </c>
      <c r="G4885">
        <v>0.56494047819024495</v>
      </c>
      <c r="H4885">
        <v>0.46456835244696898</v>
      </c>
      <c r="I4885">
        <v>0.46499317387793299</v>
      </c>
      <c r="J4885">
        <v>0.52534178391863195</v>
      </c>
      <c r="K4885">
        <v>0.46143084180428601</v>
      </c>
      <c r="L4885">
        <v>799.00542741405695</v>
      </c>
      <c r="M4885">
        <v>15.649726676339199</v>
      </c>
      <c r="N4885">
        <v>61.210853242271597</v>
      </c>
      <c r="O4885">
        <v>50.243707892887002</v>
      </c>
      <c r="P4885">
        <v>-4.1840375512932501E-2</v>
      </c>
      <c r="Q4885">
        <v>0.462729079107779</v>
      </c>
      <c r="R4885">
        <v>0.98899082888863299</v>
      </c>
      <c r="S4885" t="s">
        <v>11170</v>
      </c>
      <c r="T4885" t="s">
        <v>12568</v>
      </c>
      <c r="U4885" t="s">
        <v>12568</v>
      </c>
      <c r="V4885" t="s">
        <v>12568</v>
      </c>
      <c r="W4885" t="s">
        <v>17403</v>
      </c>
      <c r="X4885">
        <v>10</v>
      </c>
      <c r="Y4885" t="s">
        <v>23508</v>
      </c>
      <c r="Z4885" t="s">
        <v>29755</v>
      </c>
      <c r="AA4885">
        <v>0.67226974662058703</v>
      </c>
      <c r="AB4885" t="str">
        <f>HYPERLINK("Melting_Curves/meltCurve_Q99417_MYCBP.pdf", "Melting_Curves/meltCurve_Q99417_MYCBP.pdf")</f>
        <v>Melting_Curves/meltCurve_Q99417_MYCBP.pdf</v>
      </c>
    </row>
    <row r="4886" spans="1:28" x14ac:dyDescent="0.25">
      <c r="A4886" t="s">
        <v>4890</v>
      </c>
      <c r="B4886">
        <v>0.99352677808782597</v>
      </c>
      <c r="C4886">
        <v>0.96496617780712501</v>
      </c>
      <c r="D4886">
        <v>1.0751998082723</v>
      </c>
      <c r="E4886">
        <v>0.82886353162469295</v>
      </c>
      <c r="F4886">
        <v>0.80964769476750298</v>
      </c>
      <c r="G4886">
        <v>0.352283656664162</v>
      </c>
      <c r="H4886">
        <v>0.177501141242351</v>
      </c>
      <c r="I4886">
        <v>0.180390772705321</v>
      </c>
      <c r="J4886">
        <v>0.12904416198503901</v>
      </c>
      <c r="K4886">
        <v>0.109139448896731</v>
      </c>
      <c r="L4886">
        <v>1353.36419490555</v>
      </c>
      <c r="M4886">
        <v>24.612144487214302</v>
      </c>
      <c r="N4886">
        <v>55.598336576697598</v>
      </c>
      <c r="O4886">
        <v>54.628492245787697</v>
      </c>
      <c r="P4886">
        <v>-9.9295674840120293E-2</v>
      </c>
      <c r="Q4886">
        <v>0.118435759872507</v>
      </c>
      <c r="R4886">
        <v>0.98357875976164</v>
      </c>
      <c r="S4886" t="s">
        <v>11171</v>
      </c>
      <c r="T4886" t="s">
        <v>12568</v>
      </c>
      <c r="U4886" t="s">
        <v>12568</v>
      </c>
      <c r="V4886" t="s">
        <v>12568</v>
      </c>
      <c r="W4886" t="s">
        <v>17404</v>
      </c>
      <c r="X4886">
        <v>20</v>
      </c>
      <c r="Y4886" t="s">
        <v>23509</v>
      </c>
      <c r="Z4886" t="s">
        <v>29756</v>
      </c>
      <c r="AA4886">
        <v>0.56723713750041904</v>
      </c>
      <c r="AB4886" t="str">
        <f>HYPERLINK("Melting_Curves/meltCurve_Q99426_TBCB.pdf", "Melting_Curves/meltCurve_Q99426_TBCB.pdf")</f>
        <v>Melting_Curves/meltCurve_Q99426_TBCB.pdf</v>
      </c>
    </row>
    <row r="4887" spans="1:28" x14ac:dyDescent="0.25">
      <c r="A4887" t="s">
        <v>4891</v>
      </c>
      <c r="B4887">
        <v>0.99352677808782597</v>
      </c>
      <c r="C4887">
        <v>0.99656580688308605</v>
      </c>
      <c r="D4887">
        <v>0.82868426169535003</v>
      </c>
      <c r="E4887">
        <v>1.6406126403455401</v>
      </c>
      <c r="F4887">
        <v>1.25552542244629</v>
      </c>
      <c r="G4887">
        <v>1.4885134602180501</v>
      </c>
      <c r="H4887">
        <v>2.38353100577877</v>
      </c>
      <c r="I4887">
        <v>2.3500334872275901</v>
      </c>
      <c r="J4887">
        <v>2.9199625175465602</v>
      </c>
      <c r="K4887">
        <v>2.9083214114737999</v>
      </c>
      <c r="L4887">
        <v>11985.892860629399</v>
      </c>
      <c r="M4887">
        <v>250</v>
      </c>
      <c r="O4887">
        <v>47.940483707621397</v>
      </c>
      <c r="P4887">
        <v>0.65184964187660399</v>
      </c>
      <c r="Q4887">
        <v>1.5</v>
      </c>
      <c r="R4887">
        <v>2.88204959775753E-2</v>
      </c>
      <c r="S4887" t="s">
        <v>11172</v>
      </c>
      <c r="T4887" t="s">
        <v>12568</v>
      </c>
      <c r="U4887" t="s">
        <v>12568</v>
      </c>
      <c r="V4887" t="s">
        <v>12568</v>
      </c>
      <c r="W4887" t="s">
        <v>17405</v>
      </c>
      <c r="X4887">
        <v>7</v>
      </c>
      <c r="Y4887" t="s">
        <v>23510</v>
      </c>
      <c r="Z4887" t="s">
        <v>29757</v>
      </c>
      <c r="AA4887">
        <v>1.367565072513889</v>
      </c>
      <c r="AB4887" t="str">
        <f>HYPERLINK("Melting_Curves/meltCurve_Q99436_PSMB7.pdf", "Melting_Curves/meltCurve_Q99436_PSMB7.pdf")</f>
        <v>Melting_Curves/meltCurve_Q99436_PSMB7.pdf</v>
      </c>
    </row>
    <row r="4888" spans="1:28" x14ac:dyDescent="0.25">
      <c r="A4888" t="s">
        <v>4892</v>
      </c>
      <c r="B4888">
        <v>0.99352677808782597</v>
      </c>
      <c r="C4888">
        <v>0.96549522131149801</v>
      </c>
      <c r="D4888">
        <v>0.95346098863333095</v>
      </c>
      <c r="E4888">
        <v>0.58564578734783002</v>
      </c>
      <c r="F4888">
        <v>0.56186211001192798</v>
      </c>
      <c r="G4888">
        <v>0.30609654175329198</v>
      </c>
      <c r="H4888">
        <v>0.19405866497604701</v>
      </c>
      <c r="I4888">
        <v>0.19770589302866901</v>
      </c>
      <c r="J4888">
        <v>0.15550277465912099</v>
      </c>
      <c r="K4888">
        <v>0.13527108311324901</v>
      </c>
      <c r="L4888">
        <v>768.25793574280999</v>
      </c>
      <c r="M4888">
        <v>14.805682187996901</v>
      </c>
      <c r="N4888">
        <v>52.935916073262803</v>
      </c>
      <c r="O4888">
        <v>50.9703697408438</v>
      </c>
      <c r="P4888">
        <v>-6.3412145948697096E-2</v>
      </c>
      <c r="Q4888">
        <v>0.12687658493214701</v>
      </c>
      <c r="R4888">
        <v>0.98333928833610396</v>
      </c>
      <c r="S4888" t="s">
        <v>11173</v>
      </c>
      <c r="T4888" t="s">
        <v>12568</v>
      </c>
      <c r="U4888" t="s">
        <v>12568</v>
      </c>
      <c r="V4888" t="s">
        <v>12568</v>
      </c>
      <c r="W4888" t="s">
        <v>17406</v>
      </c>
      <c r="X4888">
        <v>10</v>
      </c>
      <c r="Y4888" t="s">
        <v>23511</v>
      </c>
      <c r="Z4888" t="s">
        <v>29758</v>
      </c>
      <c r="AA4888">
        <v>0.49289823920658937</v>
      </c>
      <c r="AB4888" t="str">
        <f>HYPERLINK("Melting_Curves/meltCurve_Q99447_PCYT2.pdf", "Melting_Curves/meltCurve_Q99447_PCYT2.pdf")</f>
        <v>Melting_Curves/meltCurve_Q99447_PCYT2.pdf</v>
      </c>
    </row>
    <row r="4889" spans="1:28" x14ac:dyDescent="0.25">
      <c r="A4889" t="s">
        <v>4893</v>
      </c>
      <c r="B4889">
        <v>0.99352677808782597</v>
      </c>
      <c r="C4889">
        <v>0.87662121230916701</v>
      </c>
      <c r="D4889">
        <v>0.86524927772856197</v>
      </c>
      <c r="E4889">
        <v>0.65428087600368801</v>
      </c>
      <c r="F4889">
        <v>0.57111974810298605</v>
      </c>
      <c r="G4889">
        <v>0.47619689138916899</v>
      </c>
      <c r="H4889">
        <v>0.40271961718594601</v>
      </c>
      <c r="I4889">
        <v>0.41972797150972402</v>
      </c>
      <c r="J4889">
        <v>0.46464739584318199</v>
      </c>
      <c r="K4889">
        <v>0.400873487235203</v>
      </c>
      <c r="L4889">
        <v>678.95699070137698</v>
      </c>
      <c r="M4889">
        <v>13.827645730571501</v>
      </c>
      <c r="N4889">
        <v>55.668463001663802</v>
      </c>
      <c r="O4889">
        <v>48.108641701414399</v>
      </c>
      <c r="P4889">
        <v>-4.2965037489764803E-2</v>
      </c>
      <c r="Q4889">
        <v>0.40215339833497799</v>
      </c>
      <c r="R4889">
        <v>0.98163329311311098</v>
      </c>
      <c r="S4889" t="s">
        <v>11174</v>
      </c>
      <c r="T4889" t="s">
        <v>12568</v>
      </c>
      <c r="U4889" t="s">
        <v>12568</v>
      </c>
      <c r="V4889" t="s">
        <v>12568</v>
      </c>
      <c r="W4889" t="s">
        <v>17407</v>
      </c>
      <c r="X4889">
        <v>11</v>
      </c>
      <c r="Y4889" t="s">
        <v>23512</v>
      </c>
      <c r="Z4889" t="s">
        <v>29759</v>
      </c>
      <c r="AA4889">
        <v>0.60059877801562012</v>
      </c>
      <c r="AB4889" t="str">
        <f>HYPERLINK("Melting_Curves/meltCurve_Q99459_CDC5L.pdf", "Melting_Curves/meltCurve_Q99459_CDC5L.pdf")</f>
        <v>Melting_Curves/meltCurve_Q99459_CDC5L.pdf</v>
      </c>
    </row>
    <row r="4890" spans="1:28" x14ac:dyDescent="0.25">
      <c r="A4890" t="s">
        <v>4894</v>
      </c>
      <c r="B4890">
        <v>0.99352677808782597</v>
      </c>
      <c r="C4890">
        <v>0.985501293044455</v>
      </c>
      <c r="D4890">
        <v>0.78647565121493301</v>
      </c>
      <c r="E4890">
        <v>1.15470669975127</v>
      </c>
      <c r="F4890">
        <v>0.91625584914758496</v>
      </c>
      <c r="G4890">
        <v>0.55285618033823303</v>
      </c>
      <c r="H4890">
        <v>0.37687574898253701</v>
      </c>
      <c r="I4890">
        <v>0.28901652331321898</v>
      </c>
      <c r="J4890">
        <v>0.282847892725761</v>
      </c>
      <c r="K4890">
        <v>0.18737425816706399</v>
      </c>
      <c r="L4890">
        <v>1769.0791588498701</v>
      </c>
      <c r="M4890">
        <v>31.2852579953949</v>
      </c>
      <c r="N4890">
        <v>57.869658856035898</v>
      </c>
      <c r="O4890">
        <v>56.317202696819301</v>
      </c>
      <c r="P4890">
        <v>-0.103403511942589</v>
      </c>
      <c r="Q4890">
        <v>0.25544940443859598</v>
      </c>
      <c r="R4890">
        <v>0.92739077269796499</v>
      </c>
      <c r="S4890" t="s">
        <v>11175</v>
      </c>
      <c r="T4890" t="s">
        <v>12568</v>
      </c>
      <c r="U4890" t="s">
        <v>12568</v>
      </c>
      <c r="V4890" t="s">
        <v>12568</v>
      </c>
      <c r="W4890" t="s">
        <v>17408</v>
      </c>
      <c r="X4890">
        <v>32</v>
      </c>
      <c r="Y4890" t="s">
        <v>23513</v>
      </c>
      <c r="Z4890" t="s">
        <v>29760</v>
      </c>
      <c r="AA4890">
        <v>0.67071490185234284</v>
      </c>
      <c r="AB4890" t="str">
        <f>HYPERLINK("Melting_Curves/meltCurve_Q99460_PSMD1.pdf", "Melting_Curves/meltCurve_Q99460_PSMD1.pdf")</f>
        <v>Melting_Curves/meltCurve_Q99460_PSMD1.pdf</v>
      </c>
    </row>
    <row r="4891" spans="1:28" x14ac:dyDescent="0.25">
      <c r="A4891" t="s">
        <v>4895</v>
      </c>
      <c r="B4891">
        <v>0.99352677808782597</v>
      </c>
      <c r="C4891">
        <v>0.69537797381065802</v>
      </c>
      <c r="D4891">
        <v>1.14372797788055</v>
      </c>
      <c r="E4891">
        <v>0.87887431610324296</v>
      </c>
      <c r="F4891">
        <v>0.74541151714229803</v>
      </c>
      <c r="G4891">
        <v>0.72079499441448602</v>
      </c>
      <c r="H4891">
        <v>0.70167909814067297</v>
      </c>
      <c r="I4891">
        <v>0.61220116441877803</v>
      </c>
      <c r="J4891">
        <v>0.58159859867016395</v>
      </c>
      <c r="K4891">
        <v>0.44064133867053101</v>
      </c>
      <c r="L4891">
        <v>329.46875309579502</v>
      </c>
      <c r="M4891">
        <v>4.7336456039079797</v>
      </c>
      <c r="N4891">
        <v>69.601482853762207</v>
      </c>
      <c r="O4891">
        <v>59.943263308387202</v>
      </c>
      <c r="P4891">
        <v>-1.9887917574940399E-2</v>
      </c>
      <c r="Q4891">
        <v>0</v>
      </c>
      <c r="R4891">
        <v>0.66560507277657699</v>
      </c>
      <c r="S4891" t="s">
        <v>11176</v>
      </c>
      <c r="T4891" t="s">
        <v>12568</v>
      </c>
      <c r="U4891" t="s">
        <v>12568</v>
      </c>
      <c r="V4891" t="s">
        <v>12568</v>
      </c>
      <c r="W4891" t="s">
        <v>17409</v>
      </c>
      <c r="X4891">
        <v>11</v>
      </c>
      <c r="Y4891" t="s">
        <v>23514</v>
      </c>
      <c r="Z4891" t="s">
        <v>29761</v>
      </c>
      <c r="AA4891">
        <v>0.76229082068203025</v>
      </c>
      <c r="AB4891" t="str">
        <f>HYPERLINK("Melting_Curves/meltCurve_Q99471_PFDN5.pdf", "Melting_Curves/meltCurve_Q99471_PFDN5.pdf")</f>
        <v>Melting_Curves/meltCurve_Q99471_PFDN5.pdf</v>
      </c>
    </row>
    <row r="4892" spans="1:28" x14ac:dyDescent="0.25">
      <c r="A4892" t="s">
        <v>4896</v>
      </c>
      <c r="B4892">
        <v>0.99352677808782597</v>
      </c>
      <c r="C4892">
        <v>0.93020913489096302</v>
      </c>
      <c r="D4892">
        <v>0.87892043394135999</v>
      </c>
      <c r="E4892">
        <v>0.50058467809071405</v>
      </c>
      <c r="F4892">
        <v>0.44239720694998802</v>
      </c>
      <c r="G4892">
        <v>0.235126585173733</v>
      </c>
      <c r="H4892">
        <v>0.211893762383837</v>
      </c>
      <c r="I4892">
        <v>0.14418687664927801</v>
      </c>
      <c r="J4892">
        <v>0.155650251957059</v>
      </c>
      <c r="K4892">
        <v>9.2655861050373003E-2</v>
      </c>
      <c r="L4892">
        <v>763.68457091817197</v>
      </c>
      <c r="M4892">
        <v>15.2022811807445</v>
      </c>
      <c r="N4892">
        <v>51.162161039650897</v>
      </c>
      <c r="O4892">
        <v>49.389664320800101</v>
      </c>
      <c r="P4892">
        <v>-6.7691005215823802E-2</v>
      </c>
      <c r="Q4892">
        <v>0.120416990211675</v>
      </c>
      <c r="R4892">
        <v>0.98733553894353898</v>
      </c>
      <c r="S4892" t="s">
        <v>11177</v>
      </c>
      <c r="T4892" t="s">
        <v>12568</v>
      </c>
      <c r="U4892" t="s">
        <v>12568</v>
      </c>
      <c r="V4892" t="s">
        <v>12568</v>
      </c>
      <c r="W4892" t="s">
        <v>17410</v>
      </c>
      <c r="X4892">
        <v>4</v>
      </c>
      <c r="Y4892" t="s">
        <v>23515</v>
      </c>
      <c r="Z4892" t="s">
        <v>29762</v>
      </c>
      <c r="AA4892">
        <v>0.44083302125550922</v>
      </c>
      <c r="AB4892" t="str">
        <f>HYPERLINK("Melting_Curves/meltCurve_Q99487_PAFAH2.pdf", "Melting_Curves/meltCurve_Q99487_PAFAH2.pdf")</f>
        <v>Melting_Curves/meltCurve_Q99487_PAFAH2.pdf</v>
      </c>
    </row>
    <row r="4893" spans="1:28" x14ac:dyDescent="0.25">
      <c r="A4893" t="s">
        <v>4897</v>
      </c>
      <c r="B4893">
        <v>0.99352677808782597</v>
      </c>
      <c r="C4893">
        <v>1.0015583356061799</v>
      </c>
      <c r="D4893">
        <v>0.95844269708735497</v>
      </c>
      <c r="E4893">
        <v>0.78571889346368895</v>
      </c>
      <c r="F4893">
        <v>0.68594302478939195</v>
      </c>
      <c r="G4893">
        <v>0.55041675137757895</v>
      </c>
      <c r="H4893">
        <v>0.444771992269267</v>
      </c>
      <c r="I4893">
        <v>0.40253893219498499</v>
      </c>
      <c r="J4893">
        <v>0.39094313812043402</v>
      </c>
      <c r="K4893">
        <v>0.27224393354104698</v>
      </c>
      <c r="L4893">
        <v>630.40611658335195</v>
      </c>
      <c r="M4893">
        <v>11.5478145520244</v>
      </c>
      <c r="N4893">
        <v>58.588335699652703</v>
      </c>
      <c r="O4893">
        <v>53.0308685519758</v>
      </c>
      <c r="P4893">
        <v>-3.9610154848136202E-2</v>
      </c>
      <c r="Q4893">
        <v>0.27259879546356602</v>
      </c>
      <c r="R4893">
        <v>0.98824767250420398</v>
      </c>
      <c r="S4893" t="s">
        <v>11178</v>
      </c>
      <c r="T4893" t="s">
        <v>12568</v>
      </c>
      <c r="U4893" t="s">
        <v>12568</v>
      </c>
      <c r="V4893" t="s">
        <v>12568</v>
      </c>
      <c r="W4893" t="s">
        <v>17411</v>
      </c>
      <c r="X4893">
        <v>6</v>
      </c>
      <c r="Y4893" t="s">
        <v>23516</v>
      </c>
      <c r="Z4893" t="s">
        <v>29763</v>
      </c>
      <c r="AA4893">
        <v>0.64479573622227959</v>
      </c>
      <c r="AB4893" t="str">
        <f>HYPERLINK("Melting_Curves/meltCurve_Q99496_RNF2.pdf", "Melting_Curves/meltCurve_Q99496_RNF2.pdf")</f>
        <v>Melting_Curves/meltCurve_Q99496_RNF2.pdf</v>
      </c>
    </row>
    <row r="4894" spans="1:28" x14ac:dyDescent="0.25">
      <c r="A4894" t="s">
        <v>4898</v>
      </c>
      <c r="B4894">
        <v>0.99352677808782597</v>
      </c>
      <c r="C4894">
        <v>0.92339789874316702</v>
      </c>
      <c r="D4894">
        <v>0.99390212305777903</v>
      </c>
      <c r="E4894">
        <v>0.95762823983226997</v>
      </c>
      <c r="F4894">
        <v>0.93241876290505499</v>
      </c>
      <c r="G4894">
        <v>0.81837321407137698</v>
      </c>
      <c r="H4894">
        <v>0.66092951884163598</v>
      </c>
      <c r="I4894">
        <v>0.51323657510882603</v>
      </c>
      <c r="J4894">
        <v>0.44996657786666799</v>
      </c>
      <c r="K4894">
        <v>0.35332559251644502</v>
      </c>
      <c r="L4894">
        <v>796.49917445568099</v>
      </c>
      <c r="M4894">
        <v>12.7757990114152</v>
      </c>
      <c r="N4894">
        <v>64.925547048289602</v>
      </c>
      <c r="O4894">
        <v>60.8761172997541</v>
      </c>
      <c r="P4894">
        <v>-4.2026944592967401E-2</v>
      </c>
      <c r="Q4894">
        <v>0.19912510334792999</v>
      </c>
      <c r="R4894">
        <v>0.98796550685703399</v>
      </c>
      <c r="S4894" t="s">
        <v>11179</v>
      </c>
      <c r="T4894" t="s">
        <v>12568</v>
      </c>
      <c r="U4894" t="s">
        <v>12568</v>
      </c>
      <c r="V4894" t="s">
        <v>12568</v>
      </c>
      <c r="W4894" t="s">
        <v>17412</v>
      </c>
      <c r="X4894">
        <v>19</v>
      </c>
      <c r="Y4894" t="s">
        <v>23517</v>
      </c>
      <c r="Z4894" t="s">
        <v>29764</v>
      </c>
      <c r="AA4894">
        <v>0.78671716259218583</v>
      </c>
      <c r="AB4894" t="str">
        <f>HYPERLINK("Melting_Curves/meltCurve_Q99497_PARK7.pdf", "Melting_Curves/meltCurve_Q99497_PARK7.pdf")</f>
        <v>Melting_Curves/meltCurve_Q99497_PARK7.pdf</v>
      </c>
    </row>
    <row r="4895" spans="1:28" x14ac:dyDescent="0.25">
      <c r="A4895" t="s">
        <v>4899</v>
      </c>
      <c r="B4895">
        <v>0.99352677808782597</v>
      </c>
      <c r="C4895">
        <v>0.80564083264923003</v>
      </c>
      <c r="D4895">
        <v>1.0409996197815601</v>
      </c>
      <c r="E4895">
        <v>0.91290527656040699</v>
      </c>
      <c r="F4895">
        <v>0.77476414513320602</v>
      </c>
      <c r="G4895">
        <v>0.66218319242795098</v>
      </c>
      <c r="H4895">
        <v>0.53500893718569398</v>
      </c>
      <c r="I4895">
        <v>0.49842040901240803</v>
      </c>
      <c r="J4895">
        <v>0.52855045837012704</v>
      </c>
      <c r="K4895">
        <v>0.50409687800610403</v>
      </c>
      <c r="L4895">
        <v>957.305337337374</v>
      </c>
      <c r="M4895">
        <v>17.682202753613701</v>
      </c>
      <c r="N4895">
        <v>69.744436680123201</v>
      </c>
      <c r="O4895">
        <v>53.461269197123102</v>
      </c>
      <c r="P4895">
        <v>-4.2136773901807201E-2</v>
      </c>
      <c r="Q4895">
        <v>0.49043312853218002</v>
      </c>
      <c r="R4895">
        <v>0.8934992396243</v>
      </c>
      <c r="S4895" t="s">
        <v>11180</v>
      </c>
      <c r="T4895" t="s">
        <v>12568</v>
      </c>
      <c r="U4895" t="s">
        <v>12568</v>
      </c>
      <c r="V4895" t="s">
        <v>12568</v>
      </c>
      <c r="W4895" t="s">
        <v>17413</v>
      </c>
      <c r="X4895">
        <v>3</v>
      </c>
      <c r="Y4895" t="s">
        <v>23518</v>
      </c>
      <c r="Z4895" t="s">
        <v>29765</v>
      </c>
      <c r="AA4895">
        <v>0.73893416964976733</v>
      </c>
      <c r="AB4895" t="str">
        <f>HYPERLINK("Melting_Curves/meltCurve_Q99501_GAS2L1.pdf", "Melting_Curves/meltCurve_Q99501_GAS2L1.pdf")</f>
        <v>Melting_Curves/meltCurve_Q99501_GAS2L1.pdf</v>
      </c>
    </row>
    <row r="4896" spans="1:28" x14ac:dyDescent="0.25">
      <c r="A4896" t="s">
        <v>4900</v>
      </c>
      <c r="B4896">
        <v>0.99352677808782597</v>
      </c>
      <c r="C4896">
        <v>0.98531847761594804</v>
      </c>
      <c r="D4896">
        <v>0.73066171831519999</v>
      </c>
      <c r="E4896">
        <v>0.23223334436478099</v>
      </c>
      <c r="F4896">
        <v>0.158874741448365</v>
      </c>
      <c r="G4896">
        <v>0.10601229444413</v>
      </c>
      <c r="H4896">
        <v>7.8755400213389504E-2</v>
      </c>
      <c r="I4896">
        <v>6.9878327424910597E-2</v>
      </c>
      <c r="J4896">
        <v>7.0520020292079405E-2</v>
      </c>
      <c r="K4896">
        <v>4.2559449424536398E-2</v>
      </c>
      <c r="L4896">
        <v>1375.6892492647701</v>
      </c>
      <c r="M4896">
        <v>28.999984967205901</v>
      </c>
      <c r="N4896">
        <v>47.712225636719097</v>
      </c>
      <c r="O4896">
        <v>47.213732789394903</v>
      </c>
      <c r="P4896">
        <v>-0.14175402072035401</v>
      </c>
      <c r="Q4896">
        <v>7.6870348803415006E-2</v>
      </c>
      <c r="R4896">
        <v>0.99691665885407599</v>
      </c>
      <c r="S4896" t="s">
        <v>11181</v>
      </c>
      <c r="T4896" t="s">
        <v>12568</v>
      </c>
      <c r="U4896" t="s">
        <v>12568</v>
      </c>
      <c r="V4896" t="s">
        <v>12568</v>
      </c>
      <c r="W4896" t="s">
        <v>17414</v>
      </c>
      <c r="X4896">
        <v>2</v>
      </c>
      <c r="Y4896" t="s">
        <v>23519</v>
      </c>
      <c r="Z4896" t="s">
        <v>29766</v>
      </c>
      <c r="AA4896">
        <v>0.31168298313282999</v>
      </c>
      <c r="AB4896" t="str">
        <f>HYPERLINK("Melting_Curves/meltCurve_Q99504_2_EYA3.pdf", "Melting_Curves/meltCurve_Q99504_2_EYA3.pdf")</f>
        <v>Melting_Curves/meltCurve_Q99504_2_EYA3.pdf</v>
      </c>
    </row>
    <row r="4897" spans="1:28" x14ac:dyDescent="0.25">
      <c r="A4897" t="s">
        <v>4901</v>
      </c>
      <c r="B4897">
        <v>0.99352677808782597</v>
      </c>
      <c r="C4897">
        <v>0.92272808020490604</v>
      </c>
      <c r="D4897">
        <v>0.78311070519046899</v>
      </c>
      <c r="E4897">
        <v>0.46804395372290702</v>
      </c>
      <c r="F4897">
        <v>0.348075196139847</v>
      </c>
      <c r="G4897">
        <v>0.23543259319822099</v>
      </c>
      <c r="H4897">
        <v>0.15622249442456701</v>
      </c>
      <c r="I4897">
        <v>0.14014240317212601</v>
      </c>
      <c r="J4897">
        <v>0.13906030634160399</v>
      </c>
      <c r="K4897">
        <v>0.10180768600658099</v>
      </c>
      <c r="L4897">
        <v>762.154470063193</v>
      </c>
      <c r="M4897">
        <v>15.5092834361059</v>
      </c>
      <c r="N4897">
        <v>50.004413176187697</v>
      </c>
      <c r="O4897">
        <v>48.346573336571304</v>
      </c>
      <c r="P4897">
        <v>-7.0791857273325501E-2</v>
      </c>
      <c r="Q4897">
        <v>0.117369801995303</v>
      </c>
      <c r="R4897">
        <v>0.99720602346645804</v>
      </c>
      <c r="S4897" t="s">
        <v>11182</v>
      </c>
      <c r="T4897" t="s">
        <v>12568</v>
      </c>
      <c r="U4897" t="s">
        <v>12568</v>
      </c>
      <c r="V4897" t="s">
        <v>12568</v>
      </c>
      <c r="W4897" t="s">
        <v>17415</v>
      </c>
      <c r="X4897">
        <v>5</v>
      </c>
      <c r="Y4897" t="s">
        <v>23520</v>
      </c>
      <c r="Z4897" t="s">
        <v>29767</v>
      </c>
      <c r="AA4897">
        <v>0.40668439258431188</v>
      </c>
      <c r="AB4897" t="str">
        <f>HYPERLINK("Melting_Curves/meltCurve_Q99519_NEU1.pdf", "Melting_Curves/meltCurve_Q99519_NEU1.pdf")</f>
        <v>Melting_Curves/meltCurve_Q99519_NEU1.pdf</v>
      </c>
    </row>
    <row r="4898" spans="1:28" x14ac:dyDescent="0.25">
      <c r="A4898" t="s">
        <v>4902</v>
      </c>
      <c r="B4898">
        <v>0.99352677808782597</v>
      </c>
      <c r="C4898">
        <v>0.71188358457493695</v>
      </c>
      <c r="D4898">
        <v>1.0345302128360501</v>
      </c>
      <c r="E4898">
        <v>0.77366811590617501</v>
      </c>
      <c r="F4898">
        <v>0.66322311860930705</v>
      </c>
      <c r="G4898">
        <v>0.529805009191889</v>
      </c>
      <c r="H4898">
        <v>0.32529966988387299</v>
      </c>
      <c r="I4898">
        <v>0.174308873757266</v>
      </c>
      <c r="J4898">
        <v>0.13659728059947801</v>
      </c>
      <c r="K4898">
        <v>0.100992053416707</v>
      </c>
      <c r="L4898">
        <v>604.94462203356397</v>
      </c>
      <c r="M4898">
        <v>10.7124825419262</v>
      </c>
      <c r="N4898">
        <v>56.471003626953703</v>
      </c>
      <c r="O4898">
        <v>54.609863979993499</v>
      </c>
      <c r="P4898">
        <v>-4.90593065929966E-2</v>
      </c>
      <c r="Q4898">
        <v>0</v>
      </c>
      <c r="R4898">
        <v>0.92156333763092202</v>
      </c>
      <c r="S4898" t="s">
        <v>11183</v>
      </c>
      <c r="T4898" t="s">
        <v>12568</v>
      </c>
      <c r="U4898" t="s">
        <v>12568</v>
      </c>
      <c r="V4898" t="s">
        <v>12568</v>
      </c>
      <c r="W4898" t="s">
        <v>17416</v>
      </c>
      <c r="X4898">
        <v>11</v>
      </c>
      <c r="Y4898" t="s">
        <v>23521</v>
      </c>
      <c r="Z4898" t="s">
        <v>29768</v>
      </c>
      <c r="AA4898">
        <v>0.56794609749454628</v>
      </c>
      <c r="AB4898" t="str">
        <f>HYPERLINK("Melting_Curves/meltCurve_Q99536_VAT1.pdf", "Melting_Curves/meltCurve_Q99536_VAT1.pdf")</f>
        <v>Melting_Curves/meltCurve_Q99536_VAT1.pdf</v>
      </c>
    </row>
    <row r="4899" spans="1:28" x14ac:dyDescent="0.25">
      <c r="A4899" t="s">
        <v>4903</v>
      </c>
      <c r="B4899">
        <v>0.99352677808782597</v>
      </c>
      <c r="C4899">
        <v>1.02654692518487</v>
      </c>
      <c r="D4899">
        <v>0.97453424269524702</v>
      </c>
      <c r="E4899">
        <v>0.56966861583304895</v>
      </c>
      <c r="F4899">
        <v>0.47219610153730002</v>
      </c>
      <c r="G4899">
        <v>0.35139581516905199</v>
      </c>
      <c r="H4899">
        <v>0.25683918686728402</v>
      </c>
      <c r="I4899">
        <v>0.24197922040252501</v>
      </c>
      <c r="J4899">
        <v>0.25693075981896601</v>
      </c>
      <c r="K4899">
        <v>0.19840176735883899</v>
      </c>
      <c r="L4899">
        <v>1070.9169427505501</v>
      </c>
      <c r="M4899">
        <v>21.2969531705678</v>
      </c>
      <c r="N4899">
        <v>51.9107763836193</v>
      </c>
      <c r="O4899">
        <v>49.8479240913898</v>
      </c>
      <c r="P4899">
        <v>-8.0816715475479403E-2</v>
      </c>
      <c r="Q4899">
        <v>0.243376603428651</v>
      </c>
      <c r="R4899">
        <v>0.98213303514776895</v>
      </c>
      <c r="S4899" t="s">
        <v>11184</v>
      </c>
      <c r="T4899" t="s">
        <v>12568</v>
      </c>
      <c r="U4899" t="s">
        <v>12568</v>
      </c>
      <c r="V4899" t="s">
        <v>12568</v>
      </c>
      <c r="W4899" t="s">
        <v>17417</v>
      </c>
      <c r="X4899">
        <v>6</v>
      </c>
      <c r="Y4899" t="s">
        <v>23522</v>
      </c>
      <c r="Z4899" t="s">
        <v>29769</v>
      </c>
      <c r="AA4899">
        <v>0.51208629688144458</v>
      </c>
      <c r="AB4899" t="str">
        <f>HYPERLINK("Melting_Curves/meltCurve_Q99541_PLIN2.pdf", "Melting_Curves/meltCurve_Q99541_PLIN2.pdf")</f>
        <v>Melting_Curves/meltCurve_Q99541_PLIN2.pdf</v>
      </c>
    </row>
    <row r="4900" spans="1:28" x14ac:dyDescent="0.25">
      <c r="A4900" t="s">
        <v>4904</v>
      </c>
      <c r="B4900">
        <v>0.99352677808782597</v>
      </c>
      <c r="C4900">
        <v>0.80831229400948501</v>
      </c>
      <c r="D4900">
        <v>0.57044529794941501</v>
      </c>
      <c r="E4900">
        <v>0.36650564106901201</v>
      </c>
      <c r="F4900">
        <v>0.30150465800885101</v>
      </c>
      <c r="G4900">
        <v>0.25193242199873001</v>
      </c>
      <c r="H4900">
        <v>0.19616563748521201</v>
      </c>
      <c r="I4900">
        <v>0.19237580273285501</v>
      </c>
      <c r="J4900">
        <v>0.19146744899701901</v>
      </c>
      <c r="K4900">
        <v>0.16007958202571099</v>
      </c>
      <c r="L4900">
        <v>756.06916808633298</v>
      </c>
      <c r="M4900">
        <v>16.415328162167999</v>
      </c>
      <c r="N4900">
        <v>47.429454303280799</v>
      </c>
      <c r="O4900">
        <v>45.391466685622298</v>
      </c>
      <c r="P4900">
        <v>-7.3339142585717595E-2</v>
      </c>
      <c r="Q4900">
        <v>0.18887149757653801</v>
      </c>
      <c r="R4900">
        <v>0.991254076220074</v>
      </c>
      <c r="S4900" t="s">
        <v>11185</v>
      </c>
      <c r="T4900" t="s">
        <v>12568</v>
      </c>
      <c r="U4900" t="s">
        <v>12568</v>
      </c>
      <c r="V4900" t="s">
        <v>12568</v>
      </c>
      <c r="W4900" t="s">
        <v>17418</v>
      </c>
      <c r="X4900">
        <v>25</v>
      </c>
      <c r="Y4900" t="s">
        <v>23523</v>
      </c>
      <c r="Z4900" t="s">
        <v>29770</v>
      </c>
      <c r="AA4900">
        <v>0.37212072901978499</v>
      </c>
      <c r="AB4900" t="str">
        <f>HYPERLINK("Melting_Curves/meltCurve_Q99543_DNAJC2.pdf", "Melting_Curves/meltCurve_Q99543_DNAJC2.pdf")</f>
        <v>Melting_Curves/meltCurve_Q99543_DNAJC2.pdf</v>
      </c>
    </row>
    <row r="4901" spans="1:28" x14ac:dyDescent="0.25">
      <c r="A4901" t="s">
        <v>4905</v>
      </c>
      <c r="B4901">
        <v>0.99352677808782597</v>
      </c>
      <c r="C4901">
        <v>1.0291880258131501</v>
      </c>
      <c r="D4901">
        <v>1.1013911807797301</v>
      </c>
      <c r="E4901">
        <v>1.0338724747977299</v>
      </c>
      <c r="F4901">
        <v>0.99343035691730797</v>
      </c>
      <c r="G4901">
        <v>0.69406066211454398</v>
      </c>
      <c r="H4901">
        <v>0.24778897519499901</v>
      </c>
      <c r="I4901">
        <v>8.9487765285817797E-2</v>
      </c>
      <c r="J4901">
        <v>4.72972604709277E-2</v>
      </c>
      <c r="K4901">
        <v>3.2903994700895403E-2</v>
      </c>
      <c r="L4901">
        <v>1862.37751847142</v>
      </c>
      <c r="M4901">
        <v>31.837432885553401</v>
      </c>
      <c r="N4901">
        <v>58.615822456222098</v>
      </c>
      <c r="O4901">
        <v>58.267138452005597</v>
      </c>
      <c r="P4901">
        <v>-0.13231468857888301</v>
      </c>
      <c r="Q4901">
        <v>3.1384394747916503E-2</v>
      </c>
      <c r="R4901">
        <v>0.99295071555389203</v>
      </c>
      <c r="S4901" t="s">
        <v>11186</v>
      </c>
      <c r="T4901" t="s">
        <v>12568</v>
      </c>
      <c r="U4901" t="s">
        <v>12568</v>
      </c>
      <c r="V4901" t="s">
        <v>12568</v>
      </c>
      <c r="W4901" t="s">
        <v>17419</v>
      </c>
      <c r="X4901">
        <v>24</v>
      </c>
      <c r="Y4901" t="s">
        <v>23523</v>
      </c>
      <c r="Z4901" t="s">
        <v>29771</v>
      </c>
      <c r="AA4901">
        <v>0.63430851208633188</v>
      </c>
      <c r="AB4901" t="str">
        <f>HYPERLINK("Melting_Curves/meltCurve_Q99543_2_DNAJC2.pdf", "Melting_Curves/meltCurve_Q99543_2_DNAJC2.pdf")</f>
        <v>Melting_Curves/meltCurve_Q99543_2_DNAJC2.pdf</v>
      </c>
    </row>
    <row r="4902" spans="1:28" x14ac:dyDescent="0.25">
      <c r="A4902" t="s">
        <v>4906</v>
      </c>
      <c r="B4902">
        <v>0.99352677808782597</v>
      </c>
      <c r="C4902">
        <v>0.984710333676731</v>
      </c>
      <c r="D4902">
        <v>1.00451902627428</v>
      </c>
      <c r="E4902">
        <v>0.64937644839658903</v>
      </c>
      <c r="F4902">
        <v>0.57143328009502303</v>
      </c>
      <c r="G4902">
        <v>0.45190713546877598</v>
      </c>
      <c r="H4902">
        <v>0.39895948545246701</v>
      </c>
      <c r="I4902">
        <v>0.42048121542708</v>
      </c>
      <c r="J4902">
        <v>0.357911315319417</v>
      </c>
      <c r="K4902">
        <v>0.35875626544279798</v>
      </c>
      <c r="L4902">
        <v>1137.18053300875</v>
      </c>
      <c r="M4902">
        <v>22.6247393236746</v>
      </c>
      <c r="N4902">
        <v>53.8026986328438</v>
      </c>
      <c r="O4902">
        <v>49.874971130389397</v>
      </c>
      <c r="P4902">
        <v>-6.9502191619192993E-2</v>
      </c>
      <c r="Q4902">
        <v>0.38715747711717402</v>
      </c>
      <c r="R4902">
        <v>0.97952649938848801</v>
      </c>
      <c r="S4902" t="s">
        <v>11187</v>
      </c>
      <c r="T4902" t="s">
        <v>12568</v>
      </c>
      <c r="U4902" t="s">
        <v>12568</v>
      </c>
      <c r="V4902" t="s">
        <v>12568</v>
      </c>
      <c r="W4902" t="s">
        <v>17420</v>
      </c>
      <c r="X4902">
        <v>3</v>
      </c>
      <c r="Y4902" t="s">
        <v>23524</v>
      </c>
      <c r="Z4902" t="s">
        <v>29772</v>
      </c>
      <c r="AA4902">
        <v>0.60350313948035439</v>
      </c>
      <c r="AB4902" t="str">
        <f>HYPERLINK("Melting_Curves/meltCurve_Q99549_MPHOSPH8.pdf", "Melting_Curves/meltCurve_Q99549_MPHOSPH8.pdf")</f>
        <v>Melting_Curves/meltCurve_Q99549_MPHOSPH8.pdf</v>
      </c>
    </row>
    <row r="4903" spans="1:28" x14ac:dyDescent="0.25">
      <c r="A4903" t="s">
        <v>4907</v>
      </c>
      <c r="B4903">
        <v>0.99352677808782597</v>
      </c>
      <c r="C4903">
        <v>0.95834928832203703</v>
      </c>
      <c r="D4903">
        <v>0.88141446908625298</v>
      </c>
      <c r="E4903">
        <v>0.54402539846389597</v>
      </c>
      <c r="F4903">
        <v>0.444672077748067</v>
      </c>
      <c r="G4903">
        <v>0.23349177655589401</v>
      </c>
      <c r="H4903">
        <v>0.123183462115039</v>
      </c>
      <c r="I4903">
        <v>0.100802565610668</v>
      </c>
      <c r="J4903">
        <v>8.2468581166625393E-2</v>
      </c>
      <c r="K4903">
        <v>6.5423435694432402E-2</v>
      </c>
      <c r="L4903">
        <v>754.71354237071796</v>
      </c>
      <c r="M4903">
        <v>14.759101610521901</v>
      </c>
      <c r="N4903">
        <v>51.530855398779401</v>
      </c>
      <c r="O4903">
        <v>50.224257437860402</v>
      </c>
      <c r="P4903">
        <v>-6.95406081987332E-2</v>
      </c>
      <c r="Q4903">
        <v>5.35337480266702E-2</v>
      </c>
      <c r="R4903">
        <v>0.99479201289503505</v>
      </c>
      <c r="S4903" t="s">
        <v>11188</v>
      </c>
      <c r="T4903" t="s">
        <v>12568</v>
      </c>
      <c r="U4903" t="s">
        <v>12568</v>
      </c>
      <c r="V4903" t="s">
        <v>12568</v>
      </c>
      <c r="W4903" t="s">
        <v>17421</v>
      </c>
      <c r="X4903">
        <v>17</v>
      </c>
      <c r="Y4903" t="s">
        <v>23525</v>
      </c>
      <c r="Z4903" t="s">
        <v>29773</v>
      </c>
      <c r="AA4903">
        <v>0.42720153536614142</v>
      </c>
      <c r="AB4903" t="str">
        <f>HYPERLINK("Melting_Curves/meltCurve_Q99567_NUP88.pdf", "Melting_Curves/meltCurve_Q99567_NUP88.pdf")</f>
        <v>Melting_Curves/meltCurve_Q99567_NUP88.pdf</v>
      </c>
    </row>
    <row r="4904" spans="1:28" x14ac:dyDescent="0.25">
      <c r="A4904" t="s">
        <v>4908</v>
      </c>
      <c r="B4904">
        <v>0.99352677808782597</v>
      </c>
      <c r="C4904">
        <v>0.91599801385700397</v>
      </c>
      <c r="D4904">
        <v>0.93636875497499905</v>
      </c>
      <c r="E4904">
        <v>0.92574063643165205</v>
      </c>
      <c r="F4904">
        <v>0.81747416754291302</v>
      </c>
      <c r="G4904">
        <v>0.80607731505007996</v>
      </c>
      <c r="H4904">
        <v>0.68741299998356198</v>
      </c>
      <c r="I4904">
        <v>0.73932743266935996</v>
      </c>
      <c r="J4904">
        <v>0.75020617980934501</v>
      </c>
      <c r="K4904">
        <v>0.66069819286292097</v>
      </c>
      <c r="L4904">
        <v>415.96822842145002</v>
      </c>
      <c r="M4904">
        <v>7.5414053836850998</v>
      </c>
      <c r="O4904">
        <v>51.679577811435301</v>
      </c>
      <c r="P4904">
        <v>-1.3749483255133E-2</v>
      </c>
      <c r="Q4904">
        <v>0.62364156162708295</v>
      </c>
      <c r="R4904">
        <v>0.90020122524703705</v>
      </c>
      <c r="S4904" t="s">
        <v>11189</v>
      </c>
      <c r="T4904" t="s">
        <v>12568</v>
      </c>
      <c r="U4904" t="s">
        <v>12568</v>
      </c>
      <c r="V4904" t="s">
        <v>12568</v>
      </c>
      <c r="W4904" t="s">
        <v>17422</v>
      </c>
      <c r="X4904">
        <v>8</v>
      </c>
      <c r="Y4904" t="s">
        <v>23526</v>
      </c>
      <c r="Z4904" t="s">
        <v>29774</v>
      </c>
      <c r="AA4904">
        <v>0.82356153647162877</v>
      </c>
      <c r="AB4904" t="str">
        <f>HYPERLINK("Melting_Curves/meltCurve_Q99569_2_PKP4.pdf", "Melting_Curves/meltCurve_Q99569_2_PKP4.pdf")</f>
        <v>Melting_Curves/meltCurve_Q99569_2_PKP4.pdf</v>
      </c>
    </row>
    <row r="4905" spans="1:28" x14ac:dyDescent="0.25">
      <c r="A4905" t="s">
        <v>4909</v>
      </c>
      <c r="B4905">
        <v>0.99352677808782597</v>
      </c>
      <c r="C4905">
        <v>0.93640784847039704</v>
      </c>
      <c r="D4905">
        <v>0.82916851851947704</v>
      </c>
      <c r="E4905">
        <v>0.635678221579004</v>
      </c>
      <c r="F4905">
        <v>0.48028932092570997</v>
      </c>
      <c r="G4905">
        <v>0.18956166602919</v>
      </c>
      <c r="H4905">
        <v>0.11879901258688801</v>
      </c>
      <c r="I4905">
        <v>0.105690889316729</v>
      </c>
      <c r="J4905">
        <v>0.107349785093918</v>
      </c>
      <c r="K4905">
        <v>7.5629999684174207E-2</v>
      </c>
      <c r="L4905">
        <v>742.28589171169097</v>
      </c>
      <c r="M4905">
        <v>14.397118293793699</v>
      </c>
      <c r="N4905">
        <v>51.923733156138098</v>
      </c>
      <c r="O4905">
        <v>50.593852041911802</v>
      </c>
      <c r="P4905">
        <v>-6.7717970206692596E-2</v>
      </c>
      <c r="Q4905">
        <v>4.8224370581485099E-2</v>
      </c>
      <c r="R4905">
        <v>0.99427551665746605</v>
      </c>
      <c r="S4905" t="s">
        <v>11190</v>
      </c>
      <c r="T4905" t="s">
        <v>12568</v>
      </c>
      <c r="U4905" t="s">
        <v>12568</v>
      </c>
      <c r="V4905" t="s">
        <v>12568</v>
      </c>
      <c r="W4905" t="s">
        <v>17423</v>
      </c>
      <c r="X4905">
        <v>10</v>
      </c>
      <c r="Y4905" t="s">
        <v>23527</v>
      </c>
      <c r="Z4905" t="s">
        <v>29775</v>
      </c>
      <c r="AA4905">
        <v>0.43794099943707437</v>
      </c>
      <c r="AB4905" t="str">
        <f>HYPERLINK("Melting_Curves/meltCurve_Q99570_PIK3R4.pdf", "Melting_Curves/meltCurve_Q99570_PIK3R4.pdf")</f>
        <v>Melting_Curves/meltCurve_Q99570_PIK3R4.pdf</v>
      </c>
    </row>
    <row r="4906" spans="1:28" x14ac:dyDescent="0.25">
      <c r="A4906" t="s">
        <v>4910</v>
      </c>
      <c r="B4906">
        <v>0.99352677808782597</v>
      </c>
      <c r="C4906">
        <v>0.93302965981821795</v>
      </c>
      <c r="D4906">
        <v>1.0111346085941</v>
      </c>
      <c r="E4906">
        <v>0.94455597543716496</v>
      </c>
      <c r="F4906">
        <v>0.90939213937489505</v>
      </c>
      <c r="G4906">
        <v>0.80816452925403104</v>
      </c>
      <c r="H4906">
        <v>0.70339660794539205</v>
      </c>
      <c r="I4906">
        <v>0.68968300590515297</v>
      </c>
      <c r="J4906">
        <v>0.80902396783368102</v>
      </c>
      <c r="K4906">
        <v>0.65184689163161402</v>
      </c>
      <c r="L4906">
        <v>1105.9552618740599</v>
      </c>
      <c r="M4906">
        <v>20.176691425069201</v>
      </c>
      <c r="O4906">
        <v>54.283589776803602</v>
      </c>
      <c r="P4906">
        <v>-2.77437127867231E-2</v>
      </c>
      <c r="Q4906">
        <v>0.70144144538285302</v>
      </c>
      <c r="R4906">
        <v>0.87210150034529199</v>
      </c>
      <c r="S4906" t="s">
        <v>11191</v>
      </c>
      <c r="T4906" t="s">
        <v>12568</v>
      </c>
      <c r="U4906" t="s">
        <v>12568</v>
      </c>
      <c r="V4906" t="s">
        <v>12568</v>
      </c>
      <c r="W4906" t="s">
        <v>17424</v>
      </c>
      <c r="X4906">
        <v>3</v>
      </c>
      <c r="Y4906" t="s">
        <v>23528</v>
      </c>
      <c r="Z4906" t="s">
        <v>29776</v>
      </c>
      <c r="AA4906">
        <v>0.85280529054991827</v>
      </c>
      <c r="AB4906" t="str">
        <f>HYPERLINK("Melting_Curves/meltCurve_Q99574_SERPINI1.pdf", "Melting_Curves/meltCurve_Q99574_SERPINI1.pdf")</f>
        <v>Melting_Curves/meltCurve_Q99574_SERPINI1.pdf</v>
      </c>
    </row>
    <row r="4907" spans="1:28" x14ac:dyDescent="0.25">
      <c r="A4907" t="s">
        <v>4911</v>
      </c>
      <c r="B4907">
        <v>0.99352677808782597</v>
      </c>
      <c r="C4907">
        <v>0.99663647647223796</v>
      </c>
      <c r="D4907">
        <v>0.98659586933888399</v>
      </c>
      <c r="E4907">
        <v>1.21680002700043</v>
      </c>
      <c r="F4907">
        <v>1.00292826098122</v>
      </c>
      <c r="G4907">
        <v>0.83568669020165598</v>
      </c>
      <c r="H4907">
        <v>0.48836287354830499</v>
      </c>
      <c r="I4907">
        <v>0.258926948393158</v>
      </c>
      <c r="J4907">
        <v>0.19649968411625299</v>
      </c>
      <c r="K4907">
        <v>0.16666386341398301</v>
      </c>
      <c r="L4907">
        <v>1805.8445559650099</v>
      </c>
      <c r="M4907">
        <v>30.1007551476328</v>
      </c>
      <c r="N4907">
        <v>60.754252465924601</v>
      </c>
      <c r="O4907">
        <v>59.730408164373102</v>
      </c>
      <c r="P4907">
        <v>-0.106201674819993</v>
      </c>
      <c r="Q4907">
        <v>0.15704060424744501</v>
      </c>
      <c r="R4907">
        <v>0.96511084629473398</v>
      </c>
      <c r="S4907" t="s">
        <v>11192</v>
      </c>
      <c r="T4907" t="s">
        <v>12568</v>
      </c>
      <c r="U4907" t="s">
        <v>12568</v>
      </c>
      <c r="V4907" t="s">
        <v>12568</v>
      </c>
      <c r="W4907" t="s">
        <v>17425</v>
      </c>
      <c r="X4907">
        <v>11</v>
      </c>
      <c r="Y4907" t="s">
        <v>23529</v>
      </c>
      <c r="Z4907" t="s">
        <v>29777</v>
      </c>
      <c r="AA4907">
        <v>0.72392847046635411</v>
      </c>
      <c r="AB4907" t="str">
        <f>HYPERLINK("Melting_Curves/meltCurve_Q99575_POP1.pdf", "Melting_Curves/meltCurve_Q99575_POP1.pdf")</f>
        <v>Melting_Curves/meltCurve_Q99575_POP1.pdf</v>
      </c>
    </row>
    <row r="4908" spans="1:28" x14ac:dyDescent="0.25">
      <c r="A4908" t="s">
        <v>4912</v>
      </c>
      <c r="B4908">
        <v>0.99352677808782597</v>
      </c>
      <c r="C4908">
        <v>0.816034416326477</v>
      </c>
      <c r="D4908">
        <v>0.76560829943909403</v>
      </c>
      <c r="E4908">
        <v>0.85936815827890101</v>
      </c>
      <c r="F4908">
        <v>0.75706251184880602</v>
      </c>
      <c r="G4908">
        <v>0.850365804376774</v>
      </c>
      <c r="H4908">
        <v>0.76483475572900905</v>
      </c>
      <c r="I4908">
        <v>0.663999682829996</v>
      </c>
      <c r="J4908">
        <v>0.558558655617441</v>
      </c>
      <c r="K4908">
        <v>0.65098552256779996</v>
      </c>
      <c r="L4908">
        <v>170.90631645940201</v>
      </c>
      <c r="M4908">
        <v>1.91416529162423</v>
      </c>
      <c r="O4908">
        <v>51.596397721026896</v>
      </c>
      <c r="P4908">
        <v>-1.0198261912372299E-2</v>
      </c>
      <c r="Q4908">
        <v>0</v>
      </c>
      <c r="R4908">
        <v>0.66041797351883003</v>
      </c>
      <c r="S4908" t="s">
        <v>11193</v>
      </c>
      <c r="T4908" t="s">
        <v>12568</v>
      </c>
      <c r="U4908" t="s">
        <v>12568</v>
      </c>
      <c r="V4908" t="s">
        <v>12568</v>
      </c>
      <c r="W4908" t="s">
        <v>17426</v>
      </c>
      <c r="X4908">
        <v>2</v>
      </c>
      <c r="Y4908" t="s">
        <v>23530</v>
      </c>
      <c r="Z4908" t="s">
        <v>29778</v>
      </c>
      <c r="AA4908">
        <v>0.76901924216590656</v>
      </c>
      <c r="AB4908" t="str">
        <f>HYPERLINK("Melting_Curves/meltCurve_Q99583_MNT.pdf", "Melting_Curves/meltCurve_Q99583_MNT.pdf")</f>
        <v>Melting_Curves/meltCurve_Q99583_MNT.pdf</v>
      </c>
    </row>
    <row r="4909" spans="1:28" x14ac:dyDescent="0.25">
      <c r="A4909" t="s">
        <v>4913</v>
      </c>
      <c r="B4909">
        <v>0.99352677808782597</v>
      </c>
      <c r="C4909">
        <v>0.93776753771031596</v>
      </c>
      <c r="D4909">
        <v>1.0117034306917101</v>
      </c>
      <c r="E4909">
        <v>1.0087963257547301</v>
      </c>
      <c r="F4909">
        <v>0.91952455730833804</v>
      </c>
      <c r="G4909">
        <v>0.88130110882516899</v>
      </c>
      <c r="H4909">
        <v>0.80015530338656404</v>
      </c>
      <c r="I4909">
        <v>0.90061895867039399</v>
      </c>
      <c r="J4909">
        <v>0.96198714604343005</v>
      </c>
      <c r="K4909">
        <v>0.79105802633200495</v>
      </c>
      <c r="S4909" t="s">
        <v>11194</v>
      </c>
      <c r="T4909" t="s">
        <v>12568</v>
      </c>
      <c r="U4909" t="s">
        <v>12569</v>
      </c>
      <c r="V4909" t="s">
        <v>12568</v>
      </c>
      <c r="W4909" t="s">
        <v>17427</v>
      </c>
      <c r="X4909">
        <v>9</v>
      </c>
      <c r="Y4909" t="s">
        <v>23531</v>
      </c>
      <c r="Z4909" t="s">
        <v>29779</v>
      </c>
      <c r="AB4909" t="str">
        <f>HYPERLINK("Melting_Curves/meltCurve_Q99584_S100A13.pdf", "Melting_Curves/meltCurve_Q99584_S100A13.pdf")</f>
        <v>Melting_Curves/meltCurve_Q99584_S100A13.pdf</v>
      </c>
    </row>
    <row r="4910" spans="1:28" x14ac:dyDescent="0.25">
      <c r="A4910" t="s">
        <v>4914</v>
      </c>
      <c r="B4910">
        <v>0.99352677808782597</v>
      </c>
      <c r="C4910">
        <v>1.0455578973978901</v>
      </c>
      <c r="D4910">
        <v>0.90698884540143199</v>
      </c>
      <c r="E4910">
        <v>0.73622218454267896</v>
      </c>
      <c r="F4910">
        <v>0.62002014664961003</v>
      </c>
      <c r="G4910">
        <v>0.54932701658030503</v>
      </c>
      <c r="H4910">
        <v>0.76336219568789898</v>
      </c>
      <c r="I4910">
        <v>0.58788676579497101</v>
      </c>
      <c r="J4910">
        <v>0.28092125366902998</v>
      </c>
      <c r="K4910">
        <v>0.117877589910286</v>
      </c>
      <c r="L4910">
        <v>410.42709183605899</v>
      </c>
      <c r="M4910">
        <v>6.7016587277440598</v>
      </c>
      <c r="N4910">
        <v>61.242602556589901</v>
      </c>
      <c r="O4910">
        <v>56.4806664219211</v>
      </c>
      <c r="P4910">
        <v>-2.9727988906537401E-2</v>
      </c>
      <c r="Q4910">
        <v>0</v>
      </c>
      <c r="R4910">
        <v>0.78826352459761295</v>
      </c>
      <c r="S4910" t="s">
        <v>11195</v>
      </c>
      <c r="T4910" t="s">
        <v>12568</v>
      </c>
      <c r="U4910" t="s">
        <v>12568</v>
      </c>
      <c r="V4910" t="s">
        <v>12568</v>
      </c>
      <c r="W4910" t="s">
        <v>17428</v>
      </c>
      <c r="X4910">
        <v>18</v>
      </c>
      <c r="Y4910" t="s">
        <v>23532</v>
      </c>
      <c r="Z4910" t="s">
        <v>29780</v>
      </c>
      <c r="AA4910">
        <v>0.66648929987582473</v>
      </c>
      <c r="AB4910" t="str">
        <f>HYPERLINK("Melting_Curves/meltCurve_Q99598_TSNAX.pdf", "Melting_Curves/meltCurve_Q99598_TSNAX.pdf")</f>
        <v>Melting_Curves/meltCurve_Q99598_TSNAX.pdf</v>
      </c>
    </row>
    <row r="4911" spans="1:28" x14ac:dyDescent="0.25">
      <c r="A4911" t="s">
        <v>4915</v>
      </c>
      <c r="B4911">
        <v>0.99352677808782597</v>
      </c>
      <c r="C4911">
        <v>0.91274438762891297</v>
      </c>
      <c r="D4911">
        <v>0.84626863167400102</v>
      </c>
      <c r="E4911">
        <v>0.59507590366149998</v>
      </c>
      <c r="F4911">
        <v>0.528713124829157</v>
      </c>
      <c r="G4911">
        <v>0.42306955767677401</v>
      </c>
      <c r="H4911">
        <v>0.36368777792707102</v>
      </c>
      <c r="I4911">
        <v>0.30610341454024897</v>
      </c>
      <c r="J4911">
        <v>0.22445999997245999</v>
      </c>
      <c r="K4911">
        <v>9.5489729108159102E-2</v>
      </c>
      <c r="L4911">
        <v>429.96106425837502</v>
      </c>
      <c r="M4911">
        <v>7.9492797641195203</v>
      </c>
      <c r="N4911">
        <v>54.595537034827899</v>
      </c>
      <c r="O4911">
        <v>50.986609737970802</v>
      </c>
      <c r="P4911">
        <v>-3.7632700130713397E-2</v>
      </c>
      <c r="Q4911">
        <v>3.5613681331567303E-2</v>
      </c>
      <c r="R4911">
        <v>0.97394002099077104</v>
      </c>
      <c r="S4911" t="s">
        <v>11196</v>
      </c>
      <c r="T4911" t="s">
        <v>12568</v>
      </c>
      <c r="U4911" t="s">
        <v>12568</v>
      </c>
      <c r="V4911" t="s">
        <v>12568</v>
      </c>
      <c r="W4911" t="s">
        <v>17429</v>
      </c>
      <c r="X4911">
        <v>4</v>
      </c>
      <c r="Y4911" t="s">
        <v>23533</v>
      </c>
      <c r="Z4911" t="s">
        <v>29781</v>
      </c>
      <c r="AA4911">
        <v>0.52088310212369648</v>
      </c>
      <c r="AB4911" t="str">
        <f>HYPERLINK("Melting_Curves/meltCurve_Q99611_SEPHS2.pdf", "Melting_Curves/meltCurve_Q99611_SEPHS2.pdf")</f>
        <v>Melting_Curves/meltCurve_Q99611_SEPHS2.pdf</v>
      </c>
    </row>
    <row r="4912" spans="1:28" x14ac:dyDescent="0.25">
      <c r="A4912" t="s">
        <v>4916</v>
      </c>
      <c r="B4912">
        <v>0.99352677808782597</v>
      </c>
      <c r="C4912">
        <v>0.988331767928598</v>
      </c>
      <c r="D4912">
        <v>1.0147933264529401</v>
      </c>
      <c r="E4912">
        <v>0.92288077921301404</v>
      </c>
      <c r="F4912">
        <v>0.79903569190082901</v>
      </c>
      <c r="G4912">
        <v>0.73525249339084497</v>
      </c>
      <c r="H4912">
        <v>0.66147419884441905</v>
      </c>
      <c r="I4912">
        <v>0.69666566657254902</v>
      </c>
      <c r="J4912">
        <v>0.81990373416450002</v>
      </c>
      <c r="K4912">
        <v>0.79064224129441396</v>
      </c>
      <c r="L4912">
        <v>2056.8982959899499</v>
      </c>
      <c r="M4912">
        <v>40.192838540988198</v>
      </c>
      <c r="O4912">
        <v>51.049547896492001</v>
      </c>
      <c r="P4912">
        <v>-5.1038356791862999E-2</v>
      </c>
      <c r="Q4912">
        <v>0.74070209651224195</v>
      </c>
      <c r="R4912">
        <v>0.88273811487567699</v>
      </c>
      <c r="S4912" t="s">
        <v>11197</v>
      </c>
      <c r="T4912" t="s">
        <v>12568</v>
      </c>
      <c r="U4912" t="s">
        <v>12568</v>
      </c>
      <c r="V4912" t="s">
        <v>12568</v>
      </c>
      <c r="W4912" t="s">
        <v>17430</v>
      </c>
      <c r="X4912">
        <v>14</v>
      </c>
      <c r="Y4912" t="s">
        <v>23534</v>
      </c>
      <c r="Z4912" t="s">
        <v>29782</v>
      </c>
      <c r="AA4912">
        <v>0.83820525618729291</v>
      </c>
      <c r="AB4912" t="str">
        <f>HYPERLINK("Melting_Curves/meltCurve_Q99614_TTC1.pdf", "Melting_Curves/meltCurve_Q99614_TTC1.pdf")</f>
        <v>Melting_Curves/meltCurve_Q99614_TTC1.pdf</v>
      </c>
    </row>
    <row r="4913" spans="1:28" x14ac:dyDescent="0.25">
      <c r="A4913" t="s">
        <v>4917</v>
      </c>
      <c r="B4913">
        <v>0.99352677808782597</v>
      </c>
      <c r="C4913">
        <v>0.92767291515406203</v>
      </c>
      <c r="D4913">
        <v>1.0156931988181399</v>
      </c>
      <c r="E4913">
        <v>0.245169146522079</v>
      </c>
      <c r="F4913">
        <v>0.181532956881749</v>
      </c>
      <c r="G4913">
        <v>0.10483502326658301</v>
      </c>
      <c r="H4913">
        <v>7.3915854964969302E-2</v>
      </c>
      <c r="I4913">
        <v>7.3611649659060294E-2</v>
      </c>
      <c r="J4913">
        <v>5.6586758277873801E-2</v>
      </c>
      <c r="K4913">
        <v>4.5283990084729497E-2</v>
      </c>
      <c r="L4913">
        <v>3564.78025289992</v>
      </c>
      <c r="M4913">
        <v>72.836385849988403</v>
      </c>
      <c r="N4913">
        <v>49.072999250217698</v>
      </c>
      <c r="O4913">
        <v>48.9054450357606</v>
      </c>
      <c r="P4913">
        <v>-0.33950554877147598</v>
      </c>
      <c r="Q4913">
        <v>8.8166362691357594E-2</v>
      </c>
      <c r="R4913">
        <v>0.989187631615975</v>
      </c>
      <c r="S4913" t="s">
        <v>11198</v>
      </c>
      <c r="T4913" t="s">
        <v>12568</v>
      </c>
      <c r="U4913" t="s">
        <v>12568</v>
      </c>
      <c r="V4913" t="s">
        <v>12568</v>
      </c>
      <c r="W4913" t="s">
        <v>17431</v>
      </c>
      <c r="X4913">
        <v>33</v>
      </c>
      <c r="Y4913" t="s">
        <v>23535</v>
      </c>
      <c r="Z4913" t="s">
        <v>29783</v>
      </c>
      <c r="AA4913">
        <v>0.36088760170950113</v>
      </c>
      <c r="AB4913" t="str">
        <f>HYPERLINK("Melting_Curves/meltCurve_Q99615_DNAJC7.pdf", "Melting_Curves/meltCurve_Q99615_DNAJC7.pdf")</f>
        <v>Melting_Curves/meltCurve_Q99615_DNAJC7.pdf</v>
      </c>
    </row>
    <row r="4914" spans="1:28" x14ac:dyDescent="0.25">
      <c r="A4914" t="s">
        <v>4918</v>
      </c>
      <c r="B4914">
        <v>0.99352677808782597</v>
      </c>
      <c r="C4914">
        <v>0.942081023210672</v>
      </c>
      <c r="D4914">
        <v>0.94042369062523401</v>
      </c>
      <c r="E4914">
        <v>0.83543848455319203</v>
      </c>
      <c r="F4914">
        <v>0.73863280611669102</v>
      </c>
      <c r="G4914">
        <v>0.69410075555080397</v>
      </c>
      <c r="H4914">
        <v>0.61490384880469895</v>
      </c>
      <c r="I4914">
        <v>0.68920910732357399</v>
      </c>
      <c r="J4914">
        <v>0.64159084699646995</v>
      </c>
      <c r="K4914">
        <v>0.58996543522600697</v>
      </c>
      <c r="L4914">
        <v>680.78882110033703</v>
      </c>
      <c r="M4914">
        <v>13.4027088473976</v>
      </c>
      <c r="O4914">
        <v>49.704032572147199</v>
      </c>
      <c r="P4914">
        <v>-2.6065957077888901E-2</v>
      </c>
      <c r="Q4914">
        <v>0.61339746554140795</v>
      </c>
      <c r="R4914">
        <v>0.96593635304610304</v>
      </c>
      <c r="S4914" t="s">
        <v>11199</v>
      </c>
      <c r="T4914" t="s">
        <v>12568</v>
      </c>
      <c r="U4914" t="s">
        <v>12568</v>
      </c>
      <c r="V4914" t="s">
        <v>12568</v>
      </c>
      <c r="W4914" t="s">
        <v>17432</v>
      </c>
      <c r="X4914">
        <v>7</v>
      </c>
      <c r="Y4914" t="s">
        <v>23536</v>
      </c>
      <c r="Z4914" t="s">
        <v>29784</v>
      </c>
      <c r="AA4914">
        <v>0.76330474212437205</v>
      </c>
      <c r="AB4914" t="str">
        <f>HYPERLINK("Melting_Curves/meltCurve_Q99618_CDCA3.pdf", "Melting_Curves/meltCurve_Q99618_CDCA3.pdf")</f>
        <v>Melting_Curves/meltCurve_Q99618_CDCA3.pdf</v>
      </c>
    </row>
    <row r="4915" spans="1:28" x14ac:dyDescent="0.25">
      <c r="A4915" t="s">
        <v>4919</v>
      </c>
      <c r="B4915">
        <v>0.99352677808782597</v>
      </c>
      <c r="C4915">
        <v>0.99537421799770198</v>
      </c>
      <c r="D4915">
        <v>1.0062911988982901</v>
      </c>
      <c r="E4915">
        <v>0.906255256893717</v>
      </c>
      <c r="F4915">
        <v>0.80522578381736798</v>
      </c>
      <c r="G4915">
        <v>0.74036890727272897</v>
      </c>
      <c r="H4915">
        <v>0.58747819314984295</v>
      </c>
      <c r="I4915">
        <v>0.631666796564888</v>
      </c>
      <c r="J4915">
        <v>0.64436316873291299</v>
      </c>
      <c r="K4915">
        <v>0.53120224460003995</v>
      </c>
      <c r="L4915">
        <v>844.23880632595797</v>
      </c>
      <c r="M4915">
        <v>15.543064445468</v>
      </c>
      <c r="O4915">
        <v>53.4408419981945</v>
      </c>
      <c r="P4915">
        <v>-3.1373399647976398E-2</v>
      </c>
      <c r="Q4915">
        <v>0.56856034926700505</v>
      </c>
      <c r="R4915">
        <v>0.96412519788347695</v>
      </c>
      <c r="S4915" t="s">
        <v>11200</v>
      </c>
      <c r="T4915" t="s">
        <v>12568</v>
      </c>
      <c r="U4915" t="s">
        <v>12568</v>
      </c>
      <c r="V4915" t="s">
        <v>12568</v>
      </c>
      <c r="W4915" t="s">
        <v>17433</v>
      </c>
      <c r="X4915">
        <v>5</v>
      </c>
      <c r="Y4915" t="s">
        <v>23537</v>
      </c>
      <c r="Z4915" t="s">
        <v>29785</v>
      </c>
      <c r="AA4915">
        <v>0.78277379025799187</v>
      </c>
      <c r="AB4915" t="str">
        <f>HYPERLINK("Melting_Curves/meltCurve_Q99622_C12orf57.pdf", "Melting_Curves/meltCurve_Q99622_C12orf57.pdf")</f>
        <v>Melting_Curves/meltCurve_Q99622_C12orf57.pdf</v>
      </c>
    </row>
    <row r="4916" spans="1:28" x14ac:dyDescent="0.25">
      <c r="A4916" t="s">
        <v>4920</v>
      </c>
      <c r="B4916">
        <v>0.99352677808782597</v>
      </c>
      <c r="C4916">
        <v>1.0117350120050299</v>
      </c>
      <c r="D4916">
        <v>0.860191646656012</v>
      </c>
      <c r="E4916">
        <v>1.01471184796603</v>
      </c>
      <c r="F4916">
        <v>0.90676618032345901</v>
      </c>
      <c r="G4916">
        <v>0.65368665027507999</v>
      </c>
      <c r="H4916">
        <v>0.624563497156016</v>
      </c>
      <c r="I4916">
        <v>0.36666008849017201</v>
      </c>
      <c r="J4916">
        <v>0.124003608724371</v>
      </c>
      <c r="K4916">
        <v>9.1708395763481401E-2</v>
      </c>
      <c r="L4916">
        <v>941.38331042290395</v>
      </c>
      <c r="M4916">
        <v>15.394885934866799</v>
      </c>
      <c r="N4916">
        <v>61.149085493937797</v>
      </c>
      <c r="O4916">
        <v>60.145173136889703</v>
      </c>
      <c r="P4916">
        <v>-6.3996368822993394E-2</v>
      </c>
      <c r="Q4916">
        <v>0</v>
      </c>
      <c r="R4916">
        <v>0.95468165905379299</v>
      </c>
      <c r="S4916" t="s">
        <v>11201</v>
      </c>
      <c r="T4916" t="s">
        <v>12568</v>
      </c>
      <c r="U4916" t="s">
        <v>12568</v>
      </c>
      <c r="V4916" t="s">
        <v>12568</v>
      </c>
      <c r="W4916" t="s">
        <v>17434</v>
      </c>
      <c r="X4916">
        <v>5</v>
      </c>
      <c r="Y4916" t="s">
        <v>23538</v>
      </c>
      <c r="Z4916" t="s">
        <v>29786</v>
      </c>
      <c r="AA4916">
        <v>0.70728162598998578</v>
      </c>
      <c r="AB4916" t="str">
        <f>HYPERLINK("Melting_Curves/meltCurve_Q99627_2_COPS8.pdf", "Melting_Curves/meltCurve_Q99627_2_COPS8.pdf")</f>
        <v>Melting_Curves/meltCurve_Q99627_2_COPS8.pdf</v>
      </c>
    </row>
    <row r="4917" spans="1:28" x14ac:dyDescent="0.25">
      <c r="A4917" t="s">
        <v>4921</v>
      </c>
      <c r="B4917">
        <v>0.99352677808782597</v>
      </c>
      <c r="C4917">
        <v>0.88236477675636704</v>
      </c>
      <c r="D4917">
        <v>0.91375398359721305</v>
      </c>
      <c r="E4917">
        <v>0.390497972733578</v>
      </c>
      <c r="F4917">
        <v>0.31393206393036899</v>
      </c>
      <c r="G4917">
        <v>0.22964879027653301</v>
      </c>
      <c r="H4917">
        <v>0.18691995455055699</v>
      </c>
      <c r="I4917">
        <v>0.19569806812132701</v>
      </c>
      <c r="J4917">
        <v>0.19146571471635601</v>
      </c>
      <c r="K4917">
        <v>0.16780005937414799</v>
      </c>
      <c r="L4917">
        <v>1419.5295992157501</v>
      </c>
      <c r="M4917">
        <v>29.263637583957902</v>
      </c>
      <c r="N4917">
        <v>49.3525974949345</v>
      </c>
      <c r="O4917">
        <v>48.283479204397203</v>
      </c>
      <c r="P4917">
        <v>-0.121683080216866</v>
      </c>
      <c r="Q4917">
        <v>0.19692277556962301</v>
      </c>
      <c r="R4917">
        <v>0.98191827477933402</v>
      </c>
      <c r="S4917" t="s">
        <v>11202</v>
      </c>
      <c r="T4917" t="s">
        <v>12568</v>
      </c>
      <c r="U4917" t="s">
        <v>12568</v>
      </c>
      <c r="V4917" t="s">
        <v>12568</v>
      </c>
      <c r="W4917" t="s">
        <v>17435</v>
      </c>
      <c r="X4917">
        <v>7</v>
      </c>
      <c r="Y4917" t="s">
        <v>23539</v>
      </c>
      <c r="Z4917" t="s">
        <v>29787</v>
      </c>
      <c r="AA4917">
        <v>0.42979960262520023</v>
      </c>
      <c r="AB4917" t="str">
        <f>HYPERLINK("Melting_Curves/meltCurve_Q99633_PRPF18.pdf", "Melting_Curves/meltCurve_Q99633_PRPF18.pdf")</f>
        <v>Melting_Curves/meltCurve_Q99633_PRPF18.pdf</v>
      </c>
    </row>
    <row r="4918" spans="1:28" x14ac:dyDescent="0.25">
      <c r="A4918" t="s">
        <v>4922</v>
      </c>
      <c r="B4918">
        <v>0.99352677808782597</v>
      </c>
      <c r="C4918">
        <v>0.98919623039418703</v>
      </c>
      <c r="D4918">
        <v>0.93555233882262101</v>
      </c>
      <c r="E4918">
        <v>0.82307179526128105</v>
      </c>
      <c r="F4918">
        <v>0.82303559369926005</v>
      </c>
      <c r="G4918">
        <v>0.56889592010128998</v>
      </c>
      <c r="H4918">
        <v>0.41116044795068801</v>
      </c>
      <c r="I4918">
        <v>0.38793528592228399</v>
      </c>
      <c r="J4918">
        <v>0.22874095998747701</v>
      </c>
      <c r="K4918">
        <v>0.14731736515774799</v>
      </c>
      <c r="L4918">
        <v>592.04161372349301</v>
      </c>
      <c r="M4918">
        <v>9.9842626109502408</v>
      </c>
      <c r="N4918">
        <v>59.2974706394238</v>
      </c>
      <c r="O4918">
        <v>57.065896242981303</v>
      </c>
      <c r="P4918">
        <v>-4.3761462905301703E-2</v>
      </c>
      <c r="Q4918">
        <v>0</v>
      </c>
      <c r="R4918">
        <v>0.98745366601051199</v>
      </c>
      <c r="S4918" t="s">
        <v>11203</v>
      </c>
      <c r="T4918" t="s">
        <v>12568</v>
      </c>
      <c r="U4918" t="s">
        <v>12568</v>
      </c>
      <c r="V4918" t="s">
        <v>12568</v>
      </c>
      <c r="W4918" t="s">
        <v>17436</v>
      </c>
      <c r="X4918">
        <v>3</v>
      </c>
      <c r="Y4918" t="s">
        <v>23540</v>
      </c>
      <c r="Z4918" t="s">
        <v>29788</v>
      </c>
      <c r="AA4918">
        <v>0.64443532209824461</v>
      </c>
      <c r="AB4918" t="str">
        <f>HYPERLINK("Melting_Curves/meltCurve_Q99638_RAD9A.pdf", "Melting_Curves/meltCurve_Q99638_RAD9A.pdf")</f>
        <v>Melting_Curves/meltCurve_Q99638_RAD9A.pdf</v>
      </c>
    </row>
    <row r="4919" spans="1:28" x14ac:dyDescent="0.25">
      <c r="A4919" t="s">
        <v>4923</v>
      </c>
      <c r="B4919">
        <v>0.99352677808782597</v>
      </c>
      <c r="C4919">
        <v>1.09374919728464</v>
      </c>
      <c r="D4919">
        <v>0.86056506336822003</v>
      </c>
      <c r="E4919">
        <v>0.69552913268632599</v>
      </c>
      <c r="F4919">
        <v>0.63252220890996902</v>
      </c>
      <c r="G4919">
        <v>0.50757035395191896</v>
      </c>
      <c r="H4919">
        <v>0.26785527012291299</v>
      </c>
      <c r="I4919">
        <v>0.21571310172076699</v>
      </c>
      <c r="J4919">
        <v>0.25177900153657501</v>
      </c>
      <c r="K4919">
        <v>0.179318667719222</v>
      </c>
      <c r="L4919">
        <v>630.00824946853004</v>
      </c>
      <c r="M4919">
        <v>11.6388102466699</v>
      </c>
      <c r="N4919">
        <v>55.528472293562501</v>
      </c>
      <c r="O4919">
        <v>52.6060290461661</v>
      </c>
      <c r="P4919">
        <v>-4.8297608622292501E-2</v>
      </c>
      <c r="Q4919">
        <v>0.12703923065494099</v>
      </c>
      <c r="R4919">
        <v>0.96775894822837805</v>
      </c>
      <c r="S4919" t="s">
        <v>11204</v>
      </c>
      <c r="T4919" t="s">
        <v>12568</v>
      </c>
      <c r="U4919" t="s">
        <v>12568</v>
      </c>
      <c r="V4919" t="s">
        <v>12568</v>
      </c>
      <c r="W4919" t="s">
        <v>17437</v>
      </c>
      <c r="X4919">
        <v>8</v>
      </c>
      <c r="Y4919" t="s">
        <v>23541</v>
      </c>
      <c r="Z4919" t="s">
        <v>29789</v>
      </c>
      <c r="AA4919">
        <v>0.56132600577092306</v>
      </c>
      <c r="AB4919" t="str">
        <f>HYPERLINK("Melting_Curves/meltCurve_Q99653_CHP1.pdf", "Melting_Curves/meltCurve_Q99653_CHP1.pdf")</f>
        <v>Melting_Curves/meltCurve_Q99653_CHP1.pdf</v>
      </c>
    </row>
    <row r="4920" spans="1:28" x14ac:dyDescent="0.25">
      <c r="A4920" t="s">
        <v>4924</v>
      </c>
      <c r="B4920">
        <v>0.99352677808782597</v>
      </c>
      <c r="C4920">
        <v>0.96800823397020797</v>
      </c>
      <c r="D4920">
        <v>0.88684373461253796</v>
      </c>
      <c r="E4920">
        <v>0.56111459926098906</v>
      </c>
      <c r="F4920">
        <v>0.48094296043524598</v>
      </c>
      <c r="G4920">
        <v>0.39919513112133898</v>
      </c>
      <c r="H4920">
        <v>0.313100890190121</v>
      </c>
      <c r="I4920">
        <v>0.33328204391895599</v>
      </c>
      <c r="J4920">
        <v>0.33469069645251198</v>
      </c>
      <c r="K4920">
        <v>0.277227942177941</v>
      </c>
      <c r="L4920">
        <v>946.83666813709794</v>
      </c>
      <c r="M4920">
        <v>19.237514632469999</v>
      </c>
      <c r="N4920">
        <v>51.915382922037999</v>
      </c>
      <c r="O4920">
        <v>48.695660145359803</v>
      </c>
      <c r="P4920">
        <v>-6.7561468812622996E-2</v>
      </c>
      <c r="Q4920">
        <v>0.31595624157364999</v>
      </c>
      <c r="R4920">
        <v>0.98999907694634404</v>
      </c>
      <c r="S4920" t="s">
        <v>11205</v>
      </c>
      <c r="T4920" t="s">
        <v>12568</v>
      </c>
      <c r="U4920" t="s">
        <v>12568</v>
      </c>
      <c r="V4920" t="s">
        <v>12568</v>
      </c>
      <c r="W4920" t="s">
        <v>17438</v>
      </c>
      <c r="X4920">
        <v>13</v>
      </c>
      <c r="Y4920" t="s">
        <v>23542</v>
      </c>
      <c r="Z4920" t="s">
        <v>29790</v>
      </c>
      <c r="AA4920">
        <v>0.53648619649499085</v>
      </c>
      <c r="AB4920" t="str">
        <f>HYPERLINK("Melting_Curves/meltCurve_Q99661_KIF2C.pdf", "Melting_Curves/meltCurve_Q99661_KIF2C.pdf")</f>
        <v>Melting_Curves/meltCurve_Q99661_KIF2C.pdf</v>
      </c>
    </row>
    <row r="4921" spans="1:28" x14ac:dyDescent="0.25">
      <c r="A4921" t="s">
        <v>4925</v>
      </c>
      <c r="B4921">
        <v>0.99352677808782597</v>
      </c>
      <c r="C4921">
        <v>0.85662248037876898</v>
      </c>
      <c r="D4921">
        <v>0.82277060832033799</v>
      </c>
      <c r="E4921">
        <v>0.74215401634783995</v>
      </c>
      <c r="F4921">
        <v>0.71385662480770196</v>
      </c>
      <c r="G4921">
        <v>0.73579623705808195</v>
      </c>
      <c r="H4921">
        <v>0.66354172097567699</v>
      </c>
      <c r="I4921">
        <v>0.62441667945008805</v>
      </c>
      <c r="J4921">
        <v>0.65905682865710402</v>
      </c>
      <c r="K4921">
        <v>0.54852886819126201</v>
      </c>
      <c r="L4921">
        <v>347.74512928622403</v>
      </c>
      <c r="M4921">
        <v>7.02424529201285</v>
      </c>
      <c r="O4921">
        <v>45.962784059874203</v>
      </c>
      <c r="P4921">
        <v>-1.6965004910317199E-2</v>
      </c>
      <c r="Q4921">
        <v>0.55677292526525601</v>
      </c>
      <c r="R4921">
        <v>0.90242029255124001</v>
      </c>
      <c r="S4921" t="s">
        <v>11206</v>
      </c>
      <c r="T4921" t="s">
        <v>12568</v>
      </c>
      <c r="U4921" t="s">
        <v>12568</v>
      </c>
      <c r="V4921" t="s">
        <v>12568</v>
      </c>
      <c r="W4921" t="s">
        <v>17439</v>
      </c>
      <c r="X4921">
        <v>3</v>
      </c>
      <c r="Y4921" t="s">
        <v>23543</v>
      </c>
      <c r="Z4921" t="s">
        <v>29791</v>
      </c>
      <c r="AA4921">
        <v>0.72931038233389278</v>
      </c>
      <c r="AB4921" t="str">
        <f>HYPERLINK("Melting_Curves/meltCurve_Q99674_CGREF1.pdf", "Melting_Curves/meltCurve_Q99674_CGREF1.pdf")</f>
        <v>Melting_Curves/meltCurve_Q99674_CGREF1.pdf</v>
      </c>
    </row>
    <row r="4922" spans="1:28" x14ac:dyDescent="0.25">
      <c r="A4922" t="s">
        <v>4926</v>
      </c>
      <c r="B4922">
        <v>0.99352677808782597</v>
      </c>
      <c r="C4922">
        <v>1.0017335769909601</v>
      </c>
      <c r="D4922">
        <v>1.0079737045397801</v>
      </c>
      <c r="E4922">
        <v>0.72291317606764405</v>
      </c>
      <c r="F4922">
        <v>0.59501743024296505</v>
      </c>
      <c r="G4922">
        <v>0.35677494531857601</v>
      </c>
      <c r="H4922">
        <v>0.217130891746525</v>
      </c>
      <c r="I4922">
        <v>0.23992156388234701</v>
      </c>
      <c r="J4922">
        <v>0.21857077511577699</v>
      </c>
      <c r="K4922">
        <v>0.18449438472368199</v>
      </c>
      <c r="L4922">
        <v>975.572189043859</v>
      </c>
      <c r="M4922">
        <v>18.5442135850837</v>
      </c>
      <c r="N4922">
        <v>54.007413523730797</v>
      </c>
      <c r="O4922">
        <v>52.007586453918996</v>
      </c>
      <c r="P4922">
        <v>-7.2138910334504203E-2</v>
      </c>
      <c r="Q4922">
        <v>0.190775904766359</v>
      </c>
      <c r="R4922">
        <v>0.991601800133037</v>
      </c>
      <c r="S4922" t="s">
        <v>11207</v>
      </c>
      <c r="T4922" t="s">
        <v>12568</v>
      </c>
      <c r="U4922" t="s">
        <v>12568</v>
      </c>
      <c r="V4922" t="s">
        <v>12568</v>
      </c>
      <c r="W4922" t="s">
        <v>17440</v>
      </c>
      <c r="X4922">
        <v>3</v>
      </c>
      <c r="Y4922" t="s">
        <v>23544</v>
      </c>
      <c r="Z4922" t="s">
        <v>29792</v>
      </c>
      <c r="AA4922">
        <v>0.54356338501842127</v>
      </c>
      <c r="AB4922" t="str">
        <f>HYPERLINK("Melting_Curves/meltCurve_Q99685_MGLL.pdf", "Melting_Curves/meltCurve_Q99685_MGLL.pdf")</f>
        <v>Melting_Curves/meltCurve_Q99685_MGLL.pdf</v>
      </c>
    </row>
    <row r="4923" spans="1:28" x14ac:dyDescent="0.25">
      <c r="A4923" t="s">
        <v>4927</v>
      </c>
      <c r="B4923">
        <v>0.99352677808782597</v>
      </c>
      <c r="C4923">
        <v>1.00235721184743</v>
      </c>
      <c r="D4923">
        <v>0.95427020133000995</v>
      </c>
      <c r="E4923">
        <v>0.76893554461446101</v>
      </c>
      <c r="F4923">
        <v>0.67219382367771197</v>
      </c>
      <c r="G4923">
        <v>0.46875577288963199</v>
      </c>
      <c r="H4923">
        <v>0.36120478441690501</v>
      </c>
      <c r="I4923">
        <v>0.36729360234483999</v>
      </c>
      <c r="J4923">
        <v>0.37056962121899201</v>
      </c>
      <c r="K4923">
        <v>0.32236315576340602</v>
      </c>
      <c r="L4923">
        <v>874.07343260728499</v>
      </c>
      <c r="M4923">
        <v>16.613263184376599</v>
      </c>
      <c r="N4923">
        <v>56.176630952357797</v>
      </c>
      <c r="O4923">
        <v>51.8684051162234</v>
      </c>
      <c r="P4923">
        <v>-5.39968513992218E-2</v>
      </c>
      <c r="Q4923">
        <v>0.32570959055708498</v>
      </c>
      <c r="R4923">
        <v>0.99445384982440299</v>
      </c>
      <c r="S4923" t="s">
        <v>11208</v>
      </c>
      <c r="T4923" t="s">
        <v>12568</v>
      </c>
      <c r="U4923" t="s">
        <v>12568</v>
      </c>
      <c r="V4923" t="s">
        <v>12568</v>
      </c>
      <c r="W4923" t="s">
        <v>17441</v>
      </c>
      <c r="X4923">
        <v>19</v>
      </c>
      <c r="Y4923" t="s">
        <v>23545</v>
      </c>
      <c r="Z4923" t="s">
        <v>29793</v>
      </c>
      <c r="AA4923">
        <v>0.62184402504725134</v>
      </c>
      <c r="AB4923" t="str">
        <f>HYPERLINK("Melting_Curves/meltCurve_Q99700_4_ATXN2.pdf", "Melting_Curves/meltCurve_Q99700_4_ATXN2.pdf")</f>
        <v>Melting_Curves/meltCurve_Q99700_4_ATXN2.pdf</v>
      </c>
    </row>
    <row r="4924" spans="1:28" x14ac:dyDescent="0.25">
      <c r="A4924" t="s">
        <v>4928</v>
      </c>
      <c r="B4924">
        <v>0.99352677808782597</v>
      </c>
      <c r="C4924">
        <v>0.81983248672176001</v>
      </c>
      <c r="D4924">
        <v>0.62120346958749895</v>
      </c>
      <c r="E4924">
        <v>0.388787883688339</v>
      </c>
      <c r="F4924">
        <v>0.318973828946708</v>
      </c>
      <c r="G4924">
        <v>0.20386307272602699</v>
      </c>
      <c r="H4924">
        <v>0.14974173903785501</v>
      </c>
      <c r="I4924">
        <v>0.126170003067723</v>
      </c>
      <c r="J4924">
        <v>0.11619134987146899</v>
      </c>
      <c r="K4924">
        <v>9.6052229823283403E-2</v>
      </c>
      <c r="L4924">
        <v>632.59900387775895</v>
      </c>
      <c r="M4924">
        <v>13.318671348472501</v>
      </c>
      <c r="N4924">
        <v>48.326323188918003</v>
      </c>
      <c r="O4924">
        <v>46.464705332329501</v>
      </c>
      <c r="P4924">
        <v>-6.4350843167142693E-2</v>
      </c>
      <c r="Q4924">
        <v>0.102144035730434</v>
      </c>
      <c r="R4924">
        <v>0.99272427003264097</v>
      </c>
      <c r="S4924" t="s">
        <v>11209</v>
      </c>
      <c r="T4924" t="s">
        <v>12568</v>
      </c>
      <c r="U4924" t="s">
        <v>12568</v>
      </c>
      <c r="V4924" t="s">
        <v>12568</v>
      </c>
      <c r="W4924" t="s">
        <v>17442</v>
      </c>
      <c r="X4924">
        <v>6</v>
      </c>
      <c r="Y4924" t="s">
        <v>23546</v>
      </c>
      <c r="Z4924" t="s">
        <v>29794</v>
      </c>
      <c r="AA4924">
        <v>0.35647580378513682</v>
      </c>
      <c r="AB4924" t="str">
        <f>HYPERLINK("Melting_Curves/meltCurve_Q99707_MTR.pdf", "Melting_Curves/meltCurve_Q99707_MTR.pdf")</f>
        <v>Melting_Curves/meltCurve_Q99707_MTR.pdf</v>
      </c>
    </row>
    <row r="4925" spans="1:28" x14ac:dyDescent="0.25">
      <c r="A4925" t="s">
        <v>4929</v>
      </c>
      <c r="B4925">
        <v>0.99352677808782597</v>
      </c>
      <c r="C4925">
        <v>1.0057902035244799</v>
      </c>
      <c r="D4925">
        <v>0.96785946867988004</v>
      </c>
      <c r="E4925">
        <v>1.07487080532249</v>
      </c>
      <c r="F4925">
        <v>1.0250657555576199</v>
      </c>
      <c r="G4925">
        <v>0.70588982214743001</v>
      </c>
      <c r="H4925">
        <v>0.55593516097835405</v>
      </c>
      <c r="I4925">
        <v>0.56386525386431496</v>
      </c>
      <c r="J4925">
        <v>0.54408963698634005</v>
      </c>
      <c r="K4925">
        <v>0.43778167944468599</v>
      </c>
      <c r="L4925">
        <v>5349.7356403606</v>
      </c>
      <c r="M4925">
        <v>94.339387467257694</v>
      </c>
      <c r="O4925">
        <v>56.681867173146301</v>
      </c>
      <c r="P4925">
        <v>-0.19755627761387301</v>
      </c>
      <c r="Q4925">
        <v>0.52520960334491296</v>
      </c>
      <c r="R4925">
        <v>0.96788512785009895</v>
      </c>
      <c r="S4925" t="s">
        <v>11210</v>
      </c>
      <c r="T4925" t="s">
        <v>12568</v>
      </c>
      <c r="U4925" t="s">
        <v>12568</v>
      </c>
      <c r="V4925" t="s">
        <v>12568</v>
      </c>
      <c r="W4925" t="s">
        <v>17443</v>
      </c>
      <c r="X4925">
        <v>6</v>
      </c>
      <c r="Y4925" t="s">
        <v>23547</v>
      </c>
      <c r="Z4925" t="s">
        <v>29795</v>
      </c>
      <c r="AA4925">
        <v>0.7899580104493682</v>
      </c>
      <c r="AB4925" t="str">
        <f>HYPERLINK("Melting_Curves/meltCurve_Q99708_RBBP8.pdf", "Melting_Curves/meltCurve_Q99708_RBBP8.pdf")</f>
        <v>Melting_Curves/meltCurve_Q99708_RBBP8.pdf</v>
      </c>
    </row>
    <row r="4926" spans="1:28" x14ac:dyDescent="0.25">
      <c r="A4926" t="s">
        <v>4930</v>
      </c>
      <c r="B4926">
        <v>0.99352677808782597</v>
      </c>
      <c r="C4926">
        <v>0.93628527210023005</v>
      </c>
      <c r="D4926">
        <v>0.823052747124559</v>
      </c>
      <c r="E4926">
        <v>0.28817909488515098</v>
      </c>
      <c r="F4926">
        <v>0.21551151338570901</v>
      </c>
      <c r="G4926">
        <v>0.12642370400929501</v>
      </c>
      <c r="H4926">
        <v>0.100406192681536</v>
      </c>
      <c r="I4926">
        <v>8.9480981979928195E-2</v>
      </c>
      <c r="J4926">
        <v>8.5593310642674503E-2</v>
      </c>
      <c r="K4926">
        <v>6.1507411649233797E-2</v>
      </c>
      <c r="L4926">
        <v>1313.96944305651</v>
      </c>
      <c r="M4926">
        <v>27.333674559913</v>
      </c>
      <c r="N4926">
        <v>48.442841158481798</v>
      </c>
      <c r="O4926">
        <v>47.816359804810297</v>
      </c>
      <c r="P4926">
        <v>-0.12940274415129699</v>
      </c>
      <c r="Q4926">
        <v>9.4522064115034596E-2</v>
      </c>
      <c r="R4926">
        <v>0.99398115604824999</v>
      </c>
      <c r="S4926" t="s">
        <v>11211</v>
      </c>
      <c r="T4926" t="s">
        <v>12568</v>
      </c>
      <c r="U4926" t="s">
        <v>12568</v>
      </c>
      <c r="V4926" t="s">
        <v>12568</v>
      </c>
      <c r="W4926" t="s">
        <v>17444</v>
      </c>
      <c r="X4926">
        <v>9</v>
      </c>
      <c r="Y4926" t="s">
        <v>23548</v>
      </c>
      <c r="Z4926" t="s">
        <v>29796</v>
      </c>
      <c r="AA4926">
        <v>0.34476695051999501</v>
      </c>
      <c r="AB4926" t="str">
        <f>HYPERLINK("Melting_Curves/meltCurve_Q99714_HSD17B10.pdf", "Melting_Curves/meltCurve_Q99714_HSD17B10.pdf")</f>
        <v>Melting_Curves/meltCurve_Q99714_HSD17B10.pdf</v>
      </c>
    </row>
    <row r="4927" spans="1:28" x14ac:dyDescent="0.25">
      <c r="A4927" t="s">
        <v>4931</v>
      </c>
      <c r="B4927">
        <v>0.99352677808782597</v>
      </c>
      <c r="C4927">
        <v>1.0326009402637399</v>
      </c>
      <c r="D4927">
        <v>1.1261666168690001</v>
      </c>
      <c r="E4927">
        <v>1.1800454602764501</v>
      </c>
      <c r="F4927">
        <v>1.0129814759467299</v>
      </c>
      <c r="G4927">
        <v>0.88023166689364496</v>
      </c>
      <c r="H4927">
        <v>0.91159630954643101</v>
      </c>
      <c r="I4927">
        <v>0.93581499681520397</v>
      </c>
      <c r="J4927">
        <v>1.04322458372863</v>
      </c>
      <c r="K4927">
        <v>0.81440092013377396</v>
      </c>
      <c r="L4927">
        <v>838.39673888731397</v>
      </c>
      <c r="M4927">
        <v>10.0863780799331</v>
      </c>
      <c r="Q4927">
        <v>0</v>
      </c>
      <c r="R4927">
        <v>0.23851678772624399</v>
      </c>
      <c r="S4927" t="s">
        <v>11212</v>
      </c>
      <c r="T4927" t="s">
        <v>12568</v>
      </c>
      <c r="U4927" t="s">
        <v>12568</v>
      </c>
      <c r="V4927" t="s">
        <v>12568</v>
      </c>
      <c r="W4927" t="s">
        <v>17445</v>
      </c>
      <c r="X4927">
        <v>10</v>
      </c>
      <c r="Y4927" t="s">
        <v>23549</v>
      </c>
      <c r="Z4927" t="s">
        <v>29797</v>
      </c>
      <c r="AA4927">
        <v>0.97643080342312394</v>
      </c>
      <c r="AB4927" t="str">
        <f>HYPERLINK("Melting_Curves/meltCurve_Q99729_3_HNRNPAB.pdf", "Melting_Curves/meltCurve_Q99729_3_HNRNPAB.pdf")</f>
        <v>Melting_Curves/meltCurve_Q99729_3_HNRNPAB.pdf</v>
      </c>
    </row>
    <row r="4928" spans="1:28" x14ac:dyDescent="0.25">
      <c r="A4928" t="s">
        <v>4932</v>
      </c>
      <c r="B4928">
        <v>0.99352677808782597</v>
      </c>
      <c r="C4928">
        <v>1.02935887032478</v>
      </c>
      <c r="D4928">
        <v>0.96604373047176495</v>
      </c>
      <c r="E4928">
        <v>0.80352704767642702</v>
      </c>
      <c r="F4928">
        <v>0.64603288045635499</v>
      </c>
      <c r="G4928">
        <v>0.38517027620194899</v>
      </c>
      <c r="H4928">
        <v>0.25560860699629301</v>
      </c>
      <c r="I4928">
        <v>0.23752553738675899</v>
      </c>
      <c r="J4928">
        <v>0.24762473818432201</v>
      </c>
      <c r="K4928">
        <v>0.209990877893417</v>
      </c>
      <c r="L4928">
        <v>1020.14768568745</v>
      </c>
      <c r="M4928">
        <v>19.135445233154901</v>
      </c>
      <c r="N4928">
        <v>54.862474666805603</v>
      </c>
      <c r="O4928">
        <v>52.739943471919602</v>
      </c>
      <c r="P4928">
        <v>-7.1764234787818196E-2</v>
      </c>
      <c r="Q4928">
        <v>0.20886189221331999</v>
      </c>
      <c r="R4928">
        <v>0.99703550798917695</v>
      </c>
      <c r="S4928" t="s">
        <v>11213</v>
      </c>
      <c r="T4928" t="s">
        <v>12568</v>
      </c>
      <c r="U4928" t="s">
        <v>12568</v>
      </c>
      <c r="V4928" t="s">
        <v>12568</v>
      </c>
      <c r="W4928" t="s">
        <v>17446</v>
      </c>
      <c r="X4928">
        <v>14</v>
      </c>
      <c r="Y4928" t="s">
        <v>23550</v>
      </c>
      <c r="Z4928" t="s">
        <v>29798</v>
      </c>
      <c r="AA4928">
        <v>0.57158711846298049</v>
      </c>
      <c r="AB4928" t="str">
        <f>HYPERLINK("Melting_Curves/meltCurve_Q99733_NAP1L4.pdf", "Melting_Curves/meltCurve_Q99733_NAP1L4.pdf")</f>
        <v>Melting_Curves/meltCurve_Q99733_NAP1L4.pdf</v>
      </c>
    </row>
    <row r="4929" spans="1:28" x14ac:dyDescent="0.25">
      <c r="A4929" t="s">
        <v>4933</v>
      </c>
      <c r="B4929">
        <v>0.99352677808782597</v>
      </c>
      <c r="C4929">
        <v>0.87789197090680204</v>
      </c>
      <c r="D4929">
        <v>0.95501312919452297</v>
      </c>
      <c r="E4929">
        <v>0.61007888667941002</v>
      </c>
      <c r="F4929">
        <v>0.53642489046575303</v>
      </c>
      <c r="G4929">
        <v>0.37027449731112699</v>
      </c>
      <c r="H4929">
        <v>0.27235525709074598</v>
      </c>
      <c r="I4929">
        <v>0.270958530745319</v>
      </c>
      <c r="J4929">
        <v>0.29498757275973903</v>
      </c>
      <c r="K4929">
        <v>0.242280128585285</v>
      </c>
      <c r="L4929">
        <v>784.89481362409197</v>
      </c>
      <c r="M4929">
        <v>15.4610116070546</v>
      </c>
      <c r="N4929">
        <v>53.088760117848501</v>
      </c>
      <c r="O4929">
        <v>49.939537599795798</v>
      </c>
      <c r="P4929">
        <v>-5.8380309877825401E-2</v>
      </c>
      <c r="Q4929">
        <v>0.24578696721339999</v>
      </c>
      <c r="R4929">
        <v>0.97631728579813903</v>
      </c>
      <c r="S4929" t="s">
        <v>11214</v>
      </c>
      <c r="T4929" t="s">
        <v>12568</v>
      </c>
      <c r="U4929" t="s">
        <v>12568</v>
      </c>
      <c r="V4929" t="s">
        <v>12568</v>
      </c>
      <c r="W4929" t="s">
        <v>17447</v>
      </c>
      <c r="X4929">
        <v>10</v>
      </c>
      <c r="Y4929" t="s">
        <v>23551</v>
      </c>
      <c r="Z4929" t="s">
        <v>29799</v>
      </c>
      <c r="AA4929">
        <v>0.53312729894001576</v>
      </c>
      <c r="AB4929" t="str">
        <f>HYPERLINK("Melting_Curves/meltCurve_Q99747_NAPG.pdf", "Melting_Curves/meltCurve_Q99747_NAPG.pdf")</f>
        <v>Melting_Curves/meltCurve_Q99747_NAPG.pdf</v>
      </c>
    </row>
    <row r="4930" spans="1:28" x14ac:dyDescent="0.25">
      <c r="A4930" t="s">
        <v>4934</v>
      </c>
      <c r="B4930">
        <v>0.99352677808782597</v>
      </c>
      <c r="C4930">
        <v>0.99993043918981095</v>
      </c>
      <c r="D4930">
        <v>0.95087280363689697</v>
      </c>
      <c r="E4930">
        <v>0.82280843767903999</v>
      </c>
      <c r="F4930">
        <v>0.74903209134830595</v>
      </c>
      <c r="G4930">
        <v>0.57522640556772398</v>
      </c>
      <c r="H4930">
        <v>0.49842757809242699</v>
      </c>
      <c r="I4930">
        <v>0.49734147031577902</v>
      </c>
      <c r="J4930">
        <v>0.43479690601148302</v>
      </c>
      <c r="K4930">
        <v>0.352903176587062</v>
      </c>
      <c r="L4930">
        <v>641.01011629150696</v>
      </c>
      <c r="M4930">
        <v>11.6999380297834</v>
      </c>
      <c r="N4930">
        <v>61.015861033661402</v>
      </c>
      <c r="O4930">
        <v>53.260383609747898</v>
      </c>
      <c r="P4930">
        <v>-3.5786598682344697E-2</v>
      </c>
      <c r="Q4930">
        <v>0.34854311392867399</v>
      </c>
      <c r="R4930">
        <v>0.98848251134067999</v>
      </c>
      <c r="S4930" t="s">
        <v>11215</v>
      </c>
      <c r="T4930" t="s">
        <v>12568</v>
      </c>
      <c r="U4930" t="s">
        <v>12568</v>
      </c>
      <c r="V4930" t="s">
        <v>12568</v>
      </c>
      <c r="W4930" t="s">
        <v>17448</v>
      </c>
      <c r="X4930">
        <v>4</v>
      </c>
      <c r="Y4930" t="s">
        <v>23552</v>
      </c>
      <c r="Z4930" t="s">
        <v>29800</v>
      </c>
      <c r="AA4930">
        <v>0.68561291261776558</v>
      </c>
      <c r="AB4930" t="str">
        <f>HYPERLINK("Melting_Curves/meltCurve_Q99757_TXN2.pdf", "Melting_Curves/meltCurve_Q99757_TXN2.pdf")</f>
        <v>Melting_Curves/meltCurve_Q99757_TXN2.pdf</v>
      </c>
    </row>
    <row r="4931" spans="1:28" x14ac:dyDescent="0.25">
      <c r="A4931" t="s">
        <v>4935</v>
      </c>
      <c r="B4931">
        <v>0.99352677808782597</v>
      </c>
      <c r="C4931">
        <v>0.96672541260926403</v>
      </c>
      <c r="D4931">
        <v>1.0051313581877099</v>
      </c>
      <c r="E4931">
        <v>0.60255762216402298</v>
      </c>
      <c r="F4931">
        <v>0.40999686361526599</v>
      </c>
      <c r="G4931">
        <v>0.172140605179152</v>
      </c>
      <c r="H4931">
        <v>0.11043522224827999</v>
      </c>
      <c r="I4931">
        <v>0.110770324579473</v>
      </c>
      <c r="J4931">
        <v>8.6560504934102403E-2</v>
      </c>
      <c r="K4931">
        <v>7.7831354109906603E-2</v>
      </c>
      <c r="L4931">
        <v>1132.9345160520099</v>
      </c>
      <c r="M4931">
        <v>22.154703667227199</v>
      </c>
      <c r="N4931">
        <v>51.588258073744697</v>
      </c>
      <c r="O4931">
        <v>50.726244995222203</v>
      </c>
      <c r="P4931">
        <v>-9.9580029592721997E-2</v>
      </c>
      <c r="Q4931">
        <v>8.8010814687046204E-2</v>
      </c>
      <c r="R4931">
        <v>0.99273390471241996</v>
      </c>
      <c r="S4931" t="s">
        <v>11216</v>
      </c>
      <c r="T4931" t="s">
        <v>12568</v>
      </c>
      <c r="U4931" t="s">
        <v>12568</v>
      </c>
      <c r="V4931" t="s">
        <v>12568</v>
      </c>
      <c r="W4931" t="s">
        <v>17449</v>
      </c>
      <c r="X4931">
        <v>3</v>
      </c>
      <c r="Y4931" t="s">
        <v>23553</v>
      </c>
      <c r="Z4931" t="s">
        <v>29801</v>
      </c>
      <c r="AA4931">
        <v>0.43701546704195132</v>
      </c>
      <c r="AB4931" t="str">
        <f>HYPERLINK("Melting_Curves/meltCurve_Q99766_ATP5S.pdf", "Melting_Curves/meltCurve_Q99766_ATP5S.pdf")</f>
        <v>Melting_Curves/meltCurve_Q99766_ATP5S.pdf</v>
      </c>
    </row>
    <row r="4932" spans="1:28" x14ac:dyDescent="0.25">
      <c r="A4932" t="s">
        <v>4936</v>
      </c>
      <c r="B4932">
        <v>0.99352677808782597</v>
      </c>
      <c r="C4932">
        <v>0.96973684594853504</v>
      </c>
      <c r="D4932">
        <v>0.84903613818346202</v>
      </c>
      <c r="E4932">
        <v>0.41798824800825501</v>
      </c>
      <c r="F4932">
        <v>0.32988759538177997</v>
      </c>
      <c r="G4932">
        <v>0.261787985472615</v>
      </c>
      <c r="H4932">
        <v>0.21444838240156799</v>
      </c>
      <c r="I4932">
        <v>0.21190938903790499</v>
      </c>
      <c r="J4932">
        <v>0.21946823462407</v>
      </c>
      <c r="K4932">
        <v>0.18836373551216101</v>
      </c>
      <c r="L4932">
        <v>1243.3511977369001</v>
      </c>
      <c r="M4932">
        <v>25.733469047570299</v>
      </c>
      <c r="N4932">
        <v>49.417399459899798</v>
      </c>
      <c r="O4932">
        <v>48.027556681249401</v>
      </c>
      <c r="P4932">
        <v>-0.10472951114788</v>
      </c>
      <c r="Q4932">
        <v>0.21816336197083899</v>
      </c>
      <c r="R4932">
        <v>0.99540544033423894</v>
      </c>
      <c r="S4932" t="s">
        <v>11217</v>
      </c>
      <c r="T4932" t="s">
        <v>12568</v>
      </c>
      <c r="U4932" t="s">
        <v>12568</v>
      </c>
      <c r="V4932" t="s">
        <v>12568</v>
      </c>
      <c r="W4932" t="s">
        <v>17450</v>
      </c>
      <c r="X4932">
        <v>2</v>
      </c>
      <c r="Y4932" t="s">
        <v>23554</v>
      </c>
      <c r="Z4932" t="s">
        <v>29802</v>
      </c>
      <c r="AA4932">
        <v>0.44140361574857812</v>
      </c>
      <c r="AB4932" t="str">
        <f>HYPERLINK("Melting_Curves/meltCurve_Q99767_2_APBA2.pdf", "Melting_Curves/meltCurve_Q99767_2_APBA2.pdf")</f>
        <v>Melting_Curves/meltCurve_Q99767_2_APBA2.pdf</v>
      </c>
    </row>
    <row r="4933" spans="1:28" x14ac:dyDescent="0.25">
      <c r="A4933" t="s">
        <v>4937</v>
      </c>
      <c r="B4933">
        <v>0.99352677808782597</v>
      </c>
      <c r="C4933">
        <v>0.97316492572746005</v>
      </c>
      <c r="D4933">
        <v>0.89912017520564402</v>
      </c>
      <c r="E4933">
        <v>0.275441914689038</v>
      </c>
      <c r="F4933">
        <v>0.21007041500743101</v>
      </c>
      <c r="G4933">
        <v>0.117636939210445</v>
      </c>
      <c r="H4933">
        <v>9.0114384784818202E-2</v>
      </c>
      <c r="I4933">
        <v>8.7048671237449096E-2</v>
      </c>
      <c r="J4933">
        <v>6.9008223349361103E-2</v>
      </c>
      <c r="K4933">
        <v>4.5038224201551597E-2</v>
      </c>
      <c r="L4933">
        <v>1742.0677048730499</v>
      </c>
      <c r="M4933">
        <v>36.014013220371197</v>
      </c>
      <c r="N4933">
        <v>48.646785678111101</v>
      </c>
      <c r="O4933">
        <v>48.223524398481999</v>
      </c>
      <c r="P4933">
        <v>-0.16951734285842501</v>
      </c>
      <c r="Q4933">
        <v>9.2053676191546294E-2</v>
      </c>
      <c r="R4933">
        <v>0.99223538144371703</v>
      </c>
      <c r="S4933" t="s">
        <v>11218</v>
      </c>
      <c r="T4933" t="s">
        <v>12568</v>
      </c>
      <c r="U4933" t="s">
        <v>12568</v>
      </c>
      <c r="V4933" t="s">
        <v>12568</v>
      </c>
      <c r="W4933" t="s">
        <v>17451</v>
      </c>
      <c r="X4933">
        <v>16</v>
      </c>
      <c r="Y4933" t="s">
        <v>23555</v>
      </c>
      <c r="Z4933" t="s">
        <v>29803</v>
      </c>
      <c r="AA4933">
        <v>0.3491961511425497</v>
      </c>
      <c r="AB4933" t="str">
        <f>HYPERLINK("Melting_Curves/meltCurve_Q99797_MIPEP.pdf", "Melting_Curves/meltCurve_Q99797_MIPEP.pdf")</f>
        <v>Melting_Curves/meltCurve_Q99797_MIPEP.pdf</v>
      </c>
    </row>
    <row r="4934" spans="1:28" x14ac:dyDescent="0.25">
      <c r="A4934" t="s">
        <v>4938</v>
      </c>
      <c r="B4934">
        <v>0.99352677808782597</v>
      </c>
      <c r="C4934">
        <v>0.78119751053866804</v>
      </c>
      <c r="D4934">
        <v>1.0585499469930499</v>
      </c>
      <c r="E4934">
        <v>0.56912985929799997</v>
      </c>
      <c r="F4934">
        <v>0.47521500000005701</v>
      </c>
      <c r="G4934">
        <v>0.16312087642054501</v>
      </c>
      <c r="H4934">
        <v>0.10959633306161499</v>
      </c>
      <c r="I4934">
        <v>9.9912742344244104E-2</v>
      </c>
      <c r="J4934">
        <v>8.3581200097050196E-2</v>
      </c>
      <c r="K4934">
        <v>6.6352231131578399E-2</v>
      </c>
      <c r="L4934">
        <v>957.47384410763198</v>
      </c>
      <c r="M4934">
        <v>18.604964317977998</v>
      </c>
      <c r="N4934">
        <v>51.849936189017399</v>
      </c>
      <c r="O4934">
        <v>50.879854692529698</v>
      </c>
      <c r="P4934">
        <v>-8.5499620434890206E-2</v>
      </c>
      <c r="Q4934">
        <v>6.4761462578481505E-2</v>
      </c>
      <c r="R4934">
        <v>0.94625494812826405</v>
      </c>
      <c r="S4934" t="s">
        <v>11219</v>
      </c>
      <c r="T4934" t="s">
        <v>12568</v>
      </c>
      <c r="U4934" t="s">
        <v>12568</v>
      </c>
      <c r="V4934" t="s">
        <v>12568</v>
      </c>
      <c r="W4934" t="s">
        <v>17452</v>
      </c>
      <c r="X4934">
        <v>22</v>
      </c>
      <c r="Y4934" t="s">
        <v>23556</v>
      </c>
      <c r="Z4934" t="s">
        <v>29804</v>
      </c>
      <c r="AA4934">
        <v>0.43690723559746658</v>
      </c>
      <c r="AB4934" t="str">
        <f>HYPERLINK("Melting_Curves/meltCurve_Q99798_ACO2.pdf", "Melting_Curves/meltCurve_Q99798_ACO2.pdf")</f>
        <v>Melting_Curves/meltCurve_Q99798_ACO2.pdf</v>
      </c>
    </row>
    <row r="4935" spans="1:28" x14ac:dyDescent="0.25">
      <c r="A4935" t="s">
        <v>4939</v>
      </c>
      <c r="B4935">
        <v>0.99352677808782597</v>
      </c>
      <c r="C4935">
        <v>1.01313986236757</v>
      </c>
      <c r="D4935">
        <v>1.0019656906858401</v>
      </c>
      <c r="E4935">
        <v>0.59740292761681002</v>
      </c>
      <c r="F4935">
        <v>0.46924366883899099</v>
      </c>
      <c r="G4935">
        <v>0.18821629890668901</v>
      </c>
      <c r="H4935">
        <v>9.6903064696823096E-2</v>
      </c>
      <c r="I4935">
        <v>8.1885859726009702E-2</v>
      </c>
      <c r="J4935">
        <v>7.6879639060603702E-2</v>
      </c>
      <c r="K4935">
        <v>5.6540575294791298E-2</v>
      </c>
      <c r="L4935">
        <v>1010.71984490074</v>
      </c>
      <c r="M4935">
        <v>19.560628703442202</v>
      </c>
      <c r="N4935">
        <v>52.011490164627702</v>
      </c>
      <c r="O4935">
        <v>51.140174967100499</v>
      </c>
      <c r="P4935">
        <v>-8.98813667161458E-2</v>
      </c>
      <c r="Q4935">
        <v>6.0074077202050102E-2</v>
      </c>
      <c r="R4935">
        <v>0.989314778134321</v>
      </c>
      <c r="S4935" t="s">
        <v>11220</v>
      </c>
      <c r="T4935" t="s">
        <v>12568</v>
      </c>
      <c r="U4935" t="s">
        <v>12568</v>
      </c>
      <c r="V4935" t="s">
        <v>12568</v>
      </c>
      <c r="W4935" t="s">
        <v>17453</v>
      </c>
      <c r="X4935">
        <v>11</v>
      </c>
      <c r="Y4935" t="s">
        <v>23557</v>
      </c>
      <c r="Z4935" t="s">
        <v>29805</v>
      </c>
      <c r="AA4935">
        <v>0.43929863775594657</v>
      </c>
      <c r="AB4935" t="str">
        <f>HYPERLINK("Melting_Curves/meltCurve_Q99816_TSG101.pdf", "Melting_Curves/meltCurve_Q99816_TSG101.pdf")</f>
        <v>Melting_Curves/meltCurve_Q99816_TSG101.pdf</v>
      </c>
    </row>
    <row r="4936" spans="1:28" x14ac:dyDescent="0.25">
      <c r="A4936" t="s">
        <v>4940</v>
      </c>
      <c r="B4936">
        <v>0.99352677808782597</v>
      </c>
      <c r="C4936">
        <v>0.90112130265167401</v>
      </c>
      <c r="D4936">
        <v>0.838210519238897</v>
      </c>
      <c r="E4936">
        <v>0.31310905985971699</v>
      </c>
      <c r="F4936">
        <v>0.240088242269031</v>
      </c>
      <c r="G4936">
        <v>0.154226279555887</v>
      </c>
      <c r="H4936">
        <v>0.112998399809493</v>
      </c>
      <c r="I4936">
        <v>0.118834556366414</v>
      </c>
      <c r="J4936">
        <v>6.8253269369729697E-2</v>
      </c>
      <c r="K4936">
        <v>5.6714113384612998E-2</v>
      </c>
      <c r="L4936">
        <v>1167.00077272922</v>
      </c>
      <c r="M4936">
        <v>24.1872388789502</v>
      </c>
      <c r="N4936">
        <v>48.690750821002403</v>
      </c>
      <c r="O4936">
        <v>47.922445135262201</v>
      </c>
      <c r="P4936">
        <v>-0.11374048153390399</v>
      </c>
      <c r="Q4936">
        <v>9.8592926234303893E-2</v>
      </c>
      <c r="R4936">
        <v>0.98778595733976804</v>
      </c>
      <c r="S4936" t="s">
        <v>11221</v>
      </c>
      <c r="T4936" t="s">
        <v>12568</v>
      </c>
      <c r="U4936" t="s">
        <v>12568</v>
      </c>
      <c r="V4936" t="s">
        <v>12568</v>
      </c>
      <c r="W4936" t="s">
        <v>17454</v>
      </c>
      <c r="X4936">
        <v>16</v>
      </c>
      <c r="Y4936" t="s">
        <v>23558</v>
      </c>
      <c r="Z4936" t="s">
        <v>29806</v>
      </c>
      <c r="AA4936">
        <v>0.35497839935842612</v>
      </c>
      <c r="AB4936" t="str">
        <f>HYPERLINK("Melting_Curves/meltCurve_Q99829_CPNE1.pdf", "Melting_Curves/meltCurve_Q99829_CPNE1.pdf")</f>
        <v>Melting_Curves/meltCurve_Q99829_CPNE1.pdf</v>
      </c>
    </row>
    <row r="4937" spans="1:28" x14ac:dyDescent="0.25">
      <c r="A4937" t="s">
        <v>4941</v>
      </c>
      <c r="B4937">
        <v>0.99352677808782597</v>
      </c>
      <c r="C4937">
        <v>0.95592612988765002</v>
      </c>
      <c r="D4937">
        <v>0.75884030394020496</v>
      </c>
      <c r="E4937">
        <v>1.4891188463347</v>
      </c>
      <c r="F4937">
        <v>1.1417726628943801</v>
      </c>
      <c r="G4937">
        <v>0.67724827627324602</v>
      </c>
      <c r="H4937">
        <v>0.18696786281869901</v>
      </c>
      <c r="I4937">
        <v>0.14900089073357201</v>
      </c>
      <c r="J4937">
        <v>0.112094878310333</v>
      </c>
      <c r="K4937">
        <v>8.6494240956629997E-2</v>
      </c>
      <c r="L4937">
        <v>3413.1135779660299</v>
      </c>
      <c r="M4937">
        <v>59.297164853218902</v>
      </c>
      <c r="N4937">
        <v>57.8393296299095</v>
      </c>
      <c r="O4937">
        <v>57.494117348492402</v>
      </c>
      <c r="P4937">
        <v>-0.22568504841964401</v>
      </c>
      <c r="Q4937">
        <v>0.124709785806984</v>
      </c>
      <c r="R4937">
        <v>0.855334718257868</v>
      </c>
      <c r="S4937" t="s">
        <v>11222</v>
      </c>
      <c r="T4937" t="s">
        <v>12568</v>
      </c>
      <c r="U4937" t="s">
        <v>12568</v>
      </c>
      <c r="V4937" t="s">
        <v>12568</v>
      </c>
      <c r="W4937" t="s">
        <v>17455</v>
      </c>
      <c r="X4937">
        <v>35</v>
      </c>
      <c r="Y4937" t="s">
        <v>23559</v>
      </c>
      <c r="Z4937" t="s">
        <v>29807</v>
      </c>
      <c r="AA4937">
        <v>0.63860732660879871</v>
      </c>
      <c r="AB4937" t="str">
        <f>HYPERLINK("Melting_Curves/meltCurve_Q99832_CCT7.pdf", "Melting_Curves/meltCurve_Q99832_CCT7.pdf")</f>
        <v>Melting_Curves/meltCurve_Q99832_CCT7.pdf</v>
      </c>
    </row>
    <row r="4938" spans="1:28" x14ac:dyDescent="0.25">
      <c r="A4938" t="s">
        <v>4942</v>
      </c>
      <c r="B4938">
        <v>0.99352677808782597</v>
      </c>
      <c r="C4938">
        <v>0.91342508963743996</v>
      </c>
      <c r="D4938">
        <v>0.73953837601175298</v>
      </c>
      <c r="E4938">
        <v>0.28353747061441098</v>
      </c>
      <c r="F4938">
        <v>0.23170171371189499</v>
      </c>
      <c r="G4938">
        <v>0.140141293926245</v>
      </c>
      <c r="H4938">
        <v>9.8481005849420794E-2</v>
      </c>
      <c r="I4938">
        <v>0.102584797729818</v>
      </c>
      <c r="J4938">
        <v>9.7381620487793599E-2</v>
      </c>
      <c r="K4938">
        <v>6.6807189620492494E-2</v>
      </c>
      <c r="L4938">
        <v>1059.9407667899</v>
      </c>
      <c r="M4938">
        <v>22.262866086317999</v>
      </c>
      <c r="N4938">
        <v>48.078787968882096</v>
      </c>
      <c r="O4938">
        <v>47.231109869324598</v>
      </c>
      <c r="P4938">
        <v>-0.10635099433904401</v>
      </c>
      <c r="Q4938">
        <v>9.7516286788454906E-2</v>
      </c>
      <c r="R4938">
        <v>0.99445041253611899</v>
      </c>
      <c r="S4938" t="s">
        <v>11223</v>
      </c>
      <c r="T4938" t="s">
        <v>12568</v>
      </c>
      <c r="U4938" t="s">
        <v>12568</v>
      </c>
      <c r="V4938" t="s">
        <v>12568</v>
      </c>
      <c r="W4938" t="s">
        <v>17456</v>
      </c>
      <c r="X4938">
        <v>4</v>
      </c>
      <c r="Y4938" t="s">
        <v>23560</v>
      </c>
      <c r="Z4938" t="s">
        <v>29808</v>
      </c>
      <c r="AA4938">
        <v>0.33672150140294838</v>
      </c>
      <c r="AB4938" t="str">
        <f>HYPERLINK("Melting_Curves/meltCurve_Q99871_3_HAUS7.pdf", "Melting_Curves/meltCurve_Q99871_3_HAUS7.pdf")</f>
        <v>Melting_Curves/meltCurve_Q99871_3_HAUS7.pdf</v>
      </c>
    </row>
    <row r="4939" spans="1:28" x14ac:dyDescent="0.25">
      <c r="A4939" t="s">
        <v>4943</v>
      </c>
      <c r="B4939">
        <v>0.99352677808782597</v>
      </c>
      <c r="C4939">
        <v>0.98136068745348504</v>
      </c>
      <c r="D4939">
        <v>0.338300615238942</v>
      </c>
      <c r="E4939">
        <v>0.28527527246210399</v>
      </c>
      <c r="F4939">
        <v>0.20168708041251199</v>
      </c>
      <c r="G4939">
        <v>0.100532243602951</v>
      </c>
      <c r="H4939">
        <v>4.5177173967119802E-2</v>
      </c>
      <c r="I4939">
        <v>3.7181668250521299E-2</v>
      </c>
      <c r="J4939">
        <v>3.7520755075617702E-2</v>
      </c>
      <c r="K4939">
        <v>2.44939233204742E-2</v>
      </c>
      <c r="L4939">
        <v>2600.2542829242202</v>
      </c>
      <c r="M4939">
        <v>57.516759496644397</v>
      </c>
      <c r="N4939">
        <v>45.39108123426</v>
      </c>
      <c r="O4939">
        <v>45.154083803734302</v>
      </c>
      <c r="P4939">
        <v>-0.28558334951702702</v>
      </c>
      <c r="Q4939">
        <v>0.10320064542185001</v>
      </c>
      <c r="R4939">
        <v>0.95273616611672396</v>
      </c>
      <c r="S4939" t="s">
        <v>11224</v>
      </c>
      <c r="T4939" t="s">
        <v>12568</v>
      </c>
      <c r="U4939" t="s">
        <v>12568</v>
      </c>
      <c r="V4939" t="s">
        <v>12568</v>
      </c>
      <c r="W4939" t="s">
        <v>17457</v>
      </c>
      <c r="X4939">
        <v>5</v>
      </c>
      <c r="Y4939" t="s">
        <v>23561</v>
      </c>
      <c r="Z4939" t="s">
        <v>29809</v>
      </c>
      <c r="AA4939">
        <v>0.2602636436776774</v>
      </c>
      <c r="AB4939" t="str">
        <f>HYPERLINK("Melting_Curves/meltCurve_Q99878_HIST1H2AJ.pdf", "Melting_Curves/meltCurve_Q99878_HIST1H2AJ.pdf")</f>
        <v>Melting_Curves/meltCurve_Q99878_HIST1H2AJ.pdf</v>
      </c>
    </row>
    <row r="4940" spans="1:28" x14ac:dyDescent="0.25">
      <c r="A4940" t="s">
        <v>4944</v>
      </c>
      <c r="B4940">
        <v>0.99352677808782597</v>
      </c>
      <c r="C4940">
        <v>0.94080065257136603</v>
      </c>
      <c r="D4940">
        <v>0.86981937021049505</v>
      </c>
      <c r="E4940">
        <v>0.35251107207989402</v>
      </c>
      <c r="F4940">
        <v>0.27834606291816499</v>
      </c>
      <c r="G4940">
        <v>0.15639052915815599</v>
      </c>
      <c r="H4940">
        <v>0.11183720215357899</v>
      </c>
      <c r="I4940">
        <v>0.10591427980328801</v>
      </c>
      <c r="J4940">
        <v>9.0455450372116997E-2</v>
      </c>
      <c r="K4940">
        <v>6.2848135642870895E-2</v>
      </c>
      <c r="L4940">
        <v>1169.3399878057601</v>
      </c>
      <c r="M4940">
        <v>24.013968382000499</v>
      </c>
      <c r="N4940">
        <v>49.163600699232397</v>
      </c>
      <c r="O4940">
        <v>48.360233269688898</v>
      </c>
      <c r="P4940">
        <v>-0.111423996394359</v>
      </c>
      <c r="Q4940">
        <v>0.102454470062233</v>
      </c>
      <c r="R4940">
        <v>0.989863270282764</v>
      </c>
      <c r="S4940" t="s">
        <v>11225</v>
      </c>
      <c r="T4940" t="s">
        <v>12568</v>
      </c>
      <c r="U4940" t="s">
        <v>12568</v>
      </c>
      <c r="V4940" t="s">
        <v>12568</v>
      </c>
      <c r="W4940" t="s">
        <v>17458</v>
      </c>
      <c r="X4940">
        <v>6</v>
      </c>
      <c r="Y4940" t="s">
        <v>23562</v>
      </c>
      <c r="Z4940" t="s">
        <v>29810</v>
      </c>
      <c r="AA4940">
        <v>0.3712010110949569</v>
      </c>
      <c r="AB4940" t="str">
        <f>HYPERLINK("Melting_Curves/meltCurve_Q99879_HIST1H2BM.pdf", "Melting_Curves/meltCurve_Q99879_HIST1H2BM.pdf")</f>
        <v>Melting_Curves/meltCurve_Q99879_HIST1H2BM.pdf</v>
      </c>
    </row>
    <row r="4941" spans="1:28" x14ac:dyDescent="0.25">
      <c r="A4941" t="s">
        <v>4945</v>
      </c>
      <c r="B4941">
        <v>0.99352677808782597</v>
      </c>
      <c r="C4941">
        <v>0.97362090850388605</v>
      </c>
      <c r="D4941">
        <v>1.0454301512639399</v>
      </c>
      <c r="E4941">
        <v>0.74311572162295503</v>
      </c>
      <c r="F4941">
        <v>0.61935625173696196</v>
      </c>
      <c r="G4941">
        <v>0.51321058812022702</v>
      </c>
      <c r="H4941">
        <v>0.49620626962625097</v>
      </c>
      <c r="I4941">
        <v>0.44773364373525898</v>
      </c>
      <c r="J4941">
        <v>0.43412551830823598</v>
      </c>
      <c r="K4941">
        <v>0.30100568107544201</v>
      </c>
      <c r="L4941">
        <v>951.55116923053401</v>
      </c>
      <c r="M4941">
        <v>18.415347564200399</v>
      </c>
      <c r="N4941">
        <v>56.722073473080002</v>
      </c>
      <c r="O4941">
        <v>51.0738838933312</v>
      </c>
      <c r="P4941">
        <v>-5.3818460888369099E-2</v>
      </c>
      <c r="Q4941">
        <v>0.40297757169777698</v>
      </c>
      <c r="R4941">
        <v>0.95387378904631603</v>
      </c>
      <c r="S4941" t="s">
        <v>11226</v>
      </c>
      <c r="T4941" t="s">
        <v>12568</v>
      </c>
      <c r="U4941" t="s">
        <v>12568</v>
      </c>
      <c r="V4941" t="s">
        <v>12568</v>
      </c>
      <c r="W4941" t="s">
        <v>17459</v>
      </c>
      <c r="X4941">
        <v>6</v>
      </c>
      <c r="Y4941" t="s">
        <v>23563</v>
      </c>
      <c r="Z4941" t="s">
        <v>29811</v>
      </c>
      <c r="AA4941">
        <v>0.64484010130902547</v>
      </c>
      <c r="AB4941" t="str">
        <f>HYPERLINK("Melting_Curves/meltCurve_Q99933_4_BAG1.pdf", "Melting_Curves/meltCurve_Q99933_4_BAG1.pdf")</f>
        <v>Melting_Curves/meltCurve_Q99933_4_BAG1.pdf</v>
      </c>
    </row>
    <row r="4942" spans="1:28" x14ac:dyDescent="0.25">
      <c r="A4942" t="s">
        <v>4946</v>
      </c>
      <c r="B4942">
        <v>0.99352677808782597</v>
      </c>
      <c r="C4942">
        <v>0.92249572938511604</v>
      </c>
      <c r="D4942">
        <v>0.94291003845606103</v>
      </c>
      <c r="E4942">
        <v>0.90608964377698098</v>
      </c>
      <c r="F4942">
        <v>0.78269236136837494</v>
      </c>
      <c r="G4942">
        <v>0.69293470338673702</v>
      </c>
      <c r="H4942">
        <v>0.65286913960934601</v>
      </c>
      <c r="I4942">
        <v>0.59130927842727199</v>
      </c>
      <c r="J4942">
        <v>0.54097229456717799</v>
      </c>
      <c r="K4942">
        <v>0.51630418849937698</v>
      </c>
      <c r="L4942">
        <v>469.62719226760601</v>
      </c>
      <c r="M4942">
        <v>8.1483247842802005</v>
      </c>
      <c r="O4942">
        <v>54.475322136156102</v>
      </c>
      <c r="P4942">
        <v>-2.23770328848007E-2</v>
      </c>
      <c r="Q4942">
        <v>0.40222789813269899</v>
      </c>
      <c r="R4942">
        <v>0.98286218449492102</v>
      </c>
      <c r="S4942" t="s">
        <v>11227</v>
      </c>
      <c r="T4942" t="s">
        <v>12568</v>
      </c>
      <c r="U4942" t="s">
        <v>12568</v>
      </c>
      <c r="V4942" t="s">
        <v>12568</v>
      </c>
      <c r="W4942" t="s">
        <v>17460</v>
      </c>
      <c r="X4942">
        <v>1</v>
      </c>
      <c r="Y4942" t="s">
        <v>23564</v>
      </c>
      <c r="Z4942" t="s">
        <v>29812</v>
      </c>
      <c r="AA4942">
        <v>0.75796704410822191</v>
      </c>
      <c r="AB4942" t="str">
        <f>HYPERLINK("Melting_Curves/meltCurve_Q99959_2_PKP2.pdf", "Melting_Curves/meltCurve_Q99959_2_PKP2.pdf")</f>
        <v>Melting_Curves/meltCurve_Q99959_2_PKP2.pdf</v>
      </c>
    </row>
    <row r="4943" spans="1:28" x14ac:dyDescent="0.25">
      <c r="A4943" t="s">
        <v>4947</v>
      </c>
      <c r="B4943">
        <v>0.99352677808782597</v>
      </c>
      <c r="C4943">
        <v>0.96987896014841002</v>
      </c>
      <c r="D4943">
        <v>0.96330288910481199</v>
      </c>
      <c r="E4943">
        <v>0.588085953397947</v>
      </c>
      <c r="F4943">
        <v>0.47873023395117598</v>
      </c>
      <c r="G4943">
        <v>0.33142884408973</v>
      </c>
      <c r="H4943">
        <v>0.24518580356427999</v>
      </c>
      <c r="I4943">
        <v>0.25104273585039599</v>
      </c>
      <c r="J4943">
        <v>0.33533667875144701</v>
      </c>
      <c r="K4943">
        <v>0.29788655495685901</v>
      </c>
      <c r="L4943">
        <v>1181.4216777552399</v>
      </c>
      <c r="M4943">
        <v>23.6638573873913</v>
      </c>
      <c r="N4943">
        <v>51.778976870025197</v>
      </c>
      <c r="O4943">
        <v>49.572714515883398</v>
      </c>
      <c r="P4943">
        <v>-8.5245427881781105E-2</v>
      </c>
      <c r="Q4943">
        <v>0.28569939511672698</v>
      </c>
      <c r="R4943">
        <v>0.98459869863259997</v>
      </c>
      <c r="S4943" t="s">
        <v>11228</v>
      </c>
      <c r="T4943" t="s">
        <v>12568</v>
      </c>
      <c r="U4943" t="s">
        <v>12568</v>
      </c>
      <c r="V4943" t="s">
        <v>12568</v>
      </c>
      <c r="W4943" t="s">
        <v>17461</v>
      </c>
      <c r="X4943">
        <v>19</v>
      </c>
      <c r="Y4943" t="s">
        <v>23565</v>
      </c>
      <c r="Z4943" t="s">
        <v>29813</v>
      </c>
      <c r="AA4943">
        <v>0.5291416260410674</v>
      </c>
      <c r="AB4943" t="str">
        <f>HYPERLINK("Melting_Curves/meltCurve_Q99961_SH3GL1.pdf", "Melting_Curves/meltCurve_Q99961_SH3GL1.pdf")</f>
        <v>Melting_Curves/meltCurve_Q99961_SH3GL1.pdf</v>
      </c>
    </row>
    <row r="4944" spans="1:28" x14ac:dyDescent="0.25">
      <c r="A4944" t="s">
        <v>4948</v>
      </c>
      <c r="B4944">
        <v>0.99352677808782597</v>
      </c>
      <c r="C4944">
        <v>0.83041863410232197</v>
      </c>
      <c r="D4944">
        <v>0.57849577638794802</v>
      </c>
      <c r="E4944">
        <v>0.211769807630037</v>
      </c>
      <c r="F4944">
        <v>0.15185082339096301</v>
      </c>
      <c r="G4944">
        <v>8.8900367699070004E-2</v>
      </c>
      <c r="H4944">
        <v>5.9273042485134299E-2</v>
      </c>
      <c r="I4944">
        <v>5.5939581019256002E-2</v>
      </c>
      <c r="J4944">
        <v>5.0644888017786001E-2</v>
      </c>
      <c r="K4944">
        <v>4.6456432039285303E-2</v>
      </c>
      <c r="L4944">
        <v>935.385295020385</v>
      </c>
      <c r="M4944">
        <v>20.160890850125899</v>
      </c>
      <c r="N4944">
        <v>46.665098876157003</v>
      </c>
      <c r="O4944">
        <v>45.946793127343803</v>
      </c>
      <c r="P4944">
        <v>-0.10368088146478301</v>
      </c>
      <c r="Q4944">
        <v>5.4872318433183201E-2</v>
      </c>
      <c r="R4944">
        <v>0.99764664955133298</v>
      </c>
      <c r="S4944" t="s">
        <v>11229</v>
      </c>
      <c r="T4944" t="s">
        <v>12568</v>
      </c>
      <c r="U4944" t="s">
        <v>12568</v>
      </c>
      <c r="V4944" t="s">
        <v>12568</v>
      </c>
      <c r="W4944" t="s">
        <v>17462</v>
      </c>
      <c r="X4944">
        <v>5</v>
      </c>
      <c r="Y4944" t="s">
        <v>23566</v>
      </c>
      <c r="Z4944" t="s">
        <v>29814</v>
      </c>
      <c r="AA4944">
        <v>0.27036491724839751</v>
      </c>
      <c r="AB4944" t="str">
        <f>HYPERLINK("Melting_Curves/meltCurve_Q99986_VRK1.pdf", "Melting_Curves/meltCurve_Q99986_VRK1.pdf")</f>
        <v>Melting_Curves/meltCurve_Q99986_VRK1.pdf</v>
      </c>
    </row>
    <row r="4945" spans="1:28" x14ac:dyDescent="0.25">
      <c r="A4945" t="s">
        <v>4949</v>
      </c>
      <c r="B4945">
        <v>0.99352677808782597</v>
      </c>
      <c r="C4945">
        <v>0.95797668890472798</v>
      </c>
      <c r="D4945">
        <v>0.64822245496082498</v>
      </c>
      <c r="E4945">
        <v>0.508604448146321</v>
      </c>
      <c r="F4945">
        <v>0.410701042074192</v>
      </c>
      <c r="G4945">
        <v>0.29973704466824602</v>
      </c>
      <c r="H4945">
        <v>0.217675698790672</v>
      </c>
      <c r="I4945">
        <v>0.213803536754895</v>
      </c>
      <c r="J4945">
        <v>0.21153438349228701</v>
      </c>
      <c r="K4945">
        <v>0.195190132639772</v>
      </c>
      <c r="L4945">
        <v>676.17538822113704</v>
      </c>
      <c r="M4945">
        <v>13.9940293699156</v>
      </c>
      <c r="N4945">
        <v>50.082166714277797</v>
      </c>
      <c r="O4945">
        <v>47.364265155971196</v>
      </c>
      <c r="P4945">
        <v>-5.9504116379902501E-2</v>
      </c>
      <c r="Q4945">
        <v>0.194515393691682</v>
      </c>
      <c r="R4945">
        <v>0.98077429560136198</v>
      </c>
      <c r="S4945" t="s">
        <v>11230</v>
      </c>
      <c r="T4945" t="s">
        <v>12568</v>
      </c>
      <c r="U4945" t="s">
        <v>12568</v>
      </c>
      <c r="V4945" t="s">
        <v>12568</v>
      </c>
      <c r="W4945" t="s">
        <v>17463</v>
      </c>
      <c r="X4945">
        <v>29</v>
      </c>
      <c r="Y4945" t="s">
        <v>23567</v>
      </c>
      <c r="Z4945" t="s">
        <v>29815</v>
      </c>
      <c r="AA4945">
        <v>0.44121829867132528</v>
      </c>
      <c r="AB4945" t="str">
        <f>HYPERLINK("Melting_Curves/meltCurve_Q99996_5_AKAP9.pdf", "Melting_Curves/meltCurve_Q99996_5_AKAP9.pdf")</f>
        <v>Melting_Curves/meltCurve_Q99996_5_AKAP9.pdf</v>
      </c>
    </row>
    <row r="4946" spans="1:28" x14ac:dyDescent="0.25">
      <c r="A4946" t="s">
        <v>4950</v>
      </c>
      <c r="B4946">
        <v>0.99352677808782597</v>
      </c>
      <c r="C4946">
        <v>0.98699779949240896</v>
      </c>
      <c r="D4946">
        <v>0.85301238077029395</v>
      </c>
      <c r="E4946">
        <v>0.43186735080691302</v>
      </c>
      <c r="F4946">
        <v>0.34417440219732098</v>
      </c>
      <c r="G4946">
        <v>0.197024305406823</v>
      </c>
      <c r="H4946">
        <v>0.13956659282110101</v>
      </c>
      <c r="I4946">
        <v>0.109061249702777</v>
      </c>
      <c r="J4946">
        <v>8.7413381986555794E-2</v>
      </c>
      <c r="K4946">
        <v>7.4013660961060407E-2</v>
      </c>
      <c r="L4946">
        <v>934.60820456689203</v>
      </c>
      <c r="M4946">
        <v>18.9114496492674</v>
      </c>
      <c r="N4946">
        <v>50.008761895706698</v>
      </c>
      <c r="O4946">
        <v>48.877584747474799</v>
      </c>
      <c r="P4946">
        <v>-8.7081899895220999E-2</v>
      </c>
      <c r="Q4946">
        <v>9.9766496501768595E-2</v>
      </c>
      <c r="R4946">
        <v>0.991097687217666</v>
      </c>
      <c r="S4946" t="s">
        <v>11231</v>
      </c>
      <c r="T4946" t="s">
        <v>12568</v>
      </c>
      <c r="U4946" t="s">
        <v>12568</v>
      </c>
      <c r="V4946" t="s">
        <v>12568</v>
      </c>
      <c r="W4946" t="s">
        <v>17464</v>
      </c>
      <c r="X4946">
        <v>14</v>
      </c>
      <c r="Y4946" t="s">
        <v>23568</v>
      </c>
      <c r="Z4946" t="s">
        <v>29816</v>
      </c>
      <c r="AA4946">
        <v>0.39649448373522628</v>
      </c>
      <c r="AB4946" t="str">
        <f>HYPERLINK("Melting_Curves/meltCurve_Q9BPU6_DPYSL5.pdf", "Melting_Curves/meltCurve_Q9BPU6_DPYSL5.pdf")</f>
        <v>Melting_Curves/meltCurve_Q9BPU6_DPYSL5.pdf</v>
      </c>
    </row>
    <row r="4947" spans="1:28" x14ac:dyDescent="0.25">
      <c r="A4947" t="s">
        <v>4951</v>
      </c>
      <c r="B4947">
        <v>0.99352677808782597</v>
      </c>
      <c r="C4947">
        <v>0.96711276103918697</v>
      </c>
      <c r="D4947">
        <v>0.77282356688894105</v>
      </c>
      <c r="E4947">
        <v>0.29821205322018202</v>
      </c>
      <c r="F4947">
        <v>0.24064482849024299</v>
      </c>
      <c r="G4947">
        <v>0.16180570292193699</v>
      </c>
      <c r="H4947">
        <v>9.9652365656552999E-2</v>
      </c>
      <c r="I4947">
        <v>0.105241692716613</v>
      </c>
      <c r="J4947">
        <v>7.8850144468845695E-2</v>
      </c>
      <c r="K4947">
        <v>6.1958325620943902E-2</v>
      </c>
      <c r="L4947">
        <v>1154.04087453749</v>
      </c>
      <c r="M4947">
        <v>24.074258836772501</v>
      </c>
      <c r="N4947">
        <v>48.388029904387601</v>
      </c>
      <c r="O4947">
        <v>47.609627084255997</v>
      </c>
      <c r="P4947">
        <v>-0.11370463694786299</v>
      </c>
      <c r="Q4947">
        <v>0.10055784403814499</v>
      </c>
      <c r="R4947">
        <v>0.99247159184668099</v>
      </c>
      <c r="S4947" t="s">
        <v>11232</v>
      </c>
      <c r="T4947" t="s">
        <v>12568</v>
      </c>
      <c r="U4947" t="s">
        <v>12568</v>
      </c>
      <c r="V4947" t="s">
        <v>12568</v>
      </c>
      <c r="W4947" t="s">
        <v>17465</v>
      </c>
      <c r="X4947">
        <v>6</v>
      </c>
      <c r="Y4947" t="s">
        <v>23569</v>
      </c>
      <c r="Z4947" t="s">
        <v>29817</v>
      </c>
      <c r="AA4947">
        <v>0.34712852080708012</v>
      </c>
      <c r="AB4947" t="str">
        <f>HYPERLINK("Melting_Curves/meltCurve_Q9BPW8_NIPSNAP1.pdf", "Melting_Curves/meltCurve_Q9BPW8_NIPSNAP1.pdf")</f>
        <v>Melting_Curves/meltCurve_Q9BPW8_NIPSNAP1.pdf</v>
      </c>
    </row>
    <row r="4948" spans="1:28" x14ac:dyDescent="0.25">
      <c r="A4948" t="s">
        <v>4952</v>
      </c>
      <c r="B4948">
        <v>0.99352677808782597</v>
      </c>
      <c r="C4948">
        <v>0.92931359664059199</v>
      </c>
      <c r="D4948">
        <v>0.69935456802895901</v>
      </c>
      <c r="E4948">
        <v>0.33049397234971101</v>
      </c>
      <c r="F4948">
        <v>0.24267963752476501</v>
      </c>
      <c r="G4948">
        <v>0.146261253290702</v>
      </c>
      <c r="H4948">
        <v>8.9251073367436803E-2</v>
      </c>
      <c r="I4948">
        <v>8.6100651716623802E-2</v>
      </c>
      <c r="J4948">
        <v>6.9011895027821096E-2</v>
      </c>
      <c r="K4948">
        <v>5.1605572755262799E-2</v>
      </c>
      <c r="L4948">
        <v>892.92113897795298</v>
      </c>
      <c r="M4948">
        <v>18.6517998029904</v>
      </c>
      <c r="N4948">
        <v>48.294249139438698</v>
      </c>
      <c r="O4948">
        <v>47.333076276142997</v>
      </c>
      <c r="P4948">
        <v>-9.1124745516151101E-2</v>
      </c>
      <c r="Q4948">
        <v>7.5042852109796304E-2</v>
      </c>
      <c r="R4948">
        <v>0.99604545938516598</v>
      </c>
      <c r="S4948" t="s">
        <v>11233</v>
      </c>
      <c r="T4948" t="s">
        <v>12568</v>
      </c>
      <c r="U4948" t="s">
        <v>12568</v>
      </c>
      <c r="V4948" t="s">
        <v>12568</v>
      </c>
      <c r="W4948" t="s">
        <v>17466</v>
      </c>
      <c r="X4948">
        <v>25</v>
      </c>
      <c r="Y4948" t="s">
        <v>23570</v>
      </c>
      <c r="Z4948" t="s">
        <v>29818</v>
      </c>
      <c r="AA4948">
        <v>0.33307490374253018</v>
      </c>
      <c r="AB4948" t="str">
        <f>HYPERLINK("Melting_Curves/meltCurve_Q9BPX3_NCAPG.pdf", "Melting_Curves/meltCurve_Q9BPX3_NCAPG.pdf")</f>
        <v>Melting_Curves/meltCurve_Q9BPX3_NCAPG.pdf</v>
      </c>
    </row>
    <row r="4949" spans="1:28" x14ac:dyDescent="0.25">
      <c r="A4949" t="s">
        <v>4953</v>
      </c>
      <c r="B4949">
        <v>0.99352677808782597</v>
      </c>
      <c r="C4949">
        <v>1.0972098668989501</v>
      </c>
      <c r="D4949">
        <v>0.92039760558446304</v>
      </c>
      <c r="E4949">
        <v>0.91016245186964595</v>
      </c>
      <c r="F4949">
        <v>0.71790524984362802</v>
      </c>
      <c r="G4949">
        <v>0.57417725141103804</v>
      </c>
      <c r="H4949">
        <v>0.36599460445631699</v>
      </c>
      <c r="I4949">
        <v>0.18667436825752401</v>
      </c>
      <c r="J4949">
        <v>0.12529719407287199</v>
      </c>
      <c r="K4949">
        <v>0.108989578782956</v>
      </c>
      <c r="L4949">
        <v>755.13505717943406</v>
      </c>
      <c r="M4949">
        <v>13.059145152509201</v>
      </c>
      <c r="N4949">
        <v>57.824233410982302</v>
      </c>
      <c r="O4949">
        <v>56.518729186407398</v>
      </c>
      <c r="P4949">
        <v>-5.7774714513862201E-2</v>
      </c>
      <c r="Q4949">
        <v>0</v>
      </c>
      <c r="R4949">
        <v>0.98465503082362904</v>
      </c>
      <c r="S4949" t="s">
        <v>11234</v>
      </c>
      <c r="T4949" t="s">
        <v>12568</v>
      </c>
      <c r="U4949" t="s">
        <v>12568</v>
      </c>
      <c r="V4949" t="s">
        <v>12568</v>
      </c>
      <c r="W4949" t="s">
        <v>17467</v>
      </c>
      <c r="X4949">
        <v>4</v>
      </c>
      <c r="Y4949" t="s">
        <v>23571</v>
      </c>
      <c r="Z4949" t="s">
        <v>29819</v>
      </c>
      <c r="AA4949">
        <v>0.60808059485048627</v>
      </c>
      <c r="AB4949" t="str">
        <f>HYPERLINK("Melting_Curves/meltCurve_Q9BPX5_ARPC5L.pdf", "Melting_Curves/meltCurve_Q9BPX5_ARPC5L.pdf")</f>
        <v>Melting_Curves/meltCurve_Q9BPX5_ARPC5L.pdf</v>
      </c>
    </row>
    <row r="4950" spans="1:28" x14ac:dyDescent="0.25">
      <c r="A4950" t="s">
        <v>4954</v>
      </c>
      <c r="B4950">
        <v>0.99352677808782597</v>
      </c>
      <c r="C4950">
        <v>0.84365375368928397</v>
      </c>
      <c r="D4950">
        <v>0.88865894743103802</v>
      </c>
      <c r="E4950">
        <v>0.65858310968037403</v>
      </c>
      <c r="F4950">
        <v>0.61267616360597899</v>
      </c>
      <c r="G4950">
        <v>0.56336638572810704</v>
      </c>
      <c r="H4950">
        <v>0.507742724551974</v>
      </c>
      <c r="I4950">
        <v>0.58171607103564105</v>
      </c>
      <c r="J4950">
        <v>0.468954661520746</v>
      </c>
      <c r="K4950">
        <v>0.40584693501640001</v>
      </c>
      <c r="L4950">
        <v>513.12275980656102</v>
      </c>
      <c r="M4950">
        <v>10.406061764299</v>
      </c>
      <c r="N4950">
        <v>62.534698084246202</v>
      </c>
      <c r="O4950">
        <v>47.593261113314803</v>
      </c>
      <c r="P4950">
        <v>-3.0369743121536199E-2</v>
      </c>
      <c r="Q4950">
        <v>0.444634573660243</v>
      </c>
      <c r="R4950">
        <v>0.929177509623062</v>
      </c>
      <c r="S4950" t="s">
        <v>11235</v>
      </c>
      <c r="T4950" t="s">
        <v>12568</v>
      </c>
      <c r="U4950" t="s">
        <v>12568</v>
      </c>
      <c r="V4950" t="s">
        <v>12568</v>
      </c>
      <c r="W4950" t="s">
        <v>17468</v>
      </c>
      <c r="X4950">
        <v>4</v>
      </c>
      <c r="Y4950" t="s">
        <v>23572</v>
      </c>
      <c r="Z4950" t="s">
        <v>29820</v>
      </c>
      <c r="AA4950">
        <v>0.64200923924150122</v>
      </c>
      <c r="AB4950" t="str">
        <f>HYPERLINK("Melting_Curves/meltCurve_Q9BPX6_2_MICU1.pdf", "Melting_Curves/meltCurve_Q9BPX6_2_MICU1.pdf")</f>
        <v>Melting_Curves/meltCurve_Q9BPX6_2_MICU1.pdf</v>
      </c>
    </row>
    <row r="4951" spans="1:28" x14ac:dyDescent="0.25">
      <c r="A4951" t="s">
        <v>4955</v>
      </c>
      <c r="B4951">
        <v>0.99352677808782597</v>
      </c>
      <c r="C4951">
        <v>0.93866286823636902</v>
      </c>
      <c r="D4951">
        <v>0.79976926647834701</v>
      </c>
      <c r="E4951">
        <v>0.27094827356830697</v>
      </c>
      <c r="F4951">
        <v>0.208428313675907</v>
      </c>
      <c r="G4951">
        <v>9.7921071818968905E-2</v>
      </c>
      <c r="H4951">
        <v>5.61360048448101E-2</v>
      </c>
      <c r="I4951">
        <v>5.1006276771403701E-2</v>
      </c>
      <c r="J4951">
        <v>4.4201967062790698E-2</v>
      </c>
      <c r="K4951">
        <v>2.8308040380251202E-2</v>
      </c>
      <c r="L4951">
        <v>1184.1247312728201</v>
      </c>
      <c r="M4951">
        <v>24.608077356158699</v>
      </c>
      <c r="N4951">
        <v>48.349096052231502</v>
      </c>
      <c r="O4951">
        <v>47.804960117239098</v>
      </c>
      <c r="P4951">
        <v>-0.12159135787693599</v>
      </c>
      <c r="Q4951">
        <v>5.5174254779679702E-2</v>
      </c>
      <c r="R4951">
        <v>0.99332525668350202</v>
      </c>
      <c r="S4951" t="s">
        <v>11236</v>
      </c>
      <c r="T4951" t="s">
        <v>12568</v>
      </c>
      <c r="U4951" t="s">
        <v>12568</v>
      </c>
      <c r="V4951" t="s">
        <v>12568</v>
      </c>
      <c r="W4951" t="s">
        <v>17469</v>
      </c>
      <c r="X4951">
        <v>3</v>
      </c>
      <c r="Y4951" t="s">
        <v>23573</v>
      </c>
      <c r="Z4951" t="s">
        <v>29821</v>
      </c>
      <c r="AA4951">
        <v>0.3195199011811577</v>
      </c>
      <c r="AB4951" t="str">
        <f>HYPERLINK("Melting_Curves/meltCurve_Q9BPX7_C7orf25.pdf", "Melting_Curves/meltCurve_Q9BPX7_C7orf25.pdf")</f>
        <v>Melting_Curves/meltCurve_Q9BPX7_C7orf25.pdf</v>
      </c>
    </row>
    <row r="4952" spans="1:28" x14ac:dyDescent="0.25">
      <c r="A4952" t="s">
        <v>4956</v>
      </c>
      <c r="B4952">
        <v>0.99352677808782597</v>
      </c>
      <c r="C4952">
        <v>0.98482865372121497</v>
      </c>
      <c r="D4952">
        <v>0.91910419744627403</v>
      </c>
      <c r="E4952">
        <v>0.30935318157430702</v>
      </c>
      <c r="F4952">
        <v>0.263894942626833</v>
      </c>
      <c r="G4952">
        <v>0.143015100850196</v>
      </c>
      <c r="H4952">
        <v>0.113268813643397</v>
      </c>
      <c r="I4952">
        <v>9.8358610783665701E-2</v>
      </c>
      <c r="J4952">
        <v>9.53072637999334E-2</v>
      </c>
      <c r="K4952">
        <v>8.4168624316366694E-2</v>
      </c>
      <c r="L4952">
        <v>1706.0274135597599</v>
      </c>
      <c r="M4952">
        <v>35.151563503078101</v>
      </c>
      <c r="N4952">
        <v>48.913564848115499</v>
      </c>
      <c r="O4952">
        <v>48.377193477228197</v>
      </c>
      <c r="P4952">
        <v>-0.159944380019023</v>
      </c>
      <c r="Q4952">
        <v>0.119511752948243</v>
      </c>
      <c r="R4952">
        <v>0.98900752670082104</v>
      </c>
      <c r="S4952" t="s">
        <v>11237</v>
      </c>
      <c r="T4952" t="s">
        <v>12568</v>
      </c>
      <c r="U4952" t="s">
        <v>12568</v>
      </c>
      <c r="V4952" t="s">
        <v>12568</v>
      </c>
      <c r="W4952" t="s">
        <v>17470</v>
      </c>
      <c r="X4952">
        <v>1</v>
      </c>
      <c r="Y4952" t="s">
        <v>23574</v>
      </c>
      <c r="Z4952" t="s">
        <v>29822</v>
      </c>
      <c r="AA4952">
        <v>0.37381454814137338</v>
      </c>
      <c r="AB4952" t="str">
        <f>HYPERLINK("Melting_Curves/meltCurve_Q9BQ24_ZFYVE21.pdf", "Melting_Curves/meltCurve_Q9BQ24_ZFYVE21.pdf")</f>
        <v>Melting_Curves/meltCurve_Q9BQ24_ZFYVE21.pdf</v>
      </c>
    </row>
    <row r="4953" spans="1:28" x14ac:dyDescent="0.25">
      <c r="A4953" t="s">
        <v>4957</v>
      </c>
      <c r="B4953">
        <v>0.99352677808782597</v>
      </c>
      <c r="C4953">
        <v>0.88262491259468301</v>
      </c>
      <c r="D4953">
        <v>0.93142889503372095</v>
      </c>
      <c r="E4953">
        <v>0.75293669582909695</v>
      </c>
      <c r="F4953">
        <v>0.66985380892665902</v>
      </c>
      <c r="G4953">
        <v>0.507924665437259</v>
      </c>
      <c r="H4953">
        <v>0.50077887445361102</v>
      </c>
      <c r="I4953">
        <v>0.56150031064979899</v>
      </c>
      <c r="J4953">
        <v>0.50376684363396496</v>
      </c>
      <c r="K4953">
        <v>0.40470982010589601</v>
      </c>
      <c r="L4953">
        <v>642.31982849433996</v>
      </c>
      <c r="M4953">
        <v>12.6265108553772</v>
      </c>
      <c r="N4953">
        <v>62.075360525526797</v>
      </c>
      <c r="O4953">
        <v>49.645330145207502</v>
      </c>
      <c r="P4953">
        <v>-3.5053485657982199E-2</v>
      </c>
      <c r="Q4953">
        <v>0.44881127198755999</v>
      </c>
      <c r="R4953">
        <v>0.94791952021938197</v>
      </c>
      <c r="S4953" t="s">
        <v>11238</v>
      </c>
      <c r="T4953" t="s">
        <v>12568</v>
      </c>
      <c r="U4953" t="s">
        <v>12568</v>
      </c>
      <c r="V4953" t="s">
        <v>12568</v>
      </c>
      <c r="W4953" t="s">
        <v>17471</v>
      </c>
      <c r="X4953">
        <v>5</v>
      </c>
      <c r="Y4953" t="s">
        <v>23575</v>
      </c>
      <c r="Z4953" t="s">
        <v>29823</v>
      </c>
      <c r="AA4953">
        <v>0.66534657003010989</v>
      </c>
      <c r="AB4953" t="str">
        <f>HYPERLINK("Melting_Curves/meltCurve_Q9BQ39_DDX50.pdf", "Melting_Curves/meltCurve_Q9BQ39_DDX50.pdf")</f>
        <v>Melting_Curves/meltCurve_Q9BQ39_DDX50.pdf</v>
      </c>
    </row>
    <row r="4954" spans="1:28" x14ac:dyDescent="0.25">
      <c r="A4954" t="s">
        <v>4958</v>
      </c>
      <c r="B4954">
        <v>0.99352677808782597</v>
      </c>
      <c r="C4954">
        <v>1.0073555035202399</v>
      </c>
      <c r="D4954">
        <v>0.885493991411614</v>
      </c>
      <c r="E4954">
        <v>0.77989927080033605</v>
      </c>
      <c r="F4954">
        <v>0.65004370249869503</v>
      </c>
      <c r="G4954">
        <v>0.52057211580348905</v>
      </c>
      <c r="H4954">
        <v>0.53017928446476104</v>
      </c>
      <c r="I4954">
        <v>0.42430686218644298</v>
      </c>
      <c r="J4954">
        <v>0.299675553386403</v>
      </c>
      <c r="K4954">
        <v>0.100046985498075</v>
      </c>
      <c r="L4954">
        <v>453.80831689236402</v>
      </c>
      <c r="M4954">
        <v>7.7065306243709601</v>
      </c>
      <c r="N4954">
        <v>58.886201848939599</v>
      </c>
      <c r="O4954">
        <v>55.314762527734203</v>
      </c>
      <c r="P4954">
        <v>-3.4875632859201297E-2</v>
      </c>
      <c r="Q4954">
        <v>0</v>
      </c>
      <c r="R4954">
        <v>0.95065825639482904</v>
      </c>
      <c r="S4954" t="s">
        <v>11239</v>
      </c>
      <c r="T4954" t="s">
        <v>12568</v>
      </c>
      <c r="U4954" t="s">
        <v>12568</v>
      </c>
      <c r="V4954" t="s">
        <v>12568</v>
      </c>
      <c r="W4954" t="s">
        <v>17472</v>
      </c>
      <c r="X4954">
        <v>32</v>
      </c>
      <c r="Y4954" t="s">
        <v>23576</v>
      </c>
      <c r="Z4954" t="s">
        <v>29824</v>
      </c>
      <c r="AA4954">
        <v>0.62344170920935826</v>
      </c>
      <c r="AB4954" t="str">
        <f>HYPERLINK("Melting_Curves/meltCurve_Q9BQ52_ELAC2.pdf", "Melting_Curves/meltCurve_Q9BQ52_ELAC2.pdf")</f>
        <v>Melting_Curves/meltCurve_Q9BQ52_ELAC2.pdf</v>
      </c>
    </row>
    <row r="4955" spans="1:28" x14ac:dyDescent="0.25">
      <c r="A4955" t="s">
        <v>4959</v>
      </c>
      <c r="B4955">
        <v>0.99352677808782597</v>
      </c>
      <c r="C4955">
        <v>0.94307064479922698</v>
      </c>
      <c r="D4955">
        <v>1.00754353346001</v>
      </c>
      <c r="E4955">
        <v>1.04060014110184</v>
      </c>
      <c r="F4955">
        <v>0.95525015263507695</v>
      </c>
      <c r="G4955">
        <v>0.94552461283088796</v>
      </c>
      <c r="H4955">
        <v>0.82321071921729605</v>
      </c>
      <c r="I4955">
        <v>0.87535065609854101</v>
      </c>
      <c r="J4955">
        <v>0.96085981784695396</v>
      </c>
      <c r="K4955">
        <v>0.82429804363913795</v>
      </c>
      <c r="L4955">
        <v>14267.916310853399</v>
      </c>
      <c r="M4955">
        <v>250</v>
      </c>
      <c r="O4955">
        <v>57.067992975890199</v>
      </c>
      <c r="P4955">
        <v>-0.14135566487354501</v>
      </c>
      <c r="Q4955">
        <v>0.870929809091744</v>
      </c>
      <c r="R4955">
        <v>0.60400018526258403</v>
      </c>
      <c r="S4955" t="s">
        <v>11240</v>
      </c>
      <c r="T4955" t="s">
        <v>12568</v>
      </c>
      <c r="U4955" t="s">
        <v>12568</v>
      </c>
      <c r="V4955" t="s">
        <v>12568</v>
      </c>
      <c r="W4955" t="s">
        <v>17473</v>
      </c>
      <c r="X4955">
        <v>11</v>
      </c>
      <c r="Y4955" t="s">
        <v>23577</v>
      </c>
      <c r="Z4955" t="s">
        <v>29825</v>
      </c>
      <c r="AA4955">
        <v>0.94439083981676919</v>
      </c>
      <c r="AB4955" t="str">
        <f>HYPERLINK("Melting_Curves/meltCurve_Q9BQ61_C19orf43.pdf", "Melting_Curves/meltCurve_Q9BQ61_C19orf43.pdf")</f>
        <v>Melting_Curves/meltCurve_Q9BQ61_C19orf43.pdf</v>
      </c>
    </row>
    <row r="4956" spans="1:28" x14ac:dyDescent="0.25">
      <c r="A4956" t="s">
        <v>4960</v>
      </c>
      <c r="B4956">
        <v>0.99352677808782597</v>
      </c>
      <c r="C4956">
        <v>0.88157308191980699</v>
      </c>
      <c r="D4956">
        <v>0.90171792530602701</v>
      </c>
      <c r="E4956">
        <v>0.55080468571045504</v>
      </c>
      <c r="F4956">
        <v>0.46328647041447202</v>
      </c>
      <c r="G4956">
        <v>0.34897572898846402</v>
      </c>
      <c r="H4956">
        <v>0.175854469068595</v>
      </c>
      <c r="I4956">
        <v>0.15763917942333799</v>
      </c>
      <c r="J4956">
        <v>9.8060321843478307E-2</v>
      </c>
      <c r="K4956">
        <v>6.6865018267015602E-2</v>
      </c>
      <c r="L4956">
        <v>579.24195042869701</v>
      </c>
      <c r="M4956">
        <v>11.1199599634067</v>
      </c>
      <c r="N4956">
        <v>52.382643290214503</v>
      </c>
      <c r="O4956">
        <v>50.4907883983307</v>
      </c>
      <c r="P4956">
        <v>-5.3420015173326597E-2</v>
      </c>
      <c r="Q4956">
        <v>3.00874586456874E-2</v>
      </c>
      <c r="R4956">
        <v>0.98426983047806205</v>
      </c>
      <c r="S4956" t="s">
        <v>11241</v>
      </c>
      <c r="T4956" t="s">
        <v>12568</v>
      </c>
      <c r="U4956" t="s">
        <v>12568</v>
      </c>
      <c r="V4956" t="s">
        <v>12568</v>
      </c>
      <c r="W4956" t="s">
        <v>17474</v>
      </c>
      <c r="X4956">
        <v>6</v>
      </c>
      <c r="Y4956" t="s">
        <v>23578</v>
      </c>
      <c r="Z4956" t="s">
        <v>29826</v>
      </c>
      <c r="AA4956">
        <v>0.45336308172766188</v>
      </c>
      <c r="AB4956" t="str">
        <f>HYPERLINK("Melting_Curves/meltCurve_Q9BQ67_GRWD1.pdf", "Melting_Curves/meltCurve_Q9BQ67_GRWD1.pdf")</f>
        <v>Melting_Curves/meltCurve_Q9BQ67_GRWD1.pdf</v>
      </c>
    </row>
    <row r="4957" spans="1:28" x14ac:dyDescent="0.25">
      <c r="A4957" t="s">
        <v>4961</v>
      </c>
      <c r="B4957">
        <v>0.99352677808782597</v>
      </c>
      <c r="C4957">
        <v>0.89505970683220504</v>
      </c>
      <c r="D4957">
        <v>0.82146089365754305</v>
      </c>
      <c r="E4957">
        <v>0.34175531146135302</v>
      </c>
      <c r="F4957">
        <v>0.343239091019031</v>
      </c>
      <c r="G4957">
        <v>0.19795266703653899</v>
      </c>
      <c r="H4957">
        <v>0.15291112606027699</v>
      </c>
      <c r="I4957">
        <v>0.11876900932576399</v>
      </c>
      <c r="J4957">
        <v>0.114273504699668</v>
      </c>
      <c r="K4957">
        <v>7.4762494849447206E-2</v>
      </c>
      <c r="L4957">
        <v>873.63147510950398</v>
      </c>
      <c r="M4957">
        <v>18.013067021206801</v>
      </c>
      <c r="N4957">
        <v>49.206424515349298</v>
      </c>
      <c r="O4957">
        <v>47.913979815736198</v>
      </c>
      <c r="P4957">
        <v>-8.3280579191664497E-2</v>
      </c>
      <c r="Q4957">
        <v>0.11395263971459001</v>
      </c>
      <c r="R4957">
        <v>0.98026190409452696</v>
      </c>
      <c r="S4957" t="s">
        <v>11242</v>
      </c>
      <c r="T4957" t="s">
        <v>12568</v>
      </c>
      <c r="U4957" t="s">
        <v>12568</v>
      </c>
      <c r="V4957" t="s">
        <v>12568</v>
      </c>
      <c r="W4957" t="s">
        <v>17475</v>
      </c>
      <c r="X4957">
        <v>5</v>
      </c>
      <c r="Y4957" t="s">
        <v>23579</v>
      </c>
      <c r="Z4957" t="s">
        <v>29827</v>
      </c>
      <c r="AA4957">
        <v>0.38048329505817607</v>
      </c>
      <c r="AB4957" t="str">
        <f>HYPERLINK("Melting_Curves/meltCurve_Q9BQ69_MACROD1.pdf", "Melting_Curves/meltCurve_Q9BQ69_MACROD1.pdf")</f>
        <v>Melting_Curves/meltCurve_Q9BQ69_MACROD1.pdf</v>
      </c>
    </row>
    <row r="4958" spans="1:28" x14ac:dyDescent="0.25">
      <c r="A4958" t="s">
        <v>4962</v>
      </c>
      <c r="B4958">
        <v>0.99352677808782597</v>
      </c>
      <c r="C4958">
        <v>0.99264112293920204</v>
      </c>
      <c r="D4958">
        <v>1.00438731591932</v>
      </c>
      <c r="E4958">
        <v>0.56929362607167799</v>
      </c>
      <c r="F4958">
        <v>0.470809018891649</v>
      </c>
      <c r="G4958">
        <v>0.37578286463258298</v>
      </c>
      <c r="H4958">
        <v>0.32356386383925201</v>
      </c>
      <c r="I4958">
        <v>0.34638925856341102</v>
      </c>
      <c r="J4958">
        <v>0.33107031803272202</v>
      </c>
      <c r="K4958">
        <v>0.295434678158289</v>
      </c>
      <c r="L4958">
        <v>1599.35064878607</v>
      </c>
      <c r="M4958">
        <v>32.3372990345567</v>
      </c>
      <c r="N4958">
        <v>51.258213953903898</v>
      </c>
      <c r="O4958">
        <v>49.270396529177503</v>
      </c>
      <c r="P4958">
        <v>-0.108398283622074</v>
      </c>
      <c r="Q4958">
        <v>0.33936342329661801</v>
      </c>
      <c r="R4958">
        <v>0.985273861336465</v>
      </c>
      <c r="S4958" t="s">
        <v>11243</v>
      </c>
      <c r="T4958" t="s">
        <v>12568</v>
      </c>
      <c r="U4958" t="s">
        <v>12568</v>
      </c>
      <c r="V4958" t="s">
        <v>12568</v>
      </c>
      <c r="W4958" t="s">
        <v>17476</v>
      </c>
      <c r="X4958">
        <v>8</v>
      </c>
      <c r="Y4958" t="s">
        <v>23580</v>
      </c>
      <c r="Z4958" t="s">
        <v>29828</v>
      </c>
      <c r="AA4958">
        <v>0.55112626634529127</v>
      </c>
      <c r="AB4958" t="str">
        <f>HYPERLINK("Melting_Curves/meltCurve_Q9BQ70_TCF25.pdf", "Melting_Curves/meltCurve_Q9BQ70_TCF25.pdf")</f>
        <v>Melting_Curves/meltCurve_Q9BQ70_TCF25.pdf</v>
      </c>
    </row>
    <row r="4959" spans="1:28" x14ac:dyDescent="0.25">
      <c r="A4959" t="s">
        <v>4963</v>
      </c>
      <c r="B4959">
        <v>0.99352677808782597</v>
      </c>
      <c r="C4959">
        <v>1.04202208525971</v>
      </c>
      <c r="D4959">
        <v>0.86288222395893499</v>
      </c>
      <c r="E4959">
        <v>0.67541850111359103</v>
      </c>
      <c r="F4959">
        <v>0.52966744958626</v>
      </c>
      <c r="G4959">
        <v>0.18969723008008499</v>
      </c>
      <c r="H4959">
        <v>9.5035029982467503E-2</v>
      </c>
      <c r="I4959">
        <v>8.0098561465190996E-2</v>
      </c>
      <c r="J4959">
        <v>7.0490731489696201E-2</v>
      </c>
      <c r="K4959">
        <v>5.7442571351518298E-2</v>
      </c>
      <c r="L4959">
        <v>872.887833231125</v>
      </c>
      <c r="M4959">
        <v>16.6652209982641</v>
      </c>
      <c r="N4959">
        <v>52.584909602197001</v>
      </c>
      <c r="O4959">
        <v>51.641063524087897</v>
      </c>
      <c r="P4959">
        <v>-7.8120610202870103E-2</v>
      </c>
      <c r="Q4959">
        <v>3.17651809685724E-2</v>
      </c>
      <c r="R4959">
        <v>0.99100809983599503</v>
      </c>
      <c r="S4959" t="s">
        <v>11244</v>
      </c>
      <c r="T4959" t="s">
        <v>12568</v>
      </c>
      <c r="U4959" t="s">
        <v>12568</v>
      </c>
      <c r="V4959" t="s">
        <v>12568</v>
      </c>
      <c r="W4959" t="s">
        <v>17477</v>
      </c>
      <c r="X4959">
        <v>7</v>
      </c>
      <c r="Y4959" t="s">
        <v>23581</v>
      </c>
      <c r="Z4959" t="s">
        <v>29829</v>
      </c>
      <c r="AA4959">
        <v>0.4494203028922979</v>
      </c>
      <c r="AB4959" t="str">
        <f>HYPERLINK("Melting_Curves/meltCurve_Q9BQA1_WDR77.pdf", "Melting_Curves/meltCurve_Q9BQA1_WDR77.pdf")</f>
        <v>Melting_Curves/meltCurve_Q9BQA1_WDR77.pdf</v>
      </c>
    </row>
    <row r="4960" spans="1:28" x14ac:dyDescent="0.25">
      <c r="A4960" t="s">
        <v>4964</v>
      </c>
      <c r="B4960">
        <v>0.99352677808782597</v>
      </c>
      <c r="C4960">
        <v>0.93185484170159605</v>
      </c>
      <c r="D4960">
        <v>0.95081908815715999</v>
      </c>
      <c r="E4960">
        <v>0.74586145431900897</v>
      </c>
      <c r="F4960">
        <v>0.708567748824799</v>
      </c>
      <c r="G4960">
        <v>0.40824257106774398</v>
      </c>
      <c r="H4960">
        <v>0.22640184821560899</v>
      </c>
      <c r="I4960">
        <v>0.15639431756147701</v>
      </c>
      <c r="J4960">
        <v>8.7508676394186705E-2</v>
      </c>
      <c r="K4960">
        <v>7.3601506442782502E-2</v>
      </c>
      <c r="L4960">
        <v>707.93022794296996</v>
      </c>
      <c r="M4960">
        <v>12.7548497346763</v>
      </c>
      <c r="N4960">
        <v>55.502849233736697</v>
      </c>
      <c r="O4960">
        <v>54.191575293124899</v>
      </c>
      <c r="P4960">
        <v>-5.8852671860941098E-2</v>
      </c>
      <c r="Q4960">
        <v>0</v>
      </c>
      <c r="R4960">
        <v>0.99221424538143899</v>
      </c>
      <c r="S4960" t="s">
        <v>11245</v>
      </c>
      <c r="T4960" t="s">
        <v>12568</v>
      </c>
      <c r="U4960" t="s">
        <v>12568</v>
      </c>
      <c r="V4960" t="s">
        <v>12568</v>
      </c>
      <c r="W4960" t="s">
        <v>17478</v>
      </c>
      <c r="X4960">
        <v>3</v>
      </c>
      <c r="Y4960" t="s">
        <v>23582</v>
      </c>
      <c r="Z4960" t="s">
        <v>29830</v>
      </c>
      <c r="AA4960">
        <v>0.53792736358043303</v>
      </c>
      <c r="AB4960" t="str">
        <f>HYPERLINK("Melting_Curves/meltCurve_Q9BQC3_DPH2.pdf", "Melting_Curves/meltCurve_Q9BQC3_DPH2.pdf")</f>
        <v>Melting_Curves/meltCurve_Q9BQC3_DPH2.pdf</v>
      </c>
    </row>
    <row r="4961" spans="1:28" x14ac:dyDescent="0.25">
      <c r="A4961" t="s">
        <v>4965</v>
      </c>
      <c r="B4961">
        <v>0.99352677808782597</v>
      </c>
      <c r="C4961">
        <v>0.83374681649126003</v>
      </c>
      <c r="D4961">
        <v>0.80909669904235204</v>
      </c>
      <c r="E4961">
        <v>0.46462148776982598</v>
      </c>
      <c r="F4961">
        <v>0.36722217806340501</v>
      </c>
      <c r="G4961">
        <v>0.20230153985855701</v>
      </c>
      <c r="H4961">
        <v>0.124494703331704</v>
      </c>
      <c r="I4961">
        <v>0.12138453164258101</v>
      </c>
      <c r="J4961">
        <v>8.8236222609528306E-2</v>
      </c>
      <c r="K4961">
        <v>5.6513378683766699E-2</v>
      </c>
      <c r="L4961">
        <v>643.54126778209695</v>
      </c>
      <c r="M4961">
        <v>12.9458401949578</v>
      </c>
      <c r="N4961">
        <v>50.134984750950203</v>
      </c>
      <c r="O4961">
        <v>48.568981289872397</v>
      </c>
      <c r="P4961">
        <v>-6.3186997207133902E-2</v>
      </c>
      <c r="Q4961">
        <v>5.1934455010500903E-2</v>
      </c>
      <c r="R4961">
        <v>0.99039675969322605</v>
      </c>
      <c r="S4961" t="s">
        <v>11246</v>
      </c>
      <c r="T4961" t="s">
        <v>12568</v>
      </c>
      <c r="U4961" t="s">
        <v>12568</v>
      </c>
      <c r="V4961" t="s">
        <v>12568</v>
      </c>
      <c r="W4961" t="s">
        <v>17479</v>
      </c>
      <c r="X4961">
        <v>23</v>
      </c>
      <c r="Y4961" t="s">
        <v>23583</v>
      </c>
      <c r="Z4961" t="s">
        <v>29831</v>
      </c>
      <c r="AA4961">
        <v>0.38829077293389908</v>
      </c>
      <c r="AB4961" t="str">
        <f>HYPERLINK("Melting_Curves/meltCurve_Q9BQE3_TUBA1C.pdf", "Melting_Curves/meltCurve_Q9BQE3_TUBA1C.pdf")</f>
        <v>Melting_Curves/meltCurve_Q9BQE3_TUBA1C.pdf</v>
      </c>
    </row>
    <row r="4962" spans="1:28" x14ac:dyDescent="0.25">
      <c r="A4962" t="s">
        <v>4966</v>
      </c>
      <c r="B4962">
        <v>0.99352677808782597</v>
      </c>
      <c r="C4962">
        <v>0.937170359401305</v>
      </c>
      <c r="D4962">
        <v>0.87990341457954202</v>
      </c>
      <c r="E4962">
        <v>0.60306376597220601</v>
      </c>
      <c r="F4962">
        <v>0.54444510270744595</v>
      </c>
      <c r="G4962">
        <v>0.41433069960073998</v>
      </c>
      <c r="H4962">
        <v>0.28228348858195201</v>
      </c>
      <c r="I4962">
        <v>0.30495494591692401</v>
      </c>
      <c r="J4962">
        <v>0.27502560322619901</v>
      </c>
      <c r="K4962">
        <v>0.232015294380298</v>
      </c>
      <c r="L4962">
        <v>659.74992292189097</v>
      </c>
      <c r="M4962">
        <v>12.9602172749332</v>
      </c>
      <c r="N4962">
        <v>53.488082461199198</v>
      </c>
      <c r="O4962">
        <v>49.739509378778799</v>
      </c>
      <c r="P4962">
        <v>-5.0000627090794898E-2</v>
      </c>
      <c r="Q4962">
        <v>0.232555331421781</v>
      </c>
      <c r="R4962">
        <v>0.989612921419743</v>
      </c>
      <c r="S4962" t="s">
        <v>11247</v>
      </c>
      <c r="T4962" t="s">
        <v>12568</v>
      </c>
      <c r="U4962" t="s">
        <v>12568</v>
      </c>
      <c r="V4962" t="s">
        <v>12568</v>
      </c>
      <c r="W4962" t="s">
        <v>17480</v>
      </c>
      <c r="X4962">
        <v>3</v>
      </c>
      <c r="Y4962" t="s">
        <v>23584</v>
      </c>
      <c r="Z4962" t="s">
        <v>29832</v>
      </c>
      <c r="AA4962">
        <v>0.53399734904159979</v>
      </c>
      <c r="AB4962" t="str">
        <f>HYPERLINK("Melting_Curves/meltCurve_Q9BQE5_APOL2.pdf", "Melting_Curves/meltCurve_Q9BQE5_APOL2.pdf")</f>
        <v>Melting_Curves/meltCurve_Q9BQE5_APOL2.pdf</v>
      </c>
    </row>
    <row r="4963" spans="1:28" x14ac:dyDescent="0.25">
      <c r="A4963" t="s">
        <v>4967</v>
      </c>
      <c r="B4963">
        <v>0.99352677808782597</v>
      </c>
      <c r="C4963">
        <v>0.93978989205378805</v>
      </c>
      <c r="D4963">
        <v>0.91459399090795201</v>
      </c>
      <c r="E4963">
        <v>0.86889489042421097</v>
      </c>
      <c r="F4963">
        <v>0.74776621562929402</v>
      </c>
      <c r="G4963">
        <v>0.67258547753510201</v>
      </c>
      <c r="H4963">
        <v>0.67473767667526396</v>
      </c>
      <c r="I4963">
        <v>0.71695509516279998</v>
      </c>
      <c r="J4963">
        <v>0.83177195823322303</v>
      </c>
      <c r="K4963">
        <v>0.77203540994377995</v>
      </c>
      <c r="L4963">
        <v>934.13780176376395</v>
      </c>
      <c r="M4963">
        <v>19.421320621549501</v>
      </c>
      <c r="O4963">
        <v>47.597332731118897</v>
      </c>
      <c r="P4963">
        <v>-2.73229202772589E-2</v>
      </c>
      <c r="Q4963">
        <v>0.73216021421667699</v>
      </c>
      <c r="R4963">
        <v>0.78561366864224702</v>
      </c>
      <c r="S4963" t="s">
        <v>11248</v>
      </c>
      <c r="T4963" t="s">
        <v>12568</v>
      </c>
      <c r="U4963" t="s">
        <v>12568</v>
      </c>
      <c r="V4963" t="s">
        <v>12568</v>
      </c>
      <c r="W4963" t="s">
        <v>17481</v>
      </c>
      <c r="X4963">
        <v>3</v>
      </c>
      <c r="Y4963" t="s">
        <v>23585</v>
      </c>
      <c r="Z4963" t="s">
        <v>29833</v>
      </c>
      <c r="AA4963">
        <v>0.80850569434232511</v>
      </c>
      <c r="AB4963" t="str">
        <f>HYPERLINK("Melting_Curves/meltCurve_Q9BQE9_4_BCL7B.pdf", "Melting_Curves/meltCurve_Q9BQE9_4_BCL7B.pdf")</f>
        <v>Melting_Curves/meltCurve_Q9BQE9_4_BCL7B.pdf</v>
      </c>
    </row>
    <row r="4964" spans="1:28" x14ac:dyDescent="0.25">
      <c r="A4964" t="s">
        <v>4968</v>
      </c>
      <c r="B4964">
        <v>0.99352677808782597</v>
      </c>
      <c r="C4964">
        <v>0.919732205090243</v>
      </c>
      <c r="D4964">
        <v>1.4780840971886899</v>
      </c>
      <c r="E4964">
        <v>0.78892755118757396</v>
      </c>
      <c r="F4964">
        <v>0.73414610420896498</v>
      </c>
      <c r="G4964">
        <v>0.47493955693739698</v>
      </c>
      <c r="H4964">
        <v>0.34841041447631699</v>
      </c>
      <c r="I4964">
        <v>0.33425238476277103</v>
      </c>
      <c r="J4964">
        <v>0.32957992057633301</v>
      </c>
      <c r="K4964">
        <v>0.354059418686546</v>
      </c>
      <c r="L4964">
        <v>1388.17108959506</v>
      </c>
      <c r="M4964">
        <v>25.9142734191405</v>
      </c>
      <c r="N4964">
        <v>55.975095479542098</v>
      </c>
      <c r="O4964">
        <v>53.251877183429798</v>
      </c>
      <c r="P4964">
        <v>-8.0787825868150295E-2</v>
      </c>
      <c r="Q4964">
        <v>0.335956152695713</v>
      </c>
      <c r="R4964">
        <v>0.80115943352458197</v>
      </c>
      <c r="S4964" t="s">
        <v>11249</v>
      </c>
      <c r="T4964" t="s">
        <v>12568</v>
      </c>
      <c r="U4964" t="s">
        <v>12568</v>
      </c>
      <c r="V4964" t="s">
        <v>12568</v>
      </c>
      <c r="W4964" t="s">
        <v>17482</v>
      </c>
      <c r="X4964">
        <v>8</v>
      </c>
      <c r="Y4964" t="s">
        <v>23586</v>
      </c>
      <c r="Z4964" t="s">
        <v>29834</v>
      </c>
      <c r="AA4964">
        <v>0.64201561049481692</v>
      </c>
      <c r="AB4964" t="str">
        <f>HYPERLINK("Melting_Curves/meltCurve_Q9BQG0_MYBBP1A.pdf", "Melting_Curves/meltCurve_Q9BQG0_MYBBP1A.pdf")</f>
        <v>Melting_Curves/meltCurve_Q9BQG0_MYBBP1A.pdf</v>
      </c>
    </row>
    <row r="4965" spans="1:28" x14ac:dyDescent="0.25">
      <c r="A4965" t="s">
        <v>4969</v>
      </c>
      <c r="B4965">
        <v>0.99352677808782597</v>
      </c>
      <c r="C4965">
        <v>1.00311379368866</v>
      </c>
      <c r="D4965">
        <v>0.77507479359089404</v>
      </c>
      <c r="E4965">
        <v>0.44724589846346402</v>
      </c>
      <c r="F4965">
        <v>0.42693245880042202</v>
      </c>
      <c r="G4965">
        <v>0.26827146466514601</v>
      </c>
      <c r="H4965">
        <v>0.198029280398935</v>
      </c>
      <c r="I4965">
        <v>0.18013249225071301</v>
      </c>
      <c r="J4965">
        <v>0.147246397628397</v>
      </c>
      <c r="K4965">
        <v>0.122203203347344</v>
      </c>
      <c r="L4965">
        <v>767.61111663003499</v>
      </c>
      <c r="M4965">
        <v>15.5823867910152</v>
      </c>
      <c r="N4965">
        <v>50.407193688811702</v>
      </c>
      <c r="O4965">
        <v>48.471537425475901</v>
      </c>
      <c r="P4965">
        <v>-6.8389639293270799E-2</v>
      </c>
      <c r="Q4965">
        <v>0.149125819999434</v>
      </c>
      <c r="R4965">
        <v>0.98176456230110798</v>
      </c>
      <c r="S4965" t="s">
        <v>11250</v>
      </c>
      <c r="T4965" t="s">
        <v>12568</v>
      </c>
      <c r="U4965" t="s">
        <v>12568</v>
      </c>
      <c r="V4965" t="s">
        <v>12568</v>
      </c>
      <c r="W4965" t="s">
        <v>17483</v>
      </c>
      <c r="X4965">
        <v>2</v>
      </c>
      <c r="Y4965" t="s">
        <v>23587</v>
      </c>
      <c r="Z4965" t="s">
        <v>29835</v>
      </c>
      <c r="AA4965">
        <v>0.43117658567189732</v>
      </c>
      <c r="AB4965" t="str">
        <f>HYPERLINK("Melting_Curves/meltCurve_Q9BQG2_NUDT12.pdf", "Melting_Curves/meltCurve_Q9BQG2_NUDT12.pdf")</f>
        <v>Melting_Curves/meltCurve_Q9BQG2_NUDT12.pdf</v>
      </c>
    </row>
    <row r="4966" spans="1:28" x14ac:dyDescent="0.25">
      <c r="A4966" t="s">
        <v>4970</v>
      </c>
      <c r="B4966">
        <v>0.99352677808782597</v>
      </c>
      <c r="C4966">
        <v>1.0023656746267</v>
      </c>
      <c r="D4966">
        <v>0.96218013795203805</v>
      </c>
      <c r="E4966">
        <v>0.70657276181812601</v>
      </c>
      <c r="F4966">
        <v>0.57886969882082495</v>
      </c>
      <c r="G4966">
        <v>0.32502233783377699</v>
      </c>
      <c r="H4966">
        <v>0.185342797058558</v>
      </c>
      <c r="I4966">
        <v>0.187008659924251</v>
      </c>
      <c r="J4966">
        <v>0.136879064558075</v>
      </c>
      <c r="K4966">
        <v>0.12292999250388</v>
      </c>
      <c r="L4966">
        <v>857.90704644118398</v>
      </c>
      <c r="M4966">
        <v>16.209713252204899</v>
      </c>
      <c r="N4966">
        <v>53.769325911928703</v>
      </c>
      <c r="O4966">
        <v>52.139643861167997</v>
      </c>
      <c r="P4966">
        <v>-6.8999110248039494E-2</v>
      </c>
      <c r="Q4966">
        <v>0.11230469084966301</v>
      </c>
      <c r="R4966">
        <v>0.99564005761498198</v>
      </c>
      <c r="S4966" t="s">
        <v>11251</v>
      </c>
      <c r="T4966" t="s">
        <v>12568</v>
      </c>
      <c r="U4966" t="s">
        <v>12568</v>
      </c>
      <c r="V4966" t="s">
        <v>12568</v>
      </c>
      <c r="W4966" t="s">
        <v>17484</v>
      </c>
      <c r="X4966">
        <v>3</v>
      </c>
      <c r="Y4966" t="s">
        <v>23588</v>
      </c>
      <c r="Z4966" t="s">
        <v>29836</v>
      </c>
      <c r="AA4966">
        <v>0.51189367745791914</v>
      </c>
      <c r="AB4966" t="str">
        <f>HYPERLINK("Melting_Curves/meltCurve_Q9BQI3_2_EIF2AK1.pdf", "Melting_Curves/meltCurve_Q9BQI3_2_EIF2AK1.pdf")</f>
        <v>Melting_Curves/meltCurve_Q9BQI3_2_EIF2AK1.pdf</v>
      </c>
    </row>
    <row r="4967" spans="1:28" x14ac:dyDescent="0.25">
      <c r="A4967" t="s">
        <v>4971</v>
      </c>
      <c r="B4967">
        <v>0.99352677808782597</v>
      </c>
      <c r="C4967">
        <v>1.00190265951424</v>
      </c>
      <c r="D4967">
        <v>0.90469523889832903</v>
      </c>
      <c r="E4967">
        <v>0.54109549295666703</v>
      </c>
      <c r="F4967">
        <v>0.49417122103858502</v>
      </c>
      <c r="G4967">
        <v>0.32043300428488902</v>
      </c>
      <c r="H4967">
        <v>0.23586322423069001</v>
      </c>
      <c r="I4967">
        <v>0.23128484117617201</v>
      </c>
      <c r="J4967">
        <v>0.234182590551333</v>
      </c>
      <c r="K4967">
        <v>0.179297397734384</v>
      </c>
      <c r="L4967">
        <v>862.80100732469805</v>
      </c>
      <c r="M4967">
        <v>17.163910013453101</v>
      </c>
      <c r="N4967">
        <v>51.899097665651503</v>
      </c>
      <c r="O4967">
        <v>49.600850112200199</v>
      </c>
      <c r="P4967">
        <v>-6.8483023198196394E-2</v>
      </c>
      <c r="Q4967">
        <v>0.20842886828912499</v>
      </c>
      <c r="R4967">
        <v>0.98535184408076504</v>
      </c>
      <c r="S4967" t="s">
        <v>11252</v>
      </c>
      <c r="T4967" t="s">
        <v>12568</v>
      </c>
      <c r="U4967" t="s">
        <v>12568</v>
      </c>
      <c r="V4967" t="s">
        <v>12568</v>
      </c>
      <c r="W4967" t="s">
        <v>17485</v>
      </c>
      <c r="X4967">
        <v>4</v>
      </c>
      <c r="Y4967" t="s">
        <v>23589</v>
      </c>
      <c r="Z4967" t="s">
        <v>29837</v>
      </c>
      <c r="AA4967">
        <v>0.49406245718754882</v>
      </c>
      <c r="AB4967" t="str">
        <f>HYPERLINK("Melting_Curves/meltCurve_Q9BQK8_2_LPIN3.pdf", "Melting_Curves/meltCurve_Q9BQK8_2_LPIN3.pdf")</f>
        <v>Melting_Curves/meltCurve_Q9BQK8_2_LPIN3.pdf</v>
      </c>
    </row>
    <row r="4968" spans="1:28" x14ac:dyDescent="0.25">
      <c r="A4968" t="s">
        <v>4972</v>
      </c>
      <c r="B4968">
        <v>0.99352677808782597</v>
      </c>
      <c r="C4968">
        <v>0.97789345629643099</v>
      </c>
      <c r="D4968">
        <v>0.95892647539081299</v>
      </c>
      <c r="E4968">
        <v>0.37666114648351201</v>
      </c>
      <c r="F4968">
        <v>0.29470732899448099</v>
      </c>
      <c r="G4968">
        <v>0.17608672981500201</v>
      </c>
      <c r="H4968">
        <v>0.137491238778397</v>
      </c>
      <c r="I4968">
        <v>0.12237599240565999</v>
      </c>
      <c r="J4968">
        <v>0.11971694788043399</v>
      </c>
      <c r="K4968">
        <v>8.98933099480866E-2</v>
      </c>
      <c r="L4968">
        <v>1622.9021009421799</v>
      </c>
      <c r="M4968">
        <v>33.144987818799798</v>
      </c>
      <c r="N4968">
        <v>49.447785196574301</v>
      </c>
      <c r="O4968">
        <v>48.7865220775818</v>
      </c>
      <c r="P4968">
        <v>-0.146316185238448</v>
      </c>
      <c r="Q4968">
        <v>0.13854528495200999</v>
      </c>
      <c r="R4968">
        <v>0.98716188059465804</v>
      </c>
      <c r="S4968" t="s">
        <v>11253</v>
      </c>
      <c r="T4968" t="s">
        <v>12568</v>
      </c>
      <c r="U4968" t="s">
        <v>12568</v>
      </c>
      <c r="V4968" t="s">
        <v>12568</v>
      </c>
      <c r="W4968" t="s">
        <v>17486</v>
      </c>
      <c r="X4968">
        <v>14</v>
      </c>
      <c r="Y4968" t="s">
        <v>23590</v>
      </c>
      <c r="Z4968" t="s">
        <v>29838</v>
      </c>
      <c r="AA4968">
        <v>0.40021663287181758</v>
      </c>
      <c r="AB4968" t="str">
        <f>HYPERLINK("Melting_Curves/meltCurve_Q9BQL6_FERMT1.pdf", "Melting_Curves/meltCurve_Q9BQL6_FERMT1.pdf")</f>
        <v>Melting_Curves/meltCurve_Q9BQL6_FERMT1.pdf</v>
      </c>
    </row>
    <row r="4969" spans="1:28" x14ac:dyDescent="0.25">
      <c r="A4969" t="s">
        <v>4973</v>
      </c>
      <c r="B4969">
        <v>0.99352677808782597</v>
      </c>
      <c r="C4969">
        <v>0.934850267526671</v>
      </c>
      <c r="D4969">
        <v>0.98250104025099605</v>
      </c>
      <c r="E4969">
        <v>0.47615603555567299</v>
      </c>
      <c r="F4969">
        <v>0.38266232169356901</v>
      </c>
      <c r="G4969">
        <v>0.118434439525594</v>
      </c>
      <c r="H4969">
        <v>7.6222924167100206E-2</v>
      </c>
      <c r="I4969">
        <v>7.2002892453754894E-2</v>
      </c>
      <c r="J4969">
        <v>5.9777625845222497E-2</v>
      </c>
      <c r="K4969">
        <v>4.5001468125488601E-2</v>
      </c>
      <c r="L4969">
        <v>1050.98079420263</v>
      </c>
      <c r="M4969">
        <v>20.8481911614655</v>
      </c>
      <c r="N4969">
        <v>50.695172956205198</v>
      </c>
      <c r="O4969">
        <v>49.9541682082167</v>
      </c>
      <c r="P4969">
        <v>-9.85877915749276E-2</v>
      </c>
      <c r="Q4969">
        <v>5.5124281766361298E-2</v>
      </c>
      <c r="R4969">
        <v>0.98315626417762303</v>
      </c>
      <c r="S4969" t="s">
        <v>11254</v>
      </c>
      <c r="T4969" t="s">
        <v>12568</v>
      </c>
      <c r="U4969" t="s">
        <v>12568</v>
      </c>
      <c r="V4969" t="s">
        <v>12568</v>
      </c>
      <c r="W4969" t="s">
        <v>17487</v>
      </c>
      <c r="X4969">
        <v>6</v>
      </c>
      <c r="Y4969" t="s">
        <v>23591</v>
      </c>
      <c r="Z4969" t="s">
        <v>29839</v>
      </c>
      <c r="AA4969">
        <v>0.39515701455519359</v>
      </c>
      <c r="AB4969" t="str">
        <f>HYPERLINK("Melting_Curves/meltCurve_Q9BQP7_MGME1.pdf", "Melting_Curves/meltCurve_Q9BQP7_MGME1.pdf")</f>
        <v>Melting_Curves/meltCurve_Q9BQP7_MGME1.pdf</v>
      </c>
    </row>
    <row r="4970" spans="1:28" x14ac:dyDescent="0.25">
      <c r="A4970" t="s">
        <v>4974</v>
      </c>
      <c r="B4970">
        <v>0.99352677808782597</v>
      </c>
      <c r="C4970">
        <v>0.98811573123062502</v>
      </c>
      <c r="D4970">
        <v>0.91642115640144095</v>
      </c>
      <c r="E4970">
        <v>0.53605689724886196</v>
      </c>
      <c r="F4970">
        <v>0.42239390426636603</v>
      </c>
      <c r="G4970">
        <v>0.26352604485269199</v>
      </c>
      <c r="H4970">
        <v>0.19281422255670599</v>
      </c>
      <c r="I4970">
        <v>0.18528899847305499</v>
      </c>
      <c r="J4970">
        <v>0.17769595514515399</v>
      </c>
      <c r="K4970">
        <v>0.133796630899293</v>
      </c>
      <c r="L4970">
        <v>955.81109088297899</v>
      </c>
      <c r="M4970">
        <v>19.053747577231199</v>
      </c>
      <c r="N4970">
        <v>51.244675050283597</v>
      </c>
      <c r="O4970">
        <v>49.621203372346002</v>
      </c>
      <c r="P4970">
        <v>-8.0115938498685799E-2</v>
      </c>
      <c r="Q4970">
        <v>0.16545746953195301</v>
      </c>
      <c r="R4970">
        <v>0.99230321636793495</v>
      </c>
      <c r="S4970" t="s">
        <v>11255</v>
      </c>
      <c r="T4970" t="s">
        <v>12568</v>
      </c>
      <c r="U4970" t="s">
        <v>12568</v>
      </c>
      <c r="V4970" t="s">
        <v>12568</v>
      </c>
      <c r="W4970" t="s">
        <v>17488</v>
      </c>
      <c r="X4970">
        <v>17</v>
      </c>
      <c r="Y4970" t="s">
        <v>23592</v>
      </c>
      <c r="Z4970" t="s">
        <v>29840</v>
      </c>
      <c r="AA4970">
        <v>0.46094630179506779</v>
      </c>
      <c r="AB4970" t="str">
        <f>HYPERLINK("Melting_Curves/meltCurve_Q9BQS8_FYCO1.pdf", "Melting_Curves/meltCurve_Q9BQS8_FYCO1.pdf")</f>
        <v>Melting_Curves/meltCurve_Q9BQS8_FYCO1.pdf</v>
      </c>
    </row>
    <row r="4971" spans="1:28" x14ac:dyDescent="0.25">
      <c r="A4971" t="s">
        <v>4975</v>
      </c>
      <c r="B4971">
        <v>0.99352677808782597</v>
      </c>
      <c r="C4971">
        <v>0.83699634648055199</v>
      </c>
      <c r="D4971">
        <v>0.88084568146795605</v>
      </c>
      <c r="E4971">
        <v>0.38420739651545099</v>
      </c>
      <c r="F4971">
        <v>0.30115784621781799</v>
      </c>
      <c r="G4971">
        <v>0.18927838210866599</v>
      </c>
      <c r="H4971">
        <v>0.13540260781925201</v>
      </c>
      <c r="I4971">
        <v>0.120409518474605</v>
      </c>
      <c r="J4971">
        <v>0.126523183668628</v>
      </c>
      <c r="K4971">
        <v>9.8631323742713398E-2</v>
      </c>
      <c r="L4971">
        <v>954.473272547531</v>
      </c>
      <c r="M4971">
        <v>19.585903376784501</v>
      </c>
      <c r="N4971">
        <v>49.409953104506798</v>
      </c>
      <c r="O4971">
        <v>48.233176449184498</v>
      </c>
      <c r="P4971">
        <v>-8.9568638727213504E-2</v>
      </c>
      <c r="Q4971">
        <v>0.117727329593321</v>
      </c>
      <c r="R4971">
        <v>0.97721229474378102</v>
      </c>
      <c r="S4971" t="s">
        <v>11256</v>
      </c>
      <c r="T4971" t="s">
        <v>12568</v>
      </c>
      <c r="U4971" t="s">
        <v>12568</v>
      </c>
      <c r="V4971" t="s">
        <v>12568</v>
      </c>
      <c r="W4971" t="s">
        <v>17489</v>
      </c>
      <c r="X4971">
        <v>9</v>
      </c>
      <c r="Y4971" t="s">
        <v>23593</v>
      </c>
      <c r="Z4971" t="s">
        <v>29841</v>
      </c>
      <c r="AA4971">
        <v>0.3874843186833975</v>
      </c>
      <c r="AB4971" t="str">
        <f>HYPERLINK("Melting_Curves/meltCurve_Q9BR61_ACBD6.pdf", "Melting_Curves/meltCurve_Q9BR61_ACBD6.pdf")</f>
        <v>Melting_Curves/meltCurve_Q9BR61_ACBD6.pdf</v>
      </c>
    </row>
    <row r="4972" spans="1:28" x14ac:dyDescent="0.25">
      <c r="A4972" t="s">
        <v>4976</v>
      </c>
      <c r="B4972">
        <v>0.99352677808782597</v>
      </c>
      <c r="C4972">
        <v>1.0057265629447001</v>
      </c>
      <c r="D4972">
        <v>0.96672626789023497</v>
      </c>
      <c r="E4972">
        <v>0.480231464197515</v>
      </c>
      <c r="F4972">
        <v>0.38072756209081199</v>
      </c>
      <c r="G4972">
        <v>0.13950087855607199</v>
      </c>
      <c r="H4972">
        <v>8.9659331096379094E-2</v>
      </c>
      <c r="I4972">
        <v>8.2114833454868696E-2</v>
      </c>
      <c r="J4972">
        <v>8.0687941890814102E-2</v>
      </c>
      <c r="K4972">
        <v>6.8815361544430104E-2</v>
      </c>
      <c r="L4972">
        <v>1102.24835196152</v>
      </c>
      <c r="M4972">
        <v>21.920518902694202</v>
      </c>
      <c r="N4972">
        <v>50.674777023129501</v>
      </c>
      <c r="O4972">
        <v>49.870989867880901</v>
      </c>
      <c r="P4972">
        <v>-0.101340681714811</v>
      </c>
      <c r="Q4972">
        <v>7.7787212998826197E-2</v>
      </c>
      <c r="R4972">
        <v>0.98700736449787796</v>
      </c>
      <c r="S4972" t="s">
        <v>11257</v>
      </c>
      <c r="T4972" t="s">
        <v>12568</v>
      </c>
      <c r="U4972" t="s">
        <v>12568</v>
      </c>
      <c r="V4972" t="s">
        <v>12568</v>
      </c>
      <c r="W4972" t="s">
        <v>17490</v>
      </c>
      <c r="X4972">
        <v>16</v>
      </c>
      <c r="Y4972" t="s">
        <v>23594</v>
      </c>
      <c r="Z4972" t="s">
        <v>29842</v>
      </c>
      <c r="AA4972">
        <v>0.40464619146878178</v>
      </c>
      <c r="AB4972" t="str">
        <f>HYPERLINK("Melting_Curves/meltCurve_Q9BR76_CORO1B.pdf", "Melting_Curves/meltCurve_Q9BR76_CORO1B.pdf")</f>
        <v>Melting_Curves/meltCurve_Q9BR76_CORO1B.pdf</v>
      </c>
    </row>
    <row r="4973" spans="1:28" x14ac:dyDescent="0.25">
      <c r="A4973" t="s">
        <v>4977</v>
      </c>
      <c r="B4973">
        <v>0.99352677808782597</v>
      </c>
      <c r="C4973">
        <v>0.99147385616873296</v>
      </c>
      <c r="D4973">
        <v>0.888471881020786</v>
      </c>
      <c r="E4973">
        <v>0.62198089597372197</v>
      </c>
      <c r="F4973">
        <v>0.53401308929000801</v>
      </c>
      <c r="G4973">
        <v>0.38953692118762601</v>
      </c>
      <c r="H4973">
        <v>0.30338588643231901</v>
      </c>
      <c r="I4973">
        <v>0.29142446093130198</v>
      </c>
      <c r="J4973">
        <v>0.34906847980794098</v>
      </c>
      <c r="K4973">
        <v>0.33986390579674902</v>
      </c>
      <c r="L4973">
        <v>907.85763269715403</v>
      </c>
      <c r="M4973">
        <v>18.159623445462302</v>
      </c>
      <c r="N4973">
        <v>52.882287041600598</v>
      </c>
      <c r="O4973">
        <v>49.398777186243997</v>
      </c>
      <c r="P4973">
        <v>-6.2993253665729401E-2</v>
      </c>
      <c r="Q4973">
        <v>0.31460217379243899</v>
      </c>
      <c r="R4973">
        <v>0.99027965104176097</v>
      </c>
      <c r="S4973" t="s">
        <v>11258</v>
      </c>
      <c r="T4973" t="s">
        <v>12568</v>
      </c>
      <c r="U4973" t="s">
        <v>12568</v>
      </c>
      <c r="V4973" t="s">
        <v>12568</v>
      </c>
      <c r="W4973" t="s">
        <v>17491</v>
      </c>
      <c r="X4973">
        <v>1</v>
      </c>
      <c r="Y4973" t="s">
        <v>23595</v>
      </c>
      <c r="Z4973" t="s">
        <v>29843</v>
      </c>
      <c r="AA4973">
        <v>0.5544075420831045</v>
      </c>
      <c r="AB4973" t="str">
        <f>HYPERLINK("Melting_Curves/meltCurve_Q9BRA0_2_LSMD1.pdf", "Melting_Curves/meltCurve_Q9BRA0_2_LSMD1.pdf")</f>
        <v>Melting_Curves/meltCurve_Q9BRA0_2_LSMD1.pdf</v>
      </c>
    </row>
    <row r="4974" spans="1:28" x14ac:dyDescent="0.25">
      <c r="A4974" t="s">
        <v>4978</v>
      </c>
      <c r="B4974">
        <v>0.99352677808782597</v>
      </c>
      <c r="C4974">
        <v>1.0044106544628799</v>
      </c>
      <c r="D4974">
        <v>1.0133757915749599</v>
      </c>
      <c r="E4974">
        <v>0.90726810995735196</v>
      </c>
      <c r="F4974">
        <v>0.85367095275712901</v>
      </c>
      <c r="G4974">
        <v>0.78252939352432704</v>
      </c>
      <c r="H4974">
        <v>0.65441263998879196</v>
      </c>
      <c r="I4974">
        <v>0.66436669645914603</v>
      </c>
      <c r="J4974">
        <v>0.530008223880165</v>
      </c>
      <c r="K4974">
        <v>0.373561838681577</v>
      </c>
      <c r="L4974">
        <v>501.97712374737603</v>
      </c>
      <c r="M4974">
        <v>7.4674492518672304</v>
      </c>
      <c r="N4974">
        <v>67.222033443118903</v>
      </c>
      <c r="O4974">
        <v>62.907273639033399</v>
      </c>
      <c r="P4974">
        <v>-2.97197772779388E-2</v>
      </c>
      <c r="Q4974">
        <v>0</v>
      </c>
      <c r="R4974">
        <v>0.97001445818172705</v>
      </c>
      <c r="S4974" t="s">
        <v>11259</v>
      </c>
      <c r="T4974" t="s">
        <v>12568</v>
      </c>
      <c r="U4974" t="s">
        <v>12568</v>
      </c>
      <c r="V4974" t="s">
        <v>12568</v>
      </c>
      <c r="W4974" t="s">
        <v>17492</v>
      </c>
      <c r="X4974">
        <v>9</v>
      </c>
      <c r="Y4974" t="s">
        <v>23596</v>
      </c>
      <c r="Z4974" t="s">
        <v>29844</v>
      </c>
      <c r="AA4974">
        <v>0.78979557698367808</v>
      </c>
      <c r="AB4974" t="str">
        <f>HYPERLINK("Melting_Curves/meltCurve_Q9BRA2_TXNDC17.pdf", "Melting_Curves/meltCurve_Q9BRA2_TXNDC17.pdf")</f>
        <v>Melting_Curves/meltCurve_Q9BRA2_TXNDC17.pdf</v>
      </c>
    </row>
    <row r="4975" spans="1:28" x14ac:dyDescent="0.25">
      <c r="A4975" t="s">
        <v>4979</v>
      </c>
      <c r="B4975">
        <v>0.99352677808782597</v>
      </c>
      <c r="C4975">
        <v>0.990602365128323</v>
      </c>
      <c r="D4975">
        <v>0.98999425561118104</v>
      </c>
      <c r="E4975">
        <v>0.85807690299289197</v>
      </c>
      <c r="F4975">
        <v>0.86781882752425299</v>
      </c>
      <c r="G4975">
        <v>0.78541028226021803</v>
      </c>
      <c r="H4975">
        <v>0.69680525052825804</v>
      </c>
      <c r="I4975">
        <v>0.80701525363897697</v>
      </c>
      <c r="J4975">
        <v>0.81508659775041004</v>
      </c>
      <c r="K4975">
        <v>0.69743269830944699</v>
      </c>
      <c r="L4975">
        <v>894.86184503137099</v>
      </c>
      <c r="M4975">
        <v>17.593159949590699</v>
      </c>
      <c r="O4975">
        <v>50.220695377443299</v>
      </c>
      <c r="P4975">
        <v>-2.17778002593054E-2</v>
      </c>
      <c r="Q4975">
        <v>0.75134954969360002</v>
      </c>
      <c r="R4975">
        <v>0.85335749581675202</v>
      </c>
      <c r="S4975" t="s">
        <v>11260</v>
      </c>
      <c r="T4975" t="s">
        <v>12568</v>
      </c>
      <c r="U4975" t="s">
        <v>12568</v>
      </c>
      <c r="V4975" t="s">
        <v>12568</v>
      </c>
      <c r="W4975" t="s">
        <v>17493</v>
      </c>
      <c r="X4975">
        <v>4</v>
      </c>
      <c r="Y4975" t="s">
        <v>23597</v>
      </c>
      <c r="Z4975" t="s">
        <v>29845</v>
      </c>
      <c r="AA4975">
        <v>0.84576911780013719</v>
      </c>
      <c r="AB4975" t="str">
        <f>HYPERLINK("Melting_Curves/meltCurve_Q9BRD0_BUD13.pdf", "Melting_Curves/meltCurve_Q9BRD0_BUD13.pdf")</f>
        <v>Melting_Curves/meltCurve_Q9BRD0_BUD13.pdf</v>
      </c>
    </row>
    <row r="4976" spans="1:28" x14ac:dyDescent="0.25">
      <c r="A4976" t="s">
        <v>4980</v>
      </c>
      <c r="B4976">
        <v>0.99352677808782597</v>
      </c>
      <c r="C4976">
        <v>0.98570944442323605</v>
      </c>
      <c r="D4976">
        <v>0.93216628489473596</v>
      </c>
      <c r="E4976">
        <v>0.71652658127772395</v>
      </c>
      <c r="F4976">
        <v>0.61792027661099402</v>
      </c>
      <c r="G4976">
        <v>0.50282230769666703</v>
      </c>
      <c r="H4976">
        <v>0.37649582666895698</v>
      </c>
      <c r="I4976">
        <v>0.418782054496806</v>
      </c>
      <c r="J4976">
        <v>0.38748988255454803</v>
      </c>
      <c r="K4976">
        <v>0.275617572615874</v>
      </c>
      <c r="L4976">
        <v>702.26620958613603</v>
      </c>
      <c r="M4976">
        <v>13.4841828925036</v>
      </c>
      <c r="N4976">
        <v>56.339637289566099</v>
      </c>
      <c r="O4976">
        <v>50.975305831586503</v>
      </c>
      <c r="P4976">
        <v>-4.5003802285569397E-2</v>
      </c>
      <c r="Q4976">
        <v>0.31957874471689202</v>
      </c>
      <c r="R4976">
        <v>0.98248834403202401</v>
      </c>
      <c r="S4976" t="s">
        <v>11261</v>
      </c>
      <c r="T4976" t="s">
        <v>12568</v>
      </c>
      <c r="U4976" t="s">
        <v>12568</v>
      </c>
      <c r="V4976" t="s">
        <v>12568</v>
      </c>
      <c r="W4976" t="s">
        <v>17494</v>
      </c>
      <c r="X4976">
        <v>12</v>
      </c>
      <c r="Y4976" t="s">
        <v>23598</v>
      </c>
      <c r="Z4976" t="s">
        <v>29846</v>
      </c>
      <c r="AA4976">
        <v>0.61130001526962452</v>
      </c>
      <c r="AB4976" t="str">
        <f>HYPERLINK("Melting_Curves/meltCurve_Q9BRF8_CPPED1.pdf", "Melting_Curves/meltCurve_Q9BRF8_CPPED1.pdf")</f>
        <v>Melting_Curves/meltCurve_Q9BRF8_CPPED1.pdf</v>
      </c>
    </row>
    <row r="4977" spans="1:28" x14ac:dyDescent="0.25">
      <c r="A4977" t="s">
        <v>4981</v>
      </c>
      <c r="B4977">
        <v>0.99352677808782597</v>
      </c>
      <c r="C4977">
        <v>0.97213273153368696</v>
      </c>
      <c r="D4977">
        <v>0.90913292729047501</v>
      </c>
      <c r="E4977">
        <v>0.52257160788224499</v>
      </c>
      <c r="F4977">
        <v>0.43723543490925099</v>
      </c>
      <c r="G4977">
        <v>0.21918798935102801</v>
      </c>
      <c r="H4977">
        <v>0.15688778640522899</v>
      </c>
      <c r="I4977">
        <v>0.171838968712761</v>
      </c>
      <c r="J4977">
        <v>0.12202779183401399</v>
      </c>
      <c r="K4977">
        <v>9.0925806662144698E-2</v>
      </c>
      <c r="L4977">
        <v>874.07228012253495</v>
      </c>
      <c r="M4977">
        <v>17.3182266818242</v>
      </c>
      <c r="N4977">
        <v>51.255055414880196</v>
      </c>
      <c r="O4977">
        <v>49.812699773175602</v>
      </c>
      <c r="P4977">
        <v>-7.6809663137510198E-2</v>
      </c>
      <c r="Q4977">
        <v>0.11633523676612301</v>
      </c>
      <c r="R4977">
        <v>0.989931144906396</v>
      </c>
      <c r="S4977" t="s">
        <v>11262</v>
      </c>
      <c r="T4977" t="s">
        <v>12568</v>
      </c>
      <c r="U4977" t="s">
        <v>12568</v>
      </c>
      <c r="V4977" t="s">
        <v>12568</v>
      </c>
      <c r="W4977" t="s">
        <v>17495</v>
      </c>
      <c r="X4977">
        <v>7</v>
      </c>
      <c r="Y4977" t="s">
        <v>23599</v>
      </c>
      <c r="Z4977" t="s">
        <v>29847</v>
      </c>
      <c r="AA4977">
        <v>0.44085630040066531</v>
      </c>
      <c r="AB4977" t="str">
        <f>HYPERLINK("Melting_Curves/meltCurve_Q9BRG1_VPS25.pdf", "Melting_Curves/meltCurve_Q9BRG1_VPS25.pdf")</f>
        <v>Melting_Curves/meltCurve_Q9BRG1_VPS25.pdf</v>
      </c>
    </row>
    <row r="4978" spans="1:28" x14ac:dyDescent="0.25">
      <c r="A4978" t="s">
        <v>4982</v>
      </c>
      <c r="B4978">
        <v>0.99352677808782597</v>
      </c>
      <c r="C4978">
        <v>0.986936710917937</v>
      </c>
      <c r="D4978">
        <v>1.0668305160040601</v>
      </c>
      <c r="E4978">
        <v>0.73030538348477003</v>
      </c>
      <c r="F4978">
        <v>0.71643723661509395</v>
      </c>
      <c r="G4978">
        <v>0.68233490624446402</v>
      </c>
      <c r="H4978">
        <v>0.65677610066124903</v>
      </c>
      <c r="I4978">
        <v>0.676023573337731</v>
      </c>
      <c r="J4978">
        <v>0.577073944521861</v>
      </c>
      <c r="K4978">
        <v>0</v>
      </c>
      <c r="L4978">
        <v>475.23584170955002</v>
      </c>
      <c r="M4978">
        <v>7.4605828533299698</v>
      </c>
      <c r="N4978">
        <v>63.699558904883503</v>
      </c>
      <c r="O4978">
        <v>59.604144237682902</v>
      </c>
      <c r="P4978">
        <v>-3.1338093739804299E-2</v>
      </c>
      <c r="Q4978">
        <v>0</v>
      </c>
      <c r="R4978">
        <v>0.71399960494464498</v>
      </c>
      <c r="S4978" t="s">
        <v>11263</v>
      </c>
      <c r="T4978" t="s">
        <v>12568</v>
      </c>
      <c r="U4978" t="s">
        <v>12568</v>
      </c>
      <c r="V4978" t="s">
        <v>12568</v>
      </c>
      <c r="W4978" t="s">
        <v>17496</v>
      </c>
      <c r="X4978">
        <v>1</v>
      </c>
      <c r="Y4978" t="s">
        <v>23600</v>
      </c>
      <c r="Z4978" t="s">
        <v>29848</v>
      </c>
      <c r="AA4978">
        <v>0.72562280976069315</v>
      </c>
      <c r="AB4978" t="str">
        <f>HYPERLINK("Melting_Curves/meltCurve_Q9BRK4_LZTS2.pdf", "Melting_Curves/meltCurve_Q9BRK4_LZTS2.pdf")</f>
        <v>Melting_Curves/meltCurve_Q9BRK4_LZTS2.pdf</v>
      </c>
    </row>
    <row r="4979" spans="1:28" x14ac:dyDescent="0.25">
      <c r="A4979" t="s">
        <v>4983</v>
      </c>
      <c r="B4979">
        <v>0.99352677808782597</v>
      </c>
      <c r="C4979">
        <v>0.94410110607419095</v>
      </c>
      <c r="D4979">
        <v>0.93488249670115797</v>
      </c>
      <c r="E4979">
        <v>0.75230120910338905</v>
      </c>
      <c r="F4979">
        <v>0.69242157745645905</v>
      </c>
      <c r="G4979">
        <v>0.57644649435471196</v>
      </c>
      <c r="H4979">
        <v>0.50330610868737402</v>
      </c>
      <c r="I4979">
        <v>0.532831646979117</v>
      </c>
      <c r="J4979">
        <v>0.54649524008944195</v>
      </c>
      <c r="K4979">
        <v>0.47048055767363101</v>
      </c>
      <c r="L4979">
        <v>741.23111816365804</v>
      </c>
      <c r="M4979">
        <v>14.588877054603</v>
      </c>
      <c r="O4979">
        <v>49.881954713146897</v>
      </c>
      <c r="P4979">
        <v>-3.7114229508439803E-2</v>
      </c>
      <c r="Q4979">
        <v>0.49245667305138802</v>
      </c>
      <c r="R4979">
        <v>0.983657700489873</v>
      </c>
      <c r="S4979" t="s">
        <v>11264</v>
      </c>
      <c r="T4979" t="s">
        <v>12568</v>
      </c>
      <c r="U4979" t="s">
        <v>12568</v>
      </c>
      <c r="V4979" t="s">
        <v>12568</v>
      </c>
      <c r="W4979" t="s">
        <v>17497</v>
      </c>
      <c r="X4979">
        <v>7</v>
      </c>
      <c r="Y4979" t="s">
        <v>23601</v>
      </c>
      <c r="Z4979" t="s">
        <v>29849</v>
      </c>
      <c r="AA4979">
        <v>0.68766326722722582</v>
      </c>
      <c r="AB4979" t="str">
        <f>HYPERLINK("Melting_Curves/meltCurve_Q9BRK5_SDF4.pdf", "Melting_Curves/meltCurve_Q9BRK5_SDF4.pdf")</f>
        <v>Melting_Curves/meltCurve_Q9BRK5_SDF4.pdf</v>
      </c>
    </row>
    <row r="4980" spans="1:28" x14ac:dyDescent="0.25">
      <c r="A4980" t="s">
        <v>4984</v>
      </c>
      <c r="B4980">
        <v>0.99352677808782597</v>
      </c>
      <c r="C4980">
        <v>0.96369229032408099</v>
      </c>
      <c r="D4980">
        <v>0.97492653390324702</v>
      </c>
      <c r="E4980">
        <v>0.393424797278007</v>
      </c>
      <c r="F4980">
        <v>0.31944937061108297</v>
      </c>
      <c r="G4980">
        <v>0.15823359582202101</v>
      </c>
      <c r="H4980">
        <v>9.4365717873838503E-2</v>
      </c>
      <c r="I4980">
        <v>9.3325411826955904E-2</v>
      </c>
      <c r="J4980">
        <v>8.1544767899725507E-2</v>
      </c>
      <c r="K4980">
        <v>5.8476239048158601E-2</v>
      </c>
      <c r="L4980">
        <v>1311.66463823611</v>
      </c>
      <c r="M4980">
        <v>26.544454212548199</v>
      </c>
      <c r="N4980">
        <v>49.823848175626303</v>
      </c>
      <c r="O4980">
        <v>49.135994395873297</v>
      </c>
      <c r="P4980">
        <v>-0.121808204984061</v>
      </c>
      <c r="Q4980">
        <v>9.8101070737072804E-2</v>
      </c>
      <c r="R4980">
        <v>0.98162337871519501</v>
      </c>
      <c r="S4980" t="s">
        <v>11265</v>
      </c>
      <c r="T4980" t="s">
        <v>12568</v>
      </c>
      <c r="U4980" t="s">
        <v>12568</v>
      </c>
      <c r="V4980" t="s">
        <v>12568</v>
      </c>
      <c r="W4980" t="s">
        <v>17498</v>
      </c>
      <c r="X4980">
        <v>8</v>
      </c>
      <c r="Y4980" t="s">
        <v>23602</v>
      </c>
      <c r="Z4980" t="s">
        <v>29850</v>
      </c>
      <c r="AA4980">
        <v>0.38820759930492071</v>
      </c>
      <c r="AB4980" t="str">
        <f>HYPERLINK("Melting_Curves/meltCurve_Q9BRP1_PDCD2L.pdf", "Melting_Curves/meltCurve_Q9BRP1_PDCD2L.pdf")</f>
        <v>Melting_Curves/meltCurve_Q9BRP1_PDCD2L.pdf</v>
      </c>
    </row>
    <row r="4981" spans="1:28" x14ac:dyDescent="0.25">
      <c r="A4981" t="s">
        <v>4985</v>
      </c>
      <c r="B4981">
        <v>0.99352677808782597</v>
      </c>
      <c r="C4981">
        <v>1.00718270185095</v>
      </c>
      <c r="D4981">
        <v>0.80070636172077703</v>
      </c>
      <c r="E4981">
        <v>1.1877745379968201</v>
      </c>
      <c r="F4981">
        <v>1.0012318024018501</v>
      </c>
      <c r="G4981">
        <v>1.11268037564343</v>
      </c>
      <c r="H4981">
        <v>0.41459584763733598</v>
      </c>
      <c r="I4981">
        <v>0.20745669023492799</v>
      </c>
      <c r="J4981">
        <v>0.13903815123229099</v>
      </c>
      <c r="K4981">
        <v>0.13644878664525201</v>
      </c>
      <c r="L4981">
        <v>7784.5069058864301</v>
      </c>
      <c r="M4981">
        <v>128.44751722627399</v>
      </c>
      <c r="N4981">
        <v>60.787889695902301</v>
      </c>
      <c r="O4981">
        <v>60.589885619669303</v>
      </c>
      <c r="P4981">
        <v>-0.44488453940897099</v>
      </c>
      <c r="Q4981">
        <v>0.16057535716266699</v>
      </c>
      <c r="R4981">
        <v>0.94472262945165797</v>
      </c>
      <c r="S4981" t="s">
        <v>11266</v>
      </c>
      <c r="T4981" t="s">
        <v>12568</v>
      </c>
      <c r="U4981" t="s">
        <v>12568</v>
      </c>
      <c r="V4981" t="s">
        <v>12568</v>
      </c>
      <c r="W4981" t="s">
        <v>13023</v>
      </c>
      <c r="X4981">
        <v>11</v>
      </c>
      <c r="Y4981" t="s">
        <v>19254</v>
      </c>
      <c r="Z4981" t="s">
        <v>29851</v>
      </c>
      <c r="AA4981">
        <v>0.7374466489709941</v>
      </c>
      <c r="AB4981" t="str">
        <f>HYPERLINK("Melting_Curves/meltCurve_Q9BRP4_PAAF1.pdf", "Melting_Curves/meltCurve_Q9BRP4_PAAF1.pdf")</f>
        <v>Melting_Curves/meltCurve_Q9BRP4_PAAF1.pdf</v>
      </c>
    </row>
    <row r="4982" spans="1:28" x14ac:dyDescent="0.25">
      <c r="A4982" t="s">
        <v>4986</v>
      </c>
      <c r="B4982">
        <v>0.99352677808782597</v>
      </c>
      <c r="C4982">
        <v>0.96480877478129401</v>
      </c>
      <c r="D4982">
        <v>1.04925607742654</v>
      </c>
      <c r="E4982">
        <v>1.05568423443801</v>
      </c>
      <c r="F4982">
        <v>0.95169420908779601</v>
      </c>
      <c r="G4982">
        <v>0.92230981139291701</v>
      </c>
      <c r="H4982">
        <v>0.90539867019377696</v>
      </c>
      <c r="I4982">
        <v>1.00658538297752</v>
      </c>
      <c r="J4982">
        <v>1.09763274481949</v>
      </c>
      <c r="K4982">
        <v>0.89636336865753896</v>
      </c>
      <c r="L4982">
        <v>15000</v>
      </c>
      <c r="M4982">
        <v>212.12817020567201</v>
      </c>
      <c r="Q4982">
        <v>0</v>
      </c>
      <c r="R4982">
        <v>0.197266605544625</v>
      </c>
      <c r="S4982" t="s">
        <v>11267</v>
      </c>
      <c r="T4982" t="s">
        <v>12568</v>
      </c>
      <c r="U4982" t="s">
        <v>12568</v>
      </c>
      <c r="V4982" t="s">
        <v>12568</v>
      </c>
      <c r="W4982" t="s">
        <v>17499</v>
      </c>
      <c r="X4982">
        <v>12</v>
      </c>
      <c r="Y4982" t="s">
        <v>23603</v>
      </c>
      <c r="Z4982" t="s">
        <v>29852</v>
      </c>
      <c r="AA4982">
        <v>0.99882002053316721</v>
      </c>
      <c r="AB4982" t="str">
        <f>HYPERLINK("Melting_Curves/meltCurve_Q9BRP8_2_WIBG.pdf", "Melting_Curves/meltCurve_Q9BRP8_2_WIBG.pdf")</f>
        <v>Melting_Curves/meltCurve_Q9BRP8_2_WIBG.pdf</v>
      </c>
    </row>
    <row r="4983" spans="1:28" x14ac:dyDescent="0.25">
      <c r="A4983" t="s">
        <v>4987</v>
      </c>
      <c r="B4983">
        <v>0.99352677808782597</v>
      </c>
      <c r="C4983">
        <v>0.84042804211266398</v>
      </c>
      <c r="D4983">
        <v>0.62738604670575004</v>
      </c>
      <c r="E4983">
        <v>0.351402502544433</v>
      </c>
      <c r="F4983">
        <v>0.29880498096686497</v>
      </c>
      <c r="G4983">
        <v>0.17791875983278499</v>
      </c>
      <c r="H4983">
        <v>0.129713852235672</v>
      </c>
      <c r="I4983">
        <v>0.11844684340077399</v>
      </c>
      <c r="J4983">
        <v>6.6764711032503296E-2</v>
      </c>
      <c r="K4983">
        <v>4.3082682291498003E-2</v>
      </c>
      <c r="L4983">
        <v>656.80552705238699</v>
      </c>
      <c r="M4983">
        <v>13.7856118914984</v>
      </c>
      <c r="N4983">
        <v>48.178667294941803</v>
      </c>
      <c r="O4983">
        <v>46.675284059957598</v>
      </c>
      <c r="P4983">
        <v>-6.8612700666690299E-2</v>
      </c>
      <c r="Q4983">
        <v>7.08958764717251E-2</v>
      </c>
      <c r="R4983">
        <v>0.99045601166737696</v>
      </c>
      <c r="S4983" t="s">
        <v>11268</v>
      </c>
      <c r="T4983" t="s">
        <v>12568</v>
      </c>
      <c r="U4983" t="s">
        <v>12568</v>
      </c>
      <c r="V4983" t="s">
        <v>12568</v>
      </c>
      <c r="W4983" t="s">
        <v>17500</v>
      </c>
      <c r="X4983">
        <v>1</v>
      </c>
      <c r="Y4983" t="s">
        <v>23604</v>
      </c>
      <c r="Z4983" t="s">
        <v>29853</v>
      </c>
      <c r="AA4983">
        <v>0.33638713017226052</v>
      </c>
      <c r="AB4983" t="str">
        <f>HYPERLINK("Melting_Curves/meltCurve_Q9BRQ8_AIFM2.pdf", "Melting_Curves/meltCurve_Q9BRQ8_AIFM2.pdf")</f>
        <v>Melting_Curves/meltCurve_Q9BRQ8_AIFM2.pdf</v>
      </c>
    </row>
    <row r="4984" spans="1:28" x14ac:dyDescent="0.25">
      <c r="A4984" t="s">
        <v>4988</v>
      </c>
      <c r="B4984">
        <v>0.99352677808782597</v>
      </c>
      <c r="C4984">
        <v>1.03087851836581</v>
      </c>
      <c r="D4984">
        <v>0.99330925970425898</v>
      </c>
      <c r="E4984">
        <v>0.69798682844210302</v>
      </c>
      <c r="F4984">
        <v>0.53297819559814497</v>
      </c>
      <c r="G4984">
        <v>0.33533898249434302</v>
      </c>
      <c r="H4984">
        <v>0.18170259897192201</v>
      </c>
      <c r="I4984">
        <v>0.14852278743830299</v>
      </c>
      <c r="J4984">
        <v>0.13682420183149399</v>
      </c>
      <c r="K4984">
        <v>5.4290798653768201E-2</v>
      </c>
      <c r="L4984">
        <v>849.17273164727499</v>
      </c>
      <c r="M4984">
        <v>16.0186118877041</v>
      </c>
      <c r="N4984">
        <v>53.605926254195801</v>
      </c>
      <c r="O4984">
        <v>52.2061092320942</v>
      </c>
      <c r="P4984">
        <v>-7.0473294203444295E-2</v>
      </c>
      <c r="Q4984">
        <v>8.1356539688395998E-2</v>
      </c>
      <c r="R4984">
        <v>0.99055044392430902</v>
      </c>
      <c r="S4984" t="s">
        <v>11269</v>
      </c>
      <c r="T4984" t="s">
        <v>12568</v>
      </c>
      <c r="U4984" t="s">
        <v>12568</v>
      </c>
      <c r="V4984" t="s">
        <v>12568</v>
      </c>
      <c r="W4984" t="s">
        <v>17501</v>
      </c>
      <c r="X4984">
        <v>1</v>
      </c>
      <c r="Y4984" t="s">
        <v>23605</v>
      </c>
      <c r="Z4984" t="s">
        <v>29854</v>
      </c>
      <c r="AA4984">
        <v>0.49777849051951423</v>
      </c>
      <c r="AB4984" t="str">
        <f>HYPERLINK("Melting_Curves/meltCurve_Q9BRR6_2_ADPGK.pdf", "Melting_Curves/meltCurve_Q9BRR6_2_ADPGK.pdf")</f>
        <v>Melting_Curves/meltCurve_Q9BRR6_2_ADPGK.pdf</v>
      </c>
    </row>
    <row r="4985" spans="1:28" x14ac:dyDescent="0.25">
      <c r="A4985" t="s">
        <v>4989</v>
      </c>
      <c r="B4985">
        <v>0.99352677808782597</v>
      </c>
      <c r="C4985">
        <v>0.96369831695279695</v>
      </c>
      <c r="D4985">
        <v>0.93635354958099903</v>
      </c>
      <c r="E4985">
        <v>0.85691239844433897</v>
      </c>
      <c r="F4985">
        <v>0.71499194970852498</v>
      </c>
      <c r="G4985">
        <v>0.599495458409393</v>
      </c>
      <c r="H4985">
        <v>0.490324352713082</v>
      </c>
      <c r="I4985">
        <v>0.46376631803433199</v>
      </c>
      <c r="J4985">
        <v>0.49797316700669297</v>
      </c>
      <c r="K4985">
        <v>0.48948331021278302</v>
      </c>
      <c r="L4985">
        <v>852.51041623502795</v>
      </c>
      <c r="M4985">
        <v>16.172408939432799</v>
      </c>
      <c r="N4985">
        <v>62.664561274333003</v>
      </c>
      <c r="O4985">
        <v>51.927658038041599</v>
      </c>
      <c r="P4985">
        <v>-4.1918613909368803E-2</v>
      </c>
      <c r="Q4985">
        <v>0.46165800241095101</v>
      </c>
      <c r="R4985">
        <v>0.99210826291514997</v>
      </c>
      <c r="S4985" t="s">
        <v>11270</v>
      </c>
      <c r="T4985" t="s">
        <v>12568</v>
      </c>
      <c r="U4985" t="s">
        <v>12568</v>
      </c>
      <c r="V4985" t="s">
        <v>12568</v>
      </c>
      <c r="W4985" t="s">
        <v>17502</v>
      </c>
      <c r="X4985">
        <v>12</v>
      </c>
      <c r="Y4985" t="s">
        <v>23606</v>
      </c>
      <c r="Z4985" t="s">
        <v>29855</v>
      </c>
      <c r="AA4985">
        <v>0.70029427354139073</v>
      </c>
      <c r="AB4985" t="str">
        <f>HYPERLINK("Melting_Curves/meltCurve_Q9BRR8_GPATCH1.pdf", "Melting_Curves/meltCurve_Q9BRR8_GPATCH1.pdf")</f>
        <v>Melting_Curves/meltCurve_Q9BRR8_GPATCH1.pdf</v>
      </c>
    </row>
    <row r="4986" spans="1:28" x14ac:dyDescent="0.25">
      <c r="A4986" t="s">
        <v>4990</v>
      </c>
      <c r="B4986">
        <v>0.99352677808782597</v>
      </c>
      <c r="C4986">
        <v>0.90949814704735399</v>
      </c>
      <c r="D4986">
        <v>0.89006352268227196</v>
      </c>
      <c r="E4986">
        <v>0.49906211681707402</v>
      </c>
      <c r="F4986">
        <v>0.46015049956849402</v>
      </c>
      <c r="G4986">
        <v>0.31804779434859498</v>
      </c>
      <c r="H4986">
        <v>0.23109680508931399</v>
      </c>
      <c r="I4986">
        <v>0.21699855927858699</v>
      </c>
      <c r="J4986">
        <v>0.16938758778063001</v>
      </c>
      <c r="K4986">
        <v>0.13466739355170301</v>
      </c>
      <c r="L4986">
        <v>704.42433772829099</v>
      </c>
      <c r="M4986">
        <v>14.0294342224714</v>
      </c>
      <c r="N4986">
        <v>51.582108748373102</v>
      </c>
      <c r="O4986">
        <v>49.223320538771802</v>
      </c>
      <c r="P4986">
        <v>-6.0168421592905197E-2</v>
      </c>
      <c r="Q4986">
        <v>0.15568919159072001</v>
      </c>
      <c r="R4986">
        <v>0.98161458706906002</v>
      </c>
      <c r="S4986" t="s">
        <v>11271</v>
      </c>
      <c r="T4986" t="s">
        <v>12568</v>
      </c>
      <c r="U4986" t="s">
        <v>12568</v>
      </c>
      <c r="V4986" t="s">
        <v>12568</v>
      </c>
      <c r="W4986" t="s">
        <v>17503</v>
      </c>
      <c r="X4986">
        <v>5</v>
      </c>
      <c r="Y4986" t="s">
        <v>23607</v>
      </c>
      <c r="Z4986" t="s">
        <v>29856</v>
      </c>
      <c r="AA4986">
        <v>0.46548352495965439</v>
      </c>
      <c r="AB4986" t="str">
        <f>HYPERLINK("Melting_Curves/meltCurve_Q9BRS2_RIOK1.pdf", "Melting_Curves/meltCurve_Q9BRS2_RIOK1.pdf")</f>
        <v>Melting_Curves/meltCurve_Q9BRS2_RIOK1.pdf</v>
      </c>
    </row>
    <row r="4987" spans="1:28" x14ac:dyDescent="0.25">
      <c r="A4987" t="s">
        <v>4991</v>
      </c>
      <c r="B4987">
        <v>0.99352677808782597</v>
      </c>
      <c r="C4987">
        <v>0.87677098087279803</v>
      </c>
      <c r="D4987">
        <v>0.83119153400117096</v>
      </c>
      <c r="E4987">
        <v>0.65313372300612105</v>
      </c>
      <c r="F4987">
        <v>0.58255318019909497</v>
      </c>
      <c r="G4987">
        <v>0.49082693708264702</v>
      </c>
      <c r="H4987">
        <v>0.44586285724430302</v>
      </c>
      <c r="I4987">
        <v>0.48878450948610902</v>
      </c>
      <c r="J4987">
        <v>0.45542038453810202</v>
      </c>
      <c r="K4987">
        <v>0.37094314990475902</v>
      </c>
      <c r="L4987">
        <v>587.38916820644897</v>
      </c>
      <c r="M4987">
        <v>12.0035449340022</v>
      </c>
      <c r="N4987">
        <v>56.957824533063899</v>
      </c>
      <c r="O4987">
        <v>47.635834448211703</v>
      </c>
      <c r="P4987">
        <v>-3.7314325444734099E-2</v>
      </c>
      <c r="Q4987">
        <v>0.40781789408486002</v>
      </c>
      <c r="R4987">
        <v>0.97925712663367603</v>
      </c>
      <c r="S4987" t="s">
        <v>11272</v>
      </c>
      <c r="T4987" t="s">
        <v>12568</v>
      </c>
      <c r="U4987" t="s">
        <v>12568</v>
      </c>
      <c r="V4987" t="s">
        <v>12568</v>
      </c>
      <c r="W4987" t="s">
        <v>17504</v>
      </c>
      <c r="X4987">
        <v>4</v>
      </c>
      <c r="Y4987" t="s">
        <v>23608</v>
      </c>
      <c r="Z4987" t="s">
        <v>29857</v>
      </c>
      <c r="AA4987">
        <v>0.60601377750580809</v>
      </c>
      <c r="AB4987" t="str">
        <f>HYPERLINK("Melting_Curves/meltCurve_Q9BRS8_LARP6.pdf", "Melting_Curves/meltCurve_Q9BRS8_LARP6.pdf")</f>
        <v>Melting_Curves/meltCurve_Q9BRS8_LARP6.pdf</v>
      </c>
    </row>
    <row r="4988" spans="1:28" x14ac:dyDescent="0.25">
      <c r="A4988" t="s">
        <v>4992</v>
      </c>
      <c r="B4988">
        <v>0.99352677808782597</v>
      </c>
      <c r="C4988">
        <v>0.97858907380860505</v>
      </c>
      <c r="D4988">
        <v>1.02254743047968</v>
      </c>
      <c r="E4988">
        <v>0.92194241472885996</v>
      </c>
      <c r="F4988">
        <v>0.73502123678333797</v>
      </c>
      <c r="G4988">
        <v>0.66223037203702995</v>
      </c>
      <c r="H4988">
        <v>0.60624011485519802</v>
      </c>
      <c r="I4988">
        <v>0.50159689026448795</v>
      </c>
      <c r="J4988">
        <v>0.56807993621208697</v>
      </c>
      <c r="K4988">
        <v>0.39860027732942199</v>
      </c>
      <c r="L4988">
        <v>732.95571879234501</v>
      </c>
      <c r="M4988">
        <v>13.257979130492201</v>
      </c>
      <c r="N4988">
        <v>65.911067626097307</v>
      </c>
      <c r="O4988">
        <v>54.0717625494621</v>
      </c>
      <c r="P4988">
        <v>-3.4269296445883897E-2</v>
      </c>
      <c r="Q4988">
        <v>0.44103144128598099</v>
      </c>
      <c r="R4988">
        <v>0.95217402402085605</v>
      </c>
      <c r="S4988" t="s">
        <v>11273</v>
      </c>
      <c r="T4988" t="s">
        <v>12568</v>
      </c>
      <c r="U4988" t="s">
        <v>12568</v>
      </c>
      <c r="V4988" t="s">
        <v>12568</v>
      </c>
      <c r="W4988" t="s">
        <v>17505</v>
      </c>
      <c r="X4988">
        <v>6</v>
      </c>
      <c r="Y4988" t="s">
        <v>23609</v>
      </c>
      <c r="Z4988" t="s">
        <v>29858</v>
      </c>
      <c r="AA4988">
        <v>0.73760127637740258</v>
      </c>
      <c r="AB4988" t="str">
        <f>HYPERLINK("Melting_Curves/meltCurve_Q9BRT3_MIEN1.pdf", "Melting_Curves/meltCurve_Q9BRT3_MIEN1.pdf")</f>
        <v>Melting_Curves/meltCurve_Q9BRT3_MIEN1.pdf</v>
      </c>
    </row>
    <row r="4989" spans="1:28" x14ac:dyDescent="0.25">
      <c r="A4989" t="s">
        <v>4993</v>
      </c>
      <c r="B4989">
        <v>0.99352677808782597</v>
      </c>
      <c r="C4989">
        <v>1.0014604477101601</v>
      </c>
      <c r="D4989">
        <v>0.96630911918920304</v>
      </c>
      <c r="E4989">
        <v>0.61626046363091602</v>
      </c>
      <c r="F4989">
        <v>0.480655117268738</v>
      </c>
      <c r="G4989">
        <v>0.28927693659412701</v>
      </c>
      <c r="H4989">
        <v>0.18443058980269</v>
      </c>
      <c r="I4989">
        <v>0.16674791076412901</v>
      </c>
      <c r="J4989">
        <v>0.166412587099555</v>
      </c>
      <c r="K4989">
        <v>0.12557287098928199</v>
      </c>
      <c r="L4989">
        <v>929.39754867806801</v>
      </c>
      <c r="M4989">
        <v>18.0853895988087</v>
      </c>
      <c r="N4989">
        <v>52.365104521248703</v>
      </c>
      <c r="O4989">
        <v>50.773468197291997</v>
      </c>
      <c r="P4989">
        <v>-7.63157535176643E-2</v>
      </c>
      <c r="Q4989">
        <v>0.14303690785539</v>
      </c>
      <c r="R4989">
        <v>0.99227596287881303</v>
      </c>
      <c r="S4989" t="s">
        <v>11274</v>
      </c>
      <c r="T4989" t="s">
        <v>12568</v>
      </c>
      <c r="U4989" t="s">
        <v>12568</v>
      </c>
      <c r="V4989" t="s">
        <v>12568</v>
      </c>
      <c r="W4989" t="s">
        <v>17506</v>
      </c>
      <c r="X4989">
        <v>8</v>
      </c>
      <c r="Y4989" t="s">
        <v>23610</v>
      </c>
      <c r="Z4989" t="s">
        <v>29859</v>
      </c>
      <c r="AA4989">
        <v>0.48263357164143089</v>
      </c>
      <c r="AB4989" t="str">
        <f>HYPERLINK("Melting_Curves/meltCurve_Q9BRT9_GINS4.pdf", "Melting_Curves/meltCurve_Q9BRT9_GINS4.pdf")</f>
        <v>Melting_Curves/meltCurve_Q9BRT9_GINS4.pdf</v>
      </c>
    </row>
    <row r="4990" spans="1:28" x14ac:dyDescent="0.25">
      <c r="A4990" t="s">
        <v>4994</v>
      </c>
      <c r="B4990">
        <v>0.99352677808782597</v>
      </c>
      <c r="C4990">
        <v>1.0014191493945199</v>
      </c>
      <c r="D4990">
        <v>0.94181752609570402</v>
      </c>
      <c r="E4990">
        <v>0.81780934433614805</v>
      </c>
      <c r="F4990">
        <v>0.77114722883862796</v>
      </c>
      <c r="G4990">
        <v>0.62701286065880601</v>
      </c>
      <c r="H4990">
        <v>0.55183039609667806</v>
      </c>
      <c r="I4990">
        <v>0.43446331480675798</v>
      </c>
      <c r="J4990">
        <v>0.51417008048088497</v>
      </c>
      <c r="K4990">
        <v>0.40268862144145501</v>
      </c>
      <c r="L4990">
        <v>615.10206655816899</v>
      </c>
      <c r="M4990">
        <v>11.181177869033499</v>
      </c>
      <c r="N4990">
        <v>62.973491839853502</v>
      </c>
      <c r="O4990">
        <v>53.3405973235513</v>
      </c>
      <c r="P4990">
        <v>-3.2587131324238003E-2</v>
      </c>
      <c r="Q4990">
        <v>0.37836010539833898</v>
      </c>
      <c r="R4990">
        <v>0.98021790821688404</v>
      </c>
      <c r="S4990" t="s">
        <v>11275</v>
      </c>
      <c r="T4990" t="s">
        <v>12568</v>
      </c>
      <c r="U4990" t="s">
        <v>12568</v>
      </c>
      <c r="V4990" t="s">
        <v>12568</v>
      </c>
      <c r="W4990" t="s">
        <v>17507</v>
      </c>
      <c r="X4990">
        <v>2</v>
      </c>
      <c r="Y4990" t="s">
        <v>23611</v>
      </c>
      <c r="Z4990" t="s">
        <v>29860</v>
      </c>
      <c r="AA4990">
        <v>0.70465093912557752</v>
      </c>
      <c r="AB4990" t="str">
        <f>HYPERLINK("Melting_Curves/meltCurve_Q9BRV8_SIKE1.pdf", "Melting_Curves/meltCurve_Q9BRV8_SIKE1.pdf")</f>
        <v>Melting_Curves/meltCurve_Q9BRV8_SIKE1.pdf</v>
      </c>
    </row>
    <row r="4991" spans="1:28" x14ac:dyDescent="0.25">
      <c r="A4991" t="s">
        <v>4995</v>
      </c>
      <c r="B4991">
        <v>0.99352677808782597</v>
      </c>
      <c r="C4991">
        <v>0.85231029743262199</v>
      </c>
      <c r="D4991">
        <v>0.57754372972576695</v>
      </c>
      <c r="E4991">
        <v>0.23553850118201899</v>
      </c>
      <c r="F4991">
        <v>0.181538355379118</v>
      </c>
      <c r="G4991">
        <v>0.115910451939822</v>
      </c>
      <c r="H4991">
        <v>0.100897039250383</v>
      </c>
      <c r="I4991">
        <v>0.10820654706095</v>
      </c>
      <c r="J4991">
        <v>8.8752076274842898E-2</v>
      </c>
      <c r="K4991">
        <v>7.1071591038472604E-2</v>
      </c>
      <c r="L4991">
        <v>980.87287287619904</v>
      </c>
      <c r="M4991">
        <v>21.190677687840299</v>
      </c>
      <c r="N4991">
        <v>46.7511194198824</v>
      </c>
      <c r="O4991">
        <v>45.881635574248797</v>
      </c>
      <c r="P4991">
        <v>-0.10453410464806701</v>
      </c>
      <c r="Q4991">
        <v>9.4682710499296593E-2</v>
      </c>
      <c r="R4991">
        <v>0.99770468825242298</v>
      </c>
      <c r="S4991" t="s">
        <v>11276</v>
      </c>
      <c r="T4991" t="s">
        <v>12568</v>
      </c>
      <c r="U4991" t="s">
        <v>12568</v>
      </c>
      <c r="V4991" t="s">
        <v>12568</v>
      </c>
      <c r="W4991" t="s">
        <v>17508</v>
      </c>
      <c r="X4991">
        <v>9</v>
      </c>
      <c r="Y4991" t="s">
        <v>23612</v>
      </c>
      <c r="Z4991" t="s">
        <v>29861</v>
      </c>
      <c r="AA4991">
        <v>0.29647504011084641</v>
      </c>
      <c r="AB4991" t="str">
        <f>HYPERLINK("Melting_Curves/meltCurve_Q9BRX2_PELO.pdf", "Melting_Curves/meltCurve_Q9BRX2_PELO.pdf")</f>
        <v>Melting_Curves/meltCurve_Q9BRX2_PELO.pdf</v>
      </c>
    </row>
    <row r="4992" spans="1:28" x14ac:dyDescent="0.25">
      <c r="A4992" t="s">
        <v>4996</v>
      </c>
      <c r="B4992">
        <v>0.99352677808782597</v>
      </c>
      <c r="C4992">
        <v>0.98147210010610397</v>
      </c>
      <c r="D4992">
        <v>0.96148568301481596</v>
      </c>
      <c r="E4992">
        <v>0.308935183493597</v>
      </c>
      <c r="F4992">
        <v>0.23152257131776599</v>
      </c>
      <c r="G4992">
        <v>0.13367633986779301</v>
      </c>
      <c r="H4992">
        <v>8.4272906873565104E-2</v>
      </c>
      <c r="I4992">
        <v>7.6670282628681793E-2</v>
      </c>
      <c r="J4992">
        <v>7.4109030325178904E-2</v>
      </c>
      <c r="K4992">
        <v>7.5019246817917107E-2</v>
      </c>
      <c r="L4992">
        <v>2009.16711418666</v>
      </c>
      <c r="M4992">
        <v>41.218969990297602</v>
      </c>
      <c r="N4992">
        <v>49.0183580883171</v>
      </c>
      <c r="O4992">
        <v>48.629440245786498</v>
      </c>
      <c r="P4992">
        <v>-0.19005664958226101</v>
      </c>
      <c r="Q4992">
        <v>0.10309925973197</v>
      </c>
      <c r="R4992">
        <v>0.99016861192238204</v>
      </c>
      <c r="S4992" t="s">
        <v>11277</v>
      </c>
      <c r="T4992" t="s">
        <v>12568</v>
      </c>
      <c r="U4992" t="s">
        <v>12568</v>
      </c>
      <c r="V4992" t="s">
        <v>12568</v>
      </c>
      <c r="W4992" t="s">
        <v>17509</v>
      </c>
      <c r="X4992">
        <v>12</v>
      </c>
      <c r="Y4992" t="s">
        <v>23613</v>
      </c>
      <c r="Z4992" t="s">
        <v>29862</v>
      </c>
      <c r="AA4992">
        <v>0.36735611154386072</v>
      </c>
      <c r="AB4992" t="str">
        <f>HYPERLINK("Melting_Curves/meltCurve_Q9BRX5_GINS3.pdf", "Melting_Curves/meltCurve_Q9BRX5_GINS3.pdf")</f>
        <v>Melting_Curves/meltCurve_Q9BRX5_GINS3.pdf</v>
      </c>
    </row>
    <row r="4993" spans="1:28" x14ac:dyDescent="0.25">
      <c r="A4993" t="s">
        <v>4997</v>
      </c>
      <c r="B4993">
        <v>0.99352677808782597</v>
      </c>
      <c r="C4993">
        <v>1.02986146354983</v>
      </c>
      <c r="D4993">
        <v>1.06423888064279</v>
      </c>
      <c r="E4993">
        <v>0.89286982390136405</v>
      </c>
      <c r="F4993">
        <v>0.73540885263146505</v>
      </c>
      <c r="G4993">
        <v>0.59596906009565298</v>
      </c>
      <c r="H4993">
        <v>0.34102253850764402</v>
      </c>
      <c r="I4993">
        <v>0.15834691342117299</v>
      </c>
      <c r="J4993">
        <v>0.122967583396454</v>
      </c>
      <c r="K4993">
        <v>0.136761614066091</v>
      </c>
      <c r="L4993">
        <v>872.03401210472896</v>
      </c>
      <c r="M4993">
        <v>15.1805928914054</v>
      </c>
      <c r="N4993">
        <v>57.777599673734301</v>
      </c>
      <c r="O4993">
        <v>56.474844565236403</v>
      </c>
      <c r="P4993">
        <v>-6.438719936897E-2</v>
      </c>
      <c r="Q4993">
        <v>4.1959268959234998E-2</v>
      </c>
      <c r="R4993">
        <v>0.98633486624933597</v>
      </c>
      <c r="S4993" t="s">
        <v>11278</v>
      </c>
      <c r="T4993" t="s">
        <v>12568</v>
      </c>
      <c r="U4993" t="s">
        <v>12568</v>
      </c>
      <c r="V4993" t="s">
        <v>12568</v>
      </c>
      <c r="W4993" t="s">
        <v>17510</v>
      </c>
      <c r="X4993">
        <v>2</v>
      </c>
      <c r="Y4993" t="s">
        <v>23614</v>
      </c>
      <c r="Z4993" t="s">
        <v>29863</v>
      </c>
      <c r="AA4993">
        <v>0.61315530185131306</v>
      </c>
      <c r="AB4993" t="str">
        <f>HYPERLINK("Melting_Curves/meltCurve_Q9BRX9_WDR83.pdf", "Melting_Curves/meltCurve_Q9BRX9_WDR83.pdf")</f>
        <v>Melting_Curves/meltCurve_Q9BRX9_WDR83.pdf</v>
      </c>
    </row>
    <row r="4994" spans="1:28" x14ac:dyDescent="0.25">
      <c r="A4994" t="s">
        <v>4998</v>
      </c>
      <c r="B4994">
        <v>0.99352677808782597</v>
      </c>
      <c r="C4994">
        <v>0.99026075195774699</v>
      </c>
      <c r="D4994">
        <v>0.97965777112955599</v>
      </c>
      <c r="E4994">
        <v>0.78282138511604304</v>
      </c>
      <c r="F4994">
        <v>0.73053607770596796</v>
      </c>
      <c r="G4994">
        <v>0.32641725999315002</v>
      </c>
      <c r="H4994">
        <v>0.24130489857028201</v>
      </c>
      <c r="I4994">
        <v>0.17523773684277699</v>
      </c>
      <c r="J4994">
        <v>0.105267176729703</v>
      </c>
      <c r="K4994">
        <v>7.2414361392730595E-2</v>
      </c>
      <c r="L4994">
        <v>889.66130017285798</v>
      </c>
      <c r="M4994">
        <v>16.2314769293464</v>
      </c>
      <c r="N4994">
        <v>55.278516282804297</v>
      </c>
      <c r="O4994">
        <v>53.999147169840803</v>
      </c>
      <c r="P4994">
        <v>-7.0331222904923704E-2</v>
      </c>
      <c r="Q4994">
        <v>6.4152819535535102E-2</v>
      </c>
      <c r="R4994">
        <v>0.98937998390960202</v>
      </c>
      <c r="S4994" t="s">
        <v>11279</v>
      </c>
      <c r="T4994" t="s">
        <v>12568</v>
      </c>
      <c r="U4994" t="s">
        <v>12568</v>
      </c>
      <c r="V4994" t="s">
        <v>12568</v>
      </c>
      <c r="W4994" t="s">
        <v>17511</v>
      </c>
      <c r="X4994">
        <v>17</v>
      </c>
      <c r="Y4994" t="s">
        <v>23615</v>
      </c>
      <c r="Z4994" t="s">
        <v>29864</v>
      </c>
      <c r="AA4994">
        <v>0.5428601082199086</v>
      </c>
      <c r="AB4994" t="str">
        <f>HYPERLINK("Melting_Curves/meltCurve_Q9BS26_ERP44.pdf", "Melting_Curves/meltCurve_Q9BS26_ERP44.pdf")</f>
        <v>Melting_Curves/meltCurve_Q9BS26_ERP44.pdf</v>
      </c>
    </row>
    <row r="4995" spans="1:28" x14ac:dyDescent="0.25">
      <c r="A4995" t="s">
        <v>4999</v>
      </c>
      <c r="B4995">
        <v>0.99352677808782597</v>
      </c>
      <c r="C4995">
        <v>0.96695657639139998</v>
      </c>
      <c r="D4995">
        <v>0.99202869353754197</v>
      </c>
      <c r="E4995">
        <v>0.902497285093809</v>
      </c>
      <c r="F4995">
        <v>0.84806475307564899</v>
      </c>
      <c r="G4995">
        <v>0.59144102193615</v>
      </c>
      <c r="H4995">
        <v>0.187659464165219</v>
      </c>
      <c r="I4995">
        <v>0.12100103780351</v>
      </c>
      <c r="J4995">
        <v>9.2305977205269105E-2</v>
      </c>
      <c r="K4995">
        <v>7.2497912988760599E-2</v>
      </c>
      <c r="L4995">
        <v>1272.7195014854201</v>
      </c>
      <c r="M4995">
        <v>22.231313754216298</v>
      </c>
      <c r="N4995">
        <v>57.479091703869102</v>
      </c>
      <c r="O4995">
        <v>56.791788836315703</v>
      </c>
      <c r="P4995">
        <v>-9.3698047827602701E-2</v>
      </c>
      <c r="Q4995">
        <v>4.2582124699818397E-2</v>
      </c>
      <c r="R4995">
        <v>0.99342248817309997</v>
      </c>
      <c r="S4995" t="s">
        <v>11280</v>
      </c>
      <c r="T4995" t="s">
        <v>12568</v>
      </c>
      <c r="U4995" t="s">
        <v>12568</v>
      </c>
      <c r="V4995" t="s">
        <v>12568</v>
      </c>
      <c r="W4995" t="s">
        <v>17512</v>
      </c>
      <c r="X4995">
        <v>5</v>
      </c>
      <c r="Y4995" t="s">
        <v>23616</v>
      </c>
      <c r="Z4995" t="s">
        <v>29865</v>
      </c>
      <c r="AA4995">
        <v>0.60318436352114868</v>
      </c>
      <c r="AB4995" t="str">
        <f>HYPERLINK("Melting_Curves/meltCurve_Q9BS40_LXN.pdf", "Melting_Curves/meltCurve_Q9BS40_LXN.pdf")</f>
        <v>Melting_Curves/meltCurve_Q9BS40_LXN.pdf</v>
      </c>
    </row>
    <row r="4996" spans="1:28" x14ac:dyDescent="0.25">
      <c r="A4996" t="s">
        <v>5000</v>
      </c>
      <c r="B4996">
        <v>0.99352677808782597</v>
      </c>
      <c r="C4996">
        <v>0.91386659198100595</v>
      </c>
      <c r="D4996">
        <v>0.81019602507971999</v>
      </c>
      <c r="E4996">
        <v>0.61541687842805204</v>
      </c>
      <c r="F4996">
        <v>0.55738130979932299</v>
      </c>
      <c r="G4996">
        <v>0.38964471803513001</v>
      </c>
      <c r="H4996">
        <v>0.35135168627152102</v>
      </c>
      <c r="I4996">
        <v>0.36551572452652797</v>
      </c>
      <c r="J4996">
        <v>0.326292364747232</v>
      </c>
      <c r="K4996">
        <v>0.16853917957197501</v>
      </c>
      <c r="L4996">
        <v>523.10446383207398</v>
      </c>
      <c r="M4996">
        <v>10.233774041170401</v>
      </c>
      <c r="N4996">
        <v>54.080148461778897</v>
      </c>
      <c r="O4996">
        <v>49.2790515171557</v>
      </c>
      <c r="P4996">
        <v>-4.0789707612717302E-2</v>
      </c>
      <c r="Q4996">
        <v>0.21468529752152901</v>
      </c>
      <c r="R4996">
        <v>0.97286878939853305</v>
      </c>
      <c r="S4996" t="s">
        <v>11281</v>
      </c>
      <c r="T4996" t="s">
        <v>12568</v>
      </c>
      <c r="U4996" t="s">
        <v>12568</v>
      </c>
      <c r="V4996" t="s">
        <v>12568</v>
      </c>
      <c r="W4996" t="s">
        <v>17513</v>
      </c>
      <c r="X4996">
        <v>7</v>
      </c>
      <c r="Y4996" t="s">
        <v>23617</v>
      </c>
      <c r="Z4996" t="s">
        <v>29866</v>
      </c>
      <c r="AA4996">
        <v>0.53708593494826551</v>
      </c>
      <c r="AB4996" t="str">
        <f>HYPERLINK("Melting_Curves/meltCurve_Q9BSB4_ATG101.pdf", "Melting_Curves/meltCurve_Q9BSB4_ATG101.pdf")</f>
        <v>Melting_Curves/meltCurve_Q9BSB4_ATG101.pdf</v>
      </c>
    </row>
    <row r="4997" spans="1:28" x14ac:dyDescent="0.25">
      <c r="A4997" t="s">
        <v>5001</v>
      </c>
      <c r="B4997">
        <v>0.99352677808782597</v>
      </c>
      <c r="C4997">
        <v>0.67685140291746704</v>
      </c>
      <c r="D4997">
        <v>0.39923577439088798</v>
      </c>
      <c r="E4997">
        <v>0.17219942554477199</v>
      </c>
      <c r="F4997">
        <v>0.12618966971284301</v>
      </c>
      <c r="G4997">
        <v>7.9879792917245201E-2</v>
      </c>
      <c r="H4997">
        <v>4.8007269376100697E-2</v>
      </c>
      <c r="I4997">
        <v>5.1355352564598701E-2</v>
      </c>
      <c r="J4997">
        <v>3.2693247646452199E-2</v>
      </c>
      <c r="K4997">
        <v>2.49297706650419E-2</v>
      </c>
      <c r="L4997">
        <v>879.18920577490405</v>
      </c>
      <c r="M4997">
        <v>19.638682388626599</v>
      </c>
      <c r="N4997">
        <v>45.009736043482597</v>
      </c>
      <c r="O4997">
        <v>44.311800243859302</v>
      </c>
      <c r="P4997">
        <v>-0.10526152942644</v>
      </c>
      <c r="Q4997">
        <v>5.0004557219262398E-2</v>
      </c>
      <c r="R4997">
        <v>0.98969549234176901</v>
      </c>
      <c r="S4997" t="s">
        <v>11282</v>
      </c>
      <c r="T4997" t="s">
        <v>12568</v>
      </c>
      <c r="U4997" t="s">
        <v>12568</v>
      </c>
      <c r="V4997" t="s">
        <v>12568</v>
      </c>
      <c r="W4997" t="s">
        <v>17514</v>
      </c>
      <c r="X4997">
        <v>7</v>
      </c>
      <c r="Y4997" t="s">
        <v>23618</v>
      </c>
      <c r="Z4997" t="s">
        <v>29867</v>
      </c>
      <c r="AA4997">
        <v>0.218244298739694</v>
      </c>
      <c r="AB4997" t="str">
        <f>HYPERLINK("Melting_Curves/meltCurve_Q9BSD7_NTPCR.pdf", "Melting_Curves/meltCurve_Q9BSD7_NTPCR.pdf")</f>
        <v>Melting_Curves/meltCurve_Q9BSD7_NTPCR.pdf</v>
      </c>
    </row>
    <row r="4998" spans="1:28" x14ac:dyDescent="0.25">
      <c r="A4998" t="s">
        <v>5002</v>
      </c>
      <c r="B4998">
        <v>0.99352677808782597</v>
      </c>
      <c r="C4998">
        <v>0.99838547581970505</v>
      </c>
      <c r="D4998">
        <v>0.92071551606116397</v>
      </c>
      <c r="E4998">
        <v>0.81706776963946204</v>
      </c>
      <c r="F4998">
        <v>0.67168031001335404</v>
      </c>
      <c r="G4998">
        <v>0.55398893270724003</v>
      </c>
      <c r="H4998">
        <v>0.85589244676772402</v>
      </c>
      <c r="I4998">
        <v>0.89626052997499095</v>
      </c>
      <c r="J4998">
        <v>1.1025041676642</v>
      </c>
      <c r="K4998">
        <v>0.74326573155819797</v>
      </c>
      <c r="L4998">
        <v>2835.4380767135099</v>
      </c>
      <c r="M4998">
        <v>61.262774762124799</v>
      </c>
      <c r="O4998">
        <v>46.233974488728798</v>
      </c>
      <c r="P4998">
        <v>-6.4433644082710795E-2</v>
      </c>
      <c r="Q4998">
        <v>0.80549217625791403</v>
      </c>
      <c r="R4998">
        <v>0.24873982651384499</v>
      </c>
      <c r="S4998" t="s">
        <v>11283</v>
      </c>
      <c r="T4998" t="s">
        <v>12568</v>
      </c>
      <c r="U4998" t="s">
        <v>12568</v>
      </c>
      <c r="V4998" t="s">
        <v>12568</v>
      </c>
      <c r="W4998" t="s">
        <v>17515</v>
      </c>
      <c r="X4998">
        <v>8</v>
      </c>
      <c r="Y4998" t="s">
        <v>23619</v>
      </c>
      <c r="Z4998" t="s">
        <v>29868</v>
      </c>
      <c r="AA4998">
        <v>0.84649423538754864</v>
      </c>
      <c r="AB4998" t="str">
        <f>HYPERLINK("Melting_Curves/meltCurve_Q9BSE5_AGMAT.pdf", "Melting_Curves/meltCurve_Q9BSE5_AGMAT.pdf")</f>
        <v>Melting_Curves/meltCurve_Q9BSE5_AGMAT.pdf</v>
      </c>
    </row>
    <row r="4999" spans="1:28" x14ac:dyDescent="0.25">
      <c r="A4999" t="s">
        <v>5003</v>
      </c>
      <c r="B4999">
        <v>0.99352677808782597</v>
      </c>
      <c r="C4999">
        <v>0.89465023225052498</v>
      </c>
      <c r="D4999">
        <v>1.00776185024263</v>
      </c>
      <c r="E4999">
        <v>0.302917084890241</v>
      </c>
      <c r="F4999">
        <v>0.26348326242688702</v>
      </c>
      <c r="G4999">
        <v>0.14053152490109999</v>
      </c>
      <c r="H4999">
        <v>9.4675939777814702E-2</v>
      </c>
      <c r="I4999">
        <v>8.2429948066864295E-2</v>
      </c>
      <c r="J4999">
        <v>7.9752449611205894E-2</v>
      </c>
      <c r="K4999">
        <v>6.2002856636615797E-2</v>
      </c>
      <c r="L4999">
        <v>2469.1833098017901</v>
      </c>
      <c r="M4999">
        <v>50.544466819532801</v>
      </c>
      <c r="N4999">
        <v>49.104549267812601</v>
      </c>
      <c r="O4999">
        <v>48.775415316737799</v>
      </c>
      <c r="P4999">
        <v>-0.22938559140734099</v>
      </c>
      <c r="Q4999">
        <v>0.11457226122603099</v>
      </c>
      <c r="R4999">
        <v>0.97483475793991003</v>
      </c>
      <c r="S4999" t="s">
        <v>11284</v>
      </c>
      <c r="T4999" t="s">
        <v>12568</v>
      </c>
      <c r="U4999" t="s">
        <v>12568</v>
      </c>
      <c r="V4999" t="s">
        <v>12568</v>
      </c>
      <c r="W4999" t="s">
        <v>17516</v>
      </c>
      <c r="X4999">
        <v>10</v>
      </c>
      <c r="Y4999" t="s">
        <v>23620</v>
      </c>
      <c r="Z4999" t="s">
        <v>29869</v>
      </c>
      <c r="AA4999">
        <v>0.37769083855872321</v>
      </c>
      <c r="AB4999" t="str">
        <f>HYPERLINK("Melting_Curves/meltCurve_Q9BSH4_TACO1.pdf", "Melting_Curves/meltCurve_Q9BSH4_TACO1.pdf")</f>
        <v>Melting_Curves/meltCurve_Q9BSH4_TACO1.pdf</v>
      </c>
    </row>
    <row r="5000" spans="1:28" x14ac:dyDescent="0.25">
      <c r="A5000" t="s">
        <v>5004</v>
      </c>
      <c r="B5000">
        <v>0.99352677808782597</v>
      </c>
      <c r="C5000">
        <v>0.93452822952766001</v>
      </c>
      <c r="D5000">
        <v>0.930607128398102</v>
      </c>
      <c r="E5000">
        <v>0.83328200705396405</v>
      </c>
      <c r="F5000">
        <v>0.78638111525802601</v>
      </c>
      <c r="G5000">
        <v>0.68774374986062403</v>
      </c>
      <c r="H5000">
        <v>0.40347314809815099</v>
      </c>
      <c r="I5000">
        <v>0.19114165692535201</v>
      </c>
      <c r="J5000">
        <v>7.79730707541018E-2</v>
      </c>
      <c r="K5000">
        <v>6.36372044963779E-2</v>
      </c>
      <c r="L5000">
        <v>850.38638730708794</v>
      </c>
      <c r="M5000">
        <v>14.4991505210567</v>
      </c>
      <c r="N5000">
        <v>58.650773323705302</v>
      </c>
      <c r="O5000">
        <v>57.568958482654999</v>
      </c>
      <c r="P5000">
        <v>-6.2971539344644903E-2</v>
      </c>
      <c r="Q5000">
        <v>0</v>
      </c>
      <c r="R5000">
        <v>0.97513853082109903</v>
      </c>
      <c r="S5000" t="s">
        <v>11285</v>
      </c>
      <c r="T5000" t="s">
        <v>12568</v>
      </c>
      <c r="U5000" t="s">
        <v>12568</v>
      </c>
      <c r="V5000" t="s">
        <v>12568</v>
      </c>
      <c r="W5000" t="s">
        <v>17517</v>
      </c>
      <c r="X5000">
        <v>9</v>
      </c>
      <c r="Y5000" t="s">
        <v>23621</v>
      </c>
      <c r="Z5000" t="s">
        <v>29870</v>
      </c>
      <c r="AA5000">
        <v>0.63316778603713508</v>
      </c>
      <c r="AB5000" t="str">
        <f>HYPERLINK("Melting_Curves/meltCurve_Q9BSH5_HDHD3.pdf", "Melting_Curves/meltCurve_Q9BSH5_HDHD3.pdf")</f>
        <v>Melting_Curves/meltCurve_Q9BSH5_HDHD3.pdf</v>
      </c>
    </row>
    <row r="5001" spans="1:28" x14ac:dyDescent="0.25">
      <c r="A5001" t="s">
        <v>5005</v>
      </c>
      <c r="B5001">
        <v>0.99352677808782597</v>
      </c>
      <c r="C5001">
        <v>0.84816985302447701</v>
      </c>
      <c r="D5001">
        <v>0.810335579255542</v>
      </c>
      <c r="E5001">
        <v>0.43243996055986</v>
      </c>
      <c r="F5001">
        <v>0.369930220957084</v>
      </c>
      <c r="G5001">
        <v>0.23057492103873301</v>
      </c>
      <c r="H5001">
        <v>0.15893375813423899</v>
      </c>
      <c r="I5001">
        <v>0.14136242639046601</v>
      </c>
      <c r="J5001">
        <v>0.119069944839249</v>
      </c>
      <c r="K5001">
        <v>9.4091564097626604E-2</v>
      </c>
      <c r="L5001">
        <v>683.75680682537904</v>
      </c>
      <c r="M5001">
        <v>13.9086462243875</v>
      </c>
      <c r="N5001">
        <v>49.956845445263703</v>
      </c>
      <c r="O5001">
        <v>48.177754999933903</v>
      </c>
      <c r="P5001">
        <v>-6.5006848996558203E-2</v>
      </c>
      <c r="Q5001">
        <v>9.9420932294803296E-2</v>
      </c>
      <c r="R5001">
        <v>0.98802370872448597</v>
      </c>
      <c r="S5001" t="s">
        <v>11286</v>
      </c>
      <c r="T5001" t="s">
        <v>12568</v>
      </c>
      <c r="U5001" t="s">
        <v>12568</v>
      </c>
      <c r="V5001" t="s">
        <v>12568</v>
      </c>
      <c r="W5001" t="s">
        <v>17518</v>
      </c>
      <c r="X5001">
        <v>7</v>
      </c>
      <c r="Y5001" t="s">
        <v>23622</v>
      </c>
      <c r="Z5001" t="s">
        <v>29871</v>
      </c>
      <c r="AA5001">
        <v>0.39979235259897272</v>
      </c>
      <c r="AB5001" t="str">
        <f>HYPERLINK("Melting_Curves/meltCurve_Q9BSJ2_TUBGCP2.pdf", "Melting_Curves/meltCurve_Q9BSJ2_TUBGCP2.pdf")</f>
        <v>Melting_Curves/meltCurve_Q9BSJ2_TUBGCP2.pdf</v>
      </c>
    </row>
    <row r="5002" spans="1:28" x14ac:dyDescent="0.25">
      <c r="A5002" t="s">
        <v>5006</v>
      </c>
      <c r="B5002">
        <v>0.99352677808782597</v>
      </c>
      <c r="C5002">
        <v>0.84051320144042196</v>
      </c>
      <c r="D5002">
        <v>1.0794320708692</v>
      </c>
      <c r="E5002">
        <v>0.20606407265129201</v>
      </c>
      <c r="F5002">
        <v>0.16208574274395501</v>
      </c>
      <c r="G5002">
        <v>7.8609234094007399E-2</v>
      </c>
      <c r="H5002">
        <v>5.3700666057143201E-2</v>
      </c>
      <c r="I5002">
        <v>4.5758616929093797E-2</v>
      </c>
      <c r="J5002">
        <v>3.6805446029464797E-2</v>
      </c>
      <c r="K5002">
        <v>3.2955929238569701E-2</v>
      </c>
      <c r="L5002">
        <v>6201.3927810203504</v>
      </c>
      <c r="M5002">
        <v>125.777458876053</v>
      </c>
      <c r="N5002">
        <v>49.362096480085697</v>
      </c>
      <c r="O5002">
        <v>49.292020753978498</v>
      </c>
      <c r="P5002">
        <v>-0.59437088807085503</v>
      </c>
      <c r="Q5002">
        <v>6.8267291094308999E-2</v>
      </c>
      <c r="R5002">
        <v>0.97425776582595802</v>
      </c>
      <c r="S5002" t="s">
        <v>11287</v>
      </c>
      <c r="T5002" t="s">
        <v>12568</v>
      </c>
      <c r="U5002" t="s">
        <v>12568</v>
      </c>
      <c r="V5002" t="s">
        <v>12568</v>
      </c>
      <c r="W5002" t="s">
        <v>17519</v>
      </c>
      <c r="X5002">
        <v>2</v>
      </c>
      <c r="Y5002" t="s">
        <v>23623</v>
      </c>
      <c r="Z5002" t="s">
        <v>29872</v>
      </c>
      <c r="AA5002">
        <v>0.35756243166002383</v>
      </c>
      <c r="AB5002" t="str">
        <f>HYPERLINK("Melting_Curves/meltCurve_Q9BSJ5_3_C17orf80.pdf", "Melting_Curves/meltCurve_Q9BSJ5_3_C17orf80.pdf")</f>
        <v>Melting_Curves/meltCurve_Q9BSJ5_3_C17orf80.pdf</v>
      </c>
    </row>
    <row r="5003" spans="1:28" x14ac:dyDescent="0.25">
      <c r="A5003" t="s">
        <v>5007</v>
      </c>
      <c r="B5003">
        <v>0.99352677808782597</v>
      </c>
      <c r="C5003">
        <v>1.0180624053420799</v>
      </c>
      <c r="D5003">
        <v>0.99045027295636801</v>
      </c>
      <c r="E5003">
        <v>0.724462952139038</v>
      </c>
      <c r="F5003">
        <v>0.64044361207381295</v>
      </c>
      <c r="G5003">
        <v>0.33244298077178602</v>
      </c>
      <c r="H5003">
        <v>0.15720829349040699</v>
      </c>
      <c r="I5003">
        <v>0.136413384376562</v>
      </c>
      <c r="J5003">
        <v>8.6436314558000799E-2</v>
      </c>
      <c r="K5003">
        <v>6.3285884590705693E-2</v>
      </c>
      <c r="L5003">
        <v>855.01870479684101</v>
      </c>
      <c r="M5003">
        <v>15.8129616490695</v>
      </c>
      <c r="N5003">
        <v>54.372500171875899</v>
      </c>
      <c r="O5003">
        <v>53.228165724970196</v>
      </c>
      <c r="P5003">
        <v>-7.1155653385715306E-2</v>
      </c>
      <c r="Q5003">
        <v>4.2007706733251597E-2</v>
      </c>
      <c r="R5003">
        <v>0.99267257902166395</v>
      </c>
      <c r="S5003" t="s">
        <v>11288</v>
      </c>
      <c r="T5003" t="s">
        <v>12568</v>
      </c>
      <c r="U5003" t="s">
        <v>12568</v>
      </c>
      <c r="V5003" t="s">
        <v>12568</v>
      </c>
      <c r="W5003" t="s">
        <v>17520</v>
      </c>
      <c r="X5003">
        <v>6</v>
      </c>
      <c r="Y5003" t="s">
        <v>23624</v>
      </c>
      <c r="Z5003" t="s">
        <v>29873</v>
      </c>
      <c r="AA5003">
        <v>0.5096453747812526</v>
      </c>
      <c r="AB5003" t="str">
        <f>HYPERLINK("Melting_Curves/meltCurve_Q9BSJ8_ESYT1.pdf", "Melting_Curves/meltCurve_Q9BSJ8_ESYT1.pdf")</f>
        <v>Melting_Curves/meltCurve_Q9BSJ8_ESYT1.pdf</v>
      </c>
    </row>
    <row r="5004" spans="1:28" x14ac:dyDescent="0.25">
      <c r="A5004" t="s">
        <v>5008</v>
      </c>
      <c r="B5004">
        <v>0.99352677808782597</v>
      </c>
      <c r="C5004">
        <v>0.98802139087915497</v>
      </c>
      <c r="D5004">
        <v>0.951309234248916</v>
      </c>
      <c r="E5004">
        <v>0.88318599003704601</v>
      </c>
      <c r="F5004">
        <v>0.81179572172446801</v>
      </c>
      <c r="G5004">
        <v>0.68778870694860295</v>
      </c>
      <c r="H5004">
        <v>0.43604486534876702</v>
      </c>
      <c r="I5004">
        <v>0.33762001068154301</v>
      </c>
      <c r="J5004">
        <v>0.26416046818115502</v>
      </c>
      <c r="K5004">
        <v>0.18323588472139801</v>
      </c>
      <c r="L5004">
        <v>647.97335964999195</v>
      </c>
      <c r="M5004">
        <v>10.758892795599399</v>
      </c>
      <c r="N5004">
        <v>60.226769808744201</v>
      </c>
      <c r="O5004">
        <v>58.257978855883302</v>
      </c>
      <c r="P5004">
        <v>-4.6186125602124602E-2</v>
      </c>
      <c r="Q5004">
        <v>0</v>
      </c>
      <c r="R5004">
        <v>0.99647737141066595</v>
      </c>
      <c r="S5004" t="s">
        <v>11289</v>
      </c>
      <c r="T5004" t="s">
        <v>12568</v>
      </c>
      <c r="U5004" t="s">
        <v>12568</v>
      </c>
      <c r="V5004" t="s">
        <v>12568</v>
      </c>
      <c r="W5004" t="s">
        <v>17521</v>
      </c>
      <c r="X5004">
        <v>7</v>
      </c>
      <c r="Y5004" t="s">
        <v>23625</v>
      </c>
      <c r="Z5004" t="s">
        <v>29874</v>
      </c>
      <c r="AA5004">
        <v>0.67147815047705273</v>
      </c>
      <c r="AB5004" t="str">
        <f>HYPERLINK("Melting_Curves/meltCurve_Q9BSL1_UBAC1.pdf", "Melting_Curves/meltCurve_Q9BSL1_UBAC1.pdf")</f>
        <v>Melting_Curves/meltCurve_Q9BSL1_UBAC1.pdf</v>
      </c>
    </row>
    <row r="5005" spans="1:28" x14ac:dyDescent="0.25">
      <c r="A5005" t="s">
        <v>5009</v>
      </c>
      <c r="B5005">
        <v>0.99352677808782597</v>
      </c>
      <c r="C5005">
        <v>0.99108364918821701</v>
      </c>
      <c r="D5005">
        <v>0.90212683610785505</v>
      </c>
      <c r="E5005">
        <v>0.81459613308504197</v>
      </c>
      <c r="F5005">
        <v>0.69261581655284898</v>
      </c>
      <c r="G5005">
        <v>0.58849130145323203</v>
      </c>
      <c r="H5005">
        <v>0.360309838804796</v>
      </c>
      <c r="I5005">
        <v>0.313506973585016</v>
      </c>
      <c r="J5005">
        <v>0.27008087026794603</v>
      </c>
      <c r="K5005">
        <v>0.23292845775981999</v>
      </c>
      <c r="L5005">
        <v>584.78923464321099</v>
      </c>
      <c r="M5005">
        <v>10.3483451670226</v>
      </c>
      <c r="N5005">
        <v>58.029290754583798</v>
      </c>
      <c r="O5005">
        <v>54.522267057912799</v>
      </c>
      <c r="P5005">
        <v>-4.1838504531187398E-2</v>
      </c>
      <c r="Q5005">
        <v>0.118638906071048</v>
      </c>
      <c r="R5005">
        <v>0.99369773830941099</v>
      </c>
      <c r="S5005" t="s">
        <v>11290</v>
      </c>
      <c r="T5005" t="s">
        <v>12568</v>
      </c>
      <c r="U5005" t="s">
        <v>12568</v>
      </c>
      <c r="V5005" t="s">
        <v>12568</v>
      </c>
      <c r="W5005" t="s">
        <v>17522</v>
      </c>
      <c r="X5005">
        <v>5</v>
      </c>
      <c r="Y5005" t="s">
        <v>23626</v>
      </c>
      <c r="Z5005" t="s">
        <v>29875</v>
      </c>
      <c r="AA5005">
        <v>0.62011363348773552</v>
      </c>
      <c r="AB5005" t="str">
        <f>HYPERLINK("Melting_Curves/meltCurve_Q9BSQ5_CCM2.pdf", "Melting_Curves/meltCurve_Q9BSQ5_CCM2.pdf")</f>
        <v>Melting_Curves/meltCurve_Q9BSQ5_CCM2.pdf</v>
      </c>
    </row>
    <row r="5006" spans="1:28" x14ac:dyDescent="0.25">
      <c r="A5006" t="s">
        <v>5010</v>
      </c>
      <c r="B5006">
        <v>0.99352677808782597</v>
      </c>
      <c r="C5006">
        <v>0.96478505383914104</v>
      </c>
      <c r="D5006">
        <v>0.88095276870877903</v>
      </c>
      <c r="E5006">
        <v>0.64736959307804898</v>
      </c>
      <c r="F5006">
        <v>0.63683423435735498</v>
      </c>
      <c r="G5006">
        <v>0.45671674381490701</v>
      </c>
      <c r="H5006">
        <v>0.40426179331496498</v>
      </c>
      <c r="I5006">
        <v>0.40632150490400298</v>
      </c>
      <c r="J5006">
        <v>0.192265257720624</v>
      </c>
      <c r="K5006">
        <v>0.13080981666133101</v>
      </c>
      <c r="L5006">
        <v>431.38616286867102</v>
      </c>
      <c r="M5006">
        <v>7.6141395608437596</v>
      </c>
      <c r="N5006">
        <v>56.655930642785599</v>
      </c>
      <c r="O5006">
        <v>53.144265977057401</v>
      </c>
      <c r="P5006">
        <v>-3.5866956084070797E-2</v>
      </c>
      <c r="Q5006">
        <v>0</v>
      </c>
      <c r="R5006">
        <v>0.96253065120634196</v>
      </c>
      <c r="S5006" t="s">
        <v>11291</v>
      </c>
      <c r="T5006" t="s">
        <v>12568</v>
      </c>
      <c r="U5006" t="s">
        <v>12568</v>
      </c>
      <c r="V5006" t="s">
        <v>12568</v>
      </c>
      <c r="W5006" t="s">
        <v>17523</v>
      </c>
      <c r="X5006">
        <v>4</v>
      </c>
      <c r="Y5006" t="s">
        <v>23627</v>
      </c>
      <c r="Z5006" t="s">
        <v>29876</v>
      </c>
      <c r="AA5006">
        <v>0.5689283805945845</v>
      </c>
      <c r="AB5006" t="str">
        <f>HYPERLINK("Melting_Curves/meltCurve_Q9BST9_2_RTKN.pdf", "Melting_Curves/meltCurve_Q9BST9_2_RTKN.pdf")</f>
        <v>Melting_Curves/meltCurve_Q9BST9_2_RTKN.pdf</v>
      </c>
    </row>
    <row r="5007" spans="1:28" x14ac:dyDescent="0.25">
      <c r="A5007" t="s">
        <v>5011</v>
      </c>
      <c r="B5007">
        <v>0.99352677808782597</v>
      </c>
      <c r="C5007">
        <v>1.0252105933353</v>
      </c>
      <c r="D5007">
        <v>0.95731128469453997</v>
      </c>
      <c r="E5007">
        <v>0.81261156328194595</v>
      </c>
      <c r="F5007">
        <v>0.65756933608541501</v>
      </c>
      <c r="G5007">
        <v>0.43036424060893802</v>
      </c>
      <c r="H5007">
        <v>0.16303703159253999</v>
      </c>
      <c r="I5007">
        <v>0.17417390295614199</v>
      </c>
      <c r="J5007">
        <v>0.157960777175608</v>
      </c>
      <c r="K5007">
        <v>0.12980753093278599</v>
      </c>
      <c r="L5007">
        <v>916.83009487802894</v>
      </c>
      <c r="M5007">
        <v>16.8353038773291</v>
      </c>
      <c r="N5007">
        <v>55.202680131978497</v>
      </c>
      <c r="O5007">
        <v>53.707806389255097</v>
      </c>
      <c r="P5007">
        <v>-7.0416468253966399E-2</v>
      </c>
      <c r="Q5007">
        <v>0.10149023610986101</v>
      </c>
      <c r="R5007">
        <v>0.99370451095111301</v>
      </c>
      <c r="S5007" t="s">
        <v>11292</v>
      </c>
      <c r="T5007" t="s">
        <v>12568</v>
      </c>
      <c r="U5007" t="s">
        <v>12568</v>
      </c>
      <c r="V5007" t="s">
        <v>12568</v>
      </c>
      <c r="W5007" t="s">
        <v>17524</v>
      </c>
      <c r="X5007">
        <v>5</v>
      </c>
      <c r="Y5007" t="s">
        <v>23628</v>
      </c>
      <c r="Z5007" t="s">
        <v>29877</v>
      </c>
      <c r="AA5007">
        <v>0.55008291924253383</v>
      </c>
      <c r="AB5007" t="str">
        <f>HYPERLINK("Melting_Curves/meltCurve_Q9BSU1_C16orf70.pdf", "Melting_Curves/meltCurve_Q9BSU1_C16orf70.pdf")</f>
        <v>Melting_Curves/meltCurve_Q9BSU1_C16orf70.pdf</v>
      </c>
    </row>
    <row r="5008" spans="1:28" x14ac:dyDescent="0.25">
      <c r="A5008" t="s">
        <v>5012</v>
      </c>
      <c r="B5008">
        <v>0.99352677808782597</v>
      </c>
      <c r="C5008">
        <v>0.93185373971610497</v>
      </c>
      <c r="D5008">
        <v>0.81979180627286197</v>
      </c>
      <c r="E5008">
        <v>0.26970591621908602</v>
      </c>
      <c r="F5008">
        <v>0.20182005168127701</v>
      </c>
      <c r="G5008">
        <v>0.136762572126395</v>
      </c>
      <c r="H5008">
        <v>9.5637881781809098E-2</v>
      </c>
      <c r="I5008">
        <v>9.1441551157445997E-2</v>
      </c>
      <c r="J5008">
        <v>8.6984695649681004E-2</v>
      </c>
      <c r="K5008">
        <v>7.2978916006668101E-2</v>
      </c>
      <c r="L5008">
        <v>1401.62487929907</v>
      </c>
      <c r="M5008">
        <v>29.2516017475232</v>
      </c>
      <c r="N5008">
        <v>48.282729124938101</v>
      </c>
      <c r="O5008">
        <v>47.693895608669202</v>
      </c>
      <c r="P5008">
        <v>-0.138063574920192</v>
      </c>
      <c r="Q5008">
        <v>9.9571499674189698E-2</v>
      </c>
      <c r="R5008">
        <v>0.99404218954256396</v>
      </c>
      <c r="S5008" t="s">
        <v>11293</v>
      </c>
      <c r="T5008" t="s">
        <v>12568</v>
      </c>
      <c r="U5008" t="s">
        <v>12568</v>
      </c>
      <c r="V5008" t="s">
        <v>12568</v>
      </c>
      <c r="W5008" t="s">
        <v>17525</v>
      </c>
      <c r="X5008">
        <v>5</v>
      </c>
      <c r="Y5008" t="s">
        <v>23629</v>
      </c>
      <c r="Z5008" t="s">
        <v>29878</v>
      </c>
      <c r="AA5008">
        <v>0.34287983331670252</v>
      </c>
      <c r="AB5008" t="str">
        <f>HYPERLINK("Melting_Curves/meltCurve_Q9BSV6_TSEN34.pdf", "Melting_Curves/meltCurve_Q9BSV6_TSEN34.pdf")</f>
        <v>Melting_Curves/meltCurve_Q9BSV6_TSEN34.pdf</v>
      </c>
    </row>
    <row r="5009" spans="1:28" x14ac:dyDescent="0.25">
      <c r="A5009" t="s">
        <v>5013</v>
      </c>
      <c r="B5009">
        <v>0.99352677808782597</v>
      </c>
      <c r="C5009">
        <v>0.99140225499327395</v>
      </c>
      <c r="D5009">
        <v>1.0371179310449601</v>
      </c>
      <c r="E5009">
        <v>0.96118284464986004</v>
      </c>
      <c r="F5009">
        <v>0.87022546194989003</v>
      </c>
      <c r="G5009">
        <v>0.75632413749573402</v>
      </c>
      <c r="H5009">
        <v>0.64184187909666901</v>
      </c>
      <c r="I5009">
        <v>0.67183136168283497</v>
      </c>
      <c r="J5009">
        <v>0.71132446094783497</v>
      </c>
      <c r="K5009">
        <v>0.58608026323659601</v>
      </c>
      <c r="L5009">
        <v>1242.2339585945101</v>
      </c>
      <c r="M5009">
        <v>22.752158862349301</v>
      </c>
      <c r="O5009">
        <v>54.181952249989102</v>
      </c>
      <c r="P5009">
        <v>-3.7517607894848599E-2</v>
      </c>
      <c r="Q5009">
        <v>0.64262935142917899</v>
      </c>
      <c r="R5009">
        <v>0.95682822506382903</v>
      </c>
      <c r="S5009" t="s">
        <v>11294</v>
      </c>
      <c r="T5009" t="s">
        <v>12568</v>
      </c>
      <c r="U5009" t="s">
        <v>12568</v>
      </c>
      <c r="V5009" t="s">
        <v>12568</v>
      </c>
      <c r="W5009" t="s">
        <v>17526</v>
      </c>
      <c r="X5009">
        <v>6</v>
      </c>
      <c r="Y5009" t="s">
        <v>23630</v>
      </c>
      <c r="Z5009" t="s">
        <v>29879</v>
      </c>
      <c r="AA5009">
        <v>0.82042984443018985</v>
      </c>
      <c r="AB5009" t="str">
        <f>HYPERLINK("Melting_Curves/meltCurve_Q9BSY4_CHCHD5.pdf", "Melting_Curves/meltCurve_Q9BSY4_CHCHD5.pdf")</f>
        <v>Melting_Curves/meltCurve_Q9BSY4_CHCHD5.pdf</v>
      </c>
    </row>
    <row r="5010" spans="1:28" x14ac:dyDescent="0.25">
      <c r="A5010" t="s">
        <v>5014</v>
      </c>
      <c r="B5010">
        <v>0.99352677808782597</v>
      </c>
      <c r="C5010">
        <v>0.98286249292974004</v>
      </c>
      <c r="D5010">
        <v>0.98614669791602205</v>
      </c>
      <c r="E5010">
        <v>0.86937750016290605</v>
      </c>
      <c r="F5010">
        <v>0.75275276323141005</v>
      </c>
      <c r="G5010">
        <v>0.63675673420131995</v>
      </c>
      <c r="H5010">
        <v>0.52554495628608999</v>
      </c>
      <c r="I5010">
        <v>0.58366092933026903</v>
      </c>
      <c r="J5010">
        <v>0.66826786244390801</v>
      </c>
      <c r="K5010">
        <v>0.51757453702840295</v>
      </c>
      <c r="L5010">
        <v>1160.9592113245801</v>
      </c>
      <c r="M5010">
        <v>22.288302942235401</v>
      </c>
      <c r="O5010">
        <v>51.674399270708498</v>
      </c>
      <c r="P5010">
        <v>-4.6311391601772098E-2</v>
      </c>
      <c r="Q5010">
        <v>0.57052583013808</v>
      </c>
      <c r="R5010">
        <v>0.95152888282333004</v>
      </c>
      <c r="S5010" t="s">
        <v>11295</v>
      </c>
      <c r="T5010" t="s">
        <v>12568</v>
      </c>
      <c r="U5010" t="s">
        <v>12568</v>
      </c>
      <c r="V5010" t="s">
        <v>12568</v>
      </c>
      <c r="W5010" t="s">
        <v>17527</v>
      </c>
      <c r="X5010">
        <v>9</v>
      </c>
      <c r="Y5010" t="s">
        <v>23631</v>
      </c>
      <c r="Z5010" t="s">
        <v>29880</v>
      </c>
      <c r="AA5010">
        <v>0.74845524439079603</v>
      </c>
      <c r="AB5010" t="str">
        <f>HYPERLINK("Melting_Curves/meltCurve_Q9BT09_CNPY3.pdf", "Melting_Curves/meltCurve_Q9BT09_CNPY3.pdf")</f>
        <v>Melting_Curves/meltCurve_Q9BT09_CNPY3.pdf</v>
      </c>
    </row>
    <row r="5011" spans="1:28" x14ac:dyDescent="0.25">
      <c r="A5011" t="s">
        <v>5015</v>
      </c>
      <c r="B5011">
        <v>0.99352677808782597</v>
      </c>
      <c r="C5011">
        <v>0.974847972430813</v>
      </c>
      <c r="D5011">
        <v>0.85875153778803004</v>
      </c>
      <c r="E5011">
        <v>0.27547071294874698</v>
      </c>
      <c r="F5011">
        <v>0.19186316838345599</v>
      </c>
      <c r="G5011">
        <v>0.109514429035554</v>
      </c>
      <c r="H5011">
        <v>7.4373109434543103E-2</v>
      </c>
      <c r="I5011">
        <v>4.6441710747142602E-2</v>
      </c>
      <c r="J5011">
        <v>3.8312720800522698E-2</v>
      </c>
      <c r="K5011">
        <v>3.7256203785216997E-2</v>
      </c>
      <c r="L5011">
        <v>1479.2955714227701</v>
      </c>
      <c r="M5011">
        <v>30.609881923052502</v>
      </c>
      <c r="N5011">
        <v>48.553919464089702</v>
      </c>
      <c r="O5011">
        <v>48.122531251560702</v>
      </c>
      <c r="P5011">
        <v>-0.148439845770868</v>
      </c>
      <c r="Q5011">
        <v>6.6542291894693906E-2</v>
      </c>
      <c r="R5011">
        <v>0.99358888345332996</v>
      </c>
      <c r="S5011" t="s">
        <v>11296</v>
      </c>
      <c r="T5011" t="s">
        <v>12568</v>
      </c>
      <c r="U5011" t="s">
        <v>12568</v>
      </c>
      <c r="V5011" t="s">
        <v>12568</v>
      </c>
      <c r="W5011" t="s">
        <v>17528</v>
      </c>
      <c r="X5011">
        <v>3</v>
      </c>
      <c r="Y5011" t="s">
        <v>23632</v>
      </c>
      <c r="Z5011" t="s">
        <v>29881</v>
      </c>
      <c r="AA5011">
        <v>0.33105729947485768</v>
      </c>
      <c r="AB5011" t="str">
        <f>HYPERLINK("Melting_Curves/meltCurve_Q9BT17_MTG1.pdf", "Melting_Curves/meltCurve_Q9BT17_MTG1.pdf")</f>
        <v>Melting_Curves/meltCurve_Q9BT17_MTG1.pdf</v>
      </c>
    </row>
    <row r="5012" spans="1:28" x14ac:dyDescent="0.25">
      <c r="A5012" t="s">
        <v>5016</v>
      </c>
      <c r="B5012">
        <v>0.99352677808782597</v>
      </c>
      <c r="C5012">
        <v>0.93089880830572702</v>
      </c>
      <c r="D5012">
        <v>0.69675565708724696</v>
      </c>
      <c r="E5012">
        <v>0.37498686405953602</v>
      </c>
      <c r="F5012">
        <v>0.31135980484866499</v>
      </c>
      <c r="G5012">
        <v>0.26744708681394902</v>
      </c>
      <c r="H5012">
        <v>0.188838751945066</v>
      </c>
      <c r="I5012">
        <v>0.21581407658190399</v>
      </c>
      <c r="J5012">
        <v>0.22247872431552401</v>
      </c>
      <c r="K5012">
        <v>0.18412064867630801</v>
      </c>
      <c r="L5012">
        <v>992.46018223063697</v>
      </c>
      <c r="M5012">
        <v>21.059238041992899</v>
      </c>
      <c r="N5012">
        <v>48.392850483513797</v>
      </c>
      <c r="O5012">
        <v>46.708295700783601</v>
      </c>
      <c r="P5012">
        <v>-8.8849311846728604E-2</v>
      </c>
      <c r="Q5012">
        <v>0.211768292035659</v>
      </c>
      <c r="R5012">
        <v>0.994595192909697</v>
      </c>
      <c r="S5012" t="s">
        <v>11297</v>
      </c>
      <c r="T5012" t="s">
        <v>12568</v>
      </c>
      <c r="U5012" t="s">
        <v>12568</v>
      </c>
      <c r="V5012" t="s">
        <v>12568</v>
      </c>
      <c r="W5012" t="s">
        <v>17529</v>
      </c>
      <c r="X5012">
        <v>4</v>
      </c>
      <c r="Y5012" t="s">
        <v>23633</v>
      </c>
      <c r="Z5012" t="s">
        <v>29882</v>
      </c>
      <c r="AA5012">
        <v>0.40927611172165651</v>
      </c>
      <c r="AB5012" t="str">
        <f>HYPERLINK("Melting_Curves/meltCurve_Q9BT25_3_HAUS8.pdf", "Melting_Curves/meltCurve_Q9BT25_3_HAUS8.pdf")</f>
        <v>Melting_Curves/meltCurve_Q9BT25_3_HAUS8.pdf</v>
      </c>
    </row>
    <row r="5013" spans="1:28" x14ac:dyDescent="0.25">
      <c r="A5013" t="s">
        <v>5017</v>
      </c>
      <c r="B5013">
        <v>0.99352677808782597</v>
      </c>
      <c r="C5013">
        <v>0.89004665965490903</v>
      </c>
      <c r="D5013">
        <v>0.74451640937928398</v>
      </c>
      <c r="E5013">
        <v>0.34407253645407498</v>
      </c>
      <c r="F5013">
        <v>0.32774532035228898</v>
      </c>
      <c r="G5013">
        <v>0.18836596541265599</v>
      </c>
      <c r="H5013">
        <v>0.164161756341454</v>
      </c>
      <c r="I5013">
        <v>0.178951820301396</v>
      </c>
      <c r="J5013">
        <v>0.138900094480949</v>
      </c>
      <c r="K5013">
        <v>8.5496766715602607E-2</v>
      </c>
      <c r="L5013">
        <v>852.87857116358305</v>
      </c>
      <c r="M5013">
        <v>17.833905442018899</v>
      </c>
      <c r="N5013">
        <v>48.705145332807199</v>
      </c>
      <c r="O5013">
        <v>47.234278366887303</v>
      </c>
      <c r="P5013">
        <v>-8.1372873516961999E-2</v>
      </c>
      <c r="Q5013">
        <v>0.137958305031708</v>
      </c>
      <c r="R5013">
        <v>0.98688880547504498</v>
      </c>
      <c r="S5013" t="s">
        <v>11298</v>
      </c>
      <c r="T5013" t="s">
        <v>12568</v>
      </c>
      <c r="U5013" t="s">
        <v>12568</v>
      </c>
      <c r="V5013" t="s">
        <v>12568</v>
      </c>
      <c r="W5013" t="s">
        <v>17530</v>
      </c>
      <c r="X5013">
        <v>4</v>
      </c>
      <c r="Y5013" t="s">
        <v>23634</v>
      </c>
      <c r="Z5013" t="s">
        <v>29883</v>
      </c>
      <c r="AA5013">
        <v>0.37844588100839061</v>
      </c>
      <c r="AB5013" t="str">
        <f>HYPERLINK("Melting_Curves/meltCurve_Q9BT30_ALKBH7.pdf", "Melting_Curves/meltCurve_Q9BT30_ALKBH7.pdf")</f>
        <v>Melting_Curves/meltCurve_Q9BT30_ALKBH7.pdf</v>
      </c>
    </row>
    <row r="5014" spans="1:28" x14ac:dyDescent="0.25">
      <c r="A5014" t="s">
        <v>5018</v>
      </c>
      <c r="B5014">
        <v>0.99352677808782597</v>
      </c>
      <c r="C5014">
        <v>1.0695444468761499</v>
      </c>
      <c r="D5014">
        <v>1.6976708502857401</v>
      </c>
      <c r="E5014">
        <v>0.95439352630047902</v>
      </c>
      <c r="F5014">
        <v>0.94824407261534605</v>
      </c>
      <c r="G5014">
        <v>0.79113307346679096</v>
      </c>
      <c r="H5014">
        <v>0.75383304058455602</v>
      </c>
      <c r="I5014">
        <v>1.0593281534505099</v>
      </c>
      <c r="J5014">
        <v>0.53470709639816705</v>
      </c>
      <c r="K5014">
        <v>0.27314924079552499</v>
      </c>
      <c r="L5014">
        <v>15000</v>
      </c>
      <c r="M5014">
        <v>224.45640659821501</v>
      </c>
      <c r="N5014">
        <v>67.064211660548906</v>
      </c>
      <c r="O5014">
        <v>66.822803693080203</v>
      </c>
      <c r="P5014">
        <v>-0.61039675641054503</v>
      </c>
      <c r="Q5014">
        <v>0.273116221136667</v>
      </c>
      <c r="R5014">
        <v>0.52184919957466702</v>
      </c>
      <c r="S5014" t="s">
        <v>11299</v>
      </c>
      <c r="T5014" t="s">
        <v>12568</v>
      </c>
      <c r="U5014" t="s">
        <v>12568</v>
      </c>
      <c r="V5014" t="s">
        <v>12568</v>
      </c>
      <c r="W5014" t="s">
        <v>17531</v>
      </c>
      <c r="X5014">
        <v>1</v>
      </c>
      <c r="Y5014" t="s">
        <v>23635</v>
      </c>
      <c r="Z5014" t="s">
        <v>29884</v>
      </c>
      <c r="AA5014">
        <v>0.92325255562532316</v>
      </c>
      <c r="AB5014" t="str">
        <f>HYPERLINK("Melting_Curves/meltCurve_Q9BT73_PSMG3.pdf", "Melting_Curves/meltCurve_Q9BT73_PSMG3.pdf")</f>
        <v>Melting_Curves/meltCurve_Q9BT73_PSMG3.pdf</v>
      </c>
    </row>
    <row r="5015" spans="1:28" x14ac:dyDescent="0.25">
      <c r="A5015" t="s">
        <v>5019</v>
      </c>
      <c r="B5015">
        <v>0.99352677808782597</v>
      </c>
      <c r="C5015">
        <v>0.799397113753197</v>
      </c>
      <c r="D5015">
        <v>0.80568590353912894</v>
      </c>
      <c r="E5015">
        <v>1.0112997524457701</v>
      </c>
      <c r="F5015">
        <v>0.84268635760520305</v>
      </c>
      <c r="G5015">
        <v>0.54073319722933999</v>
      </c>
      <c r="H5015">
        <v>0.19525959999372899</v>
      </c>
      <c r="I5015">
        <v>0.13104887918376901</v>
      </c>
      <c r="J5015">
        <v>0.10470587226825299</v>
      </c>
      <c r="K5015">
        <v>7.2821559928118396E-2</v>
      </c>
      <c r="L5015">
        <v>1364.0415135573501</v>
      </c>
      <c r="M5015">
        <v>23.978444007793598</v>
      </c>
      <c r="N5015">
        <v>57.225265541431099</v>
      </c>
      <c r="O5015">
        <v>56.494918839218897</v>
      </c>
      <c r="P5015">
        <v>-9.9082822573645604E-2</v>
      </c>
      <c r="Q5015">
        <v>6.6229914542408702E-2</v>
      </c>
      <c r="R5015">
        <v>0.94054580480128103</v>
      </c>
      <c r="S5015" t="s">
        <v>11300</v>
      </c>
      <c r="T5015" t="s">
        <v>12568</v>
      </c>
      <c r="U5015" t="s">
        <v>12568</v>
      </c>
      <c r="V5015" t="s">
        <v>12568</v>
      </c>
      <c r="W5015" t="s">
        <v>17532</v>
      </c>
      <c r="X5015">
        <v>18</v>
      </c>
      <c r="Y5015" t="s">
        <v>23636</v>
      </c>
      <c r="Z5015" t="s">
        <v>29885</v>
      </c>
      <c r="AA5015">
        <v>0.60081522693473566</v>
      </c>
      <c r="AB5015" t="str">
        <f>HYPERLINK("Melting_Curves/meltCurve_Q9BT78_COPS4.pdf", "Melting_Curves/meltCurve_Q9BT78_COPS4.pdf")</f>
        <v>Melting_Curves/meltCurve_Q9BT78_COPS4.pdf</v>
      </c>
    </row>
    <row r="5016" spans="1:28" x14ac:dyDescent="0.25">
      <c r="A5016" t="s">
        <v>5020</v>
      </c>
      <c r="B5016">
        <v>0.99352677808782597</v>
      </c>
      <c r="C5016">
        <v>0.94720506433824503</v>
      </c>
      <c r="D5016">
        <v>0.87543494908951902</v>
      </c>
      <c r="E5016">
        <v>0.66918888876279903</v>
      </c>
      <c r="F5016">
        <v>0.58774752064480396</v>
      </c>
      <c r="G5016">
        <v>0.53903535087175403</v>
      </c>
      <c r="H5016">
        <v>0.42759929971267602</v>
      </c>
      <c r="I5016">
        <v>0.45110020694733199</v>
      </c>
      <c r="J5016">
        <v>0.45367927737567598</v>
      </c>
      <c r="K5016">
        <v>0.39719596049720901</v>
      </c>
      <c r="L5016">
        <v>708.62160324708998</v>
      </c>
      <c r="M5016">
        <v>14.2552736143223</v>
      </c>
      <c r="N5016">
        <v>56.905231281731098</v>
      </c>
      <c r="O5016">
        <v>48.761900636718302</v>
      </c>
      <c r="P5016">
        <v>-4.2573085079675298E-2</v>
      </c>
      <c r="Q5016">
        <v>0.41756613732196202</v>
      </c>
      <c r="R5016">
        <v>0.989071007467339</v>
      </c>
      <c r="S5016" t="s">
        <v>11301</v>
      </c>
      <c r="T5016" t="s">
        <v>12568</v>
      </c>
      <c r="U5016" t="s">
        <v>12568</v>
      </c>
      <c r="V5016" t="s">
        <v>12568</v>
      </c>
      <c r="W5016" t="s">
        <v>17533</v>
      </c>
      <c r="X5016">
        <v>11</v>
      </c>
      <c r="Y5016" t="s">
        <v>23637</v>
      </c>
      <c r="Z5016" t="s">
        <v>29886</v>
      </c>
      <c r="AA5016">
        <v>0.62142385936451305</v>
      </c>
      <c r="AB5016" t="str">
        <f>HYPERLINK("Melting_Curves/meltCurve_Q9BTA9_WAC.pdf", "Melting_Curves/meltCurve_Q9BTA9_WAC.pdf")</f>
        <v>Melting_Curves/meltCurve_Q9BTA9_WAC.pdf</v>
      </c>
    </row>
    <row r="5017" spans="1:28" x14ac:dyDescent="0.25">
      <c r="A5017" t="s">
        <v>5021</v>
      </c>
      <c r="B5017">
        <v>0.99352677808782597</v>
      </c>
      <c r="C5017">
        <v>0.949700957099189</v>
      </c>
      <c r="D5017">
        <v>0.90840926051070303</v>
      </c>
      <c r="E5017">
        <v>0.75861210936842904</v>
      </c>
      <c r="F5017">
        <v>0.68728156656110995</v>
      </c>
      <c r="G5017">
        <v>0.57507328117739598</v>
      </c>
      <c r="H5017">
        <v>0.49722993962017498</v>
      </c>
      <c r="I5017">
        <v>0.49156232314749498</v>
      </c>
      <c r="J5017">
        <v>0.48511605057782597</v>
      </c>
      <c r="K5017">
        <v>0.38699721543143301</v>
      </c>
      <c r="L5017">
        <v>564.87096695855701</v>
      </c>
      <c r="M5017">
        <v>10.742030375248101</v>
      </c>
      <c r="N5017">
        <v>61.387538003107103</v>
      </c>
      <c r="O5017">
        <v>50.861020079476098</v>
      </c>
      <c r="P5017">
        <v>-3.2070289358194698E-2</v>
      </c>
      <c r="Q5017">
        <v>0.39284265305050098</v>
      </c>
      <c r="R5017">
        <v>0.98893986719388904</v>
      </c>
      <c r="S5017" t="s">
        <v>11302</v>
      </c>
      <c r="T5017" t="s">
        <v>12568</v>
      </c>
      <c r="U5017" t="s">
        <v>12568</v>
      </c>
      <c r="V5017" t="s">
        <v>12568</v>
      </c>
      <c r="W5017" t="s">
        <v>17534</v>
      </c>
      <c r="X5017">
        <v>48</v>
      </c>
      <c r="Y5017" t="s">
        <v>23638</v>
      </c>
      <c r="Z5017" t="s">
        <v>29887</v>
      </c>
      <c r="AA5017">
        <v>0.66774867188427001</v>
      </c>
      <c r="AB5017" t="str">
        <f>HYPERLINK("Melting_Curves/meltCurve_Q9BTC0_DIDO1.pdf", "Melting_Curves/meltCurve_Q9BTC0_DIDO1.pdf")</f>
        <v>Melting_Curves/meltCurve_Q9BTC0_DIDO1.pdf</v>
      </c>
    </row>
    <row r="5018" spans="1:28" x14ac:dyDescent="0.25">
      <c r="A5018" t="s">
        <v>5022</v>
      </c>
      <c r="B5018">
        <v>0.99352677808782597</v>
      </c>
      <c r="C5018">
        <v>0.97382013636453102</v>
      </c>
      <c r="D5018">
        <v>0.93227050509626597</v>
      </c>
      <c r="E5018">
        <v>1.4200940696336899</v>
      </c>
      <c r="F5018">
        <v>1.24982141406984</v>
      </c>
      <c r="G5018">
        <v>1.0335247767886999</v>
      </c>
      <c r="H5018">
        <v>0.78947272749238795</v>
      </c>
      <c r="I5018">
        <v>0.50267757003954405</v>
      </c>
      <c r="J5018">
        <v>0.190353864498121</v>
      </c>
      <c r="K5018">
        <v>0.10422599459475899</v>
      </c>
      <c r="L5018">
        <v>2158.99820036854</v>
      </c>
      <c r="M5018">
        <v>33.938357614178699</v>
      </c>
      <c r="N5018">
        <v>63.852962605669198</v>
      </c>
      <c r="O5018">
        <v>63.395615988421099</v>
      </c>
      <c r="P5018">
        <v>-0.12589462763650799</v>
      </c>
      <c r="Q5018">
        <v>5.93372235021161E-2</v>
      </c>
      <c r="R5018">
        <v>0.85057686323977899</v>
      </c>
      <c r="S5018" t="s">
        <v>11303</v>
      </c>
      <c r="T5018" t="s">
        <v>12568</v>
      </c>
      <c r="U5018" t="s">
        <v>12568</v>
      </c>
      <c r="V5018" t="s">
        <v>12568</v>
      </c>
      <c r="W5018" t="s">
        <v>17535</v>
      </c>
      <c r="X5018">
        <v>5</v>
      </c>
      <c r="Y5018" t="s">
        <v>23639</v>
      </c>
      <c r="Z5018" t="s">
        <v>29888</v>
      </c>
      <c r="AA5018">
        <v>0.80219272797430563</v>
      </c>
      <c r="AB5018" t="str">
        <f>HYPERLINK("Melting_Curves/meltCurve_Q9BTE1_2_DCTN5.pdf", "Melting_Curves/meltCurve_Q9BTE1_2_DCTN5.pdf")</f>
        <v>Melting_Curves/meltCurve_Q9BTE1_2_DCTN5.pdf</v>
      </c>
    </row>
    <row r="5019" spans="1:28" x14ac:dyDescent="0.25">
      <c r="A5019" t="s">
        <v>5023</v>
      </c>
      <c r="B5019">
        <v>0.99352677808782597</v>
      </c>
      <c r="C5019">
        <v>0.97782074769587202</v>
      </c>
      <c r="D5019">
        <v>0.838689054808196</v>
      </c>
      <c r="E5019">
        <v>0.28213819919650102</v>
      </c>
      <c r="F5019">
        <v>0.21320271044463801</v>
      </c>
      <c r="G5019">
        <v>0.128329435360822</v>
      </c>
      <c r="H5019">
        <v>8.1496363679161105E-2</v>
      </c>
      <c r="I5019">
        <v>7.9125415447338102E-2</v>
      </c>
      <c r="J5019">
        <v>6.7345884846828796E-2</v>
      </c>
      <c r="K5019">
        <v>5.7037152828717998E-2</v>
      </c>
      <c r="L5019">
        <v>1422.93934495807</v>
      </c>
      <c r="M5019">
        <v>29.530359347125302</v>
      </c>
      <c r="N5019">
        <v>48.502632965102499</v>
      </c>
      <c r="O5019">
        <v>47.966295913648601</v>
      </c>
      <c r="P5019">
        <v>-0.140406066384823</v>
      </c>
      <c r="Q5019">
        <v>8.7757549461730797E-2</v>
      </c>
      <c r="R5019">
        <v>0.99380511113255199</v>
      </c>
      <c r="S5019" t="s">
        <v>11304</v>
      </c>
      <c r="T5019" t="s">
        <v>12568</v>
      </c>
      <c r="U5019" t="s">
        <v>12568</v>
      </c>
      <c r="V5019" t="s">
        <v>12568</v>
      </c>
      <c r="W5019" t="s">
        <v>17536</v>
      </c>
      <c r="X5019">
        <v>16</v>
      </c>
      <c r="Y5019" t="s">
        <v>23640</v>
      </c>
      <c r="Z5019" t="s">
        <v>29889</v>
      </c>
      <c r="AA5019">
        <v>0.34235101569015591</v>
      </c>
      <c r="AB5019" t="str">
        <f>HYPERLINK("Melting_Curves/meltCurve_Q9BTE3_2_MCMBP.pdf", "Melting_Curves/meltCurve_Q9BTE3_2_MCMBP.pdf")</f>
        <v>Melting_Curves/meltCurve_Q9BTE3_2_MCMBP.pdf</v>
      </c>
    </row>
    <row r="5020" spans="1:28" x14ac:dyDescent="0.25">
      <c r="A5020" t="s">
        <v>5024</v>
      </c>
      <c r="B5020">
        <v>0.99352677808782597</v>
      </c>
      <c r="C5020">
        <v>0.944029561706899</v>
      </c>
      <c r="D5020">
        <v>0.76499808946083003</v>
      </c>
      <c r="E5020">
        <v>0.27048498131014598</v>
      </c>
      <c r="F5020">
        <v>0.20790179724827201</v>
      </c>
      <c r="G5020">
        <v>0.121633033580894</v>
      </c>
      <c r="H5020">
        <v>7.9980372548152004E-2</v>
      </c>
      <c r="I5020">
        <v>7.4756212061297594E-2</v>
      </c>
      <c r="J5020">
        <v>6.2205041197808501E-2</v>
      </c>
      <c r="K5020">
        <v>5.1106848071381598E-2</v>
      </c>
      <c r="L5020">
        <v>1176.0541377463001</v>
      </c>
      <c r="M5020">
        <v>24.594543379194899</v>
      </c>
      <c r="N5020">
        <v>48.147376211890901</v>
      </c>
      <c r="O5020">
        <v>47.504920553680599</v>
      </c>
      <c r="P5020">
        <v>-0.11940271229088401</v>
      </c>
      <c r="Q5020">
        <v>7.7497015263105595E-2</v>
      </c>
      <c r="R5020">
        <v>0.99494978231961895</v>
      </c>
      <c r="S5020" t="s">
        <v>11305</v>
      </c>
      <c r="T5020" t="s">
        <v>12568</v>
      </c>
      <c r="U5020" t="s">
        <v>12568</v>
      </c>
      <c r="V5020" t="s">
        <v>12568</v>
      </c>
      <c r="W5020" t="s">
        <v>17537</v>
      </c>
      <c r="X5020">
        <v>17</v>
      </c>
      <c r="Y5020" t="s">
        <v>23641</v>
      </c>
      <c r="Z5020" t="s">
        <v>29890</v>
      </c>
      <c r="AA5020">
        <v>0.32634076962496378</v>
      </c>
      <c r="AB5020" t="str">
        <f>HYPERLINK("Melting_Curves/meltCurve_Q9BTE6_AARSD1.pdf", "Melting_Curves/meltCurve_Q9BTE6_AARSD1.pdf")</f>
        <v>Melting_Curves/meltCurve_Q9BTE6_AARSD1.pdf</v>
      </c>
    </row>
    <row r="5021" spans="1:28" x14ac:dyDescent="0.25">
      <c r="A5021" t="s">
        <v>5025</v>
      </c>
      <c r="B5021">
        <v>0.99352677808782597</v>
      </c>
      <c r="C5021">
        <v>0.87775740768944499</v>
      </c>
      <c r="D5021">
        <v>0.72139888161401799</v>
      </c>
      <c r="E5021">
        <v>0.168975674711798</v>
      </c>
      <c r="F5021">
        <v>0.11204196305242101</v>
      </c>
      <c r="G5021">
        <v>7.4220862934894896E-2</v>
      </c>
      <c r="H5021">
        <v>5.6645551031798497E-2</v>
      </c>
      <c r="I5021">
        <v>5.0396178496208602E-2</v>
      </c>
      <c r="J5021">
        <v>4.7118910672294297E-2</v>
      </c>
      <c r="K5021">
        <v>4.0559743989649601E-2</v>
      </c>
      <c r="L5021">
        <v>1349.1201078720101</v>
      </c>
      <c r="M5021">
        <v>28.62228246123</v>
      </c>
      <c r="N5021">
        <v>47.315392624679397</v>
      </c>
      <c r="O5021">
        <v>46.9070013693321</v>
      </c>
      <c r="P5021">
        <v>-0.14467659312240899</v>
      </c>
      <c r="Q5021">
        <v>5.1606781263713403E-2</v>
      </c>
      <c r="R5021">
        <v>0.99387514159139201</v>
      </c>
      <c r="S5021" t="s">
        <v>11306</v>
      </c>
      <c r="T5021" t="s">
        <v>12568</v>
      </c>
      <c r="U5021" t="s">
        <v>12568</v>
      </c>
      <c r="V5021" t="s">
        <v>12568</v>
      </c>
      <c r="W5021" t="s">
        <v>17538</v>
      </c>
      <c r="X5021">
        <v>4</v>
      </c>
      <c r="Y5021" t="s">
        <v>23642</v>
      </c>
      <c r="Z5021" t="s">
        <v>29891</v>
      </c>
      <c r="AA5021">
        <v>0.28346797671577412</v>
      </c>
      <c r="AB5021" t="str">
        <f>HYPERLINK("Melting_Curves/meltCurve_Q9BTE7_DCUN1D5.pdf", "Melting_Curves/meltCurve_Q9BTE7_DCUN1D5.pdf")</f>
        <v>Melting_Curves/meltCurve_Q9BTE7_DCUN1D5.pdf</v>
      </c>
    </row>
    <row r="5022" spans="1:28" x14ac:dyDescent="0.25">
      <c r="A5022" t="s">
        <v>5026</v>
      </c>
      <c r="B5022">
        <v>0.99352677808782597</v>
      </c>
      <c r="C5022">
        <v>1.0028287550806401</v>
      </c>
      <c r="D5022">
        <v>0.96079977752930801</v>
      </c>
      <c r="E5022">
        <v>0.65872053785196105</v>
      </c>
      <c r="F5022">
        <v>0.56640043310333399</v>
      </c>
      <c r="G5022">
        <v>0.47202588091396502</v>
      </c>
      <c r="H5022">
        <v>0.385287980426051</v>
      </c>
      <c r="I5022">
        <v>0.240184402098614</v>
      </c>
      <c r="J5022">
        <v>0.13154977910623</v>
      </c>
      <c r="K5022">
        <v>0.19816815676535299</v>
      </c>
      <c r="L5022">
        <v>586.49783997492602</v>
      </c>
      <c r="M5022">
        <v>10.8339517237054</v>
      </c>
      <c r="N5022">
        <v>55.360686597542099</v>
      </c>
      <c r="O5022">
        <v>52.388678824160799</v>
      </c>
      <c r="P5022">
        <v>-4.6204163196675599E-2</v>
      </c>
      <c r="Q5022">
        <v>0.10661981474398401</v>
      </c>
      <c r="R5022">
        <v>0.97041585040475697</v>
      </c>
      <c r="S5022" t="s">
        <v>11307</v>
      </c>
      <c r="T5022" t="s">
        <v>12568</v>
      </c>
      <c r="U5022" t="s">
        <v>12568</v>
      </c>
      <c r="V5022" t="s">
        <v>12568</v>
      </c>
      <c r="W5022" t="s">
        <v>17539</v>
      </c>
      <c r="X5022">
        <v>5</v>
      </c>
      <c r="Y5022" t="s">
        <v>23643</v>
      </c>
      <c r="Z5022" t="s">
        <v>29892</v>
      </c>
      <c r="AA5022">
        <v>0.55260416575698867</v>
      </c>
      <c r="AB5022" t="str">
        <f>HYPERLINK("Melting_Curves/meltCurve_Q9BTF0_THUMPD2.pdf", "Melting_Curves/meltCurve_Q9BTF0_THUMPD2.pdf")</f>
        <v>Melting_Curves/meltCurve_Q9BTF0_THUMPD2.pdf</v>
      </c>
    </row>
    <row r="5023" spans="1:28" x14ac:dyDescent="0.25">
      <c r="A5023" t="s">
        <v>5027</v>
      </c>
      <c r="B5023">
        <v>0.99352677808782597</v>
      </c>
      <c r="C5023">
        <v>0.96416268382510495</v>
      </c>
      <c r="D5023">
        <v>0.95909969602462997</v>
      </c>
      <c r="E5023">
        <v>0.96426036459602005</v>
      </c>
      <c r="F5023">
        <v>0.89677372408601896</v>
      </c>
      <c r="G5023">
        <v>0.85962255427572198</v>
      </c>
      <c r="H5023">
        <v>0.67510875793670999</v>
      </c>
      <c r="I5023">
        <v>0.66071727309429595</v>
      </c>
      <c r="J5023">
        <v>0.82340722739599004</v>
      </c>
      <c r="K5023">
        <v>0.766680144872397</v>
      </c>
      <c r="L5023">
        <v>1265.96503570614</v>
      </c>
      <c r="M5023">
        <v>23.228080035360001</v>
      </c>
      <c r="O5023">
        <v>54.102359889011403</v>
      </c>
      <c r="P5023">
        <v>-2.8591595475481901E-2</v>
      </c>
      <c r="Q5023">
        <v>0.73362500548968701</v>
      </c>
      <c r="R5023">
        <v>0.79756156430333502</v>
      </c>
      <c r="S5023" t="s">
        <v>11308</v>
      </c>
      <c r="T5023" t="s">
        <v>12568</v>
      </c>
      <c r="U5023" t="s">
        <v>12568</v>
      </c>
      <c r="V5023" t="s">
        <v>12568</v>
      </c>
      <c r="W5023" t="s">
        <v>17540</v>
      </c>
      <c r="X5023">
        <v>3</v>
      </c>
      <c r="Y5023" t="s">
        <v>23644</v>
      </c>
      <c r="Z5023" t="s">
        <v>29893</v>
      </c>
      <c r="AA5023">
        <v>0.86519258598167925</v>
      </c>
      <c r="AB5023" t="str">
        <f>HYPERLINK("Melting_Curves/meltCurve_Q9BTL3_FAM103A1.pdf", "Melting_Curves/meltCurve_Q9BTL3_FAM103A1.pdf")</f>
        <v>Melting_Curves/meltCurve_Q9BTL3_FAM103A1.pdf</v>
      </c>
    </row>
    <row r="5024" spans="1:28" x14ac:dyDescent="0.25">
      <c r="A5024" t="s">
        <v>5028</v>
      </c>
      <c r="B5024">
        <v>0.99352677808782597</v>
      </c>
      <c r="C5024">
        <v>0.92360367091056295</v>
      </c>
      <c r="D5024">
        <v>0.89226255240350005</v>
      </c>
      <c r="E5024">
        <v>0.75166400622311602</v>
      </c>
      <c r="F5024">
        <v>0.66414950399842099</v>
      </c>
      <c r="G5024">
        <v>0.476558113383175</v>
      </c>
      <c r="H5024">
        <v>0.339932298728366</v>
      </c>
      <c r="I5024">
        <v>0.28128577085132001</v>
      </c>
      <c r="J5024">
        <v>0.22583590791460001</v>
      </c>
      <c r="K5024">
        <v>0.18950237626566399</v>
      </c>
      <c r="L5024">
        <v>527.629688220856</v>
      </c>
      <c r="M5024">
        <v>9.4860144589928499</v>
      </c>
      <c r="N5024">
        <v>56.524132500060098</v>
      </c>
      <c r="O5024">
        <v>53.318192106616799</v>
      </c>
      <c r="P5024">
        <v>-4.1377962320124403E-2</v>
      </c>
      <c r="Q5024">
        <v>7.0257944606243197E-2</v>
      </c>
      <c r="R5024">
        <v>0.998134700618315</v>
      </c>
      <c r="S5024" t="s">
        <v>11309</v>
      </c>
      <c r="T5024" t="s">
        <v>12568</v>
      </c>
      <c r="U5024" t="s">
        <v>12568</v>
      </c>
      <c r="V5024" t="s">
        <v>12568</v>
      </c>
      <c r="W5024" t="s">
        <v>17541</v>
      </c>
      <c r="X5024">
        <v>2</v>
      </c>
      <c r="Y5024" t="s">
        <v>23645</v>
      </c>
      <c r="Z5024" t="s">
        <v>29894</v>
      </c>
      <c r="AA5024">
        <v>0.57586728496277007</v>
      </c>
      <c r="AB5024" t="str">
        <f>HYPERLINK("Melting_Curves/meltCurve_Q9BTM9_URM1.pdf", "Melting_Curves/meltCurve_Q9BTM9_URM1.pdf")</f>
        <v>Melting_Curves/meltCurve_Q9BTM9_URM1.pdf</v>
      </c>
    </row>
    <row r="5025" spans="1:28" x14ac:dyDescent="0.25">
      <c r="A5025" t="s">
        <v>5029</v>
      </c>
      <c r="B5025">
        <v>0.99352677808782597</v>
      </c>
      <c r="C5025">
        <v>0.956645392266945</v>
      </c>
      <c r="D5025">
        <v>0.84813359636385899</v>
      </c>
      <c r="E5025">
        <v>0.39287837379127299</v>
      </c>
      <c r="F5025">
        <v>0.29597842066886398</v>
      </c>
      <c r="G5025">
        <v>0.198534417909149</v>
      </c>
      <c r="H5025">
        <v>0.16613621779467899</v>
      </c>
      <c r="I5025">
        <v>0.17567837351545901</v>
      </c>
      <c r="J5025">
        <v>0.14491868732521199</v>
      </c>
      <c r="K5025">
        <v>0.10412059199713</v>
      </c>
      <c r="L5025">
        <v>1162.79287155311</v>
      </c>
      <c r="M5025">
        <v>23.959104812729699</v>
      </c>
      <c r="N5025">
        <v>49.2901303485677</v>
      </c>
      <c r="O5025">
        <v>48.198094783252301</v>
      </c>
      <c r="P5025">
        <v>-0.10513111824893299</v>
      </c>
      <c r="Q5025">
        <v>0.15405205362683</v>
      </c>
      <c r="R5025">
        <v>0.99329130050380898</v>
      </c>
      <c r="S5025" t="s">
        <v>11310</v>
      </c>
      <c r="T5025" t="s">
        <v>12568</v>
      </c>
      <c r="U5025" t="s">
        <v>12568</v>
      </c>
      <c r="V5025" t="s">
        <v>12568</v>
      </c>
      <c r="W5025" t="s">
        <v>17542</v>
      </c>
      <c r="X5025">
        <v>2</v>
      </c>
      <c r="Y5025" t="s">
        <v>23646</v>
      </c>
      <c r="Z5025" t="s">
        <v>29895</v>
      </c>
      <c r="AA5025">
        <v>0.40282513517425761</v>
      </c>
      <c r="AB5025" t="str">
        <f>HYPERLINK("Melting_Curves/meltCurve_Q9BTP7_FAAP24.pdf", "Melting_Curves/meltCurve_Q9BTP7_FAAP24.pdf")</f>
        <v>Melting_Curves/meltCurve_Q9BTP7_FAAP24.pdf</v>
      </c>
    </row>
    <row r="5026" spans="1:28" x14ac:dyDescent="0.25">
      <c r="A5026" t="s">
        <v>5030</v>
      </c>
      <c r="B5026">
        <v>0.99352677808782597</v>
      </c>
      <c r="C5026">
        <v>0.97468956436778897</v>
      </c>
      <c r="D5026">
        <v>0.98685319439324404</v>
      </c>
      <c r="E5026">
        <v>0.80783025384082197</v>
      </c>
      <c r="F5026">
        <v>0.69938484949391799</v>
      </c>
      <c r="G5026">
        <v>0.59683333736942101</v>
      </c>
      <c r="H5026">
        <v>0.52287415895647005</v>
      </c>
      <c r="I5026">
        <v>0.53550849444409898</v>
      </c>
      <c r="J5026">
        <v>0.65476486080740504</v>
      </c>
      <c r="K5026">
        <v>0.48628504459620697</v>
      </c>
      <c r="L5026">
        <v>1122.6934648767001</v>
      </c>
      <c r="M5026">
        <v>21.992718742441099</v>
      </c>
      <c r="O5026">
        <v>50.631969278245002</v>
      </c>
      <c r="P5026">
        <v>-4.9134113457583901E-2</v>
      </c>
      <c r="Q5026">
        <v>0.54754084986849605</v>
      </c>
      <c r="R5026">
        <v>0.95075876860929998</v>
      </c>
      <c r="S5026" t="s">
        <v>11311</v>
      </c>
      <c r="T5026" t="s">
        <v>12568</v>
      </c>
      <c r="U5026" t="s">
        <v>12568</v>
      </c>
      <c r="V5026" t="s">
        <v>12568</v>
      </c>
      <c r="W5026" t="s">
        <v>17543</v>
      </c>
      <c r="X5026">
        <v>8</v>
      </c>
      <c r="Y5026" t="s">
        <v>23647</v>
      </c>
      <c r="Z5026" t="s">
        <v>29896</v>
      </c>
      <c r="AA5026">
        <v>0.7194190045433061</v>
      </c>
      <c r="AB5026" t="str">
        <f>HYPERLINK("Melting_Curves/meltCurve_Q9BTT0_ANP32E.pdf", "Melting_Curves/meltCurve_Q9BTT0_ANP32E.pdf")</f>
        <v>Melting_Curves/meltCurve_Q9BTT0_ANP32E.pdf</v>
      </c>
    </row>
    <row r="5027" spans="1:28" x14ac:dyDescent="0.25">
      <c r="A5027" t="s">
        <v>5031</v>
      </c>
      <c r="B5027">
        <v>0.99352677808782597</v>
      </c>
      <c r="C5027">
        <v>1.0311125772649401</v>
      </c>
      <c r="D5027">
        <v>0.95171559616690105</v>
      </c>
      <c r="E5027">
        <v>1.16450784632789</v>
      </c>
      <c r="F5027">
        <v>0.93826515791053899</v>
      </c>
      <c r="G5027">
        <v>0.77884339600194297</v>
      </c>
      <c r="H5027">
        <v>0.51679683518852104</v>
      </c>
      <c r="I5027">
        <v>0.487829852520201</v>
      </c>
      <c r="J5027">
        <v>0.54437468400532596</v>
      </c>
      <c r="K5027">
        <v>0.45441824492164301</v>
      </c>
      <c r="L5027">
        <v>2336.1396339657999</v>
      </c>
      <c r="M5027">
        <v>40.778956913109702</v>
      </c>
      <c r="N5027">
        <v>63.311839777731898</v>
      </c>
      <c r="O5027">
        <v>57.150619084835398</v>
      </c>
      <c r="P5027">
        <v>-9.1033859678524204E-2</v>
      </c>
      <c r="Q5027">
        <v>0.48967487059396198</v>
      </c>
      <c r="R5027">
        <v>0.94075085221108901</v>
      </c>
      <c r="S5027" t="s">
        <v>11312</v>
      </c>
      <c r="T5027" t="s">
        <v>12568</v>
      </c>
      <c r="U5027" t="s">
        <v>12568</v>
      </c>
      <c r="V5027" t="s">
        <v>12568</v>
      </c>
      <c r="W5027" t="s">
        <v>17544</v>
      </c>
      <c r="X5027">
        <v>3</v>
      </c>
      <c r="Y5027" t="s">
        <v>23648</v>
      </c>
      <c r="Z5027" t="s">
        <v>29897</v>
      </c>
      <c r="AA5027">
        <v>0.78567720291933274</v>
      </c>
      <c r="AB5027" t="str">
        <f>HYPERLINK("Melting_Curves/meltCurve_Q9BTT4_MED10.pdf", "Melting_Curves/meltCurve_Q9BTT4_MED10.pdf")</f>
        <v>Melting_Curves/meltCurve_Q9BTT4_MED10.pdf</v>
      </c>
    </row>
    <row r="5028" spans="1:28" x14ac:dyDescent="0.25">
      <c r="A5028" t="s">
        <v>5032</v>
      </c>
      <c r="B5028">
        <v>0.99352677808782597</v>
      </c>
      <c r="C5028">
        <v>0.92053368403857705</v>
      </c>
      <c r="D5028">
        <v>0.81045042117805499</v>
      </c>
      <c r="E5028">
        <v>0.31539202142157402</v>
      </c>
      <c r="F5028">
        <v>0.229838153817775</v>
      </c>
      <c r="G5028">
        <v>0.13859505671186101</v>
      </c>
      <c r="H5028">
        <v>9.0641651917078597E-2</v>
      </c>
      <c r="I5028">
        <v>8.4666127341324601E-2</v>
      </c>
      <c r="J5028">
        <v>6.2355790119932399E-2</v>
      </c>
      <c r="K5028">
        <v>5.7975980123871201E-2</v>
      </c>
      <c r="L5028">
        <v>1105.57054402112</v>
      </c>
      <c r="M5028">
        <v>22.916264310279701</v>
      </c>
      <c r="N5028">
        <v>48.620296342221899</v>
      </c>
      <c r="O5028">
        <v>47.881060496892999</v>
      </c>
      <c r="P5028">
        <v>-0.10992931796116499</v>
      </c>
      <c r="Q5028">
        <v>8.1275706885233306E-2</v>
      </c>
      <c r="R5028">
        <v>0.99343334899463398</v>
      </c>
      <c r="S5028" t="s">
        <v>11313</v>
      </c>
      <c r="T5028" t="s">
        <v>12568</v>
      </c>
      <c r="U5028" t="s">
        <v>12568</v>
      </c>
      <c r="V5028" t="s">
        <v>12568</v>
      </c>
      <c r="W5028" t="s">
        <v>17545</v>
      </c>
      <c r="X5028">
        <v>4</v>
      </c>
      <c r="Y5028" t="s">
        <v>23649</v>
      </c>
      <c r="Z5028" t="s">
        <v>29898</v>
      </c>
      <c r="AA5028">
        <v>0.34349369990335138</v>
      </c>
      <c r="AB5028" t="str">
        <f>HYPERLINK("Melting_Curves/meltCurve_Q9BTT6_LRRC1.pdf", "Melting_Curves/meltCurve_Q9BTT6_LRRC1.pdf")</f>
        <v>Melting_Curves/meltCurve_Q9BTT6_LRRC1.pdf</v>
      </c>
    </row>
    <row r="5029" spans="1:28" x14ac:dyDescent="0.25">
      <c r="A5029" t="s">
        <v>5033</v>
      </c>
      <c r="B5029">
        <v>0.99352677808782597</v>
      </c>
      <c r="C5029">
        <v>0.96583556213908295</v>
      </c>
      <c r="D5029">
        <v>0.96967370149669496</v>
      </c>
      <c r="E5029">
        <v>0.32884514026226402</v>
      </c>
      <c r="F5029">
        <v>0.25847076957092102</v>
      </c>
      <c r="G5029">
        <v>0.16648951053449301</v>
      </c>
      <c r="H5029">
        <v>0.141547955774941</v>
      </c>
      <c r="I5029">
        <v>0.13774249128316701</v>
      </c>
      <c r="J5029">
        <v>9.9560488744127706E-2</v>
      </c>
      <c r="K5029">
        <v>7.12554304600444E-2</v>
      </c>
      <c r="L5029">
        <v>2110.1865446424499</v>
      </c>
      <c r="M5029">
        <v>43.2993405887823</v>
      </c>
      <c r="N5029">
        <v>49.101076694271001</v>
      </c>
      <c r="O5029">
        <v>48.631246165602398</v>
      </c>
      <c r="P5029">
        <v>-0.19187313763817901</v>
      </c>
      <c r="Q5029">
        <v>0.137999497902587</v>
      </c>
      <c r="R5029">
        <v>0.98702051294250603</v>
      </c>
      <c r="S5029" t="s">
        <v>11314</v>
      </c>
      <c r="T5029" t="s">
        <v>12568</v>
      </c>
      <c r="U5029" t="s">
        <v>12568</v>
      </c>
      <c r="V5029" t="s">
        <v>12568</v>
      </c>
      <c r="W5029" t="s">
        <v>17546</v>
      </c>
      <c r="X5029">
        <v>2</v>
      </c>
      <c r="Y5029" t="s">
        <v>23650</v>
      </c>
      <c r="Z5029" t="s">
        <v>29899</v>
      </c>
      <c r="AA5029">
        <v>0.39145791854659723</v>
      </c>
      <c r="AB5029" t="str">
        <f>HYPERLINK("Melting_Curves/meltCurve_Q9BTV5_FSD1.pdf", "Melting_Curves/meltCurve_Q9BTV5_FSD1.pdf")</f>
        <v>Melting_Curves/meltCurve_Q9BTV5_FSD1.pdf</v>
      </c>
    </row>
    <row r="5030" spans="1:28" x14ac:dyDescent="0.25">
      <c r="A5030" t="s">
        <v>5034</v>
      </c>
      <c r="B5030">
        <v>0.99352677808782597</v>
      </c>
      <c r="C5030">
        <v>1.0116122657589199</v>
      </c>
      <c r="D5030">
        <v>0.99589940260030396</v>
      </c>
      <c r="E5030">
        <v>0.95422573617901096</v>
      </c>
      <c r="F5030">
        <v>0.71170405402346804</v>
      </c>
      <c r="G5030">
        <v>0.64395510722951499</v>
      </c>
      <c r="H5030">
        <v>0.41282744596939902</v>
      </c>
      <c r="I5030">
        <v>0.176661264171043</v>
      </c>
      <c r="J5030">
        <v>0.144801934962108</v>
      </c>
      <c r="K5030">
        <v>0.103047733489919</v>
      </c>
      <c r="L5030">
        <v>803.63832389909999</v>
      </c>
      <c r="M5030">
        <v>13.7189479469705</v>
      </c>
      <c r="N5030">
        <v>58.5787138089892</v>
      </c>
      <c r="O5030">
        <v>57.376119811296</v>
      </c>
      <c r="P5030">
        <v>-5.9784946220498798E-2</v>
      </c>
      <c r="Q5030">
        <v>0</v>
      </c>
      <c r="R5030">
        <v>0.98418683938321605</v>
      </c>
      <c r="S5030" t="s">
        <v>11315</v>
      </c>
      <c r="T5030" t="s">
        <v>12568</v>
      </c>
      <c r="U5030" t="s">
        <v>12568</v>
      </c>
      <c r="V5030" t="s">
        <v>12568</v>
      </c>
      <c r="W5030" t="s">
        <v>17547</v>
      </c>
      <c r="X5030">
        <v>2</v>
      </c>
      <c r="Y5030" t="s">
        <v>23651</v>
      </c>
      <c r="Z5030" t="s">
        <v>29900</v>
      </c>
      <c r="AA5030">
        <v>0.63072472914391897</v>
      </c>
      <c r="AB5030" t="str">
        <f>HYPERLINK("Melting_Curves/meltCurve_Q9BTV6_WDR85.pdf", "Melting_Curves/meltCurve_Q9BTV6_WDR85.pdf")</f>
        <v>Melting_Curves/meltCurve_Q9BTV6_WDR85.pdf</v>
      </c>
    </row>
    <row r="5031" spans="1:28" x14ac:dyDescent="0.25">
      <c r="A5031" t="s">
        <v>5035</v>
      </c>
      <c r="B5031">
        <v>0.99352677808782597</v>
      </c>
      <c r="C5031">
        <v>0.99975470757267004</v>
      </c>
      <c r="D5031">
        <v>0.77249409547967796</v>
      </c>
      <c r="E5031">
        <v>0.29394538762558903</v>
      </c>
      <c r="F5031">
        <v>0.22569352098398199</v>
      </c>
      <c r="G5031">
        <v>0.127855240274868</v>
      </c>
      <c r="H5031">
        <v>8.2778100978154995E-2</v>
      </c>
      <c r="I5031">
        <v>7.8810774146520698E-2</v>
      </c>
      <c r="J5031">
        <v>6.2844518668536797E-2</v>
      </c>
      <c r="K5031">
        <v>5.00063473230156E-2</v>
      </c>
      <c r="L5031">
        <v>1198.7181802463999</v>
      </c>
      <c r="M5031">
        <v>24.952341435342898</v>
      </c>
      <c r="N5031">
        <v>48.385856448864303</v>
      </c>
      <c r="O5031">
        <v>47.734942164713502</v>
      </c>
      <c r="P5031">
        <v>-0.12001791413782301</v>
      </c>
      <c r="Q5031">
        <v>8.1614004335173199E-2</v>
      </c>
      <c r="R5031">
        <v>0.99310909076021603</v>
      </c>
      <c r="S5031" t="s">
        <v>11316</v>
      </c>
      <c r="T5031" t="s">
        <v>12568</v>
      </c>
      <c r="U5031" t="s">
        <v>12568</v>
      </c>
      <c r="V5031" t="s">
        <v>12568</v>
      </c>
      <c r="W5031" t="s">
        <v>17548</v>
      </c>
      <c r="X5031">
        <v>27</v>
      </c>
      <c r="Y5031" t="s">
        <v>23652</v>
      </c>
      <c r="Z5031" t="s">
        <v>29901</v>
      </c>
      <c r="AA5031">
        <v>0.33590037640475923</v>
      </c>
      <c r="AB5031" t="str">
        <f>HYPERLINK("Melting_Curves/meltCurve_Q9BTW9_TBCD.pdf", "Melting_Curves/meltCurve_Q9BTW9_TBCD.pdf")</f>
        <v>Melting_Curves/meltCurve_Q9BTW9_TBCD.pdf</v>
      </c>
    </row>
    <row r="5032" spans="1:28" x14ac:dyDescent="0.25">
      <c r="A5032" t="s">
        <v>5036</v>
      </c>
      <c r="B5032">
        <v>0.99352677808782597</v>
      </c>
      <c r="C5032">
        <v>0.98494084780915903</v>
      </c>
      <c r="D5032">
        <v>0.99449133919959298</v>
      </c>
      <c r="E5032">
        <v>0.85082425825611396</v>
      </c>
      <c r="F5032">
        <v>0.81792868262621199</v>
      </c>
      <c r="G5032">
        <v>0.73915791580504397</v>
      </c>
      <c r="H5032">
        <v>0.49366854050688103</v>
      </c>
      <c r="I5032">
        <v>0.451541276019299</v>
      </c>
      <c r="J5032">
        <v>0.24095891417689599</v>
      </c>
      <c r="K5032">
        <v>0.163904865344287</v>
      </c>
      <c r="L5032">
        <v>667.22920574210605</v>
      </c>
      <c r="M5032">
        <v>10.9001450642593</v>
      </c>
      <c r="N5032">
        <v>61.212873959927698</v>
      </c>
      <c r="O5032">
        <v>59.2607035124785</v>
      </c>
      <c r="P5032">
        <v>-4.5999934999433903E-2</v>
      </c>
      <c r="Q5032">
        <v>0</v>
      </c>
      <c r="R5032">
        <v>0.981691987714298</v>
      </c>
      <c r="S5032" t="s">
        <v>11317</v>
      </c>
      <c r="T5032" t="s">
        <v>12568</v>
      </c>
      <c r="U5032" t="s">
        <v>12568</v>
      </c>
      <c r="V5032" t="s">
        <v>12568</v>
      </c>
      <c r="W5032" t="s">
        <v>17549</v>
      </c>
      <c r="X5032">
        <v>4</v>
      </c>
      <c r="Y5032" t="s">
        <v>23653</v>
      </c>
      <c r="Z5032" t="s">
        <v>29902</v>
      </c>
      <c r="AA5032">
        <v>0.6974407898977445</v>
      </c>
      <c r="AB5032" t="str">
        <f>HYPERLINK("Melting_Curves/meltCurve_Q9BTX7_TTPAL.pdf", "Melting_Curves/meltCurve_Q9BTX7_TTPAL.pdf")</f>
        <v>Melting_Curves/meltCurve_Q9BTX7_TTPAL.pdf</v>
      </c>
    </row>
    <row r="5033" spans="1:28" x14ac:dyDescent="0.25">
      <c r="A5033" t="s">
        <v>5037</v>
      </c>
      <c r="B5033">
        <v>0.99352677808782597</v>
      </c>
      <c r="C5033">
        <v>0.97349301275009004</v>
      </c>
      <c r="D5033">
        <v>0.89706063671792202</v>
      </c>
      <c r="E5033">
        <v>0.80349020737279997</v>
      </c>
      <c r="F5033">
        <v>0.67585636751712197</v>
      </c>
      <c r="G5033">
        <v>0.53861617155753805</v>
      </c>
      <c r="H5033">
        <v>0.38218722079190798</v>
      </c>
      <c r="I5033">
        <v>0.16828623895019201</v>
      </c>
      <c r="J5033">
        <v>0.118182879625041</v>
      </c>
      <c r="K5033">
        <v>0.106497446917782</v>
      </c>
      <c r="L5033">
        <v>629.17572324889898</v>
      </c>
      <c r="M5033">
        <v>11.0606877020545</v>
      </c>
      <c r="N5033">
        <v>56.883960573618602</v>
      </c>
      <c r="O5033">
        <v>55.119472907208198</v>
      </c>
      <c r="P5033">
        <v>-5.0183455722897903E-2</v>
      </c>
      <c r="Q5033">
        <v>0</v>
      </c>
      <c r="R5033">
        <v>0.98901509465833803</v>
      </c>
      <c r="S5033" t="s">
        <v>11318</v>
      </c>
      <c r="T5033" t="s">
        <v>12568</v>
      </c>
      <c r="U5033" t="s">
        <v>12568</v>
      </c>
      <c r="V5033" t="s">
        <v>12568</v>
      </c>
      <c r="W5033" t="s">
        <v>17550</v>
      </c>
      <c r="X5033">
        <v>4</v>
      </c>
      <c r="Y5033" t="s">
        <v>23654</v>
      </c>
      <c r="Z5033" t="s">
        <v>29903</v>
      </c>
      <c r="AA5033">
        <v>0.57992697513296676</v>
      </c>
      <c r="AB5033" t="str">
        <f>HYPERLINK("Melting_Curves/meltCurve_Q9BTY2_FUCA2.pdf", "Melting_Curves/meltCurve_Q9BTY2_FUCA2.pdf")</f>
        <v>Melting_Curves/meltCurve_Q9BTY2_FUCA2.pdf</v>
      </c>
    </row>
    <row r="5034" spans="1:28" x14ac:dyDescent="0.25">
      <c r="A5034" t="s">
        <v>5038</v>
      </c>
      <c r="B5034">
        <v>0.99352677808782597</v>
      </c>
      <c r="C5034">
        <v>0.94801845835860998</v>
      </c>
      <c r="D5034">
        <v>0.78162732711639005</v>
      </c>
      <c r="E5034">
        <v>0.32123405074188499</v>
      </c>
      <c r="F5034">
        <v>0.25747912687480501</v>
      </c>
      <c r="G5034">
        <v>0.167808546931555</v>
      </c>
      <c r="H5034">
        <v>0.112901378546765</v>
      </c>
      <c r="I5034">
        <v>0.10459665314387701</v>
      </c>
      <c r="J5034">
        <v>8.4389771450146603E-2</v>
      </c>
      <c r="K5034">
        <v>6.0987746171768699E-2</v>
      </c>
      <c r="L5034">
        <v>1057.6929383818299</v>
      </c>
      <c r="M5034">
        <v>21.9815375602243</v>
      </c>
      <c r="N5034">
        <v>48.612609108196402</v>
      </c>
      <c r="O5034">
        <v>47.724409125749901</v>
      </c>
      <c r="P5034">
        <v>-0.103598503715243</v>
      </c>
      <c r="Q5034">
        <v>0.10032377218496299</v>
      </c>
      <c r="R5034">
        <v>0.99245380179152698</v>
      </c>
      <c r="S5034" t="s">
        <v>11319</v>
      </c>
      <c r="T5034" t="s">
        <v>12568</v>
      </c>
      <c r="U5034" t="s">
        <v>12568</v>
      </c>
      <c r="V5034" t="s">
        <v>12568</v>
      </c>
      <c r="W5034" t="s">
        <v>17551</v>
      </c>
      <c r="X5034">
        <v>11</v>
      </c>
      <c r="Y5034" t="s">
        <v>23655</v>
      </c>
      <c r="Z5034" t="s">
        <v>29904</v>
      </c>
      <c r="AA5034">
        <v>0.35419994177167308</v>
      </c>
      <c r="AB5034" t="str">
        <f>HYPERLINK("Melting_Curves/meltCurve_Q9BTY7_FAM203A.pdf", "Melting_Curves/meltCurve_Q9BTY7_FAM203A.pdf")</f>
        <v>Melting_Curves/meltCurve_Q9BTY7_FAM203A.pdf</v>
      </c>
    </row>
    <row r="5035" spans="1:28" x14ac:dyDescent="0.25">
      <c r="A5035" t="s">
        <v>5039</v>
      </c>
      <c r="B5035">
        <v>0.99352677808782597</v>
      </c>
      <c r="C5035">
        <v>0.90364609949897701</v>
      </c>
      <c r="D5035">
        <v>0.76984890792531402</v>
      </c>
      <c r="E5035">
        <v>0.36549282498334101</v>
      </c>
      <c r="F5035">
        <v>0.27425605494131799</v>
      </c>
      <c r="G5035">
        <v>0.20367705602681099</v>
      </c>
      <c r="H5035">
        <v>0.16956430825632399</v>
      </c>
      <c r="I5035">
        <v>0.122017164629471</v>
      </c>
      <c r="J5035">
        <v>5.9992984198624699E-2</v>
      </c>
      <c r="K5035">
        <v>4.9586636129088799E-2</v>
      </c>
      <c r="L5035">
        <v>837.55695054967305</v>
      </c>
      <c r="M5035">
        <v>17.3210021190331</v>
      </c>
      <c r="N5035">
        <v>48.954290134129003</v>
      </c>
      <c r="O5035">
        <v>47.724286856686398</v>
      </c>
      <c r="P5035">
        <v>-8.2071137472839104E-2</v>
      </c>
      <c r="Q5035">
        <v>9.5535021649955296E-2</v>
      </c>
      <c r="R5035">
        <v>0.98782951721033097</v>
      </c>
      <c r="S5035" t="s">
        <v>11320</v>
      </c>
      <c r="T5035" t="s">
        <v>12568</v>
      </c>
      <c r="U5035" t="s">
        <v>12568</v>
      </c>
      <c r="V5035" t="s">
        <v>12568</v>
      </c>
      <c r="W5035" t="s">
        <v>17552</v>
      </c>
      <c r="X5035">
        <v>3</v>
      </c>
      <c r="Y5035" t="s">
        <v>23656</v>
      </c>
      <c r="Z5035" t="s">
        <v>29905</v>
      </c>
      <c r="AA5035">
        <v>0.36461892542425339</v>
      </c>
      <c r="AB5035" t="str">
        <f>HYPERLINK("Melting_Curves/meltCurve_Q9BTZ2_DHRS4.pdf", "Melting_Curves/meltCurve_Q9BTZ2_DHRS4.pdf")</f>
        <v>Melting_Curves/meltCurve_Q9BTZ2_DHRS4.pdf</v>
      </c>
    </row>
    <row r="5036" spans="1:28" x14ac:dyDescent="0.25">
      <c r="A5036" t="s">
        <v>5040</v>
      </c>
      <c r="B5036">
        <v>0.99352677808782597</v>
      </c>
      <c r="C5036">
        <v>0.95841990700808999</v>
      </c>
      <c r="D5036">
        <v>0.99821456405853404</v>
      </c>
      <c r="E5036">
        <v>0.72879610386101701</v>
      </c>
      <c r="F5036">
        <v>0.68141686304779203</v>
      </c>
      <c r="G5036">
        <v>0.41038114503621698</v>
      </c>
      <c r="H5036">
        <v>0.27130146121126397</v>
      </c>
      <c r="I5036">
        <v>0.30037312994286203</v>
      </c>
      <c r="J5036">
        <v>0.22895164486111499</v>
      </c>
      <c r="K5036">
        <v>0.19712027719957601</v>
      </c>
      <c r="L5036">
        <v>806.707439213096</v>
      </c>
      <c r="M5036">
        <v>15.0475145278351</v>
      </c>
      <c r="N5036">
        <v>55.370772462479998</v>
      </c>
      <c r="O5036">
        <v>52.6905792970608</v>
      </c>
      <c r="P5036">
        <v>-5.7830007238838903E-2</v>
      </c>
      <c r="Q5036">
        <v>0.19008749199706501</v>
      </c>
      <c r="R5036">
        <v>0.98508636000480798</v>
      </c>
      <c r="S5036" t="s">
        <v>11321</v>
      </c>
      <c r="T5036" t="s">
        <v>12568</v>
      </c>
      <c r="U5036" t="s">
        <v>12568</v>
      </c>
      <c r="V5036" t="s">
        <v>12568</v>
      </c>
      <c r="W5036" t="s">
        <v>17553</v>
      </c>
      <c r="X5036">
        <v>10</v>
      </c>
      <c r="Y5036" t="s">
        <v>23657</v>
      </c>
      <c r="Z5036" t="s">
        <v>29906</v>
      </c>
      <c r="AA5036">
        <v>0.57441882520694321</v>
      </c>
      <c r="AB5036" t="str">
        <f>HYPERLINK("Melting_Curves/meltCurve_Q9BU02_THTPA.pdf", "Melting_Curves/meltCurve_Q9BU02_THTPA.pdf")</f>
        <v>Melting_Curves/meltCurve_Q9BU02_THTPA.pdf</v>
      </c>
    </row>
    <row r="5037" spans="1:28" x14ac:dyDescent="0.25">
      <c r="A5037" t="s">
        <v>5041</v>
      </c>
      <c r="B5037">
        <v>0.99352677808782597</v>
      </c>
      <c r="C5037">
        <v>0.94103798301874098</v>
      </c>
      <c r="D5037">
        <v>0.92203196845721702</v>
      </c>
      <c r="E5037">
        <v>0.37340593918461401</v>
      </c>
      <c r="F5037">
        <v>0.37997845088863602</v>
      </c>
      <c r="G5037">
        <v>0.199336169525345</v>
      </c>
      <c r="H5037">
        <v>0.14776282188992201</v>
      </c>
      <c r="I5037">
        <v>0.15715118942107201</v>
      </c>
      <c r="J5037">
        <v>0.132195880187857</v>
      </c>
      <c r="K5037">
        <v>9.0571780752979905E-2</v>
      </c>
      <c r="L5037">
        <v>1111.6580993384</v>
      </c>
      <c r="M5037">
        <v>22.668283956394198</v>
      </c>
      <c r="N5037">
        <v>49.775824275257698</v>
      </c>
      <c r="O5037">
        <v>48.663376564704002</v>
      </c>
      <c r="P5037">
        <v>-9.9881927821952404E-2</v>
      </c>
      <c r="Q5037">
        <v>0.14232674603831399</v>
      </c>
      <c r="R5037">
        <v>0.97366100524835497</v>
      </c>
      <c r="S5037" t="s">
        <v>11322</v>
      </c>
      <c r="T5037" t="s">
        <v>12568</v>
      </c>
      <c r="U5037" t="s">
        <v>12568</v>
      </c>
      <c r="V5037" t="s">
        <v>12568</v>
      </c>
      <c r="W5037" t="s">
        <v>17554</v>
      </c>
      <c r="X5037">
        <v>2</v>
      </c>
      <c r="Y5037" t="s">
        <v>23658</v>
      </c>
      <c r="Z5037" t="s">
        <v>29907</v>
      </c>
      <c r="AA5037">
        <v>0.41007727019985629</v>
      </c>
      <c r="AB5037" t="str">
        <f>HYPERLINK("Melting_Curves/meltCurve_Q9BU61_2_NDUFAF3.pdf", "Melting_Curves/meltCurve_Q9BU61_2_NDUFAF3.pdf")</f>
        <v>Melting_Curves/meltCurve_Q9BU61_2_NDUFAF3.pdf</v>
      </c>
    </row>
    <row r="5038" spans="1:28" x14ac:dyDescent="0.25">
      <c r="A5038" t="s">
        <v>5042</v>
      </c>
      <c r="B5038">
        <v>0.99352677808782597</v>
      </c>
      <c r="C5038">
        <v>0.91497347606550805</v>
      </c>
      <c r="D5038">
        <v>0.78954008106288898</v>
      </c>
      <c r="E5038">
        <v>0.69491083015572297</v>
      </c>
      <c r="F5038">
        <v>0.72962119313726803</v>
      </c>
      <c r="G5038">
        <v>0.62974015166866104</v>
      </c>
      <c r="H5038">
        <v>0.43951482237388201</v>
      </c>
      <c r="I5038">
        <v>0.49080163363996598</v>
      </c>
      <c r="J5038">
        <v>0.55904365841065096</v>
      </c>
      <c r="K5038">
        <v>0.530587480231831</v>
      </c>
      <c r="L5038">
        <v>500.03065376778</v>
      </c>
      <c r="M5038">
        <v>10.118299008183399</v>
      </c>
      <c r="O5038">
        <v>47.604658147483903</v>
      </c>
      <c r="P5038">
        <v>-2.76674315951102E-2</v>
      </c>
      <c r="Q5038">
        <v>0.47956214195186903</v>
      </c>
      <c r="R5038">
        <v>0.90996982540291205</v>
      </c>
      <c r="S5038" t="s">
        <v>11323</v>
      </c>
      <c r="T5038" t="s">
        <v>12568</v>
      </c>
      <c r="U5038" t="s">
        <v>12568</v>
      </c>
      <c r="V5038" t="s">
        <v>12568</v>
      </c>
      <c r="W5038" t="s">
        <v>17555</v>
      </c>
      <c r="X5038">
        <v>1</v>
      </c>
      <c r="Y5038" t="s">
        <v>23659</v>
      </c>
      <c r="Z5038" t="s">
        <v>29908</v>
      </c>
      <c r="AA5038">
        <v>0.66718621330387362</v>
      </c>
      <c r="AB5038" t="str">
        <f>HYPERLINK("Melting_Curves/meltCurve_Q9BU64_CENPO.pdf", "Melting_Curves/meltCurve_Q9BU64_CENPO.pdf")</f>
        <v>Melting_Curves/meltCurve_Q9BU64_CENPO.pdf</v>
      </c>
    </row>
    <row r="5039" spans="1:28" x14ac:dyDescent="0.25">
      <c r="A5039" t="s">
        <v>5043</v>
      </c>
      <c r="B5039">
        <v>0.99352677808782597</v>
      </c>
      <c r="C5039">
        <v>0.99657713188113495</v>
      </c>
      <c r="D5039">
        <v>0.98275782229026398</v>
      </c>
      <c r="E5039">
        <v>0.83587916321285605</v>
      </c>
      <c r="F5039">
        <v>0.70975157316333404</v>
      </c>
      <c r="G5039">
        <v>0.69604825883603905</v>
      </c>
      <c r="H5039">
        <v>0.63566370530819605</v>
      </c>
      <c r="I5039">
        <v>0.68614335209519695</v>
      </c>
      <c r="J5039">
        <v>0.67553388116469704</v>
      </c>
      <c r="K5039">
        <v>0.54536092578578499</v>
      </c>
      <c r="L5039">
        <v>1204.1292285995</v>
      </c>
      <c r="M5039">
        <v>23.872917862382199</v>
      </c>
      <c r="O5039">
        <v>50.089208464008301</v>
      </c>
      <c r="P5039">
        <v>-4.3043516201670302E-2</v>
      </c>
      <c r="Q5039">
        <v>0.63875706315633396</v>
      </c>
      <c r="R5039">
        <v>0.94268106214476299</v>
      </c>
      <c r="S5039" t="s">
        <v>11324</v>
      </c>
      <c r="T5039" t="s">
        <v>12568</v>
      </c>
      <c r="U5039" t="s">
        <v>12568</v>
      </c>
      <c r="V5039" t="s">
        <v>12568</v>
      </c>
      <c r="W5039" t="s">
        <v>17556</v>
      </c>
      <c r="X5039">
        <v>3</v>
      </c>
      <c r="Y5039" t="s">
        <v>23660</v>
      </c>
      <c r="Z5039" t="s">
        <v>29909</v>
      </c>
      <c r="AA5039">
        <v>0.7680139806005134</v>
      </c>
      <c r="AB5039" t="str">
        <f>HYPERLINK("Melting_Curves/meltCurve_Q9BU76_4_MMTAG2.pdf", "Melting_Curves/meltCurve_Q9BU76_4_MMTAG2.pdf")</f>
        <v>Melting_Curves/meltCurve_Q9BU76_4_MMTAG2.pdf</v>
      </c>
    </row>
    <row r="5040" spans="1:28" x14ac:dyDescent="0.25">
      <c r="A5040" t="s">
        <v>5044</v>
      </c>
      <c r="B5040">
        <v>0.99352677808782597</v>
      </c>
      <c r="C5040">
        <v>0.949661147929862</v>
      </c>
      <c r="D5040">
        <v>0.84222497996960899</v>
      </c>
      <c r="E5040">
        <v>0.54583727492401501</v>
      </c>
      <c r="F5040">
        <v>0.45989542068980699</v>
      </c>
      <c r="G5040">
        <v>0.32694457920464998</v>
      </c>
      <c r="H5040">
        <v>0.25238835892297901</v>
      </c>
      <c r="I5040">
        <v>0.26795048777281799</v>
      </c>
      <c r="J5040">
        <v>0.26467386331014398</v>
      </c>
      <c r="K5040">
        <v>0.20803602690351999</v>
      </c>
      <c r="L5040">
        <v>799.82171628054505</v>
      </c>
      <c r="M5040">
        <v>16.159624285147199</v>
      </c>
      <c r="N5040">
        <v>51.509316094279399</v>
      </c>
      <c r="O5040">
        <v>48.755715440843197</v>
      </c>
      <c r="P5040">
        <v>-6.3457882229775803E-2</v>
      </c>
      <c r="Q5040">
        <v>0.23421460801706501</v>
      </c>
      <c r="R5040">
        <v>0.99414399879635396</v>
      </c>
      <c r="S5040" t="s">
        <v>11325</v>
      </c>
      <c r="T5040" t="s">
        <v>12568</v>
      </c>
      <c r="U5040" t="s">
        <v>12568</v>
      </c>
      <c r="V5040" t="s">
        <v>12568</v>
      </c>
      <c r="W5040" t="s">
        <v>17557</v>
      </c>
      <c r="X5040">
        <v>9</v>
      </c>
      <c r="Y5040" t="s">
        <v>23661</v>
      </c>
      <c r="Z5040" t="s">
        <v>29910</v>
      </c>
      <c r="AA5040">
        <v>0.49275997986648601</v>
      </c>
      <c r="AB5040" t="str">
        <f>HYPERLINK("Melting_Curves/meltCurve_Q9BU89_DOHH.pdf", "Melting_Curves/meltCurve_Q9BU89_DOHH.pdf")</f>
        <v>Melting_Curves/meltCurve_Q9BU89_DOHH.pdf</v>
      </c>
    </row>
    <row r="5041" spans="1:28" x14ac:dyDescent="0.25">
      <c r="A5041" t="s">
        <v>5045</v>
      </c>
      <c r="B5041">
        <v>0.99352677808782597</v>
      </c>
      <c r="C5041">
        <v>1.00020080635433</v>
      </c>
      <c r="D5041">
        <v>1.07423851568058</v>
      </c>
      <c r="E5041">
        <v>1.1155940993606299</v>
      </c>
      <c r="F5041">
        <v>1.0716860330132301</v>
      </c>
      <c r="G5041">
        <v>0.58329222783833201</v>
      </c>
      <c r="H5041">
        <v>0.51153539143223803</v>
      </c>
      <c r="I5041">
        <v>0.55831405715687299</v>
      </c>
      <c r="J5041">
        <v>0.55062765539192704</v>
      </c>
      <c r="K5041">
        <v>0.51094757014526204</v>
      </c>
      <c r="L5041">
        <v>14129.634380219701</v>
      </c>
      <c r="M5041">
        <v>250</v>
      </c>
      <c r="O5041">
        <v>56.514920742785201</v>
      </c>
      <c r="P5041">
        <v>-0.51661560893800096</v>
      </c>
      <c r="Q5041">
        <v>0.53285615772600103</v>
      </c>
      <c r="R5041">
        <v>0.96070077264357701</v>
      </c>
      <c r="S5041" t="s">
        <v>11326</v>
      </c>
      <c r="T5041" t="s">
        <v>12568</v>
      </c>
      <c r="U5041" t="s">
        <v>12568</v>
      </c>
      <c r="V5041" t="s">
        <v>12568</v>
      </c>
      <c r="W5041" t="s">
        <v>17558</v>
      </c>
      <c r="X5041">
        <v>7</v>
      </c>
      <c r="Y5041" t="s">
        <v>23662</v>
      </c>
      <c r="Z5041" t="s">
        <v>29911</v>
      </c>
      <c r="AA5041">
        <v>0.79012026287007042</v>
      </c>
      <c r="AB5041" t="str">
        <f>HYPERLINK("Melting_Curves/meltCurve_Q9BUA3_C11orf84.pdf", "Melting_Curves/meltCurve_Q9BUA3_C11orf84.pdf")</f>
        <v>Melting_Curves/meltCurve_Q9BUA3_C11orf84.pdf</v>
      </c>
    </row>
    <row r="5042" spans="1:28" x14ac:dyDescent="0.25">
      <c r="A5042" t="s">
        <v>5046</v>
      </c>
      <c r="B5042">
        <v>0.99352677808782597</v>
      </c>
      <c r="C5042">
        <v>0.90193358477341001</v>
      </c>
      <c r="D5042">
        <v>0.78869679328714803</v>
      </c>
      <c r="E5042">
        <v>0.25969211768831602</v>
      </c>
      <c r="F5042">
        <v>0.21335051943557701</v>
      </c>
      <c r="G5042">
        <v>0.15010887214982899</v>
      </c>
      <c r="H5042">
        <v>0.13432127086075801</v>
      </c>
      <c r="I5042">
        <v>0.120155673681321</v>
      </c>
      <c r="J5042">
        <v>0.11117281494899001</v>
      </c>
      <c r="K5042">
        <v>0.111808997002854</v>
      </c>
      <c r="L5042">
        <v>1362.7096339909001</v>
      </c>
      <c r="M5042">
        <v>28.669276382183</v>
      </c>
      <c r="N5042">
        <v>48.022435845150802</v>
      </c>
      <c r="O5042">
        <v>47.302594398627001</v>
      </c>
      <c r="P5042">
        <v>-0.132294044901929</v>
      </c>
      <c r="Q5042">
        <v>0.12689771116051901</v>
      </c>
      <c r="R5042">
        <v>0.99260057393855705</v>
      </c>
      <c r="S5042" t="s">
        <v>11327</v>
      </c>
      <c r="T5042" t="s">
        <v>12568</v>
      </c>
      <c r="U5042" t="s">
        <v>12568</v>
      </c>
      <c r="V5042" t="s">
        <v>12568</v>
      </c>
      <c r="W5042" t="s">
        <v>17559</v>
      </c>
      <c r="X5042">
        <v>3</v>
      </c>
      <c r="Y5042" t="s">
        <v>23663</v>
      </c>
      <c r="Z5042" t="s">
        <v>29912</v>
      </c>
      <c r="AA5042">
        <v>0.35187413951435881</v>
      </c>
      <c r="AB5042" t="str">
        <f>HYPERLINK("Melting_Curves/meltCurve_Q9BUB4_ADAT1.pdf", "Melting_Curves/meltCurve_Q9BUB4_ADAT1.pdf")</f>
        <v>Melting_Curves/meltCurve_Q9BUB4_ADAT1.pdf</v>
      </c>
    </row>
    <row r="5043" spans="1:28" x14ac:dyDescent="0.25">
      <c r="A5043" t="s">
        <v>5047</v>
      </c>
      <c r="B5043">
        <v>0.99352677808782597</v>
      </c>
      <c r="C5043">
        <v>0.949368477474962</v>
      </c>
      <c r="D5043">
        <v>0.95547279429103904</v>
      </c>
      <c r="E5043">
        <v>0.44219550351655001</v>
      </c>
      <c r="F5043">
        <v>0.37461157710843501</v>
      </c>
      <c r="G5043">
        <v>0.10766875095947499</v>
      </c>
      <c r="H5043">
        <v>6.4480239943399506E-2</v>
      </c>
      <c r="I5043">
        <v>5.3190685959653101E-2</v>
      </c>
      <c r="J5043">
        <v>5.0203522639477298E-2</v>
      </c>
      <c r="K5043">
        <v>3.9072515962747301E-2</v>
      </c>
      <c r="L5043">
        <v>1018.02838083944</v>
      </c>
      <c r="M5043">
        <v>20.281188705421702</v>
      </c>
      <c r="N5043">
        <v>50.424616463547203</v>
      </c>
      <c r="O5043">
        <v>49.7153277959642</v>
      </c>
      <c r="P5043">
        <v>-9.7504125529558699E-2</v>
      </c>
      <c r="Q5043">
        <v>4.3981033570546502E-2</v>
      </c>
      <c r="R5043">
        <v>0.98348272936182601</v>
      </c>
      <c r="S5043" t="s">
        <v>11328</v>
      </c>
      <c r="T5043" t="s">
        <v>12568</v>
      </c>
      <c r="U5043" t="s">
        <v>12568</v>
      </c>
      <c r="V5043" t="s">
        <v>12568</v>
      </c>
      <c r="W5043" t="s">
        <v>17560</v>
      </c>
      <c r="X5043">
        <v>3</v>
      </c>
      <c r="Y5043" t="s">
        <v>23664</v>
      </c>
      <c r="Z5043" t="s">
        <v>29913</v>
      </c>
      <c r="AA5043">
        <v>0.38183505010923552</v>
      </c>
      <c r="AB5043" t="str">
        <f>HYPERLINK("Melting_Curves/meltCurve_Q9BUB5_2_MKNK1.pdf", "Melting_Curves/meltCurve_Q9BUB5_2_MKNK1.pdf")</f>
        <v>Melting_Curves/meltCurve_Q9BUB5_2_MKNK1.pdf</v>
      </c>
    </row>
    <row r="5044" spans="1:28" x14ac:dyDescent="0.25">
      <c r="A5044" t="s">
        <v>5048</v>
      </c>
      <c r="B5044">
        <v>0.99352677808782597</v>
      </c>
      <c r="C5044">
        <v>0.962144035090719</v>
      </c>
      <c r="D5044">
        <v>1.0112676326785801</v>
      </c>
      <c r="E5044">
        <v>0.70464644625907003</v>
      </c>
      <c r="F5044">
        <v>0.633755729270012</v>
      </c>
      <c r="G5044">
        <v>0.34923746174950598</v>
      </c>
      <c r="H5044">
        <v>0.152922356578713</v>
      </c>
      <c r="I5044">
        <v>0.135081724921019</v>
      </c>
      <c r="J5044">
        <v>0.11204514782731299</v>
      </c>
      <c r="K5044">
        <v>8.9406722788482093E-2</v>
      </c>
      <c r="L5044">
        <v>840.86126534723405</v>
      </c>
      <c r="M5044">
        <v>15.6144416492379</v>
      </c>
      <c r="N5044">
        <v>54.290878246633397</v>
      </c>
      <c r="O5044">
        <v>52.991435312059799</v>
      </c>
      <c r="P5044">
        <v>-6.9298775689074402E-2</v>
      </c>
      <c r="Q5044">
        <v>5.9351661223356597E-2</v>
      </c>
      <c r="R5044">
        <v>0.988746256400866</v>
      </c>
      <c r="S5044" t="s">
        <v>11329</v>
      </c>
      <c r="T5044" t="s">
        <v>12568</v>
      </c>
      <c r="U5044" t="s">
        <v>12568</v>
      </c>
      <c r="V5044" t="s">
        <v>12568</v>
      </c>
      <c r="W5044" t="s">
        <v>17561</v>
      </c>
      <c r="X5044">
        <v>5</v>
      </c>
      <c r="Y5044" t="s">
        <v>23665</v>
      </c>
      <c r="Z5044" t="s">
        <v>29914</v>
      </c>
      <c r="AA5044">
        <v>0.51213453683889543</v>
      </c>
      <c r="AB5044" t="str">
        <f>HYPERLINK("Melting_Curves/meltCurve_Q9BUE0_MED18.pdf", "Melting_Curves/meltCurve_Q9BUE0_MED18.pdf")</f>
        <v>Melting_Curves/meltCurve_Q9BUE0_MED18.pdf</v>
      </c>
    </row>
    <row r="5045" spans="1:28" x14ac:dyDescent="0.25">
      <c r="A5045" t="s">
        <v>5049</v>
      </c>
      <c r="B5045">
        <v>0.99352677808782597</v>
      </c>
      <c r="C5045">
        <v>0.89215815074889304</v>
      </c>
      <c r="D5045">
        <v>1.0050750067802301</v>
      </c>
      <c r="E5045">
        <v>0.53930890130726905</v>
      </c>
      <c r="F5045">
        <v>0.42517333742222502</v>
      </c>
      <c r="G5045">
        <v>0.204969036429202</v>
      </c>
      <c r="H5045">
        <v>0.12182147598331899</v>
      </c>
      <c r="I5045">
        <v>9.8144146178435601E-2</v>
      </c>
      <c r="J5045">
        <v>0.10125156042165399</v>
      </c>
      <c r="K5045">
        <v>8.1959302100391498E-2</v>
      </c>
      <c r="L5045">
        <v>964.54425820199504</v>
      </c>
      <c r="M5045">
        <v>18.947359998845901</v>
      </c>
      <c r="N5045">
        <v>51.427503626729603</v>
      </c>
      <c r="O5045">
        <v>50.349644699131701</v>
      </c>
      <c r="P5045">
        <v>-8.5867122168872601E-2</v>
      </c>
      <c r="Q5045">
        <v>8.7323134610661601E-2</v>
      </c>
      <c r="R5045">
        <v>0.97913677353529904</v>
      </c>
      <c r="S5045" t="s">
        <v>11330</v>
      </c>
      <c r="T5045" t="s">
        <v>12568</v>
      </c>
      <c r="U5045" t="s">
        <v>12568</v>
      </c>
      <c r="V5045" t="s">
        <v>12568</v>
      </c>
      <c r="W5045" t="s">
        <v>17562</v>
      </c>
      <c r="X5045">
        <v>20</v>
      </c>
      <c r="Y5045" t="s">
        <v>23666</v>
      </c>
      <c r="Z5045" t="s">
        <v>29915</v>
      </c>
      <c r="AA5045">
        <v>0.43314305452966761</v>
      </c>
      <c r="AB5045" t="str">
        <f>HYPERLINK("Melting_Curves/meltCurve_Q9BUF5_TUBB6.pdf", "Melting_Curves/meltCurve_Q9BUF5_TUBB6.pdf")</f>
        <v>Melting_Curves/meltCurve_Q9BUF5_TUBB6.pdf</v>
      </c>
    </row>
    <row r="5046" spans="1:28" x14ac:dyDescent="0.25">
      <c r="A5046" t="s">
        <v>5050</v>
      </c>
      <c r="B5046">
        <v>0.99352677808782597</v>
      </c>
      <c r="C5046">
        <v>0.95645265847020899</v>
      </c>
      <c r="D5046">
        <v>0.96638828438137103</v>
      </c>
      <c r="E5046">
        <v>0.87278244334877897</v>
      </c>
      <c r="F5046">
        <v>0.80732647503113497</v>
      </c>
      <c r="G5046">
        <v>0.74387132768378295</v>
      </c>
      <c r="H5046">
        <v>0.61813137824056796</v>
      </c>
      <c r="I5046">
        <v>0.59604923716147296</v>
      </c>
      <c r="J5046">
        <v>0.47094341884458502</v>
      </c>
      <c r="K5046">
        <v>0.26854617441899598</v>
      </c>
      <c r="L5046">
        <v>488.01808754692001</v>
      </c>
      <c r="M5046">
        <v>7.5351777499405799</v>
      </c>
      <c r="N5046">
        <v>64.765304716602998</v>
      </c>
      <c r="O5046">
        <v>60.675039512981101</v>
      </c>
      <c r="P5046">
        <v>-3.1091142038023701E-2</v>
      </c>
      <c r="Q5046">
        <v>0</v>
      </c>
      <c r="R5046">
        <v>0.96460765636423895</v>
      </c>
      <c r="S5046" t="s">
        <v>11331</v>
      </c>
      <c r="T5046" t="s">
        <v>12568</v>
      </c>
      <c r="U5046" t="s">
        <v>12568</v>
      </c>
      <c r="V5046" t="s">
        <v>12568</v>
      </c>
      <c r="W5046" t="s">
        <v>17563</v>
      </c>
      <c r="X5046">
        <v>12</v>
      </c>
      <c r="Y5046" t="s">
        <v>23667</v>
      </c>
      <c r="Z5046" t="s">
        <v>29916</v>
      </c>
      <c r="AA5046">
        <v>0.74717293079798519</v>
      </c>
      <c r="AB5046" t="str">
        <f>HYPERLINK("Melting_Curves/meltCurve_Q9BUH6_C9orf142.pdf", "Melting_Curves/meltCurve_Q9BUH6_C9orf142.pdf")</f>
        <v>Melting_Curves/meltCurve_Q9BUH6_C9orf142.pdf</v>
      </c>
    </row>
    <row r="5047" spans="1:28" x14ac:dyDescent="0.25">
      <c r="A5047" t="s">
        <v>5051</v>
      </c>
      <c r="B5047">
        <v>0.99352677808782597</v>
      </c>
      <c r="C5047">
        <v>0.94830218242463504</v>
      </c>
      <c r="D5047">
        <v>0.91944875367411005</v>
      </c>
      <c r="E5047">
        <v>0.59693048725315101</v>
      </c>
      <c r="F5047">
        <v>0.51492588903327197</v>
      </c>
      <c r="G5047">
        <v>0.27510264801088302</v>
      </c>
      <c r="H5047">
        <v>0.140570403235691</v>
      </c>
      <c r="I5047">
        <v>0.12756046436912599</v>
      </c>
      <c r="J5047">
        <v>0.111167381164836</v>
      </c>
      <c r="K5047">
        <v>9.2406703618991295E-2</v>
      </c>
      <c r="L5047">
        <v>749.19934199012403</v>
      </c>
      <c r="M5047">
        <v>14.421588483252799</v>
      </c>
      <c r="N5047">
        <v>52.483302931119098</v>
      </c>
      <c r="O5047">
        <v>50.981615776846503</v>
      </c>
      <c r="P5047">
        <v>-6.5906105578934504E-2</v>
      </c>
      <c r="Q5047">
        <v>6.8173698661057006E-2</v>
      </c>
      <c r="R5047">
        <v>0.99265269402172496</v>
      </c>
      <c r="S5047" t="s">
        <v>11332</v>
      </c>
      <c r="T5047" t="s">
        <v>12568</v>
      </c>
      <c r="U5047" t="s">
        <v>12568</v>
      </c>
      <c r="V5047" t="s">
        <v>12568</v>
      </c>
      <c r="W5047" t="s">
        <v>17564</v>
      </c>
      <c r="X5047">
        <v>8</v>
      </c>
      <c r="Y5047" t="s">
        <v>23668</v>
      </c>
      <c r="Z5047" t="s">
        <v>29917</v>
      </c>
      <c r="AA5047">
        <v>0.46149545549905008</v>
      </c>
      <c r="AB5047" t="str">
        <f>HYPERLINK("Melting_Curves/meltCurve_Q9BUI4_POLR3C.pdf", "Melting_Curves/meltCurve_Q9BUI4_POLR3C.pdf")</f>
        <v>Melting_Curves/meltCurve_Q9BUI4_POLR3C.pdf</v>
      </c>
    </row>
    <row r="5048" spans="1:28" x14ac:dyDescent="0.25">
      <c r="A5048" t="s">
        <v>5052</v>
      </c>
      <c r="B5048">
        <v>0.99352677808782597</v>
      </c>
      <c r="C5048">
        <v>0.98345862163699505</v>
      </c>
      <c r="D5048">
        <v>0.97409240127789298</v>
      </c>
      <c r="E5048">
        <v>0.77597980146233103</v>
      </c>
      <c r="F5048">
        <v>0.68338293128550598</v>
      </c>
      <c r="G5048">
        <v>0.566853979806615</v>
      </c>
      <c r="H5048">
        <v>0.43451284436163001</v>
      </c>
      <c r="I5048">
        <v>0.39775444600792798</v>
      </c>
      <c r="J5048">
        <v>0.38344247727531</v>
      </c>
      <c r="K5048">
        <v>0.32831087845072598</v>
      </c>
      <c r="L5048">
        <v>679.508882277971</v>
      </c>
      <c r="M5048">
        <v>12.6121861486806</v>
      </c>
      <c r="N5048">
        <v>58.437891200636997</v>
      </c>
      <c r="O5048">
        <v>52.576515784947901</v>
      </c>
      <c r="P5048">
        <v>-4.1198981664535402E-2</v>
      </c>
      <c r="Q5048">
        <v>0.31315047771884602</v>
      </c>
      <c r="R5048">
        <v>0.99240697566313496</v>
      </c>
      <c r="S5048" t="s">
        <v>11333</v>
      </c>
      <c r="T5048" t="s">
        <v>12568</v>
      </c>
      <c r="U5048" t="s">
        <v>12568</v>
      </c>
      <c r="V5048" t="s">
        <v>12568</v>
      </c>
      <c r="W5048" t="s">
        <v>17565</v>
      </c>
      <c r="X5048">
        <v>29</v>
      </c>
      <c r="Y5048" t="s">
        <v>23669</v>
      </c>
      <c r="Z5048" t="s">
        <v>29918</v>
      </c>
      <c r="AA5048">
        <v>0.64814919255411496</v>
      </c>
      <c r="AB5048" t="str">
        <f>HYPERLINK("Melting_Curves/meltCurve_Q9BUJ2_2_HNRNPUL1.pdf", "Melting_Curves/meltCurve_Q9BUJ2_2_HNRNPUL1.pdf")</f>
        <v>Melting_Curves/meltCurve_Q9BUJ2_2_HNRNPUL1.pdf</v>
      </c>
    </row>
    <row r="5049" spans="1:28" x14ac:dyDescent="0.25">
      <c r="A5049" t="s">
        <v>5053</v>
      </c>
      <c r="B5049">
        <v>0.99352677808782597</v>
      </c>
      <c r="C5049">
        <v>0.99203188181074098</v>
      </c>
      <c r="D5049">
        <v>0.91843158378296696</v>
      </c>
      <c r="E5049">
        <v>0.42893504218155398</v>
      </c>
      <c r="F5049">
        <v>0.34596040767254999</v>
      </c>
      <c r="G5049">
        <v>0.16209964728755299</v>
      </c>
      <c r="H5049">
        <v>0.109697378928822</v>
      </c>
      <c r="I5049">
        <v>0.106101407522251</v>
      </c>
      <c r="J5049">
        <v>8.6533533375906704E-2</v>
      </c>
      <c r="K5049">
        <v>6.7946617391483194E-2</v>
      </c>
      <c r="L5049">
        <v>1087.0101802302199</v>
      </c>
      <c r="M5049">
        <v>21.911307121132801</v>
      </c>
      <c r="N5049">
        <v>50.095489916382299</v>
      </c>
      <c r="O5049">
        <v>49.2018576776426</v>
      </c>
      <c r="P5049">
        <v>-0.100677230917591</v>
      </c>
      <c r="Q5049">
        <v>9.5736870536603694E-2</v>
      </c>
      <c r="R5049">
        <v>0.98832758142415</v>
      </c>
      <c r="S5049" t="s">
        <v>11334</v>
      </c>
      <c r="T5049" t="s">
        <v>12568</v>
      </c>
      <c r="U5049" t="s">
        <v>12568</v>
      </c>
      <c r="V5049" t="s">
        <v>12568</v>
      </c>
      <c r="W5049" t="s">
        <v>17566</v>
      </c>
      <c r="X5049">
        <v>12</v>
      </c>
      <c r="Y5049" t="s">
        <v>23670</v>
      </c>
      <c r="Z5049" t="s">
        <v>29919</v>
      </c>
      <c r="AA5049">
        <v>0.39589925555761252</v>
      </c>
      <c r="AB5049" t="str">
        <f>HYPERLINK("Melting_Curves/meltCurve_Q9BUK6_3_MSTO1.pdf", "Melting_Curves/meltCurve_Q9BUK6_3_MSTO1.pdf")</f>
        <v>Melting_Curves/meltCurve_Q9BUK6_3_MSTO1.pdf</v>
      </c>
    </row>
    <row r="5050" spans="1:28" x14ac:dyDescent="0.25">
      <c r="A5050" t="s">
        <v>5054</v>
      </c>
      <c r="B5050">
        <v>0.99352677808782597</v>
      </c>
      <c r="C5050">
        <v>0.94849959713592402</v>
      </c>
      <c r="D5050">
        <v>1.00885078801988</v>
      </c>
      <c r="E5050">
        <v>1.0888879941487</v>
      </c>
      <c r="F5050">
        <v>1.07217870989379</v>
      </c>
      <c r="G5050">
        <v>1.0138343421706</v>
      </c>
      <c r="H5050">
        <v>0.76646899695083603</v>
      </c>
      <c r="I5050">
        <v>0.52668958208069405</v>
      </c>
      <c r="J5050">
        <v>0.35898429826878198</v>
      </c>
      <c r="K5050">
        <v>0.33382642363521198</v>
      </c>
      <c r="L5050">
        <v>2249.1369277795702</v>
      </c>
      <c r="M5050">
        <v>36.092543592172099</v>
      </c>
      <c r="N5050">
        <v>64.122570018307798</v>
      </c>
      <c r="O5050">
        <v>62.125470787670203</v>
      </c>
      <c r="P5050">
        <v>-9.8886740282278104E-2</v>
      </c>
      <c r="Q5050">
        <v>0.31915411330335902</v>
      </c>
      <c r="R5050">
        <v>0.97702640602910096</v>
      </c>
      <c r="S5050" t="s">
        <v>11335</v>
      </c>
      <c r="T5050" t="s">
        <v>12568</v>
      </c>
      <c r="U5050" t="s">
        <v>12568</v>
      </c>
      <c r="V5050" t="s">
        <v>12568</v>
      </c>
      <c r="W5050" t="s">
        <v>17567</v>
      </c>
      <c r="X5050">
        <v>3</v>
      </c>
      <c r="Y5050" t="s">
        <v>23671</v>
      </c>
      <c r="Z5050" t="s">
        <v>29920</v>
      </c>
      <c r="AA5050">
        <v>0.82822302856862107</v>
      </c>
      <c r="AB5050" t="str">
        <f>HYPERLINK("Melting_Curves/meltCurve_Q9BUL9_RPP25.pdf", "Melting_Curves/meltCurve_Q9BUL9_RPP25.pdf")</f>
        <v>Melting_Curves/meltCurve_Q9BUL9_RPP25.pdf</v>
      </c>
    </row>
    <row r="5051" spans="1:28" x14ac:dyDescent="0.25">
      <c r="A5051" t="s">
        <v>5055</v>
      </c>
      <c r="B5051">
        <v>0.99352677808782597</v>
      </c>
      <c r="C5051">
        <v>0.88885987345346495</v>
      </c>
      <c r="D5051">
        <v>0.87512716864831896</v>
      </c>
      <c r="E5051">
        <v>0.29047020359565101</v>
      </c>
      <c r="F5051">
        <v>0.216762186272416</v>
      </c>
      <c r="G5051">
        <v>0.12921277268786299</v>
      </c>
      <c r="H5051">
        <v>9.0676800178326994E-2</v>
      </c>
      <c r="I5051">
        <v>9.0422768638635395E-2</v>
      </c>
      <c r="J5051">
        <v>8.3105052426002496E-2</v>
      </c>
      <c r="K5051">
        <v>6.8102264661011394E-2</v>
      </c>
      <c r="L5051">
        <v>1433.8283872388999</v>
      </c>
      <c r="M5051">
        <v>29.700350388528499</v>
      </c>
      <c r="N5051">
        <v>48.625116418916797</v>
      </c>
      <c r="O5051">
        <v>48.059216730533102</v>
      </c>
      <c r="P5051">
        <v>-0.139683143998027</v>
      </c>
      <c r="Q5051">
        <v>9.5900813827567502E-2</v>
      </c>
      <c r="R5051">
        <v>0.98697491576319696</v>
      </c>
      <c r="S5051" t="s">
        <v>11336</v>
      </c>
      <c r="T5051" t="s">
        <v>12568</v>
      </c>
      <c r="U5051" t="s">
        <v>12568</v>
      </c>
      <c r="V5051" t="s">
        <v>12568</v>
      </c>
      <c r="W5051" t="s">
        <v>17568</v>
      </c>
      <c r="X5051">
        <v>3</v>
      </c>
      <c r="Y5051" t="s">
        <v>23672</v>
      </c>
      <c r="Z5051" t="s">
        <v>29921</v>
      </c>
      <c r="AA5051">
        <v>0.35089729291831862</v>
      </c>
      <c r="AB5051" t="str">
        <f>HYPERLINK("Melting_Curves/meltCurve_Q9BUP0_EFHD1.pdf", "Melting_Curves/meltCurve_Q9BUP0_EFHD1.pdf")</f>
        <v>Melting_Curves/meltCurve_Q9BUP0_EFHD1.pdf</v>
      </c>
    </row>
    <row r="5052" spans="1:28" x14ac:dyDescent="0.25">
      <c r="A5052" t="s">
        <v>5056</v>
      </c>
      <c r="B5052">
        <v>0.99352677808782597</v>
      </c>
      <c r="C5052">
        <v>0.92269032641811199</v>
      </c>
      <c r="D5052">
        <v>0.65875272428696297</v>
      </c>
      <c r="E5052">
        <v>0.221094151024057</v>
      </c>
      <c r="F5052">
        <v>0.15543270835751</v>
      </c>
      <c r="G5052">
        <v>8.8285761429629503E-2</v>
      </c>
      <c r="H5052">
        <v>6.0188997433770798E-2</v>
      </c>
      <c r="I5052">
        <v>6.0269562184300102E-2</v>
      </c>
      <c r="J5052">
        <v>4.7399891201005101E-2</v>
      </c>
      <c r="K5052">
        <v>3.4612866815070802E-2</v>
      </c>
      <c r="L5052">
        <v>1127.0022587615599</v>
      </c>
      <c r="M5052">
        <v>23.942979382103701</v>
      </c>
      <c r="N5052">
        <v>47.311904993876396</v>
      </c>
      <c r="O5052">
        <v>46.745601609536898</v>
      </c>
      <c r="P5052">
        <v>-0.12068162618503001</v>
      </c>
      <c r="Q5052">
        <v>5.7553519700607597E-2</v>
      </c>
      <c r="R5052">
        <v>0.99776976231478598</v>
      </c>
      <c r="S5052" t="s">
        <v>11337</v>
      </c>
      <c r="T5052" t="s">
        <v>12568</v>
      </c>
      <c r="U5052" t="s">
        <v>12568</v>
      </c>
      <c r="V5052" t="s">
        <v>12568</v>
      </c>
      <c r="W5052" t="s">
        <v>17569</v>
      </c>
      <c r="X5052">
        <v>7</v>
      </c>
      <c r="Y5052" t="s">
        <v>23673</v>
      </c>
      <c r="Z5052" t="s">
        <v>29922</v>
      </c>
      <c r="AA5052">
        <v>0.28890747067028982</v>
      </c>
      <c r="AB5052" t="str">
        <f>HYPERLINK("Melting_Curves/meltCurve_Q9BUP3_HTATIP2.pdf", "Melting_Curves/meltCurve_Q9BUP3_HTATIP2.pdf")</f>
        <v>Melting_Curves/meltCurve_Q9BUP3_HTATIP2.pdf</v>
      </c>
    </row>
    <row r="5053" spans="1:28" x14ac:dyDescent="0.25">
      <c r="A5053" t="s">
        <v>5057</v>
      </c>
      <c r="B5053">
        <v>0.99352677808782597</v>
      </c>
      <c r="C5053">
        <v>0.89525991777735503</v>
      </c>
      <c r="D5053">
        <v>1.1271137276254199</v>
      </c>
      <c r="E5053">
        <v>0.65321245360696401</v>
      </c>
      <c r="F5053">
        <v>0.58554296209950696</v>
      </c>
      <c r="G5053">
        <v>0.36850990611839501</v>
      </c>
      <c r="H5053">
        <v>0.279974840809944</v>
      </c>
      <c r="I5053">
        <v>0.30796038006395199</v>
      </c>
      <c r="J5053">
        <v>0.242823810285476</v>
      </c>
      <c r="K5053">
        <v>0.21590825457890001</v>
      </c>
      <c r="L5053">
        <v>1040.71859518509</v>
      </c>
      <c r="M5053">
        <v>20.0758106225645</v>
      </c>
      <c r="N5053">
        <v>53.689552736472002</v>
      </c>
      <c r="O5053">
        <v>51.333295423530203</v>
      </c>
      <c r="P5053">
        <v>-7.3363928601154094E-2</v>
      </c>
      <c r="Q5053">
        <v>0.24966587345231001</v>
      </c>
      <c r="R5053">
        <v>0.94364019413276601</v>
      </c>
      <c r="S5053" t="s">
        <v>11338</v>
      </c>
      <c r="T5053" t="s">
        <v>12568</v>
      </c>
      <c r="U5053" t="s">
        <v>12568</v>
      </c>
      <c r="V5053" t="s">
        <v>12568</v>
      </c>
      <c r="W5053" t="s">
        <v>17570</v>
      </c>
      <c r="X5053">
        <v>16</v>
      </c>
      <c r="Y5053" t="s">
        <v>23674</v>
      </c>
      <c r="Z5053" t="s">
        <v>29923</v>
      </c>
      <c r="AA5053">
        <v>0.55610299600730884</v>
      </c>
      <c r="AB5053" t="str">
        <f>HYPERLINK("Melting_Curves/meltCurve_Q9BUQ8_DDX23.pdf", "Melting_Curves/meltCurve_Q9BUQ8_DDX23.pdf")</f>
        <v>Melting_Curves/meltCurve_Q9BUQ8_DDX23.pdf</v>
      </c>
    </row>
    <row r="5054" spans="1:28" x14ac:dyDescent="0.25">
      <c r="A5054" t="s">
        <v>5058</v>
      </c>
      <c r="B5054">
        <v>0.99352677808782597</v>
      </c>
      <c r="C5054">
        <v>0.87122486964915502</v>
      </c>
      <c r="D5054">
        <v>0.95866326641904098</v>
      </c>
      <c r="E5054">
        <v>0.68772681171637595</v>
      </c>
      <c r="F5054">
        <v>0.71852118419001798</v>
      </c>
      <c r="G5054">
        <v>0.347810254398704</v>
      </c>
      <c r="H5054">
        <v>0.19207307985937699</v>
      </c>
      <c r="I5054">
        <v>0.16218209586909099</v>
      </c>
      <c r="J5054">
        <v>0.11089855130406601</v>
      </c>
      <c r="K5054">
        <v>0.11055529133460899</v>
      </c>
      <c r="L5054">
        <v>692.65306537366405</v>
      </c>
      <c r="M5054">
        <v>12.6943568261576</v>
      </c>
      <c r="N5054">
        <v>54.819216483585897</v>
      </c>
      <c r="O5054">
        <v>53.262957075892501</v>
      </c>
      <c r="P5054">
        <v>-5.7884034521653499E-2</v>
      </c>
      <c r="Q5054">
        <v>2.8709364015664599E-2</v>
      </c>
      <c r="R5054">
        <v>0.97128325711790797</v>
      </c>
      <c r="S5054" t="s">
        <v>11339</v>
      </c>
      <c r="T5054" t="s">
        <v>12568</v>
      </c>
      <c r="U5054" t="s">
        <v>12568</v>
      </c>
      <c r="V5054" t="s">
        <v>12568</v>
      </c>
      <c r="W5054" t="s">
        <v>17571</v>
      </c>
      <c r="X5054">
        <v>5</v>
      </c>
      <c r="Y5054" t="s">
        <v>23675</v>
      </c>
      <c r="Z5054" t="s">
        <v>29924</v>
      </c>
      <c r="AA5054">
        <v>0.52307712781592031</v>
      </c>
      <c r="AB5054" t="str">
        <f>HYPERLINK("Melting_Curves/meltCurve_Q9BUR4_WRAP53.pdf", "Melting_Curves/meltCurve_Q9BUR4_WRAP53.pdf")</f>
        <v>Melting_Curves/meltCurve_Q9BUR4_WRAP53.pdf</v>
      </c>
    </row>
    <row r="5055" spans="1:28" x14ac:dyDescent="0.25">
      <c r="A5055" t="s">
        <v>5059</v>
      </c>
      <c r="B5055">
        <v>0.99352677808782597</v>
      </c>
      <c r="C5055">
        <v>1.01369723784191</v>
      </c>
      <c r="D5055">
        <v>0.97197770148111895</v>
      </c>
      <c r="E5055">
        <v>0.29988770366162498</v>
      </c>
      <c r="F5055">
        <v>0.22466112964849999</v>
      </c>
      <c r="G5055">
        <v>0.12001267252803501</v>
      </c>
      <c r="H5055">
        <v>8.0926021673970797E-2</v>
      </c>
      <c r="I5055">
        <v>7.3736852153766103E-2</v>
      </c>
      <c r="J5055">
        <v>6.4220074386108106E-2</v>
      </c>
      <c r="K5055">
        <v>4.9364562237007199E-2</v>
      </c>
      <c r="L5055">
        <v>2139.9947148829801</v>
      </c>
      <c r="M5055">
        <v>43.865682585125697</v>
      </c>
      <c r="N5055">
        <v>49.017759270861497</v>
      </c>
      <c r="O5055">
        <v>48.6840851457235</v>
      </c>
      <c r="P5055">
        <v>-0.20409198536673701</v>
      </c>
      <c r="Q5055">
        <v>9.3959496449475793E-2</v>
      </c>
      <c r="R5055">
        <v>0.98961301686604597</v>
      </c>
      <c r="S5055" t="s">
        <v>11340</v>
      </c>
      <c r="T5055" t="s">
        <v>12568</v>
      </c>
      <c r="U5055" t="s">
        <v>12568</v>
      </c>
      <c r="V5055" t="s">
        <v>12568</v>
      </c>
      <c r="W5055" t="s">
        <v>17572</v>
      </c>
      <c r="X5055">
        <v>7</v>
      </c>
      <c r="Y5055" t="s">
        <v>23676</v>
      </c>
      <c r="Z5055" t="s">
        <v>29925</v>
      </c>
      <c r="AA5055">
        <v>0.36182222293995459</v>
      </c>
      <c r="AB5055" t="str">
        <f>HYPERLINK("Melting_Curves/meltCurve_Q9BUT1_BDH2.pdf", "Melting_Curves/meltCurve_Q9BUT1_BDH2.pdf")</f>
        <v>Melting_Curves/meltCurve_Q9BUT1_BDH2.pdf</v>
      </c>
    </row>
    <row r="5056" spans="1:28" x14ac:dyDescent="0.25">
      <c r="A5056" t="s">
        <v>5060</v>
      </c>
      <c r="B5056">
        <v>0.99352677808782597</v>
      </c>
      <c r="C5056">
        <v>0.97195050944957295</v>
      </c>
      <c r="D5056">
        <v>0.98722154295401099</v>
      </c>
      <c r="E5056">
        <v>0.80903006733338201</v>
      </c>
      <c r="F5056">
        <v>0.84905276796558304</v>
      </c>
      <c r="G5056">
        <v>0.65812876624288497</v>
      </c>
      <c r="H5056">
        <v>0.617991320828288</v>
      </c>
      <c r="I5056">
        <v>0.62205255860411102</v>
      </c>
      <c r="J5056">
        <v>0.48716494426123802</v>
      </c>
      <c r="K5056">
        <v>0.51724200159464595</v>
      </c>
      <c r="L5056">
        <v>565.32281226321595</v>
      </c>
      <c r="M5056">
        <v>10.1158021959035</v>
      </c>
      <c r="O5056">
        <v>53.833030948176003</v>
      </c>
      <c r="P5056">
        <v>-2.5978739372497499E-2</v>
      </c>
      <c r="Q5056">
        <v>0.44725543323981698</v>
      </c>
      <c r="R5056">
        <v>0.955902219244259</v>
      </c>
      <c r="S5056" t="s">
        <v>11341</v>
      </c>
      <c r="T5056" t="s">
        <v>12568</v>
      </c>
      <c r="U5056" t="s">
        <v>12568</v>
      </c>
      <c r="V5056" t="s">
        <v>12568</v>
      </c>
      <c r="W5056" t="s">
        <v>17573</v>
      </c>
      <c r="X5056">
        <v>4</v>
      </c>
      <c r="Y5056" t="s">
        <v>23677</v>
      </c>
      <c r="Z5056" t="s">
        <v>29926</v>
      </c>
      <c r="AA5056">
        <v>0.75190770690679332</v>
      </c>
      <c r="AB5056" t="str">
        <f>HYPERLINK("Melting_Curves/meltCurve_Q9BUT9_FAM195A.pdf", "Melting_Curves/meltCurve_Q9BUT9_FAM195A.pdf")</f>
        <v>Melting_Curves/meltCurve_Q9BUT9_FAM195A.pdf</v>
      </c>
    </row>
    <row r="5057" spans="1:28" x14ac:dyDescent="0.25">
      <c r="A5057" t="s">
        <v>5061</v>
      </c>
      <c r="B5057">
        <v>0.99352677808782597</v>
      </c>
      <c r="C5057">
        <v>0.997177609431666</v>
      </c>
      <c r="D5057">
        <v>1.0908211613030501</v>
      </c>
      <c r="E5057">
        <v>1.0079207759861899</v>
      </c>
      <c r="F5057">
        <v>0.93546111801110898</v>
      </c>
      <c r="G5057">
        <v>0.81103446276153401</v>
      </c>
      <c r="H5057">
        <v>0.79821197201905003</v>
      </c>
      <c r="I5057">
        <v>0.91031764712046503</v>
      </c>
      <c r="J5057">
        <v>0.905961211973622</v>
      </c>
      <c r="K5057">
        <v>0.81822418474915104</v>
      </c>
      <c r="L5057">
        <v>13265.651723967199</v>
      </c>
      <c r="M5057">
        <v>250</v>
      </c>
      <c r="O5057">
        <v>53.0592341282021</v>
      </c>
      <c r="P5057">
        <v>-0.178161931031247</v>
      </c>
      <c r="Q5057">
        <v>0.848749895198882</v>
      </c>
      <c r="R5057">
        <v>0.76189312591096703</v>
      </c>
      <c r="S5057" t="s">
        <v>11342</v>
      </c>
      <c r="T5057" t="s">
        <v>12568</v>
      </c>
      <c r="U5057" t="s">
        <v>12568</v>
      </c>
      <c r="V5057" t="s">
        <v>12568</v>
      </c>
      <c r="W5057" t="s">
        <v>17574</v>
      </c>
      <c r="X5057">
        <v>1</v>
      </c>
      <c r="Y5057" t="s">
        <v>23678</v>
      </c>
      <c r="Z5057" t="s">
        <v>29927</v>
      </c>
      <c r="AA5057">
        <v>0.91462133562029169</v>
      </c>
      <c r="AB5057" t="str">
        <f>HYPERLINK("Melting_Curves/meltCurve_Q9BUW7_C9orf16.pdf", "Melting_Curves/meltCurve_Q9BUW7_C9orf16.pdf")</f>
        <v>Melting_Curves/meltCurve_Q9BUW7_C9orf16.pdf</v>
      </c>
    </row>
    <row r="5058" spans="1:28" x14ac:dyDescent="0.25">
      <c r="A5058" t="s">
        <v>5062</v>
      </c>
      <c r="B5058">
        <v>0.99352677808782597</v>
      </c>
      <c r="C5058">
        <v>1.04026048396999</v>
      </c>
      <c r="D5058">
        <v>0.97856049052531102</v>
      </c>
      <c r="E5058">
        <v>0.80765657656935597</v>
      </c>
      <c r="F5058">
        <v>0.70419866794520802</v>
      </c>
      <c r="G5058">
        <v>0.58512452254446401</v>
      </c>
      <c r="H5058">
        <v>0.56587552663396801</v>
      </c>
      <c r="I5058">
        <v>0.63131421818427902</v>
      </c>
      <c r="J5058">
        <v>0.71278601131689401</v>
      </c>
      <c r="K5058">
        <v>0.55781349703338101</v>
      </c>
      <c r="L5058">
        <v>1494.1458468288299</v>
      </c>
      <c r="M5058">
        <v>29.745086170977299</v>
      </c>
      <c r="O5058">
        <v>50.0062967784298</v>
      </c>
      <c r="P5058">
        <v>-5.7818370815988902E-2</v>
      </c>
      <c r="Q5058">
        <v>0.61119458720198505</v>
      </c>
      <c r="R5058">
        <v>0.93710606423485998</v>
      </c>
      <c r="S5058" t="s">
        <v>11343</v>
      </c>
      <c r="T5058" t="s">
        <v>12568</v>
      </c>
      <c r="U5058" t="s">
        <v>12568</v>
      </c>
      <c r="V5058" t="s">
        <v>12568</v>
      </c>
      <c r="W5058" t="s">
        <v>17575</v>
      </c>
      <c r="X5058">
        <v>6</v>
      </c>
      <c r="Y5058" t="s">
        <v>23679</v>
      </c>
      <c r="Z5058" t="s">
        <v>29928</v>
      </c>
      <c r="AA5058">
        <v>0.74625493713073432</v>
      </c>
      <c r="AB5058" t="str">
        <f>HYPERLINK("Melting_Curves/meltCurve_Q9BV19_C1orf50.pdf", "Melting_Curves/meltCurve_Q9BV19_C1orf50.pdf")</f>
        <v>Melting_Curves/meltCurve_Q9BV19_C1orf50.pdf</v>
      </c>
    </row>
    <row r="5059" spans="1:28" x14ac:dyDescent="0.25">
      <c r="A5059" t="s">
        <v>5063</v>
      </c>
      <c r="B5059">
        <v>0.99352677808782597</v>
      </c>
      <c r="C5059">
        <v>0.96835437940427205</v>
      </c>
      <c r="D5059">
        <v>0.93962288358483403</v>
      </c>
      <c r="E5059">
        <v>0.76316097320594201</v>
      </c>
      <c r="F5059">
        <v>0.68319296554665498</v>
      </c>
      <c r="G5059">
        <v>0.45311851903259098</v>
      </c>
      <c r="H5059">
        <v>0.147699430297664</v>
      </c>
      <c r="I5059">
        <v>0.116188162521443</v>
      </c>
      <c r="J5059">
        <v>8.6358196326581801E-2</v>
      </c>
      <c r="K5059">
        <v>5.7400433699565302E-2</v>
      </c>
      <c r="L5059">
        <v>778.92373746189503</v>
      </c>
      <c r="M5059">
        <v>14.074981364857599</v>
      </c>
      <c r="N5059">
        <v>55.341011585113598</v>
      </c>
      <c r="O5059">
        <v>54.259810715065001</v>
      </c>
      <c r="P5059">
        <v>-6.4858343013033004E-2</v>
      </c>
      <c r="Q5059">
        <v>0</v>
      </c>
      <c r="R5059">
        <v>0.99150575336031899</v>
      </c>
      <c r="S5059" t="s">
        <v>11344</v>
      </c>
      <c r="T5059" t="s">
        <v>12568</v>
      </c>
      <c r="U5059" t="s">
        <v>12568</v>
      </c>
      <c r="V5059" t="s">
        <v>12568</v>
      </c>
      <c r="W5059" t="s">
        <v>17576</v>
      </c>
      <c r="X5059">
        <v>9</v>
      </c>
      <c r="Y5059" t="s">
        <v>23680</v>
      </c>
      <c r="Z5059" t="s">
        <v>29929</v>
      </c>
      <c r="AA5059">
        <v>0.53132040407096992</v>
      </c>
      <c r="AB5059" t="str">
        <f>HYPERLINK("Melting_Curves/meltCurve_Q9BV20_MRI1.pdf", "Melting_Curves/meltCurve_Q9BV20_MRI1.pdf")</f>
        <v>Melting_Curves/meltCurve_Q9BV20_MRI1.pdf</v>
      </c>
    </row>
    <row r="5060" spans="1:28" x14ac:dyDescent="0.25">
      <c r="A5060" t="s">
        <v>5064</v>
      </c>
      <c r="B5060">
        <v>0.99352677808782597</v>
      </c>
      <c r="C5060">
        <v>1.03356715794985</v>
      </c>
      <c r="D5060">
        <v>1.02399798006565</v>
      </c>
      <c r="E5060">
        <v>0.91575627373560198</v>
      </c>
      <c r="F5060">
        <v>0.73585182673211602</v>
      </c>
      <c r="G5060">
        <v>0.61890459155230504</v>
      </c>
      <c r="H5060">
        <v>0.60163445406146798</v>
      </c>
      <c r="I5060">
        <v>0.51710529549269701</v>
      </c>
      <c r="J5060">
        <v>0.63107156334069403</v>
      </c>
      <c r="K5060">
        <v>0.51048513558184405</v>
      </c>
      <c r="L5060">
        <v>1515.26685878581</v>
      </c>
      <c r="M5060">
        <v>28.919974818611099</v>
      </c>
      <c r="O5060">
        <v>52.146538632734803</v>
      </c>
      <c r="P5060">
        <v>-6.0358029316796701E-2</v>
      </c>
      <c r="Q5060">
        <v>0.56466907742848005</v>
      </c>
      <c r="R5060">
        <v>0.96744910192544598</v>
      </c>
      <c r="S5060" t="s">
        <v>11345</v>
      </c>
      <c r="T5060" t="s">
        <v>12568</v>
      </c>
      <c r="U5060" t="s">
        <v>12568</v>
      </c>
      <c r="V5060" t="s">
        <v>12568</v>
      </c>
      <c r="W5060" t="s">
        <v>17577</v>
      </c>
      <c r="X5060">
        <v>18</v>
      </c>
      <c r="Y5060" t="s">
        <v>23681</v>
      </c>
      <c r="Z5060" t="s">
        <v>29930</v>
      </c>
      <c r="AA5060">
        <v>0.74754358599988302</v>
      </c>
      <c r="AB5060" t="str">
        <f>HYPERLINK("Melting_Curves/meltCurve_Q9BV36_MLPH.pdf", "Melting_Curves/meltCurve_Q9BV36_MLPH.pdf")</f>
        <v>Melting_Curves/meltCurve_Q9BV36_MLPH.pdf</v>
      </c>
    </row>
    <row r="5061" spans="1:28" x14ac:dyDescent="0.25">
      <c r="A5061" t="s">
        <v>5065</v>
      </c>
      <c r="B5061">
        <v>0.99352677808782597</v>
      </c>
      <c r="C5061">
        <v>0.93445954403809595</v>
      </c>
      <c r="D5061">
        <v>0.94442876364294104</v>
      </c>
      <c r="E5061">
        <v>0.84408054316853898</v>
      </c>
      <c r="F5061">
        <v>0.76772093186797796</v>
      </c>
      <c r="G5061">
        <v>0.62031423787731799</v>
      </c>
      <c r="H5061">
        <v>0.537373122464749</v>
      </c>
      <c r="I5061">
        <v>0.54473549909558505</v>
      </c>
      <c r="J5061">
        <v>0.55541962393455901</v>
      </c>
      <c r="K5061">
        <v>0.488110723302982</v>
      </c>
      <c r="L5061">
        <v>691.60590342459898</v>
      </c>
      <c r="M5061">
        <v>13.0231304226525</v>
      </c>
      <c r="O5061">
        <v>51.9005855240353</v>
      </c>
      <c r="P5061">
        <v>-3.2272188132447602E-2</v>
      </c>
      <c r="Q5061">
        <v>0.48563775768143602</v>
      </c>
      <c r="R5061">
        <v>0.98471202217602505</v>
      </c>
      <c r="S5061" t="s">
        <v>11346</v>
      </c>
      <c r="T5061" t="s">
        <v>12568</v>
      </c>
      <c r="U5061" t="s">
        <v>12568</v>
      </c>
      <c r="V5061" t="s">
        <v>12568</v>
      </c>
      <c r="W5061" t="s">
        <v>17578</v>
      </c>
      <c r="X5061">
        <v>18</v>
      </c>
      <c r="Y5061" t="s">
        <v>23681</v>
      </c>
      <c r="Z5061" t="s">
        <v>29931</v>
      </c>
      <c r="AA5061">
        <v>0.72356436902133903</v>
      </c>
      <c r="AB5061" t="str">
        <f>HYPERLINK("Melting_Curves/meltCurve_Q9BV36_2_MLPH.pdf", "Melting_Curves/meltCurve_Q9BV36_2_MLPH.pdf")</f>
        <v>Melting_Curves/meltCurve_Q9BV36_2_MLPH.pdf</v>
      </c>
    </row>
    <row r="5062" spans="1:28" x14ac:dyDescent="0.25">
      <c r="A5062" t="s">
        <v>5066</v>
      </c>
      <c r="B5062">
        <v>0.99352677808782597</v>
      </c>
      <c r="C5062">
        <v>1.00186292302563</v>
      </c>
      <c r="D5062">
        <v>0.97612504929695798</v>
      </c>
      <c r="E5062">
        <v>0.88693572164122803</v>
      </c>
      <c r="F5062">
        <v>0.76389895864954505</v>
      </c>
      <c r="G5062">
        <v>0.61573763884583899</v>
      </c>
      <c r="H5062">
        <v>0.29808082943263597</v>
      </c>
      <c r="I5062">
        <v>0.188316095064643</v>
      </c>
      <c r="J5062">
        <v>0.14385076637359601</v>
      </c>
      <c r="K5062">
        <v>0.11346363111875001</v>
      </c>
      <c r="L5062">
        <v>840.38414558741204</v>
      </c>
      <c r="M5062">
        <v>14.5652294180308</v>
      </c>
      <c r="N5062">
        <v>57.901804359095699</v>
      </c>
      <c r="O5062">
        <v>56.643071475911398</v>
      </c>
      <c r="P5062">
        <v>-6.2685666760021894E-2</v>
      </c>
      <c r="Q5062">
        <v>2.4991329768470499E-2</v>
      </c>
      <c r="R5062">
        <v>0.994751861363116</v>
      </c>
      <c r="S5062" t="s">
        <v>11347</v>
      </c>
      <c r="T5062" t="s">
        <v>12568</v>
      </c>
      <c r="U5062" t="s">
        <v>12568</v>
      </c>
      <c r="V5062" t="s">
        <v>12568</v>
      </c>
      <c r="W5062" t="s">
        <v>17579</v>
      </c>
      <c r="X5062">
        <v>11</v>
      </c>
      <c r="Y5062" t="s">
        <v>23682</v>
      </c>
      <c r="Z5062" t="s">
        <v>29932</v>
      </c>
      <c r="AA5062">
        <v>0.61414234944547474</v>
      </c>
      <c r="AB5062" t="str">
        <f>HYPERLINK("Melting_Curves/meltCurve_Q9BV44_THUMPD3.pdf", "Melting_Curves/meltCurve_Q9BV44_THUMPD3.pdf")</f>
        <v>Melting_Curves/meltCurve_Q9BV44_THUMPD3.pdf</v>
      </c>
    </row>
    <row r="5063" spans="1:28" x14ac:dyDescent="0.25">
      <c r="A5063" t="s">
        <v>5067</v>
      </c>
      <c r="B5063">
        <v>0.99352677808782597</v>
      </c>
      <c r="C5063">
        <v>0.90236342756619803</v>
      </c>
      <c r="D5063">
        <v>0.95324335610423905</v>
      </c>
      <c r="E5063">
        <v>0.61363313195848102</v>
      </c>
      <c r="F5063">
        <v>0.57623461044191304</v>
      </c>
      <c r="G5063">
        <v>0.278186483451763</v>
      </c>
      <c r="H5063">
        <v>0.18860570337932001</v>
      </c>
      <c r="I5063">
        <v>0.219119225635549</v>
      </c>
      <c r="J5063">
        <v>0.13152631841385101</v>
      </c>
      <c r="K5063">
        <v>0.105712007298251</v>
      </c>
      <c r="L5063">
        <v>720.509092602539</v>
      </c>
      <c r="M5063">
        <v>13.774226122874399</v>
      </c>
      <c r="N5063">
        <v>53.135824456454301</v>
      </c>
      <c r="O5063">
        <v>51.242943209579401</v>
      </c>
      <c r="P5063">
        <v>-6.0723408139724502E-2</v>
      </c>
      <c r="Q5063">
        <v>9.6513328507418394E-2</v>
      </c>
      <c r="R5063">
        <v>0.97935833306262998</v>
      </c>
      <c r="S5063" t="s">
        <v>11348</v>
      </c>
      <c r="T5063" t="s">
        <v>12568</v>
      </c>
      <c r="U5063" t="s">
        <v>12568</v>
      </c>
      <c r="V5063" t="s">
        <v>12568</v>
      </c>
      <c r="W5063" t="s">
        <v>17580</v>
      </c>
      <c r="X5063">
        <v>12</v>
      </c>
      <c r="Y5063" t="s">
        <v>23683</v>
      </c>
      <c r="Z5063" t="s">
        <v>29933</v>
      </c>
      <c r="AA5063">
        <v>0.48978548791969068</v>
      </c>
      <c r="AB5063" t="str">
        <f>HYPERLINK("Melting_Curves/meltCurve_Q9BV57_ADI1.pdf", "Melting_Curves/meltCurve_Q9BV57_ADI1.pdf")</f>
        <v>Melting_Curves/meltCurve_Q9BV57_ADI1.pdf</v>
      </c>
    </row>
    <row r="5064" spans="1:28" x14ac:dyDescent="0.25">
      <c r="A5064" t="s">
        <v>5068</v>
      </c>
      <c r="B5064">
        <v>0.99352677808782597</v>
      </c>
      <c r="C5064">
        <v>1.01708449507661</v>
      </c>
      <c r="D5064">
        <v>0.98118307947307704</v>
      </c>
      <c r="E5064">
        <v>0.92320326032465405</v>
      </c>
      <c r="F5064">
        <v>0.86034826002458797</v>
      </c>
      <c r="G5064">
        <v>0.53966269635001896</v>
      </c>
      <c r="H5064">
        <v>0.121810408473788</v>
      </c>
      <c r="I5064">
        <v>8.4701055331184896E-2</v>
      </c>
      <c r="J5064">
        <v>5.5240736850492203E-2</v>
      </c>
      <c r="K5064">
        <v>3.4667310781529299E-2</v>
      </c>
      <c r="L5064">
        <v>1468.10610642705</v>
      </c>
      <c r="M5064">
        <v>25.7780735858762</v>
      </c>
      <c r="N5064">
        <v>57.0482085303709</v>
      </c>
      <c r="O5064">
        <v>56.612318747981199</v>
      </c>
      <c r="P5064">
        <v>-0.111409507473267</v>
      </c>
      <c r="Q5064">
        <v>2.13271094654101E-2</v>
      </c>
      <c r="R5064">
        <v>0.995822517206151</v>
      </c>
      <c r="S5064" t="s">
        <v>11349</v>
      </c>
      <c r="T5064" t="s">
        <v>12568</v>
      </c>
      <c r="U5064" t="s">
        <v>12568</v>
      </c>
      <c r="V5064" t="s">
        <v>12568</v>
      </c>
      <c r="W5064" t="s">
        <v>17581</v>
      </c>
      <c r="X5064">
        <v>10</v>
      </c>
      <c r="Y5064" t="s">
        <v>23683</v>
      </c>
      <c r="Z5064" t="s">
        <v>29934</v>
      </c>
      <c r="AA5064">
        <v>0.58274595787708161</v>
      </c>
      <c r="AB5064" t="str">
        <f>HYPERLINK("Melting_Curves/meltCurve_Q9BV57_2_ADI1.pdf", "Melting_Curves/meltCurve_Q9BV57_2_ADI1.pdf")</f>
        <v>Melting_Curves/meltCurve_Q9BV57_2_ADI1.pdf</v>
      </c>
    </row>
    <row r="5065" spans="1:28" x14ac:dyDescent="0.25">
      <c r="A5065" t="s">
        <v>5069</v>
      </c>
      <c r="B5065">
        <v>0.99352677808782597</v>
      </c>
      <c r="C5065">
        <v>0.91228364651359495</v>
      </c>
      <c r="D5065">
        <v>0.86712368353609004</v>
      </c>
      <c r="E5065">
        <v>0.56698383437104805</v>
      </c>
      <c r="F5065">
        <v>0.50022581447435699</v>
      </c>
      <c r="G5065">
        <v>0.36258065307969101</v>
      </c>
      <c r="H5065">
        <v>0.46761413745206698</v>
      </c>
      <c r="I5065">
        <v>0.305567754997636</v>
      </c>
      <c r="J5065">
        <v>0.24834668124752601</v>
      </c>
      <c r="K5065">
        <v>0.221325768188635</v>
      </c>
      <c r="L5065">
        <v>638.42028270936305</v>
      </c>
      <c r="M5065">
        <v>12.777064560623201</v>
      </c>
      <c r="N5065">
        <v>53.0095697793138</v>
      </c>
      <c r="O5065">
        <v>48.789610987731201</v>
      </c>
      <c r="P5065">
        <v>-4.8463331857395098E-2</v>
      </c>
      <c r="Q5065">
        <v>0.25990500441334602</v>
      </c>
      <c r="R5065">
        <v>0.95586694570569097</v>
      </c>
      <c r="S5065" t="s">
        <v>11350</v>
      </c>
      <c r="T5065" t="s">
        <v>12568</v>
      </c>
      <c r="U5065" t="s">
        <v>12568</v>
      </c>
      <c r="V5065" t="s">
        <v>12568</v>
      </c>
      <c r="W5065" t="s">
        <v>17582</v>
      </c>
      <c r="X5065">
        <v>3</v>
      </c>
      <c r="Y5065" t="s">
        <v>23684</v>
      </c>
      <c r="Z5065" t="s">
        <v>29935</v>
      </c>
      <c r="AA5065">
        <v>0.52898974478695449</v>
      </c>
      <c r="AB5065" t="str">
        <f>HYPERLINK("Melting_Curves/meltCurve_Q9BV68_2_RNF126.pdf", "Melting_Curves/meltCurve_Q9BV68_2_RNF126.pdf")</f>
        <v>Melting_Curves/meltCurve_Q9BV68_2_RNF126.pdf</v>
      </c>
    </row>
    <row r="5066" spans="1:28" x14ac:dyDescent="0.25">
      <c r="A5066" t="s">
        <v>5070</v>
      </c>
      <c r="B5066">
        <v>0.99352677808782597</v>
      </c>
      <c r="C5066">
        <v>0.98098915171277301</v>
      </c>
      <c r="D5066">
        <v>0.78853212159327102</v>
      </c>
      <c r="E5066">
        <v>0.66861874910999897</v>
      </c>
      <c r="F5066">
        <v>0.59057630130580796</v>
      </c>
      <c r="G5066">
        <v>0.47881891237782798</v>
      </c>
      <c r="H5066">
        <v>0.38688245582695902</v>
      </c>
      <c r="I5066">
        <v>0.34194775688392498</v>
      </c>
      <c r="J5066">
        <v>0.35709846810414497</v>
      </c>
      <c r="K5066">
        <v>0.32463424445998901</v>
      </c>
      <c r="L5066">
        <v>581.12710766708005</v>
      </c>
      <c r="M5066">
        <v>11.4293351585161</v>
      </c>
      <c r="N5066">
        <v>55.313791886077198</v>
      </c>
      <c r="O5066">
        <v>49.363376413711897</v>
      </c>
      <c r="P5066">
        <v>-4.0449179114156401E-2</v>
      </c>
      <c r="Q5066">
        <v>0.30140246493079198</v>
      </c>
      <c r="R5066">
        <v>0.98681027796493903</v>
      </c>
      <c r="S5066" t="s">
        <v>11351</v>
      </c>
      <c r="T5066" t="s">
        <v>12568</v>
      </c>
      <c r="U5066" t="s">
        <v>12568</v>
      </c>
      <c r="V5066" t="s">
        <v>12568</v>
      </c>
      <c r="W5066" t="s">
        <v>17583</v>
      </c>
      <c r="X5066">
        <v>16</v>
      </c>
      <c r="Y5066" t="s">
        <v>23685</v>
      </c>
      <c r="Z5066" t="s">
        <v>29936</v>
      </c>
      <c r="AA5066">
        <v>0.57860521714148783</v>
      </c>
      <c r="AB5066" t="str">
        <f>HYPERLINK("Melting_Curves/meltCurve_Q9BV73_2_CEP250.pdf", "Melting_Curves/meltCurve_Q9BV73_2_CEP250.pdf")</f>
        <v>Melting_Curves/meltCurve_Q9BV73_2_CEP250.pdf</v>
      </c>
    </row>
    <row r="5067" spans="1:28" x14ac:dyDescent="0.25">
      <c r="A5067" t="s">
        <v>5071</v>
      </c>
      <c r="B5067">
        <v>0.99352677808782597</v>
      </c>
      <c r="C5067">
        <v>0.89965608637530403</v>
      </c>
      <c r="D5067">
        <v>0.91247527516626104</v>
      </c>
      <c r="E5067">
        <v>0.24185480078417801</v>
      </c>
      <c r="F5067">
        <v>0.16947379500714499</v>
      </c>
      <c r="G5067">
        <v>0.11745602787913401</v>
      </c>
      <c r="H5067">
        <v>0.106645593919009</v>
      </c>
      <c r="I5067">
        <v>8.2453118760704103E-2</v>
      </c>
      <c r="J5067">
        <v>3.4682862483583203E-2</v>
      </c>
      <c r="K5067">
        <v>2.46551955823586E-2</v>
      </c>
      <c r="L5067">
        <v>1959.2899254419201</v>
      </c>
      <c r="M5067">
        <v>40.589997468176797</v>
      </c>
      <c r="N5067">
        <v>48.484527630543802</v>
      </c>
      <c r="O5067">
        <v>48.153543601430599</v>
      </c>
      <c r="P5067">
        <v>-0.19343057561549601</v>
      </c>
      <c r="Q5067">
        <v>8.2103958286731796E-2</v>
      </c>
      <c r="R5067">
        <v>0.98553210162409599</v>
      </c>
      <c r="S5067" t="s">
        <v>11352</v>
      </c>
      <c r="T5067" t="s">
        <v>12568</v>
      </c>
      <c r="U5067" t="s">
        <v>12568</v>
      </c>
      <c r="V5067" t="s">
        <v>12568</v>
      </c>
      <c r="W5067" t="s">
        <v>17584</v>
      </c>
      <c r="X5067">
        <v>3</v>
      </c>
      <c r="Y5067" t="s">
        <v>23686</v>
      </c>
      <c r="Z5067" t="s">
        <v>29937</v>
      </c>
      <c r="AA5067">
        <v>0.33812490523857558</v>
      </c>
      <c r="AB5067" t="str">
        <f>HYPERLINK("Melting_Curves/meltCurve_Q9BV79_MECR.pdf", "Melting_Curves/meltCurve_Q9BV79_MECR.pdf")</f>
        <v>Melting_Curves/meltCurve_Q9BV79_MECR.pdf</v>
      </c>
    </row>
    <row r="5068" spans="1:28" x14ac:dyDescent="0.25">
      <c r="A5068" t="s">
        <v>5072</v>
      </c>
      <c r="B5068">
        <v>0.99352677808782597</v>
      </c>
      <c r="C5068">
        <v>0.77326112506148403</v>
      </c>
      <c r="D5068">
        <v>0.48553023199990403</v>
      </c>
      <c r="E5068">
        <v>0.13495148269024401</v>
      </c>
      <c r="F5068">
        <v>9.2649821595757506E-2</v>
      </c>
      <c r="G5068">
        <v>6.1041030707827099E-2</v>
      </c>
      <c r="H5068">
        <v>4.3144306736674701E-2</v>
      </c>
      <c r="I5068">
        <v>3.2557852273350001E-2</v>
      </c>
      <c r="J5068">
        <v>2.62462042155488E-2</v>
      </c>
      <c r="K5068">
        <v>2.1860880921929698E-2</v>
      </c>
      <c r="L5068">
        <v>987.91530558476995</v>
      </c>
      <c r="M5068">
        <v>21.678949320901602</v>
      </c>
      <c r="N5068">
        <v>45.715418767708996</v>
      </c>
      <c r="O5068">
        <v>45.187820142147103</v>
      </c>
      <c r="P5068">
        <v>-0.115951915846978</v>
      </c>
      <c r="Q5068">
        <v>3.3257519479156603E-2</v>
      </c>
      <c r="R5068">
        <v>0.99672137482516698</v>
      </c>
      <c r="S5068" t="s">
        <v>11353</v>
      </c>
      <c r="T5068" t="s">
        <v>12568</v>
      </c>
      <c r="U5068" t="s">
        <v>12568</v>
      </c>
      <c r="V5068" t="s">
        <v>12568</v>
      </c>
      <c r="W5068" t="s">
        <v>17585</v>
      </c>
      <c r="X5068">
        <v>6</v>
      </c>
      <c r="Y5068" t="s">
        <v>23687</v>
      </c>
      <c r="Z5068" t="s">
        <v>29938</v>
      </c>
      <c r="AA5068">
        <v>0.2255713361134318</v>
      </c>
      <c r="AB5068" t="str">
        <f>HYPERLINK("Melting_Curves/meltCurve_Q9BV86_NTMT1.pdf", "Melting_Curves/meltCurve_Q9BV86_NTMT1.pdf")</f>
        <v>Melting_Curves/meltCurve_Q9BV86_NTMT1.pdf</v>
      </c>
    </row>
    <row r="5069" spans="1:28" x14ac:dyDescent="0.25">
      <c r="A5069" t="s">
        <v>5073</v>
      </c>
      <c r="B5069">
        <v>0.99352677808782597</v>
      </c>
      <c r="C5069">
        <v>0.77871748255162498</v>
      </c>
      <c r="D5069">
        <v>0.74439669971994504</v>
      </c>
      <c r="E5069">
        <v>0.42205444674401998</v>
      </c>
      <c r="F5069">
        <v>0.32764604279909898</v>
      </c>
      <c r="G5069">
        <v>0.16011289487093699</v>
      </c>
      <c r="H5069">
        <v>5.2145804187279203E-2</v>
      </c>
      <c r="I5069">
        <v>4.6951265473393101E-2</v>
      </c>
      <c r="J5069">
        <v>4.7870722321027098E-2</v>
      </c>
      <c r="K5069">
        <v>3.8105663194096598E-2</v>
      </c>
      <c r="L5069">
        <v>597.16720620210504</v>
      </c>
      <c r="M5069">
        <v>12.1398406792343</v>
      </c>
      <c r="N5069">
        <v>49.190695492564103</v>
      </c>
      <c r="O5069">
        <v>47.913000624296899</v>
      </c>
      <c r="P5069">
        <v>-6.3357747209634205E-2</v>
      </c>
      <c r="Q5069">
        <v>0</v>
      </c>
      <c r="R5069">
        <v>0.98786379983870198</v>
      </c>
      <c r="S5069" t="s">
        <v>11354</v>
      </c>
      <c r="T5069" t="s">
        <v>12568</v>
      </c>
      <c r="U5069" t="s">
        <v>12568</v>
      </c>
      <c r="V5069" t="s">
        <v>12568</v>
      </c>
      <c r="W5069" t="s">
        <v>17586</v>
      </c>
      <c r="X5069">
        <v>6</v>
      </c>
      <c r="Y5069" t="s">
        <v>23688</v>
      </c>
      <c r="Z5069" t="s">
        <v>29939</v>
      </c>
      <c r="AA5069">
        <v>0.3419820782158437</v>
      </c>
      <c r="AB5069" t="str">
        <f>HYPERLINK("Melting_Curves/meltCurve_Q9BVA0_KATNB1.pdf", "Melting_Curves/meltCurve_Q9BVA0_KATNB1.pdf")</f>
        <v>Melting_Curves/meltCurve_Q9BVA0_KATNB1.pdf</v>
      </c>
    </row>
    <row r="5070" spans="1:28" x14ac:dyDescent="0.25">
      <c r="A5070" t="s">
        <v>5074</v>
      </c>
      <c r="B5070">
        <v>0.99352677808782597</v>
      </c>
      <c r="C5070">
        <v>0.92500252340162703</v>
      </c>
      <c r="D5070">
        <v>0.78152909066585696</v>
      </c>
      <c r="E5070">
        <v>0.230702593340919</v>
      </c>
      <c r="F5070">
        <v>0.16646106782764999</v>
      </c>
      <c r="G5070">
        <v>0.10642909801573</v>
      </c>
      <c r="H5070">
        <v>7.1569897258391801E-2</v>
      </c>
      <c r="I5070">
        <v>6.6812434145173905E-2</v>
      </c>
      <c r="J5070">
        <v>5.82244806628524E-2</v>
      </c>
      <c r="K5070">
        <v>4.8481687419614602E-2</v>
      </c>
      <c r="L5070">
        <v>1369.4806749495899</v>
      </c>
      <c r="M5070">
        <v>28.730401741487398</v>
      </c>
      <c r="N5070">
        <v>47.926845869754999</v>
      </c>
      <c r="O5070">
        <v>47.4374739678533</v>
      </c>
      <c r="P5070">
        <v>-0.140477634929428</v>
      </c>
      <c r="Q5070">
        <v>7.2223053001103904E-2</v>
      </c>
      <c r="R5070">
        <v>0.99508723747581995</v>
      </c>
      <c r="S5070" t="s">
        <v>11355</v>
      </c>
      <c r="T5070" t="s">
        <v>12568</v>
      </c>
      <c r="U5070" t="s">
        <v>12568</v>
      </c>
      <c r="V5070" t="s">
        <v>12568</v>
      </c>
      <c r="W5070" t="s">
        <v>17587</v>
      </c>
      <c r="X5070">
        <v>3</v>
      </c>
      <c r="Y5070" t="s">
        <v>23689</v>
      </c>
      <c r="Z5070" t="s">
        <v>29940</v>
      </c>
      <c r="AA5070">
        <v>0.31542286823221849</v>
      </c>
      <c r="AB5070" t="str">
        <f>HYPERLINK("Melting_Curves/meltCurve_Q9BVC3_DSCC1.pdf", "Melting_Curves/meltCurve_Q9BVC3_DSCC1.pdf")</f>
        <v>Melting_Curves/meltCurve_Q9BVC3_DSCC1.pdf</v>
      </c>
    </row>
    <row r="5071" spans="1:28" x14ac:dyDescent="0.25">
      <c r="A5071" t="s">
        <v>5075</v>
      </c>
      <c r="B5071">
        <v>0.99352677808782597</v>
      </c>
      <c r="C5071">
        <v>1.1001824146004999</v>
      </c>
      <c r="D5071">
        <v>0.903619865671621</v>
      </c>
      <c r="E5071">
        <v>0.75716639341421499</v>
      </c>
      <c r="F5071">
        <v>0.69548493201305295</v>
      </c>
      <c r="G5071">
        <v>0.52659765045400198</v>
      </c>
      <c r="H5071">
        <v>0.52026137582688103</v>
      </c>
      <c r="I5071">
        <v>0.52990306603195403</v>
      </c>
      <c r="J5071">
        <v>0.44842128147645099</v>
      </c>
      <c r="K5071">
        <v>0.45381559333182497</v>
      </c>
      <c r="L5071">
        <v>871.86098757264097</v>
      </c>
      <c r="M5071">
        <v>17.021755029870999</v>
      </c>
      <c r="N5071">
        <v>61.246624652591798</v>
      </c>
      <c r="O5071">
        <v>50.529122525539897</v>
      </c>
      <c r="P5071">
        <v>-4.4706954902898298E-2</v>
      </c>
      <c r="Q5071">
        <v>0.46918180987406399</v>
      </c>
      <c r="R5071">
        <v>0.95778082600094105</v>
      </c>
      <c r="S5071" t="s">
        <v>11356</v>
      </c>
      <c r="T5071" t="s">
        <v>12568</v>
      </c>
      <c r="U5071" t="s">
        <v>12568</v>
      </c>
      <c r="V5071" t="s">
        <v>12568</v>
      </c>
      <c r="W5071" t="s">
        <v>17588</v>
      </c>
      <c r="X5071">
        <v>2</v>
      </c>
      <c r="Y5071" t="s">
        <v>23690</v>
      </c>
      <c r="Z5071" t="s">
        <v>29941</v>
      </c>
      <c r="AA5071">
        <v>0.67755797227899295</v>
      </c>
      <c r="AB5071" t="str">
        <f>HYPERLINK("Melting_Curves/meltCurve_Q9BVC4_MLST8.pdf", "Melting_Curves/meltCurve_Q9BVC4_MLST8.pdf")</f>
        <v>Melting_Curves/meltCurve_Q9BVC4_MLST8.pdf</v>
      </c>
    </row>
    <row r="5072" spans="1:28" x14ac:dyDescent="0.25">
      <c r="A5072" t="s">
        <v>5076</v>
      </c>
      <c r="B5072">
        <v>0.99352677808782597</v>
      </c>
      <c r="C5072">
        <v>0.95537070987143102</v>
      </c>
      <c r="D5072">
        <v>0.88184008857803498</v>
      </c>
      <c r="E5072">
        <v>0.512954993084207</v>
      </c>
      <c r="F5072">
        <v>0.43736553422701502</v>
      </c>
      <c r="G5072">
        <v>0.267619244935764</v>
      </c>
      <c r="H5072">
        <v>0.50608370810724101</v>
      </c>
      <c r="I5072">
        <v>0.76289415928636695</v>
      </c>
      <c r="J5072">
        <v>0.814328435272624</v>
      </c>
      <c r="K5072">
        <v>0.669171664458722</v>
      </c>
      <c r="L5072">
        <v>11545.0518536167</v>
      </c>
      <c r="M5072">
        <v>250</v>
      </c>
      <c r="O5072">
        <v>46.177251421491</v>
      </c>
      <c r="P5072">
        <v>-0.58578285958635001</v>
      </c>
      <c r="Q5072">
        <v>0.56720251515766196</v>
      </c>
      <c r="R5072">
        <v>0.57287998378740601</v>
      </c>
      <c r="S5072" t="s">
        <v>11357</v>
      </c>
      <c r="T5072" t="s">
        <v>12568</v>
      </c>
      <c r="U5072" t="s">
        <v>12568</v>
      </c>
      <c r="V5072" t="s">
        <v>12568</v>
      </c>
      <c r="W5072" t="s">
        <v>17589</v>
      </c>
      <c r="X5072">
        <v>3</v>
      </c>
      <c r="Y5072" t="s">
        <v>23691</v>
      </c>
      <c r="Z5072" t="s">
        <v>29942</v>
      </c>
      <c r="AA5072">
        <v>0.65639686562532762</v>
      </c>
      <c r="AB5072" t="str">
        <f>HYPERLINK("Melting_Curves/meltCurve_Q9BVC5_C2orf49.pdf", "Melting_Curves/meltCurve_Q9BVC5_C2orf49.pdf")</f>
        <v>Melting_Curves/meltCurve_Q9BVC5_C2orf49.pdf</v>
      </c>
    </row>
    <row r="5073" spans="1:28" x14ac:dyDescent="0.25">
      <c r="A5073" t="s">
        <v>5077</v>
      </c>
      <c r="B5073">
        <v>0.99352677808782597</v>
      </c>
      <c r="C5073">
        <v>0.98062759022019597</v>
      </c>
      <c r="D5073">
        <v>0.95597255664539704</v>
      </c>
      <c r="E5073">
        <v>1.0306768205415799</v>
      </c>
      <c r="F5073">
        <v>0.939440300037234</v>
      </c>
      <c r="G5073">
        <v>0.76758223460909303</v>
      </c>
      <c r="H5073">
        <v>0.44257182787928701</v>
      </c>
      <c r="I5073">
        <v>0.325237107693366</v>
      </c>
      <c r="J5073">
        <v>0.286353963343627</v>
      </c>
      <c r="K5073">
        <v>0.21448214009021299</v>
      </c>
      <c r="L5073">
        <v>1448.9457653674799</v>
      </c>
      <c r="M5073">
        <v>24.609318747509501</v>
      </c>
      <c r="N5073">
        <v>60.327957605832701</v>
      </c>
      <c r="O5073">
        <v>58.493260780637399</v>
      </c>
      <c r="P5073">
        <v>-8.1699531761402405E-2</v>
      </c>
      <c r="Q5073">
        <v>0.22325274702039999</v>
      </c>
      <c r="R5073">
        <v>0.99452063945703895</v>
      </c>
      <c r="S5073" t="s">
        <v>11358</v>
      </c>
      <c r="T5073" t="s">
        <v>12568</v>
      </c>
      <c r="U5073" t="s">
        <v>12568</v>
      </c>
      <c r="V5073" t="s">
        <v>12568</v>
      </c>
      <c r="W5073" t="s">
        <v>17590</v>
      </c>
      <c r="X5073">
        <v>15</v>
      </c>
      <c r="Y5073" t="s">
        <v>23692</v>
      </c>
      <c r="Z5073" t="s">
        <v>29943</v>
      </c>
      <c r="AA5073">
        <v>0.71857643149774419</v>
      </c>
      <c r="AB5073" t="str">
        <f>HYPERLINK("Melting_Curves/meltCurve_Q9BVG4_PBDC1.pdf", "Melting_Curves/meltCurve_Q9BVG4_PBDC1.pdf")</f>
        <v>Melting_Curves/meltCurve_Q9BVG4_PBDC1.pdf</v>
      </c>
    </row>
    <row r="5074" spans="1:28" x14ac:dyDescent="0.25">
      <c r="A5074" t="s">
        <v>5078</v>
      </c>
      <c r="B5074">
        <v>0.99352677808782597</v>
      </c>
      <c r="C5074">
        <v>0.77484417862452604</v>
      </c>
      <c r="D5074">
        <v>0.78946850387261402</v>
      </c>
      <c r="E5074">
        <v>0.40236966421828402</v>
      </c>
      <c r="F5074">
        <v>0.35995656050880598</v>
      </c>
      <c r="G5074">
        <v>0.191411639842821</v>
      </c>
      <c r="H5074">
        <v>0.14418416519448601</v>
      </c>
      <c r="I5074">
        <v>0.121509898878296</v>
      </c>
      <c r="J5074">
        <v>0.106480437939107</v>
      </c>
      <c r="K5074">
        <v>9.3271407704322198E-2</v>
      </c>
      <c r="L5074">
        <v>625.54712922947397</v>
      </c>
      <c r="M5074">
        <v>12.8306450371674</v>
      </c>
      <c r="N5074">
        <v>49.404981885482499</v>
      </c>
      <c r="O5074">
        <v>47.615377216176903</v>
      </c>
      <c r="P5074">
        <v>-6.2139517548918902E-2</v>
      </c>
      <c r="Q5074">
        <v>7.7755922418267898E-2</v>
      </c>
      <c r="R5074">
        <v>0.97792411286566805</v>
      </c>
      <c r="S5074" t="s">
        <v>11359</v>
      </c>
      <c r="T5074" t="s">
        <v>12568</v>
      </c>
      <c r="U5074" t="s">
        <v>12568</v>
      </c>
      <c r="V5074" t="s">
        <v>12568</v>
      </c>
      <c r="W5074" t="s">
        <v>17591</v>
      </c>
      <c r="X5074">
        <v>6</v>
      </c>
      <c r="Y5074" t="s">
        <v>23693</v>
      </c>
      <c r="Z5074" t="s">
        <v>29944</v>
      </c>
      <c r="AA5074">
        <v>0.37749831760325497</v>
      </c>
      <c r="AB5074" t="str">
        <f>HYPERLINK("Melting_Curves/meltCurve_Q9BVG8_2_KIFC3.pdf", "Melting_Curves/meltCurve_Q9BVG8_2_KIFC3.pdf")</f>
        <v>Melting_Curves/meltCurve_Q9BVG8_2_KIFC3.pdf</v>
      </c>
    </row>
    <row r="5075" spans="1:28" x14ac:dyDescent="0.25">
      <c r="A5075" t="s">
        <v>5079</v>
      </c>
      <c r="B5075">
        <v>0.99352677808782597</v>
      </c>
      <c r="C5075">
        <v>0.77341559140013605</v>
      </c>
      <c r="D5075">
        <v>0.68758937387084496</v>
      </c>
      <c r="E5075">
        <v>0.43972348754107399</v>
      </c>
      <c r="F5075">
        <v>0.35163040983648203</v>
      </c>
      <c r="G5075">
        <v>0.208250231200655</v>
      </c>
      <c r="H5075">
        <v>0.13221695888219301</v>
      </c>
      <c r="I5075">
        <v>0.135686790285207</v>
      </c>
      <c r="J5075">
        <v>0.141677221393984</v>
      </c>
      <c r="K5075">
        <v>0.11297762771820299</v>
      </c>
      <c r="L5075">
        <v>577.35738828312401</v>
      </c>
      <c r="M5075">
        <v>11.9748726810025</v>
      </c>
      <c r="N5075">
        <v>49.046081934479098</v>
      </c>
      <c r="O5075">
        <v>46.928522457378399</v>
      </c>
      <c r="P5075">
        <v>-5.7943567613634298E-2</v>
      </c>
      <c r="Q5075">
        <v>9.1916704235012595E-2</v>
      </c>
      <c r="R5075">
        <v>0.98886780777655503</v>
      </c>
      <c r="S5075" t="s">
        <v>11360</v>
      </c>
      <c r="T5075" t="s">
        <v>12568</v>
      </c>
      <c r="U5075" t="s">
        <v>12568</v>
      </c>
      <c r="V5075" t="s">
        <v>12568</v>
      </c>
      <c r="W5075" t="s">
        <v>17592</v>
      </c>
      <c r="X5075">
        <v>1</v>
      </c>
      <c r="Y5075" t="s">
        <v>23694</v>
      </c>
      <c r="Z5075" t="s">
        <v>29945</v>
      </c>
      <c r="AA5075">
        <v>0.3757220238432385</v>
      </c>
      <c r="AB5075" t="str">
        <f>HYPERLINK("Melting_Curves/meltCurve_Q9BVI4_NOC4L.pdf", "Melting_Curves/meltCurve_Q9BVI4_NOC4L.pdf")</f>
        <v>Melting_Curves/meltCurve_Q9BVI4_NOC4L.pdf</v>
      </c>
    </row>
    <row r="5076" spans="1:28" x14ac:dyDescent="0.25">
      <c r="A5076" t="s">
        <v>5080</v>
      </c>
      <c r="B5076">
        <v>0.99352677808782597</v>
      </c>
      <c r="C5076">
        <v>0.99151587398486896</v>
      </c>
      <c r="D5076">
        <v>1.02691885748289</v>
      </c>
      <c r="E5076">
        <v>0.91126577647603402</v>
      </c>
      <c r="F5076">
        <v>0.76304220094625497</v>
      </c>
      <c r="G5076">
        <v>0.683415974207498</v>
      </c>
      <c r="H5076">
        <v>0.61624231361347903</v>
      </c>
      <c r="I5076">
        <v>0.60070614029550595</v>
      </c>
      <c r="J5076">
        <v>0.63658462971781005</v>
      </c>
      <c r="K5076">
        <v>0.59253473382870803</v>
      </c>
      <c r="L5076">
        <v>1326.0072018149699</v>
      </c>
      <c r="M5076">
        <v>25.308749174010899</v>
      </c>
      <c r="O5076">
        <v>52.069412908828397</v>
      </c>
      <c r="P5076">
        <v>-4.7195350513963001E-2</v>
      </c>
      <c r="Q5076">
        <v>0.61161214063605296</v>
      </c>
      <c r="R5076">
        <v>0.98735439956660598</v>
      </c>
      <c r="S5076" t="s">
        <v>11361</v>
      </c>
      <c r="T5076" t="s">
        <v>12568</v>
      </c>
      <c r="U5076" t="s">
        <v>12568</v>
      </c>
      <c r="V5076" t="s">
        <v>12568</v>
      </c>
      <c r="W5076" t="s">
        <v>17593</v>
      </c>
      <c r="X5076">
        <v>17</v>
      </c>
      <c r="Y5076" t="s">
        <v>23695</v>
      </c>
      <c r="Z5076" t="s">
        <v>29946</v>
      </c>
      <c r="AA5076">
        <v>0.77553436300646328</v>
      </c>
      <c r="AB5076" t="str">
        <f>HYPERLINK("Melting_Curves/meltCurve_Q9BVJ6_UTP14A.pdf", "Melting_Curves/meltCurve_Q9BVJ6_UTP14A.pdf")</f>
        <v>Melting_Curves/meltCurve_Q9BVJ6_UTP14A.pdf</v>
      </c>
    </row>
    <row r="5077" spans="1:28" x14ac:dyDescent="0.25">
      <c r="A5077" t="s">
        <v>5081</v>
      </c>
      <c r="B5077">
        <v>0.99352677808782597</v>
      </c>
      <c r="C5077">
        <v>0.95175933496160603</v>
      </c>
      <c r="D5077">
        <v>0.99486255105386701</v>
      </c>
      <c r="E5077">
        <v>0.84191606902427496</v>
      </c>
      <c r="F5077">
        <v>0.73417993157241002</v>
      </c>
      <c r="G5077">
        <v>0.51667868298696995</v>
      </c>
      <c r="H5077">
        <v>0.191411697634534</v>
      </c>
      <c r="I5077">
        <v>0.13827639983845899</v>
      </c>
      <c r="J5077">
        <v>0.110947974087806</v>
      </c>
      <c r="K5077">
        <v>9.1031997512325005E-2</v>
      </c>
      <c r="L5077">
        <v>895.47700877072896</v>
      </c>
      <c r="M5077">
        <v>15.9283288663229</v>
      </c>
      <c r="N5077">
        <v>56.441700484615502</v>
      </c>
      <c r="O5077">
        <v>55.355428109845001</v>
      </c>
      <c r="P5077">
        <v>-6.9752774673148804E-2</v>
      </c>
      <c r="Q5077">
        <v>3.04356877455568E-2</v>
      </c>
      <c r="R5077">
        <v>0.992304585868789</v>
      </c>
      <c r="S5077" t="s">
        <v>11362</v>
      </c>
      <c r="T5077" t="s">
        <v>12568</v>
      </c>
      <c r="U5077" t="s">
        <v>12568</v>
      </c>
      <c r="V5077" t="s">
        <v>12568</v>
      </c>
      <c r="W5077" t="s">
        <v>17594</v>
      </c>
      <c r="X5077">
        <v>14</v>
      </c>
      <c r="Y5077" t="s">
        <v>23696</v>
      </c>
      <c r="Z5077" t="s">
        <v>29947</v>
      </c>
      <c r="AA5077">
        <v>0.57060570609283956</v>
      </c>
      <c r="AB5077" t="str">
        <f>HYPERLINK("Melting_Curves/meltCurve_Q9BVJ7_DUSP23.pdf", "Melting_Curves/meltCurve_Q9BVJ7_DUSP23.pdf")</f>
        <v>Melting_Curves/meltCurve_Q9BVJ7_DUSP23.pdf</v>
      </c>
    </row>
    <row r="5078" spans="1:28" x14ac:dyDescent="0.25">
      <c r="A5078" t="s">
        <v>5082</v>
      </c>
      <c r="B5078">
        <v>0.99352677808782597</v>
      </c>
      <c r="C5078">
        <v>0.84039299451011096</v>
      </c>
      <c r="D5078">
        <v>0.48661304453059501</v>
      </c>
      <c r="E5078">
        <v>0.237920508353792</v>
      </c>
      <c r="F5078">
        <v>0.20549961183754201</v>
      </c>
      <c r="G5078">
        <v>0.14973902163255501</v>
      </c>
      <c r="H5078">
        <v>0.11339116584912599</v>
      </c>
      <c r="I5078">
        <v>0.103718428269593</v>
      </c>
      <c r="J5078">
        <v>8.9458461248440105E-2</v>
      </c>
      <c r="K5078">
        <v>5.2169523550059202E-2</v>
      </c>
      <c r="L5078">
        <v>964.83087345456704</v>
      </c>
      <c r="M5078">
        <v>21.1140786510548</v>
      </c>
      <c r="N5078">
        <v>46.217624891806999</v>
      </c>
      <c r="O5078">
        <v>45.292113040974598</v>
      </c>
      <c r="P5078">
        <v>-0.104192985177446</v>
      </c>
      <c r="Q5078">
        <v>0.106000094289161</v>
      </c>
      <c r="R5078">
        <v>0.990094463527184</v>
      </c>
      <c r="S5078" t="s">
        <v>11363</v>
      </c>
      <c r="T5078" t="s">
        <v>12568</v>
      </c>
      <c r="U5078" t="s">
        <v>12568</v>
      </c>
      <c r="V5078" t="s">
        <v>12568</v>
      </c>
      <c r="W5078" t="s">
        <v>17595</v>
      </c>
      <c r="X5078">
        <v>3</v>
      </c>
      <c r="Y5078" t="s">
        <v>23697</v>
      </c>
      <c r="Z5078" t="s">
        <v>29948</v>
      </c>
      <c r="AA5078">
        <v>0.28821832156088928</v>
      </c>
      <c r="AB5078" t="str">
        <f>HYPERLINK("Melting_Curves/meltCurve_Q9BVL4_SELO.pdf", "Melting_Curves/meltCurve_Q9BVL4_SELO.pdf")</f>
        <v>Melting_Curves/meltCurve_Q9BVL4_SELO.pdf</v>
      </c>
    </row>
    <row r="5079" spans="1:28" x14ac:dyDescent="0.25">
      <c r="A5079" t="s">
        <v>5083</v>
      </c>
      <c r="B5079">
        <v>0.99352677808782597</v>
      </c>
      <c r="C5079">
        <v>0.973384830420846</v>
      </c>
      <c r="D5079">
        <v>0.83993013672473404</v>
      </c>
      <c r="E5079">
        <v>0.38120635983961398</v>
      </c>
      <c r="F5079">
        <v>0.289386813816363</v>
      </c>
      <c r="G5079">
        <v>0.21455562506240999</v>
      </c>
      <c r="H5079">
        <v>0.16063922294557101</v>
      </c>
      <c r="I5079">
        <v>0.13384587045409799</v>
      </c>
      <c r="J5079">
        <v>0.161252690492596</v>
      </c>
      <c r="K5079">
        <v>0.119083426682133</v>
      </c>
      <c r="L5079">
        <v>1197.2364602861801</v>
      </c>
      <c r="M5079">
        <v>24.721575923739501</v>
      </c>
      <c r="N5079">
        <v>49.168842912546602</v>
      </c>
      <c r="O5079">
        <v>48.115265210702702</v>
      </c>
      <c r="P5079">
        <v>-0.108496496382431</v>
      </c>
      <c r="Q5079">
        <v>0.155351013883224</v>
      </c>
      <c r="R5079">
        <v>0.99362635925421905</v>
      </c>
      <c r="S5079" t="s">
        <v>11364</v>
      </c>
      <c r="T5079" t="s">
        <v>12568</v>
      </c>
      <c r="U5079" t="s">
        <v>12568</v>
      </c>
      <c r="V5079" t="s">
        <v>12568</v>
      </c>
      <c r="W5079" t="s">
        <v>17596</v>
      </c>
      <c r="X5079">
        <v>3</v>
      </c>
      <c r="Y5079" t="s">
        <v>23698</v>
      </c>
      <c r="Z5079" t="s">
        <v>29949</v>
      </c>
      <c r="AA5079">
        <v>0.40030677555642452</v>
      </c>
      <c r="AB5079" t="str">
        <f>HYPERLINK("Melting_Curves/meltCurve_Q9BVM2_DPCD.pdf", "Melting_Curves/meltCurve_Q9BVM2_DPCD.pdf")</f>
        <v>Melting_Curves/meltCurve_Q9BVM2_DPCD.pdf</v>
      </c>
    </row>
    <row r="5080" spans="1:28" x14ac:dyDescent="0.25">
      <c r="A5080" t="s">
        <v>5084</v>
      </c>
      <c r="B5080">
        <v>0.99352677808782597</v>
      </c>
      <c r="C5080">
        <v>0.98920423516104505</v>
      </c>
      <c r="D5080">
        <v>0.97431192646861697</v>
      </c>
      <c r="E5080">
        <v>0.56545217265426995</v>
      </c>
      <c r="F5080">
        <v>0.53221367936675101</v>
      </c>
      <c r="G5080">
        <v>0.20272610826660101</v>
      </c>
      <c r="H5080">
        <v>0.13430648913531201</v>
      </c>
      <c r="I5080">
        <v>0.13941555786064699</v>
      </c>
      <c r="J5080">
        <v>0.11097509769275</v>
      </c>
      <c r="K5080">
        <v>7.9510649630752606E-2</v>
      </c>
      <c r="L5080">
        <v>894.33174956139806</v>
      </c>
      <c r="M5080">
        <v>17.3188449948432</v>
      </c>
      <c r="N5080">
        <v>52.207927955855901</v>
      </c>
      <c r="O5080">
        <v>50.965495549763801</v>
      </c>
      <c r="P5080">
        <v>-7.7655349883306704E-2</v>
      </c>
      <c r="Q5080">
        <v>8.5963048466010994E-2</v>
      </c>
      <c r="R5080">
        <v>0.98107754445485396</v>
      </c>
      <c r="S5080" t="s">
        <v>11365</v>
      </c>
      <c r="T5080" t="s">
        <v>12568</v>
      </c>
      <c r="U5080" t="s">
        <v>12568</v>
      </c>
      <c r="V5080" t="s">
        <v>12568</v>
      </c>
      <c r="W5080" t="s">
        <v>17597</v>
      </c>
      <c r="X5080">
        <v>3</v>
      </c>
      <c r="Y5080" t="s">
        <v>23699</v>
      </c>
      <c r="Z5080" t="s">
        <v>29950</v>
      </c>
      <c r="AA5080">
        <v>0.45692055396114939</v>
      </c>
      <c r="AB5080" t="str">
        <f>HYPERLINK("Melting_Curves/meltCurve_Q9BVM4_GGACT.pdf", "Melting_Curves/meltCurve_Q9BVM4_GGACT.pdf")</f>
        <v>Melting_Curves/meltCurve_Q9BVM4_GGACT.pdf</v>
      </c>
    </row>
    <row r="5081" spans="1:28" x14ac:dyDescent="0.25">
      <c r="A5081" t="s">
        <v>5085</v>
      </c>
      <c r="B5081">
        <v>0.99352677808782597</v>
      </c>
      <c r="C5081">
        <v>0.79143481882773903</v>
      </c>
      <c r="D5081">
        <v>1.6047863488621401</v>
      </c>
      <c r="E5081">
        <v>0.73667457293049199</v>
      </c>
      <c r="F5081">
        <v>0.72149163150614304</v>
      </c>
      <c r="G5081">
        <v>0.27220540688622402</v>
      </c>
      <c r="H5081">
        <v>0</v>
      </c>
      <c r="I5081">
        <v>0.10490509833822199</v>
      </c>
      <c r="J5081">
        <v>3.7986483506340603E-2</v>
      </c>
      <c r="K5081">
        <v>0.11620736209155599</v>
      </c>
      <c r="L5081">
        <v>1488.46653648898</v>
      </c>
      <c r="M5081">
        <v>27.4425427352007</v>
      </c>
      <c r="N5081">
        <v>54.469550542384901</v>
      </c>
      <c r="O5081">
        <v>53.953821939866998</v>
      </c>
      <c r="P5081">
        <v>-0.12019733928512</v>
      </c>
      <c r="Q5081">
        <v>5.4745747732583602E-2</v>
      </c>
      <c r="R5081">
        <v>0.81002306851970196</v>
      </c>
      <c r="S5081" t="s">
        <v>11366</v>
      </c>
      <c r="T5081" t="s">
        <v>12568</v>
      </c>
      <c r="U5081" t="s">
        <v>12568</v>
      </c>
      <c r="V5081" t="s">
        <v>12568</v>
      </c>
      <c r="W5081" t="s">
        <v>17598</v>
      </c>
      <c r="X5081">
        <v>2</v>
      </c>
      <c r="Y5081" t="s">
        <v>23700</v>
      </c>
      <c r="Z5081" t="s">
        <v>29951</v>
      </c>
      <c r="AA5081">
        <v>0.51077905596123052</v>
      </c>
      <c r="AB5081" t="str">
        <f>HYPERLINK("Melting_Curves/meltCurve_Q9BVQ7_SPATA5L1.pdf", "Melting_Curves/meltCurve_Q9BVQ7_SPATA5L1.pdf")</f>
        <v>Melting_Curves/meltCurve_Q9BVQ7_SPATA5L1.pdf</v>
      </c>
    </row>
    <row r="5082" spans="1:28" x14ac:dyDescent="0.25">
      <c r="A5082" t="s">
        <v>5086</v>
      </c>
      <c r="B5082">
        <v>0.99352677808782597</v>
      </c>
      <c r="C5082">
        <v>1.01658426476428</v>
      </c>
      <c r="D5082">
        <v>0.86606850882936004</v>
      </c>
      <c r="E5082">
        <v>0.81599678746520998</v>
      </c>
      <c r="F5082">
        <v>0.80993846776144596</v>
      </c>
      <c r="G5082">
        <v>0.35176353132420501</v>
      </c>
      <c r="H5082">
        <v>0.11272580137534</v>
      </c>
      <c r="I5082">
        <v>8.9783188478114201E-2</v>
      </c>
      <c r="J5082">
        <v>9.3200047152380797E-2</v>
      </c>
      <c r="K5082">
        <v>8.1929054339295995E-2</v>
      </c>
      <c r="L5082">
        <v>1215.2882392567601</v>
      </c>
      <c r="M5082">
        <v>22.020305686948799</v>
      </c>
      <c r="N5082">
        <v>55.468569082904601</v>
      </c>
      <c r="O5082">
        <v>54.7403321610036</v>
      </c>
      <c r="P5082">
        <v>-9.5294816232750906E-2</v>
      </c>
      <c r="Q5082">
        <v>5.2446689524807501E-2</v>
      </c>
      <c r="R5082">
        <v>0.97728014055116996</v>
      </c>
      <c r="S5082" t="s">
        <v>11367</v>
      </c>
      <c r="T5082" t="s">
        <v>12568</v>
      </c>
      <c r="U5082" t="s">
        <v>12568</v>
      </c>
      <c r="V5082" t="s">
        <v>12568</v>
      </c>
      <c r="W5082" t="s">
        <v>17599</v>
      </c>
      <c r="X5082">
        <v>1</v>
      </c>
      <c r="Y5082" t="s">
        <v>23701</v>
      </c>
      <c r="Z5082" t="s">
        <v>29952</v>
      </c>
      <c r="AA5082">
        <v>0.54303279242262115</v>
      </c>
      <c r="AB5082" t="str">
        <f>HYPERLINK("Melting_Curves/meltCurve_Q9BVR6_TUBGCP4.pdf", "Melting_Curves/meltCurve_Q9BVR6_TUBGCP4.pdf")</f>
        <v>Melting_Curves/meltCurve_Q9BVR6_TUBGCP4.pdf</v>
      </c>
    </row>
    <row r="5083" spans="1:28" x14ac:dyDescent="0.25">
      <c r="A5083" t="s">
        <v>5087</v>
      </c>
      <c r="B5083">
        <v>0.99352677808782597</v>
      </c>
      <c r="C5083">
        <v>0.86449560226480504</v>
      </c>
      <c r="D5083">
        <v>0.74733741216710203</v>
      </c>
      <c r="E5083">
        <v>0.31953326602822002</v>
      </c>
      <c r="F5083">
        <v>0.25923016301889501</v>
      </c>
      <c r="G5083">
        <v>0.15936511280293</v>
      </c>
      <c r="H5083">
        <v>8.1234908469864503E-2</v>
      </c>
      <c r="I5083">
        <v>8.1421696685582301E-2</v>
      </c>
      <c r="J5083">
        <v>6.4149721467826007E-2</v>
      </c>
      <c r="K5083">
        <v>4.6297041658857799E-2</v>
      </c>
      <c r="L5083">
        <v>824.28973946200199</v>
      </c>
      <c r="M5083">
        <v>17.150492742667101</v>
      </c>
      <c r="N5083">
        <v>48.453131268413799</v>
      </c>
      <c r="O5083">
        <v>47.4230011353552</v>
      </c>
      <c r="P5083">
        <v>-8.4574695671388894E-2</v>
      </c>
      <c r="Q5083">
        <v>6.4622444250869798E-2</v>
      </c>
      <c r="R5083">
        <v>0.99123412041547099</v>
      </c>
      <c r="S5083" t="s">
        <v>11368</v>
      </c>
      <c r="T5083" t="s">
        <v>12568</v>
      </c>
      <c r="U5083" t="s">
        <v>12568</v>
      </c>
      <c r="V5083" t="s">
        <v>12568</v>
      </c>
      <c r="W5083" t="s">
        <v>17600</v>
      </c>
      <c r="X5083">
        <v>1</v>
      </c>
      <c r="Y5083" t="s">
        <v>23702</v>
      </c>
      <c r="Z5083" t="s">
        <v>29953</v>
      </c>
      <c r="AA5083">
        <v>0.33430494756513213</v>
      </c>
      <c r="AB5083" t="str">
        <f>HYPERLINK("Melting_Curves/meltCurve_Q9BVS4_RIOK2.pdf", "Melting_Curves/meltCurve_Q9BVS4_RIOK2.pdf")</f>
        <v>Melting_Curves/meltCurve_Q9BVS4_RIOK2.pdf</v>
      </c>
    </row>
    <row r="5084" spans="1:28" x14ac:dyDescent="0.25">
      <c r="A5084" t="s">
        <v>5088</v>
      </c>
      <c r="B5084">
        <v>0.99352677808782597</v>
      </c>
      <c r="C5084">
        <v>0.85479294458826505</v>
      </c>
      <c r="D5084">
        <v>0.95119098092433296</v>
      </c>
      <c r="E5084">
        <v>0.84309519354636997</v>
      </c>
      <c r="F5084">
        <v>0.757478778279153</v>
      </c>
      <c r="G5084">
        <v>0.69961945875415399</v>
      </c>
      <c r="H5084">
        <v>0.65911514002604499</v>
      </c>
      <c r="I5084">
        <v>0.775679700071643</v>
      </c>
      <c r="J5084">
        <v>0.68306320876426396</v>
      </c>
      <c r="K5084">
        <v>0.57297881008802298</v>
      </c>
      <c r="L5084">
        <v>376.64325955174598</v>
      </c>
      <c r="M5084">
        <v>7.1535268746887199</v>
      </c>
      <c r="O5084">
        <v>49.002610105782999</v>
      </c>
      <c r="P5084">
        <v>-1.53913461084984E-2</v>
      </c>
      <c r="Q5084">
        <v>0.57898970589048204</v>
      </c>
      <c r="R5084">
        <v>0.80924976958747497</v>
      </c>
      <c r="S5084" t="s">
        <v>11369</v>
      </c>
      <c r="T5084" t="s">
        <v>12568</v>
      </c>
      <c r="U5084" t="s">
        <v>12568</v>
      </c>
      <c r="V5084" t="s">
        <v>12568</v>
      </c>
      <c r="W5084" t="s">
        <v>17601</v>
      </c>
      <c r="X5084">
        <v>2</v>
      </c>
      <c r="Y5084" t="s">
        <v>23703</v>
      </c>
      <c r="Z5084" t="s">
        <v>29954</v>
      </c>
      <c r="AA5084">
        <v>0.77607729458414054</v>
      </c>
      <c r="AB5084" t="str">
        <f>HYPERLINK("Melting_Curves/meltCurve_Q9BVV6_2_KIAA0586.pdf", "Melting_Curves/meltCurve_Q9BVV6_2_KIAA0586.pdf")</f>
        <v>Melting_Curves/meltCurve_Q9BVV6_2_KIAA0586.pdf</v>
      </c>
    </row>
    <row r="5085" spans="1:28" x14ac:dyDescent="0.25">
      <c r="A5085" t="s">
        <v>5089</v>
      </c>
      <c r="B5085">
        <v>0.99352677808782597</v>
      </c>
      <c r="C5085">
        <v>1.01175022253456</v>
      </c>
      <c r="D5085">
        <v>1.0531796114973</v>
      </c>
      <c r="E5085">
        <v>0.99819431114269397</v>
      </c>
      <c r="F5085">
        <v>0.97670594015545997</v>
      </c>
      <c r="G5085">
        <v>0.898935883224522</v>
      </c>
      <c r="H5085">
        <v>0.76074858341102303</v>
      </c>
      <c r="I5085">
        <v>0.84455304904901796</v>
      </c>
      <c r="J5085">
        <v>1.01249349784106</v>
      </c>
      <c r="K5085">
        <v>0.87088800109198405</v>
      </c>
      <c r="L5085">
        <v>2830.8087091039401</v>
      </c>
      <c r="M5085">
        <v>51.725111467633603</v>
      </c>
      <c r="O5085">
        <v>54.646301171373999</v>
      </c>
      <c r="P5085">
        <v>-2.9742840633623799E-2</v>
      </c>
      <c r="Q5085">
        <v>0.87430974672489803</v>
      </c>
      <c r="R5085">
        <v>0.53918534182008304</v>
      </c>
      <c r="S5085" t="s">
        <v>11370</v>
      </c>
      <c r="T5085" t="s">
        <v>12568</v>
      </c>
      <c r="U5085" t="s">
        <v>12568</v>
      </c>
      <c r="V5085" t="s">
        <v>12568</v>
      </c>
      <c r="W5085" t="s">
        <v>17602</v>
      </c>
      <c r="X5085">
        <v>6</v>
      </c>
      <c r="Y5085" t="s">
        <v>23704</v>
      </c>
      <c r="Z5085" t="s">
        <v>29955</v>
      </c>
      <c r="AA5085">
        <v>0.93629834617606689</v>
      </c>
      <c r="AB5085" t="str">
        <f>HYPERLINK("Melting_Curves/meltCurve_Q9BVW5_TIPIN.pdf", "Melting_Curves/meltCurve_Q9BVW5_TIPIN.pdf")</f>
        <v>Melting_Curves/meltCurve_Q9BVW5_TIPIN.pdf</v>
      </c>
    </row>
    <row r="5086" spans="1:28" x14ac:dyDescent="0.25">
      <c r="A5086" t="s">
        <v>5090</v>
      </c>
      <c r="B5086">
        <v>0.99352677808782597</v>
      </c>
      <c r="C5086">
        <v>0.951066585620163</v>
      </c>
      <c r="D5086">
        <v>1.01127751414232</v>
      </c>
      <c r="E5086">
        <v>0.98047353580265295</v>
      </c>
      <c r="F5086">
        <v>0.84539596099319003</v>
      </c>
      <c r="G5086">
        <v>0.810528399100648</v>
      </c>
      <c r="H5086">
        <v>0.75486293038979302</v>
      </c>
      <c r="I5086">
        <v>0.766603463603164</v>
      </c>
      <c r="J5086">
        <v>0.81276631881630801</v>
      </c>
      <c r="K5086">
        <v>0.68240053542227397</v>
      </c>
      <c r="L5086">
        <v>1638.0391330136299</v>
      </c>
      <c r="M5086">
        <v>31.115720916291401</v>
      </c>
      <c r="O5086">
        <v>52.4274525306245</v>
      </c>
      <c r="P5086">
        <v>-3.5881058316516903E-2</v>
      </c>
      <c r="Q5086">
        <v>0.75817474103833304</v>
      </c>
      <c r="R5086">
        <v>0.88926376864496204</v>
      </c>
      <c r="S5086" t="s">
        <v>11371</v>
      </c>
      <c r="T5086" t="s">
        <v>12568</v>
      </c>
      <c r="U5086" t="s">
        <v>12568</v>
      </c>
      <c r="V5086" t="s">
        <v>12568</v>
      </c>
      <c r="W5086" t="s">
        <v>17603</v>
      </c>
      <c r="X5086">
        <v>18</v>
      </c>
      <c r="Y5086" t="s">
        <v>23705</v>
      </c>
      <c r="Z5086" t="s">
        <v>29956</v>
      </c>
      <c r="AA5086">
        <v>0.86154345410307753</v>
      </c>
      <c r="AB5086" t="str">
        <f>HYPERLINK("Melting_Curves/meltCurve_Q9BW04_SARG.pdf", "Melting_Curves/meltCurve_Q9BW04_SARG.pdf")</f>
        <v>Melting_Curves/meltCurve_Q9BW04_SARG.pdf</v>
      </c>
    </row>
    <row r="5087" spans="1:28" x14ac:dyDescent="0.25">
      <c r="A5087" t="s">
        <v>5091</v>
      </c>
      <c r="B5087">
        <v>0.99352677808782597</v>
      </c>
      <c r="C5087">
        <v>0.82598600673063605</v>
      </c>
      <c r="D5087">
        <v>0.79274937804498002</v>
      </c>
      <c r="E5087">
        <v>0.44496735542177401</v>
      </c>
      <c r="F5087">
        <v>0.36727517402576998</v>
      </c>
      <c r="G5087">
        <v>0.30002758664558399</v>
      </c>
      <c r="H5087">
        <v>0.23955018736879599</v>
      </c>
      <c r="I5087">
        <v>0.25289393583665898</v>
      </c>
      <c r="J5087">
        <v>0.23551479605508699</v>
      </c>
      <c r="K5087">
        <v>0.19594582509852801</v>
      </c>
      <c r="L5087">
        <v>742.51968595679102</v>
      </c>
      <c r="M5087">
        <v>15.496392168545601</v>
      </c>
      <c r="N5087">
        <v>49.761044026233002</v>
      </c>
      <c r="O5087">
        <v>47.138975998466897</v>
      </c>
      <c r="P5087">
        <v>-6.4228034581181703E-2</v>
      </c>
      <c r="Q5087">
        <v>0.21855997778134001</v>
      </c>
      <c r="R5087">
        <v>0.98423807092580096</v>
      </c>
      <c r="S5087" t="s">
        <v>11372</v>
      </c>
      <c r="T5087" t="s">
        <v>12568</v>
      </c>
      <c r="U5087" t="s">
        <v>12568</v>
      </c>
      <c r="V5087" t="s">
        <v>12568</v>
      </c>
      <c r="W5087" t="s">
        <v>17604</v>
      </c>
      <c r="X5087">
        <v>6</v>
      </c>
      <c r="Y5087" t="s">
        <v>23706</v>
      </c>
      <c r="Z5087" t="s">
        <v>29957</v>
      </c>
      <c r="AA5087">
        <v>0.44366476289331469</v>
      </c>
      <c r="AB5087" t="str">
        <f>HYPERLINK("Melting_Curves/meltCurve_Q9BW19_KIFC1.pdf", "Melting_Curves/meltCurve_Q9BW19_KIFC1.pdf")</f>
        <v>Melting_Curves/meltCurve_Q9BW19_KIFC1.pdf</v>
      </c>
    </row>
    <row r="5088" spans="1:28" x14ac:dyDescent="0.25">
      <c r="A5088" t="s">
        <v>5092</v>
      </c>
      <c r="B5088">
        <v>0.99352677808782597</v>
      </c>
      <c r="C5088">
        <v>0.99047709823343999</v>
      </c>
      <c r="D5088">
        <v>0.87793975730101004</v>
      </c>
      <c r="E5088">
        <v>0.84953168343505203</v>
      </c>
      <c r="F5088">
        <v>0.71368540242267298</v>
      </c>
      <c r="G5088">
        <v>0.34924144850100503</v>
      </c>
      <c r="H5088">
        <v>0.14829900684264399</v>
      </c>
      <c r="I5088">
        <v>0.13631588472914</v>
      </c>
      <c r="J5088">
        <v>0.11024807494060899</v>
      </c>
      <c r="K5088">
        <v>9.0064628143810804E-2</v>
      </c>
      <c r="L5088">
        <v>1031.6023231338099</v>
      </c>
      <c r="M5088">
        <v>18.8688265756969</v>
      </c>
      <c r="N5088">
        <v>55.105298315923797</v>
      </c>
      <c r="O5088">
        <v>54.0693291358035</v>
      </c>
      <c r="P5088">
        <v>-8.1236186766469598E-2</v>
      </c>
      <c r="Q5088">
        <v>6.88968063945333E-2</v>
      </c>
      <c r="R5088">
        <v>0.99038098615911296</v>
      </c>
      <c r="S5088" t="s">
        <v>11373</v>
      </c>
      <c r="T5088" t="s">
        <v>12568</v>
      </c>
      <c r="U5088" t="s">
        <v>12568</v>
      </c>
      <c r="V5088" t="s">
        <v>12568</v>
      </c>
      <c r="W5088" t="s">
        <v>17605</v>
      </c>
      <c r="X5088">
        <v>11</v>
      </c>
      <c r="Y5088" t="s">
        <v>23707</v>
      </c>
      <c r="Z5088" t="s">
        <v>29958</v>
      </c>
      <c r="AA5088">
        <v>0.53791307295884749</v>
      </c>
      <c r="AB5088" t="str">
        <f>HYPERLINK("Melting_Curves/meltCurve_Q9BW27_NUP85.pdf", "Melting_Curves/meltCurve_Q9BW27_NUP85.pdf")</f>
        <v>Melting_Curves/meltCurve_Q9BW27_NUP85.pdf</v>
      </c>
    </row>
    <row r="5089" spans="1:28" x14ac:dyDescent="0.25">
      <c r="A5089" t="s">
        <v>5093</v>
      </c>
      <c r="B5089">
        <v>0.99352677808782597</v>
      </c>
      <c r="C5089">
        <v>0.98963357587788103</v>
      </c>
      <c r="D5089">
        <v>1.03175704438714</v>
      </c>
      <c r="E5089">
        <v>0.99339760577725</v>
      </c>
      <c r="F5089">
        <v>0.94774480626528501</v>
      </c>
      <c r="G5089">
        <v>0.90907916780644904</v>
      </c>
      <c r="H5089">
        <v>0.76127241363783804</v>
      </c>
      <c r="I5089">
        <v>0.82540514183190306</v>
      </c>
      <c r="J5089">
        <v>0.87052591938245305</v>
      </c>
      <c r="K5089">
        <v>0.74208941527164995</v>
      </c>
      <c r="L5089">
        <v>1545.4776963889001</v>
      </c>
      <c r="M5089">
        <v>27.446281379072001</v>
      </c>
      <c r="O5089">
        <v>56.012802344864198</v>
      </c>
      <c r="P5089">
        <v>-2.4981496700228499E-2</v>
      </c>
      <c r="Q5089">
        <v>0.79607136841123605</v>
      </c>
      <c r="R5089">
        <v>0.84998723453387803</v>
      </c>
      <c r="S5089" t="s">
        <v>11374</v>
      </c>
      <c r="T5089" t="s">
        <v>12568</v>
      </c>
      <c r="U5089" t="s">
        <v>12568</v>
      </c>
      <c r="V5089" t="s">
        <v>12568</v>
      </c>
      <c r="W5089" t="s">
        <v>17606</v>
      </c>
      <c r="X5089">
        <v>14</v>
      </c>
      <c r="Y5089" t="s">
        <v>23708</v>
      </c>
      <c r="Z5089" t="s">
        <v>29959</v>
      </c>
      <c r="AA5089">
        <v>0.9085279155072814</v>
      </c>
      <c r="AB5089" t="str">
        <f>HYPERLINK("Melting_Curves/meltCurve_Q9BW30_TPPP3.pdf", "Melting_Curves/meltCurve_Q9BW30_TPPP3.pdf")</f>
        <v>Melting_Curves/meltCurve_Q9BW30_TPPP3.pdf</v>
      </c>
    </row>
    <row r="5090" spans="1:28" x14ac:dyDescent="0.25">
      <c r="A5090" t="s">
        <v>5094</v>
      </c>
      <c r="B5090">
        <v>0.99352677808782597</v>
      </c>
      <c r="C5090">
        <v>0.99735662883771703</v>
      </c>
      <c r="D5090">
        <v>0.87318451257632201</v>
      </c>
      <c r="E5090">
        <v>0.83136921225690597</v>
      </c>
      <c r="F5090">
        <v>0.709569247546041</v>
      </c>
      <c r="G5090">
        <v>0.52783303507906698</v>
      </c>
      <c r="H5090">
        <v>0.55869002830116898</v>
      </c>
      <c r="I5090">
        <v>0.418448755390397</v>
      </c>
      <c r="J5090">
        <v>0.35004937138975301</v>
      </c>
      <c r="K5090">
        <v>0.272721735957274</v>
      </c>
      <c r="L5090">
        <v>445.88417103027098</v>
      </c>
      <c r="M5090">
        <v>7.58332442426609</v>
      </c>
      <c r="N5090">
        <v>60.375871043391399</v>
      </c>
      <c r="O5090">
        <v>55.126854685708402</v>
      </c>
      <c r="P5090">
        <v>-3.1342162923148703E-2</v>
      </c>
      <c r="Q5090">
        <v>8.9890692594698701E-2</v>
      </c>
      <c r="R5090">
        <v>0.97515527899367505</v>
      </c>
      <c r="S5090" t="s">
        <v>11375</v>
      </c>
      <c r="T5090" t="s">
        <v>12568</v>
      </c>
      <c r="U5090" t="s">
        <v>12568</v>
      </c>
      <c r="V5090" t="s">
        <v>12568</v>
      </c>
      <c r="W5090" t="s">
        <v>17607</v>
      </c>
      <c r="X5090">
        <v>5</v>
      </c>
      <c r="Y5090" t="s">
        <v>23709</v>
      </c>
      <c r="Z5090" t="s">
        <v>29960</v>
      </c>
      <c r="AA5090">
        <v>0.65470137691521679</v>
      </c>
      <c r="AB5090" t="str">
        <f>HYPERLINK("Melting_Curves/meltCurve_Q9BW61_DDA1.pdf", "Melting_Curves/meltCurve_Q9BW61_DDA1.pdf")</f>
        <v>Melting_Curves/meltCurve_Q9BW61_DDA1.pdf</v>
      </c>
    </row>
    <row r="5091" spans="1:28" x14ac:dyDescent="0.25">
      <c r="A5091" t="s">
        <v>5095</v>
      </c>
      <c r="B5091">
        <v>0.99352677808782597</v>
      </c>
      <c r="C5091">
        <v>0.93860496996014697</v>
      </c>
      <c r="D5091">
        <v>0.86477618109183796</v>
      </c>
      <c r="E5091">
        <v>0.38399932556236099</v>
      </c>
      <c r="F5091">
        <v>0.29184623006931298</v>
      </c>
      <c r="G5091">
        <v>0.193956346740111</v>
      </c>
      <c r="H5091">
        <v>8.0397356690721095E-2</v>
      </c>
      <c r="I5091">
        <v>7.1562155238717104E-2</v>
      </c>
      <c r="J5091">
        <v>5.50718771793118E-2</v>
      </c>
      <c r="K5091">
        <v>5.27302835270941E-2</v>
      </c>
      <c r="L5091">
        <v>963.85210882726903</v>
      </c>
      <c r="M5091">
        <v>19.606174469958098</v>
      </c>
      <c r="N5091">
        <v>49.545735287816697</v>
      </c>
      <c r="O5091">
        <v>48.657786582979902</v>
      </c>
      <c r="P5091">
        <v>-9.3619104316521207E-2</v>
      </c>
      <c r="Q5091">
        <v>7.0672787709897406E-2</v>
      </c>
      <c r="R5091">
        <v>0.98834235946110305</v>
      </c>
      <c r="S5091" t="s">
        <v>11376</v>
      </c>
      <c r="T5091" t="s">
        <v>12568</v>
      </c>
      <c r="U5091" t="s">
        <v>12568</v>
      </c>
      <c r="V5091" t="s">
        <v>12568</v>
      </c>
      <c r="W5091" t="s">
        <v>17608</v>
      </c>
      <c r="X5091">
        <v>4</v>
      </c>
      <c r="Y5091" t="s">
        <v>23710</v>
      </c>
      <c r="Z5091" t="s">
        <v>29961</v>
      </c>
      <c r="AA5091">
        <v>0.36797861449449337</v>
      </c>
      <c r="AB5091" t="str">
        <f>HYPERLINK("Melting_Curves/meltCurve_Q9BW62_KATNAL1.pdf", "Melting_Curves/meltCurve_Q9BW62_KATNAL1.pdf")</f>
        <v>Melting_Curves/meltCurve_Q9BW62_KATNAL1.pdf</v>
      </c>
    </row>
    <row r="5092" spans="1:28" x14ac:dyDescent="0.25">
      <c r="A5092" t="s">
        <v>5096</v>
      </c>
      <c r="B5092">
        <v>0.99352677808782597</v>
      </c>
      <c r="C5092">
        <v>0.93870305994144998</v>
      </c>
      <c r="D5092">
        <v>0.97363254501405505</v>
      </c>
      <c r="E5092">
        <v>0.89501051887124194</v>
      </c>
      <c r="F5092">
        <v>0.86230308062599004</v>
      </c>
      <c r="G5092">
        <v>0.76591053954973598</v>
      </c>
      <c r="H5092">
        <v>0.75910820980038696</v>
      </c>
      <c r="I5092">
        <v>0.84267162339436796</v>
      </c>
      <c r="J5092">
        <v>0.88739900148575701</v>
      </c>
      <c r="K5092">
        <v>0.73933130198296304</v>
      </c>
      <c r="L5092">
        <v>905.94009597127001</v>
      </c>
      <c r="M5092">
        <v>18.288430325353101</v>
      </c>
      <c r="O5092">
        <v>48.955345332388298</v>
      </c>
      <c r="P5092">
        <v>-1.8942584148549001E-2</v>
      </c>
      <c r="Q5092">
        <v>0.79718365862108798</v>
      </c>
      <c r="R5092">
        <v>0.71821384967938995</v>
      </c>
      <c r="S5092" t="s">
        <v>11377</v>
      </c>
      <c r="T5092" t="s">
        <v>12568</v>
      </c>
      <c r="U5092" t="s">
        <v>12568</v>
      </c>
      <c r="V5092" t="s">
        <v>12568</v>
      </c>
      <c r="W5092" t="s">
        <v>17609</v>
      </c>
      <c r="X5092">
        <v>13</v>
      </c>
      <c r="Y5092" t="s">
        <v>23711</v>
      </c>
      <c r="Z5092" t="s">
        <v>29962</v>
      </c>
      <c r="AA5092">
        <v>0.86502905336371849</v>
      </c>
      <c r="AB5092" t="str">
        <f>HYPERLINK("Melting_Curves/meltCurve_Q9BW71_HIRIP3.pdf", "Melting_Curves/meltCurve_Q9BW71_HIRIP3.pdf")</f>
        <v>Melting_Curves/meltCurve_Q9BW71_HIRIP3.pdf</v>
      </c>
    </row>
    <row r="5093" spans="1:28" x14ac:dyDescent="0.25">
      <c r="A5093" t="s">
        <v>5097</v>
      </c>
      <c r="B5093">
        <v>0.99352677808782597</v>
      </c>
      <c r="C5093">
        <v>0.93189613982513098</v>
      </c>
      <c r="D5093">
        <v>0.87978135963016102</v>
      </c>
      <c r="E5093">
        <v>0.33731751008497401</v>
      </c>
      <c r="F5093">
        <v>0.25496915948562698</v>
      </c>
      <c r="G5093">
        <v>0.13523565550474201</v>
      </c>
      <c r="H5093">
        <v>8.58080502385003E-2</v>
      </c>
      <c r="I5093">
        <v>7.9842757692676999E-2</v>
      </c>
      <c r="J5093">
        <v>6.9041579467528202E-2</v>
      </c>
      <c r="K5093">
        <v>5.5158012944083401E-2</v>
      </c>
      <c r="L5093">
        <v>1225.8758881518099</v>
      </c>
      <c r="M5093">
        <v>25.1688653946863</v>
      </c>
      <c r="N5093">
        <v>49.0632552567929</v>
      </c>
      <c r="O5093">
        <v>48.4016720698935</v>
      </c>
      <c r="P5093">
        <v>-0.119118200884678</v>
      </c>
      <c r="Q5093">
        <v>8.3717599401342893E-2</v>
      </c>
      <c r="R5093">
        <v>0.98998843614120102</v>
      </c>
      <c r="S5093" t="s">
        <v>11378</v>
      </c>
      <c r="T5093" t="s">
        <v>12568</v>
      </c>
      <c r="U5093" t="s">
        <v>12568</v>
      </c>
      <c r="V5093" t="s">
        <v>12568</v>
      </c>
      <c r="W5093" t="s">
        <v>17610</v>
      </c>
      <c r="X5093">
        <v>9</v>
      </c>
      <c r="Y5093" t="s">
        <v>23712</v>
      </c>
      <c r="Z5093" t="s">
        <v>29963</v>
      </c>
      <c r="AA5093">
        <v>0.35761803979540657</v>
      </c>
      <c r="AB5093" t="str">
        <f>HYPERLINK("Melting_Curves/meltCurve_Q9BW83_IFT27.pdf", "Melting_Curves/meltCurve_Q9BW83_IFT27.pdf")</f>
        <v>Melting_Curves/meltCurve_Q9BW83_IFT27.pdf</v>
      </c>
    </row>
    <row r="5094" spans="1:28" x14ac:dyDescent="0.25">
      <c r="A5094" t="s">
        <v>5098</v>
      </c>
      <c r="B5094">
        <v>0.99352677808782597</v>
      </c>
      <c r="C5094">
        <v>0.98934172878466597</v>
      </c>
      <c r="D5094">
        <v>1.01620568932422</v>
      </c>
      <c r="E5094">
        <v>0.94314348137457704</v>
      </c>
      <c r="F5094">
        <v>0.74699623392247305</v>
      </c>
      <c r="G5094">
        <v>0.68768895167495503</v>
      </c>
      <c r="H5094">
        <v>0.50624313676339605</v>
      </c>
      <c r="I5094">
        <v>0.41971511753132901</v>
      </c>
      <c r="J5094">
        <v>0.44704839256909201</v>
      </c>
      <c r="K5094">
        <v>0.30931824804660102</v>
      </c>
      <c r="L5094">
        <v>734.22336590578504</v>
      </c>
      <c r="M5094">
        <v>12.806767985011501</v>
      </c>
      <c r="N5094">
        <v>61.454207136820798</v>
      </c>
      <c r="O5094">
        <v>55.986967003615497</v>
      </c>
      <c r="P5094">
        <v>-4.0709054879678297E-2</v>
      </c>
      <c r="Q5094">
        <v>0.28826680226314899</v>
      </c>
      <c r="R5094">
        <v>0.97735735856763895</v>
      </c>
      <c r="S5094" t="s">
        <v>11379</v>
      </c>
      <c r="T5094" t="s">
        <v>12568</v>
      </c>
      <c r="U5094" t="s">
        <v>12568</v>
      </c>
      <c r="V5094" t="s">
        <v>12568</v>
      </c>
      <c r="W5094" t="s">
        <v>17611</v>
      </c>
      <c r="X5094">
        <v>16</v>
      </c>
      <c r="Y5094" t="s">
        <v>23713</v>
      </c>
      <c r="Z5094" t="s">
        <v>29964</v>
      </c>
      <c r="AA5094">
        <v>0.71057120137695895</v>
      </c>
      <c r="AB5094" t="str">
        <f>HYPERLINK("Melting_Curves/meltCurve_Q9BW85_CCDC94.pdf", "Melting_Curves/meltCurve_Q9BW85_CCDC94.pdf")</f>
        <v>Melting_Curves/meltCurve_Q9BW85_CCDC94.pdf</v>
      </c>
    </row>
    <row r="5095" spans="1:28" x14ac:dyDescent="0.25">
      <c r="A5095" t="s">
        <v>5099</v>
      </c>
      <c r="B5095">
        <v>0.99352677808782597</v>
      </c>
      <c r="C5095">
        <v>1.0124510193787599</v>
      </c>
      <c r="D5095">
        <v>1.0117661682458901</v>
      </c>
      <c r="E5095">
        <v>0.87346453328888296</v>
      </c>
      <c r="F5095">
        <v>0.78406825541092195</v>
      </c>
      <c r="G5095">
        <v>0.55020546168595896</v>
      </c>
      <c r="H5095">
        <v>0.29676564368080899</v>
      </c>
      <c r="I5095">
        <v>0.25309924000082101</v>
      </c>
      <c r="J5095">
        <v>0.24549649731388401</v>
      </c>
      <c r="K5095">
        <v>0.218791364886877</v>
      </c>
      <c r="L5095">
        <v>1017.61152455874</v>
      </c>
      <c r="M5095">
        <v>18.229683213941101</v>
      </c>
      <c r="N5095">
        <v>57.340859524390702</v>
      </c>
      <c r="O5095">
        <v>55.162938339154003</v>
      </c>
      <c r="P5095">
        <v>-6.6797065337392297E-2</v>
      </c>
      <c r="Q5095">
        <v>0.191527255723416</v>
      </c>
      <c r="R5095">
        <v>0.99502780811323399</v>
      </c>
      <c r="S5095" t="s">
        <v>11380</v>
      </c>
      <c r="T5095" t="s">
        <v>12568</v>
      </c>
      <c r="U5095" t="s">
        <v>12568</v>
      </c>
      <c r="V5095" t="s">
        <v>12568</v>
      </c>
      <c r="W5095" t="s">
        <v>17612</v>
      </c>
      <c r="X5095">
        <v>16</v>
      </c>
      <c r="Y5095" t="s">
        <v>23714</v>
      </c>
      <c r="Z5095" t="s">
        <v>29965</v>
      </c>
      <c r="AA5095">
        <v>0.62975214480208797</v>
      </c>
      <c r="AB5095" t="str">
        <f>HYPERLINK("Melting_Curves/meltCurve_Q9BW91_2_NUDT9.pdf", "Melting_Curves/meltCurve_Q9BW91_2_NUDT9.pdf")</f>
        <v>Melting_Curves/meltCurve_Q9BW91_2_NUDT9.pdf</v>
      </c>
    </row>
    <row r="5096" spans="1:28" x14ac:dyDescent="0.25">
      <c r="A5096" t="s">
        <v>5100</v>
      </c>
      <c r="B5096">
        <v>0.99352677808782597</v>
      </c>
      <c r="C5096">
        <v>0.90265094691008596</v>
      </c>
      <c r="D5096">
        <v>0.78210036260004101</v>
      </c>
      <c r="E5096">
        <v>0.306780197910831</v>
      </c>
      <c r="F5096">
        <v>0.22886883363571001</v>
      </c>
      <c r="G5096">
        <v>0.113458134658347</v>
      </c>
      <c r="H5096">
        <v>6.59557640356081E-2</v>
      </c>
      <c r="I5096">
        <v>7.5333416355629096E-2</v>
      </c>
      <c r="J5096">
        <v>5.5473259500500097E-2</v>
      </c>
      <c r="K5096">
        <v>4.3142473553887603E-2</v>
      </c>
      <c r="L5096">
        <v>1006.92879760016</v>
      </c>
      <c r="M5096">
        <v>20.908723330608598</v>
      </c>
      <c r="N5096">
        <v>48.464894159499401</v>
      </c>
      <c r="O5096">
        <v>47.724281934048001</v>
      </c>
      <c r="P5096">
        <v>-0.102747003376658</v>
      </c>
      <c r="Q5096">
        <v>6.1943090615606003E-2</v>
      </c>
      <c r="R5096">
        <v>0.99385609010440201</v>
      </c>
      <c r="S5096" t="s">
        <v>11381</v>
      </c>
      <c r="T5096" t="s">
        <v>12568</v>
      </c>
      <c r="U5096" t="s">
        <v>12568</v>
      </c>
      <c r="V5096" t="s">
        <v>12568</v>
      </c>
      <c r="W5096" t="s">
        <v>17613</v>
      </c>
      <c r="X5096">
        <v>9</v>
      </c>
      <c r="Y5096" t="s">
        <v>23715</v>
      </c>
      <c r="Z5096" t="s">
        <v>29966</v>
      </c>
      <c r="AA5096">
        <v>0.32914213992904329</v>
      </c>
      <c r="AB5096" t="str">
        <f>HYPERLINK("Melting_Curves/meltCurve_Q9BW92_TARS2.pdf", "Melting_Curves/meltCurve_Q9BW92_TARS2.pdf")</f>
        <v>Melting_Curves/meltCurve_Q9BW92_TARS2.pdf</v>
      </c>
    </row>
    <row r="5097" spans="1:28" x14ac:dyDescent="0.25">
      <c r="A5097" t="s">
        <v>5101</v>
      </c>
      <c r="B5097">
        <v>0.99352677808782597</v>
      </c>
      <c r="C5097">
        <v>0.99122857949325804</v>
      </c>
      <c r="D5097">
        <v>0.98303106933569395</v>
      </c>
      <c r="E5097">
        <v>0.70705524144286003</v>
      </c>
      <c r="F5097">
        <v>0.60879662320293904</v>
      </c>
      <c r="G5097">
        <v>0.49473217492233301</v>
      </c>
      <c r="H5097">
        <v>0.42974033686734397</v>
      </c>
      <c r="I5097">
        <v>0.1880525264939</v>
      </c>
      <c r="J5097">
        <v>9.2379487887396097E-2</v>
      </c>
      <c r="K5097">
        <v>7.0629488920586306E-2</v>
      </c>
      <c r="L5097">
        <v>589.33295242833799</v>
      </c>
      <c r="M5097">
        <v>10.4847200654759</v>
      </c>
      <c r="N5097">
        <v>56.208757460662497</v>
      </c>
      <c r="O5097">
        <v>54.279447159908898</v>
      </c>
      <c r="P5097">
        <v>-4.83100627945003E-2</v>
      </c>
      <c r="Q5097">
        <v>0</v>
      </c>
      <c r="R5097">
        <v>0.968581602942443</v>
      </c>
      <c r="S5097" t="s">
        <v>11382</v>
      </c>
      <c r="T5097" t="s">
        <v>12568</v>
      </c>
      <c r="U5097" t="s">
        <v>12568</v>
      </c>
      <c r="V5097" t="s">
        <v>12568</v>
      </c>
      <c r="W5097" t="s">
        <v>17614</v>
      </c>
      <c r="X5097">
        <v>14</v>
      </c>
      <c r="Y5097" t="s">
        <v>23716</v>
      </c>
      <c r="Z5097" t="s">
        <v>29967</v>
      </c>
      <c r="AA5097">
        <v>0.56039394271923137</v>
      </c>
      <c r="AB5097" t="str">
        <f>HYPERLINK("Melting_Curves/meltCurve_Q9BWD1_ACAT2.pdf", "Melting_Curves/meltCurve_Q9BWD1_ACAT2.pdf")</f>
        <v>Melting_Curves/meltCurve_Q9BWD1_ACAT2.pdf</v>
      </c>
    </row>
    <row r="5098" spans="1:28" x14ac:dyDescent="0.25">
      <c r="A5098" t="s">
        <v>5102</v>
      </c>
      <c r="B5098">
        <v>0.99352677808782597</v>
      </c>
      <c r="C5098">
        <v>0.90953861929014002</v>
      </c>
      <c r="D5098">
        <v>0.82960796830824002</v>
      </c>
      <c r="E5098">
        <v>0.37272640252869099</v>
      </c>
      <c r="F5098">
        <v>0.357773935059089</v>
      </c>
      <c r="G5098">
        <v>0.20128748079102901</v>
      </c>
      <c r="H5098">
        <v>0.10941779292935</v>
      </c>
      <c r="I5098">
        <v>0.117377588064455</v>
      </c>
      <c r="J5098">
        <v>9.63432760904612E-2</v>
      </c>
      <c r="K5098">
        <v>7.47035077375649E-2</v>
      </c>
      <c r="L5098">
        <v>828.46326502157797</v>
      </c>
      <c r="M5098">
        <v>16.917699029700401</v>
      </c>
      <c r="N5098">
        <v>49.577782456772198</v>
      </c>
      <c r="O5098">
        <v>48.301334021123203</v>
      </c>
      <c r="P5098">
        <v>-7.93704184240418E-2</v>
      </c>
      <c r="Q5098">
        <v>9.3622413862694404E-2</v>
      </c>
      <c r="R5098">
        <v>0.98384691090140097</v>
      </c>
      <c r="S5098" t="s">
        <v>11383</v>
      </c>
      <c r="T5098" t="s">
        <v>12568</v>
      </c>
      <c r="U5098" t="s">
        <v>12568</v>
      </c>
      <c r="V5098" t="s">
        <v>12568</v>
      </c>
      <c r="W5098" t="s">
        <v>17615</v>
      </c>
      <c r="X5098">
        <v>4</v>
      </c>
      <c r="Y5098" t="s">
        <v>23717</v>
      </c>
      <c r="Z5098" t="s">
        <v>29968</v>
      </c>
      <c r="AA5098">
        <v>0.38239734944009168</v>
      </c>
      <c r="AB5098" t="str">
        <f>HYPERLINK("Melting_Curves/meltCurve_Q9BWD3_FAM127B.pdf", "Melting_Curves/meltCurve_Q9BWD3_FAM127B.pdf")</f>
        <v>Melting_Curves/meltCurve_Q9BWD3_FAM127B.pdf</v>
      </c>
    </row>
    <row r="5099" spans="1:28" x14ac:dyDescent="0.25">
      <c r="A5099" t="s">
        <v>5103</v>
      </c>
      <c r="B5099">
        <v>0.99352677808782597</v>
      </c>
      <c r="C5099">
        <v>1.0330599053101299</v>
      </c>
      <c r="D5099">
        <v>0.94488721123147501</v>
      </c>
      <c r="E5099">
        <v>0.85284075142538895</v>
      </c>
      <c r="F5099">
        <v>0.74452690455900306</v>
      </c>
      <c r="G5099">
        <v>0.57924143956161001</v>
      </c>
      <c r="H5099">
        <v>0.53273748060586001</v>
      </c>
      <c r="I5099">
        <v>0.36496867387352599</v>
      </c>
      <c r="J5099">
        <v>0.30428280387141998</v>
      </c>
      <c r="K5099">
        <v>0.212061469700625</v>
      </c>
      <c r="L5099">
        <v>521.69128933998104</v>
      </c>
      <c r="M5099">
        <v>8.6606613771007108</v>
      </c>
      <c r="N5099">
        <v>60.236886196039002</v>
      </c>
      <c r="O5099">
        <v>57.283702610536501</v>
      </c>
      <c r="P5099">
        <v>-3.7828964743420901E-2</v>
      </c>
      <c r="Q5099">
        <v>0</v>
      </c>
      <c r="R5099">
        <v>0.98737809703746704</v>
      </c>
      <c r="S5099" t="s">
        <v>11384</v>
      </c>
      <c r="T5099" t="s">
        <v>12568</v>
      </c>
      <c r="U5099" t="s">
        <v>12568</v>
      </c>
      <c r="V5099" t="s">
        <v>12568</v>
      </c>
      <c r="W5099" t="s">
        <v>17616</v>
      </c>
      <c r="X5099">
        <v>10</v>
      </c>
      <c r="Y5099" t="s">
        <v>23718</v>
      </c>
      <c r="Z5099" t="s">
        <v>29969</v>
      </c>
      <c r="AA5099">
        <v>0.66159738616473573</v>
      </c>
      <c r="AB5099" t="str">
        <f>HYPERLINK("Melting_Curves/meltCurve_Q9BWE0_REPIN1.pdf", "Melting_Curves/meltCurve_Q9BWE0_REPIN1.pdf")</f>
        <v>Melting_Curves/meltCurve_Q9BWE0_REPIN1.pdf</v>
      </c>
    </row>
    <row r="5100" spans="1:28" x14ac:dyDescent="0.25">
      <c r="A5100" t="s">
        <v>5104</v>
      </c>
      <c r="B5100">
        <v>0.99352677808782597</v>
      </c>
      <c r="C5100">
        <v>0.93933557196968398</v>
      </c>
      <c r="D5100">
        <v>1.10169125783363</v>
      </c>
      <c r="E5100">
        <v>0.90217707720971296</v>
      </c>
      <c r="F5100">
        <v>0.82195684050266205</v>
      </c>
      <c r="G5100">
        <v>0.62603651968464102</v>
      </c>
      <c r="H5100">
        <v>0.53905279498135505</v>
      </c>
      <c r="I5100">
        <v>0.56446145263833603</v>
      </c>
      <c r="J5100">
        <v>0.59641082604807905</v>
      </c>
      <c r="K5100">
        <v>0.51081878672322001</v>
      </c>
      <c r="L5100">
        <v>1398.1778118544501</v>
      </c>
      <c r="M5100">
        <v>26.081312193097698</v>
      </c>
      <c r="O5100">
        <v>53.296241245834601</v>
      </c>
      <c r="P5100">
        <v>-5.5482449639715298E-2</v>
      </c>
      <c r="Q5100">
        <v>0.54649949085781102</v>
      </c>
      <c r="R5100">
        <v>0.94945426502964703</v>
      </c>
      <c r="S5100" t="s">
        <v>11385</v>
      </c>
      <c r="T5100" t="s">
        <v>12568</v>
      </c>
      <c r="U5100" t="s">
        <v>12568</v>
      </c>
      <c r="V5100" t="s">
        <v>12568</v>
      </c>
      <c r="W5100" t="s">
        <v>17617</v>
      </c>
      <c r="X5100">
        <v>9</v>
      </c>
      <c r="Y5100" t="s">
        <v>23719</v>
      </c>
      <c r="Z5100" t="s">
        <v>29970</v>
      </c>
      <c r="AA5100">
        <v>0.75608693414838446</v>
      </c>
      <c r="AB5100" t="str">
        <f>HYPERLINK("Melting_Curves/meltCurve_Q9BWF3_RBM4.pdf", "Melting_Curves/meltCurve_Q9BWF3_RBM4.pdf")</f>
        <v>Melting_Curves/meltCurve_Q9BWF3_RBM4.pdf</v>
      </c>
    </row>
    <row r="5101" spans="1:28" x14ac:dyDescent="0.25">
      <c r="A5101" t="s">
        <v>5105</v>
      </c>
      <c r="B5101">
        <v>0.99352677808782597</v>
      </c>
      <c r="C5101">
        <v>1.2024756205663401</v>
      </c>
      <c r="D5101">
        <v>1.08654614249776</v>
      </c>
      <c r="E5101">
        <v>1.6390185045218</v>
      </c>
      <c r="F5101">
        <v>1.7718315555675801</v>
      </c>
      <c r="G5101">
        <v>1.99271476692368</v>
      </c>
      <c r="H5101">
        <v>1.69105037215682</v>
      </c>
      <c r="I5101">
        <v>2.32199755081598</v>
      </c>
      <c r="J5101">
        <v>1.73277657537157</v>
      </c>
      <c r="K5101">
        <v>1.88661878496025</v>
      </c>
      <c r="L5101">
        <v>11571.937929874601</v>
      </c>
      <c r="M5101">
        <v>250</v>
      </c>
      <c r="O5101">
        <v>46.284789620125203</v>
      </c>
      <c r="P5101">
        <v>0.67516780997967496</v>
      </c>
      <c r="Q5101">
        <v>1.5</v>
      </c>
      <c r="R5101">
        <v>0.18889124727960999</v>
      </c>
      <c r="S5101" t="s">
        <v>11386</v>
      </c>
      <c r="T5101" t="s">
        <v>12568</v>
      </c>
      <c r="U5101" t="s">
        <v>12568</v>
      </c>
      <c r="V5101" t="s">
        <v>12568</v>
      </c>
      <c r="W5101" t="s">
        <v>17618</v>
      </c>
      <c r="X5101">
        <v>1</v>
      </c>
      <c r="Y5101" t="s">
        <v>23720</v>
      </c>
      <c r="Z5101" t="s">
        <v>29971</v>
      </c>
      <c r="AA5101">
        <v>1.395163520866425</v>
      </c>
      <c r="AB5101" t="str">
        <f>HYPERLINK("Melting_Curves/meltCurve_Q9BWH2_FUNDC2.pdf", "Melting_Curves/meltCurve_Q9BWH2_FUNDC2.pdf")</f>
        <v>Melting_Curves/meltCurve_Q9BWH2_FUNDC2.pdf</v>
      </c>
    </row>
    <row r="5102" spans="1:28" x14ac:dyDescent="0.25">
      <c r="A5102" t="s">
        <v>5106</v>
      </c>
      <c r="B5102">
        <v>0.99352677808782597</v>
      </c>
      <c r="C5102">
        <v>1.00022655147217</v>
      </c>
      <c r="D5102">
        <v>0.90566876258187501</v>
      </c>
      <c r="E5102">
        <v>0.671237305113913</v>
      </c>
      <c r="F5102">
        <v>0.65787608446325396</v>
      </c>
      <c r="G5102">
        <v>0.35193308829451803</v>
      </c>
      <c r="H5102">
        <v>0.32622926854895901</v>
      </c>
      <c r="I5102">
        <v>0.44016927060528199</v>
      </c>
      <c r="J5102">
        <v>0.21584774354962599</v>
      </c>
      <c r="K5102">
        <v>0.183177703000096</v>
      </c>
      <c r="L5102">
        <v>662.41046360317898</v>
      </c>
      <c r="M5102">
        <v>12.5775077916285</v>
      </c>
      <c r="N5102">
        <v>55.047589064854598</v>
      </c>
      <c r="O5102">
        <v>51.388114489777699</v>
      </c>
      <c r="P5102">
        <v>-4.8360076989383903E-2</v>
      </c>
      <c r="Q5102">
        <v>0.20981675788986201</v>
      </c>
      <c r="R5102">
        <v>0.94883265105133696</v>
      </c>
      <c r="S5102" t="s">
        <v>11387</v>
      </c>
      <c r="T5102" t="s">
        <v>12568</v>
      </c>
      <c r="U5102" t="s">
        <v>12568</v>
      </c>
      <c r="V5102" t="s">
        <v>12568</v>
      </c>
      <c r="W5102" t="s">
        <v>17619</v>
      </c>
      <c r="X5102">
        <v>12</v>
      </c>
      <c r="Y5102" t="s">
        <v>23721</v>
      </c>
      <c r="Z5102" t="s">
        <v>29972</v>
      </c>
      <c r="AA5102">
        <v>0.56524616505139613</v>
      </c>
      <c r="AB5102" t="str">
        <f>HYPERLINK("Melting_Curves/meltCurve_Q9BWH6_RPAP1.pdf", "Melting_Curves/meltCurve_Q9BWH6_RPAP1.pdf")</f>
        <v>Melting_Curves/meltCurve_Q9BWH6_RPAP1.pdf</v>
      </c>
    </row>
    <row r="5103" spans="1:28" x14ac:dyDescent="0.25">
      <c r="A5103" t="s">
        <v>5107</v>
      </c>
      <c r="B5103">
        <v>0.99352677808782597</v>
      </c>
      <c r="C5103">
        <v>0.95139217614034799</v>
      </c>
      <c r="D5103">
        <v>0.89018507002207203</v>
      </c>
      <c r="E5103">
        <v>0.85037393930050698</v>
      </c>
      <c r="F5103">
        <v>0.66472181860169299</v>
      </c>
      <c r="G5103">
        <v>0.42906223070932298</v>
      </c>
      <c r="H5103">
        <v>0.25283621500651199</v>
      </c>
      <c r="I5103">
        <v>0.25901955747733502</v>
      </c>
      <c r="J5103">
        <v>0.31405917909079101</v>
      </c>
      <c r="K5103">
        <v>0.291924921249748</v>
      </c>
      <c r="L5103">
        <v>1027.5357122851101</v>
      </c>
      <c r="M5103">
        <v>19.2878112830108</v>
      </c>
      <c r="N5103">
        <v>55.343720201385302</v>
      </c>
      <c r="O5103">
        <v>52.711088027204902</v>
      </c>
      <c r="P5103">
        <v>-6.7975222904017696E-2</v>
      </c>
      <c r="Q5103">
        <v>0.25695802604114099</v>
      </c>
      <c r="R5103">
        <v>0.98221361284750897</v>
      </c>
      <c r="S5103" t="s">
        <v>11388</v>
      </c>
      <c r="T5103" t="s">
        <v>12568</v>
      </c>
      <c r="U5103" t="s">
        <v>12568</v>
      </c>
      <c r="V5103" t="s">
        <v>12568</v>
      </c>
      <c r="W5103" t="s">
        <v>17620</v>
      </c>
      <c r="X5103">
        <v>4</v>
      </c>
      <c r="Y5103" t="s">
        <v>23722</v>
      </c>
      <c r="Z5103" t="s">
        <v>29973</v>
      </c>
      <c r="AA5103">
        <v>0.5965524762252582</v>
      </c>
      <c r="AB5103" t="str">
        <f>HYPERLINK("Melting_Curves/meltCurve_Q9BWJ5_SF3B5.pdf", "Melting_Curves/meltCurve_Q9BWJ5_SF3B5.pdf")</f>
        <v>Melting_Curves/meltCurve_Q9BWJ5_SF3B5.pdf</v>
      </c>
    </row>
    <row r="5104" spans="1:28" x14ac:dyDescent="0.25">
      <c r="A5104" t="s">
        <v>5108</v>
      </c>
      <c r="B5104">
        <v>0.99352677808782597</v>
      </c>
      <c r="C5104">
        <v>1.00721224851792</v>
      </c>
      <c r="D5104">
        <v>1.0003918721137</v>
      </c>
      <c r="E5104">
        <v>0.49219726856069002</v>
      </c>
      <c r="F5104">
        <v>0.171347538513546</v>
      </c>
      <c r="G5104">
        <v>0.10684079914216101</v>
      </c>
      <c r="H5104">
        <v>0.10631997860314001</v>
      </c>
      <c r="I5104">
        <v>6.8469812694265497E-2</v>
      </c>
      <c r="J5104">
        <v>4.8701788358980598E-2</v>
      </c>
      <c r="K5104">
        <v>5.0376396916469203E-2</v>
      </c>
      <c r="L5104">
        <v>1993.56116546812</v>
      </c>
      <c r="M5104">
        <v>40.026122353684798</v>
      </c>
      <c r="N5104">
        <v>50.016074519134101</v>
      </c>
      <c r="O5104">
        <v>49.682665732776499</v>
      </c>
      <c r="P5104">
        <v>-0.18586015542175999</v>
      </c>
      <c r="Q5104">
        <v>7.7201787755838899E-2</v>
      </c>
      <c r="R5104">
        <v>0.99722534056051404</v>
      </c>
      <c r="S5104" t="s">
        <v>11389</v>
      </c>
      <c r="T5104" t="s">
        <v>12568</v>
      </c>
      <c r="U5104" t="s">
        <v>12568</v>
      </c>
      <c r="V5104" t="s">
        <v>12568</v>
      </c>
      <c r="W5104" t="s">
        <v>17621</v>
      </c>
      <c r="X5104">
        <v>2</v>
      </c>
      <c r="Y5104" t="s">
        <v>23723</v>
      </c>
      <c r="Z5104" t="s">
        <v>29974</v>
      </c>
      <c r="AA5104">
        <v>0.38202344653846942</v>
      </c>
      <c r="AB5104" t="str">
        <f>HYPERLINK("Melting_Curves/meltCurve_Q9BWS9_3_CHID1.pdf", "Melting_Curves/meltCurve_Q9BWS9_3_CHID1.pdf")</f>
        <v>Melting_Curves/meltCurve_Q9BWS9_3_CHID1.pdf</v>
      </c>
    </row>
    <row r="5105" spans="1:28" x14ac:dyDescent="0.25">
      <c r="A5105" t="s">
        <v>5109</v>
      </c>
      <c r="B5105">
        <v>0.99352677808782597</v>
      </c>
      <c r="C5105">
        <v>0.75886012839541195</v>
      </c>
      <c r="D5105">
        <v>0.818944402661684</v>
      </c>
      <c r="E5105">
        <v>0.65421265386868799</v>
      </c>
      <c r="F5105">
        <v>0.52363375105411802</v>
      </c>
      <c r="G5105">
        <v>0.46345449023862501</v>
      </c>
      <c r="H5105">
        <v>0.40215637427773199</v>
      </c>
      <c r="I5105">
        <v>0.37586679053900701</v>
      </c>
      <c r="J5105">
        <v>0.34251456374650402</v>
      </c>
      <c r="K5105">
        <v>0.30468205815418498</v>
      </c>
      <c r="L5105">
        <v>420.56150097300201</v>
      </c>
      <c r="M5105">
        <v>8.3358496818500001</v>
      </c>
      <c r="N5105">
        <v>55.133138259071202</v>
      </c>
      <c r="O5105">
        <v>47.798944631187297</v>
      </c>
      <c r="P5105">
        <v>-3.2572535592084798E-2</v>
      </c>
      <c r="Q5105">
        <v>0.25362150701895098</v>
      </c>
      <c r="R5105">
        <v>0.96079670400777994</v>
      </c>
      <c r="S5105" t="s">
        <v>11390</v>
      </c>
      <c r="T5105" t="s">
        <v>12568</v>
      </c>
      <c r="U5105" t="s">
        <v>12568</v>
      </c>
      <c r="V5105" t="s">
        <v>12568</v>
      </c>
      <c r="W5105" t="s">
        <v>17622</v>
      </c>
      <c r="X5105">
        <v>6</v>
      </c>
      <c r="Y5105" t="s">
        <v>23724</v>
      </c>
      <c r="Z5105" t="s">
        <v>29975</v>
      </c>
      <c r="AA5105">
        <v>0.55419776182629754</v>
      </c>
      <c r="AB5105" t="str">
        <f>HYPERLINK("Melting_Curves/meltCurve_Q9BWT3_PAPOLG.pdf", "Melting_Curves/meltCurve_Q9BWT3_PAPOLG.pdf")</f>
        <v>Melting_Curves/meltCurve_Q9BWT3_PAPOLG.pdf</v>
      </c>
    </row>
    <row r="5106" spans="1:28" x14ac:dyDescent="0.25">
      <c r="A5106" t="s">
        <v>5110</v>
      </c>
      <c r="B5106">
        <v>0.99352677808782597</v>
      </c>
      <c r="C5106">
        <v>0.91881704913111695</v>
      </c>
      <c r="D5106">
        <v>0.86855030682072798</v>
      </c>
      <c r="E5106">
        <v>0.59806568641690405</v>
      </c>
      <c r="F5106">
        <v>0.52538184970549096</v>
      </c>
      <c r="G5106">
        <v>0.36008056253988002</v>
      </c>
      <c r="H5106">
        <v>0.27551158226906702</v>
      </c>
      <c r="I5106">
        <v>0.26201226696878399</v>
      </c>
      <c r="J5106">
        <v>0.255671721984222</v>
      </c>
      <c r="K5106">
        <v>0.235229612784047</v>
      </c>
      <c r="L5106">
        <v>687.07435933023203</v>
      </c>
      <c r="M5106">
        <v>13.5863606764207</v>
      </c>
      <c r="N5106">
        <v>52.828213406419401</v>
      </c>
      <c r="O5106">
        <v>49.513032118627002</v>
      </c>
      <c r="P5106">
        <v>-5.3502048795570599E-2</v>
      </c>
      <c r="Q5106">
        <v>0.220201847903019</v>
      </c>
      <c r="R5106">
        <v>0.99442553019570201</v>
      </c>
      <c r="S5106" t="s">
        <v>11391</v>
      </c>
      <c r="T5106" t="s">
        <v>12568</v>
      </c>
      <c r="U5106" t="s">
        <v>12568</v>
      </c>
      <c r="V5106" t="s">
        <v>12568</v>
      </c>
      <c r="W5106" t="s">
        <v>17623</v>
      </c>
      <c r="X5106">
        <v>3</v>
      </c>
      <c r="Y5106" t="s">
        <v>23725</v>
      </c>
      <c r="Z5106" t="s">
        <v>29976</v>
      </c>
      <c r="AA5106">
        <v>0.51649725700364379</v>
      </c>
      <c r="AB5106" t="str">
        <f>HYPERLINK("Melting_Curves/meltCurve_Q9BWT6_MND1.pdf", "Melting_Curves/meltCurve_Q9BWT6_MND1.pdf")</f>
        <v>Melting_Curves/meltCurve_Q9BWT6_MND1.pdf</v>
      </c>
    </row>
    <row r="5107" spans="1:28" x14ac:dyDescent="0.25">
      <c r="A5107" t="s">
        <v>5111</v>
      </c>
      <c r="B5107">
        <v>0.99352677808782597</v>
      </c>
      <c r="C5107">
        <v>1.0252619116306301</v>
      </c>
      <c r="D5107">
        <v>0.89663118252430396</v>
      </c>
      <c r="E5107">
        <v>0.80035777105315797</v>
      </c>
      <c r="F5107">
        <v>1.0106089219093299</v>
      </c>
      <c r="G5107">
        <v>0.83988068104257996</v>
      </c>
      <c r="H5107">
        <v>0.67174443276927898</v>
      </c>
      <c r="I5107">
        <v>0.75498638300115795</v>
      </c>
      <c r="J5107">
        <v>0.61864829605599203</v>
      </c>
      <c r="K5107">
        <v>0.39254049743670399</v>
      </c>
      <c r="L5107">
        <v>518.43798158014499</v>
      </c>
      <c r="M5107">
        <v>7.46718250266093</v>
      </c>
      <c r="N5107">
        <v>69.428874000850897</v>
      </c>
      <c r="O5107">
        <v>64.972175100839706</v>
      </c>
      <c r="P5107">
        <v>-2.8774224576132199E-2</v>
      </c>
      <c r="Q5107">
        <v>0</v>
      </c>
      <c r="R5107">
        <v>0.81829913937397003</v>
      </c>
      <c r="S5107" t="s">
        <v>11392</v>
      </c>
      <c r="T5107" t="s">
        <v>12568</v>
      </c>
      <c r="U5107" t="s">
        <v>12568</v>
      </c>
      <c r="V5107" t="s">
        <v>12568</v>
      </c>
      <c r="W5107" t="s">
        <v>17624</v>
      </c>
      <c r="X5107">
        <v>2</v>
      </c>
      <c r="Y5107" t="s">
        <v>23726</v>
      </c>
      <c r="Z5107" t="s">
        <v>29977</v>
      </c>
      <c r="AA5107">
        <v>0.82440061839932688</v>
      </c>
      <c r="AB5107" t="str">
        <f>HYPERLINK("Melting_Curves/meltCurve_Q9BWT7_CARD10.pdf", "Melting_Curves/meltCurve_Q9BWT7_CARD10.pdf")</f>
        <v>Melting_Curves/meltCurve_Q9BWT7_CARD10.pdf</v>
      </c>
    </row>
    <row r="5108" spans="1:28" x14ac:dyDescent="0.25">
      <c r="A5108" t="s">
        <v>5112</v>
      </c>
      <c r="B5108">
        <v>0.99352677808782597</v>
      </c>
      <c r="C5108">
        <v>0.96460507881799695</v>
      </c>
      <c r="D5108">
        <v>0.98542961312719402</v>
      </c>
      <c r="E5108">
        <v>0.82645540917066296</v>
      </c>
      <c r="F5108">
        <v>0.701920690587167</v>
      </c>
      <c r="G5108">
        <v>0.47377768084209798</v>
      </c>
      <c r="H5108">
        <v>0.31289800833148201</v>
      </c>
      <c r="I5108">
        <v>0.30054222331019498</v>
      </c>
      <c r="J5108">
        <v>0.30306063489775997</v>
      </c>
      <c r="K5108">
        <v>0.25779590248512302</v>
      </c>
      <c r="L5108">
        <v>932.75708695142805</v>
      </c>
      <c r="M5108">
        <v>17.2768766041278</v>
      </c>
      <c r="N5108">
        <v>56.274561985467003</v>
      </c>
      <c r="O5108">
        <v>53.281018641784698</v>
      </c>
      <c r="P5108">
        <v>-6.0628249260394999E-2</v>
      </c>
      <c r="Q5108">
        <v>0.252145457485277</v>
      </c>
      <c r="R5108">
        <v>0.99592086279507097</v>
      </c>
      <c r="S5108" t="s">
        <v>11393</v>
      </c>
      <c r="T5108" t="s">
        <v>12568</v>
      </c>
      <c r="U5108" t="s">
        <v>12568</v>
      </c>
      <c r="V5108" t="s">
        <v>12568</v>
      </c>
      <c r="W5108" t="s">
        <v>17625</v>
      </c>
      <c r="X5108">
        <v>20</v>
      </c>
      <c r="Y5108" t="s">
        <v>23727</v>
      </c>
      <c r="Z5108" t="s">
        <v>29978</v>
      </c>
      <c r="AA5108">
        <v>0.61357146266564355</v>
      </c>
      <c r="AB5108" t="str">
        <f>HYPERLINK("Melting_Curves/meltCurve_Q9BWU0_SLC4A1AP.pdf", "Melting_Curves/meltCurve_Q9BWU0_SLC4A1AP.pdf")</f>
        <v>Melting_Curves/meltCurve_Q9BWU0_SLC4A1AP.pdf</v>
      </c>
    </row>
    <row r="5109" spans="1:28" x14ac:dyDescent="0.25">
      <c r="A5109" t="s">
        <v>5113</v>
      </c>
      <c r="B5109">
        <v>0.99352677808782597</v>
      </c>
      <c r="C5109">
        <v>0.975988453333832</v>
      </c>
      <c r="D5109">
        <v>1.0144047659670801</v>
      </c>
      <c r="E5109">
        <v>0.90864911510380797</v>
      </c>
      <c r="F5109">
        <v>0.79521824452771706</v>
      </c>
      <c r="G5109">
        <v>0.63977314029354004</v>
      </c>
      <c r="H5109">
        <v>0.47704701197171401</v>
      </c>
      <c r="I5109">
        <v>0.52133273530790802</v>
      </c>
      <c r="J5109">
        <v>0.51654811801820499</v>
      </c>
      <c r="K5109">
        <v>0.47405344178548398</v>
      </c>
      <c r="L5109">
        <v>1126.8844548136699</v>
      </c>
      <c r="M5109">
        <v>20.820622988593701</v>
      </c>
      <c r="N5109">
        <v>64.429262578327396</v>
      </c>
      <c r="O5109">
        <v>53.631608903909999</v>
      </c>
      <c r="P5109">
        <v>-5.02646382834381E-2</v>
      </c>
      <c r="Q5109">
        <v>0.48210989964127399</v>
      </c>
      <c r="R5109">
        <v>0.98807212370030495</v>
      </c>
      <c r="S5109" t="s">
        <v>11394</v>
      </c>
      <c r="T5109" t="s">
        <v>12568</v>
      </c>
      <c r="U5109" t="s">
        <v>12568</v>
      </c>
      <c r="V5109" t="s">
        <v>12568</v>
      </c>
      <c r="W5109" t="s">
        <v>17626</v>
      </c>
      <c r="X5109">
        <v>1</v>
      </c>
      <c r="Y5109" t="s">
        <v>23728</v>
      </c>
      <c r="Z5109" t="s">
        <v>29979</v>
      </c>
      <c r="AA5109">
        <v>0.73250519799452762</v>
      </c>
      <c r="AB5109" t="str">
        <f>HYPERLINK("Melting_Curves/meltCurve_Q9BWW5_SSDP4.pdf", "Melting_Curves/meltCurve_Q9BWW5_SSDP4.pdf")</f>
        <v>Melting_Curves/meltCurve_Q9BWW5_SSDP4.pdf</v>
      </c>
    </row>
    <row r="5110" spans="1:28" x14ac:dyDescent="0.25">
      <c r="A5110" t="s">
        <v>5114</v>
      </c>
      <c r="B5110">
        <v>0.99352677808782597</v>
      </c>
      <c r="C5110">
        <v>0.95092336063293603</v>
      </c>
      <c r="D5110">
        <v>0.96964906096556402</v>
      </c>
      <c r="E5110">
        <v>0.86069753876447397</v>
      </c>
      <c r="F5110">
        <v>0.75260231090333096</v>
      </c>
      <c r="G5110">
        <v>0.68899697922683301</v>
      </c>
      <c r="H5110">
        <v>0.66256079915072297</v>
      </c>
      <c r="I5110">
        <v>0.68395258671492698</v>
      </c>
      <c r="J5110">
        <v>0.72474991826982005</v>
      </c>
      <c r="K5110">
        <v>0.62299034053876301</v>
      </c>
      <c r="L5110">
        <v>1086.7229425026801</v>
      </c>
      <c r="M5110">
        <v>21.505581716205299</v>
      </c>
      <c r="O5110">
        <v>50.101287818926998</v>
      </c>
      <c r="P5110">
        <v>-3.5575117428105797E-2</v>
      </c>
      <c r="Q5110">
        <v>0.66849245649587297</v>
      </c>
      <c r="R5110">
        <v>0.95789106022218296</v>
      </c>
      <c r="S5110" t="s">
        <v>11395</v>
      </c>
      <c r="T5110" t="s">
        <v>12568</v>
      </c>
      <c r="U5110" t="s">
        <v>12568</v>
      </c>
      <c r="V5110" t="s">
        <v>12568</v>
      </c>
      <c r="W5110" t="s">
        <v>17627</v>
      </c>
      <c r="X5110">
        <v>5</v>
      </c>
      <c r="Y5110" t="s">
        <v>23729</v>
      </c>
      <c r="Z5110" t="s">
        <v>29980</v>
      </c>
      <c r="AA5110">
        <v>0.78888153072282163</v>
      </c>
      <c r="AB5110" t="str">
        <f>HYPERLINK("Melting_Curves/meltCurve_Q9BX40_LSM14B.pdf", "Melting_Curves/meltCurve_Q9BX40_LSM14B.pdf")</f>
        <v>Melting_Curves/meltCurve_Q9BX40_LSM14B.pdf</v>
      </c>
    </row>
    <row r="5111" spans="1:28" x14ac:dyDescent="0.25">
      <c r="A5111" t="s">
        <v>5115</v>
      </c>
      <c r="B5111">
        <v>0.99352677808782597</v>
      </c>
      <c r="C5111">
        <v>0.76804359571865899</v>
      </c>
      <c r="D5111">
        <v>0.99012761453460896</v>
      </c>
      <c r="E5111">
        <v>0.63881447280575998</v>
      </c>
      <c r="F5111">
        <v>0.69358241147550703</v>
      </c>
      <c r="G5111">
        <v>0.40902265022177597</v>
      </c>
      <c r="H5111">
        <v>0.31632043855499897</v>
      </c>
      <c r="I5111">
        <v>0.33901476363510002</v>
      </c>
      <c r="J5111">
        <v>0.314638355811105</v>
      </c>
      <c r="K5111">
        <v>0.29156263460945198</v>
      </c>
      <c r="L5111">
        <v>565.09388010687701</v>
      </c>
      <c r="M5111">
        <v>10.768686392965</v>
      </c>
      <c r="N5111">
        <v>55.622108297169902</v>
      </c>
      <c r="O5111">
        <v>50.763203594811699</v>
      </c>
      <c r="P5111">
        <v>-4.0951903963283902E-2</v>
      </c>
      <c r="Q5111">
        <v>0.22809912729679899</v>
      </c>
      <c r="R5111">
        <v>0.90456842215905398</v>
      </c>
      <c r="S5111" t="s">
        <v>11396</v>
      </c>
      <c r="T5111" t="s">
        <v>12568</v>
      </c>
      <c r="U5111" t="s">
        <v>12568</v>
      </c>
      <c r="V5111" t="s">
        <v>12568</v>
      </c>
      <c r="W5111" t="s">
        <v>17628</v>
      </c>
      <c r="X5111">
        <v>5</v>
      </c>
      <c r="Y5111" t="s">
        <v>23730</v>
      </c>
      <c r="Z5111" t="s">
        <v>29981</v>
      </c>
      <c r="AA5111">
        <v>0.57496952448215544</v>
      </c>
      <c r="AB5111" t="str">
        <f>HYPERLINK("Melting_Curves/meltCurve_Q9BX63_BRIP1.pdf", "Melting_Curves/meltCurve_Q9BX63_BRIP1.pdf")</f>
        <v>Melting_Curves/meltCurve_Q9BX63_BRIP1.pdf</v>
      </c>
    </row>
    <row r="5112" spans="1:28" x14ac:dyDescent="0.25">
      <c r="A5112" t="s">
        <v>5116</v>
      </c>
      <c r="B5112">
        <v>0.99352677808782597</v>
      </c>
      <c r="C5112">
        <v>0.85317909905480105</v>
      </c>
      <c r="D5112">
        <v>0.98951749461447802</v>
      </c>
      <c r="E5112">
        <v>1.05660251334878</v>
      </c>
      <c r="F5112">
        <v>1.1400286629077601</v>
      </c>
      <c r="G5112">
        <v>1.07092844982997</v>
      </c>
      <c r="H5112">
        <v>0.73919397976994605</v>
      </c>
      <c r="I5112">
        <v>0.77524738464268494</v>
      </c>
      <c r="J5112">
        <v>0.58961249992611098</v>
      </c>
      <c r="K5112">
        <v>0.43838417720185202</v>
      </c>
      <c r="L5112">
        <v>1310.92271349258</v>
      </c>
      <c r="M5112">
        <v>20.0703374822026</v>
      </c>
      <c r="N5112">
        <v>68.672432432188998</v>
      </c>
      <c r="O5112">
        <v>64.6783695563783</v>
      </c>
      <c r="P5112">
        <v>-5.3336262571870997E-2</v>
      </c>
      <c r="Q5112">
        <v>0.31249954321628798</v>
      </c>
      <c r="R5112">
        <v>0.83600227825870399</v>
      </c>
      <c r="S5112" t="s">
        <v>11397</v>
      </c>
      <c r="T5112" t="s">
        <v>12568</v>
      </c>
      <c r="U5112" t="s">
        <v>12568</v>
      </c>
      <c r="V5112" t="s">
        <v>12568</v>
      </c>
      <c r="W5112" t="s">
        <v>17629</v>
      </c>
      <c r="X5112">
        <v>6</v>
      </c>
      <c r="Y5112" t="s">
        <v>23731</v>
      </c>
      <c r="Z5112" t="s">
        <v>29982</v>
      </c>
      <c r="AA5112">
        <v>0.88274638382576665</v>
      </c>
      <c r="AB5112" t="str">
        <f>HYPERLINK("Melting_Curves/meltCurve_Q9BX68_HINT2.pdf", "Melting_Curves/meltCurve_Q9BX68_HINT2.pdf")</f>
        <v>Melting_Curves/meltCurve_Q9BX68_HINT2.pdf</v>
      </c>
    </row>
    <row r="5113" spans="1:28" x14ac:dyDescent="0.25">
      <c r="A5113" t="s">
        <v>5117</v>
      </c>
      <c r="B5113">
        <v>0.99352677808782597</v>
      </c>
      <c r="C5113">
        <v>1.02562916260723</v>
      </c>
      <c r="D5113">
        <v>0.94504323105358901</v>
      </c>
      <c r="E5113">
        <v>0.70911795567151603</v>
      </c>
      <c r="F5113">
        <v>0.59293031997457502</v>
      </c>
      <c r="G5113">
        <v>0.40647030066609102</v>
      </c>
      <c r="H5113">
        <v>0.239738401711137</v>
      </c>
      <c r="I5113">
        <v>0.18095742352147201</v>
      </c>
      <c r="J5113">
        <v>0.141380296412735</v>
      </c>
      <c r="K5113">
        <v>0.13067505868351501</v>
      </c>
      <c r="L5113">
        <v>724.13795347722498</v>
      </c>
      <c r="M5113">
        <v>13.464754529802301</v>
      </c>
      <c r="N5113">
        <v>54.5808118009531</v>
      </c>
      <c r="O5113">
        <v>52.635569239888603</v>
      </c>
      <c r="P5113">
        <v>-5.8231053549221701E-2</v>
      </c>
      <c r="Q5113">
        <v>8.9607611343092294E-2</v>
      </c>
      <c r="R5113">
        <v>0.99406401403637201</v>
      </c>
      <c r="S5113" t="s">
        <v>11398</v>
      </c>
      <c r="T5113" t="s">
        <v>12568</v>
      </c>
      <c r="U5113" t="s">
        <v>12568</v>
      </c>
      <c r="V5113" t="s">
        <v>12568</v>
      </c>
      <c r="W5113" t="s">
        <v>17630</v>
      </c>
      <c r="X5113">
        <v>9</v>
      </c>
      <c r="Y5113" t="s">
        <v>23732</v>
      </c>
      <c r="Z5113" t="s">
        <v>29983</v>
      </c>
      <c r="AA5113">
        <v>0.5293004343425316</v>
      </c>
      <c r="AB5113" t="str">
        <f>HYPERLINK("Melting_Curves/meltCurve_Q9BXB4_OSBPL11.pdf", "Melting_Curves/meltCurve_Q9BXB4_OSBPL11.pdf")</f>
        <v>Melting_Curves/meltCurve_Q9BXB4_OSBPL11.pdf</v>
      </c>
    </row>
    <row r="5114" spans="1:28" x14ac:dyDescent="0.25">
      <c r="A5114" t="s">
        <v>5118</v>
      </c>
      <c r="B5114">
        <v>0.99352677808782597</v>
      </c>
      <c r="C5114">
        <v>0.95636381357894895</v>
      </c>
      <c r="D5114">
        <v>0.89033414996252602</v>
      </c>
      <c r="E5114">
        <v>0.47768541813387999</v>
      </c>
      <c r="F5114">
        <v>0.38459308884098398</v>
      </c>
      <c r="G5114">
        <v>0.20211043977182699</v>
      </c>
      <c r="H5114">
        <v>0.12596947274348</v>
      </c>
      <c r="I5114">
        <v>0.17798771743757999</v>
      </c>
      <c r="J5114">
        <v>9.3321789190435406E-2</v>
      </c>
      <c r="K5114">
        <v>0.122604379182513</v>
      </c>
      <c r="L5114">
        <v>941.90463564700497</v>
      </c>
      <c r="M5114">
        <v>18.928780102809402</v>
      </c>
      <c r="N5114">
        <v>50.512203225724903</v>
      </c>
      <c r="O5114">
        <v>49.215042167247802</v>
      </c>
      <c r="P5114">
        <v>-8.4353726813891305E-2</v>
      </c>
      <c r="Q5114">
        <v>0.122752753434564</v>
      </c>
      <c r="R5114">
        <v>0.98985292152241999</v>
      </c>
      <c r="S5114" t="s">
        <v>11399</v>
      </c>
      <c r="T5114" t="s">
        <v>12568</v>
      </c>
      <c r="U5114" t="s">
        <v>12568</v>
      </c>
      <c r="V5114" t="s">
        <v>12568</v>
      </c>
      <c r="W5114" t="s">
        <v>17631</v>
      </c>
      <c r="X5114">
        <v>6</v>
      </c>
      <c r="Y5114" t="s">
        <v>23733</v>
      </c>
      <c r="Z5114" t="s">
        <v>29984</v>
      </c>
      <c r="AA5114">
        <v>0.4217804960196242</v>
      </c>
      <c r="AB5114" t="str">
        <f>HYPERLINK("Melting_Curves/meltCurve_Q9BXB5_2_OSBPL10.pdf", "Melting_Curves/meltCurve_Q9BXB5_2_OSBPL10.pdf")</f>
        <v>Melting_Curves/meltCurve_Q9BXB5_2_OSBPL10.pdf</v>
      </c>
    </row>
    <row r="5115" spans="1:28" x14ac:dyDescent="0.25">
      <c r="A5115" t="s">
        <v>5119</v>
      </c>
      <c r="B5115">
        <v>0.99352677808782597</v>
      </c>
      <c r="C5115">
        <v>0.95572508463462302</v>
      </c>
      <c r="D5115">
        <v>0.97582961193038797</v>
      </c>
      <c r="E5115">
        <v>0.76706346618806898</v>
      </c>
      <c r="F5115">
        <v>0.76228540744556395</v>
      </c>
      <c r="G5115">
        <v>0.59435462410168305</v>
      </c>
      <c r="H5115">
        <v>0.61207944416391502</v>
      </c>
      <c r="I5115">
        <v>0.65507969642569996</v>
      </c>
      <c r="J5115">
        <v>0.64278423516116101</v>
      </c>
      <c r="K5115">
        <v>0.57222722309433105</v>
      </c>
      <c r="L5115">
        <v>984.969925686127</v>
      </c>
      <c r="M5115">
        <v>19.677142870097999</v>
      </c>
      <c r="O5115">
        <v>49.548155185342502</v>
      </c>
      <c r="P5115">
        <v>-3.8684520843018398E-2</v>
      </c>
      <c r="Q5115">
        <v>0.61037429705594703</v>
      </c>
      <c r="R5115">
        <v>0.947280636380749</v>
      </c>
      <c r="S5115" t="s">
        <v>11400</v>
      </c>
      <c r="T5115" t="s">
        <v>12568</v>
      </c>
      <c r="U5115" t="s">
        <v>12568</v>
      </c>
      <c r="V5115" t="s">
        <v>12568</v>
      </c>
      <c r="W5115" t="s">
        <v>17632</v>
      </c>
      <c r="X5115">
        <v>2</v>
      </c>
      <c r="Y5115" t="s">
        <v>23734</v>
      </c>
      <c r="Z5115" t="s">
        <v>29985</v>
      </c>
      <c r="AA5115">
        <v>0.74658114548129839</v>
      </c>
      <c r="AB5115" t="str">
        <f>HYPERLINK("Melting_Curves/meltCurve_Q9BXF6_RAB11FIP5.pdf", "Melting_Curves/meltCurve_Q9BXF6_RAB11FIP5.pdf")</f>
        <v>Melting_Curves/meltCurve_Q9BXF6_RAB11FIP5.pdf</v>
      </c>
    </row>
    <row r="5116" spans="1:28" x14ac:dyDescent="0.25">
      <c r="A5116" t="s">
        <v>5120</v>
      </c>
      <c r="B5116">
        <v>0.99352677808782597</v>
      </c>
      <c r="C5116">
        <v>0.88656305582885697</v>
      </c>
      <c r="D5116">
        <v>0.85147636065162302</v>
      </c>
      <c r="E5116">
        <v>0.38131091529068101</v>
      </c>
      <c r="F5116">
        <v>0.301685287431041</v>
      </c>
      <c r="G5116">
        <v>0.16262286287695399</v>
      </c>
      <c r="H5116">
        <v>7.9881563915691206E-2</v>
      </c>
      <c r="I5116">
        <v>7.6710182020626294E-2</v>
      </c>
      <c r="J5116">
        <v>6.4115985496671302E-2</v>
      </c>
      <c r="K5116">
        <v>5.1706157744153401E-2</v>
      </c>
      <c r="L5116">
        <v>882.09497931928104</v>
      </c>
      <c r="M5116">
        <v>17.9722535183117</v>
      </c>
      <c r="N5116">
        <v>49.448476347061998</v>
      </c>
      <c r="O5116">
        <v>48.485381372523499</v>
      </c>
      <c r="P5116">
        <v>-8.6878787476031297E-2</v>
      </c>
      <c r="Q5116">
        <v>6.2523411033875403E-2</v>
      </c>
      <c r="R5116">
        <v>0.98814881577345104</v>
      </c>
      <c r="S5116" t="s">
        <v>11401</v>
      </c>
      <c r="T5116" t="s">
        <v>12568</v>
      </c>
      <c r="U5116" t="s">
        <v>12568</v>
      </c>
      <c r="V5116" t="s">
        <v>12568</v>
      </c>
      <c r="W5116" t="s">
        <v>17633</v>
      </c>
      <c r="X5116">
        <v>4</v>
      </c>
      <c r="Y5116" t="s">
        <v>23735</v>
      </c>
      <c r="Z5116" t="s">
        <v>29986</v>
      </c>
      <c r="AA5116">
        <v>0.36255876508096119</v>
      </c>
      <c r="AB5116" t="str">
        <f>HYPERLINK("Melting_Curves/meltCurve_Q9BXI6_TBC1D10A.pdf", "Melting_Curves/meltCurve_Q9BXI6_TBC1D10A.pdf")</f>
        <v>Melting_Curves/meltCurve_Q9BXI6_TBC1D10A.pdf</v>
      </c>
    </row>
    <row r="5117" spans="1:28" x14ac:dyDescent="0.25">
      <c r="A5117" t="s">
        <v>5121</v>
      </c>
      <c r="B5117">
        <v>0.99352677808782597</v>
      </c>
      <c r="C5117">
        <v>1.0210579827545201</v>
      </c>
      <c r="D5117">
        <v>0.96012189499744405</v>
      </c>
      <c r="E5117">
        <v>0.46190426157056602</v>
      </c>
      <c r="F5117">
        <v>0.35704559055608398</v>
      </c>
      <c r="G5117">
        <v>0.15917505085372999</v>
      </c>
      <c r="H5117">
        <v>0.105485093901333</v>
      </c>
      <c r="I5117">
        <v>9.4561759110042498E-2</v>
      </c>
      <c r="J5117">
        <v>7.5269536626717606E-2</v>
      </c>
      <c r="K5117">
        <v>5.5983470950520503E-2</v>
      </c>
      <c r="L5117">
        <v>1132.5035626793899</v>
      </c>
      <c r="M5117">
        <v>22.631344016426802</v>
      </c>
      <c r="N5117">
        <v>50.462350395551198</v>
      </c>
      <c r="O5117">
        <v>49.655573799615603</v>
      </c>
      <c r="P5117">
        <v>-0.10414207517884499</v>
      </c>
      <c r="Q5117">
        <v>8.60231184855446E-2</v>
      </c>
      <c r="R5117">
        <v>0.98652165436115102</v>
      </c>
      <c r="S5117" t="s">
        <v>11402</v>
      </c>
      <c r="T5117" t="s">
        <v>12568</v>
      </c>
      <c r="U5117" t="s">
        <v>12568</v>
      </c>
      <c r="V5117" t="s">
        <v>12568</v>
      </c>
      <c r="W5117" t="s">
        <v>17634</v>
      </c>
      <c r="X5117">
        <v>41</v>
      </c>
      <c r="Y5117" t="s">
        <v>23736</v>
      </c>
      <c r="Z5117" t="s">
        <v>29987</v>
      </c>
      <c r="AA5117">
        <v>0.40191502562851888</v>
      </c>
      <c r="AB5117" t="str">
        <f>HYPERLINK("Melting_Curves/meltCurve_Q9BXJ9_NAA15.pdf", "Melting_Curves/meltCurve_Q9BXJ9_NAA15.pdf")</f>
        <v>Melting_Curves/meltCurve_Q9BXJ9_NAA15.pdf</v>
      </c>
    </row>
    <row r="5118" spans="1:28" x14ac:dyDescent="0.25">
      <c r="A5118" t="s">
        <v>5122</v>
      </c>
      <c r="B5118">
        <v>0.99352677808782597</v>
      </c>
      <c r="C5118">
        <v>0.99534105894855396</v>
      </c>
      <c r="D5118">
        <v>0.92028431983974002</v>
      </c>
      <c r="E5118">
        <v>0.87697659569532205</v>
      </c>
      <c r="F5118">
        <v>0.79255429516832199</v>
      </c>
      <c r="G5118">
        <v>0.56708472528286102</v>
      </c>
      <c r="H5118">
        <v>0.51134189928650997</v>
      </c>
      <c r="I5118">
        <v>0.51823440461405701</v>
      </c>
      <c r="J5118">
        <v>0.514709707705159</v>
      </c>
      <c r="K5118">
        <v>0.43995532258990599</v>
      </c>
      <c r="L5118">
        <v>893.96561500744599</v>
      </c>
      <c r="M5118">
        <v>16.684300724342599</v>
      </c>
      <c r="N5118">
        <v>63.277508264881703</v>
      </c>
      <c r="O5118">
        <v>52.829250910484902</v>
      </c>
      <c r="P5118">
        <v>-4.2541914403194499E-2</v>
      </c>
      <c r="Q5118">
        <v>0.46121614443088799</v>
      </c>
      <c r="R5118">
        <v>0.98182445811924202</v>
      </c>
      <c r="S5118" t="s">
        <v>11403</v>
      </c>
      <c r="T5118" t="s">
        <v>12568</v>
      </c>
      <c r="U5118" t="s">
        <v>12568</v>
      </c>
      <c r="V5118" t="s">
        <v>12568</v>
      </c>
      <c r="W5118" t="s">
        <v>17635</v>
      </c>
      <c r="X5118">
        <v>3</v>
      </c>
      <c r="Y5118" t="s">
        <v>23737</v>
      </c>
      <c r="Z5118" t="s">
        <v>29988</v>
      </c>
      <c r="AA5118">
        <v>0.7148844259600986</v>
      </c>
      <c r="AB5118" t="str">
        <f>HYPERLINK("Melting_Curves/meltCurve_Q9BXK1_KLF16.pdf", "Melting_Curves/meltCurve_Q9BXK1_KLF16.pdf")</f>
        <v>Melting_Curves/meltCurve_Q9BXK1_KLF16.pdf</v>
      </c>
    </row>
    <row r="5119" spans="1:28" x14ac:dyDescent="0.25">
      <c r="A5119" t="s">
        <v>5123</v>
      </c>
      <c r="B5119">
        <v>0.99352677808782597</v>
      </c>
      <c r="C5119">
        <v>0.91391602219074997</v>
      </c>
      <c r="D5119">
        <v>0.75305021035212905</v>
      </c>
      <c r="E5119">
        <v>0.227267449598269</v>
      </c>
      <c r="F5119">
        <v>0.16920349980027299</v>
      </c>
      <c r="G5119">
        <v>0.102730246672564</v>
      </c>
      <c r="H5119">
        <v>7.8132054294838896E-2</v>
      </c>
      <c r="I5119">
        <v>7.6241419634020105E-2</v>
      </c>
      <c r="J5119">
        <v>5.78585183087824E-2</v>
      </c>
      <c r="K5119">
        <v>4.6218355798200099E-2</v>
      </c>
      <c r="L5119">
        <v>1277.42136004445</v>
      </c>
      <c r="M5119">
        <v>26.8945946936925</v>
      </c>
      <c r="N5119">
        <v>47.776484763473597</v>
      </c>
      <c r="O5119">
        <v>47.237059399337298</v>
      </c>
      <c r="P5119">
        <v>-0.13198997660488901</v>
      </c>
      <c r="Q5119">
        <v>7.2712459709342606E-2</v>
      </c>
      <c r="R5119">
        <v>0.99505004904253402</v>
      </c>
      <c r="S5119" t="s">
        <v>11404</v>
      </c>
      <c r="T5119" t="s">
        <v>12568</v>
      </c>
      <c r="U5119" t="s">
        <v>12568</v>
      </c>
      <c r="V5119" t="s">
        <v>12568</v>
      </c>
      <c r="W5119" t="s">
        <v>17636</v>
      </c>
      <c r="X5119">
        <v>24</v>
      </c>
      <c r="Y5119" t="s">
        <v>23738</v>
      </c>
      <c r="Z5119" t="s">
        <v>29989</v>
      </c>
      <c r="AA5119">
        <v>0.31147435538084067</v>
      </c>
      <c r="AB5119" t="str">
        <f>HYPERLINK("Melting_Curves/meltCurve_Q9BXP5_4_SRRT.pdf", "Melting_Curves/meltCurve_Q9BXP5_4_SRRT.pdf")</f>
        <v>Melting_Curves/meltCurve_Q9BXP5_4_SRRT.pdf</v>
      </c>
    </row>
    <row r="5120" spans="1:28" x14ac:dyDescent="0.25">
      <c r="A5120" t="s">
        <v>5124</v>
      </c>
      <c r="B5120">
        <v>0.99352677808782597</v>
      </c>
      <c r="C5120">
        <v>0.98821710091631199</v>
      </c>
      <c r="D5120">
        <v>0.98027856895118604</v>
      </c>
      <c r="E5120">
        <v>0.68685912503264901</v>
      </c>
      <c r="F5120">
        <v>0.59576984815856804</v>
      </c>
      <c r="G5120">
        <v>0.316405158769065</v>
      </c>
      <c r="H5120">
        <v>0.24070507087926499</v>
      </c>
      <c r="I5120">
        <v>0.26445677316400901</v>
      </c>
      <c r="J5120">
        <v>0.197089097049996</v>
      </c>
      <c r="K5120">
        <v>7.2670966036319506E-2</v>
      </c>
      <c r="L5120">
        <v>802.80373356668099</v>
      </c>
      <c r="M5120">
        <v>15.180757666724</v>
      </c>
      <c r="N5120">
        <v>53.996580604226999</v>
      </c>
      <c r="O5120">
        <v>51.990793868279397</v>
      </c>
      <c r="P5120">
        <v>-6.3192285728443404E-2</v>
      </c>
      <c r="Q5120">
        <v>0.134404094455709</v>
      </c>
      <c r="R5120">
        <v>0.98071701503735897</v>
      </c>
      <c r="S5120" t="s">
        <v>11405</v>
      </c>
      <c r="T5120" t="s">
        <v>12568</v>
      </c>
      <c r="U5120" t="s">
        <v>12568</v>
      </c>
      <c r="V5120" t="s">
        <v>12568</v>
      </c>
      <c r="W5120" t="s">
        <v>17637</v>
      </c>
      <c r="X5120">
        <v>10</v>
      </c>
      <c r="Y5120" t="s">
        <v>23739</v>
      </c>
      <c r="Z5120" t="s">
        <v>29990</v>
      </c>
      <c r="AA5120">
        <v>0.52452210151610346</v>
      </c>
      <c r="AB5120" t="str">
        <f>HYPERLINK("Melting_Curves/meltCurve_Q9BXR0_QTRT1.pdf", "Melting_Curves/meltCurve_Q9BXR0_QTRT1.pdf")</f>
        <v>Melting_Curves/meltCurve_Q9BXR0_QTRT1.pdf</v>
      </c>
    </row>
    <row r="5121" spans="1:28" x14ac:dyDescent="0.25">
      <c r="A5121" t="s">
        <v>5125</v>
      </c>
      <c r="B5121">
        <v>0.99352677808782597</v>
      </c>
      <c r="C5121">
        <v>1.00713369936185</v>
      </c>
      <c r="D5121">
        <v>0.90752652054038396</v>
      </c>
      <c r="E5121">
        <v>0.74128209428623504</v>
      </c>
      <c r="F5121">
        <v>0.60025853998713796</v>
      </c>
      <c r="G5121">
        <v>0.37294420759831698</v>
      </c>
      <c r="H5121">
        <v>0.19867120498457999</v>
      </c>
      <c r="I5121">
        <v>0.126795595298905</v>
      </c>
      <c r="J5121">
        <v>9.5415217140104897E-2</v>
      </c>
      <c r="K5121">
        <v>6.9571894964020997E-2</v>
      </c>
      <c r="L5121">
        <v>708.766536700188</v>
      </c>
      <c r="M5121">
        <v>13.0360187218417</v>
      </c>
      <c r="N5121">
        <v>54.489551979037003</v>
      </c>
      <c r="O5121">
        <v>53.138143374423798</v>
      </c>
      <c r="P5121">
        <v>-6.0475727004927801E-2</v>
      </c>
      <c r="Q5121">
        <v>1.4114246872772501E-2</v>
      </c>
      <c r="R5121">
        <v>0.998358246423381</v>
      </c>
      <c r="S5121" t="s">
        <v>11406</v>
      </c>
      <c r="T5121" t="s">
        <v>12568</v>
      </c>
      <c r="U5121" t="s">
        <v>12568</v>
      </c>
      <c r="V5121" t="s">
        <v>12568</v>
      </c>
      <c r="W5121" t="s">
        <v>17638</v>
      </c>
      <c r="X5121">
        <v>13</v>
      </c>
      <c r="Y5121" t="s">
        <v>23740</v>
      </c>
      <c r="Z5121" t="s">
        <v>29991</v>
      </c>
      <c r="AA5121">
        <v>0.50937489421149429</v>
      </c>
      <c r="AB5121" t="str">
        <f>HYPERLINK("Melting_Curves/meltCurve_Q9BXS5_AP1M1.pdf", "Melting_Curves/meltCurve_Q9BXS5_AP1M1.pdf")</f>
        <v>Melting_Curves/meltCurve_Q9BXS5_AP1M1.pdf</v>
      </c>
    </row>
    <row r="5122" spans="1:28" x14ac:dyDescent="0.25">
      <c r="A5122" t="s">
        <v>5126</v>
      </c>
      <c r="B5122">
        <v>0.99352677808782597</v>
      </c>
      <c r="C5122">
        <v>0.99587203183735995</v>
      </c>
      <c r="D5122">
        <v>1.01840348895188</v>
      </c>
      <c r="E5122">
        <v>1.02197158168957</v>
      </c>
      <c r="F5122">
        <v>0.86400051507614595</v>
      </c>
      <c r="G5122">
        <v>0.76308566838714398</v>
      </c>
      <c r="H5122">
        <v>0.60569416406052201</v>
      </c>
      <c r="I5122">
        <v>0.62945560646680199</v>
      </c>
      <c r="J5122">
        <v>0.63836582307148704</v>
      </c>
      <c r="K5122">
        <v>0.53367503436693597</v>
      </c>
      <c r="L5122">
        <v>1254.24925243956</v>
      </c>
      <c r="M5122">
        <v>22.4787953104141</v>
      </c>
      <c r="O5122">
        <v>55.361042046107301</v>
      </c>
      <c r="P5122">
        <v>-4.24557647451256E-2</v>
      </c>
      <c r="Q5122">
        <v>0.581766363884751</v>
      </c>
      <c r="R5122">
        <v>0.96637344531519698</v>
      </c>
      <c r="S5122" t="s">
        <v>11407</v>
      </c>
      <c r="T5122" t="s">
        <v>12568</v>
      </c>
      <c r="U5122" t="s">
        <v>12568</v>
      </c>
      <c r="V5122" t="s">
        <v>12568</v>
      </c>
      <c r="W5122" t="s">
        <v>17639</v>
      </c>
      <c r="X5122">
        <v>7</v>
      </c>
      <c r="Y5122" t="s">
        <v>23741</v>
      </c>
      <c r="Z5122" t="s">
        <v>29992</v>
      </c>
      <c r="AA5122">
        <v>0.80656559438031772</v>
      </c>
      <c r="AB5122" t="str">
        <f>HYPERLINK("Melting_Curves/meltCurve_Q9BXS6_2_NUSAP1.pdf", "Melting_Curves/meltCurve_Q9BXS6_2_NUSAP1.pdf")</f>
        <v>Melting_Curves/meltCurve_Q9BXS6_2_NUSAP1.pdf</v>
      </c>
    </row>
    <row r="5123" spans="1:28" x14ac:dyDescent="0.25">
      <c r="A5123" t="s">
        <v>5127</v>
      </c>
      <c r="B5123">
        <v>0.99352677808782597</v>
      </c>
      <c r="C5123">
        <v>1.0654641593326499</v>
      </c>
      <c r="D5123">
        <v>1.2012301247720001</v>
      </c>
      <c r="E5123">
        <v>1.2408470366854001</v>
      </c>
      <c r="F5123">
        <v>1.35911494776106</v>
      </c>
      <c r="G5123">
        <v>1.04097235677418</v>
      </c>
      <c r="H5123">
        <v>0.87887878086829996</v>
      </c>
      <c r="I5123">
        <v>1.1797822519323899</v>
      </c>
      <c r="J5123">
        <v>0.77166687847637205</v>
      </c>
      <c r="K5123">
        <v>0.65878665425875105</v>
      </c>
      <c r="L5123">
        <v>15000</v>
      </c>
      <c r="M5123">
        <v>224.58419210569099</v>
      </c>
      <c r="O5123">
        <v>66.784801012989305</v>
      </c>
      <c r="P5123">
        <v>-0.28688515420336402</v>
      </c>
      <c r="Q5123">
        <v>0.65875482658284601</v>
      </c>
      <c r="R5123">
        <v>0.353450236460852</v>
      </c>
      <c r="S5123" t="s">
        <v>11408</v>
      </c>
      <c r="T5123" t="s">
        <v>12568</v>
      </c>
      <c r="U5123" t="s">
        <v>12568</v>
      </c>
      <c r="V5123" t="s">
        <v>12568</v>
      </c>
      <c r="W5123" t="s">
        <v>17640</v>
      </c>
      <c r="X5123">
        <v>6</v>
      </c>
      <c r="Y5123" t="s">
        <v>23741</v>
      </c>
      <c r="Z5123" t="s">
        <v>29993</v>
      </c>
      <c r="AA5123">
        <v>0.96353731214335236</v>
      </c>
      <c r="AB5123" t="str">
        <f>HYPERLINK("Melting_Curves/meltCurve_Q9BXS6_4_NUSAP1.pdf", "Melting_Curves/meltCurve_Q9BXS6_4_NUSAP1.pdf")</f>
        <v>Melting_Curves/meltCurve_Q9BXS6_4_NUSAP1.pdf</v>
      </c>
    </row>
    <row r="5124" spans="1:28" x14ac:dyDescent="0.25">
      <c r="A5124" t="s">
        <v>5128</v>
      </c>
      <c r="B5124">
        <v>0.99352677808782597</v>
      </c>
      <c r="C5124">
        <v>0.96658003208538301</v>
      </c>
      <c r="D5124">
        <v>0.92720858565214104</v>
      </c>
      <c r="E5124">
        <v>0.84626795106358199</v>
      </c>
      <c r="F5124">
        <v>0.92785937982983702</v>
      </c>
      <c r="G5124">
        <v>0.84181628151464305</v>
      </c>
      <c r="H5124">
        <v>0.71289718357986798</v>
      </c>
      <c r="I5124">
        <v>0.70885883056962196</v>
      </c>
      <c r="J5124">
        <v>0.68519404131032602</v>
      </c>
      <c r="K5124">
        <v>0.60228556997627303</v>
      </c>
      <c r="L5124">
        <v>311.97613413768403</v>
      </c>
      <c r="M5124">
        <v>3.9888606617560698</v>
      </c>
      <c r="O5124">
        <v>64.151536715908705</v>
      </c>
      <c r="P5124">
        <v>-1.5746286505006101E-2</v>
      </c>
      <c r="Q5124">
        <v>0</v>
      </c>
      <c r="R5124">
        <v>0.93645416730622799</v>
      </c>
      <c r="S5124" t="s">
        <v>11409</v>
      </c>
      <c r="T5124" t="s">
        <v>12568</v>
      </c>
      <c r="U5124" t="s">
        <v>12568</v>
      </c>
      <c r="V5124" t="s">
        <v>12568</v>
      </c>
      <c r="W5124" t="s">
        <v>17641</v>
      </c>
      <c r="X5124">
        <v>4</v>
      </c>
      <c r="Y5124" t="s">
        <v>23742</v>
      </c>
      <c r="Z5124" t="s">
        <v>29994</v>
      </c>
      <c r="AA5124">
        <v>0.82698968946080886</v>
      </c>
      <c r="AB5124" t="str">
        <f>HYPERLINK("Melting_Curves/meltCurve_Q9BXV9_C14orf142.pdf", "Melting_Curves/meltCurve_Q9BXV9_C14orf142.pdf")</f>
        <v>Melting_Curves/meltCurve_Q9BXV9_C14orf142.pdf</v>
      </c>
    </row>
    <row r="5125" spans="1:28" x14ac:dyDescent="0.25">
      <c r="A5125" t="s">
        <v>5129</v>
      </c>
      <c r="B5125">
        <v>0.99352677808782597</v>
      </c>
      <c r="C5125">
        <v>1.0255349558978399</v>
      </c>
      <c r="D5125">
        <v>0.98969680049937103</v>
      </c>
      <c r="E5125">
        <v>0.742982822113334</v>
      </c>
      <c r="F5125">
        <v>0.63041157363579803</v>
      </c>
      <c r="G5125">
        <v>0.31433576751252801</v>
      </c>
      <c r="H5125">
        <v>0.16435493088384401</v>
      </c>
      <c r="I5125">
        <v>0.16969247092043399</v>
      </c>
      <c r="J5125">
        <v>0.14155369146753499</v>
      </c>
      <c r="K5125">
        <v>9.9881928890344598E-2</v>
      </c>
      <c r="L5125">
        <v>959.46930820995203</v>
      </c>
      <c r="M5125">
        <v>17.941808802153599</v>
      </c>
      <c r="N5125">
        <v>54.167191662384703</v>
      </c>
      <c r="O5125">
        <v>52.825677771021603</v>
      </c>
      <c r="P5125">
        <v>-7.6234988534926898E-2</v>
      </c>
      <c r="Q5125">
        <v>0.102216785732978</v>
      </c>
      <c r="R5125">
        <v>0.99308032926004297</v>
      </c>
      <c r="S5125" t="s">
        <v>11410</v>
      </c>
      <c r="T5125" t="s">
        <v>12568</v>
      </c>
      <c r="U5125" t="s">
        <v>12568</v>
      </c>
      <c r="V5125" t="s">
        <v>12568</v>
      </c>
      <c r="W5125" t="s">
        <v>17642</v>
      </c>
      <c r="X5125">
        <v>2</v>
      </c>
      <c r="Y5125" t="s">
        <v>23743</v>
      </c>
      <c r="Z5125" t="s">
        <v>29995</v>
      </c>
      <c r="AA5125">
        <v>0.52015071324505391</v>
      </c>
      <c r="AB5125" t="str">
        <f>HYPERLINK("Melting_Curves/meltCurve_Q9BXW6_OSBPL1A.pdf", "Melting_Curves/meltCurve_Q9BXW6_OSBPL1A.pdf")</f>
        <v>Melting_Curves/meltCurve_Q9BXW6_OSBPL1A.pdf</v>
      </c>
    </row>
    <row r="5126" spans="1:28" x14ac:dyDescent="0.25">
      <c r="A5126" t="s">
        <v>5130</v>
      </c>
      <c r="B5126">
        <v>0.99352677808782597</v>
      </c>
      <c r="C5126">
        <v>0.79636318582499699</v>
      </c>
      <c r="D5126">
        <v>0.45940908565486899</v>
      </c>
      <c r="E5126">
        <v>0.19396721206339901</v>
      </c>
      <c r="F5126">
        <v>0.16947218402427799</v>
      </c>
      <c r="G5126">
        <v>8.7799154438378602E-2</v>
      </c>
      <c r="H5126">
        <v>0.113012400797636</v>
      </c>
      <c r="I5126">
        <v>0.123555078221726</v>
      </c>
      <c r="J5126">
        <v>6.3447013237606403E-2</v>
      </c>
      <c r="K5126">
        <v>4.9295827463354702E-2</v>
      </c>
      <c r="L5126">
        <v>1016.06394874873</v>
      </c>
      <c r="M5126">
        <v>22.421593620509199</v>
      </c>
      <c r="N5126">
        <v>45.732379559283501</v>
      </c>
      <c r="O5126">
        <v>44.960475318144702</v>
      </c>
      <c r="P5126">
        <v>-0.113173764684725</v>
      </c>
      <c r="Q5126">
        <v>9.22609471606851E-2</v>
      </c>
      <c r="R5126">
        <v>0.99249804631165695</v>
      </c>
      <c r="S5126" t="s">
        <v>11411</v>
      </c>
      <c r="T5126" t="s">
        <v>12568</v>
      </c>
      <c r="U5126" t="s">
        <v>12568</v>
      </c>
      <c r="V5126" t="s">
        <v>12568</v>
      </c>
      <c r="W5126" t="s">
        <v>17643</v>
      </c>
      <c r="X5126">
        <v>6</v>
      </c>
      <c r="Y5126" t="s">
        <v>23744</v>
      </c>
      <c r="Z5126" t="s">
        <v>29996</v>
      </c>
      <c r="AA5126">
        <v>0.26448743591707008</v>
      </c>
      <c r="AB5126" t="str">
        <f>HYPERLINK("Melting_Curves/meltCurve_Q9BXW7_2_CECR5.pdf", "Melting_Curves/meltCurve_Q9BXW7_2_CECR5.pdf")</f>
        <v>Melting_Curves/meltCurve_Q9BXW7_2_CECR5.pdf</v>
      </c>
    </row>
    <row r="5127" spans="1:28" x14ac:dyDescent="0.25">
      <c r="A5127" t="s">
        <v>5131</v>
      </c>
      <c r="B5127">
        <v>0.99352677808782597</v>
      </c>
      <c r="C5127">
        <v>0.88516414822939404</v>
      </c>
      <c r="D5127">
        <v>0.63174799470798904</v>
      </c>
      <c r="E5127">
        <v>0.32661238017470301</v>
      </c>
      <c r="F5127">
        <v>0.24211832804988001</v>
      </c>
      <c r="G5127">
        <v>0.17247801551421099</v>
      </c>
      <c r="H5127">
        <v>0.12764743928323999</v>
      </c>
      <c r="I5127">
        <v>0.122100355581679</v>
      </c>
      <c r="J5127">
        <v>9.6895806282515304E-2</v>
      </c>
      <c r="K5127">
        <v>8.1744133110090794E-2</v>
      </c>
      <c r="L5127">
        <v>842.41307770687604</v>
      </c>
      <c r="M5127">
        <v>17.8818395125131</v>
      </c>
      <c r="N5127">
        <v>47.760508383713599</v>
      </c>
      <c r="O5127">
        <v>46.5326611796187</v>
      </c>
      <c r="P5127">
        <v>-8.5691923372628806E-2</v>
      </c>
      <c r="Q5127">
        <v>0.108084752901258</v>
      </c>
      <c r="R5127">
        <v>0.99604909293808597</v>
      </c>
      <c r="S5127" t="s">
        <v>11412</v>
      </c>
      <c r="T5127" t="s">
        <v>12568</v>
      </c>
      <c r="U5127" t="s">
        <v>12568</v>
      </c>
      <c r="V5127" t="s">
        <v>12568</v>
      </c>
      <c r="W5127" t="s">
        <v>17644</v>
      </c>
      <c r="X5127">
        <v>17</v>
      </c>
      <c r="Y5127" t="s">
        <v>23745</v>
      </c>
      <c r="Z5127" t="s">
        <v>29997</v>
      </c>
      <c r="AA5127">
        <v>0.33607210792147618</v>
      </c>
      <c r="AB5127" t="str">
        <f>HYPERLINK("Melting_Curves/meltCurve_Q9BXW9_2_FANCD2.pdf", "Melting_Curves/meltCurve_Q9BXW9_2_FANCD2.pdf")</f>
        <v>Melting_Curves/meltCurve_Q9BXW9_2_FANCD2.pdf</v>
      </c>
    </row>
    <row r="5128" spans="1:28" x14ac:dyDescent="0.25">
      <c r="A5128" t="s">
        <v>5132</v>
      </c>
      <c r="B5128">
        <v>0.99352677808782597</v>
      </c>
      <c r="C5128">
        <v>1.05021398001761</v>
      </c>
      <c r="D5128">
        <v>1.38899862399706</v>
      </c>
      <c r="E5128">
        <v>1.1845753170962701</v>
      </c>
      <c r="F5128">
        <v>1.0244136767776899</v>
      </c>
      <c r="G5128">
        <v>0.59654857170294795</v>
      </c>
      <c r="H5128">
        <v>0.24323291171291</v>
      </c>
      <c r="I5128">
        <v>0.22158056740080601</v>
      </c>
      <c r="J5128">
        <v>0.18024598419179599</v>
      </c>
      <c r="K5128">
        <v>0.123759219831884</v>
      </c>
      <c r="L5128">
        <v>2836.1809578793</v>
      </c>
      <c r="M5128">
        <v>49.685030814559603</v>
      </c>
      <c r="N5128">
        <v>57.607367360062</v>
      </c>
      <c r="O5128">
        <v>56.990960887224297</v>
      </c>
      <c r="P5128">
        <v>-0.17831773817537799</v>
      </c>
      <c r="Q5128">
        <v>0.18184688713358699</v>
      </c>
      <c r="R5128">
        <v>0.90569945866071699</v>
      </c>
      <c r="S5128" t="s">
        <v>11413</v>
      </c>
      <c r="T5128" t="s">
        <v>12568</v>
      </c>
      <c r="U5128" t="s">
        <v>12568</v>
      </c>
      <c r="V5128" t="s">
        <v>12568</v>
      </c>
      <c r="W5128" t="s">
        <v>17645</v>
      </c>
      <c r="X5128">
        <v>1</v>
      </c>
      <c r="Y5128" t="s">
        <v>23746</v>
      </c>
      <c r="Z5128" t="s">
        <v>29998</v>
      </c>
      <c r="AA5128">
        <v>0.64981747513423316</v>
      </c>
      <c r="AB5128" t="str">
        <f>HYPERLINK("Melting_Curves/meltCurve_Q9BXY0_MAK16.pdf", "Melting_Curves/meltCurve_Q9BXY0_MAK16.pdf")</f>
        <v>Melting_Curves/meltCurve_Q9BXY0_MAK16.pdf</v>
      </c>
    </row>
    <row r="5129" spans="1:28" x14ac:dyDescent="0.25">
      <c r="A5129" t="s">
        <v>5133</v>
      </c>
      <c r="B5129">
        <v>0.99352677808782597</v>
      </c>
      <c r="C5129">
        <v>1.1714532948487899</v>
      </c>
      <c r="D5129">
        <v>1.3589172441964199</v>
      </c>
      <c r="E5129">
        <v>0.91872051841455005</v>
      </c>
      <c r="F5129">
        <v>1.3508621135410901</v>
      </c>
      <c r="G5129">
        <v>1.9878846885747099</v>
      </c>
      <c r="H5129">
        <v>0.64677705690213705</v>
      </c>
      <c r="I5129">
        <v>2.14029410623754</v>
      </c>
      <c r="J5129">
        <v>1.5352517459008601</v>
      </c>
      <c r="K5129">
        <v>1.1222715750754799</v>
      </c>
      <c r="L5129">
        <v>513.22258532110698</v>
      </c>
      <c r="M5129">
        <v>10.6953568428828</v>
      </c>
      <c r="O5129">
        <v>46.399261143193399</v>
      </c>
      <c r="P5129">
        <v>2.7836933724283999E-2</v>
      </c>
      <c r="Q5129">
        <v>1.4828741484724799</v>
      </c>
      <c r="R5129">
        <v>0.10848946665166399</v>
      </c>
      <c r="S5129" t="s">
        <v>11414</v>
      </c>
      <c r="T5129" t="s">
        <v>12568</v>
      </c>
      <c r="U5129" t="s">
        <v>12568</v>
      </c>
      <c r="V5129" t="s">
        <v>12568</v>
      </c>
      <c r="W5129" t="s">
        <v>17646</v>
      </c>
      <c r="X5129">
        <v>2</v>
      </c>
      <c r="Y5129" t="s">
        <v>23747</v>
      </c>
      <c r="Z5129" t="s">
        <v>29999</v>
      </c>
      <c r="AA5129">
        <v>1.3313350514035891</v>
      </c>
      <c r="AB5129" t="str">
        <f>HYPERLINK("Melting_Curves/meltCurve_Q9BY12_2_SCAPER.pdf", "Melting_Curves/meltCurve_Q9BY12_2_SCAPER.pdf")</f>
        <v>Melting_Curves/meltCurve_Q9BY12_2_SCAPER.pdf</v>
      </c>
    </row>
    <row r="5130" spans="1:28" x14ac:dyDescent="0.25">
      <c r="A5130" t="s">
        <v>5134</v>
      </c>
      <c r="B5130">
        <v>0.99352677808782597</v>
      </c>
      <c r="C5130">
        <v>0.980022312914686</v>
      </c>
      <c r="D5130">
        <v>0.97110767013196897</v>
      </c>
      <c r="E5130">
        <v>0.938600638318003</v>
      </c>
      <c r="F5130">
        <v>0.86357676336390199</v>
      </c>
      <c r="G5130">
        <v>0.80614158378011702</v>
      </c>
      <c r="H5130">
        <v>0.69931565487981096</v>
      </c>
      <c r="I5130">
        <v>0.62308396792968701</v>
      </c>
      <c r="J5130">
        <v>0.38787437719213003</v>
      </c>
      <c r="K5130">
        <v>0.11892969030138401</v>
      </c>
      <c r="L5130">
        <v>905.81777178079301</v>
      </c>
      <c r="M5130">
        <v>14.074178282602301</v>
      </c>
      <c r="N5130">
        <v>64.360284632747593</v>
      </c>
      <c r="O5130">
        <v>63.1027068656824</v>
      </c>
      <c r="P5130">
        <v>-5.5766239373759997E-2</v>
      </c>
      <c r="Q5130">
        <v>0</v>
      </c>
      <c r="R5130">
        <v>0.94615378810390804</v>
      </c>
      <c r="S5130" t="s">
        <v>11415</v>
      </c>
      <c r="T5130" t="s">
        <v>12568</v>
      </c>
      <c r="U5130" t="s">
        <v>12568</v>
      </c>
      <c r="V5130" t="s">
        <v>12568</v>
      </c>
      <c r="W5130" t="s">
        <v>17647</v>
      </c>
      <c r="X5130">
        <v>4</v>
      </c>
      <c r="Y5130" t="s">
        <v>23748</v>
      </c>
      <c r="Z5130" t="s">
        <v>30000</v>
      </c>
      <c r="AA5130">
        <v>0.78892261907264871</v>
      </c>
      <c r="AB5130" t="str">
        <f>HYPERLINK("Melting_Curves/meltCurve_Q9BY32_ITPA.pdf", "Melting_Curves/meltCurve_Q9BY32_ITPA.pdf")</f>
        <v>Melting_Curves/meltCurve_Q9BY32_ITPA.pdf</v>
      </c>
    </row>
    <row r="5131" spans="1:28" x14ac:dyDescent="0.25">
      <c r="A5131" t="s">
        <v>5135</v>
      </c>
      <c r="B5131">
        <v>0.99352677808782597</v>
      </c>
      <c r="C5131">
        <v>0.88805516054451505</v>
      </c>
      <c r="D5131">
        <v>0.97279664867650495</v>
      </c>
      <c r="E5131">
        <v>0.719156701105229</v>
      </c>
      <c r="F5131">
        <v>0.66020145641285</v>
      </c>
      <c r="G5131">
        <v>0.29536914878526399</v>
      </c>
      <c r="H5131">
        <v>0.148212029743753</v>
      </c>
      <c r="I5131">
        <v>0.12791999334495799</v>
      </c>
      <c r="J5131">
        <v>0.119512320165425</v>
      </c>
      <c r="K5131">
        <v>9.8970934700868804E-2</v>
      </c>
      <c r="L5131">
        <v>861.17043299879401</v>
      </c>
      <c r="M5131">
        <v>16.0433082213654</v>
      </c>
      <c r="N5131">
        <v>54.135923383577897</v>
      </c>
      <c r="O5131">
        <v>52.864645916329202</v>
      </c>
      <c r="P5131">
        <v>-7.1059682228505699E-2</v>
      </c>
      <c r="Q5131">
        <v>6.3471597162388399E-2</v>
      </c>
      <c r="R5131">
        <v>0.98217837112596496</v>
      </c>
      <c r="S5131" t="s">
        <v>11416</v>
      </c>
      <c r="T5131" t="s">
        <v>12568</v>
      </c>
      <c r="U5131" t="s">
        <v>12568</v>
      </c>
      <c r="V5131" t="s">
        <v>12568</v>
      </c>
      <c r="W5131" t="s">
        <v>17648</v>
      </c>
      <c r="X5131">
        <v>13</v>
      </c>
      <c r="Y5131" t="s">
        <v>23749</v>
      </c>
      <c r="Z5131" t="s">
        <v>30001</v>
      </c>
      <c r="AA5131">
        <v>0.50832184898118826</v>
      </c>
      <c r="AB5131" t="str">
        <f>HYPERLINK("Melting_Curves/meltCurve_Q9BY42_RTFDC1.pdf", "Melting_Curves/meltCurve_Q9BY42_RTFDC1.pdf")</f>
        <v>Melting_Curves/meltCurve_Q9BY42_RTFDC1.pdf</v>
      </c>
    </row>
    <row r="5132" spans="1:28" x14ac:dyDescent="0.25">
      <c r="A5132" t="s">
        <v>5136</v>
      </c>
      <c r="B5132">
        <v>0.99352677808782597</v>
      </c>
      <c r="C5132">
        <v>0.92350307028587797</v>
      </c>
      <c r="D5132">
        <v>0.98407030287952801</v>
      </c>
      <c r="E5132">
        <v>0.99206813521502402</v>
      </c>
      <c r="F5132">
        <v>0.99933656496325396</v>
      </c>
      <c r="G5132">
        <v>0.98593299846258098</v>
      </c>
      <c r="H5132">
        <v>0.89207758649443902</v>
      </c>
      <c r="I5132">
        <v>1.03127805180497</v>
      </c>
      <c r="J5132">
        <v>1.0337276515014899</v>
      </c>
      <c r="K5132">
        <v>0.91234741946688802</v>
      </c>
      <c r="L5132">
        <v>1.0000000000000001E-5</v>
      </c>
      <c r="M5132">
        <v>1.61455332711869</v>
      </c>
      <c r="Q5132">
        <v>0.96979013860961605</v>
      </c>
      <c r="R5132">
        <v>-1.3183861535814901E-7</v>
      </c>
      <c r="S5132" t="s">
        <v>11417</v>
      </c>
      <c r="T5132" t="s">
        <v>12568</v>
      </c>
      <c r="U5132" t="s">
        <v>12568</v>
      </c>
      <c r="V5132" t="s">
        <v>12568</v>
      </c>
      <c r="W5132" t="s">
        <v>17649</v>
      </c>
      <c r="X5132">
        <v>14</v>
      </c>
      <c r="Y5132" t="s">
        <v>23750</v>
      </c>
      <c r="Z5132" t="s">
        <v>30002</v>
      </c>
      <c r="AA5132">
        <v>0.97480368954134688</v>
      </c>
      <c r="AB5132" t="str">
        <f>HYPERLINK("Melting_Curves/meltCurve_Q9BY43_CHMP4A.pdf", "Melting_Curves/meltCurve_Q9BY43_CHMP4A.pdf")</f>
        <v>Melting_Curves/meltCurve_Q9BY43_CHMP4A.pdf</v>
      </c>
    </row>
    <row r="5133" spans="1:28" x14ac:dyDescent="0.25">
      <c r="A5133" t="s">
        <v>5137</v>
      </c>
      <c r="B5133">
        <v>0.99352677808782597</v>
      </c>
      <c r="C5133">
        <v>0.92450547615595402</v>
      </c>
      <c r="D5133">
        <v>0.91941666160105395</v>
      </c>
      <c r="E5133">
        <v>0.82331525918188497</v>
      </c>
      <c r="F5133">
        <v>0.79307119864334297</v>
      </c>
      <c r="G5133">
        <v>0.73398206671841004</v>
      </c>
      <c r="H5133">
        <v>0.68950124538185398</v>
      </c>
      <c r="I5133">
        <v>0.794971043170555</v>
      </c>
      <c r="J5133">
        <v>0.81455196871670199</v>
      </c>
      <c r="K5133">
        <v>0.64797533299774801</v>
      </c>
      <c r="L5133">
        <v>640.26915548149998</v>
      </c>
      <c r="M5133">
        <v>13.361397236066701</v>
      </c>
      <c r="O5133">
        <v>46.884110267923397</v>
      </c>
      <c r="P5133">
        <v>-1.95564378209141E-2</v>
      </c>
      <c r="Q5133">
        <v>0.72555545879537897</v>
      </c>
      <c r="R5133">
        <v>0.79655765590438599</v>
      </c>
      <c r="S5133" t="s">
        <v>11418</v>
      </c>
      <c r="T5133" t="s">
        <v>12568</v>
      </c>
      <c r="U5133" t="s">
        <v>12568</v>
      </c>
      <c r="V5133" t="s">
        <v>12568</v>
      </c>
      <c r="W5133" t="s">
        <v>17650</v>
      </c>
      <c r="X5133">
        <v>6</v>
      </c>
      <c r="Y5133" t="s">
        <v>23751</v>
      </c>
      <c r="Z5133" t="s">
        <v>30003</v>
      </c>
      <c r="AA5133">
        <v>0.80687308028712579</v>
      </c>
      <c r="AB5133" t="str">
        <f>HYPERLINK("Melting_Curves/meltCurve_Q9BY67_2_CADM1.pdf", "Melting_Curves/meltCurve_Q9BY67_2_CADM1.pdf")</f>
        <v>Melting_Curves/meltCurve_Q9BY67_2_CADM1.pdf</v>
      </c>
    </row>
    <row r="5134" spans="1:28" x14ac:dyDescent="0.25">
      <c r="A5134" t="s">
        <v>5138</v>
      </c>
      <c r="B5134">
        <v>0.99352677808782597</v>
      </c>
      <c r="C5134">
        <v>0.91786664721606204</v>
      </c>
      <c r="D5134">
        <v>1.01679601922647</v>
      </c>
      <c r="E5134">
        <v>0.86255452071195704</v>
      </c>
      <c r="F5134">
        <v>0.70186673252428899</v>
      </c>
      <c r="G5134">
        <v>0.570059034288527</v>
      </c>
      <c r="H5134">
        <v>0.43280075162345699</v>
      </c>
      <c r="I5134">
        <v>0.42193305190568198</v>
      </c>
      <c r="J5134">
        <v>0.36210084945148802</v>
      </c>
      <c r="K5134">
        <v>0.30369141561830798</v>
      </c>
      <c r="L5134">
        <v>744.78103509188202</v>
      </c>
      <c r="M5134">
        <v>13.564421378866699</v>
      </c>
      <c r="N5134">
        <v>58.833498525708102</v>
      </c>
      <c r="O5134">
        <v>53.754825449779197</v>
      </c>
      <c r="P5134">
        <v>-4.4305490515695899E-2</v>
      </c>
      <c r="Q5134">
        <v>0.29778754251300399</v>
      </c>
      <c r="R5134">
        <v>0.98244865588813701</v>
      </c>
      <c r="S5134" t="s">
        <v>11419</v>
      </c>
      <c r="T5134" t="s">
        <v>12568</v>
      </c>
      <c r="U5134" t="s">
        <v>12568</v>
      </c>
      <c r="V5134" t="s">
        <v>12568</v>
      </c>
      <c r="W5134" t="s">
        <v>17651</v>
      </c>
      <c r="X5134">
        <v>8</v>
      </c>
      <c r="Y5134" t="s">
        <v>23752</v>
      </c>
      <c r="Z5134" t="s">
        <v>30004</v>
      </c>
      <c r="AA5134">
        <v>0.66178584926439965</v>
      </c>
      <c r="AB5134" t="str">
        <f>HYPERLINK("Melting_Curves/meltCurve_Q9BY77_POLDIP3.pdf", "Melting_Curves/meltCurve_Q9BY77_POLDIP3.pdf")</f>
        <v>Melting_Curves/meltCurve_Q9BY77_POLDIP3.pdf</v>
      </c>
    </row>
    <row r="5135" spans="1:28" x14ac:dyDescent="0.25">
      <c r="A5135" t="s">
        <v>5139</v>
      </c>
      <c r="B5135">
        <v>0.99352677808782597</v>
      </c>
      <c r="C5135">
        <v>0.95856605113149596</v>
      </c>
      <c r="D5135">
        <v>0.96840343106678595</v>
      </c>
      <c r="E5135">
        <v>0.86439065721286301</v>
      </c>
      <c r="F5135">
        <v>0.78735030307436304</v>
      </c>
      <c r="G5135">
        <v>0.683714784539035</v>
      </c>
      <c r="H5135">
        <v>0.68602691034466501</v>
      </c>
      <c r="I5135">
        <v>0.72991137603696599</v>
      </c>
      <c r="J5135">
        <v>0.71110693251981205</v>
      </c>
      <c r="K5135">
        <v>0.62843441524271404</v>
      </c>
      <c r="L5135">
        <v>973.06026733175895</v>
      </c>
      <c r="M5135">
        <v>19.161216081219798</v>
      </c>
      <c r="O5135">
        <v>50.239366108639999</v>
      </c>
      <c r="P5135">
        <v>-3.07006446266768E-2</v>
      </c>
      <c r="Q5135">
        <v>0.67803255340490898</v>
      </c>
      <c r="R5135">
        <v>0.95283510665447702</v>
      </c>
      <c r="S5135" t="s">
        <v>11420</v>
      </c>
      <c r="T5135" t="s">
        <v>12568</v>
      </c>
      <c r="U5135" t="s">
        <v>12568</v>
      </c>
      <c r="V5135" t="s">
        <v>12568</v>
      </c>
      <c r="W5135" t="s">
        <v>17652</v>
      </c>
      <c r="X5135">
        <v>28</v>
      </c>
      <c r="Y5135" t="s">
        <v>23753</v>
      </c>
      <c r="Z5135" t="s">
        <v>30005</v>
      </c>
      <c r="AA5135">
        <v>0.79860250864428883</v>
      </c>
      <c r="AB5135" t="str">
        <f>HYPERLINK("Melting_Curves/meltCurve_Q9BY89_KIAA1671.pdf", "Melting_Curves/meltCurve_Q9BY89_KIAA1671.pdf")</f>
        <v>Melting_Curves/meltCurve_Q9BY89_KIAA1671.pdf</v>
      </c>
    </row>
    <row r="5136" spans="1:28" x14ac:dyDescent="0.25">
      <c r="A5136" t="s">
        <v>5140</v>
      </c>
      <c r="B5136">
        <v>0.99352677808782597</v>
      </c>
      <c r="C5136">
        <v>0.97070352024693496</v>
      </c>
      <c r="D5136">
        <v>0.91927948967809103</v>
      </c>
      <c r="E5136">
        <v>0.86215263839615397</v>
      </c>
      <c r="F5136">
        <v>0.80465432044067897</v>
      </c>
      <c r="G5136">
        <v>0.67432362916170696</v>
      </c>
      <c r="H5136">
        <v>0.37781801790782599</v>
      </c>
      <c r="I5136">
        <v>0.201655771511666</v>
      </c>
      <c r="J5136">
        <v>0.102951675551234</v>
      </c>
      <c r="K5136">
        <v>7.3391095142583004E-2</v>
      </c>
      <c r="L5136">
        <v>859.839620447073</v>
      </c>
      <c r="M5136">
        <v>14.6505100946236</v>
      </c>
      <c r="N5136">
        <v>58.690081001797303</v>
      </c>
      <c r="O5136">
        <v>57.629129815985301</v>
      </c>
      <c r="P5136">
        <v>-6.3562184527711396E-2</v>
      </c>
      <c r="Q5136">
        <v>0</v>
      </c>
      <c r="R5136">
        <v>0.98678283997024696</v>
      </c>
      <c r="S5136" t="s">
        <v>11421</v>
      </c>
      <c r="T5136" t="s">
        <v>12568</v>
      </c>
      <c r="U5136" t="s">
        <v>12568</v>
      </c>
      <c r="V5136" t="s">
        <v>12568</v>
      </c>
      <c r="W5136" t="s">
        <v>17653</v>
      </c>
      <c r="X5136">
        <v>10</v>
      </c>
      <c r="Y5136" t="s">
        <v>23754</v>
      </c>
      <c r="Z5136" t="s">
        <v>30006</v>
      </c>
      <c r="AA5136">
        <v>0.6343905091980776</v>
      </c>
      <c r="AB5136" t="str">
        <f>HYPERLINK("Melting_Curves/meltCurve_Q9BYB4_GNB1L.pdf", "Melting_Curves/meltCurve_Q9BYB4_GNB1L.pdf")</f>
        <v>Melting_Curves/meltCurve_Q9BYB4_GNB1L.pdf</v>
      </c>
    </row>
    <row r="5137" spans="1:28" x14ac:dyDescent="0.25">
      <c r="A5137" t="s">
        <v>5141</v>
      </c>
      <c r="B5137">
        <v>0.99352677808782597</v>
      </c>
      <c r="C5137">
        <v>1.3211165889915</v>
      </c>
      <c r="D5137">
        <v>1.3078791374424701</v>
      </c>
      <c r="E5137">
        <v>0.89745448537908901</v>
      </c>
      <c r="F5137">
        <v>0.75009191819883203</v>
      </c>
      <c r="G5137">
        <v>0.53997639819579002</v>
      </c>
      <c r="H5137">
        <v>0.37644706132292199</v>
      </c>
      <c r="I5137">
        <v>0.40046999629672198</v>
      </c>
      <c r="J5137">
        <v>0.31893720899829198</v>
      </c>
      <c r="K5137">
        <v>0.248253566684005</v>
      </c>
      <c r="L5137">
        <v>1222.4729119778699</v>
      </c>
      <c r="M5137">
        <v>22.255838783125999</v>
      </c>
      <c r="N5137">
        <v>57.392299102810298</v>
      </c>
      <c r="O5137">
        <v>54.490493200320998</v>
      </c>
      <c r="P5137">
        <v>-7.0691612647339905E-2</v>
      </c>
      <c r="Q5137">
        <v>0.307698318933944</v>
      </c>
      <c r="R5137">
        <v>0.85123350056949598</v>
      </c>
      <c r="S5137" t="s">
        <v>11422</v>
      </c>
      <c r="T5137" t="s">
        <v>12568</v>
      </c>
      <c r="U5137" t="s">
        <v>12568</v>
      </c>
      <c r="V5137" t="s">
        <v>12568</v>
      </c>
      <c r="W5137" t="s">
        <v>17654</v>
      </c>
      <c r="X5137">
        <v>2</v>
      </c>
      <c r="Y5137" t="s">
        <v>23755</v>
      </c>
      <c r="Z5137" t="s">
        <v>30007</v>
      </c>
      <c r="AA5137">
        <v>0.65999771188601664</v>
      </c>
      <c r="AB5137" t="str">
        <f>HYPERLINK("Melting_Curves/meltCurve_Q9BYC8_MRPL32.pdf", "Melting_Curves/meltCurve_Q9BYC8_MRPL32.pdf")</f>
        <v>Melting_Curves/meltCurve_Q9BYC8_MRPL32.pdf</v>
      </c>
    </row>
    <row r="5138" spans="1:28" x14ac:dyDescent="0.25">
      <c r="A5138" t="s">
        <v>5142</v>
      </c>
      <c r="B5138">
        <v>0.99352677808782597</v>
      </c>
      <c r="C5138">
        <v>1.0038326564860101</v>
      </c>
      <c r="D5138">
        <v>0.93066626474993197</v>
      </c>
      <c r="E5138">
        <v>0.40191778228038799</v>
      </c>
      <c r="F5138">
        <v>0.30753162281474999</v>
      </c>
      <c r="G5138">
        <v>0.186857675655516</v>
      </c>
      <c r="H5138">
        <v>0.12931218575495301</v>
      </c>
      <c r="I5138">
        <v>0.12581817817035401</v>
      </c>
      <c r="J5138">
        <v>0.11105906593869599</v>
      </c>
      <c r="K5138">
        <v>9.5640299740017698E-2</v>
      </c>
      <c r="L5138">
        <v>1360.9668815580801</v>
      </c>
      <c r="M5138">
        <v>27.710584056264199</v>
      </c>
      <c r="N5138">
        <v>49.662410954806397</v>
      </c>
      <c r="O5138">
        <v>48.859978532794003</v>
      </c>
      <c r="P5138">
        <v>-0.123086913808079</v>
      </c>
      <c r="Q5138">
        <v>0.13188849220009299</v>
      </c>
      <c r="R5138">
        <v>0.98910930621038695</v>
      </c>
      <c r="S5138" t="s">
        <v>11423</v>
      </c>
      <c r="T5138" t="s">
        <v>12568</v>
      </c>
      <c r="U5138" t="s">
        <v>12568</v>
      </c>
      <c r="V5138" t="s">
        <v>12568</v>
      </c>
      <c r="W5138" t="s">
        <v>17655</v>
      </c>
      <c r="X5138">
        <v>5</v>
      </c>
      <c r="Y5138" t="s">
        <v>23756</v>
      </c>
      <c r="Z5138" t="s">
        <v>30008</v>
      </c>
      <c r="AA5138">
        <v>0.40184112604063049</v>
      </c>
      <c r="AB5138" t="str">
        <f>HYPERLINK("Melting_Curves/meltCurve_Q9BYG5_PARD6B.pdf", "Melting_Curves/meltCurve_Q9BYG5_PARD6B.pdf")</f>
        <v>Melting_Curves/meltCurve_Q9BYG5_PARD6B.pdf</v>
      </c>
    </row>
    <row r="5139" spans="1:28" x14ac:dyDescent="0.25">
      <c r="A5139" t="s">
        <v>5143</v>
      </c>
      <c r="B5139">
        <v>0.99352677808782597</v>
      </c>
      <c r="C5139">
        <v>1.0538393928583101</v>
      </c>
      <c r="D5139">
        <v>1.00031930363858</v>
      </c>
      <c r="E5139">
        <v>0.90389007412606404</v>
      </c>
      <c r="F5139">
        <v>0.92824045965492297</v>
      </c>
      <c r="G5139">
        <v>0.76845718193646795</v>
      </c>
      <c r="H5139">
        <v>0.685707251931432</v>
      </c>
      <c r="I5139">
        <v>0.72461351281960895</v>
      </c>
      <c r="J5139">
        <v>0.645071745933818</v>
      </c>
      <c r="K5139">
        <v>0.65758857691047801</v>
      </c>
      <c r="L5139">
        <v>955.08571961611801</v>
      </c>
      <c r="M5139">
        <v>17.256071905808401</v>
      </c>
      <c r="O5139">
        <v>54.620541509601203</v>
      </c>
      <c r="P5139">
        <v>-2.77146323120986E-2</v>
      </c>
      <c r="Q5139">
        <v>0.64912060353129397</v>
      </c>
      <c r="R5139">
        <v>0.95328983530729094</v>
      </c>
      <c r="S5139" t="s">
        <v>11424</v>
      </c>
      <c r="T5139" t="s">
        <v>12568</v>
      </c>
      <c r="U5139" t="s">
        <v>12568</v>
      </c>
      <c r="V5139" t="s">
        <v>12568</v>
      </c>
      <c r="W5139" t="s">
        <v>17656</v>
      </c>
      <c r="X5139">
        <v>7</v>
      </c>
      <c r="Y5139" t="s">
        <v>23757</v>
      </c>
      <c r="Z5139" t="s">
        <v>30009</v>
      </c>
      <c r="AA5139">
        <v>0.8342681738722898</v>
      </c>
      <c r="AB5139" t="str">
        <f>HYPERLINK("Melting_Curves/meltCurve_Q9BYJ9_YTHDF1.pdf", "Melting_Curves/meltCurve_Q9BYJ9_YTHDF1.pdf")</f>
        <v>Melting_Curves/meltCurve_Q9BYJ9_YTHDF1.pdf</v>
      </c>
    </row>
    <row r="5140" spans="1:28" x14ac:dyDescent="0.25">
      <c r="A5140" t="s">
        <v>5144</v>
      </c>
      <c r="B5140">
        <v>0.99352677808782597</v>
      </c>
      <c r="C5140">
        <v>0.93038278379474204</v>
      </c>
      <c r="D5140">
        <v>0.88685109663974104</v>
      </c>
      <c r="E5140">
        <v>0.70877080223612199</v>
      </c>
      <c r="F5140">
        <v>0.62747535899338902</v>
      </c>
      <c r="G5140">
        <v>0.406102772081055</v>
      </c>
      <c r="H5140">
        <v>0.272174057178731</v>
      </c>
      <c r="I5140">
        <v>0.28596243665797799</v>
      </c>
      <c r="J5140">
        <v>0.25100248620835403</v>
      </c>
      <c r="K5140">
        <v>0.20813350650545701</v>
      </c>
      <c r="L5140">
        <v>634.56848350519499</v>
      </c>
      <c r="M5140">
        <v>11.9762411006542</v>
      </c>
      <c r="N5140">
        <v>54.904419894553001</v>
      </c>
      <c r="O5140">
        <v>51.573143223856597</v>
      </c>
      <c r="P5140">
        <v>-4.8139065382277198E-2</v>
      </c>
      <c r="Q5140">
        <v>0.17099857900732701</v>
      </c>
      <c r="R5140">
        <v>0.99360469655441697</v>
      </c>
      <c r="S5140" t="s">
        <v>11425</v>
      </c>
      <c r="T5140" t="s">
        <v>12568</v>
      </c>
      <c r="U5140" t="s">
        <v>12568</v>
      </c>
      <c r="V5140" t="s">
        <v>12568</v>
      </c>
      <c r="W5140" t="s">
        <v>17657</v>
      </c>
      <c r="X5140">
        <v>14</v>
      </c>
      <c r="Y5140" t="s">
        <v>23758</v>
      </c>
      <c r="Z5140" t="s">
        <v>30010</v>
      </c>
      <c r="AA5140">
        <v>0.55351639500180372</v>
      </c>
      <c r="AB5140" t="str">
        <f>HYPERLINK("Melting_Curves/meltCurve_Q9BYM8_RBCK1.pdf", "Melting_Curves/meltCurve_Q9BYM8_RBCK1.pdf")</f>
        <v>Melting_Curves/meltCurve_Q9BYM8_RBCK1.pdf</v>
      </c>
    </row>
    <row r="5141" spans="1:28" x14ac:dyDescent="0.25">
      <c r="A5141" t="s">
        <v>5145</v>
      </c>
      <c r="B5141">
        <v>0.99352677808782597</v>
      </c>
      <c r="C5141">
        <v>1.06337008321181</v>
      </c>
      <c r="D5141">
        <v>0.99125305410569797</v>
      </c>
      <c r="E5141">
        <v>0.78726410871617902</v>
      </c>
      <c r="F5141">
        <v>0.74059831126790199</v>
      </c>
      <c r="G5141">
        <v>0.47200998492073398</v>
      </c>
      <c r="H5141">
        <v>0.452891159820629</v>
      </c>
      <c r="I5141">
        <v>0.472402918092863</v>
      </c>
      <c r="J5141">
        <v>0.399426269425878</v>
      </c>
      <c r="K5141">
        <v>0.251355361325791</v>
      </c>
      <c r="L5141">
        <v>809.44521631300199</v>
      </c>
      <c r="M5141">
        <v>15.055130028033799</v>
      </c>
      <c r="N5141">
        <v>57.983761550223598</v>
      </c>
      <c r="O5141">
        <v>52.843561679015501</v>
      </c>
      <c r="P5141">
        <v>-4.7527811134508401E-2</v>
      </c>
      <c r="Q5141">
        <v>0.33277527424346998</v>
      </c>
      <c r="R5141">
        <v>0.95446755633354596</v>
      </c>
      <c r="S5141" t="s">
        <v>11426</v>
      </c>
      <c r="T5141" t="s">
        <v>12568</v>
      </c>
      <c r="U5141" t="s">
        <v>12568</v>
      </c>
      <c r="V5141" t="s">
        <v>12568</v>
      </c>
      <c r="W5141" t="s">
        <v>17658</v>
      </c>
      <c r="X5141">
        <v>7</v>
      </c>
      <c r="Y5141" t="s">
        <v>23759</v>
      </c>
      <c r="Z5141" t="s">
        <v>30011</v>
      </c>
      <c r="AA5141">
        <v>0.65272319547000479</v>
      </c>
      <c r="AB5141" t="str">
        <f>HYPERLINK("Melting_Curves/meltCurve_Q9BYN0_SRXN1.pdf", "Melting_Curves/meltCurve_Q9BYN0_SRXN1.pdf")</f>
        <v>Melting_Curves/meltCurve_Q9BYN0_SRXN1.pdf</v>
      </c>
    </row>
    <row r="5142" spans="1:28" x14ac:dyDescent="0.25">
      <c r="A5142" t="s">
        <v>5146</v>
      </c>
      <c r="B5142">
        <v>0.99352677808782597</v>
      </c>
      <c r="C5142">
        <v>0.99906686166455405</v>
      </c>
      <c r="D5142">
        <v>1.1903019306449001</v>
      </c>
      <c r="E5142">
        <v>0.86718384786339897</v>
      </c>
      <c r="F5142">
        <v>0.81799034310588303</v>
      </c>
      <c r="G5142">
        <v>0.60174278777342405</v>
      </c>
      <c r="H5142">
        <v>0.44618002073109603</v>
      </c>
      <c r="I5142">
        <v>0.423475542077145</v>
      </c>
      <c r="J5142">
        <v>0.40309603837469699</v>
      </c>
      <c r="K5142">
        <v>0.346558372608608</v>
      </c>
      <c r="L5142">
        <v>1090.13333798333</v>
      </c>
      <c r="M5142">
        <v>19.691342792204701</v>
      </c>
      <c r="N5142">
        <v>59.310730071555497</v>
      </c>
      <c r="O5142">
        <v>54.7995729542926</v>
      </c>
      <c r="P5142">
        <v>-5.7022400291647499E-2</v>
      </c>
      <c r="Q5142">
        <v>0.36526522220812702</v>
      </c>
      <c r="R5142">
        <v>0.94349536273489698</v>
      </c>
      <c r="S5142" t="s">
        <v>11427</v>
      </c>
      <c r="T5142" t="s">
        <v>12568</v>
      </c>
      <c r="U5142" t="s">
        <v>12568</v>
      </c>
      <c r="V5142" t="s">
        <v>12568</v>
      </c>
      <c r="W5142" t="s">
        <v>17659</v>
      </c>
      <c r="X5142">
        <v>3</v>
      </c>
      <c r="Y5142" t="s">
        <v>23760</v>
      </c>
      <c r="Z5142" t="s">
        <v>30012</v>
      </c>
      <c r="AA5142">
        <v>0.69882594157906197</v>
      </c>
      <c r="AB5142" t="str">
        <f>HYPERLINK("Melting_Curves/meltCurve_Q9BYN8_MRPS26.pdf", "Melting_Curves/meltCurve_Q9BYN8_MRPS26.pdf")</f>
        <v>Melting_Curves/meltCurve_Q9BYN8_MRPS26.pdf</v>
      </c>
    </row>
    <row r="5143" spans="1:28" x14ac:dyDescent="0.25">
      <c r="A5143" t="s">
        <v>5147</v>
      </c>
      <c r="B5143">
        <v>0.99352677808782597</v>
      </c>
      <c r="C5143">
        <v>0.95881674467448996</v>
      </c>
      <c r="D5143">
        <v>0.91309658473400401</v>
      </c>
      <c r="E5143">
        <v>0.54328823124655801</v>
      </c>
      <c r="F5143">
        <v>0.46858521497000999</v>
      </c>
      <c r="G5143">
        <v>0.33034746826938899</v>
      </c>
      <c r="H5143">
        <v>0.14371844267314701</v>
      </c>
      <c r="I5143">
        <v>0.100570911199331</v>
      </c>
      <c r="J5143">
        <v>8.3088399762178994E-2</v>
      </c>
      <c r="K5143">
        <v>6.3129079157698095E-2</v>
      </c>
      <c r="L5143">
        <v>671.33625774914901</v>
      </c>
      <c r="M5143">
        <v>12.9242283562502</v>
      </c>
      <c r="N5143">
        <v>52.238569398260601</v>
      </c>
      <c r="O5143">
        <v>50.747578906930897</v>
      </c>
      <c r="P5143">
        <v>-6.1442828566168797E-2</v>
      </c>
      <c r="Q5143">
        <v>3.5141974992367001E-2</v>
      </c>
      <c r="R5143">
        <v>0.98606814369552098</v>
      </c>
      <c r="S5143" t="s">
        <v>11428</v>
      </c>
      <c r="T5143" t="s">
        <v>12568</v>
      </c>
      <c r="U5143" t="s">
        <v>12568</v>
      </c>
      <c r="V5143" t="s">
        <v>12568</v>
      </c>
      <c r="W5143" t="s">
        <v>17660</v>
      </c>
      <c r="X5143">
        <v>34</v>
      </c>
      <c r="Y5143" t="s">
        <v>23761</v>
      </c>
      <c r="Z5143" t="s">
        <v>30013</v>
      </c>
      <c r="AA5143">
        <v>0.44613095939027653</v>
      </c>
      <c r="AB5143" t="str">
        <f>HYPERLINK("Melting_Curves/meltCurve_Q9BYT8_NLN.pdf", "Melting_Curves/meltCurve_Q9BYT8_NLN.pdf")</f>
        <v>Melting_Curves/meltCurve_Q9BYT8_NLN.pdf</v>
      </c>
    </row>
    <row r="5144" spans="1:28" x14ac:dyDescent="0.25">
      <c r="A5144" t="s">
        <v>5148</v>
      </c>
      <c r="B5144">
        <v>0.99352677808782597</v>
      </c>
      <c r="C5144">
        <v>0.95068551212814001</v>
      </c>
      <c r="D5144">
        <v>0.98615428693743801</v>
      </c>
      <c r="E5144">
        <v>0.38956537095578803</v>
      </c>
      <c r="F5144">
        <v>0.323578647215569</v>
      </c>
      <c r="G5144">
        <v>0.19880802786264401</v>
      </c>
      <c r="H5144">
        <v>0.15471037371266599</v>
      </c>
      <c r="I5144">
        <v>0.148360425889628</v>
      </c>
      <c r="J5144">
        <v>0.14525424647810001</v>
      </c>
      <c r="K5144">
        <v>0.122644017078664</v>
      </c>
      <c r="L5144">
        <v>1776.0354675466101</v>
      </c>
      <c r="M5144">
        <v>36.2531024399077</v>
      </c>
      <c r="N5144">
        <v>49.545956210197701</v>
      </c>
      <c r="O5144">
        <v>48.841543558804503</v>
      </c>
      <c r="P5144">
        <v>-0.15455025968775499</v>
      </c>
      <c r="Q5144">
        <v>0.167138889504162</v>
      </c>
      <c r="R5144">
        <v>0.98248276221026798</v>
      </c>
      <c r="S5144" t="s">
        <v>11429</v>
      </c>
      <c r="T5144" t="s">
        <v>12568</v>
      </c>
      <c r="U5144" t="s">
        <v>12568</v>
      </c>
      <c r="V5144" t="s">
        <v>12568</v>
      </c>
      <c r="W5144" t="s">
        <v>17661</v>
      </c>
      <c r="X5144">
        <v>8</v>
      </c>
      <c r="Y5144" t="s">
        <v>23762</v>
      </c>
      <c r="Z5144" t="s">
        <v>30014</v>
      </c>
      <c r="AA5144">
        <v>0.42016300662689149</v>
      </c>
      <c r="AB5144" t="str">
        <f>HYPERLINK("Melting_Curves/meltCurve_Q9BYV8_CEP41.pdf", "Melting_Curves/meltCurve_Q9BYV8_CEP41.pdf")</f>
        <v>Melting_Curves/meltCurve_Q9BYV8_CEP41.pdf</v>
      </c>
    </row>
    <row r="5145" spans="1:28" x14ac:dyDescent="0.25">
      <c r="A5145" t="s">
        <v>5149</v>
      </c>
      <c r="B5145">
        <v>0.99352677808782597</v>
      </c>
      <c r="C5145">
        <v>0.95103305251383197</v>
      </c>
      <c r="D5145">
        <v>0.90373164696437502</v>
      </c>
      <c r="E5145">
        <v>0.81121201859936898</v>
      </c>
      <c r="F5145">
        <v>0.69748910142783105</v>
      </c>
      <c r="G5145">
        <v>0.60183408026296203</v>
      </c>
      <c r="H5145">
        <v>0.54538651230924096</v>
      </c>
      <c r="I5145">
        <v>0.57199210134990597</v>
      </c>
      <c r="J5145">
        <v>0.62208142138781397</v>
      </c>
      <c r="K5145">
        <v>0.52915705377411903</v>
      </c>
      <c r="L5145">
        <v>762.38023327368899</v>
      </c>
      <c r="M5145">
        <v>15.1196845999914</v>
      </c>
      <c r="O5145">
        <v>49.565645846311099</v>
      </c>
      <c r="P5145">
        <v>-3.4319708505145097E-2</v>
      </c>
      <c r="Q5145">
        <v>0.55001390863983102</v>
      </c>
      <c r="R5145">
        <v>0.97525181163446695</v>
      </c>
      <c r="S5145" t="s">
        <v>11430</v>
      </c>
      <c r="T5145" t="s">
        <v>12568</v>
      </c>
      <c r="U5145" t="s">
        <v>12568</v>
      </c>
      <c r="V5145" t="s">
        <v>12568</v>
      </c>
      <c r="W5145" t="s">
        <v>17662</v>
      </c>
      <c r="X5145">
        <v>14</v>
      </c>
      <c r="Y5145" t="s">
        <v>23763</v>
      </c>
      <c r="Z5145" t="s">
        <v>30015</v>
      </c>
      <c r="AA5145">
        <v>0.71679730912917727</v>
      </c>
      <c r="AB5145" t="str">
        <f>HYPERLINK("Melting_Curves/meltCurve_Q9BYW2_SETD2.pdf", "Melting_Curves/meltCurve_Q9BYW2_SETD2.pdf")</f>
        <v>Melting_Curves/meltCurve_Q9BYW2_SETD2.pdf</v>
      </c>
    </row>
    <row r="5146" spans="1:28" x14ac:dyDescent="0.25">
      <c r="A5146" t="s">
        <v>5150</v>
      </c>
      <c r="B5146">
        <v>0.99352677808782597</v>
      </c>
      <c r="C5146">
        <v>0.91300446723284501</v>
      </c>
      <c r="D5146">
        <v>0.73554374247820897</v>
      </c>
      <c r="E5146">
        <v>0.43425524448661601</v>
      </c>
      <c r="F5146">
        <v>0.37547268702427</v>
      </c>
      <c r="G5146">
        <v>0.22193782462283401</v>
      </c>
      <c r="H5146">
        <v>0.146143627588737</v>
      </c>
      <c r="I5146">
        <v>0.150364110097055</v>
      </c>
      <c r="J5146">
        <v>9.7091837255134802E-2</v>
      </c>
      <c r="K5146">
        <v>7.4215872608860395E-2</v>
      </c>
      <c r="L5146">
        <v>670.89082551840204</v>
      </c>
      <c r="M5146">
        <v>13.663393110332599</v>
      </c>
      <c r="N5146">
        <v>49.804660519631199</v>
      </c>
      <c r="O5146">
        <v>48.085358208278102</v>
      </c>
      <c r="P5146">
        <v>-6.4813892112614901E-2</v>
      </c>
      <c r="Q5146">
        <v>8.7738553189067606E-2</v>
      </c>
      <c r="R5146">
        <v>0.992285914467116</v>
      </c>
      <c r="S5146" t="s">
        <v>11431</v>
      </c>
      <c r="T5146" t="s">
        <v>12568</v>
      </c>
      <c r="U5146" t="s">
        <v>12568</v>
      </c>
      <c r="V5146" t="s">
        <v>12568</v>
      </c>
      <c r="W5146" t="s">
        <v>17663</v>
      </c>
      <c r="X5146">
        <v>5</v>
      </c>
      <c r="Y5146" t="s">
        <v>23764</v>
      </c>
      <c r="Z5146" t="s">
        <v>30016</v>
      </c>
      <c r="AA5146">
        <v>0.39111169195188172</v>
      </c>
      <c r="AB5146" t="str">
        <f>HYPERLINK("Melting_Curves/meltCurve_Q9BYX2_4_TBC1D2.pdf", "Melting_Curves/meltCurve_Q9BYX2_4_TBC1D2.pdf")</f>
        <v>Melting_Curves/meltCurve_Q9BYX2_4_TBC1D2.pdf</v>
      </c>
    </row>
    <row r="5147" spans="1:28" x14ac:dyDescent="0.25">
      <c r="A5147" t="s">
        <v>5151</v>
      </c>
      <c r="B5147">
        <v>0.99352677808782597</v>
      </c>
      <c r="C5147">
        <v>0.97207227433355203</v>
      </c>
      <c r="D5147">
        <v>0.96058646046158602</v>
      </c>
      <c r="E5147">
        <v>0.36066008490949603</v>
      </c>
      <c r="F5147">
        <v>0.28841483039329802</v>
      </c>
      <c r="G5147">
        <v>0.18629226755353501</v>
      </c>
      <c r="H5147">
        <v>0.111065322294143</v>
      </c>
      <c r="I5147">
        <v>0.105081946009701</v>
      </c>
      <c r="J5147">
        <v>8.1584186778390702E-2</v>
      </c>
      <c r="K5147">
        <v>7.5422094999298306E-2</v>
      </c>
      <c r="L5147">
        <v>1576.0757322450199</v>
      </c>
      <c r="M5147">
        <v>32.184581629390998</v>
      </c>
      <c r="N5147">
        <v>49.394609113835799</v>
      </c>
      <c r="O5147">
        <v>48.782006941169698</v>
      </c>
      <c r="P5147">
        <v>-0.14500464749542599</v>
      </c>
      <c r="Q5147">
        <v>0.120873099175188</v>
      </c>
      <c r="R5147">
        <v>0.98322197743732598</v>
      </c>
      <c r="S5147" t="s">
        <v>11432</v>
      </c>
      <c r="T5147" t="s">
        <v>12568</v>
      </c>
      <c r="U5147" t="s">
        <v>12568</v>
      </c>
      <c r="V5147" t="s">
        <v>12568</v>
      </c>
      <c r="W5147" t="s">
        <v>17664</v>
      </c>
      <c r="X5147">
        <v>14</v>
      </c>
      <c r="Y5147" t="s">
        <v>23765</v>
      </c>
      <c r="Z5147" t="s">
        <v>30017</v>
      </c>
      <c r="AA5147">
        <v>0.38836394051373241</v>
      </c>
      <c r="AB5147" t="str">
        <f>HYPERLINK("Melting_Curves/meltCurve_Q9BZ23_3_PANK2.pdf", "Melting_Curves/meltCurve_Q9BZ23_3_PANK2.pdf")</f>
        <v>Melting_Curves/meltCurve_Q9BZ23_3_PANK2.pdf</v>
      </c>
    </row>
    <row r="5148" spans="1:28" x14ac:dyDescent="0.25">
      <c r="A5148" t="s">
        <v>5152</v>
      </c>
      <c r="B5148">
        <v>0.99352677808782597</v>
      </c>
      <c r="C5148">
        <v>0.85190129918891599</v>
      </c>
      <c r="D5148">
        <v>0.87887779059906501</v>
      </c>
      <c r="E5148">
        <v>0.61794041597860605</v>
      </c>
      <c r="F5148">
        <v>0.49454218540133399</v>
      </c>
      <c r="G5148">
        <v>0.152034091225179</v>
      </c>
      <c r="H5148">
        <v>5.6171739385014199E-2</v>
      </c>
      <c r="I5148">
        <v>4.4922363749069001E-2</v>
      </c>
      <c r="J5148">
        <v>3.0732656593368501E-2</v>
      </c>
      <c r="K5148">
        <v>2.6519722068335201E-2</v>
      </c>
      <c r="L5148">
        <v>779.88038915361096</v>
      </c>
      <c r="M5148">
        <v>15.0490668600162</v>
      </c>
      <c r="N5148">
        <v>51.8224973353772</v>
      </c>
      <c r="O5148">
        <v>50.933277412299702</v>
      </c>
      <c r="P5148">
        <v>-7.3873940602030799E-2</v>
      </c>
      <c r="Q5148">
        <v>0</v>
      </c>
      <c r="R5148">
        <v>0.984670353220364</v>
      </c>
      <c r="S5148" t="s">
        <v>11433</v>
      </c>
      <c r="T5148" t="s">
        <v>12568</v>
      </c>
      <c r="U5148" t="s">
        <v>12568</v>
      </c>
      <c r="V5148" t="s">
        <v>12568</v>
      </c>
      <c r="W5148" t="s">
        <v>17665</v>
      </c>
      <c r="X5148">
        <v>3</v>
      </c>
      <c r="Y5148" t="s">
        <v>23766</v>
      </c>
      <c r="Z5148" t="s">
        <v>30018</v>
      </c>
      <c r="AA5148">
        <v>0.41646354495420512</v>
      </c>
      <c r="AB5148" t="str">
        <f>HYPERLINK("Melting_Curves/meltCurve_Q9BZ29_3_DOCK9.pdf", "Melting_Curves/meltCurve_Q9BZ29_3_DOCK9.pdf")</f>
        <v>Melting_Curves/meltCurve_Q9BZ29_3_DOCK9.pdf</v>
      </c>
    </row>
    <row r="5149" spans="1:28" x14ac:dyDescent="0.25">
      <c r="A5149" t="s">
        <v>5153</v>
      </c>
      <c r="B5149">
        <v>0.99352677808782597</v>
      </c>
      <c r="C5149">
        <v>0.97359262209864394</v>
      </c>
      <c r="D5149">
        <v>0.95662764479108897</v>
      </c>
      <c r="E5149">
        <v>0.640953996230885</v>
      </c>
      <c r="F5149">
        <v>0.57993665919486503</v>
      </c>
      <c r="G5149">
        <v>0.336315421815499</v>
      </c>
      <c r="H5149">
        <v>0.15164872561065099</v>
      </c>
      <c r="I5149">
        <v>9.3007103215582906E-2</v>
      </c>
      <c r="J5149">
        <v>7.2099799257986402E-2</v>
      </c>
      <c r="K5149">
        <v>6.1923611770141003E-2</v>
      </c>
      <c r="L5149">
        <v>712.75746567249405</v>
      </c>
      <c r="M5149">
        <v>13.3026060327193</v>
      </c>
      <c r="N5149">
        <v>53.633443025296899</v>
      </c>
      <c r="O5149">
        <v>52.412891001593501</v>
      </c>
      <c r="P5149">
        <v>-6.3045701384045194E-2</v>
      </c>
      <c r="Q5149">
        <v>6.5483996888238702E-3</v>
      </c>
      <c r="R5149">
        <v>0.99065734325920896</v>
      </c>
      <c r="S5149" t="s">
        <v>11434</v>
      </c>
      <c r="T5149" t="s">
        <v>12568</v>
      </c>
      <c r="U5149" t="s">
        <v>12568</v>
      </c>
      <c r="V5149" t="s">
        <v>12568</v>
      </c>
      <c r="W5149" t="s">
        <v>17666</v>
      </c>
      <c r="X5149">
        <v>6</v>
      </c>
      <c r="Y5149" t="s">
        <v>23767</v>
      </c>
      <c r="Z5149" t="s">
        <v>30019</v>
      </c>
      <c r="AA5149">
        <v>0.48038878151475201</v>
      </c>
      <c r="AB5149" t="str">
        <f>HYPERLINK("Melting_Curves/meltCurve_Q9BZ67_2_FRMD8.pdf", "Melting_Curves/meltCurve_Q9BZ67_2_FRMD8.pdf")</f>
        <v>Melting_Curves/meltCurve_Q9BZ67_2_FRMD8.pdf</v>
      </c>
    </row>
    <row r="5150" spans="1:28" x14ac:dyDescent="0.25">
      <c r="A5150" t="s">
        <v>5154</v>
      </c>
      <c r="B5150">
        <v>0.99352677808782597</v>
      </c>
      <c r="C5150">
        <v>0.90747914106209504</v>
      </c>
      <c r="D5150">
        <v>1.02208592453559</v>
      </c>
      <c r="E5150">
        <v>0.88927972824594004</v>
      </c>
      <c r="F5150">
        <v>0.84357125934436294</v>
      </c>
      <c r="G5150">
        <v>0.79964709433455505</v>
      </c>
      <c r="H5150">
        <v>0.68207486149521601</v>
      </c>
      <c r="I5150">
        <v>0.70272150146968704</v>
      </c>
      <c r="J5150">
        <v>0.74769482590652803</v>
      </c>
      <c r="K5150">
        <v>0.68546671498404799</v>
      </c>
      <c r="L5150">
        <v>759.13061062920406</v>
      </c>
      <c r="M5150">
        <v>14.3361472111376</v>
      </c>
      <c r="O5150">
        <v>51.9538592787003</v>
      </c>
      <c r="P5150">
        <v>-2.15079942233109E-2</v>
      </c>
      <c r="Q5150">
        <v>0.68825974583607696</v>
      </c>
      <c r="R5150">
        <v>0.89107468583993799</v>
      </c>
      <c r="S5150" t="s">
        <v>11435</v>
      </c>
      <c r="T5150" t="s">
        <v>12568</v>
      </c>
      <c r="U5150" t="s">
        <v>12568</v>
      </c>
      <c r="V5150" t="s">
        <v>12568</v>
      </c>
      <c r="W5150" t="s">
        <v>17667</v>
      </c>
      <c r="X5150">
        <v>4</v>
      </c>
      <c r="Y5150" t="s">
        <v>23768</v>
      </c>
      <c r="Z5150" t="s">
        <v>30020</v>
      </c>
      <c r="AA5150">
        <v>0.83000272725102808</v>
      </c>
      <c r="AB5150" t="str">
        <f>HYPERLINK("Melting_Curves/meltCurve_Q9BZ95_4_WHSC1L1.pdf", "Melting_Curves/meltCurve_Q9BZ95_4_WHSC1L1.pdf")</f>
        <v>Melting_Curves/meltCurve_Q9BZ95_4_WHSC1L1.pdf</v>
      </c>
    </row>
    <row r="5151" spans="1:28" x14ac:dyDescent="0.25">
      <c r="A5151" t="s">
        <v>5155</v>
      </c>
      <c r="B5151">
        <v>0.99352677808782597</v>
      </c>
      <c r="C5151">
        <v>0.92596318660864396</v>
      </c>
      <c r="D5151">
        <v>0.91441970689678698</v>
      </c>
      <c r="E5151">
        <v>0.88007947857582003</v>
      </c>
      <c r="F5151">
        <v>0.76041088774972299</v>
      </c>
      <c r="G5151">
        <v>0.58903939911274805</v>
      </c>
      <c r="H5151">
        <v>0.50696422371855898</v>
      </c>
      <c r="I5151">
        <v>0.54437921249591503</v>
      </c>
      <c r="J5151">
        <v>0.52231433928918602</v>
      </c>
      <c r="K5151">
        <v>0.48863671875551201</v>
      </c>
      <c r="L5151">
        <v>776.31679170058305</v>
      </c>
      <c r="M5151">
        <v>14.6438436301185</v>
      </c>
      <c r="N5151">
        <v>67.600043738989299</v>
      </c>
      <c r="O5151">
        <v>52.054009102648799</v>
      </c>
      <c r="P5151">
        <v>-3.6661178118405802E-2</v>
      </c>
      <c r="Q5151">
        <v>0.47878451935421301</v>
      </c>
      <c r="R5151">
        <v>0.97425666701563396</v>
      </c>
      <c r="S5151" t="s">
        <v>11436</v>
      </c>
      <c r="T5151" t="s">
        <v>12568</v>
      </c>
      <c r="U5151" t="s">
        <v>12568</v>
      </c>
      <c r="V5151" t="s">
        <v>12568</v>
      </c>
      <c r="W5151" t="s">
        <v>17668</v>
      </c>
      <c r="X5151">
        <v>2</v>
      </c>
      <c r="Y5151" t="s">
        <v>23769</v>
      </c>
      <c r="Z5151" t="s">
        <v>30021</v>
      </c>
      <c r="AA5151">
        <v>0.71645994974299632</v>
      </c>
      <c r="AB5151" t="str">
        <f>HYPERLINK("Melting_Curves/meltCurve_Q9BZA5_TXLNG2P.pdf", "Melting_Curves/meltCurve_Q9BZA5_TXLNG2P.pdf")</f>
        <v>Melting_Curves/meltCurve_Q9BZA5_TXLNG2P.pdf</v>
      </c>
    </row>
    <row r="5152" spans="1:28" x14ac:dyDescent="0.25">
      <c r="A5152" t="s">
        <v>5156</v>
      </c>
      <c r="B5152">
        <v>0.99352677808782597</v>
      </c>
      <c r="C5152">
        <v>0.86526977871827004</v>
      </c>
      <c r="D5152">
        <v>0.55954249105387599</v>
      </c>
      <c r="E5152">
        <v>0.268261010953042</v>
      </c>
      <c r="F5152">
        <v>0.22482535745769999</v>
      </c>
      <c r="G5152">
        <v>0.16105103783010399</v>
      </c>
      <c r="H5152">
        <v>0.12921309740784301</v>
      </c>
      <c r="I5152">
        <v>8.7887301080083594E-2</v>
      </c>
      <c r="J5152">
        <v>6.0195474298501798E-2</v>
      </c>
      <c r="K5152">
        <v>4.1417485485983598E-2</v>
      </c>
      <c r="L5152">
        <v>848.91137274964103</v>
      </c>
      <c r="M5152">
        <v>18.249624495423099</v>
      </c>
      <c r="N5152">
        <v>47.0204180269969</v>
      </c>
      <c r="O5152">
        <v>45.968903545407599</v>
      </c>
      <c r="P5152">
        <v>-9.0440871336399997E-2</v>
      </c>
      <c r="Q5152">
        <v>8.8798039516344601E-2</v>
      </c>
      <c r="R5152">
        <v>0.98899236955620595</v>
      </c>
      <c r="S5152" t="s">
        <v>11437</v>
      </c>
      <c r="T5152" t="s">
        <v>12568</v>
      </c>
      <c r="U5152" t="s">
        <v>12568</v>
      </c>
      <c r="V5152" t="s">
        <v>12568</v>
      </c>
      <c r="W5152" t="s">
        <v>17669</v>
      </c>
      <c r="X5152">
        <v>2</v>
      </c>
      <c r="Y5152" t="s">
        <v>23770</v>
      </c>
      <c r="Z5152" t="s">
        <v>30022</v>
      </c>
      <c r="AA5152">
        <v>0.30347653630528593</v>
      </c>
      <c r="AB5152" t="str">
        <f>HYPERLINK("Melting_Curves/meltCurve_Q9BZD4_NUF2.pdf", "Melting_Curves/meltCurve_Q9BZD4_NUF2.pdf")</f>
        <v>Melting_Curves/meltCurve_Q9BZD4_NUF2.pdf</v>
      </c>
    </row>
    <row r="5153" spans="1:28" x14ac:dyDescent="0.25">
      <c r="A5153" t="s">
        <v>5157</v>
      </c>
      <c r="B5153">
        <v>0.99352677808782597</v>
      </c>
      <c r="C5153">
        <v>0.78573210023399498</v>
      </c>
      <c r="D5153">
        <v>0.99777940361729001</v>
      </c>
      <c r="E5153">
        <v>0.47337937276661102</v>
      </c>
      <c r="F5153">
        <v>0.370010472758729</v>
      </c>
      <c r="G5153">
        <v>0.29737541098235099</v>
      </c>
      <c r="H5153">
        <v>0.16861273219539599</v>
      </c>
      <c r="I5153">
        <v>0.193914406314671</v>
      </c>
      <c r="J5153">
        <v>0.15921927049679399</v>
      </c>
      <c r="K5153">
        <v>0.133584159747419</v>
      </c>
      <c r="L5153">
        <v>936.38570291800704</v>
      </c>
      <c r="M5153">
        <v>18.8502988185815</v>
      </c>
      <c r="N5153">
        <v>50.738595155976398</v>
      </c>
      <c r="O5153">
        <v>49.125924605589198</v>
      </c>
      <c r="P5153">
        <v>-8.0273745229890697E-2</v>
      </c>
      <c r="Q5153">
        <v>0.163226028693781</v>
      </c>
      <c r="R5153">
        <v>0.93836093721930003</v>
      </c>
      <c r="S5153" t="s">
        <v>11438</v>
      </c>
      <c r="T5153" t="s">
        <v>12568</v>
      </c>
      <c r="U5153" t="s">
        <v>12568</v>
      </c>
      <c r="V5153" t="s">
        <v>12568</v>
      </c>
      <c r="W5153" t="s">
        <v>17670</v>
      </c>
      <c r="X5153">
        <v>3</v>
      </c>
      <c r="Y5153" t="s">
        <v>23771</v>
      </c>
      <c r="Z5153" t="s">
        <v>30023</v>
      </c>
      <c r="AA5153">
        <v>0.4461865050285212</v>
      </c>
      <c r="AB5153" t="str">
        <f>HYPERLINK("Melting_Curves/meltCurve_Q9BZE4_GTPBP4.pdf", "Melting_Curves/meltCurve_Q9BZE4_GTPBP4.pdf")</f>
        <v>Melting_Curves/meltCurve_Q9BZE4_GTPBP4.pdf</v>
      </c>
    </row>
    <row r="5154" spans="1:28" x14ac:dyDescent="0.25">
      <c r="A5154" t="s">
        <v>5158</v>
      </c>
      <c r="B5154">
        <v>0.99352677808782597</v>
      </c>
      <c r="C5154">
        <v>0.97957172237004797</v>
      </c>
      <c r="D5154">
        <v>0.89897276603575205</v>
      </c>
      <c r="E5154">
        <v>0.78266533806438499</v>
      </c>
      <c r="F5154">
        <v>0.69465254015456701</v>
      </c>
      <c r="G5154">
        <v>0.295308084358961</v>
      </c>
      <c r="H5154">
        <v>0.13730902226168601</v>
      </c>
      <c r="I5154">
        <v>0.11623945667131701</v>
      </c>
      <c r="J5154">
        <v>9.6524378861360297E-2</v>
      </c>
      <c r="K5154">
        <v>8.6485362341923694E-2</v>
      </c>
      <c r="L5154">
        <v>954.51883242465203</v>
      </c>
      <c r="M5154">
        <v>17.620936894168999</v>
      </c>
      <c r="N5154">
        <v>54.515095661017199</v>
      </c>
      <c r="O5154">
        <v>53.486359573460902</v>
      </c>
      <c r="P5154">
        <v>-7.8014507406658898E-2</v>
      </c>
      <c r="Q5154">
        <v>5.2833910679389598E-2</v>
      </c>
      <c r="R5154">
        <v>0.98987634435473004</v>
      </c>
      <c r="S5154" t="s">
        <v>11439</v>
      </c>
      <c r="T5154" t="s">
        <v>12568</v>
      </c>
      <c r="U5154" t="s">
        <v>12568</v>
      </c>
      <c r="V5154" t="s">
        <v>12568</v>
      </c>
      <c r="W5154" t="s">
        <v>17671</v>
      </c>
      <c r="X5154">
        <v>10</v>
      </c>
      <c r="Y5154" t="s">
        <v>23772</v>
      </c>
      <c r="Z5154" t="s">
        <v>30024</v>
      </c>
      <c r="AA5154">
        <v>0.51575240408134082</v>
      </c>
      <c r="AB5154" t="str">
        <f>HYPERLINK("Melting_Curves/meltCurve_Q9BZE9_ASPSCR1.pdf", "Melting_Curves/meltCurve_Q9BZE9_ASPSCR1.pdf")</f>
        <v>Melting_Curves/meltCurve_Q9BZE9_ASPSCR1.pdf</v>
      </c>
    </row>
    <row r="5155" spans="1:28" x14ac:dyDescent="0.25">
      <c r="A5155" t="s">
        <v>5159</v>
      </c>
      <c r="B5155">
        <v>0.99352677808782597</v>
      </c>
      <c r="C5155">
        <v>0.996158777518099</v>
      </c>
      <c r="D5155">
        <v>0.92497306054572703</v>
      </c>
      <c r="E5155">
        <v>0.43464551373618798</v>
      </c>
      <c r="F5155">
        <v>0.33198782702792401</v>
      </c>
      <c r="G5155">
        <v>0.19146488601755801</v>
      </c>
      <c r="H5155">
        <v>0.117701756963106</v>
      </c>
      <c r="I5155">
        <v>0.111237356983363</v>
      </c>
      <c r="J5155">
        <v>9.8899873603925006E-2</v>
      </c>
      <c r="K5155">
        <v>7.4752571103164106E-2</v>
      </c>
      <c r="L5155">
        <v>1135.70185274713</v>
      </c>
      <c r="M5155">
        <v>22.925887351736201</v>
      </c>
      <c r="N5155">
        <v>50.077447853697102</v>
      </c>
      <c r="O5155">
        <v>49.165676282908301</v>
      </c>
      <c r="P5155">
        <v>-0.103821020534135</v>
      </c>
      <c r="Q5155">
        <v>0.109420048580538</v>
      </c>
      <c r="R5155">
        <v>0.98881873038779</v>
      </c>
      <c r="S5155" t="s">
        <v>11440</v>
      </c>
      <c r="T5155" t="s">
        <v>12568</v>
      </c>
      <c r="U5155" t="s">
        <v>12568</v>
      </c>
      <c r="V5155" t="s">
        <v>12568</v>
      </c>
      <c r="W5155" t="s">
        <v>17672</v>
      </c>
      <c r="X5155">
        <v>9</v>
      </c>
      <c r="Y5155" t="s">
        <v>20351</v>
      </c>
      <c r="Z5155" t="s">
        <v>30025</v>
      </c>
      <c r="AA5155">
        <v>0.4020106538303454</v>
      </c>
      <c r="AB5155" t="str">
        <f>HYPERLINK("Melting_Curves/meltCurve_Q9BZG1_RAB34.pdf", "Melting_Curves/meltCurve_Q9BZG1_RAB34.pdf")</f>
        <v>Melting_Curves/meltCurve_Q9BZG1_RAB34.pdf</v>
      </c>
    </row>
    <row r="5156" spans="1:28" x14ac:dyDescent="0.25">
      <c r="A5156" t="s">
        <v>5160</v>
      </c>
      <c r="B5156">
        <v>0.99352677808782597</v>
      </c>
      <c r="C5156">
        <v>1.1062563376243499</v>
      </c>
      <c r="D5156">
        <v>1.07347039488056</v>
      </c>
      <c r="E5156">
        <v>2.2416656054367299</v>
      </c>
      <c r="F5156">
        <v>1.1286231464093699</v>
      </c>
      <c r="G5156">
        <v>0.59747635933979004</v>
      </c>
      <c r="H5156">
        <v>0.28702300990810298</v>
      </c>
      <c r="I5156">
        <v>0.19643687839356599</v>
      </c>
      <c r="J5156">
        <v>0.15665252061202201</v>
      </c>
      <c r="K5156">
        <v>0.11429606803782399</v>
      </c>
      <c r="L5156">
        <v>3665.5547899911899</v>
      </c>
      <c r="M5156">
        <v>64.231781780229895</v>
      </c>
      <c r="N5156">
        <v>57.477988512408402</v>
      </c>
      <c r="O5156">
        <v>57.012380270782302</v>
      </c>
      <c r="P5156">
        <v>-0.22985693634967</v>
      </c>
      <c r="Q5156">
        <v>0.18391262153482499</v>
      </c>
      <c r="R5156">
        <v>0.59664683753780001</v>
      </c>
      <c r="S5156" t="s">
        <v>11441</v>
      </c>
      <c r="T5156" t="s">
        <v>12568</v>
      </c>
      <c r="U5156" t="s">
        <v>12568</v>
      </c>
      <c r="V5156" t="s">
        <v>12568</v>
      </c>
      <c r="W5156" t="s">
        <v>17673</v>
      </c>
      <c r="X5156">
        <v>11</v>
      </c>
      <c r="Y5156" t="s">
        <v>23773</v>
      </c>
      <c r="Z5156" t="s">
        <v>30026</v>
      </c>
      <c r="AA5156">
        <v>0.64944335090009686</v>
      </c>
      <c r="AB5156" t="str">
        <f>HYPERLINK("Melting_Curves/meltCurve_Q9BZH6_WDR11.pdf", "Melting_Curves/meltCurve_Q9BZH6_WDR11.pdf")</f>
        <v>Melting_Curves/meltCurve_Q9BZH6_WDR11.pdf</v>
      </c>
    </row>
    <row r="5157" spans="1:28" x14ac:dyDescent="0.25">
      <c r="A5157" t="s">
        <v>5161</v>
      </c>
      <c r="B5157">
        <v>0.99352677808782597</v>
      </c>
      <c r="C5157">
        <v>0.97004547251665796</v>
      </c>
      <c r="D5157">
        <v>0.92328105912667402</v>
      </c>
      <c r="E5157">
        <v>0.76891888082601401</v>
      </c>
      <c r="F5157">
        <v>0.79205742469955198</v>
      </c>
      <c r="G5157">
        <v>0.65656580884708304</v>
      </c>
      <c r="H5157">
        <v>0.52731078705383105</v>
      </c>
      <c r="I5157">
        <v>0.52962755759956404</v>
      </c>
      <c r="J5157">
        <v>0.52945908814986997</v>
      </c>
      <c r="K5157">
        <v>0.48670290534664701</v>
      </c>
      <c r="L5157">
        <v>552.41648148411002</v>
      </c>
      <c r="M5157">
        <v>10.274149070954399</v>
      </c>
      <c r="N5157">
        <v>68.037444289045496</v>
      </c>
      <c r="O5157">
        <v>51.850144515463498</v>
      </c>
      <c r="P5157">
        <v>-2.7652200354994098E-2</v>
      </c>
      <c r="Q5157">
        <v>0.44203960279767002</v>
      </c>
      <c r="R5157">
        <v>0.97664646904713404</v>
      </c>
      <c r="S5157" t="s">
        <v>11442</v>
      </c>
      <c r="T5157" t="s">
        <v>12568</v>
      </c>
      <c r="U5157" t="s">
        <v>12568</v>
      </c>
      <c r="V5157" t="s">
        <v>12568</v>
      </c>
      <c r="W5157" t="s">
        <v>17674</v>
      </c>
      <c r="X5157">
        <v>6</v>
      </c>
      <c r="Y5157" t="s">
        <v>23774</v>
      </c>
      <c r="Z5157" t="s">
        <v>30027</v>
      </c>
      <c r="AA5157">
        <v>0.71513953910210026</v>
      </c>
      <c r="AB5157" t="str">
        <f>HYPERLINK("Melting_Curves/meltCurve_Q9BZI7_2_UPF3B.pdf", "Melting_Curves/meltCurve_Q9BZI7_2_UPF3B.pdf")</f>
        <v>Melting_Curves/meltCurve_Q9BZI7_2_UPF3B.pdf</v>
      </c>
    </row>
    <row r="5158" spans="1:28" x14ac:dyDescent="0.25">
      <c r="A5158" t="s">
        <v>5162</v>
      </c>
      <c r="B5158">
        <v>0.99352677808782597</v>
      </c>
      <c r="C5158">
        <v>0.96481330672254895</v>
      </c>
      <c r="D5158">
        <v>0.83435840643883996</v>
      </c>
      <c r="E5158">
        <v>0.23594265715180901</v>
      </c>
      <c r="F5158">
        <v>0.18020789499235401</v>
      </c>
      <c r="G5158">
        <v>9.8257702489491602E-2</v>
      </c>
      <c r="H5158">
        <v>7.0094894592718199E-2</v>
      </c>
      <c r="I5158">
        <v>7.6440303909832405E-2</v>
      </c>
      <c r="J5158">
        <v>5.6341028050268499E-2</v>
      </c>
      <c r="K5158">
        <v>4.2789400972230003E-2</v>
      </c>
      <c r="L5158">
        <v>1591.9011981556901</v>
      </c>
      <c r="M5158">
        <v>33.195386439819799</v>
      </c>
      <c r="N5158">
        <v>48.195596117894297</v>
      </c>
      <c r="O5158">
        <v>47.782469772951302</v>
      </c>
      <c r="P5158">
        <v>-0.160444270365279</v>
      </c>
      <c r="Q5158">
        <v>7.6210287889139E-2</v>
      </c>
      <c r="R5158">
        <v>0.99475338232813304</v>
      </c>
      <c r="S5158" t="s">
        <v>11443</v>
      </c>
      <c r="T5158" t="s">
        <v>12568</v>
      </c>
      <c r="U5158" t="s">
        <v>12568</v>
      </c>
      <c r="V5158" t="s">
        <v>12568</v>
      </c>
      <c r="W5158" t="s">
        <v>17675</v>
      </c>
      <c r="X5158">
        <v>12</v>
      </c>
      <c r="Y5158" t="s">
        <v>23775</v>
      </c>
      <c r="Z5158" t="s">
        <v>30028</v>
      </c>
      <c r="AA5158">
        <v>0.32568644857284162</v>
      </c>
      <c r="AB5158" t="str">
        <f>HYPERLINK("Melting_Curves/meltCurve_Q9BZJ0_2_CRNKL1.pdf", "Melting_Curves/meltCurve_Q9BZJ0_2_CRNKL1.pdf")</f>
        <v>Melting_Curves/meltCurve_Q9BZJ0_2_CRNKL1.pdf</v>
      </c>
    </row>
    <row r="5159" spans="1:28" x14ac:dyDescent="0.25">
      <c r="A5159" t="s">
        <v>5163</v>
      </c>
      <c r="B5159">
        <v>0.99352677808782597</v>
      </c>
      <c r="C5159">
        <v>0.99455352203314495</v>
      </c>
      <c r="D5159">
        <v>0.94944327358163705</v>
      </c>
      <c r="E5159">
        <v>0.94126885162051399</v>
      </c>
      <c r="F5159">
        <v>0.81834389170423405</v>
      </c>
      <c r="G5159">
        <v>0.62726531333982505</v>
      </c>
      <c r="H5159">
        <v>0.38892528628481399</v>
      </c>
      <c r="I5159">
        <v>0.21351787037029499</v>
      </c>
      <c r="J5159">
        <v>0.14617247238093301</v>
      </c>
      <c r="K5159">
        <v>0.110897827269237</v>
      </c>
      <c r="L5159">
        <v>859.29061429871604</v>
      </c>
      <c r="M5159">
        <v>14.6205095234228</v>
      </c>
      <c r="N5159">
        <v>58.8512064248931</v>
      </c>
      <c r="O5159">
        <v>57.706276961552</v>
      </c>
      <c r="P5159">
        <v>-6.2737523907009804E-2</v>
      </c>
      <c r="Q5159">
        <v>9.6256122064578599E-3</v>
      </c>
      <c r="R5159">
        <v>0.99776056571454397</v>
      </c>
      <c r="S5159" t="s">
        <v>11444</v>
      </c>
      <c r="T5159" t="s">
        <v>12568</v>
      </c>
      <c r="U5159" t="s">
        <v>12568</v>
      </c>
      <c r="V5159" t="s">
        <v>12568</v>
      </c>
      <c r="W5159" t="s">
        <v>17676</v>
      </c>
      <c r="X5159">
        <v>11</v>
      </c>
      <c r="Y5159" t="s">
        <v>23776</v>
      </c>
      <c r="Z5159" t="s">
        <v>30029</v>
      </c>
      <c r="AA5159">
        <v>0.64036866629205413</v>
      </c>
      <c r="AB5159" t="str">
        <f>HYPERLINK("Melting_Curves/meltCurve_Q9BZK7_TBL1XR1.pdf", "Melting_Curves/meltCurve_Q9BZK7_TBL1XR1.pdf")</f>
        <v>Melting_Curves/meltCurve_Q9BZK7_TBL1XR1.pdf</v>
      </c>
    </row>
    <row r="5160" spans="1:28" x14ac:dyDescent="0.25">
      <c r="A5160" t="s">
        <v>5164</v>
      </c>
      <c r="B5160">
        <v>0.99352677808782597</v>
      </c>
      <c r="C5160">
        <v>0.57682214005175303</v>
      </c>
      <c r="D5160">
        <v>1.08840830456351</v>
      </c>
      <c r="E5160">
        <v>0.80378273277450496</v>
      </c>
      <c r="F5160">
        <v>0.77653524742834101</v>
      </c>
      <c r="G5160">
        <v>0.49397919605656798</v>
      </c>
      <c r="H5160">
        <v>0.242847431699173</v>
      </c>
      <c r="I5160">
        <v>0.17954592929836999</v>
      </c>
      <c r="J5160">
        <v>0.121529934330793</v>
      </c>
      <c r="K5160">
        <v>9.2828809551414704E-2</v>
      </c>
      <c r="L5160">
        <v>739.01890578443999</v>
      </c>
      <c r="M5160">
        <v>13.025794841561</v>
      </c>
      <c r="N5160">
        <v>56.735029794796198</v>
      </c>
      <c r="O5160">
        <v>55.447782219419601</v>
      </c>
      <c r="P5160">
        <v>-5.8740295891516602E-2</v>
      </c>
      <c r="Q5160">
        <v>0</v>
      </c>
      <c r="R5160">
        <v>0.84270056874958299</v>
      </c>
      <c r="S5160" t="s">
        <v>11445</v>
      </c>
      <c r="T5160" t="s">
        <v>12568</v>
      </c>
      <c r="U5160" t="s">
        <v>12568</v>
      </c>
      <c r="V5160" t="s">
        <v>12568</v>
      </c>
      <c r="W5160" t="s">
        <v>17677</v>
      </c>
      <c r="X5160">
        <v>7</v>
      </c>
      <c r="Y5160" t="s">
        <v>23777</v>
      </c>
      <c r="Z5160" t="s">
        <v>30030</v>
      </c>
      <c r="AA5160">
        <v>0.57536421133346216</v>
      </c>
      <c r="AB5160" t="str">
        <f>HYPERLINK("Melting_Curves/meltCurve_Q9BZL1_UBL5.pdf", "Melting_Curves/meltCurve_Q9BZL1_UBL5.pdf")</f>
        <v>Melting_Curves/meltCurve_Q9BZL1_UBL5.pdf</v>
      </c>
    </row>
    <row r="5161" spans="1:28" x14ac:dyDescent="0.25">
      <c r="A5161" t="s">
        <v>5165</v>
      </c>
      <c r="B5161">
        <v>0.99352677808782597</v>
      </c>
      <c r="C5161">
        <v>1.18732210147906</v>
      </c>
      <c r="D5161">
        <v>1.0068332694595801</v>
      </c>
      <c r="E5161">
        <v>1.08784404866031</v>
      </c>
      <c r="F5161">
        <v>1.2084647541491</v>
      </c>
      <c r="G5161">
        <v>1.0197216684078201</v>
      </c>
      <c r="H5161">
        <v>1.2488845316313999</v>
      </c>
      <c r="I5161">
        <v>1.14205167945437</v>
      </c>
      <c r="J5161">
        <v>1.0563546821807901</v>
      </c>
      <c r="K5161">
        <v>0.96514003670437998</v>
      </c>
      <c r="L5161">
        <v>10298.152743902299</v>
      </c>
      <c r="M5161">
        <v>250</v>
      </c>
      <c r="O5161">
        <v>41.189961076591402</v>
      </c>
      <c r="P5161">
        <v>0.155546665229261</v>
      </c>
      <c r="Q5161">
        <v>1.1025114119002799</v>
      </c>
      <c r="R5161">
        <v>0.119193662352027</v>
      </c>
      <c r="S5161" t="s">
        <v>11446</v>
      </c>
      <c r="T5161" t="s">
        <v>12568</v>
      </c>
      <c r="U5161" t="s">
        <v>12568</v>
      </c>
      <c r="V5161" t="s">
        <v>12568</v>
      </c>
      <c r="W5161" t="s">
        <v>17678</v>
      </c>
      <c r="X5161">
        <v>34</v>
      </c>
      <c r="Y5161" t="s">
        <v>23778</v>
      </c>
      <c r="Z5161" t="s">
        <v>30031</v>
      </c>
      <c r="AA5161">
        <v>1.098428488213341</v>
      </c>
      <c r="AB5161" t="str">
        <f>HYPERLINK("Melting_Curves/meltCurve_Q9BZL4_PPP1R12C.pdf", "Melting_Curves/meltCurve_Q9BZL4_PPP1R12C.pdf")</f>
        <v>Melting_Curves/meltCurve_Q9BZL4_PPP1R12C.pdf</v>
      </c>
    </row>
    <row r="5162" spans="1:28" x14ac:dyDescent="0.25">
      <c r="A5162" t="s">
        <v>5166</v>
      </c>
      <c r="B5162">
        <v>0.99352677808782597</v>
      </c>
      <c r="C5162">
        <v>0.95481624133071696</v>
      </c>
      <c r="D5162">
        <v>0.92970122523286403</v>
      </c>
      <c r="E5162">
        <v>0.88416755900296895</v>
      </c>
      <c r="F5162">
        <v>0.85912475660721299</v>
      </c>
      <c r="G5162">
        <v>0.73225856627256003</v>
      </c>
      <c r="H5162">
        <v>0.66365599815282095</v>
      </c>
      <c r="I5162">
        <v>0.69210497586832698</v>
      </c>
      <c r="J5162">
        <v>0.76460384806510295</v>
      </c>
      <c r="K5162">
        <v>0.65665323408474097</v>
      </c>
      <c r="L5162">
        <v>641.274698919652</v>
      </c>
      <c r="M5162">
        <v>12.2900173632703</v>
      </c>
      <c r="O5162">
        <v>50.854745110757896</v>
      </c>
      <c r="P5162">
        <v>-2.0061663537180099E-2</v>
      </c>
      <c r="Q5162">
        <v>0.66802109149747302</v>
      </c>
      <c r="R5162">
        <v>0.91462722845887101</v>
      </c>
      <c r="S5162" t="s">
        <v>11447</v>
      </c>
      <c r="T5162" t="s">
        <v>12568</v>
      </c>
      <c r="U5162" t="s">
        <v>12568</v>
      </c>
      <c r="V5162" t="s">
        <v>12568</v>
      </c>
      <c r="W5162" t="s">
        <v>17679</v>
      </c>
      <c r="X5162">
        <v>33</v>
      </c>
      <c r="Y5162" t="s">
        <v>23778</v>
      </c>
      <c r="Z5162" t="s">
        <v>30032</v>
      </c>
      <c r="AA5162">
        <v>0.81252562513026594</v>
      </c>
      <c r="AB5162" t="str">
        <f>HYPERLINK("Melting_Curves/meltCurve_Q9BZL4_3_PPP1R12C.pdf", "Melting_Curves/meltCurve_Q9BZL4_3_PPP1R12C.pdf")</f>
        <v>Melting_Curves/meltCurve_Q9BZL4_3_PPP1R12C.pdf</v>
      </c>
    </row>
    <row r="5163" spans="1:28" x14ac:dyDescent="0.25">
      <c r="A5163" t="s">
        <v>5167</v>
      </c>
      <c r="B5163">
        <v>0.99352677808782597</v>
      </c>
      <c r="C5163">
        <v>0.93171741374420702</v>
      </c>
      <c r="D5163">
        <v>0.87054666581964002</v>
      </c>
      <c r="E5163">
        <v>0.59225363470273196</v>
      </c>
      <c r="F5163">
        <v>0.51676461515455996</v>
      </c>
      <c r="G5163">
        <v>0.35584151560236199</v>
      </c>
      <c r="H5163">
        <v>0.25853435018444099</v>
      </c>
      <c r="I5163">
        <v>0.30926842600044702</v>
      </c>
      <c r="J5163">
        <v>0.31308554711453701</v>
      </c>
      <c r="K5163">
        <v>0.25362830816580101</v>
      </c>
      <c r="L5163">
        <v>779.465799188191</v>
      </c>
      <c r="M5163">
        <v>15.607345352187499</v>
      </c>
      <c r="N5163">
        <v>52.485445426199398</v>
      </c>
      <c r="O5163">
        <v>49.143895304479798</v>
      </c>
      <c r="P5163">
        <v>-5.8338134232299201E-2</v>
      </c>
      <c r="Q5163">
        <v>0.26529074217576099</v>
      </c>
      <c r="R5163">
        <v>0.98955532388214396</v>
      </c>
      <c r="S5163" t="s">
        <v>11448</v>
      </c>
      <c r="T5163" t="s">
        <v>12568</v>
      </c>
      <c r="U5163" t="s">
        <v>12568</v>
      </c>
      <c r="V5163" t="s">
        <v>12568</v>
      </c>
      <c r="W5163" t="s">
        <v>17680</v>
      </c>
      <c r="X5163">
        <v>34</v>
      </c>
      <c r="Y5163" t="s">
        <v>23778</v>
      </c>
      <c r="Z5163" t="s">
        <v>30033</v>
      </c>
      <c r="AA5163">
        <v>0.52512590826442662</v>
      </c>
      <c r="AB5163" t="str">
        <f>HYPERLINK("Melting_Curves/meltCurve_Q9BZL4_4_PPP1R12C.pdf", "Melting_Curves/meltCurve_Q9BZL4_4_PPP1R12C.pdf")</f>
        <v>Melting_Curves/meltCurve_Q9BZL4_4_PPP1R12C.pdf</v>
      </c>
    </row>
    <row r="5164" spans="1:28" x14ac:dyDescent="0.25">
      <c r="A5164" t="s">
        <v>5168</v>
      </c>
      <c r="B5164">
        <v>0.99352677808782597</v>
      </c>
      <c r="C5164">
        <v>0.89074474742906495</v>
      </c>
      <c r="D5164">
        <v>0.68109073029893996</v>
      </c>
      <c r="E5164">
        <v>0.35273323680104102</v>
      </c>
      <c r="F5164">
        <v>0.29910910134099999</v>
      </c>
      <c r="G5164">
        <v>0.18996725002362</v>
      </c>
      <c r="H5164">
        <v>0.14114859320897999</v>
      </c>
      <c r="I5164">
        <v>0.14139000321249701</v>
      </c>
      <c r="J5164">
        <v>7.1346100461879003E-2</v>
      </c>
      <c r="K5164">
        <v>7.1218610492313802E-2</v>
      </c>
      <c r="L5164">
        <v>756.67477579788795</v>
      </c>
      <c r="M5164">
        <v>15.8232040235265</v>
      </c>
      <c r="N5164">
        <v>48.493332658578304</v>
      </c>
      <c r="O5164">
        <v>47.076309058293198</v>
      </c>
      <c r="P5164">
        <v>-7.5754820462337905E-2</v>
      </c>
      <c r="Q5164">
        <v>9.8547480339545301E-2</v>
      </c>
      <c r="R5164">
        <v>0.99124797724204505</v>
      </c>
      <c r="S5164" t="s">
        <v>11449</v>
      </c>
      <c r="T5164" t="s">
        <v>12568</v>
      </c>
      <c r="U5164" t="s">
        <v>12568</v>
      </c>
      <c r="V5164" t="s">
        <v>12568</v>
      </c>
      <c r="W5164" t="s">
        <v>17681</v>
      </c>
      <c r="X5164">
        <v>6</v>
      </c>
      <c r="Y5164" t="s">
        <v>23779</v>
      </c>
      <c r="Z5164" t="s">
        <v>30034</v>
      </c>
      <c r="AA5164">
        <v>0.35455451921800851</v>
      </c>
      <c r="AB5164" t="str">
        <f>HYPERLINK("Melting_Curves/meltCurve_Q9BZL6_PRKD2.pdf", "Melting_Curves/meltCurve_Q9BZL6_PRKD2.pdf")</f>
        <v>Melting_Curves/meltCurve_Q9BZL6_PRKD2.pdf</v>
      </c>
    </row>
    <row r="5165" spans="1:28" x14ac:dyDescent="0.25">
      <c r="A5165" t="s">
        <v>5169</v>
      </c>
      <c r="B5165">
        <v>0.99352677808782597</v>
      </c>
      <c r="C5165">
        <v>0.89414251936552802</v>
      </c>
      <c r="D5165">
        <v>0.99073112638843297</v>
      </c>
      <c r="E5165">
        <v>0.48754766494441099</v>
      </c>
      <c r="F5165">
        <v>0.542772275766218</v>
      </c>
      <c r="G5165">
        <v>0.31383911495775502</v>
      </c>
      <c r="H5165">
        <v>1.27525412983272</v>
      </c>
      <c r="I5165">
        <v>0.332649550522086</v>
      </c>
      <c r="J5165">
        <v>0.38556018867186098</v>
      </c>
      <c r="K5165">
        <v>0.179160720487584</v>
      </c>
      <c r="L5165">
        <v>276.18589971027598</v>
      </c>
      <c r="M5165">
        <v>4.4877670566981402</v>
      </c>
      <c r="N5165">
        <v>61.541948374343903</v>
      </c>
      <c r="O5165">
        <v>52.2650774247006</v>
      </c>
      <c r="P5165">
        <v>-2.1655832360348199E-2</v>
      </c>
      <c r="Q5165">
        <v>0</v>
      </c>
      <c r="R5165">
        <v>0.325342673190882</v>
      </c>
      <c r="S5165" t="s">
        <v>11450</v>
      </c>
      <c r="T5165" t="s">
        <v>12568</v>
      </c>
      <c r="U5165" t="s">
        <v>12568</v>
      </c>
      <c r="V5165" t="s">
        <v>12568</v>
      </c>
      <c r="W5165" t="s">
        <v>17682</v>
      </c>
      <c r="X5165">
        <v>3</v>
      </c>
      <c r="Y5165" t="s">
        <v>23780</v>
      </c>
      <c r="Z5165" t="s">
        <v>30035</v>
      </c>
      <c r="AA5165">
        <v>0.63660177933233197</v>
      </c>
      <c r="AB5165" t="str">
        <f>HYPERLINK("Melting_Curves/meltCurve_Q9BZM5_ULBP2.pdf", "Melting_Curves/meltCurve_Q9BZM5_ULBP2.pdf")</f>
        <v>Melting_Curves/meltCurve_Q9BZM5_ULBP2.pdf</v>
      </c>
    </row>
    <row r="5166" spans="1:28" x14ac:dyDescent="0.25">
      <c r="A5166" t="s">
        <v>5170</v>
      </c>
      <c r="B5166">
        <v>0.99352677808782597</v>
      </c>
      <c r="C5166">
        <v>0.73707460756523602</v>
      </c>
      <c r="D5166">
        <v>0.57063938669304504</v>
      </c>
      <c r="E5166">
        <v>0.27980513032041998</v>
      </c>
      <c r="F5166">
        <v>0.22460385758225701</v>
      </c>
      <c r="G5166">
        <v>0.13408539953526999</v>
      </c>
      <c r="H5166">
        <v>8.3339784831523697E-2</v>
      </c>
      <c r="I5166">
        <v>7.8251134090524296E-2</v>
      </c>
      <c r="J5166">
        <v>5.8833996256698697E-2</v>
      </c>
      <c r="K5166">
        <v>4.9900250619603598E-2</v>
      </c>
      <c r="L5166">
        <v>682.34104647774495</v>
      </c>
      <c r="M5166">
        <v>14.695988235660799</v>
      </c>
      <c r="N5166">
        <v>46.8334800476662</v>
      </c>
      <c r="O5166">
        <v>45.596130856612497</v>
      </c>
      <c r="P5166">
        <v>-7.5798848765016899E-2</v>
      </c>
      <c r="Q5166">
        <v>5.9401548830399602E-2</v>
      </c>
      <c r="R5166">
        <v>0.98969472632027999</v>
      </c>
      <c r="S5166" t="s">
        <v>11451</v>
      </c>
      <c r="T5166" t="s">
        <v>12568</v>
      </c>
      <c r="U5166" t="s">
        <v>12568</v>
      </c>
      <c r="V5166" t="s">
        <v>12568</v>
      </c>
      <c r="W5166" t="s">
        <v>17683</v>
      </c>
      <c r="X5166">
        <v>9</v>
      </c>
      <c r="Y5166" t="s">
        <v>23781</v>
      </c>
      <c r="Z5166" t="s">
        <v>30036</v>
      </c>
      <c r="AA5166">
        <v>0.28873371804270842</v>
      </c>
      <c r="AB5166" t="str">
        <f>HYPERLINK("Melting_Curves/meltCurve_Q9BZX2_UCK2.pdf", "Melting_Curves/meltCurve_Q9BZX2_UCK2.pdf")</f>
        <v>Melting_Curves/meltCurve_Q9BZX2_UCK2.pdf</v>
      </c>
    </row>
    <row r="5167" spans="1:28" x14ac:dyDescent="0.25">
      <c r="A5167" t="s">
        <v>5171</v>
      </c>
      <c r="B5167">
        <v>0.99352677808782597</v>
      </c>
      <c r="C5167">
        <v>0.98490045486988997</v>
      </c>
      <c r="D5167">
        <v>1.00910083162644</v>
      </c>
      <c r="E5167">
        <v>0.83764324276216096</v>
      </c>
      <c r="F5167">
        <v>0.72069344302617999</v>
      </c>
      <c r="G5167">
        <v>0.28324572379083401</v>
      </c>
      <c r="H5167">
        <v>0.12513198262139599</v>
      </c>
      <c r="I5167">
        <v>0.117064150818947</v>
      </c>
      <c r="J5167">
        <v>0.10181642573808999</v>
      </c>
      <c r="K5167">
        <v>8.2544170447469603E-2</v>
      </c>
      <c r="L5167">
        <v>1315.6563168520299</v>
      </c>
      <c r="M5167">
        <v>24.216945591612902</v>
      </c>
      <c r="N5167">
        <v>54.726504480114102</v>
      </c>
      <c r="O5167">
        <v>53.961531375663697</v>
      </c>
      <c r="P5167">
        <v>-0.10312623405688399</v>
      </c>
      <c r="Q5167">
        <v>8.0847815044398905E-2</v>
      </c>
      <c r="R5167">
        <v>0.995190294486899</v>
      </c>
      <c r="S5167" t="s">
        <v>11452</v>
      </c>
      <c r="T5167" t="s">
        <v>12568</v>
      </c>
      <c r="U5167" t="s">
        <v>12568</v>
      </c>
      <c r="V5167" t="s">
        <v>12568</v>
      </c>
      <c r="W5167" t="s">
        <v>17684</v>
      </c>
      <c r="X5167">
        <v>21</v>
      </c>
      <c r="Y5167" t="s">
        <v>23782</v>
      </c>
      <c r="Z5167" t="s">
        <v>30037</v>
      </c>
      <c r="AA5167">
        <v>0.52884118272242342</v>
      </c>
      <c r="AB5167" t="str">
        <f>HYPERLINK("Melting_Curves/meltCurve_Q9BZZ5_2_API5.pdf", "Melting_Curves/meltCurve_Q9BZZ5_2_API5.pdf")</f>
        <v>Melting_Curves/meltCurve_Q9BZZ5_2_API5.pdf</v>
      </c>
    </row>
    <row r="5168" spans="1:28" x14ac:dyDescent="0.25">
      <c r="A5168" t="s">
        <v>5172</v>
      </c>
      <c r="B5168">
        <v>0.99352677808782597</v>
      </c>
      <c r="C5168">
        <v>0.95945885698250899</v>
      </c>
      <c r="D5168">
        <v>0.96696346114951004</v>
      </c>
      <c r="E5168">
        <v>1.0765282603483299</v>
      </c>
      <c r="F5168">
        <v>1.04575775735203</v>
      </c>
      <c r="G5168">
        <v>1.0824027032885799</v>
      </c>
      <c r="H5168">
        <v>1.0388916678731801</v>
      </c>
      <c r="I5168">
        <v>1.2340096273905199</v>
      </c>
      <c r="J5168">
        <v>1.17529037731068</v>
      </c>
      <c r="K5168">
        <v>1.1623516297529799</v>
      </c>
      <c r="L5168">
        <v>655.59001412245402</v>
      </c>
      <c r="M5168">
        <v>10.8845933894456</v>
      </c>
      <c r="O5168">
        <v>58.304926149500602</v>
      </c>
      <c r="P5168">
        <v>1.06229141609151E-2</v>
      </c>
      <c r="Q5168">
        <v>1.2275329347436299</v>
      </c>
      <c r="R5168">
        <v>0.72370479646992203</v>
      </c>
      <c r="S5168" t="s">
        <v>11453</v>
      </c>
      <c r="T5168" t="s">
        <v>12568</v>
      </c>
      <c r="U5168" t="s">
        <v>12568</v>
      </c>
      <c r="V5168" t="s">
        <v>12568</v>
      </c>
      <c r="W5168" t="s">
        <v>17685</v>
      </c>
      <c r="X5168">
        <v>5</v>
      </c>
      <c r="Y5168" t="s">
        <v>23783</v>
      </c>
      <c r="Z5168" t="s">
        <v>30038</v>
      </c>
      <c r="AA5168">
        <v>1.0746237040790789</v>
      </c>
      <c r="AB5168" t="str">
        <f>HYPERLINK("Melting_Curves/meltCurve_Q9C005_DPY30.pdf", "Melting_Curves/meltCurve_Q9C005_DPY30.pdf")</f>
        <v>Melting_Curves/meltCurve_Q9C005_DPY30.pdf</v>
      </c>
    </row>
    <row r="5169" spans="1:28" x14ac:dyDescent="0.25">
      <c r="A5169" t="s">
        <v>5173</v>
      </c>
      <c r="B5169">
        <v>0.99352677808782597</v>
      </c>
      <c r="C5169">
        <v>0.87982488602860698</v>
      </c>
      <c r="D5169">
        <v>0.93784740204121197</v>
      </c>
      <c r="E5169">
        <v>1.0192804161828499</v>
      </c>
      <c r="F5169">
        <v>0.949794573935271</v>
      </c>
      <c r="G5169">
        <v>0.98139246424900195</v>
      </c>
      <c r="H5169">
        <v>0.954943786412361</v>
      </c>
      <c r="I5169">
        <v>0.98950843550423595</v>
      </c>
      <c r="J5169">
        <v>1.0103171647922999</v>
      </c>
      <c r="K5169">
        <v>0.99609984913652605</v>
      </c>
      <c r="L5169">
        <v>1.0000000000000001E-5</v>
      </c>
      <c r="M5169">
        <v>18.660408766862201</v>
      </c>
      <c r="Q5169">
        <v>0.97125357548067803</v>
      </c>
      <c r="R5169">
        <v>0</v>
      </c>
      <c r="S5169" t="s">
        <v>11454</v>
      </c>
      <c r="T5169" t="s">
        <v>12568</v>
      </c>
      <c r="U5169" t="s">
        <v>12568</v>
      </c>
      <c r="V5169" t="s">
        <v>12568</v>
      </c>
      <c r="W5169" t="s">
        <v>17686</v>
      </c>
      <c r="X5169">
        <v>2</v>
      </c>
      <c r="Y5169" t="s">
        <v>23784</v>
      </c>
      <c r="Z5169" t="s">
        <v>30039</v>
      </c>
      <c r="AA5169">
        <v>0.9712535757068671</v>
      </c>
      <c r="AB5169" t="str">
        <f>HYPERLINK("Melting_Curves/meltCurve_Q9C010_PKIB.pdf", "Melting_Curves/meltCurve_Q9C010_PKIB.pdf")</f>
        <v>Melting_Curves/meltCurve_Q9C010_PKIB.pdf</v>
      </c>
    </row>
    <row r="5170" spans="1:28" x14ac:dyDescent="0.25">
      <c r="A5170" t="s">
        <v>5174</v>
      </c>
      <c r="B5170">
        <v>0.99352677808782597</v>
      </c>
      <c r="C5170">
        <v>0.94231483502679003</v>
      </c>
      <c r="D5170">
        <v>1.0098287334842599</v>
      </c>
      <c r="E5170">
        <v>0.83378362189635902</v>
      </c>
      <c r="F5170">
        <v>0.75396143416384598</v>
      </c>
      <c r="G5170">
        <v>0.67244620585772896</v>
      </c>
      <c r="H5170">
        <v>0.485341492113192</v>
      </c>
      <c r="I5170">
        <v>0.30805820452862198</v>
      </c>
      <c r="J5170">
        <v>0.173332710572491</v>
      </c>
      <c r="K5170">
        <v>0.12547874172537299</v>
      </c>
      <c r="L5170">
        <v>671.19096460910805</v>
      </c>
      <c r="M5170">
        <v>11.2785993319567</v>
      </c>
      <c r="N5170">
        <v>59.510134641202797</v>
      </c>
      <c r="O5170">
        <v>57.731354793695097</v>
      </c>
      <c r="P5170">
        <v>-4.8855837660559703E-2</v>
      </c>
      <c r="Q5170">
        <v>0</v>
      </c>
      <c r="R5170">
        <v>0.98176568994437496</v>
      </c>
      <c r="S5170" t="s">
        <v>11455</v>
      </c>
      <c r="T5170" t="s">
        <v>12568</v>
      </c>
      <c r="U5170" t="s">
        <v>12568</v>
      </c>
      <c r="V5170" t="s">
        <v>12568</v>
      </c>
      <c r="W5170" t="s">
        <v>17687</v>
      </c>
      <c r="X5170">
        <v>4</v>
      </c>
      <c r="Y5170" t="s">
        <v>23785</v>
      </c>
      <c r="Z5170" t="s">
        <v>30040</v>
      </c>
      <c r="AA5170">
        <v>0.65393112044100765</v>
      </c>
      <c r="AB5170" t="str">
        <f>HYPERLINK("Melting_Curves/meltCurve_Q9C026_5_TRIM9.pdf", "Melting_Curves/meltCurve_Q9C026_5_TRIM9.pdf")</f>
        <v>Melting_Curves/meltCurve_Q9C026_5_TRIM9.pdf</v>
      </c>
    </row>
    <row r="5171" spans="1:28" x14ac:dyDescent="0.25">
      <c r="A5171" t="s">
        <v>5175</v>
      </c>
      <c r="B5171">
        <v>0.99352677808782597</v>
      </c>
      <c r="C5171">
        <v>1.00772042466195</v>
      </c>
      <c r="D5171">
        <v>1.0132802805602401</v>
      </c>
      <c r="E5171">
        <v>0.90265951772967501</v>
      </c>
      <c r="F5171">
        <v>0.84062166001565497</v>
      </c>
      <c r="G5171">
        <v>0.58059462304313703</v>
      </c>
      <c r="H5171">
        <v>0.46692154907963002</v>
      </c>
      <c r="I5171">
        <v>0.46125763184999102</v>
      </c>
      <c r="J5171">
        <v>0.452983680628681</v>
      </c>
      <c r="K5171">
        <v>0.38400294829982401</v>
      </c>
      <c r="L5171">
        <v>1178.9043983572001</v>
      </c>
      <c r="M5171">
        <v>21.477728620024799</v>
      </c>
      <c r="N5171">
        <v>59.776601275997201</v>
      </c>
      <c r="O5171">
        <v>54.420435971932598</v>
      </c>
      <c r="P5171">
        <v>-5.7856708313757998E-2</v>
      </c>
      <c r="Q5171">
        <v>0.41362340904097999</v>
      </c>
      <c r="R5171">
        <v>0.99167268237007999</v>
      </c>
      <c r="S5171" t="s">
        <v>11456</v>
      </c>
      <c r="T5171" t="s">
        <v>12568</v>
      </c>
      <c r="U5171" t="s">
        <v>12568</v>
      </c>
      <c r="V5171" t="s">
        <v>12568</v>
      </c>
      <c r="W5171" t="s">
        <v>17688</v>
      </c>
      <c r="X5171">
        <v>13</v>
      </c>
      <c r="Y5171" t="s">
        <v>23786</v>
      </c>
      <c r="Z5171" t="s">
        <v>30041</v>
      </c>
      <c r="AA5171">
        <v>0.7116617091258739</v>
      </c>
      <c r="AB5171" t="str">
        <f>HYPERLINK("Melting_Curves/meltCurve_Q9C0B0_UNK.pdf", "Melting_Curves/meltCurve_Q9C0B0_UNK.pdf")</f>
        <v>Melting_Curves/meltCurve_Q9C0B0_UNK.pdf</v>
      </c>
    </row>
    <row r="5172" spans="1:28" x14ac:dyDescent="0.25">
      <c r="A5172" t="s">
        <v>5176</v>
      </c>
      <c r="B5172">
        <v>0.99352677808782597</v>
      </c>
      <c r="C5172">
        <v>0.96569867454768499</v>
      </c>
      <c r="D5172">
        <v>0.92973378634927895</v>
      </c>
      <c r="E5172">
        <v>0.53071366797960595</v>
      </c>
      <c r="F5172">
        <v>0.46130159394197201</v>
      </c>
      <c r="G5172">
        <v>0.314863032676027</v>
      </c>
      <c r="H5172">
        <v>0.231487189421967</v>
      </c>
      <c r="I5172">
        <v>0.21610794815458401</v>
      </c>
      <c r="J5172">
        <v>0.20194735742384401</v>
      </c>
      <c r="K5172">
        <v>0.14489508442294999</v>
      </c>
      <c r="L5172">
        <v>862.96521922973</v>
      </c>
      <c r="M5172">
        <v>17.158492540258099</v>
      </c>
      <c r="N5172">
        <v>51.697817537442099</v>
      </c>
      <c r="O5172">
        <v>49.625542032411502</v>
      </c>
      <c r="P5172">
        <v>-7.0344698574334202E-2</v>
      </c>
      <c r="Q5172">
        <v>0.18624887774561799</v>
      </c>
      <c r="R5172">
        <v>0.98461796485089303</v>
      </c>
      <c r="S5172" t="s">
        <v>11457</v>
      </c>
      <c r="T5172" t="s">
        <v>12568</v>
      </c>
      <c r="U5172" t="s">
        <v>12568</v>
      </c>
      <c r="V5172" t="s">
        <v>12568</v>
      </c>
      <c r="W5172" t="s">
        <v>17689</v>
      </c>
      <c r="X5172">
        <v>19</v>
      </c>
      <c r="Y5172" t="s">
        <v>23787</v>
      </c>
      <c r="Z5172" t="s">
        <v>30042</v>
      </c>
      <c r="AA5172">
        <v>0.48057834600374388</v>
      </c>
      <c r="AB5172" t="str">
        <f>HYPERLINK("Melting_Curves/meltCurve_Q9C0B1_FTO.pdf", "Melting_Curves/meltCurve_Q9C0B1_FTO.pdf")</f>
        <v>Melting_Curves/meltCurve_Q9C0B1_FTO.pdf</v>
      </c>
    </row>
    <row r="5173" spans="1:28" x14ac:dyDescent="0.25">
      <c r="A5173" t="s">
        <v>5177</v>
      </c>
      <c r="B5173">
        <v>0.99352677808782597</v>
      </c>
      <c r="C5173">
        <v>0.93006916216741498</v>
      </c>
      <c r="D5173">
        <v>1.0166140083827</v>
      </c>
      <c r="E5173">
        <v>1.0346198674731899</v>
      </c>
      <c r="F5173">
        <v>0.95007540826811898</v>
      </c>
      <c r="G5173">
        <v>0.93847569025711097</v>
      </c>
      <c r="H5173">
        <v>0.81871504441846599</v>
      </c>
      <c r="I5173">
        <v>0.95021320716661695</v>
      </c>
      <c r="J5173">
        <v>0.84924266541318805</v>
      </c>
      <c r="K5173">
        <v>0.82873700203210499</v>
      </c>
      <c r="L5173">
        <v>1454.9277301274401</v>
      </c>
      <c r="M5173">
        <v>25.847036071440101</v>
      </c>
      <c r="O5173">
        <v>55.956217204716502</v>
      </c>
      <c r="P5173">
        <v>-1.6358612814061198E-2</v>
      </c>
      <c r="Q5173">
        <v>0.85834269740692304</v>
      </c>
      <c r="R5173">
        <v>0.62774334762209405</v>
      </c>
      <c r="S5173" t="s">
        <v>11458</v>
      </c>
      <c r="T5173" t="s">
        <v>12568</v>
      </c>
      <c r="U5173" t="s">
        <v>12568</v>
      </c>
      <c r="V5173" t="s">
        <v>12568</v>
      </c>
      <c r="W5173" t="s">
        <v>17690</v>
      </c>
      <c r="X5173">
        <v>8</v>
      </c>
      <c r="Y5173" t="s">
        <v>23788</v>
      </c>
      <c r="Z5173" t="s">
        <v>30043</v>
      </c>
      <c r="AA5173">
        <v>0.93648796153279912</v>
      </c>
      <c r="AB5173" t="str">
        <f>HYPERLINK("Melting_Curves/meltCurve_Q9C0B5_2_ZDHHC5.pdf", "Melting_Curves/meltCurve_Q9C0B5_2_ZDHHC5.pdf")</f>
        <v>Melting_Curves/meltCurve_Q9C0B5_2_ZDHHC5.pdf</v>
      </c>
    </row>
    <row r="5174" spans="1:28" x14ac:dyDescent="0.25">
      <c r="A5174" t="s">
        <v>5178</v>
      </c>
      <c r="B5174">
        <v>0.99352677808782597</v>
      </c>
      <c r="C5174">
        <v>0.976908619602045</v>
      </c>
      <c r="D5174">
        <v>0.93393096009711496</v>
      </c>
      <c r="E5174">
        <v>0.40593100077379601</v>
      </c>
      <c r="F5174">
        <v>0.33731526707709703</v>
      </c>
      <c r="G5174">
        <v>0.21675737090988401</v>
      </c>
      <c r="H5174">
        <v>0.14513749537501999</v>
      </c>
      <c r="I5174">
        <v>0.12302522651433299</v>
      </c>
      <c r="J5174">
        <v>9.1476772028294198E-2</v>
      </c>
      <c r="K5174">
        <v>7.1872413456649797E-2</v>
      </c>
      <c r="L5174">
        <v>1150.9702388037999</v>
      </c>
      <c r="M5174">
        <v>23.3313341951906</v>
      </c>
      <c r="N5174">
        <v>49.9313969824398</v>
      </c>
      <c r="O5174">
        <v>48.9734131152697</v>
      </c>
      <c r="P5174">
        <v>-0.104547182335721</v>
      </c>
      <c r="Q5174">
        <v>0.122220675333572</v>
      </c>
      <c r="R5174">
        <v>0.98161844936610099</v>
      </c>
      <c r="S5174" t="s">
        <v>11459</v>
      </c>
      <c r="T5174" t="s">
        <v>12568</v>
      </c>
      <c r="U5174" t="s">
        <v>12568</v>
      </c>
      <c r="V5174" t="s">
        <v>12568</v>
      </c>
      <c r="W5174" t="s">
        <v>17691</v>
      </c>
      <c r="X5174">
        <v>13</v>
      </c>
      <c r="Y5174" t="s">
        <v>23789</v>
      </c>
      <c r="Z5174" t="s">
        <v>30044</v>
      </c>
      <c r="AA5174">
        <v>0.40423214225697629</v>
      </c>
      <c r="AB5174" t="str">
        <f>HYPERLINK("Melting_Curves/meltCurve_Q9C0B7_TANGO6.pdf", "Melting_Curves/meltCurve_Q9C0B7_TANGO6.pdf")</f>
        <v>Melting_Curves/meltCurve_Q9C0B7_TANGO6.pdf</v>
      </c>
    </row>
    <row r="5175" spans="1:28" x14ac:dyDescent="0.25">
      <c r="A5175" t="s">
        <v>5179</v>
      </c>
      <c r="B5175">
        <v>0.99352677808782597</v>
      </c>
      <c r="C5175">
        <v>0.99948863070331295</v>
      </c>
      <c r="D5175">
        <v>0.93878102296155197</v>
      </c>
      <c r="E5175">
        <v>0.989338615431815</v>
      </c>
      <c r="F5175">
        <v>0.88707055564623305</v>
      </c>
      <c r="G5175">
        <v>0.74939462781896704</v>
      </c>
      <c r="H5175">
        <v>0.89162411585202805</v>
      </c>
      <c r="I5175">
        <v>0.90868973303842404</v>
      </c>
      <c r="J5175">
        <v>1.0751391656687701</v>
      </c>
      <c r="K5175">
        <v>0.84932172873353495</v>
      </c>
      <c r="L5175">
        <v>12609.779046435</v>
      </c>
      <c r="M5175">
        <v>250</v>
      </c>
      <c r="O5175">
        <v>50.435904307206201</v>
      </c>
      <c r="P5175">
        <v>-0.13192503350886101</v>
      </c>
      <c r="Q5175">
        <v>0.89353989964875502</v>
      </c>
      <c r="R5175">
        <v>0.21752393024677699</v>
      </c>
      <c r="S5175" t="s">
        <v>11460</v>
      </c>
      <c r="T5175" t="s">
        <v>12568</v>
      </c>
      <c r="U5175" t="s">
        <v>12568</v>
      </c>
      <c r="V5175" t="s">
        <v>12568</v>
      </c>
      <c r="W5175" t="s">
        <v>17692</v>
      </c>
      <c r="X5175">
        <v>68</v>
      </c>
      <c r="Y5175" t="s">
        <v>23790</v>
      </c>
      <c r="Z5175" t="s">
        <v>30045</v>
      </c>
      <c r="AA5175">
        <v>0.93059430203942184</v>
      </c>
      <c r="AB5175" t="str">
        <f>HYPERLINK("Melting_Curves/meltCurve_Q9C0C2_TNKS1BP1.pdf", "Melting_Curves/meltCurve_Q9C0C2_TNKS1BP1.pdf")</f>
        <v>Melting_Curves/meltCurve_Q9C0C2_TNKS1BP1.pdf</v>
      </c>
    </row>
    <row r="5176" spans="1:28" x14ac:dyDescent="0.25">
      <c r="A5176" t="s">
        <v>5180</v>
      </c>
      <c r="B5176">
        <v>0.99352677808782597</v>
      </c>
      <c r="C5176">
        <v>0.99093375613247903</v>
      </c>
      <c r="D5176">
        <v>0.91319520363703599</v>
      </c>
      <c r="E5176">
        <v>0.81368472680496495</v>
      </c>
      <c r="F5176">
        <v>0.67054727669971703</v>
      </c>
      <c r="G5176">
        <v>0.492483388979846</v>
      </c>
      <c r="H5176">
        <v>0.41618433753635897</v>
      </c>
      <c r="I5176">
        <v>0.40649020956429899</v>
      </c>
      <c r="J5176">
        <v>0.41501700765058502</v>
      </c>
      <c r="K5176">
        <v>0.31535152186896898</v>
      </c>
      <c r="L5176">
        <v>776.31213783174201</v>
      </c>
      <c r="M5176">
        <v>14.685383233735299</v>
      </c>
      <c r="N5176">
        <v>57.3667362612928</v>
      </c>
      <c r="O5176">
        <v>51.911698943735601</v>
      </c>
      <c r="P5176">
        <v>-4.6530429481209501E-2</v>
      </c>
      <c r="Q5176">
        <v>0.342146275660349</v>
      </c>
      <c r="R5176">
        <v>0.99157021356798203</v>
      </c>
      <c r="S5176" t="s">
        <v>11461</v>
      </c>
      <c r="T5176" t="s">
        <v>12568</v>
      </c>
      <c r="U5176" t="s">
        <v>12568</v>
      </c>
      <c r="V5176" t="s">
        <v>12568</v>
      </c>
      <c r="W5176" t="s">
        <v>17693</v>
      </c>
      <c r="X5176">
        <v>1</v>
      </c>
      <c r="Y5176" t="s">
        <v>23791</v>
      </c>
      <c r="Z5176" t="s">
        <v>30046</v>
      </c>
      <c r="AA5176">
        <v>0.63887559681574391</v>
      </c>
      <c r="AB5176" t="str">
        <f>HYPERLINK("Melting_Curves/meltCurve_Q9C0C7_4_AMBRA1.pdf", "Melting_Curves/meltCurve_Q9C0C7_4_AMBRA1.pdf")</f>
        <v>Melting_Curves/meltCurve_Q9C0C7_4_AMBRA1.pdf</v>
      </c>
    </row>
    <row r="5177" spans="1:28" x14ac:dyDescent="0.25">
      <c r="A5177" t="s">
        <v>5181</v>
      </c>
      <c r="B5177">
        <v>0.99352677808782597</v>
      </c>
      <c r="C5177">
        <v>1.0330971871258801</v>
      </c>
      <c r="D5177">
        <v>0.92754078674912899</v>
      </c>
      <c r="E5177">
        <v>0.640871323126746</v>
      </c>
      <c r="F5177">
        <v>0.53855164493792496</v>
      </c>
      <c r="G5177">
        <v>0.342883293886734</v>
      </c>
      <c r="H5177">
        <v>0.26451122613202999</v>
      </c>
      <c r="I5177">
        <v>0.207702707491006</v>
      </c>
      <c r="J5177">
        <v>0.20562868943065701</v>
      </c>
      <c r="K5177">
        <v>0.14653600283846599</v>
      </c>
      <c r="L5177">
        <v>796.92489091827099</v>
      </c>
      <c r="M5177">
        <v>15.359084648711301</v>
      </c>
      <c r="N5177">
        <v>53.293347713067099</v>
      </c>
      <c r="O5177">
        <v>51.030511491799999</v>
      </c>
      <c r="P5177">
        <v>-6.2707948856742399E-2</v>
      </c>
      <c r="Q5177">
        <v>0.16668890032759701</v>
      </c>
      <c r="R5177">
        <v>0.98981175776081998</v>
      </c>
      <c r="S5177" t="s">
        <v>11462</v>
      </c>
      <c r="T5177" t="s">
        <v>12568</v>
      </c>
      <c r="U5177" t="s">
        <v>12568</v>
      </c>
      <c r="V5177" t="s">
        <v>12568</v>
      </c>
      <c r="W5177" t="s">
        <v>17694</v>
      </c>
      <c r="X5177">
        <v>40</v>
      </c>
      <c r="Y5177" t="s">
        <v>19612</v>
      </c>
      <c r="Z5177" t="s">
        <v>30047</v>
      </c>
      <c r="AA5177">
        <v>0.51488090552273158</v>
      </c>
      <c r="AB5177" t="str">
        <f>HYPERLINK("Melting_Curves/meltCurve_Q9C0C9_UBE2O.pdf", "Melting_Curves/meltCurve_Q9C0C9_UBE2O.pdf")</f>
        <v>Melting_Curves/meltCurve_Q9C0C9_UBE2O.pdf</v>
      </c>
    </row>
    <row r="5178" spans="1:28" x14ac:dyDescent="0.25">
      <c r="A5178" t="s">
        <v>5182</v>
      </c>
      <c r="B5178">
        <v>0.99352677808782597</v>
      </c>
      <c r="C5178">
        <v>1.0137911261994701</v>
      </c>
      <c r="D5178">
        <v>0.88283494456217104</v>
      </c>
      <c r="E5178">
        <v>0.63037847602825503</v>
      </c>
      <c r="F5178">
        <v>0.51628435544312201</v>
      </c>
      <c r="G5178">
        <v>0.27268645268460301</v>
      </c>
      <c r="H5178">
        <v>0.16059205173838501</v>
      </c>
      <c r="I5178">
        <v>0.13625918664581499</v>
      </c>
      <c r="J5178">
        <v>0.115822871796034</v>
      </c>
      <c r="K5178">
        <v>8.0711433330064197E-2</v>
      </c>
      <c r="L5178">
        <v>760.58342420845497</v>
      </c>
      <c r="M5178">
        <v>14.594692812684199</v>
      </c>
      <c r="N5178">
        <v>52.666185445386702</v>
      </c>
      <c r="O5178">
        <v>51.1646270689631</v>
      </c>
      <c r="P5178">
        <v>-6.6258150613108593E-2</v>
      </c>
      <c r="Q5178">
        <v>7.0979462916502797E-2</v>
      </c>
      <c r="R5178">
        <v>0.99495005330709896</v>
      </c>
      <c r="S5178" t="s">
        <v>11463</v>
      </c>
      <c r="T5178" t="s">
        <v>12568</v>
      </c>
      <c r="U5178" t="s">
        <v>12568</v>
      </c>
      <c r="V5178" t="s">
        <v>12568</v>
      </c>
      <c r="W5178" t="s">
        <v>17695</v>
      </c>
      <c r="X5178">
        <v>11</v>
      </c>
      <c r="Y5178" t="s">
        <v>23792</v>
      </c>
      <c r="Z5178" t="s">
        <v>30048</v>
      </c>
      <c r="AA5178">
        <v>0.46766221186376611</v>
      </c>
      <c r="AB5178" t="str">
        <f>HYPERLINK("Melting_Curves/meltCurve_Q9C0D3_ZYG11B.pdf", "Melting_Curves/meltCurve_Q9C0D3_ZYG11B.pdf")</f>
        <v>Melting_Curves/meltCurve_Q9C0D3_ZYG11B.pdf</v>
      </c>
    </row>
    <row r="5179" spans="1:28" x14ac:dyDescent="0.25">
      <c r="A5179" t="s">
        <v>5183</v>
      </c>
      <c r="B5179">
        <v>0.99352677808782597</v>
      </c>
      <c r="C5179">
        <v>0.93144596278290703</v>
      </c>
      <c r="D5179">
        <v>0.85334710230744604</v>
      </c>
      <c r="E5179">
        <v>0.48992274436007899</v>
      </c>
      <c r="F5179">
        <v>0.43235735809070303</v>
      </c>
      <c r="G5179">
        <v>0.293126460513919</v>
      </c>
      <c r="H5179">
        <v>0.23280073484286001</v>
      </c>
      <c r="I5179">
        <v>0.243306369177575</v>
      </c>
      <c r="J5179">
        <v>0.19417047835461701</v>
      </c>
      <c r="K5179">
        <v>0.16764615462727001</v>
      </c>
      <c r="L5179">
        <v>807.23974773200905</v>
      </c>
      <c r="M5179">
        <v>16.358742518226901</v>
      </c>
      <c r="N5179">
        <v>50.898750498552502</v>
      </c>
      <c r="O5179">
        <v>48.626354611240302</v>
      </c>
      <c r="P5179">
        <v>-6.7587863830906994E-2</v>
      </c>
      <c r="Q5179">
        <v>0.196438222413199</v>
      </c>
      <c r="R5179">
        <v>0.98923508811466399</v>
      </c>
      <c r="S5179" t="s">
        <v>11464</v>
      </c>
      <c r="T5179" t="s">
        <v>12568</v>
      </c>
      <c r="U5179" t="s">
        <v>12568</v>
      </c>
      <c r="V5179" t="s">
        <v>12568</v>
      </c>
      <c r="W5179" t="s">
        <v>17696</v>
      </c>
      <c r="X5179">
        <v>15</v>
      </c>
      <c r="Y5179" t="s">
        <v>23793</v>
      </c>
      <c r="Z5179" t="s">
        <v>30049</v>
      </c>
      <c r="AA5179">
        <v>0.46342200652356152</v>
      </c>
      <c r="AB5179" t="str">
        <f>HYPERLINK("Melting_Curves/meltCurve_Q9C0D5_TANC1.pdf", "Melting_Curves/meltCurve_Q9C0D5_TANC1.pdf")</f>
        <v>Melting_Curves/meltCurve_Q9C0D5_TANC1.pdf</v>
      </c>
    </row>
    <row r="5180" spans="1:28" x14ac:dyDescent="0.25">
      <c r="A5180" t="s">
        <v>5184</v>
      </c>
      <c r="B5180">
        <v>0.99352677808782597</v>
      </c>
      <c r="C5180">
        <v>1.00909630044383</v>
      </c>
      <c r="D5180">
        <v>0.97513129832578505</v>
      </c>
      <c r="E5180">
        <v>0.55573353910045897</v>
      </c>
      <c r="F5180">
        <v>0.49350733749407799</v>
      </c>
      <c r="G5180">
        <v>0.26175741151185999</v>
      </c>
      <c r="H5180">
        <v>0.17438488616887499</v>
      </c>
      <c r="I5180">
        <v>0.13846501180227799</v>
      </c>
      <c r="J5180">
        <v>0.12196946036156101</v>
      </c>
      <c r="K5180">
        <v>0.11199956567463901</v>
      </c>
      <c r="L5180">
        <v>893.38590260812703</v>
      </c>
      <c r="M5180">
        <v>17.411679623641401</v>
      </c>
      <c r="N5180">
        <v>52.096553270530599</v>
      </c>
      <c r="O5180">
        <v>50.647119551153402</v>
      </c>
      <c r="P5180">
        <v>-7.6011504062575994E-2</v>
      </c>
      <c r="Q5180">
        <v>0.11564033302228401</v>
      </c>
      <c r="R5180">
        <v>0.98365097852587802</v>
      </c>
      <c r="S5180" t="s">
        <v>11465</v>
      </c>
      <c r="T5180" t="s">
        <v>12568</v>
      </c>
      <c r="U5180" t="s">
        <v>12568</v>
      </c>
      <c r="V5180" t="s">
        <v>12568</v>
      </c>
      <c r="W5180" t="s">
        <v>17697</v>
      </c>
      <c r="X5180">
        <v>5</v>
      </c>
      <c r="Y5180" t="s">
        <v>23794</v>
      </c>
      <c r="Z5180" t="s">
        <v>30050</v>
      </c>
      <c r="AA5180">
        <v>0.46477269377960012</v>
      </c>
      <c r="AB5180" t="str">
        <f>HYPERLINK("Melting_Curves/meltCurve_Q9C0F1_CEP44.pdf", "Melting_Curves/meltCurve_Q9C0F1_CEP44.pdf")</f>
        <v>Melting_Curves/meltCurve_Q9C0F1_CEP44.pdf</v>
      </c>
    </row>
    <row r="5181" spans="1:28" x14ac:dyDescent="0.25">
      <c r="A5181" t="s">
        <v>5185</v>
      </c>
      <c r="B5181">
        <v>0.99352677808782597</v>
      </c>
      <c r="C5181">
        <v>1.0204558055148401</v>
      </c>
      <c r="D5181">
        <v>0.71098433836831298</v>
      </c>
      <c r="E5181">
        <v>0.26085664172190898</v>
      </c>
      <c r="F5181">
        <v>0.21638173922915199</v>
      </c>
      <c r="G5181">
        <v>0.10306071300325299</v>
      </c>
      <c r="H5181">
        <v>6.8967161878654704E-2</v>
      </c>
      <c r="I5181">
        <v>0.104615717856231</v>
      </c>
      <c r="J5181">
        <v>7.8513953673443201E-2</v>
      </c>
      <c r="K5181">
        <v>4.7659580975731301E-2</v>
      </c>
      <c r="L5181">
        <v>1252.9857073887899</v>
      </c>
      <c r="M5181">
        <v>26.3629597892795</v>
      </c>
      <c r="N5181">
        <v>47.876682878054098</v>
      </c>
      <c r="O5181">
        <v>47.257317291145597</v>
      </c>
      <c r="P5181">
        <v>-0.127292414815354</v>
      </c>
      <c r="Q5181">
        <v>8.7290263342923002E-2</v>
      </c>
      <c r="R5181">
        <v>0.99019564383714598</v>
      </c>
      <c r="S5181" t="s">
        <v>11466</v>
      </c>
      <c r="T5181" t="s">
        <v>12568</v>
      </c>
      <c r="U5181" t="s">
        <v>12568</v>
      </c>
      <c r="V5181" t="s">
        <v>12568</v>
      </c>
      <c r="W5181" t="s">
        <v>17698</v>
      </c>
      <c r="X5181">
        <v>2</v>
      </c>
      <c r="Y5181" t="s">
        <v>23795</v>
      </c>
      <c r="Z5181" t="s">
        <v>30051</v>
      </c>
      <c r="AA5181">
        <v>0.3235416872183477</v>
      </c>
      <c r="AB5181" t="str">
        <f>HYPERLINK("Melting_Curves/meltCurve_Q9C0H6_KLHL4.pdf", "Melting_Curves/meltCurve_Q9C0H6_KLHL4.pdf")</f>
        <v>Melting_Curves/meltCurve_Q9C0H6_KLHL4.pdf</v>
      </c>
    </row>
    <row r="5182" spans="1:28" x14ac:dyDescent="0.25">
      <c r="A5182" t="s">
        <v>5186</v>
      </c>
      <c r="B5182">
        <v>0.99352677808782597</v>
      </c>
      <c r="C5182">
        <v>1.00785189711511</v>
      </c>
      <c r="D5182">
        <v>0.87973624716804899</v>
      </c>
      <c r="E5182">
        <v>0.90055734167754498</v>
      </c>
      <c r="F5182">
        <v>0.73007974481990601</v>
      </c>
      <c r="G5182">
        <v>0.58180250892045904</v>
      </c>
      <c r="H5182">
        <v>0.402809598287728</v>
      </c>
      <c r="I5182">
        <v>0.13925250016590299</v>
      </c>
      <c r="J5182">
        <v>9.6454059730153002E-2</v>
      </c>
      <c r="K5182">
        <v>7.8137231402903795E-2</v>
      </c>
      <c r="L5182">
        <v>780.40964838385401</v>
      </c>
      <c r="M5182">
        <v>13.511898110741001</v>
      </c>
      <c r="N5182">
        <v>57.757218299162197</v>
      </c>
      <c r="O5182">
        <v>56.536148597407198</v>
      </c>
      <c r="P5182">
        <v>-5.97580136855691E-2</v>
      </c>
      <c r="Q5182">
        <v>0</v>
      </c>
      <c r="R5182">
        <v>0.98144803259612401</v>
      </c>
      <c r="S5182" t="s">
        <v>11467</v>
      </c>
      <c r="T5182" t="s">
        <v>12568</v>
      </c>
      <c r="U5182" t="s">
        <v>12568</v>
      </c>
      <c r="V5182" t="s">
        <v>12568</v>
      </c>
      <c r="W5182" t="s">
        <v>17699</v>
      </c>
      <c r="X5182">
        <v>8</v>
      </c>
      <c r="Y5182" t="s">
        <v>23796</v>
      </c>
      <c r="Z5182" t="s">
        <v>30052</v>
      </c>
      <c r="AA5182">
        <v>0.60614399297510946</v>
      </c>
      <c r="AB5182" t="str">
        <f>HYPERLINK("Melting_Curves/meltCurve_Q9C0I1_MTMR12.pdf", "Melting_Curves/meltCurve_Q9C0I1_MTMR12.pdf")</f>
        <v>Melting_Curves/meltCurve_Q9C0I1_MTMR12.pdf</v>
      </c>
    </row>
    <row r="5183" spans="1:28" x14ac:dyDescent="0.25">
      <c r="A5183" t="s">
        <v>5187</v>
      </c>
      <c r="B5183">
        <v>0.99352677808782597</v>
      </c>
      <c r="C5183">
        <v>0.950785018595109</v>
      </c>
      <c r="D5183">
        <v>0.92439490145845404</v>
      </c>
      <c r="E5183">
        <v>0.88724475940815595</v>
      </c>
      <c r="F5183">
        <v>0.86888372585518003</v>
      </c>
      <c r="G5183">
        <v>0.73603218656039204</v>
      </c>
      <c r="H5183">
        <v>0.70529394940495604</v>
      </c>
      <c r="I5183">
        <v>0.78590137487534795</v>
      </c>
      <c r="J5183">
        <v>0.78326347714834799</v>
      </c>
      <c r="K5183">
        <v>0.63973449219881395</v>
      </c>
      <c r="L5183">
        <v>477.44463603409798</v>
      </c>
      <c r="M5183">
        <v>9.0342266017037094</v>
      </c>
      <c r="O5183">
        <v>50.451830443575098</v>
      </c>
      <c r="P5183">
        <v>-1.46413393763007E-2</v>
      </c>
      <c r="Q5183">
        <v>0.67317448214697995</v>
      </c>
      <c r="R5183">
        <v>0.849779159847868</v>
      </c>
      <c r="S5183" t="s">
        <v>11468</v>
      </c>
      <c r="T5183" t="s">
        <v>12568</v>
      </c>
      <c r="U5183" t="s">
        <v>12568</v>
      </c>
      <c r="V5183" t="s">
        <v>12568</v>
      </c>
      <c r="W5183" t="s">
        <v>17700</v>
      </c>
      <c r="X5183">
        <v>16</v>
      </c>
      <c r="Y5183" t="s">
        <v>23797</v>
      </c>
      <c r="Z5183" t="s">
        <v>30053</v>
      </c>
      <c r="AA5183">
        <v>0.82557487768834636</v>
      </c>
      <c r="AB5183" t="str">
        <f>HYPERLINK("Melting_Curves/meltCurve_Q9C0J8_WDR33.pdf", "Melting_Curves/meltCurve_Q9C0J8_WDR33.pdf")</f>
        <v>Melting_Curves/meltCurve_Q9C0J8_WDR33.pdf</v>
      </c>
    </row>
    <row r="5184" spans="1:28" x14ac:dyDescent="0.25">
      <c r="A5184" t="s">
        <v>5188</v>
      </c>
      <c r="B5184">
        <v>0.99352677808782597</v>
      </c>
      <c r="C5184">
        <v>1.0330853758655301</v>
      </c>
      <c r="D5184">
        <v>0.96098999754821701</v>
      </c>
      <c r="E5184">
        <v>0.93294850491001902</v>
      </c>
      <c r="F5184">
        <v>0.81248394893616505</v>
      </c>
      <c r="G5184">
        <v>0.73587606467779898</v>
      </c>
      <c r="H5184">
        <v>1.0394837924290099</v>
      </c>
      <c r="I5184">
        <v>1.0070455569583601</v>
      </c>
      <c r="J5184">
        <v>1.11037094112471</v>
      </c>
      <c r="K5184">
        <v>0.47542260237676898</v>
      </c>
      <c r="L5184">
        <v>15000</v>
      </c>
      <c r="M5184">
        <v>214.38396982641399</v>
      </c>
      <c r="N5184">
        <v>69.967931187605103</v>
      </c>
      <c r="O5184">
        <v>69.961843821486895</v>
      </c>
      <c r="P5184">
        <v>-0.76607477300025095</v>
      </c>
      <c r="Q5184">
        <v>0</v>
      </c>
      <c r="R5184">
        <v>0.60694337726579894</v>
      </c>
      <c r="S5184" t="s">
        <v>11469</v>
      </c>
      <c r="T5184" t="s">
        <v>12568</v>
      </c>
      <c r="U5184" t="s">
        <v>12568</v>
      </c>
      <c r="V5184" t="s">
        <v>12568</v>
      </c>
      <c r="W5184" t="s">
        <v>17701</v>
      </c>
      <c r="X5184">
        <v>5</v>
      </c>
      <c r="Y5184" t="s">
        <v>23798</v>
      </c>
      <c r="Z5184" t="s">
        <v>30054</v>
      </c>
      <c r="AA5184">
        <v>0.99199369769481194</v>
      </c>
      <c r="AB5184" t="str">
        <f>HYPERLINK("Melting_Curves/meltCurve_Q9GZL7_WDR12.pdf", "Melting_Curves/meltCurve_Q9GZL7_WDR12.pdf")</f>
        <v>Melting_Curves/meltCurve_Q9GZL7_WDR12.pdf</v>
      </c>
    </row>
    <row r="5185" spans="1:28" x14ac:dyDescent="0.25">
      <c r="A5185" t="s">
        <v>5189</v>
      </c>
      <c r="B5185">
        <v>0.99352677808782597</v>
      </c>
      <c r="C5185">
        <v>0.80968086911056203</v>
      </c>
      <c r="D5185">
        <v>0.64421232051796096</v>
      </c>
      <c r="E5185">
        <v>0.227028446941345</v>
      </c>
      <c r="F5185">
        <v>0.19175607446760701</v>
      </c>
      <c r="G5185">
        <v>0.11125952899182499</v>
      </c>
      <c r="H5185">
        <v>6.88453868548662E-2</v>
      </c>
      <c r="I5185">
        <v>5.4147972440179097E-2</v>
      </c>
      <c r="J5185">
        <v>4.7459104499498098E-2</v>
      </c>
      <c r="K5185">
        <v>2.9898773587227499E-2</v>
      </c>
      <c r="L5185">
        <v>845.32923845147104</v>
      </c>
      <c r="M5185">
        <v>18.035018585431899</v>
      </c>
      <c r="N5185">
        <v>47.144636399590297</v>
      </c>
      <c r="O5185">
        <v>46.306669711979502</v>
      </c>
      <c r="P5185">
        <v>-9.2542262438112102E-2</v>
      </c>
      <c r="Q5185">
        <v>4.9601295347048997E-2</v>
      </c>
      <c r="R5185">
        <v>0.99150134838688797</v>
      </c>
      <c r="S5185" t="s">
        <v>11470</v>
      </c>
      <c r="T5185" t="s">
        <v>12568</v>
      </c>
      <c r="U5185" t="s">
        <v>12568</v>
      </c>
      <c r="V5185" t="s">
        <v>12568</v>
      </c>
      <c r="W5185" t="s">
        <v>17702</v>
      </c>
      <c r="X5185">
        <v>1</v>
      </c>
      <c r="Y5185" t="s">
        <v>23799</v>
      </c>
      <c r="Z5185" t="s">
        <v>30055</v>
      </c>
      <c r="AA5185">
        <v>0.28486562590240472</v>
      </c>
      <c r="AB5185" t="str">
        <f>HYPERLINK("Melting_Curves/meltCurve_Q9GZN1_ACTR6.pdf", "Melting_Curves/meltCurve_Q9GZN1_ACTR6.pdf")</f>
        <v>Melting_Curves/meltCurve_Q9GZN1_ACTR6.pdf</v>
      </c>
    </row>
    <row r="5186" spans="1:28" x14ac:dyDescent="0.25">
      <c r="A5186" t="s">
        <v>5190</v>
      </c>
      <c r="B5186">
        <v>0.99352677808782597</v>
      </c>
      <c r="C5186">
        <v>0.96534958393747905</v>
      </c>
      <c r="D5186">
        <v>0.97451161643640705</v>
      </c>
      <c r="E5186">
        <v>0.86692306509580197</v>
      </c>
      <c r="F5186">
        <v>0.74097236058234395</v>
      </c>
      <c r="G5186">
        <v>0.633733382749748</v>
      </c>
      <c r="H5186">
        <v>0.34437140667295202</v>
      </c>
      <c r="I5186">
        <v>0.215904297659298</v>
      </c>
      <c r="J5186">
        <v>0.14366761858972699</v>
      </c>
      <c r="K5186">
        <v>9.9832866375435494E-2</v>
      </c>
      <c r="L5186">
        <v>747.609724466957</v>
      </c>
      <c r="M5186">
        <v>12.8521726094546</v>
      </c>
      <c r="N5186">
        <v>58.169910066294896</v>
      </c>
      <c r="O5186">
        <v>56.815588443989498</v>
      </c>
      <c r="P5186">
        <v>-5.6562586159946901E-2</v>
      </c>
      <c r="Q5186">
        <v>0</v>
      </c>
      <c r="R5186">
        <v>0.99334316388417399</v>
      </c>
      <c r="S5186" t="s">
        <v>11471</v>
      </c>
      <c r="T5186" t="s">
        <v>12568</v>
      </c>
      <c r="U5186" t="s">
        <v>12568</v>
      </c>
      <c r="V5186" t="s">
        <v>12568</v>
      </c>
      <c r="W5186" t="s">
        <v>17703</v>
      </c>
      <c r="X5186">
        <v>10</v>
      </c>
      <c r="Y5186" t="s">
        <v>23800</v>
      </c>
      <c r="Z5186" t="s">
        <v>30056</v>
      </c>
      <c r="AA5186">
        <v>0.61821792116247876</v>
      </c>
      <c r="AB5186" t="str">
        <f>HYPERLINK("Melting_Curves/meltCurve_Q9GZN8_C20orf27.pdf", "Melting_Curves/meltCurve_Q9GZN8_C20orf27.pdf")</f>
        <v>Melting_Curves/meltCurve_Q9GZN8_C20orf27.pdf</v>
      </c>
    </row>
    <row r="5187" spans="1:28" x14ac:dyDescent="0.25">
      <c r="A5187" t="s">
        <v>5191</v>
      </c>
      <c r="B5187">
        <v>0.99352677808782597</v>
      </c>
      <c r="C5187">
        <v>0.98923005562213095</v>
      </c>
      <c r="D5187">
        <v>0.99822676268872701</v>
      </c>
      <c r="E5187">
        <v>1.0855812446704101</v>
      </c>
      <c r="F5187">
        <v>0.93776196712787496</v>
      </c>
      <c r="G5187">
        <v>0.96729394697168802</v>
      </c>
      <c r="H5187">
        <v>0.84973936736506295</v>
      </c>
      <c r="I5187">
        <v>0.73694619709015297</v>
      </c>
      <c r="J5187">
        <v>0.53601257541539904</v>
      </c>
      <c r="K5187">
        <v>0.253899762473552</v>
      </c>
      <c r="L5187">
        <v>1394.32569593475</v>
      </c>
      <c r="M5187">
        <v>20.813630318827201</v>
      </c>
      <c r="N5187">
        <v>66.990971823915899</v>
      </c>
      <c r="O5187">
        <v>66.381787131558696</v>
      </c>
      <c r="P5187">
        <v>-7.8388254549933006E-2</v>
      </c>
      <c r="Q5187">
        <v>0</v>
      </c>
      <c r="R5187">
        <v>0.97493456963576197</v>
      </c>
      <c r="S5187" t="s">
        <v>11472</v>
      </c>
      <c r="T5187" t="s">
        <v>12568</v>
      </c>
      <c r="U5187" t="s">
        <v>12568</v>
      </c>
      <c r="V5187" t="s">
        <v>12568</v>
      </c>
      <c r="W5187" t="s">
        <v>17704</v>
      </c>
      <c r="X5187">
        <v>12</v>
      </c>
      <c r="Y5187" t="s">
        <v>23801</v>
      </c>
      <c r="Z5187" t="s">
        <v>30057</v>
      </c>
      <c r="AA5187">
        <v>0.87182513616470658</v>
      </c>
      <c r="AB5187" t="str">
        <f>HYPERLINK("Melting_Curves/meltCurve_Q9GZP4_PITHD1.pdf", "Melting_Curves/meltCurve_Q9GZP4_PITHD1.pdf")</f>
        <v>Melting_Curves/meltCurve_Q9GZP4_PITHD1.pdf</v>
      </c>
    </row>
    <row r="5188" spans="1:28" x14ac:dyDescent="0.25">
      <c r="A5188" t="s">
        <v>5192</v>
      </c>
      <c r="B5188">
        <v>0.99352677808782597</v>
      </c>
      <c r="C5188">
        <v>0.95417595479639095</v>
      </c>
      <c r="D5188">
        <v>0.89233391416381702</v>
      </c>
      <c r="E5188">
        <v>1.2097823256828799</v>
      </c>
      <c r="F5188">
        <v>1.0599224592818799</v>
      </c>
      <c r="G5188">
        <v>0.40788808153107198</v>
      </c>
      <c r="H5188">
        <v>0.15852552155774699</v>
      </c>
      <c r="I5188">
        <v>0.12386973117245401</v>
      </c>
      <c r="J5188">
        <v>0.11158384390975699</v>
      </c>
      <c r="K5188">
        <v>7.5791631157920605E-2</v>
      </c>
      <c r="L5188">
        <v>11192.928147540601</v>
      </c>
      <c r="M5188">
        <v>197.079437237907</v>
      </c>
      <c r="N5188">
        <v>56.871265516903698</v>
      </c>
      <c r="O5188">
        <v>56.788144237262898</v>
      </c>
      <c r="P5188">
        <v>-0.76571426211141802</v>
      </c>
      <c r="Q5188">
        <v>0.11744232881614999</v>
      </c>
      <c r="R5188">
        <v>0.96625061099295295</v>
      </c>
      <c r="S5188" t="s">
        <v>11473</v>
      </c>
      <c r="T5188" t="s">
        <v>12568</v>
      </c>
      <c r="U5188" t="s">
        <v>12568</v>
      </c>
      <c r="V5188" t="s">
        <v>12568</v>
      </c>
      <c r="W5188" t="s">
        <v>17705</v>
      </c>
      <c r="X5188">
        <v>7</v>
      </c>
      <c r="Y5188" t="s">
        <v>23802</v>
      </c>
      <c r="Z5188" t="s">
        <v>30058</v>
      </c>
      <c r="AA5188">
        <v>0.61163947365999105</v>
      </c>
      <c r="AB5188" t="str">
        <f>HYPERLINK("Melting_Curves/meltCurve_Q9GZQ3_COMMD5.pdf", "Melting_Curves/meltCurve_Q9GZQ3_COMMD5.pdf")</f>
        <v>Melting_Curves/meltCurve_Q9GZQ3_COMMD5.pdf</v>
      </c>
    </row>
    <row r="5189" spans="1:28" x14ac:dyDescent="0.25">
      <c r="A5189" t="s">
        <v>5193</v>
      </c>
      <c r="B5189">
        <v>0.99352677808782597</v>
      </c>
      <c r="C5189">
        <v>0.93474934652402497</v>
      </c>
      <c r="D5189">
        <v>0.88336292342270795</v>
      </c>
      <c r="E5189">
        <v>0.40761179850110901</v>
      </c>
      <c r="F5189">
        <v>0.32804975935513597</v>
      </c>
      <c r="G5189">
        <v>0.22772495736997</v>
      </c>
      <c r="H5189">
        <v>0.163466962355483</v>
      </c>
      <c r="I5189">
        <v>0.15632069660527501</v>
      </c>
      <c r="J5189">
        <v>0.13971800460866399</v>
      </c>
      <c r="K5189">
        <v>0.118316756547702</v>
      </c>
      <c r="L5189">
        <v>1093.2939306000201</v>
      </c>
      <c r="M5189">
        <v>22.375715001791701</v>
      </c>
      <c r="N5189">
        <v>49.672067650853997</v>
      </c>
      <c r="O5189">
        <v>48.475513102089998</v>
      </c>
      <c r="P5189">
        <v>-9.7735535345930297E-2</v>
      </c>
      <c r="Q5189">
        <v>0.15306757639761301</v>
      </c>
      <c r="R5189">
        <v>0.98858147644175798</v>
      </c>
      <c r="S5189" t="s">
        <v>11474</v>
      </c>
      <c r="T5189" t="s">
        <v>12568</v>
      </c>
      <c r="U5189" t="s">
        <v>12568</v>
      </c>
      <c r="V5189" t="s">
        <v>12568</v>
      </c>
      <c r="W5189" t="s">
        <v>17706</v>
      </c>
      <c r="X5189">
        <v>12</v>
      </c>
      <c r="Y5189" t="s">
        <v>23803</v>
      </c>
      <c r="Z5189" t="s">
        <v>30059</v>
      </c>
      <c r="AA5189">
        <v>0.41264717528687028</v>
      </c>
      <c r="AB5189" t="str">
        <f>HYPERLINK("Melting_Curves/meltCurve_Q9GZR1_2_SENP6.pdf", "Melting_Curves/meltCurve_Q9GZR1_2_SENP6.pdf")</f>
        <v>Melting_Curves/meltCurve_Q9GZR1_2_SENP6.pdf</v>
      </c>
    </row>
    <row r="5190" spans="1:28" x14ac:dyDescent="0.25">
      <c r="A5190" t="s">
        <v>5194</v>
      </c>
      <c r="B5190">
        <v>0.99352677808782597</v>
      </c>
      <c r="C5190">
        <v>0.90938440732040005</v>
      </c>
      <c r="D5190">
        <v>0.886549002696429</v>
      </c>
      <c r="E5190">
        <v>0.350472118879675</v>
      </c>
      <c r="F5190">
        <v>0.34111961579712902</v>
      </c>
      <c r="G5190">
        <v>0.22755107334512101</v>
      </c>
      <c r="H5190">
        <v>0.135480171592605</v>
      </c>
      <c r="I5190">
        <v>0.15483216149660101</v>
      </c>
      <c r="J5190">
        <v>0.16768211980014999</v>
      </c>
      <c r="K5190">
        <v>0.151275216498334</v>
      </c>
      <c r="L5190">
        <v>1225.25365168196</v>
      </c>
      <c r="M5190">
        <v>25.305085634966002</v>
      </c>
      <c r="N5190">
        <v>49.2245003444216</v>
      </c>
      <c r="O5190">
        <v>48.1199205266714</v>
      </c>
      <c r="P5190">
        <v>-0.10918847231011999</v>
      </c>
      <c r="Q5190">
        <v>0.16948342216527401</v>
      </c>
      <c r="R5190">
        <v>0.97815484624934201</v>
      </c>
      <c r="S5190" t="s">
        <v>11475</v>
      </c>
      <c r="T5190" t="s">
        <v>12568</v>
      </c>
      <c r="U5190" t="s">
        <v>12568</v>
      </c>
      <c r="V5190" t="s">
        <v>12568</v>
      </c>
      <c r="W5190" t="s">
        <v>17707</v>
      </c>
      <c r="X5190">
        <v>4</v>
      </c>
      <c r="Y5190" t="s">
        <v>23804</v>
      </c>
      <c r="Z5190" t="s">
        <v>30060</v>
      </c>
      <c r="AA5190">
        <v>0.40971789127052749</v>
      </c>
      <c r="AB5190" t="str">
        <f>HYPERLINK("Melting_Curves/meltCurve_Q9GZS1_2_POLR1E.pdf", "Melting_Curves/meltCurve_Q9GZS1_2_POLR1E.pdf")</f>
        <v>Melting_Curves/meltCurve_Q9GZS1_2_POLR1E.pdf</v>
      </c>
    </row>
    <row r="5191" spans="1:28" x14ac:dyDescent="0.25">
      <c r="A5191" t="s">
        <v>5195</v>
      </c>
      <c r="B5191">
        <v>0.99352677808782597</v>
      </c>
      <c r="C5191">
        <v>0.96035317977221601</v>
      </c>
      <c r="D5191">
        <v>0.62555464989432197</v>
      </c>
      <c r="E5191">
        <v>0.75179059600119402</v>
      </c>
      <c r="F5191">
        <v>0.69146817712543496</v>
      </c>
      <c r="G5191">
        <v>0.33623937379784802</v>
      </c>
      <c r="H5191">
        <v>0.146257444179336</v>
      </c>
      <c r="I5191">
        <v>0.13983758822467399</v>
      </c>
      <c r="J5191">
        <v>0.108558983122178</v>
      </c>
      <c r="K5191">
        <v>8.6916346412994505E-2</v>
      </c>
      <c r="L5191">
        <v>557.494834531381</v>
      </c>
      <c r="M5191">
        <v>10.3507525507727</v>
      </c>
      <c r="N5191">
        <v>53.860318682765303</v>
      </c>
      <c r="O5191">
        <v>51.966238086649497</v>
      </c>
      <c r="P5191">
        <v>-4.9816789148597003E-2</v>
      </c>
      <c r="Q5191">
        <v>0</v>
      </c>
      <c r="R5191">
        <v>0.92524479036230201</v>
      </c>
      <c r="S5191" t="s">
        <v>11476</v>
      </c>
      <c r="T5191" t="s">
        <v>12568</v>
      </c>
      <c r="U5191" t="s">
        <v>12568</v>
      </c>
      <c r="V5191" t="s">
        <v>12568</v>
      </c>
      <c r="W5191" t="s">
        <v>17708</v>
      </c>
      <c r="X5191">
        <v>10</v>
      </c>
      <c r="Y5191" t="s">
        <v>23805</v>
      </c>
      <c r="Z5191" t="s">
        <v>30061</v>
      </c>
      <c r="AA5191">
        <v>0.49202965798730269</v>
      </c>
      <c r="AB5191" t="str">
        <f>HYPERLINK("Melting_Curves/meltCurve_Q9GZS3_WDR61.pdf", "Melting_Curves/meltCurve_Q9GZS3_WDR61.pdf")</f>
        <v>Melting_Curves/meltCurve_Q9GZS3_WDR61.pdf</v>
      </c>
    </row>
    <row r="5192" spans="1:28" x14ac:dyDescent="0.25">
      <c r="A5192" t="s">
        <v>5196</v>
      </c>
      <c r="B5192">
        <v>0.99352677808782597</v>
      </c>
      <c r="C5192">
        <v>0.98125084183394096</v>
      </c>
      <c r="D5192">
        <v>0.64550922006792699</v>
      </c>
      <c r="E5192">
        <v>0.49700416513933199</v>
      </c>
      <c r="F5192">
        <v>0.31454343647779298</v>
      </c>
      <c r="G5192">
        <v>0.238536925149541</v>
      </c>
      <c r="H5192">
        <v>0.182399464807976</v>
      </c>
      <c r="I5192">
        <v>0.19850161796280399</v>
      </c>
      <c r="J5192">
        <v>0.21900955315984499</v>
      </c>
      <c r="K5192">
        <v>0.225501656175635</v>
      </c>
      <c r="L5192">
        <v>853.22497999704296</v>
      </c>
      <c r="M5192">
        <v>17.888736531566501</v>
      </c>
      <c r="N5192">
        <v>49.115302708307901</v>
      </c>
      <c r="O5192">
        <v>47.1121529330972</v>
      </c>
      <c r="P5192">
        <v>-7.57736619743931E-2</v>
      </c>
      <c r="Q5192">
        <v>0.201803923782193</v>
      </c>
      <c r="R5192">
        <v>0.98080610055008</v>
      </c>
      <c r="S5192" t="s">
        <v>11477</v>
      </c>
      <c r="T5192" t="s">
        <v>12568</v>
      </c>
      <c r="U5192" t="s">
        <v>12568</v>
      </c>
      <c r="V5192" t="s">
        <v>12568</v>
      </c>
      <c r="W5192" t="s">
        <v>17709</v>
      </c>
      <c r="X5192">
        <v>6</v>
      </c>
      <c r="Y5192" t="s">
        <v>23806</v>
      </c>
      <c r="Z5192" t="s">
        <v>30062</v>
      </c>
      <c r="AA5192">
        <v>0.42106578210693357</v>
      </c>
      <c r="AB5192" t="str">
        <f>HYPERLINK("Melting_Curves/meltCurve_Q9GZT3_2_SLIRP.pdf", "Melting_Curves/meltCurve_Q9GZT3_2_SLIRP.pdf")</f>
        <v>Melting_Curves/meltCurve_Q9GZT3_2_SLIRP.pdf</v>
      </c>
    </row>
    <row r="5193" spans="1:28" x14ac:dyDescent="0.25">
      <c r="A5193" t="s">
        <v>5197</v>
      </c>
      <c r="B5193">
        <v>0.99352677808782597</v>
      </c>
      <c r="C5193">
        <v>0.89730969781039105</v>
      </c>
      <c r="D5193">
        <v>0.88966244883437695</v>
      </c>
      <c r="E5193">
        <v>0.34230892556531001</v>
      </c>
      <c r="F5193">
        <v>0.26130804016895698</v>
      </c>
      <c r="G5193">
        <v>0.16385944961094101</v>
      </c>
      <c r="H5193">
        <v>0.14268785137742199</v>
      </c>
      <c r="I5193">
        <v>0.123278792841772</v>
      </c>
      <c r="J5193">
        <v>9.4367629529621994E-2</v>
      </c>
      <c r="K5193">
        <v>5.33491426889992E-2</v>
      </c>
      <c r="L5193">
        <v>1266.9284843606099</v>
      </c>
      <c r="M5193">
        <v>26.085812081830099</v>
      </c>
      <c r="N5193">
        <v>49.056956071534401</v>
      </c>
      <c r="O5193">
        <v>48.284993085938801</v>
      </c>
      <c r="P5193">
        <v>-0.11959427676900999</v>
      </c>
      <c r="Q5193">
        <v>0.114531190475336</v>
      </c>
      <c r="R5193">
        <v>0.98334546404969703</v>
      </c>
      <c r="S5193" t="s">
        <v>11478</v>
      </c>
      <c r="T5193" t="s">
        <v>12568</v>
      </c>
      <c r="U5193" t="s">
        <v>12568</v>
      </c>
      <c r="V5193" t="s">
        <v>12568</v>
      </c>
      <c r="W5193" t="s">
        <v>17710</v>
      </c>
      <c r="X5193">
        <v>7</v>
      </c>
      <c r="Y5193" t="s">
        <v>23807</v>
      </c>
      <c r="Z5193" t="s">
        <v>30063</v>
      </c>
      <c r="AA5193">
        <v>0.37457853187973822</v>
      </c>
      <c r="AB5193" t="str">
        <f>HYPERLINK("Melting_Curves/meltCurve_Q9GZT4_SRR.pdf", "Melting_Curves/meltCurve_Q9GZT4_SRR.pdf")</f>
        <v>Melting_Curves/meltCurve_Q9GZT4_SRR.pdf</v>
      </c>
    </row>
    <row r="5194" spans="1:28" x14ac:dyDescent="0.25">
      <c r="A5194" t="s">
        <v>5198</v>
      </c>
      <c r="B5194">
        <v>0.99352677808782597</v>
      </c>
      <c r="C5194">
        <v>1.02686397883306</v>
      </c>
      <c r="D5194">
        <v>0.93496036743028199</v>
      </c>
      <c r="E5194">
        <v>0.91352991501995895</v>
      </c>
      <c r="F5194">
        <v>0.72875006960057498</v>
      </c>
      <c r="G5194">
        <v>0.64234992685703896</v>
      </c>
      <c r="H5194">
        <v>0.997927943482941</v>
      </c>
      <c r="I5194">
        <v>0.91069413320491199</v>
      </c>
      <c r="J5194">
        <v>0.74789074300231395</v>
      </c>
      <c r="K5194">
        <v>0.28065343191290298</v>
      </c>
      <c r="L5194">
        <v>428.74461386397098</v>
      </c>
      <c r="M5194">
        <v>5.85711931124664</v>
      </c>
      <c r="O5194">
        <v>66.024081761035205</v>
      </c>
      <c r="P5194">
        <v>-2.22562180475325E-2</v>
      </c>
      <c r="Q5194">
        <v>0</v>
      </c>
      <c r="R5194">
        <v>0.42977046136484198</v>
      </c>
      <c r="S5194" t="s">
        <v>11479</v>
      </c>
      <c r="T5194" t="s">
        <v>12568</v>
      </c>
      <c r="U5194" t="s">
        <v>12568</v>
      </c>
      <c r="V5194" t="s">
        <v>12568</v>
      </c>
      <c r="W5194" t="s">
        <v>17711</v>
      </c>
      <c r="X5194">
        <v>11</v>
      </c>
      <c r="Y5194" t="s">
        <v>23808</v>
      </c>
      <c r="Z5194" t="s">
        <v>30064</v>
      </c>
      <c r="AA5194">
        <v>0.83927325889890081</v>
      </c>
      <c r="AB5194" t="str">
        <f>HYPERLINK("Melting_Curves/meltCurve_Q9GZT8_NIF3L1.pdf", "Melting_Curves/meltCurve_Q9GZT8_NIF3L1.pdf")</f>
        <v>Melting_Curves/meltCurve_Q9GZT8_NIF3L1.pdf</v>
      </c>
    </row>
    <row r="5195" spans="1:28" x14ac:dyDescent="0.25">
      <c r="A5195" t="s">
        <v>5199</v>
      </c>
      <c r="B5195">
        <v>0.99352677808782597</v>
      </c>
      <c r="C5195">
        <v>0.78114895871211398</v>
      </c>
      <c r="D5195">
        <v>0.62449378925088495</v>
      </c>
      <c r="E5195">
        <v>0.46333010437998801</v>
      </c>
      <c r="F5195">
        <v>0.399199930794782</v>
      </c>
      <c r="G5195">
        <v>0.34364110414264498</v>
      </c>
      <c r="H5195">
        <v>0.285581993219099</v>
      </c>
      <c r="I5195">
        <v>0.29993770205553599</v>
      </c>
      <c r="J5195">
        <v>0.27060888064004901</v>
      </c>
      <c r="K5195">
        <v>0.205422812720571</v>
      </c>
      <c r="L5195">
        <v>603.93020711184704</v>
      </c>
      <c r="M5195">
        <v>13.0045301886546</v>
      </c>
      <c r="N5195">
        <v>49.1207127370458</v>
      </c>
      <c r="O5195">
        <v>45.383005033689699</v>
      </c>
      <c r="P5195">
        <v>-5.3443444931203697E-2</v>
      </c>
      <c r="Q5195">
        <v>0.254107221179945</v>
      </c>
      <c r="R5195">
        <v>0.978920892899523</v>
      </c>
      <c r="S5195" t="s">
        <v>11480</v>
      </c>
      <c r="T5195" t="s">
        <v>12568</v>
      </c>
      <c r="U5195" t="s">
        <v>12568</v>
      </c>
      <c r="V5195" t="s">
        <v>12568</v>
      </c>
      <c r="W5195" t="s">
        <v>17712</v>
      </c>
      <c r="X5195">
        <v>19</v>
      </c>
      <c r="Y5195" t="s">
        <v>23809</v>
      </c>
      <c r="Z5195" t="s">
        <v>30065</v>
      </c>
      <c r="AA5195">
        <v>0.44230555142878208</v>
      </c>
      <c r="AB5195" t="str">
        <f>HYPERLINK("Melting_Curves/meltCurve_Q9GZT9_EGLN1.pdf", "Melting_Curves/meltCurve_Q9GZT9_EGLN1.pdf")</f>
        <v>Melting_Curves/meltCurve_Q9GZT9_EGLN1.pdf</v>
      </c>
    </row>
    <row r="5196" spans="1:28" x14ac:dyDescent="0.25">
      <c r="A5196" t="s">
        <v>5200</v>
      </c>
      <c r="B5196">
        <v>0.99352677808782597</v>
      </c>
      <c r="C5196">
        <v>1.0018083075395401</v>
      </c>
      <c r="D5196">
        <v>1.03723074388903</v>
      </c>
      <c r="E5196">
        <v>1.03723589757384</v>
      </c>
      <c r="F5196">
        <v>0.97346161525616404</v>
      </c>
      <c r="G5196">
        <v>0.912460383755891</v>
      </c>
      <c r="H5196">
        <v>0.87031039933363397</v>
      </c>
      <c r="I5196">
        <v>0.94519707112862195</v>
      </c>
      <c r="J5196">
        <v>1.02184182939283</v>
      </c>
      <c r="K5196">
        <v>0.89716789778038097</v>
      </c>
      <c r="L5196">
        <v>13276.876314651799</v>
      </c>
      <c r="M5196">
        <v>250</v>
      </c>
      <c r="O5196">
        <v>53.104107072241398</v>
      </c>
      <c r="P5196">
        <v>-8.3096780645835006E-2</v>
      </c>
      <c r="Q5196">
        <v>0.92939551514864405</v>
      </c>
      <c r="R5196">
        <v>0.49389931368866402</v>
      </c>
      <c r="S5196" t="s">
        <v>11481</v>
      </c>
      <c r="T5196" t="s">
        <v>12568</v>
      </c>
      <c r="U5196" t="s">
        <v>12568</v>
      </c>
      <c r="V5196" t="s">
        <v>12568</v>
      </c>
      <c r="W5196" t="s">
        <v>17713</v>
      </c>
      <c r="X5196">
        <v>20</v>
      </c>
      <c r="Y5196" t="s">
        <v>23810</v>
      </c>
      <c r="Z5196" t="s">
        <v>30066</v>
      </c>
      <c r="AA5196">
        <v>0.96025038423652886</v>
      </c>
      <c r="AB5196" t="str">
        <f>HYPERLINK("Melting_Curves/meltCurve_Q9GZU8_FAM192A.pdf", "Melting_Curves/meltCurve_Q9GZU8_FAM192A.pdf")</f>
        <v>Melting_Curves/meltCurve_Q9GZU8_FAM192A.pdf</v>
      </c>
    </row>
    <row r="5197" spans="1:28" x14ac:dyDescent="0.25">
      <c r="A5197" t="s">
        <v>5201</v>
      </c>
      <c r="B5197">
        <v>0.99352677808782597</v>
      </c>
      <c r="C5197">
        <v>1.00775941009585</v>
      </c>
      <c r="D5197">
        <v>0.995793885256269</v>
      </c>
      <c r="E5197">
        <v>0.512111390439425</v>
      </c>
      <c r="F5197">
        <v>0.50028807844613299</v>
      </c>
      <c r="G5197">
        <v>0.28148914239586698</v>
      </c>
      <c r="H5197">
        <v>0.20738460524829899</v>
      </c>
      <c r="I5197">
        <v>0.200116796241952</v>
      </c>
      <c r="J5197">
        <v>0.16671232692156401</v>
      </c>
      <c r="K5197">
        <v>0.126322699917776</v>
      </c>
      <c r="L5197">
        <v>943.04138552774202</v>
      </c>
      <c r="M5197">
        <v>18.590544338646598</v>
      </c>
      <c r="N5197">
        <v>51.8510297228787</v>
      </c>
      <c r="O5197">
        <v>50.150913773034503</v>
      </c>
      <c r="P5197">
        <v>-7.7306032141589598E-2</v>
      </c>
      <c r="Q5197">
        <v>0.16585557367395001</v>
      </c>
      <c r="R5197">
        <v>0.97015541563597796</v>
      </c>
      <c r="S5197" t="s">
        <v>11482</v>
      </c>
      <c r="T5197" t="s">
        <v>12568</v>
      </c>
      <c r="U5197" t="s">
        <v>12568</v>
      </c>
      <c r="V5197" t="s">
        <v>12568</v>
      </c>
      <c r="W5197" t="s">
        <v>17714</v>
      </c>
      <c r="X5197">
        <v>5</v>
      </c>
      <c r="Y5197" t="s">
        <v>23811</v>
      </c>
      <c r="Z5197" t="s">
        <v>30067</v>
      </c>
      <c r="AA5197">
        <v>0.47740239246267341</v>
      </c>
      <c r="AB5197" t="str">
        <f>HYPERLINK("Melting_Curves/meltCurve_Q9GZV1_ANKRD2.pdf", "Melting_Curves/meltCurve_Q9GZV1_ANKRD2.pdf")</f>
        <v>Melting_Curves/meltCurve_Q9GZV1_ANKRD2.pdf</v>
      </c>
    </row>
    <row r="5198" spans="1:28" x14ac:dyDescent="0.25">
      <c r="A5198" t="s">
        <v>5202</v>
      </c>
      <c r="B5198">
        <v>0.99352677808782597</v>
      </c>
      <c r="C5198">
        <v>0.95475185488676295</v>
      </c>
      <c r="D5198">
        <v>0.886343362052471</v>
      </c>
      <c r="E5198">
        <v>0.75123745114434903</v>
      </c>
      <c r="F5198">
        <v>0.673820634122139</v>
      </c>
      <c r="G5198">
        <v>0.54235045938102899</v>
      </c>
      <c r="H5198">
        <v>0.523300495742968</v>
      </c>
      <c r="I5198">
        <v>0.544699560136228</v>
      </c>
      <c r="J5198">
        <v>0.48116937886956901</v>
      </c>
      <c r="K5198">
        <v>0.42763020909196803</v>
      </c>
      <c r="L5198">
        <v>623.53677024480896</v>
      </c>
      <c r="M5198">
        <v>12.2198395535895</v>
      </c>
      <c r="N5198">
        <v>62.8641007416579</v>
      </c>
      <c r="O5198">
        <v>49.7177798701995</v>
      </c>
      <c r="P5198">
        <v>-3.3807683852698701E-2</v>
      </c>
      <c r="Q5198">
        <v>0.44992230618651002</v>
      </c>
      <c r="R5198">
        <v>0.98553261621365396</v>
      </c>
      <c r="S5198" t="s">
        <v>11483</v>
      </c>
      <c r="T5198" t="s">
        <v>12568</v>
      </c>
      <c r="U5198" t="s">
        <v>12568</v>
      </c>
      <c r="V5198" t="s">
        <v>12568</v>
      </c>
      <c r="W5198" t="s">
        <v>17715</v>
      </c>
      <c r="X5198">
        <v>6</v>
      </c>
      <c r="Y5198" t="s">
        <v>23812</v>
      </c>
      <c r="Z5198" t="s">
        <v>30068</v>
      </c>
      <c r="AA5198">
        <v>0.66955539729507207</v>
      </c>
      <c r="AB5198" t="str">
        <f>HYPERLINK("Melting_Curves/meltCurve_Q9GZV5_WWTR1.pdf", "Melting_Curves/meltCurve_Q9GZV5_WWTR1.pdf")</f>
        <v>Melting_Curves/meltCurve_Q9GZV5_WWTR1.pdf</v>
      </c>
    </row>
    <row r="5199" spans="1:28" x14ac:dyDescent="0.25">
      <c r="A5199" t="s">
        <v>5203</v>
      </c>
      <c r="B5199">
        <v>0.99352677808782597</v>
      </c>
      <c r="C5199">
        <v>0.90375151799581799</v>
      </c>
      <c r="D5199">
        <v>0.88197608335755695</v>
      </c>
      <c r="E5199">
        <v>0.56633819942608599</v>
      </c>
      <c r="F5199">
        <v>0.52005295686957798</v>
      </c>
      <c r="G5199">
        <v>0.38043131991914497</v>
      </c>
      <c r="H5199">
        <v>0.27568645309113599</v>
      </c>
      <c r="I5199">
        <v>0.28335239136816798</v>
      </c>
      <c r="J5199">
        <v>0.28698242952097702</v>
      </c>
      <c r="K5199">
        <v>0.187488414521358</v>
      </c>
      <c r="L5199">
        <v>653.69107261762497</v>
      </c>
      <c r="M5199">
        <v>12.949297529471799</v>
      </c>
      <c r="N5199">
        <v>52.812295711841202</v>
      </c>
      <c r="O5199">
        <v>49.322412747936298</v>
      </c>
      <c r="P5199">
        <v>-5.1355606717719597E-2</v>
      </c>
      <c r="Q5199">
        <v>0.21770950962333299</v>
      </c>
      <c r="R5199">
        <v>0.98234959374713104</v>
      </c>
      <c r="S5199" t="s">
        <v>11484</v>
      </c>
      <c r="T5199" t="s">
        <v>12568</v>
      </c>
      <c r="U5199" t="s">
        <v>12568</v>
      </c>
      <c r="V5199" t="s">
        <v>12568</v>
      </c>
      <c r="W5199" t="s">
        <v>17716</v>
      </c>
      <c r="X5199">
        <v>4</v>
      </c>
      <c r="Y5199" t="s">
        <v>23813</v>
      </c>
      <c r="Z5199" t="s">
        <v>30069</v>
      </c>
      <c r="AA5199">
        <v>0.51442119440535217</v>
      </c>
      <c r="AB5199" t="str">
        <f>HYPERLINK("Melting_Curves/meltCurve_Q9GZX9_TWSG1.pdf", "Melting_Curves/meltCurve_Q9GZX9_TWSG1.pdf")</f>
        <v>Melting_Curves/meltCurve_Q9GZX9_TWSG1.pdf</v>
      </c>
    </row>
    <row r="5200" spans="1:28" x14ac:dyDescent="0.25">
      <c r="A5200" t="s">
        <v>5204</v>
      </c>
      <c r="B5200">
        <v>0.99352677808782597</v>
      </c>
      <c r="C5200">
        <v>0.96131464614505502</v>
      </c>
      <c r="D5200">
        <v>0.89556066358040098</v>
      </c>
      <c r="E5200">
        <v>0.74722835074952199</v>
      </c>
      <c r="F5200">
        <v>0.67801472017039399</v>
      </c>
      <c r="G5200">
        <v>0.58289505277412501</v>
      </c>
      <c r="H5200">
        <v>0.49591694871313502</v>
      </c>
      <c r="I5200">
        <v>0.55122704724091398</v>
      </c>
      <c r="J5200">
        <v>0.52849373844678404</v>
      </c>
      <c r="K5200">
        <v>0.44865506976807101</v>
      </c>
      <c r="L5200">
        <v>662.82091572353897</v>
      </c>
      <c r="M5200">
        <v>13.0686189378485</v>
      </c>
      <c r="N5200">
        <v>66.568973745513006</v>
      </c>
      <c r="O5200">
        <v>49.575024833593098</v>
      </c>
      <c r="P5200">
        <v>-3.4424736625383201E-2</v>
      </c>
      <c r="Q5200">
        <v>0.47773766078156699</v>
      </c>
      <c r="R5200">
        <v>0.98330352935465903</v>
      </c>
      <c r="S5200" t="s">
        <v>11485</v>
      </c>
      <c r="T5200" t="s">
        <v>12568</v>
      </c>
      <c r="U5200" t="s">
        <v>12568</v>
      </c>
      <c r="V5200" t="s">
        <v>12568</v>
      </c>
      <c r="W5200" t="s">
        <v>17717</v>
      </c>
      <c r="X5200">
        <v>2</v>
      </c>
      <c r="Y5200" t="s">
        <v>23814</v>
      </c>
      <c r="Z5200" t="s">
        <v>30070</v>
      </c>
      <c r="AA5200">
        <v>0.67956062885474211</v>
      </c>
      <c r="AB5200" t="str">
        <f>HYPERLINK("Melting_Curves/meltCurve_Q9GZY8_2_MFF.pdf", "Melting_Curves/meltCurve_Q9GZY8_2_MFF.pdf")</f>
        <v>Melting_Curves/meltCurve_Q9GZY8_2_MFF.pdf</v>
      </c>
    </row>
    <row r="5201" spans="1:28" x14ac:dyDescent="0.25">
      <c r="A5201" t="s">
        <v>5205</v>
      </c>
      <c r="B5201">
        <v>0.99352677808782597</v>
      </c>
      <c r="C5201">
        <v>0.94756098313877102</v>
      </c>
      <c r="D5201">
        <v>0.91533592574814604</v>
      </c>
      <c r="E5201">
        <v>0.42577584821660502</v>
      </c>
      <c r="F5201">
        <v>0.32768160007830999</v>
      </c>
      <c r="G5201">
        <v>0.19612836689346799</v>
      </c>
      <c r="H5201">
        <v>0.13003456550557899</v>
      </c>
      <c r="I5201">
        <v>0.112643673536444</v>
      </c>
      <c r="J5201">
        <v>0.100926062520522</v>
      </c>
      <c r="K5201">
        <v>8.5662653845912401E-2</v>
      </c>
      <c r="L5201">
        <v>1081.93540765902</v>
      </c>
      <c r="M5201">
        <v>21.909182819517198</v>
      </c>
      <c r="N5201">
        <v>49.969039171080702</v>
      </c>
      <c r="O5201">
        <v>48.976829308272201</v>
      </c>
      <c r="P5201">
        <v>-9.9161207337054996E-2</v>
      </c>
      <c r="Q5201">
        <v>0.11334103157756301</v>
      </c>
      <c r="R5201">
        <v>0.98868313711746603</v>
      </c>
      <c r="S5201" t="s">
        <v>11486</v>
      </c>
      <c r="T5201" t="s">
        <v>12568</v>
      </c>
      <c r="U5201" t="s">
        <v>12568</v>
      </c>
      <c r="V5201" t="s">
        <v>12568</v>
      </c>
      <c r="W5201" t="s">
        <v>17718</v>
      </c>
      <c r="X5201">
        <v>6</v>
      </c>
      <c r="Y5201" t="s">
        <v>23815</v>
      </c>
      <c r="Z5201" t="s">
        <v>30071</v>
      </c>
      <c r="AA5201">
        <v>0.40095614544597918</v>
      </c>
      <c r="AB5201" t="str">
        <f>HYPERLINK("Melting_Curves/meltCurve_Q9GZZ9_UBA5.pdf", "Melting_Curves/meltCurve_Q9GZZ9_UBA5.pdf")</f>
        <v>Melting_Curves/meltCurve_Q9GZZ9_UBA5.pdf</v>
      </c>
    </row>
    <row r="5202" spans="1:28" x14ac:dyDescent="0.25">
      <c r="A5202" t="s">
        <v>5206</v>
      </c>
      <c r="B5202">
        <v>0.99352677808782597</v>
      </c>
      <c r="C5202">
        <v>0.97406229714531201</v>
      </c>
      <c r="D5202">
        <v>1.0088465228341901</v>
      </c>
      <c r="E5202">
        <v>0.87273235559867202</v>
      </c>
      <c r="F5202">
        <v>0.75932578226976599</v>
      </c>
      <c r="G5202">
        <v>0.52668570914729795</v>
      </c>
      <c r="H5202">
        <v>0.1702724505523</v>
      </c>
      <c r="I5202">
        <v>8.9758745110631796E-2</v>
      </c>
      <c r="J5202">
        <v>5.4918069534499001E-2</v>
      </c>
      <c r="K5202">
        <v>4.2638358580466502E-2</v>
      </c>
      <c r="L5202">
        <v>1028.34904392305</v>
      </c>
      <c r="M5202">
        <v>18.167167216653301</v>
      </c>
      <c r="N5202">
        <v>56.604809683928899</v>
      </c>
      <c r="O5202">
        <v>55.9323288615903</v>
      </c>
      <c r="P5202">
        <v>-8.1205413203406296E-2</v>
      </c>
      <c r="Q5202">
        <v>0</v>
      </c>
      <c r="R5202">
        <v>0.99433880913646</v>
      </c>
      <c r="S5202" t="s">
        <v>11487</v>
      </c>
      <c r="T5202" t="s">
        <v>12568</v>
      </c>
      <c r="U5202" t="s">
        <v>12568</v>
      </c>
      <c r="V5202" t="s">
        <v>12568</v>
      </c>
      <c r="W5202" t="s">
        <v>17719</v>
      </c>
      <c r="X5202">
        <v>6</v>
      </c>
      <c r="Y5202" t="s">
        <v>23816</v>
      </c>
      <c r="Z5202" t="s">
        <v>30072</v>
      </c>
      <c r="AA5202">
        <v>0.56751114998943075</v>
      </c>
      <c r="AB5202" t="str">
        <f>HYPERLINK("Melting_Curves/meltCurve_Q9H008_LHPP.pdf", "Melting_Curves/meltCurve_Q9H008_LHPP.pdf")</f>
        <v>Melting_Curves/meltCurve_Q9H008_LHPP.pdf</v>
      </c>
    </row>
    <row r="5203" spans="1:28" x14ac:dyDescent="0.25">
      <c r="A5203" t="s">
        <v>5207</v>
      </c>
      <c r="B5203">
        <v>0.99352677808782597</v>
      </c>
      <c r="C5203">
        <v>1.03047419875409</v>
      </c>
      <c r="D5203">
        <v>0.94513574772301401</v>
      </c>
      <c r="E5203">
        <v>0.92376315765458805</v>
      </c>
      <c r="F5203">
        <v>0.77758009061522804</v>
      </c>
      <c r="G5203">
        <v>0.73669917644907801</v>
      </c>
      <c r="H5203">
        <v>0.48466853400340099</v>
      </c>
      <c r="I5203">
        <v>0.238896477177995</v>
      </c>
      <c r="J5203">
        <v>0.14152944604401299</v>
      </c>
      <c r="K5203">
        <v>9.8482857794253004E-2</v>
      </c>
      <c r="L5203">
        <v>868.43792978576801</v>
      </c>
      <c r="M5203">
        <v>14.5074343876322</v>
      </c>
      <c r="N5203">
        <v>59.861579206542899</v>
      </c>
      <c r="O5203">
        <v>58.7586596199803</v>
      </c>
      <c r="P5203">
        <v>-6.1731779096355403E-2</v>
      </c>
      <c r="Q5203">
        <v>0</v>
      </c>
      <c r="R5203">
        <v>0.98244303942920796</v>
      </c>
      <c r="S5203" t="s">
        <v>11488</v>
      </c>
      <c r="T5203" t="s">
        <v>12568</v>
      </c>
      <c r="U5203" t="s">
        <v>12568</v>
      </c>
      <c r="V5203" t="s">
        <v>12568</v>
      </c>
      <c r="W5203" t="s">
        <v>17720</v>
      </c>
      <c r="X5203">
        <v>14</v>
      </c>
      <c r="Y5203" t="s">
        <v>23817</v>
      </c>
      <c r="Z5203" t="s">
        <v>30073</v>
      </c>
      <c r="AA5203">
        <v>0.66904524211719518</v>
      </c>
      <c r="AB5203" t="str">
        <f>HYPERLINK("Melting_Curves/meltCurve_Q9H074_PAIP1.pdf", "Melting_Curves/meltCurve_Q9H074_PAIP1.pdf")</f>
        <v>Melting_Curves/meltCurve_Q9H074_PAIP1.pdf</v>
      </c>
    </row>
    <row r="5204" spans="1:28" x14ac:dyDescent="0.25">
      <c r="A5204" t="s">
        <v>5208</v>
      </c>
      <c r="B5204">
        <v>0.99352677808782597</v>
      </c>
      <c r="C5204">
        <v>0.92473641046871702</v>
      </c>
      <c r="D5204">
        <v>0.94176943422594495</v>
      </c>
      <c r="E5204">
        <v>0.31381355884114798</v>
      </c>
      <c r="F5204">
        <v>0.25207637048779302</v>
      </c>
      <c r="G5204">
        <v>0.154416869895595</v>
      </c>
      <c r="H5204">
        <v>0.118244700216523</v>
      </c>
      <c r="I5204">
        <v>0.119622593792251</v>
      </c>
      <c r="J5204">
        <v>9.3312277384004494E-2</v>
      </c>
      <c r="K5204">
        <v>8.6435229122328899E-2</v>
      </c>
      <c r="L5204">
        <v>1851.98336292459</v>
      </c>
      <c r="M5204">
        <v>38.124461890055599</v>
      </c>
      <c r="N5204">
        <v>48.952475225652798</v>
      </c>
      <c r="O5204">
        <v>48.444222699785797</v>
      </c>
      <c r="P5204">
        <v>-0.17181967811785201</v>
      </c>
      <c r="Q5204">
        <v>0.12668670860998599</v>
      </c>
      <c r="R5204">
        <v>0.98615446731819301</v>
      </c>
      <c r="S5204" t="s">
        <v>11489</v>
      </c>
      <c r="T5204" t="s">
        <v>12568</v>
      </c>
      <c r="U5204" t="s">
        <v>12568</v>
      </c>
      <c r="V5204" t="s">
        <v>12568</v>
      </c>
      <c r="W5204" t="s">
        <v>17721</v>
      </c>
      <c r="X5204">
        <v>10</v>
      </c>
      <c r="Y5204" t="s">
        <v>23818</v>
      </c>
      <c r="Z5204" t="s">
        <v>30074</v>
      </c>
      <c r="AA5204">
        <v>0.37961361217094769</v>
      </c>
      <c r="AB5204" t="str">
        <f>HYPERLINK("Melting_Curves/meltCurve_Q9H078_2_CLPB.pdf", "Melting_Curves/meltCurve_Q9H078_2_CLPB.pdf")</f>
        <v>Melting_Curves/meltCurve_Q9H078_2_CLPB.pdf</v>
      </c>
    </row>
    <row r="5205" spans="1:28" x14ac:dyDescent="0.25">
      <c r="A5205" t="s">
        <v>5209</v>
      </c>
      <c r="B5205">
        <v>0.99352677808782597</v>
      </c>
      <c r="C5205">
        <v>0.98460870731019801</v>
      </c>
      <c r="D5205">
        <v>1.0129198338109799</v>
      </c>
      <c r="E5205">
        <v>0.400661918299618</v>
      </c>
      <c r="F5205">
        <v>0.31288812644262698</v>
      </c>
      <c r="G5205">
        <v>0.18541533064534399</v>
      </c>
      <c r="H5205">
        <v>0.13644867307238701</v>
      </c>
      <c r="I5205">
        <v>0.14212427347743301</v>
      </c>
      <c r="J5205">
        <v>9.0559909662396507E-2</v>
      </c>
      <c r="K5205">
        <v>6.0442131302934902E-2</v>
      </c>
      <c r="L5205">
        <v>1698.2846646360999</v>
      </c>
      <c r="M5205">
        <v>34.463957936979</v>
      </c>
      <c r="N5205">
        <v>49.729197302441698</v>
      </c>
      <c r="O5205">
        <v>49.112098491559202</v>
      </c>
      <c r="P5205">
        <v>-0.15184274709378301</v>
      </c>
      <c r="Q5205">
        <v>0.13448269731981899</v>
      </c>
      <c r="R5205">
        <v>0.97848877768563802</v>
      </c>
      <c r="S5205" t="s">
        <v>11490</v>
      </c>
      <c r="T5205" t="s">
        <v>12568</v>
      </c>
      <c r="U5205" t="s">
        <v>12568</v>
      </c>
      <c r="V5205" t="s">
        <v>12568</v>
      </c>
      <c r="W5205" t="s">
        <v>17722</v>
      </c>
      <c r="X5205">
        <v>6</v>
      </c>
      <c r="Y5205" t="s">
        <v>23819</v>
      </c>
      <c r="Z5205" t="s">
        <v>30075</v>
      </c>
      <c r="AA5205">
        <v>0.40612324216843232</v>
      </c>
      <c r="AB5205" t="str">
        <f>HYPERLINK("Melting_Curves/meltCurve_Q9H081_MIS12.pdf", "Melting_Curves/meltCurve_Q9H081_MIS12.pdf")</f>
        <v>Melting_Curves/meltCurve_Q9H081_MIS12.pdf</v>
      </c>
    </row>
    <row r="5206" spans="1:28" x14ac:dyDescent="0.25">
      <c r="A5206" t="s">
        <v>5210</v>
      </c>
      <c r="B5206">
        <v>0.99352677808782597</v>
      </c>
      <c r="C5206">
        <v>0.98796211645773901</v>
      </c>
      <c r="D5206">
        <v>1.03486364267725</v>
      </c>
      <c r="E5206">
        <v>0.72946163121278496</v>
      </c>
      <c r="F5206">
        <v>0.65310031323420004</v>
      </c>
      <c r="G5206">
        <v>0.38135844221755899</v>
      </c>
      <c r="H5206">
        <v>0.188574700088737</v>
      </c>
      <c r="I5206">
        <v>0.160477138414653</v>
      </c>
      <c r="J5206">
        <v>9.4503374570865606E-2</v>
      </c>
      <c r="K5206">
        <v>6.9142286976669701E-2</v>
      </c>
      <c r="L5206">
        <v>816.20924057451202</v>
      </c>
      <c r="M5206">
        <v>14.957368691211901</v>
      </c>
      <c r="N5206">
        <v>54.895701990275398</v>
      </c>
      <c r="O5206">
        <v>53.621495714039902</v>
      </c>
      <c r="P5206">
        <v>-6.6773374151987697E-2</v>
      </c>
      <c r="Q5206">
        <v>4.25796087315388E-2</v>
      </c>
      <c r="R5206">
        <v>0.98886258474564803</v>
      </c>
      <c r="S5206" t="s">
        <v>11491</v>
      </c>
      <c r="T5206" t="s">
        <v>12568</v>
      </c>
      <c r="U5206" t="s">
        <v>12568</v>
      </c>
      <c r="V5206" t="s">
        <v>12568</v>
      </c>
      <c r="W5206" t="s">
        <v>17723</v>
      </c>
      <c r="X5206">
        <v>1</v>
      </c>
      <c r="Y5206" t="s">
        <v>23820</v>
      </c>
      <c r="Z5206" t="s">
        <v>30076</v>
      </c>
      <c r="AA5206">
        <v>0.52660078939468002</v>
      </c>
      <c r="AB5206" t="str">
        <f>HYPERLINK("Melting_Curves/meltCurve_Q9H082_RAB33B.pdf", "Melting_Curves/meltCurve_Q9H082_RAB33B.pdf")</f>
        <v>Melting_Curves/meltCurve_Q9H082_RAB33B.pdf</v>
      </c>
    </row>
    <row r="5207" spans="1:28" x14ac:dyDescent="0.25">
      <c r="A5207" t="s">
        <v>5211</v>
      </c>
      <c r="B5207">
        <v>0.99352677808782597</v>
      </c>
      <c r="C5207">
        <v>0.97513571092277695</v>
      </c>
      <c r="D5207">
        <v>1.0684424867159601</v>
      </c>
      <c r="E5207">
        <v>1.0956709022861899</v>
      </c>
      <c r="F5207">
        <v>1.00325231289907</v>
      </c>
      <c r="G5207">
        <v>0.98716795155707404</v>
      </c>
      <c r="H5207">
        <v>0.89765092718182904</v>
      </c>
      <c r="I5207">
        <v>1.00854276443393</v>
      </c>
      <c r="J5207">
        <v>0.96908460763803494</v>
      </c>
      <c r="K5207">
        <v>0.90116629904668999</v>
      </c>
      <c r="L5207">
        <v>772.01829677216301</v>
      </c>
      <c r="M5207">
        <v>8.6575996766325698</v>
      </c>
      <c r="Q5207">
        <v>0</v>
      </c>
      <c r="R5207">
        <v>0.30471617078443802</v>
      </c>
      <c r="S5207" t="s">
        <v>11492</v>
      </c>
      <c r="T5207" t="s">
        <v>12568</v>
      </c>
      <c r="U5207" t="s">
        <v>12568</v>
      </c>
      <c r="V5207" t="s">
        <v>12568</v>
      </c>
      <c r="W5207" t="s">
        <v>17724</v>
      </c>
      <c r="X5207">
        <v>16</v>
      </c>
      <c r="Y5207" t="s">
        <v>23821</v>
      </c>
      <c r="Z5207" t="s">
        <v>30077</v>
      </c>
      <c r="AA5207">
        <v>0.98390132601068103</v>
      </c>
      <c r="AB5207" t="str">
        <f>HYPERLINK("Melting_Curves/meltCurve_Q9H098_FAM107B.pdf", "Melting_Curves/meltCurve_Q9H098_FAM107B.pdf")</f>
        <v>Melting_Curves/meltCurve_Q9H098_FAM107B.pdf</v>
      </c>
    </row>
    <row r="5208" spans="1:28" x14ac:dyDescent="0.25">
      <c r="A5208" t="s">
        <v>5212</v>
      </c>
      <c r="B5208">
        <v>0.99352677808782597</v>
      </c>
      <c r="C5208">
        <v>0.97919436936188697</v>
      </c>
      <c r="D5208">
        <v>0.94232910986552898</v>
      </c>
      <c r="E5208">
        <v>0.667604768049879</v>
      </c>
      <c r="F5208">
        <v>0.55333913691644199</v>
      </c>
      <c r="G5208">
        <v>0.26585034946377201</v>
      </c>
      <c r="H5208">
        <v>0.117072566391466</v>
      </c>
      <c r="I5208">
        <v>0.116921820289585</v>
      </c>
      <c r="J5208">
        <v>8.5669269131073505E-2</v>
      </c>
      <c r="K5208">
        <v>6.11514346744466E-2</v>
      </c>
      <c r="L5208">
        <v>826.95250237161997</v>
      </c>
      <c r="M5208">
        <v>15.6602359287845</v>
      </c>
      <c r="N5208">
        <v>53.112331502438998</v>
      </c>
      <c r="O5208">
        <v>51.9672990370319</v>
      </c>
      <c r="P5208">
        <v>-7.2088709435112294E-2</v>
      </c>
      <c r="Q5208">
        <v>4.3198103742170001E-2</v>
      </c>
      <c r="R5208">
        <v>0.995143372381742</v>
      </c>
      <c r="S5208" t="s">
        <v>11493</v>
      </c>
      <c r="T5208" t="s">
        <v>12568</v>
      </c>
      <c r="U5208" t="s">
        <v>12568</v>
      </c>
      <c r="V5208" t="s">
        <v>12568</v>
      </c>
      <c r="W5208" t="s">
        <v>17725</v>
      </c>
      <c r="X5208">
        <v>5</v>
      </c>
      <c r="Y5208" t="s">
        <v>23822</v>
      </c>
      <c r="Z5208" t="s">
        <v>30078</v>
      </c>
      <c r="AA5208">
        <v>0.47112386501923331</v>
      </c>
      <c r="AB5208" t="str">
        <f>HYPERLINK("Melting_Curves/meltCurve_Q9H0A8_COMMD4.pdf", "Melting_Curves/meltCurve_Q9H0A8_COMMD4.pdf")</f>
        <v>Melting_Curves/meltCurve_Q9H0A8_COMMD4.pdf</v>
      </c>
    </row>
    <row r="5209" spans="1:28" x14ac:dyDescent="0.25">
      <c r="A5209" t="s">
        <v>5213</v>
      </c>
      <c r="B5209">
        <v>0.99352677808782597</v>
      </c>
      <c r="C5209">
        <v>1.00832860044698</v>
      </c>
      <c r="D5209">
        <v>0.627186798338498</v>
      </c>
      <c r="E5209">
        <v>0.31702279570965902</v>
      </c>
      <c r="F5209">
        <v>0.26390659576605402</v>
      </c>
      <c r="G5209">
        <v>0.187414548052387</v>
      </c>
      <c r="H5209">
        <v>0.15467263847903301</v>
      </c>
      <c r="I5209">
        <v>0.17215171680914401</v>
      </c>
      <c r="J5209">
        <v>0.13847918526109901</v>
      </c>
      <c r="K5209">
        <v>0.122157908173496</v>
      </c>
      <c r="L5209">
        <v>1169.76318748475</v>
      </c>
      <c r="M5209">
        <v>24.969076849163599</v>
      </c>
      <c r="N5209">
        <v>47.598355878414701</v>
      </c>
      <c r="O5209">
        <v>46.551093317479499</v>
      </c>
      <c r="P5209">
        <v>-0.112291260755479</v>
      </c>
      <c r="Q5209">
        <v>0.162610848879574</v>
      </c>
      <c r="R5209">
        <v>0.98576337501637001</v>
      </c>
      <c r="S5209" t="s">
        <v>11494</v>
      </c>
      <c r="T5209" t="s">
        <v>12568</v>
      </c>
      <c r="U5209" t="s">
        <v>12568</v>
      </c>
      <c r="V5209" t="s">
        <v>12568</v>
      </c>
      <c r="W5209" t="s">
        <v>17726</v>
      </c>
      <c r="X5209">
        <v>29</v>
      </c>
      <c r="Y5209" t="s">
        <v>23823</v>
      </c>
      <c r="Z5209" t="s">
        <v>30079</v>
      </c>
      <c r="AA5209">
        <v>0.36129375285134357</v>
      </c>
      <c r="AB5209" t="str">
        <f>HYPERLINK("Melting_Curves/meltCurve_Q9H0B6_KLC2.pdf", "Melting_Curves/meltCurve_Q9H0B6_KLC2.pdf")</f>
        <v>Melting_Curves/meltCurve_Q9H0B6_KLC2.pdf</v>
      </c>
    </row>
    <row r="5210" spans="1:28" x14ac:dyDescent="0.25">
      <c r="A5210" t="s">
        <v>5214</v>
      </c>
      <c r="B5210">
        <v>0.99352677808782597</v>
      </c>
      <c r="C5210">
        <v>0.77122161865051297</v>
      </c>
      <c r="D5210">
        <v>0.89567136886371002</v>
      </c>
      <c r="E5210">
        <v>0.32952227118812299</v>
      </c>
      <c r="F5210">
        <v>0.272741937359055</v>
      </c>
      <c r="G5210">
        <v>0.17241871652280799</v>
      </c>
      <c r="H5210">
        <v>0.13185061651104399</v>
      </c>
      <c r="I5210">
        <v>0.116308485987586</v>
      </c>
      <c r="J5210">
        <v>9.76715254569928E-2</v>
      </c>
      <c r="K5210">
        <v>7.7551592324853896E-2</v>
      </c>
      <c r="L5210">
        <v>948.40110907407404</v>
      </c>
      <c r="M5210">
        <v>19.585998022862999</v>
      </c>
      <c r="N5210">
        <v>48.996000815365903</v>
      </c>
      <c r="O5210">
        <v>47.9260955700666</v>
      </c>
      <c r="P5210">
        <v>-9.1703623285484606E-2</v>
      </c>
      <c r="Q5210">
        <v>0.10245243028045201</v>
      </c>
      <c r="R5210">
        <v>0.953354652121158</v>
      </c>
      <c r="S5210" t="s">
        <v>11495</v>
      </c>
      <c r="T5210" t="s">
        <v>12568</v>
      </c>
      <c r="U5210" t="s">
        <v>12568</v>
      </c>
      <c r="V5210" t="s">
        <v>12568</v>
      </c>
      <c r="W5210" t="s">
        <v>17727</v>
      </c>
      <c r="X5210">
        <v>15</v>
      </c>
      <c r="Y5210" t="s">
        <v>23824</v>
      </c>
      <c r="Z5210" t="s">
        <v>30080</v>
      </c>
      <c r="AA5210">
        <v>0.36765922188156508</v>
      </c>
      <c r="AB5210" t="str">
        <f>HYPERLINK("Melting_Curves/meltCurve_Q9H0C8_ILKAP.pdf", "Melting_Curves/meltCurve_Q9H0C8_ILKAP.pdf")</f>
        <v>Melting_Curves/meltCurve_Q9H0C8_ILKAP.pdf</v>
      </c>
    </row>
    <row r="5211" spans="1:28" x14ac:dyDescent="0.25">
      <c r="A5211" t="s">
        <v>5215</v>
      </c>
      <c r="B5211">
        <v>0.99352677808782597</v>
      </c>
      <c r="C5211">
        <v>0.995056433644534</v>
      </c>
      <c r="D5211">
        <v>0.962831148414792</v>
      </c>
      <c r="E5211">
        <v>0.901844275641977</v>
      </c>
      <c r="F5211">
        <v>0.81306904448782102</v>
      </c>
      <c r="G5211">
        <v>0.71412452254271996</v>
      </c>
      <c r="H5211">
        <v>0.69716076320006204</v>
      </c>
      <c r="I5211">
        <v>0.40868591147757799</v>
      </c>
      <c r="J5211">
        <v>0.152555905199424</v>
      </c>
      <c r="K5211">
        <v>0.112320197724116</v>
      </c>
      <c r="L5211">
        <v>850.16310037535902</v>
      </c>
      <c r="M5211">
        <v>13.768075544833399</v>
      </c>
      <c r="N5211">
        <v>61.748869548322503</v>
      </c>
      <c r="O5211">
        <v>60.489917735971197</v>
      </c>
      <c r="P5211">
        <v>-5.6910391466846302E-2</v>
      </c>
      <c r="Q5211">
        <v>0</v>
      </c>
      <c r="R5211">
        <v>0.94803134707021097</v>
      </c>
      <c r="S5211" t="s">
        <v>11496</v>
      </c>
      <c r="T5211" t="s">
        <v>12568</v>
      </c>
      <c r="U5211" t="s">
        <v>12568</v>
      </c>
      <c r="V5211" t="s">
        <v>12568</v>
      </c>
      <c r="W5211" t="s">
        <v>17728</v>
      </c>
      <c r="X5211">
        <v>33</v>
      </c>
      <c r="Y5211" t="s">
        <v>23825</v>
      </c>
      <c r="Z5211" t="s">
        <v>30081</v>
      </c>
      <c r="AA5211">
        <v>0.72093320304967035</v>
      </c>
      <c r="AB5211" t="str">
        <f>HYPERLINK("Melting_Curves/meltCurve_Q9H0D6_XRN2.pdf", "Melting_Curves/meltCurve_Q9H0D6_XRN2.pdf")</f>
        <v>Melting_Curves/meltCurve_Q9H0D6_XRN2.pdf</v>
      </c>
    </row>
    <row r="5212" spans="1:28" x14ac:dyDescent="0.25">
      <c r="A5212" t="s">
        <v>5216</v>
      </c>
      <c r="B5212">
        <v>0.99352677808782597</v>
      </c>
      <c r="C5212">
        <v>0.96657014018237397</v>
      </c>
      <c r="D5212">
        <v>0.99440705840622201</v>
      </c>
      <c r="E5212">
        <v>0.59021955786164204</v>
      </c>
      <c r="F5212">
        <v>0.54002048020458304</v>
      </c>
      <c r="G5212">
        <v>0.25491860543404998</v>
      </c>
      <c r="H5212">
        <v>0.201672148992038</v>
      </c>
      <c r="I5212">
        <v>0.16939520372684699</v>
      </c>
      <c r="J5212">
        <v>0.155812613823026</v>
      </c>
      <c r="K5212">
        <v>0.123256215376257</v>
      </c>
      <c r="L5212">
        <v>892.54567462055104</v>
      </c>
      <c r="M5212">
        <v>17.285816520697999</v>
      </c>
      <c r="N5212">
        <v>52.582516112601503</v>
      </c>
      <c r="O5212">
        <v>50.9583777518232</v>
      </c>
      <c r="P5212">
        <v>-7.3454957209162203E-2</v>
      </c>
      <c r="Q5212">
        <v>0.13387282847238399</v>
      </c>
      <c r="R5212">
        <v>0.98171570477277603</v>
      </c>
      <c r="S5212" t="s">
        <v>11497</v>
      </c>
      <c r="T5212" t="s">
        <v>12568</v>
      </c>
      <c r="U5212" t="s">
        <v>12568</v>
      </c>
      <c r="V5212" t="s">
        <v>12568</v>
      </c>
      <c r="W5212" t="s">
        <v>17729</v>
      </c>
      <c r="X5212">
        <v>8</v>
      </c>
      <c r="Y5212" t="s">
        <v>23826</v>
      </c>
      <c r="Z5212" t="s">
        <v>30082</v>
      </c>
      <c r="AA5212">
        <v>0.48530367870219759</v>
      </c>
      <c r="AB5212" t="str">
        <f>HYPERLINK("Melting_Curves/meltCurve_Q9H0E2_TOLLIP.pdf", "Melting_Curves/meltCurve_Q9H0E2_TOLLIP.pdf")</f>
        <v>Melting_Curves/meltCurve_Q9H0E2_TOLLIP.pdf</v>
      </c>
    </row>
    <row r="5213" spans="1:28" x14ac:dyDescent="0.25">
      <c r="A5213" t="s">
        <v>5217</v>
      </c>
      <c r="B5213">
        <v>0.99352677808782597</v>
      </c>
      <c r="C5213">
        <v>1.0274722419632401</v>
      </c>
      <c r="D5213">
        <v>0.95742997501604699</v>
      </c>
      <c r="E5213">
        <v>0.86543483675821997</v>
      </c>
      <c r="F5213">
        <v>0.65595213839982203</v>
      </c>
      <c r="G5213">
        <v>0.71747873749080004</v>
      </c>
      <c r="H5213">
        <v>0.474874364939187</v>
      </c>
      <c r="I5213">
        <v>0.45328555500644802</v>
      </c>
      <c r="J5213">
        <v>0.45242803706885998</v>
      </c>
      <c r="K5213">
        <v>0.45664878165360201</v>
      </c>
      <c r="L5213">
        <v>716.81868907730995</v>
      </c>
      <c r="M5213">
        <v>13.2684852799603</v>
      </c>
      <c r="N5213">
        <v>62.1548376993454</v>
      </c>
      <c r="O5213">
        <v>52.841236048201303</v>
      </c>
      <c r="P5213">
        <v>-3.6926580230739303E-2</v>
      </c>
      <c r="Q5213">
        <v>0.41186109574377899</v>
      </c>
      <c r="R5213">
        <v>0.95232304102726395</v>
      </c>
      <c r="S5213" t="s">
        <v>11498</v>
      </c>
      <c r="T5213" t="s">
        <v>12568</v>
      </c>
      <c r="U5213" t="s">
        <v>12568</v>
      </c>
      <c r="V5213" t="s">
        <v>12568</v>
      </c>
      <c r="W5213" t="s">
        <v>17730</v>
      </c>
      <c r="X5213">
        <v>4</v>
      </c>
      <c r="Y5213" t="s">
        <v>23827</v>
      </c>
      <c r="Z5213" t="s">
        <v>30083</v>
      </c>
      <c r="AA5213">
        <v>0.70067417280334265</v>
      </c>
      <c r="AB5213" t="str">
        <f>HYPERLINK("Melting_Curves/meltCurve_Q9H0E3_3_SAP130.pdf", "Melting_Curves/meltCurve_Q9H0E3_3_SAP130.pdf")</f>
        <v>Melting_Curves/meltCurve_Q9H0E3_3_SAP130.pdf</v>
      </c>
    </row>
    <row r="5214" spans="1:28" x14ac:dyDescent="0.25">
      <c r="A5214" t="s">
        <v>5218</v>
      </c>
      <c r="B5214">
        <v>0.99352677808782597</v>
      </c>
      <c r="C5214">
        <v>0.98221755964360102</v>
      </c>
      <c r="D5214">
        <v>1.00785783485508</v>
      </c>
      <c r="E5214">
        <v>0.96379061624524298</v>
      </c>
      <c r="F5214">
        <v>0.92644832490703699</v>
      </c>
      <c r="G5214">
        <v>0.70371753112940805</v>
      </c>
      <c r="H5214">
        <v>0.47588193374936799</v>
      </c>
      <c r="I5214">
        <v>0.44048033397936498</v>
      </c>
      <c r="J5214">
        <v>0.39667134568906798</v>
      </c>
      <c r="K5214">
        <v>0.33943681018558503</v>
      </c>
      <c r="L5214">
        <v>1277.49084387979</v>
      </c>
      <c r="M5214">
        <v>22.2350572317578</v>
      </c>
      <c r="N5214">
        <v>60.825129725039702</v>
      </c>
      <c r="O5214">
        <v>56.995221922755903</v>
      </c>
      <c r="P5214">
        <v>-6.2986401104786802E-2</v>
      </c>
      <c r="Q5214">
        <v>0.35420035586628701</v>
      </c>
      <c r="R5214">
        <v>0.99614330691470698</v>
      </c>
      <c r="S5214" t="s">
        <v>11499</v>
      </c>
      <c r="T5214" t="s">
        <v>12568</v>
      </c>
      <c r="U5214" t="s">
        <v>12568</v>
      </c>
      <c r="V5214" t="s">
        <v>12568</v>
      </c>
      <c r="W5214" t="s">
        <v>17731</v>
      </c>
      <c r="X5214">
        <v>12</v>
      </c>
      <c r="Y5214" t="s">
        <v>23828</v>
      </c>
      <c r="Z5214" t="s">
        <v>30084</v>
      </c>
      <c r="AA5214">
        <v>0.73667822174245157</v>
      </c>
      <c r="AB5214" t="str">
        <f>HYPERLINK("Melting_Curves/meltCurve_Q9H0E9_2_BRD8.pdf", "Melting_Curves/meltCurve_Q9H0E9_2_BRD8.pdf")</f>
        <v>Melting_Curves/meltCurve_Q9H0E9_2_BRD8.pdf</v>
      </c>
    </row>
    <row r="5215" spans="1:28" x14ac:dyDescent="0.25">
      <c r="A5215" t="s">
        <v>5219</v>
      </c>
      <c r="B5215">
        <v>0.99352677808782597</v>
      </c>
      <c r="C5215">
        <v>0.97538691465608496</v>
      </c>
      <c r="D5215">
        <v>0.86523442002040496</v>
      </c>
      <c r="E5215">
        <v>0.54737341134144701</v>
      </c>
      <c r="F5215">
        <v>0.46394978802485498</v>
      </c>
      <c r="G5215">
        <v>0.30235444002046402</v>
      </c>
      <c r="H5215">
        <v>0.212071211325015</v>
      </c>
      <c r="I5215">
        <v>0.185810303472077</v>
      </c>
      <c r="J5215">
        <v>0.16147115730275499</v>
      </c>
      <c r="K5215">
        <v>0.12915520442421399</v>
      </c>
      <c r="L5215">
        <v>739.25695623867603</v>
      </c>
      <c r="M5215">
        <v>14.594869547903301</v>
      </c>
      <c r="N5215">
        <v>51.814665027639201</v>
      </c>
      <c r="O5215">
        <v>49.729410034671801</v>
      </c>
      <c r="P5215">
        <v>-6.3132053841137306E-2</v>
      </c>
      <c r="Q5215">
        <v>0.13965198705128001</v>
      </c>
      <c r="R5215">
        <v>0.99272192083816402</v>
      </c>
      <c r="S5215" t="s">
        <v>11500</v>
      </c>
      <c r="T5215" t="s">
        <v>12568</v>
      </c>
      <c r="U5215" t="s">
        <v>12568</v>
      </c>
      <c r="V5215" t="s">
        <v>12568</v>
      </c>
      <c r="W5215" t="s">
        <v>17732</v>
      </c>
      <c r="X5215">
        <v>8</v>
      </c>
      <c r="Y5215" t="s">
        <v>23829</v>
      </c>
      <c r="Z5215" t="s">
        <v>30085</v>
      </c>
      <c r="AA5215">
        <v>0.46617307139335651</v>
      </c>
      <c r="AB5215" t="str">
        <f>HYPERLINK("Melting_Curves/meltCurve_Q9H0F6_SHARPIN.pdf", "Melting_Curves/meltCurve_Q9H0F6_SHARPIN.pdf")</f>
        <v>Melting_Curves/meltCurve_Q9H0F6_SHARPIN.pdf</v>
      </c>
    </row>
    <row r="5216" spans="1:28" x14ac:dyDescent="0.25">
      <c r="A5216" t="s">
        <v>5220</v>
      </c>
      <c r="B5216">
        <v>0.99352677808782597</v>
      </c>
      <c r="C5216">
        <v>0.83241820745526796</v>
      </c>
      <c r="D5216">
        <v>0.57502278497533899</v>
      </c>
      <c r="E5216">
        <v>0.22534368736590901</v>
      </c>
      <c r="F5216">
        <v>0.196851986684941</v>
      </c>
      <c r="G5216">
        <v>0.114901903709375</v>
      </c>
      <c r="H5216">
        <v>8.54746283109694E-2</v>
      </c>
      <c r="I5216">
        <v>7.4704780028500395E-2</v>
      </c>
      <c r="J5216">
        <v>4.9279880288629903E-2</v>
      </c>
      <c r="K5216">
        <v>5.6227455115436503E-2</v>
      </c>
      <c r="L5216">
        <v>890.93942748029804</v>
      </c>
      <c r="M5216">
        <v>19.205782364658599</v>
      </c>
      <c r="N5216">
        <v>46.764066432625398</v>
      </c>
      <c r="O5216">
        <v>45.894985559249797</v>
      </c>
      <c r="P5216">
        <v>-9.7156427419093902E-2</v>
      </c>
      <c r="Q5216">
        <v>7.1358433728669193E-2</v>
      </c>
      <c r="R5216">
        <v>0.99475747725844499</v>
      </c>
      <c r="S5216" t="s">
        <v>11501</v>
      </c>
      <c r="T5216" t="s">
        <v>12568</v>
      </c>
      <c r="U5216" t="s">
        <v>12568</v>
      </c>
      <c r="V5216" t="s">
        <v>12568</v>
      </c>
      <c r="W5216" t="s">
        <v>17733</v>
      </c>
      <c r="X5216">
        <v>1</v>
      </c>
      <c r="Y5216" t="s">
        <v>23830</v>
      </c>
      <c r="Z5216" t="s">
        <v>30086</v>
      </c>
      <c r="AA5216">
        <v>0.28447562430523321</v>
      </c>
      <c r="AB5216" t="str">
        <f>HYPERLINK("Melting_Curves/meltCurve_Q9H0F7_ARL6.pdf", "Melting_Curves/meltCurve_Q9H0F7_ARL6.pdf")</f>
        <v>Melting_Curves/meltCurve_Q9H0F7_ARL6.pdf</v>
      </c>
    </row>
    <row r="5217" spans="1:28" x14ac:dyDescent="0.25">
      <c r="A5217" t="s">
        <v>5221</v>
      </c>
      <c r="B5217">
        <v>0.99352677808782597</v>
      </c>
      <c r="C5217">
        <v>0.93249469062307799</v>
      </c>
      <c r="D5217">
        <v>0.93243077487445503</v>
      </c>
      <c r="E5217">
        <v>1.08785299750328</v>
      </c>
      <c r="F5217">
        <v>0.98252087901957796</v>
      </c>
      <c r="G5217">
        <v>0.97156457490082404</v>
      </c>
      <c r="H5217">
        <v>0.83477753545247502</v>
      </c>
      <c r="I5217">
        <v>0.91642274708773797</v>
      </c>
      <c r="J5217">
        <v>0.84603677839223101</v>
      </c>
      <c r="K5217">
        <v>0.74772603924779102</v>
      </c>
      <c r="L5217">
        <v>593.03588310623104</v>
      </c>
      <c r="M5217">
        <v>7.3075660988436102</v>
      </c>
      <c r="Q5217">
        <v>0</v>
      </c>
      <c r="R5217">
        <v>0.66663858086780603</v>
      </c>
      <c r="S5217" t="s">
        <v>11502</v>
      </c>
      <c r="T5217" t="s">
        <v>12568</v>
      </c>
      <c r="U5217" t="s">
        <v>12568</v>
      </c>
      <c r="V5217" t="s">
        <v>12568</v>
      </c>
      <c r="W5217" t="s">
        <v>17734</v>
      </c>
      <c r="X5217">
        <v>14</v>
      </c>
      <c r="Y5217" t="s">
        <v>23831</v>
      </c>
      <c r="Z5217" t="s">
        <v>30087</v>
      </c>
      <c r="AA5217">
        <v>0.93933691273365016</v>
      </c>
      <c r="AB5217" t="str">
        <f>HYPERLINK("Melting_Curves/meltCurve_Q9H0G5_NSRP1.pdf", "Melting_Curves/meltCurve_Q9H0G5_NSRP1.pdf")</f>
        <v>Melting_Curves/meltCurve_Q9H0G5_NSRP1.pdf</v>
      </c>
    </row>
    <row r="5218" spans="1:28" x14ac:dyDescent="0.25">
      <c r="A5218" t="s">
        <v>5222</v>
      </c>
      <c r="B5218">
        <v>0.99352677808782597</v>
      </c>
      <c r="C5218">
        <v>0.98820076965880899</v>
      </c>
      <c r="D5218">
        <v>0.96704146759500897</v>
      </c>
      <c r="E5218">
        <v>0.51365329609620503</v>
      </c>
      <c r="F5218">
        <v>0.420955332647028</v>
      </c>
      <c r="G5218">
        <v>0.24326314592588899</v>
      </c>
      <c r="H5218">
        <v>0.175300387947109</v>
      </c>
      <c r="I5218">
        <v>0.167351263626108</v>
      </c>
      <c r="J5218">
        <v>0.15544190839449701</v>
      </c>
      <c r="K5218">
        <v>0.126880350999165</v>
      </c>
      <c r="L5218">
        <v>1057.12067183919</v>
      </c>
      <c r="M5218">
        <v>21.0572233645822</v>
      </c>
      <c r="N5218">
        <v>51.1105975859126</v>
      </c>
      <c r="O5218">
        <v>49.756097241186303</v>
      </c>
      <c r="P5218">
        <v>-8.9290097008344699E-2</v>
      </c>
      <c r="Q5218">
        <v>0.15608838924110099</v>
      </c>
      <c r="R5218">
        <v>0.98614318595639505</v>
      </c>
      <c r="S5218" t="s">
        <v>11503</v>
      </c>
      <c r="T5218" t="s">
        <v>12568</v>
      </c>
      <c r="U5218" t="s">
        <v>12568</v>
      </c>
      <c r="V5218" t="s">
        <v>12568</v>
      </c>
      <c r="W5218" t="s">
        <v>17735</v>
      </c>
      <c r="X5218">
        <v>14</v>
      </c>
      <c r="Y5218" t="s">
        <v>23832</v>
      </c>
      <c r="Z5218" t="s">
        <v>30088</v>
      </c>
      <c r="AA5218">
        <v>0.4537030018157876</v>
      </c>
      <c r="AB5218" t="str">
        <f>HYPERLINK("Melting_Curves/meltCurve_Q9H0H5_RACGAP1.pdf", "Melting_Curves/meltCurve_Q9H0H5_RACGAP1.pdf")</f>
        <v>Melting_Curves/meltCurve_Q9H0H5_RACGAP1.pdf</v>
      </c>
    </row>
    <row r="5219" spans="1:28" x14ac:dyDescent="0.25">
      <c r="A5219" t="s">
        <v>5223</v>
      </c>
      <c r="B5219">
        <v>0.99352677808782597</v>
      </c>
      <c r="C5219">
        <v>0.96982553345214295</v>
      </c>
      <c r="D5219">
        <v>0.72887344129137599</v>
      </c>
      <c r="E5219">
        <v>0.32277211151452501</v>
      </c>
      <c r="F5219">
        <v>0.29091158931901101</v>
      </c>
      <c r="G5219">
        <v>0.159850809838775</v>
      </c>
      <c r="H5219">
        <v>0.10340397907351501</v>
      </c>
      <c r="I5219">
        <v>8.0226144489710299E-2</v>
      </c>
      <c r="J5219">
        <v>6.17490161140032E-2</v>
      </c>
      <c r="K5219">
        <v>7.9163830093630594E-2</v>
      </c>
      <c r="L5219">
        <v>934.19291561065495</v>
      </c>
      <c r="M5219">
        <v>19.422420678548399</v>
      </c>
      <c r="N5219">
        <v>48.581448510695601</v>
      </c>
      <c r="O5219">
        <v>47.597500754649502</v>
      </c>
      <c r="P5219">
        <v>-9.3064143203670596E-2</v>
      </c>
      <c r="Q5219">
        <v>8.7763814015932098E-2</v>
      </c>
      <c r="R5219">
        <v>0.98920340457762401</v>
      </c>
      <c r="S5219" t="s">
        <v>11504</v>
      </c>
      <c r="T5219" t="s">
        <v>12568</v>
      </c>
      <c r="U5219" t="s">
        <v>12568</v>
      </c>
      <c r="V5219" t="s">
        <v>12568</v>
      </c>
      <c r="W5219" t="s">
        <v>17736</v>
      </c>
      <c r="X5219">
        <v>2</v>
      </c>
      <c r="Y5219" t="s">
        <v>23833</v>
      </c>
      <c r="Z5219" t="s">
        <v>30089</v>
      </c>
      <c r="AA5219">
        <v>0.3477908462254834</v>
      </c>
      <c r="AB5219" t="str">
        <f>HYPERLINK("Melting_Curves/meltCurve_Q9H0J9_PARP12.pdf", "Melting_Curves/meltCurve_Q9H0J9_PARP12.pdf")</f>
        <v>Melting_Curves/meltCurve_Q9H0J9_PARP12.pdf</v>
      </c>
    </row>
    <row r="5220" spans="1:28" x14ac:dyDescent="0.25">
      <c r="A5220" t="s">
        <v>5224</v>
      </c>
      <c r="B5220">
        <v>0.99352677808782597</v>
      </c>
      <c r="C5220">
        <v>1.0378796467117899</v>
      </c>
      <c r="D5220">
        <v>0.99050783186874303</v>
      </c>
      <c r="E5220">
        <v>0.69847211556919198</v>
      </c>
      <c r="F5220">
        <v>0.59742677019548196</v>
      </c>
      <c r="G5220">
        <v>0.29460308750489</v>
      </c>
      <c r="H5220">
        <v>0.17690558618208599</v>
      </c>
      <c r="I5220">
        <v>0.16789788154784799</v>
      </c>
      <c r="J5220">
        <v>0.13856697254137401</v>
      </c>
      <c r="K5220">
        <v>0.130841994401099</v>
      </c>
      <c r="L5220">
        <v>952.88484788001301</v>
      </c>
      <c r="M5220">
        <v>18.033593982426801</v>
      </c>
      <c r="N5220">
        <v>53.653778732092398</v>
      </c>
      <c r="O5220">
        <v>52.2025366878282</v>
      </c>
      <c r="P5220">
        <v>-7.6027557129939805E-2</v>
      </c>
      <c r="Q5220">
        <v>0.11972356484638499</v>
      </c>
      <c r="R5220">
        <v>0.99064732153169499</v>
      </c>
      <c r="S5220" t="s">
        <v>11505</v>
      </c>
      <c r="T5220" t="s">
        <v>12568</v>
      </c>
      <c r="U5220" t="s">
        <v>12568</v>
      </c>
      <c r="V5220" t="s">
        <v>12568</v>
      </c>
      <c r="W5220" t="s">
        <v>17737</v>
      </c>
      <c r="X5220">
        <v>7</v>
      </c>
      <c r="Y5220" t="s">
        <v>23834</v>
      </c>
      <c r="Z5220" t="s">
        <v>30090</v>
      </c>
      <c r="AA5220">
        <v>0.51087816984717438</v>
      </c>
      <c r="AB5220" t="str">
        <f>HYPERLINK("Melting_Curves/meltCurve_Q9H0K6_PUS7L.pdf", "Melting_Curves/meltCurve_Q9H0K6_PUS7L.pdf")</f>
        <v>Melting_Curves/meltCurve_Q9H0K6_PUS7L.pdf</v>
      </c>
    </row>
    <row r="5221" spans="1:28" x14ac:dyDescent="0.25">
      <c r="A5221" t="s">
        <v>5225</v>
      </c>
      <c r="B5221">
        <v>0.99352677808782597</v>
      </c>
      <c r="C5221">
        <v>0.97599366073091398</v>
      </c>
      <c r="D5221">
        <v>0.95807480889015595</v>
      </c>
      <c r="E5221">
        <v>0.90956212914541501</v>
      </c>
      <c r="F5221">
        <v>0.84197329586467695</v>
      </c>
      <c r="G5221">
        <v>0.63405196679804399</v>
      </c>
      <c r="H5221">
        <v>0.46249436754121898</v>
      </c>
      <c r="I5221">
        <v>0.46171773538340299</v>
      </c>
      <c r="J5221">
        <v>0.43924716907748801</v>
      </c>
      <c r="K5221">
        <v>0.358649023183231</v>
      </c>
      <c r="L5221">
        <v>907.11805691462496</v>
      </c>
      <c r="M5221">
        <v>16.201720685033798</v>
      </c>
      <c r="N5221">
        <v>60.884877138700702</v>
      </c>
      <c r="O5221">
        <v>55.156869970250902</v>
      </c>
      <c r="P5221">
        <v>-4.6699383753397702E-2</v>
      </c>
      <c r="Q5221">
        <v>0.36411704963892499</v>
      </c>
      <c r="R5221">
        <v>0.99090731425740397</v>
      </c>
      <c r="S5221" t="s">
        <v>11506</v>
      </c>
      <c r="T5221" t="s">
        <v>12568</v>
      </c>
      <c r="U5221" t="s">
        <v>12568</v>
      </c>
      <c r="V5221" t="s">
        <v>12568</v>
      </c>
      <c r="W5221" t="s">
        <v>17738</v>
      </c>
      <c r="X5221">
        <v>16</v>
      </c>
      <c r="Y5221" t="s">
        <v>23835</v>
      </c>
      <c r="Z5221" t="s">
        <v>30091</v>
      </c>
      <c r="AA5221">
        <v>0.71353836596180054</v>
      </c>
      <c r="AB5221" t="str">
        <f>HYPERLINK("Melting_Curves/meltCurve_Q9H0L4_CSTF2T.pdf", "Melting_Curves/meltCurve_Q9H0L4_CSTF2T.pdf")</f>
        <v>Melting_Curves/meltCurve_Q9H0L4_CSTF2T.pdf</v>
      </c>
    </row>
    <row r="5222" spans="1:28" x14ac:dyDescent="0.25">
      <c r="A5222" t="s">
        <v>5226</v>
      </c>
      <c r="B5222">
        <v>0.99352677808782597</v>
      </c>
      <c r="C5222">
        <v>0.92710540177985101</v>
      </c>
      <c r="D5222">
        <v>0.94611821151971298</v>
      </c>
      <c r="E5222">
        <v>0.241284466992785</v>
      </c>
      <c r="F5222">
        <v>0.184622050324318</v>
      </c>
      <c r="G5222">
        <v>0.11169701821943399</v>
      </c>
      <c r="H5222">
        <v>8.8644929547927798E-2</v>
      </c>
      <c r="I5222">
        <v>7.7433442233246996E-2</v>
      </c>
      <c r="J5222">
        <v>7.3149193709268701E-2</v>
      </c>
      <c r="K5222">
        <v>5.8067098966617603E-2</v>
      </c>
      <c r="L5222">
        <v>2315.0287549936102</v>
      </c>
      <c r="M5222">
        <v>47.831612429937202</v>
      </c>
      <c r="N5222">
        <v>48.612444972980001</v>
      </c>
      <c r="O5222">
        <v>48.3151810728233</v>
      </c>
      <c r="P5222">
        <v>-0.22411114944493099</v>
      </c>
      <c r="Q5222">
        <v>9.4493434437432799E-2</v>
      </c>
      <c r="R5222">
        <v>0.99087482299108698</v>
      </c>
      <c r="S5222" t="s">
        <v>11507</v>
      </c>
      <c r="T5222" t="s">
        <v>12568</v>
      </c>
      <c r="U5222" t="s">
        <v>12568</v>
      </c>
      <c r="V5222" t="s">
        <v>12568</v>
      </c>
      <c r="W5222" t="s">
        <v>17739</v>
      </c>
      <c r="X5222">
        <v>10</v>
      </c>
      <c r="Y5222" t="s">
        <v>23836</v>
      </c>
      <c r="Z5222" t="s">
        <v>30092</v>
      </c>
      <c r="AA5222">
        <v>0.35013623587220633</v>
      </c>
      <c r="AB5222" t="str">
        <f>HYPERLINK("Melting_Curves/meltCurve_Q9H0P0_1_NT5C3A.pdf", "Melting_Curves/meltCurve_Q9H0P0_1_NT5C3A.pdf")</f>
        <v>Melting_Curves/meltCurve_Q9H0P0_1_NT5C3A.pdf</v>
      </c>
    </row>
    <row r="5223" spans="1:28" x14ac:dyDescent="0.25">
      <c r="A5223" t="s">
        <v>5227</v>
      </c>
      <c r="B5223">
        <v>0.99352677808782597</v>
      </c>
      <c r="C5223">
        <v>1.04519024782875</v>
      </c>
      <c r="D5223">
        <v>0.86159344057836096</v>
      </c>
      <c r="E5223">
        <v>0.38145283954876202</v>
      </c>
      <c r="F5223">
        <v>0.30938346741980699</v>
      </c>
      <c r="G5223">
        <v>0.18160136000893301</v>
      </c>
      <c r="H5223">
        <v>0.13658179429051401</v>
      </c>
      <c r="I5223">
        <v>0.13299194961600699</v>
      </c>
      <c r="J5223">
        <v>9.75454703006053E-2</v>
      </c>
      <c r="K5223">
        <v>7.4947634463964602E-2</v>
      </c>
      <c r="L5223">
        <v>1208.7781042602201</v>
      </c>
      <c r="M5223">
        <v>24.7421587810829</v>
      </c>
      <c r="N5223">
        <v>49.424429710429997</v>
      </c>
      <c r="O5223">
        <v>48.539210187766102</v>
      </c>
      <c r="P5223">
        <v>-0.111631683814487</v>
      </c>
      <c r="Q5223">
        <v>0.12401538518498501</v>
      </c>
      <c r="R5223">
        <v>0.98607954726883396</v>
      </c>
      <c r="S5223" t="s">
        <v>11508</v>
      </c>
      <c r="T5223" t="s">
        <v>12568</v>
      </c>
      <c r="U5223" t="s">
        <v>12568</v>
      </c>
      <c r="V5223" t="s">
        <v>12568</v>
      </c>
      <c r="W5223" t="s">
        <v>17740</v>
      </c>
      <c r="X5223">
        <v>1</v>
      </c>
      <c r="Y5223" t="s">
        <v>23837</v>
      </c>
      <c r="Z5223" t="s">
        <v>30093</v>
      </c>
      <c r="AA5223">
        <v>0.39050066568021691</v>
      </c>
      <c r="AB5223" t="str">
        <f>HYPERLINK("Melting_Curves/meltCurve_Q9H0R1_AP5M1.pdf", "Melting_Curves/meltCurve_Q9H0R1_AP5M1.pdf")</f>
        <v>Melting_Curves/meltCurve_Q9H0R1_AP5M1.pdf</v>
      </c>
    </row>
    <row r="5224" spans="1:28" x14ac:dyDescent="0.25">
      <c r="A5224" t="s">
        <v>5228</v>
      </c>
      <c r="B5224">
        <v>0.99352677808782597</v>
      </c>
      <c r="C5224">
        <v>0.96516535389549196</v>
      </c>
      <c r="D5224">
        <v>0.97252249238091903</v>
      </c>
      <c r="E5224">
        <v>0.90045271149616402</v>
      </c>
      <c r="F5224">
        <v>0.85902308634032198</v>
      </c>
      <c r="G5224">
        <v>0.73121044282293102</v>
      </c>
      <c r="H5224">
        <v>0.68126814533354896</v>
      </c>
      <c r="I5224">
        <v>0.73459787413633404</v>
      </c>
      <c r="J5224">
        <v>0.551847259975493</v>
      </c>
      <c r="K5224">
        <v>0.215376153907167</v>
      </c>
      <c r="L5224">
        <v>560.56621542625498</v>
      </c>
      <c r="M5224">
        <v>8.4540231030773398</v>
      </c>
      <c r="N5224">
        <v>66.307626827260904</v>
      </c>
      <c r="O5224">
        <v>62.909361358000297</v>
      </c>
      <c r="P5224">
        <v>-3.3626941327900901E-2</v>
      </c>
      <c r="Q5224">
        <v>0</v>
      </c>
      <c r="R5224">
        <v>0.86637950180777901</v>
      </c>
      <c r="S5224" t="s">
        <v>11509</v>
      </c>
      <c r="T5224" t="s">
        <v>12568</v>
      </c>
      <c r="U5224" t="s">
        <v>12568</v>
      </c>
      <c r="V5224" t="s">
        <v>12568</v>
      </c>
      <c r="W5224" t="s">
        <v>17741</v>
      </c>
      <c r="X5224">
        <v>7</v>
      </c>
      <c r="Y5224" t="s">
        <v>23838</v>
      </c>
      <c r="Z5224" t="s">
        <v>30094</v>
      </c>
      <c r="AA5224">
        <v>0.78799042787257279</v>
      </c>
      <c r="AB5224" t="str">
        <f>HYPERLINK("Melting_Curves/meltCurve_Q9H0R4_HDHD2.pdf", "Melting_Curves/meltCurve_Q9H0R4_HDHD2.pdf")</f>
        <v>Melting_Curves/meltCurve_Q9H0R4_HDHD2.pdf</v>
      </c>
    </row>
    <row r="5225" spans="1:28" x14ac:dyDescent="0.25">
      <c r="A5225" t="s">
        <v>5229</v>
      </c>
      <c r="B5225">
        <v>0.99352677808782597</v>
      </c>
      <c r="C5225">
        <v>0.39714261383898197</v>
      </c>
      <c r="D5225">
        <v>0.388097526478977</v>
      </c>
      <c r="E5225">
        <v>0.20647620681771101</v>
      </c>
      <c r="F5225">
        <v>0.183300733898698</v>
      </c>
      <c r="G5225">
        <v>0.14197360296828501</v>
      </c>
      <c r="H5225">
        <v>8.5660819275507297E-2</v>
      </c>
      <c r="I5225">
        <v>8.0422798203825502E-2</v>
      </c>
      <c r="J5225">
        <v>7.4657116576062693E-2</v>
      </c>
      <c r="K5225">
        <v>6.7022903835312495E-2</v>
      </c>
      <c r="L5225">
        <v>907.546692572952</v>
      </c>
      <c r="M5225">
        <v>21.1416777692972</v>
      </c>
      <c r="N5225">
        <v>43.457676961204001</v>
      </c>
      <c r="O5225">
        <v>42.548375419968302</v>
      </c>
      <c r="P5225">
        <v>-0.110089971959762</v>
      </c>
      <c r="Q5225">
        <v>0.113783301293501</v>
      </c>
      <c r="R5225">
        <v>0.90323660885247603</v>
      </c>
      <c r="S5225" t="s">
        <v>11510</v>
      </c>
      <c r="T5225" t="s">
        <v>12568</v>
      </c>
      <c r="U5225" t="s">
        <v>12568</v>
      </c>
      <c r="V5225" t="s">
        <v>12568</v>
      </c>
      <c r="W5225" t="s">
        <v>17742</v>
      </c>
      <c r="X5225">
        <v>2</v>
      </c>
      <c r="Y5225" t="s">
        <v>23839</v>
      </c>
      <c r="Z5225" t="s">
        <v>30095</v>
      </c>
      <c r="AA5225">
        <v>0.21906629530235469</v>
      </c>
      <c r="AB5225" t="str">
        <f>HYPERLINK("Melting_Curves/meltCurve_Q9H0R6_QRSL1.pdf", "Melting_Curves/meltCurve_Q9H0R6_QRSL1.pdf")</f>
        <v>Melting_Curves/meltCurve_Q9H0R6_QRSL1.pdf</v>
      </c>
    </row>
    <row r="5226" spans="1:28" x14ac:dyDescent="0.25">
      <c r="A5226" t="s">
        <v>5230</v>
      </c>
      <c r="B5226">
        <v>0.99352677808782597</v>
      </c>
      <c r="C5226">
        <v>0.89991065349314203</v>
      </c>
      <c r="D5226">
        <v>1.06584167595813</v>
      </c>
      <c r="E5226">
        <v>0.36625877565842602</v>
      </c>
      <c r="F5226">
        <v>0.31328710140271598</v>
      </c>
      <c r="G5226">
        <v>0.177818104140266</v>
      </c>
      <c r="H5226">
        <v>9.9863117385485298E-2</v>
      </c>
      <c r="I5226">
        <v>9.4470242295065704E-2</v>
      </c>
      <c r="J5226">
        <v>7.5296663840522596E-2</v>
      </c>
      <c r="K5226">
        <v>6.6859196494945802E-2</v>
      </c>
      <c r="L5226">
        <v>2296.3589504974302</v>
      </c>
      <c r="M5226">
        <v>46.686171043895598</v>
      </c>
      <c r="N5226">
        <v>49.500643325946598</v>
      </c>
      <c r="O5226">
        <v>49.097139818486703</v>
      </c>
      <c r="P5226">
        <v>-0.20729777886914999</v>
      </c>
      <c r="Q5226">
        <v>0.12798872568928801</v>
      </c>
      <c r="R5226">
        <v>0.96246551261381696</v>
      </c>
      <c r="S5226" t="s">
        <v>11511</v>
      </c>
      <c r="T5226" t="s">
        <v>12568</v>
      </c>
      <c r="U5226" t="s">
        <v>12568</v>
      </c>
      <c r="V5226" t="s">
        <v>12568</v>
      </c>
      <c r="W5226" t="s">
        <v>17743</v>
      </c>
      <c r="X5226">
        <v>4</v>
      </c>
      <c r="Y5226" t="s">
        <v>23840</v>
      </c>
      <c r="Z5226" t="s">
        <v>30096</v>
      </c>
      <c r="AA5226">
        <v>0.39720380534799632</v>
      </c>
      <c r="AB5226" t="str">
        <f>HYPERLINK("Melting_Curves/meltCurve_Q9H0S4_2_DDX47.pdf", "Melting_Curves/meltCurve_Q9H0S4_2_DDX47.pdf")</f>
        <v>Melting_Curves/meltCurve_Q9H0S4_2_DDX47.pdf</v>
      </c>
    </row>
    <row r="5227" spans="1:28" x14ac:dyDescent="0.25">
      <c r="A5227" t="s">
        <v>5231</v>
      </c>
      <c r="B5227">
        <v>0.99352677808782597</v>
      </c>
      <c r="C5227">
        <v>1.1071960885729799</v>
      </c>
      <c r="D5227">
        <v>1.03621246767991</v>
      </c>
      <c r="E5227">
        <v>0.79872985481937397</v>
      </c>
      <c r="F5227">
        <v>0.72365174303992297</v>
      </c>
      <c r="G5227">
        <v>0.43917732424381101</v>
      </c>
      <c r="H5227">
        <v>0.22175621781653601</v>
      </c>
      <c r="I5227">
        <v>0.14115620142090499</v>
      </c>
      <c r="J5227">
        <v>0.125199851211624</v>
      </c>
      <c r="K5227">
        <v>9.6614078583707796E-2</v>
      </c>
      <c r="L5227">
        <v>933.72256717267999</v>
      </c>
      <c r="M5227">
        <v>16.854515841684801</v>
      </c>
      <c r="N5227">
        <v>55.877607161511001</v>
      </c>
      <c r="O5227">
        <v>54.636718875718699</v>
      </c>
      <c r="P5227">
        <v>-7.19414131085475E-2</v>
      </c>
      <c r="Q5227">
        <v>6.7219362218542703E-2</v>
      </c>
      <c r="R5227">
        <v>0.98450893434926401</v>
      </c>
      <c r="S5227" t="s">
        <v>11512</v>
      </c>
      <c r="T5227" t="s">
        <v>12568</v>
      </c>
      <c r="U5227" t="s">
        <v>12568</v>
      </c>
      <c r="V5227" t="s">
        <v>12568</v>
      </c>
      <c r="W5227" t="s">
        <v>17744</v>
      </c>
      <c r="X5227">
        <v>11</v>
      </c>
      <c r="Y5227" t="s">
        <v>23841</v>
      </c>
      <c r="Z5227" t="s">
        <v>30097</v>
      </c>
      <c r="AA5227">
        <v>0.56139546724186362</v>
      </c>
      <c r="AB5227" t="str">
        <f>HYPERLINK("Melting_Curves/meltCurve_Q9H0U4_RAB1B.pdf", "Melting_Curves/meltCurve_Q9H0U4_RAB1B.pdf")</f>
        <v>Melting_Curves/meltCurve_Q9H0U4_RAB1B.pdf</v>
      </c>
    </row>
    <row r="5228" spans="1:28" x14ac:dyDescent="0.25">
      <c r="A5228" t="s">
        <v>5232</v>
      </c>
      <c r="B5228">
        <v>0.99352677808782597</v>
      </c>
      <c r="C5228">
        <v>0.91666793381023504</v>
      </c>
      <c r="D5228">
        <v>0.85522222318043395</v>
      </c>
      <c r="E5228">
        <v>0.63278595614134903</v>
      </c>
      <c r="F5228">
        <v>0.57521645186618797</v>
      </c>
      <c r="G5228">
        <v>0.51975757697318203</v>
      </c>
      <c r="H5228">
        <v>0.43940411575681698</v>
      </c>
      <c r="I5228">
        <v>0.464304126331192</v>
      </c>
      <c r="J5228">
        <v>0.446175665531654</v>
      </c>
      <c r="K5228">
        <v>0.40825183907831902</v>
      </c>
      <c r="L5228">
        <v>702.69954174258896</v>
      </c>
      <c r="M5228">
        <v>14.397613610110501</v>
      </c>
      <c r="N5228">
        <v>56.3685993489024</v>
      </c>
      <c r="O5228">
        <v>47.894090625916398</v>
      </c>
      <c r="P5228">
        <v>-4.3028036545713501E-2</v>
      </c>
      <c r="Q5228">
        <v>0.42753186503775997</v>
      </c>
      <c r="R5228">
        <v>0.98975849507755198</v>
      </c>
      <c r="S5228" t="s">
        <v>11513</v>
      </c>
      <c r="T5228" t="s">
        <v>12568</v>
      </c>
      <c r="U5228" t="s">
        <v>12568</v>
      </c>
      <c r="V5228" t="s">
        <v>12568</v>
      </c>
      <c r="W5228" t="s">
        <v>17745</v>
      </c>
      <c r="X5228">
        <v>11</v>
      </c>
      <c r="Y5228" t="s">
        <v>23842</v>
      </c>
      <c r="Z5228" t="s">
        <v>30098</v>
      </c>
      <c r="AA5228">
        <v>0.61095918431176477</v>
      </c>
      <c r="AB5228" t="str">
        <f>HYPERLINK("Melting_Curves/meltCurve_Q9H0W8_SMG9.pdf", "Melting_Curves/meltCurve_Q9H0W8_SMG9.pdf")</f>
        <v>Melting_Curves/meltCurve_Q9H0W8_SMG9.pdf</v>
      </c>
    </row>
    <row r="5229" spans="1:28" x14ac:dyDescent="0.25">
      <c r="A5229" t="s">
        <v>5233</v>
      </c>
      <c r="B5229">
        <v>0.99352677808782597</v>
      </c>
      <c r="C5229">
        <v>1.0119027258412601</v>
      </c>
      <c r="D5229">
        <v>0.98963352191601195</v>
      </c>
      <c r="E5229">
        <v>0.82201613737926005</v>
      </c>
      <c r="F5229">
        <v>0.73909243733249796</v>
      </c>
      <c r="G5229">
        <v>0.482217472612677</v>
      </c>
      <c r="H5229">
        <v>0.244116767802633</v>
      </c>
      <c r="I5229">
        <v>0.14576681977401801</v>
      </c>
      <c r="J5229">
        <v>0.121440446924092</v>
      </c>
      <c r="K5229">
        <v>9.3918102542957599E-2</v>
      </c>
      <c r="L5229">
        <v>848.12986599564499</v>
      </c>
      <c r="M5229">
        <v>15.107802360839701</v>
      </c>
      <c r="N5229">
        <v>56.420221704197303</v>
      </c>
      <c r="O5229">
        <v>55.182509544287797</v>
      </c>
      <c r="P5229">
        <v>-6.5964800230356002E-2</v>
      </c>
      <c r="Q5229">
        <v>3.6326904386961401E-2</v>
      </c>
      <c r="R5229">
        <v>0.99647891575457004</v>
      </c>
      <c r="S5229" t="s">
        <v>11514</v>
      </c>
      <c r="T5229" t="s">
        <v>12568</v>
      </c>
      <c r="U5229" t="s">
        <v>12568</v>
      </c>
      <c r="V5229" t="s">
        <v>12568</v>
      </c>
      <c r="W5229" t="s">
        <v>17746</v>
      </c>
      <c r="X5229">
        <v>11</v>
      </c>
      <c r="Y5229" t="s">
        <v>23843</v>
      </c>
      <c r="Z5229" t="s">
        <v>30099</v>
      </c>
      <c r="AA5229">
        <v>0.57150173688993211</v>
      </c>
      <c r="AB5229" t="str">
        <f>HYPERLINK("Melting_Curves/meltCurve_Q9H0W9_2_C11orf54.pdf", "Melting_Curves/meltCurve_Q9H0W9_2_C11orf54.pdf")</f>
        <v>Melting_Curves/meltCurve_Q9H0W9_2_C11orf54.pdf</v>
      </c>
    </row>
    <row r="5230" spans="1:28" x14ac:dyDescent="0.25">
      <c r="A5230" t="s">
        <v>5234</v>
      </c>
      <c r="B5230">
        <v>0.99352677808782597</v>
      </c>
      <c r="C5230">
        <v>0.9574143758857</v>
      </c>
      <c r="D5230">
        <v>0.996464917931697</v>
      </c>
      <c r="E5230">
        <v>0.56767233801870198</v>
      </c>
      <c r="F5230">
        <v>0.46452674081027201</v>
      </c>
      <c r="G5230">
        <v>0.34932082063569603</v>
      </c>
      <c r="H5230">
        <v>0.275842453963689</v>
      </c>
      <c r="I5230">
        <v>0.292075851804453</v>
      </c>
      <c r="J5230">
        <v>0.274175682229927</v>
      </c>
      <c r="K5230">
        <v>0.23882572918793299</v>
      </c>
      <c r="L5230">
        <v>1217.1848561223301</v>
      </c>
      <c r="M5230">
        <v>24.3908071411037</v>
      </c>
      <c r="N5230">
        <v>51.630665527187801</v>
      </c>
      <c r="O5230">
        <v>49.571603953759499</v>
      </c>
      <c r="P5230">
        <v>-8.8703163887157599E-2</v>
      </c>
      <c r="Q5230">
        <v>0.27889341982298199</v>
      </c>
      <c r="R5230">
        <v>0.98236691395622899</v>
      </c>
      <c r="S5230" t="s">
        <v>11515</v>
      </c>
      <c r="T5230" t="s">
        <v>12568</v>
      </c>
      <c r="U5230" t="s">
        <v>12568</v>
      </c>
      <c r="V5230" t="s">
        <v>12568</v>
      </c>
      <c r="W5230" t="s">
        <v>17747</v>
      </c>
      <c r="X5230">
        <v>2</v>
      </c>
      <c r="Y5230" t="s">
        <v>23844</v>
      </c>
      <c r="Z5230" t="s">
        <v>30100</v>
      </c>
      <c r="AA5230">
        <v>0.52370770628881014</v>
      </c>
      <c r="AB5230" t="str">
        <f>HYPERLINK("Melting_Curves/meltCurve_Q9H173_SIL1.pdf", "Melting_Curves/meltCurve_Q9H173_SIL1.pdf")</f>
        <v>Melting_Curves/meltCurve_Q9H173_SIL1.pdf</v>
      </c>
    </row>
    <row r="5231" spans="1:28" x14ac:dyDescent="0.25">
      <c r="A5231" t="s">
        <v>5235</v>
      </c>
      <c r="B5231">
        <v>0.99352677808782597</v>
      </c>
      <c r="C5231">
        <v>0.91329129523213803</v>
      </c>
      <c r="D5231">
        <v>0.88381691125017503</v>
      </c>
      <c r="E5231">
        <v>1.27354117135088</v>
      </c>
      <c r="F5231">
        <v>1.0522304111303999</v>
      </c>
      <c r="G5231">
        <v>0.47340842884936202</v>
      </c>
      <c r="H5231">
        <v>0.26093917308431203</v>
      </c>
      <c r="I5231">
        <v>0.25810796537078501</v>
      </c>
      <c r="J5231">
        <v>0.220744276781696</v>
      </c>
      <c r="K5231">
        <v>0.16995407947220401</v>
      </c>
      <c r="L5231">
        <v>12226.1123325506</v>
      </c>
      <c r="M5231">
        <v>215.25440477762899</v>
      </c>
      <c r="N5231">
        <v>56.9589818548869</v>
      </c>
      <c r="O5231">
        <v>56.793521427387198</v>
      </c>
      <c r="P5231">
        <v>-0.73202770953274199</v>
      </c>
      <c r="Q5231">
        <v>0.22743627930781901</v>
      </c>
      <c r="R5231">
        <v>0.932602335815779</v>
      </c>
      <c r="S5231" t="s">
        <v>11516</v>
      </c>
      <c r="T5231" t="s">
        <v>12568</v>
      </c>
      <c r="U5231" t="s">
        <v>12568</v>
      </c>
      <c r="V5231" t="s">
        <v>12568</v>
      </c>
      <c r="W5231" t="s">
        <v>17748</v>
      </c>
      <c r="X5231">
        <v>4</v>
      </c>
      <c r="Y5231" t="s">
        <v>23845</v>
      </c>
      <c r="Z5231" t="s">
        <v>30101</v>
      </c>
      <c r="AA5231">
        <v>0.6601354280240278</v>
      </c>
      <c r="AB5231" t="str">
        <f>HYPERLINK("Melting_Curves/meltCurve_Q9H1A4_ANAPC1.pdf", "Melting_Curves/meltCurve_Q9H1A4_ANAPC1.pdf")</f>
        <v>Melting_Curves/meltCurve_Q9H1A4_ANAPC1.pdf</v>
      </c>
    </row>
    <row r="5232" spans="1:28" x14ac:dyDescent="0.25">
      <c r="A5232" t="s">
        <v>5236</v>
      </c>
      <c r="B5232">
        <v>0.99352677808782597</v>
      </c>
      <c r="C5232">
        <v>0.967794431680297</v>
      </c>
      <c r="D5232">
        <v>0.94785637133947398</v>
      </c>
      <c r="E5232">
        <v>0.58359914559977499</v>
      </c>
      <c r="F5232">
        <v>0.49753164110565601</v>
      </c>
      <c r="G5232">
        <v>0.362622680329933</v>
      </c>
      <c r="H5232">
        <v>0.26684169266969099</v>
      </c>
      <c r="I5232">
        <v>0.25964841370784503</v>
      </c>
      <c r="J5232">
        <v>0.26653437657878098</v>
      </c>
      <c r="K5232">
        <v>0.227035583385995</v>
      </c>
      <c r="L5232">
        <v>918.277206639062</v>
      </c>
      <c r="M5232">
        <v>18.222899098267298</v>
      </c>
      <c r="N5232">
        <v>52.361136011453503</v>
      </c>
      <c r="O5232">
        <v>49.796311833051597</v>
      </c>
      <c r="P5232">
        <v>-6.8793797648795299E-2</v>
      </c>
      <c r="Q5232">
        <v>0.248085328216583</v>
      </c>
      <c r="R5232">
        <v>0.987807544118666</v>
      </c>
      <c r="S5232" t="s">
        <v>11517</v>
      </c>
      <c r="T5232" t="s">
        <v>12568</v>
      </c>
      <c r="U5232" t="s">
        <v>12568</v>
      </c>
      <c r="V5232" t="s">
        <v>12568</v>
      </c>
      <c r="W5232" t="s">
        <v>17749</v>
      </c>
      <c r="X5232">
        <v>20</v>
      </c>
      <c r="Y5232" t="s">
        <v>23846</v>
      </c>
      <c r="Z5232" t="s">
        <v>30102</v>
      </c>
      <c r="AA5232">
        <v>0.52100382391828359</v>
      </c>
      <c r="AB5232" t="str">
        <f>HYPERLINK("Melting_Curves/meltCurve_Q9H1B7_IRF2BPL.pdf", "Melting_Curves/meltCurve_Q9H1B7_IRF2BPL.pdf")</f>
        <v>Melting_Curves/meltCurve_Q9H1B7_IRF2BPL.pdf</v>
      </c>
    </row>
    <row r="5233" spans="1:28" x14ac:dyDescent="0.25">
      <c r="A5233" t="s">
        <v>5237</v>
      </c>
      <c r="B5233">
        <v>0.99352677808782597</v>
      </c>
      <c r="C5233">
        <v>1.0311723071269101</v>
      </c>
      <c r="D5233">
        <v>1.0521753173273101</v>
      </c>
      <c r="E5233">
        <v>0.88761542277109295</v>
      </c>
      <c r="F5233">
        <v>0.72104760551120795</v>
      </c>
      <c r="G5233">
        <v>0.36771063001531401</v>
      </c>
      <c r="H5233">
        <v>0.17052219112869199</v>
      </c>
      <c r="I5233">
        <v>0.14016528252238999</v>
      </c>
      <c r="J5233">
        <v>0.111585690174604</v>
      </c>
      <c r="K5233">
        <v>0.101450809720651</v>
      </c>
      <c r="L5233">
        <v>1251.10887104523</v>
      </c>
      <c r="M5233">
        <v>22.821749319515199</v>
      </c>
      <c r="N5233">
        <v>55.350146329028803</v>
      </c>
      <c r="O5233">
        <v>54.4051871672036</v>
      </c>
      <c r="P5233">
        <v>-9.4591628943263201E-2</v>
      </c>
      <c r="Q5233">
        <v>9.8022532488099098E-2</v>
      </c>
      <c r="R5233">
        <v>0.99626485149004596</v>
      </c>
      <c r="S5233" t="s">
        <v>11518</v>
      </c>
      <c r="T5233" t="s">
        <v>12568</v>
      </c>
      <c r="U5233" t="s">
        <v>12568</v>
      </c>
      <c r="V5233" t="s">
        <v>12568</v>
      </c>
      <c r="W5233" t="s">
        <v>17750</v>
      </c>
      <c r="X5233">
        <v>6</v>
      </c>
      <c r="Y5233" t="s">
        <v>23847</v>
      </c>
      <c r="Z5233" t="s">
        <v>30103</v>
      </c>
      <c r="AA5233">
        <v>0.55339419336565288</v>
      </c>
      <c r="AB5233" t="str">
        <f>HYPERLINK("Melting_Curves/meltCurve_Q9H1D9_POLR3F.pdf", "Melting_Curves/meltCurve_Q9H1D9_POLR3F.pdf")</f>
        <v>Melting_Curves/meltCurve_Q9H1D9_POLR3F.pdf</v>
      </c>
    </row>
    <row r="5234" spans="1:28" x14ac:dyDescent="0.25">
      <c r="A5234" t="s">
        <v>5238</v>
      </c>
      <c r="B5234">
        <v>0.99352677808782597</v>
      </c>
      <c r="C5234">
        <v>0.93867592037110104</v>
      </c>
      <c r="D5234">
        <v>1.0184771494192899</v>
      </c>
      <c r="E5234">
        <v>1.0749298264342699</v>
      </c>
      <c r="F5234">
        <v>1.0573247118500499</v>
      </c>
      <c r="G5234">
        <v>1.06287305367889</v>
      </c>
      <c r="H5234">
        <v>1.1570518368470299</v>
      </c>
      <c r="I5234">
        <v>0.94990779974389405</v>
      </c>
      <c r="J5234">
        <v>1.0329211461610099</v>
      </c>
      <c r="K5234">
        <v>0.90307598247878695</v>
      </c>
      <c r="L5234">
        <v>15000</v>
      </c>
      <c r="M5234">
        <v>212.05380353754501</v>
      </c>
      <c r="Q5234">
        <v>0</v>
      </c>
      <c r="R5234">
        <v>0.11413073141498301</v>
      </c>
      <c r="S5234" t="s">
        <v>11519</v>
      </c>
      <c r="T5234" t="s">
        <v>12568</v>
      </c>
      <c r="U5234" t="s">
        <v>12568</v>
      </c>
      <c r="V5234" t="s">
        <v>12568</v>
      </c>
      <c r="W5234" t="s">
        <v>17751</v>
      </c>
      <c r="X5234">
        <v>17</v>
      </c>
      <c r="Y5234" t="s">
        <v>23848</v>
      </c>
      <c r="Z5234" t="s">
        <v>30104</v>
      </c>
      <c r="AA5234">
        <v>0.99890040611679765</v>
      </c>
      <c r="AB5234" t="str">
        <f>HYPERLINK("Melting_Curves/meltCurve_Q9H1E3_NUCKS1.pdf", "Melting_Curves/meltCurve_Q9H1E3_NUCKS1.pdf")</f>
        <v>Melting_Curves/meltCurve_Q9H1E3_NUCKS1.pdf</v>
      </c>
    </row>
    <row r="5235" spans="1:28" x14ac:dyDescent="0.25">
      <c r="A5235" t="s">
        <v>5239</v>
      </c>
      <c r="B5235">
        <v>0.99352677808782597</v>
      </c>
      <c r="C5235">
        <v>0.94169372447065403</v>
      </c>
      <c r="D5235">
        <v>0.85548335667981601</v>
      </c>
      <c r="E5235">
        <v>0.55817686161093305</v>
      </c>
      <c r="F5235">
        <v>0.49738209575784798</v>
      </c>
      <c r="G5235">
        <v>0.40108152130743602</v>
      </c>
      <c r="H5235">
        <v>0.32826015927379598</v>
      </c>
      <c r="I5235">
        <v>0.33602868993993901</v>
      </c>
      <c r="J5235">
        <v>0.29901864104165599</v>
      </c>
      <c r="K5235">
        <v>0.28557468180767398</v>
      </c>
      <c r="L5235">
        <v>784.46864407452495</v>
      </c>
      <c r="M5235">
        <v>15.931772210524899</v>
      </c>
      <c r="N5235">
        <v>52.275540132422499</v>
      </c>
      <c r="O5235">
        <v>48.483073378565798</v>
      </c>
      <c r="P5235">
        <v>-5.7362188832517903E-2</v>
      </c>
      <c r="Q5235">
        <v>0.30180435968653002</v>
      </c>
      <c r="R5235">
        <v>0.99169396327048098</v>
      </c>
      <c r="S5235" t="s">
        <v>11520</v>
      </c>
      <c r="T5235" t="s">
        <v>12568</v>
      </c>
      <c r="U5235" t="s">
        <v>12568</v>
      </c>
      <c r="V5235" t="s">
        <v>12568</v>
      </c>
      <c r="W5235" t="s">
        <v>17752</v>
      </c>
      <c r="X5235">
        <v>16</v>
      </c>
      <c r="Y5235" t="s">
        <v>23849</v>
      </c>
      <c r="Z5235" t="s">
        <v>30105</v>
      </c>
      <c r="AA5235">
        <v>0.53208555249100098</v>
      </c>
      <c r="AB5235" t="str">
        <f>HYPERLINK("Melting_Curves/meltCurve_Q9H1H9_3_KIF13A.pdf", "Melting_Curves/meltCurve_Q9H1H9_3_KIF13A.pdf")</f>
        <v>Melting_Curves/meltCurve_Q9H1H9_3_KIF13A.pdf</v>
      </c>
    </row>
    <row r="5236" spans="1:28" x14ac:dyDescent="0.25">
      <c r="A5236" t="s">
        <v>5240</v>
      </c>
      <c r="B5236">
        <v>0.99352677808782597</v>
      </c>
      <c r="C5236">
        <v>1.02507564369467</v>
      </c>
      <c r="D5236">
        <v>0.79545079188266399</v>
      </c>
      <c r="E5236">
        <v>0.547536728049832</v>
      </c>
      <c r="F5236">
        <v>0.60156701148826897</v>
      </c>
      <c r="G5236">
        <v>0.28090165679784401</v>
      </c>
      <c r="H5236">
        <v>0.28798729643077098</v>
      </c>
      <c r="I5236">
        <v>0.40618396002978702</v>
      </c>
      <c r="J5236">
        <v>0.29455264087898703</v>
      </c>
      <c r="K5236">
        <v>0.25047769083775601</v>
      </c>
      <c r="L5236">
        <v>775.50151332626604</v>
      </c>
      <c r="M5236">
        <v>15.669412734248199</v>
      </c>
      <c r="N5236">
        <v>52.330612077928102</v>
      </c>
      <c r="O5236">
        <v>48.706374981557097</v>
      </c>
      <c r="P5236">
        <v>-5.7404467558111801E-2</v>
      </c>
      <c r="Q5236">
        <v>0.28632285209562702</v>
      </c>
      <c r="R5236">
        <v>0.937661437123402</v>
      </c>
      <c r="S5236" t="s">
        <v>11521</v>
      </c>
      <c r="T5236" t="s">
        <v>12568</v>
      </c>
      <c r="U5236" t="s">
        <v>12568</v>
      </c>
      <c r="V5236" t="s">
        <v>12568</v>
      </c>
      <c r="W5236" t="s">
        <v>17753</v>
      </c>
      <c r="X5236">
        <v>3</v>
      </c>
      <c r="Y5236" t="s">
        <v>23850</v>
      </c>
      <c r="Z5236" t="s">
        <v>30106</v>
      </c>
      <c r="AA5236">
        <v>0.5280849854802977</v>
      </c>
      <c r="AB5236" t="str">
        <f>HYPERLINK("Melting_Curves/meltCurve_Q9H1I8_3_ASCC2.pdf", "Melting_Curves/meltCurve_Q9H1I8_3_ASCC2.pdf")</f>
        <v>Melting_Curves/meltCurve_Q9H1I8_3_ASCC2.pdf</v>
      </c>
    </row>
    <row r="5237" spans="1:28" x14ac:dyDescent="0.25">
      <c r="A5237" t="s">
        <v>5241</v>
      </c>
      <c r="B5237">
        <v>0.99352677808782597</v>
      </c>
      <c r="C5237">
        <v>0.89414257236331296</v>
      </c>
      <c r="D5237">
        <v>0.89140653584801499</v>
      </c>
      <c r="E5237">
        <v>0.85847686214723895</v>
      </c>
      <c r="F5237">
        <v>0.94521406302875</v>
      </c>
      <c r="G5237">
        <v>1.1372781817331299</v>
      </c>
      <c r="H5237">
        <v>0.83933535059625597</v>
      </c>
      <c r="I5237">
        <v>0.96117463005083303</v>
      </c>
      <c r="J5237">
        <v>0.82750378195399499</v>
      </c>
      <c r="K5237">
        <v>0.75581963603351698</v>
      </c>
      <c r="L5237">
        <v>842.67796061051399</v>
      </c>
      <c r="M5237">
        <v>10.909276424925199</v>
      </c>
      <c r="Q5237">
        <v>0</v>
      </c>
      <c r="R5237">
        <v>0.166307648080531</v>
      </c>
      <c r="S5237" t="s">
        <v>11522</v>
      </c>
      <c r="T5237" t="s">
        <v>12568</v>
      </c>
      <c r="U5237" t="s">
        <v>12568</v>
      </c>
      <c r="V5237" t="s">
        <v>12568</v>
      </c>
      <c r="W5237" t="s">
        <v>17754</v>
      </c>
      <c r="X5237">
        <v>3</v>
      </c>
      <c r="Y5237" t="s">
        <v>23851</v>
      </c>
      <c r="Z5237" t="s">
        <v>30107</v>
      </c>
      <c r="AA5237">
        <v>0.95347696867726905</v>
      </c>
      <c r="AB5237" t="str">
        <f>HYPERLINK("Melting_Curves/meltCurve_Q9H1J1_2_UPF3A.pdf", "Melting_Curves/meltCurve_Q9H1J1_2_UPF3A.pdf")</f>
        <v>Melting_Curves/meltCurve_Q9H1J1_2_UPF3A.pdf</v>
      </c>
    </row>
    <row r="5238" spans="1:28" x14ac:dyDescent="0.25">
      <c r="A5238" t="s">
        <v>5242</v>
      </c>
      <c r="B5238">
        <v>0.99352677808782597</v>
      </c>
      <c r="C5238">
        <v>0.94116529278930605</v>
      </c>
      <c r="D5238">
        <v>0.97197369411125201</v>
      </c>
      <c r="E5238">
        <v>0.65469686681401495</v>
      </c>
      <c r="F5238">
        <v>0.58832005979036905</v>
      </c>
      <c r="G5238">
        <v>0.49890174616037802</v>
      </c>
      <c r="H5238">
        <v>0.47170084108826998</v>
      </c>
      <c r="I5238">
        <v>0.52111155122243302</v>
      </c>
      <c r="J5238">
        <v>0.475873433487499</v>
      </c>
      <c r="K5238">
        <v>0.441092331504918</v>
      </c>
      <c r="L5238">
        <v>1304.7058522238499</v>
      </c>
      <c r="M5238">
        <v>26.4952647723083</v>
      </c>
      <c r="N5238">
        <v>56.224501004594799</v>
      </c>
      <c r="O5238">
        <v>48.965035741469499</v>
      </c>
      <c r="P5238">
        <v>-7.0158830082643106E-2</v>
      </c>
      <c r="Q5238">
        <v>0.48137259464895898</v>
      </c>
      <c r="R5238">
        <v>0.97777961261666002</v>
      </c>
      <c r="S5238" t="s">
        <v>11523</v>
      </c>
      <c r="T5238" t="s">
        <v>12568</v>
      </c>
      <c r="U5238" t="s">
        <v>12568</v>
      </c>
      <c r="V5238" t="s">
        <v>12568</v>
      </c>
      <c r="W5238" t="s">
        <v>17755</v>
      </c>
      <c r="X5238">
        <v>12</v>
      </c>
      <c r="Y5238" t="s">
        <v>23852</v>
      </c>
      <c r="Z5238" t="s">
        <v>30108</v>
      </c>
      <c r="AA5238">
        <v>0.64524868927667511</v>
      </c>
      <c r="AB5238" t="str">
        <f>HYPERLINK("Melting_Curves/meltCurve_Q9H1K0_ZFYVE20.pdf", "Melting_Curves/meltCurve_Q9H1K0_ZFYVE20.pdf")</f>
        <v>Melting_Curves/meltCurve_Q9H1K0_ZFYVE20.pdf</v>
      </c>
    </row>
    <row r="5239" spans="1:28" x14ac:dyDescent="0.25">
      <c r="A5239" t="s">
        <v>5243</v>
      </c>
      <c r="B5239">
        <v>0.99352677808782597</v>
      </c>
      <c r="C5239">
        <v>0.991201114725211</v>
      </c>
      <c r="D5239">
        <v>1.032305894898</v>
      </c>
      <c r="E5239">
        <v>0.98053180294227404</v>
      </c>
      <c r="F5239">
        <v>0.83297995143721504</v>
      </c>
      <c r="G5239">
        <v>0.77585311993211303</v>
      </c>
      <c r="H5239">
        <v>0.66659454589026401</v>
      </c>
      <c r="I5239">
        <v>0.68568080185692504</v>
      </c>
      <c r="J5239">
        <v>0.73887793743413799</v>
      </c>
      <c r="K5239">
        <v>0.56233517374748099</v>
      </c>
      <c r="L5239">
        <v>1059.7698485860101</v>
      </c>
      <c r="M5239">
        <v>19.410857945323901</v>
      </c>
      <c r="O5239">
        <v>54.027193613556797</v>
      </c>
      <c r="P5239">
        <v>-3.1771293278582399E-2</v>
      </c>
      <c r="Q5239">
        <v>0.64629055816525705</v>
      </c>
      <c r="R5239">
        <v>0.91684821875129396</v>
      </c>
      <c r="S5239" t="s">
        <v>11524</v>
      </c>
      <c r="T5239" t="s">
        <v>12568</v>
      </c>
      <c r="U5239" t="s">
        <v>12568</v>
      </c>
      <c r="V5239" t="s">
        <v>12568</v>
      </c>
      <c r="W5239" t="s">
        <v>17756</v>
      </c>
      <c r="X5239">
        <v>8</v>
      </c>
      <c r="Y5239" t="s">
        <v>23853</v>
      </c>
      <c r="Z5239" t="s">
        <v>30109</v>
      </c>
      <c r="AA5239">
        <v>0.82336764391064388</v>
      </c>
      <c r="AB5239" t="str">
        <f>HYPERLINK("Melting_Curves/meltCurve_Q9H1K1_ISCU.pdf", "Melting_Curves/meltCurve_Q9H1K1_ISCU.pdf")</f>
        <v>Melting_Curves/meltCurve_Q9H1K1_ISCU.pdf</v>
      </c>
    </row>
    <row r="5240" spans="1:28" x14ac:dyDescent="0.25">
      <c r="A5240" t="s">
        <v>5244</v>
      </c>
      <c r="B5240">
        <v>0.99352677808782597</v>
      </c>
      <c r="C5240">
        <v>0.90018774007713698</v>
      </c>
      <c r="D5240">
        <v>0.94474195443505005</v>
      </c>
      <c r="E5240">
        <v>0.33291015797420098</v>
      </c>
      <c r="F5240">
        <v>0.26969903189220301</v>
      </c>
      <c r="G5240">
        <v>0.16691702487441901</v>
      </c>
      <c r="H5240">
        <v>0.13048597299683401</v>
      </c>
      <c r="I5240">
        <v>0.11927243447456801</v>
      </c>
      <c r="J5240">
        <v>0.107406689471312</v>
      </c>
      <c r="K5240">
        <v>9.1893644026598997E-2</v>
      </c>
      <c r="L5240">
        <v>1712.08317643847</v>
      </c>
      <c r="M5240">
        <v>35.192134771262801</v>
      </c>
      <c r="N5240">
        <v>49.084136689529601</v>
      </c>
      <c r="O5240">
        <v>48.493311687223297</v>
      </c>
      <c r="P5240">
        <v>-0.15714488747931299</v>
      </c>
      <c r="Q5240">
        <v>0.13384626862505999</v>
      </c>
      <c r="R5240">
        <v>0.98161643099722695</v>
      </c>
      <c r="S5240" t="s">
        <v>11525</v>
      </c>
      <c r="T5240" t="s">
        <v>12568</v>
      </c>
      <c r="U5240" t="s">
        <v>12568</v>
      </c>
      <c r="V5240" t="s">
        <v>12568</v>
      </c>
      <c r="W5240" t="s">
        <v>17757</v>
      </c>
      <c r="X5240">
        <v>6</v>
      </c>
      <c r="Y5240" t="s">
        <v>23854</v>
      </c>
      <c r="Z5240" t="s">
        <v>30110</v>
      </c>
      <c r="AA5240">
        <v>0.38736029636851887</v>
      </c>
      <c r="AB5240" t="str">
        <f>HYPERLINK("Melting_Curves/meltCurve_Q9H1P3_2_OSBPL2.pdf", "Melting_Curves/meltCurve_Q9H1P3_2_OSBPL2.pdf")</f>
        <v>Melting_Curves/meltCurve_Q9H1P3_2_OSBPL2.pdf</v>
      </c>
    </row>
    <row r="5241" spans="1:28" x14ac:dyDescent="0.25">
      <c r="A5241" t="s">
        <v>5245</v>
      </c>
      <c r="B5241">
        <v>0.99352677808782597</v>
      </c>
      <c r="C5241">
        <v>1.0104629377518799</v>
      </c>
      <c r="D5241">
        <v>1.0000989110671299</v>
      </c>
      <c r="E5241">
        <v>0.91651441593361205</v>
      </c>
      <c r="F5241">
        <v>0.83015249924311896</v>
      </c>
      <c r="G5241">
        <v>0.67616728424748795</v>
      </c>
      <c r="H5241">
        <v>0.89409011632675905</v>
      </c>
      <c r="I5241">
        <v>1.0434544392620699</v>
      </c>
      <c r="J5241">
        <v>1.3001708263482099</v>
      </c>
      <c r="K5241">
        <v>0.95509713791792195</v>
      </c>
      <c r="L5241">
        <v>11851.4770792856</v>
      </c>
      <c r="M5241">
        <v>250</v>
      </c>
      <c r="O5241">
        <v>47.402895181620998</v>
      </c>
      <c r="P5241">
        <v>-7.2394886377040099E-2</v>
      </c>
      <c r="Q5241">
        <v>0.94509238831188502</v>
      </c>
      <c r="R5241">
        <v>2.8686360588911899E-2</v>
      </c>
      <c r="S5241" t="s">
        <v>11526</v>
      </c>
      <c r="T5241" t="s">
        <v>12568</v>
      </c>
      <c r="U5241" t="s">
        <v>12568</v>
      </c>
      <c r="V5241" t="s">
        <v>12568</v>
      </c>
      <c r="W5241" t="s">
        <v>17758</v>
      </c>
      <c r="X5241">
        <v>4</v>
      </c>
      <c r="Y5241" t="s">
        <v>23855</v>
      </c>
      <c r="Z5241" t="s">
        <v>30111</v>
      </c>
      <c r="AA5241">
        <v>0.95865164770939126</v>
      </c>
      <c r="AB5241" t="str">
        <f>HYPERLINK("Melting_Curves/meltCurve_Q9H1U4_MEGF9.pdf", "Melting_Curves/meltCurve_Q9H1U4_MEGF9.pdf")</f>
        <v>Melting_Curves/meltCurve_Q9H1U4_MEGF9.pdf</v>
      </c>
    </row>
    <row r="5242" spans="1:28" x14ac:dyDescent="0.25">
      <c r="A5242" t="s">
        <v>5246</v>
      </c>
      <c r="B5242">
        <v>0.99352677808782597</v>
      </c>
      <c r="C5242">
        <v>1.01848738197335</v>
      </c>
      <c r="D5242">
        <v>0.94505916155310699</v>
      </c>
      <c r="E5242">
        <v>0.85409901859180404</v>
      </c>
      <c r="F5242">
        <v>0.71567429364192203</v>
      </c>
      <c r="G5242">
        <v>0.25295978261292001</v>
      </c>
      <c r="H5242">
        <v>0.13772094072750199</v>
      </c>
      <c r="I5242">
        <v>0.12575458758323399</v>
      </c>
      <c r="J5242">
        <v>9.4860165654245696E-2</v>
      </c>
      <c r="K5242">
        <v>7.3059120392950802E-2</v>
      </c>
      <c r="L5242">
        <v>1369.1426092014499</v>
      </c>
      <c r="M5242">
        <v>25.260560760961699</v>
      </c>
      <c r="N5242">
        <v>54.594525850641602</v>
      </c>
      <c r="O5242">
        <v>53.864562068283298</v>
      </c>
      <c r="P5242">
        <v>-0.107479612458248</v>
      </c>
      <c r="Q5242">
        <v>8.3272069181240596E-2</v>
      </c>
      <c r="R5242">
        <v>0.994257471457342</v>
      </c>
      <c r="S5242" t="s">
        <v>11527</v>
      </c>
      <c r="T5242" t="s">
        <v>12568</v>
      </c>
      <c r="U5242" t="s">
        <v>12568</v>
      </c>
      <c r="V5242" t="s">
        <v>12568</v>
      </c>
      <c r="W5242" t="s">
        <v>17759</v>
      </c>
      <c r="X5242">
        <v>5</v>
      </c>
      <c r="Y5242" t="s">
        <v>23856</v>
      </c>
      <c r="Z5242" t="s">
        <v>30112</v>
      </c>
      <c r="AA5242">
        <v>0.52554333464434932</v>
      </c>
      <c r="AB5242" t="str">
        <f>HYPERLINK("Melting_Curves/meltCurve_Q9H1Y0_ATG5.pdf", "Melting_Curves/meltCurve_Q9H1Y0_ATG5.pdf")</f>
        <v>Melting_Curves/meltCurve_Q9H1Y0_ATG5.pdf</v>
      </c>
    </row>
    <row r="5243" spans="1:28" x14ac:dyDescent="0.25">
      <c r="A5243" t="s">
        <v>5247</v>
      </c>
      <c r="B5243">
        <v>0.99352677808782597</v>
      </c>
      <c r="C5243">
        <v>0.98044421886396704</v>
      </c>
      <c r="D5243">
        <v>0.97597165231171801</v>
      </c>
      <c r="E5243">
        <v>0.72413504686692698</v>
      </c>
      <c r="F5243">
        <v>0.61518134523005497</v>
      </c>
      <c r="G5243">
        <v>0.53057809903392905</v>
      </c>
      <c r="H5243">
        <v>0.37120715519481501</v>
      </c>
      <c r="I5243">
        <v>0.28389528712414902</v>
      </c>
      <c r="J5243">
        <v>0.129134622011296</v>
      </c>
      <c r="K5243">
        <v>8.9623103849199401E-2</v>
      </c>
      <c r="L5243">
        <v>559.11072293654604</v>
      </c>
      <c r="M5243">
        <v>9.8664525576565101</v>
      </c>
      <c r="N5243">
        <v>56.6678621106024</v>
      </c>
      <c r="O5243">
        <v>54.487223850611997</v>
      </c>
      <c r="P5243">
        <v>-4.52927478989417E-2</v>
      </c>
      <c r="Q5243">
        <v>0</v>
      </c>
      <c r="R5243">
        <v>0.98045135783337101</v>
      </c>
      <c r="S5243" t="s">
        <v>11528</v>
      </c>
      <c r="T5243" t="s">
        <v>12568</v>
      </c>
      <c r="U5243" t="s">
        <v>12568</v>
      </c>
      <c r="V5243" t="s">
        <v>12568</v>
      </c>
      <c r="W5243" t="s">
        <v>17760</v>
      </c>
      <c r="X5243">
        <v>8</v>
      </c>
      <c r="Y5243" t="s">
        <v>23857</v>
      </c>
      <c r="Z5243" t="s">
        <v>30113</v>
      </c>
      <c r="AA5243">
        <v>0.57311936448271894</v>
      </c>
      <c r="AB5243" t="str">
        <f>HYPERLINK("Melting_Curves/meltCurve_Q9H1Z4_WDR13.pdf", "Melting_Curves/meltCurve_Q9H1Z4_WDR13.pdf")</f>
        <v>Melting_Curves/meltCurve_Q9H1Z4_WDR13.pdf</v>
      </c>
    </row>
    <row r="5244" spans="1:28" x14ac:dyDescent="0.25">
      <c r="A5244" t="s">
        <v>5248</v>
      </c>
      <c r="B5244">
        <v>0.99352677808782597</v>
      </c>
      <c r="C5244">
        <v>1.0003517494215399</v>
      </c>
      <c r="D5244">
        <v>0.35299438452134302</v>
      </c>
      <c r="E5244">
        <v>0.20804213838859401</v>
      </c>
      <c r="F5244">
        <v>0.152801148438553</v>
      </c>
      <c r="G5244">
        <v>9.59433521911289E-2</v>
      </c>
      <c r="H5244">
        <v>6.8136538680543701E-2</v>
      </c>
      <c r="I5244">
        <v>6.4603863180307197E-2</v>
      </c>
      <c r="J5244">
        <v>4.9946981721566697E-2</v>
      </c>
      <c r="K5244">
        <v>4.3683050006869097E-2</v>
      </c>
      <c r="L5244">
        <v>3382.8007749828598</v>
      </c>
      <c r="M5244">
        <v>74.460644357583206</v>
      </c>
      <c r="N5244">
        <v>45.563176319093301</v>
      </c>
      <c r="O5244">
        <v>45.397984760266198</v>
      </c>
      <c r="P5244">
        <v>-0.370138461942771</v>
      </c>
      <c r="Q5244">
        <v>9.7319803506166994E-2</v>
      </c>
      <c r="R5244">
        <v>0.98259835406269502</v>
      </c>
      <c r="S5244" t="s">
        <v>11529</v>
      </c>
      <c r="T5244" t="s">
        <v>12568</v>
      </c>
      <c r="U5244" t="s">
        <v>12568</v>
      </c>
      <c r="V5244" t="s">
        <v>12568</v>
      </c>
      <c r="W5244" t="s">
        <v>17761</v>
      </c>
      <c r="X5244">
        <v>17</v>
      </c>
      <c r="Y5244" t="s">
        <v>23858</v>
      </c>
      <c r="Z5244" t="s">
        <v>30114</v>
      </c>
      <c r="AA5244">
        <v>0.26154034260832348</v>
      </c>
      <c r="AB5244" t="str">
        <f>HYPERLINK("Melting_Curves/meltCurve_Q9H223_EHD4.pdf", "Melting_Curves/meltCurve_Q9H223_EHD4.pdf")</f>
        <v>Melting_Curves/meltCurve_Q9H223_EHD4.pdf</v>
      </c>
    </row>
    <row r="5245" spans="1:28" x14ac:dyDescent="0.25">
      <c r="A5245" t="s">
        <v>5249</v>
      </c>
      <c r="B5245">
        <v>0.99352677808782597</v>
      </c>
      <c r="C5245">
        <v>0.92044319259497798</v>
      </c>
      <c r="D5245">
        <v>0.82716836170614005</v>
      </c>
      <c r="E5245">
        <v>0.28617093675394101</v>
      </c>
      <c r="F5245">
        <v>0.22506510613753999</v>
      </c>
      <c r="G5245">
        <v>0.121595842273667</v>
      </c>
      <c r="H5245">
        <v>8.4705091624985407E-2</v>
      </c>
      <c r="I5245">
        <v>7.9431250917006896E-2</v>
      </c>
      <c r="J5245">
        <v>7.0554353874850206E-2</v>
      </c>
      <c r="K5245">
        <v>4.8760522698617401E-2</v>
      </c>
      <c r="L5245">
        <v>1233.3826771823699</v>
      </c>
      <c r="M5245">
        <v>25.608673857122099</v>
      </c>
      <c r="N5245">
        <v>48.499360518849699</v>
      </c>
      <c r="O5245">
        <v>47.871881807827897</v>
      </c>
      <c r="P5245">
        <v>-0.122846670586248</v>
      </c>
      <c r="Q5245">
        <v>8.1431644004968107E-2</v>
      </c>
      <c r="R5245">
        <v>0.99126582331044899</v>
      </c>
      <c r="S5245" t="s">
        <v>11530</v>
      </c>
      <c r="T5245" t="s">
        <v>12568</v>
      </c>
      <c r="U5245" t="s">
        <v>12568</v>
      </c>
      <c r="V5245" t="s">
        <v>12568</v>
      </c>
      <c r="W5245" t="s">
        <v>17762</v>
      </c>
      <c r="X5245">
        <v>19</v>
      </c>
      <c r="Y5245" t="s">
        <v>23859</v>
      </c>
      <c r="Z5245" t="s">
        <v>30115</v>
      </c>
      <c r="AA5245">
        <v>0.33907987230088182</v>
      </c>
      <c r="AB5245" t="str">
        <f>HYPERLINK("Melting_Curves/meltCurve_Q9H267_VPS33B.pdf", "Melting_Curves/meltCurve_Q9H267_VPS33B.pdf")</f>
        <v>Melting_Curves/meltCurve_Q9H267_VPS33B.pdf</v>
      </c>
    </row>
    <row r="5246" spans="1:28" x14ac:dyDescent="0.25">
      <c r="A5246" t="s">
        <v>5250</v>
      </c>
      <c r="B5246">
        <v>0.99352677808782597</v>
      </c>
      <c r="C5246">
        <v>0.877539471890317</v>
      </c>
      <c r="D5246">
        <v>0.72649546753630001</v>
      </c>
      <c r="E5246">
        <v>0.33229851503976199</v>
      </c>
      <c r="F5246">
        <v>0.25832278324438901</v>
      </c>
      <c r="G5246">
        <v>0.123608240328426</v>
      </c>
      <c r="H5246">
        <v>7.0125331619736497E-2</v>
      </c>
      <c r="I5246">
        <v>6.9168563034512603E-2</v>
      </c>
      <c r="J5246">
        <v>5.12184895802964E-2</v>
      </c>
      <c r="K5246">
        <v>4.12003808112388E-2</v>
      </c>
      <c r="L5246">
        <v>811.91363532160506</v>
      </c>
      <c r="M5246">
        <v>16.864848504766901</v>
      </c>
      <c r="N5246">
        <v>48.440383340359503</v>
      </c>
      <c r="O5246">
        <v>47.480759150546099</v>
      </c>
      <c r="P5246">
        <v>-8.4427535709854007E-2</v>
      </c>
      <c r="Q5246">
        <v>4.9282154990774499E-2</v>
      </c>
      <c r="R5246">
        <v>0.995307930740292</v>
      </c>
      <c r="S5246" t="s">
        <v>11531</v>
      </c>
      <c r="T5246" t="s">
        <v>12568</v>
      </c>
      <c r="U5246" t="s">
        <v>12568</v>
      </c>
      <c r="V5246" t="s">
        <v>12568</v>
      </c>
      <c r="W5246" t="s">
        <v>17763</v>
      </c>
      <c r="X5246">
        <v>6</v>
      </c>
      <c r="Y5246" t="s">
        <v>23860</v>
      </c>
      <c r="Z5246" t="s">
        <v>30116</v>
      </c>
      <c r="AA5246">
        <v>0.32652897544922449</v>
      </c>
      <c r="AB5246" t="str">
        <f>HYPERLINK("Melting_Curves/meltCurve_Q9H269_VPS16.pdf", "Melting_Curves/meltCurve_Q9H269_VPS16.pdf")</f>
        <v>Melting_Curves/meltCurve_Q9H269_VPS16.pdf</v>
      </c>
    </row>
    <row r="5247" spans="1:28" x14ac:dyDescent="0.25">
      <c r="A5247" t="s">
        <v>5251</v>
      </c>
      <c r="B5247">
        <v>0.99352677808782597</v>
      </c>
      <c r="C5247">
        <v>0.93905346095074305</v>
      </c>
      <c r="D5247">
        <v>0.86626066209453001</v>
      </c>
      <c r="E5247">
        <v>0.43385621365277799</v>
      </c>
      <c r="F5247">
        <v>0.332285961166851</v>
      </c>
      <c r="G5247">
        <v>0.20909567116809799</v>
      </c>
      <c r="H5247">
        <v>0.116554810006813</v>
      </c>
      <c r="I5247">
        <v>0.106280198829869</v>
      </c>
      <c r="J5247">
        <v>7.4531418319704806E-2</v>
      </c>
      <c r="K5247">
        <v>6.6208729533634395E-2</v>
      </c>
      <c r="L5247">
        <v>886.18645403226503</v>
      </c>
      <c r="M5247">
        <v>17.898059117807701</v>
      </c>
      <c r="N5247">
        <v>50.036514586375702</v>
      </c>
      <c r="O5247">
        <v>48.907300697376797</v>
      </c>
      <c r="P5247">
        <v>-8.3681848754872903E-2</v>
      </c>
      <c r="Q5247">
        <v>8.5387522753600995E-2</v>
      </c>
      <c r="R5247">
        <v>0.99106106429893703</v>
      </c>
      <c r="S5247" t="s">
        <v>11532</v>
      </c>
      <c r="T5247" t="s">
        <v>12568</v>
      </c>
      <c r="U5247" t="s">
        <v>12568</v>
      </c>
      <c r="V5247" t="s">
        <v>12568</v>
      </c>
      <c r="W5247" t="s">
        <v>17764</v>
      </c>
      <c r="X5247">
        <v>7</v>
      </c>
      <c r="Y5247" t="s">
        <v>23861</v>
      </c>
      <c r="Z5247" t="s">
        <v>30117</v>
      </c>
      <c r="AA5247">
        <v>0.39128991185180489</v>
      </c>
      <c r="AB5247" t="str">
        <f>HYPERLINK("Melting_Curves/meltCurve_Q9H270_VPS11.pdf", "Melting_Curves/meltCurve_Q9H270_VPS11.pdf")</f>
        <v>Melting_Curves/meltCurve_Q9H270_VPS11.pdf</v>
      </c>
    </row>
    <row r="5248" spans="1:28" x14ac:dyDescent="0.25">
      <c r="A5248" t="s">
        <v>5252</v>
      </c>
      <c r="B5248">
        <v>0.99352677808782597</v>
      </c>
      <c r="C5248">
        <v>0.99677040357736801</v>
      </c>
      <c r="D5248">
        <v>0.91486388678600505</v>
      </c>
      <c r="E5248">
        <v>0.75192821103472696</v>
      </c>
      <c r="F5248">
        <v>0.63489144039409195</v>
      </c>
      <c r="G5248">
        <v>0.344596740186635</v>
      </c>
      <c r="H5248">
        <v>0.19095516522574099</v>
      </c>
      <c r="I5248">
        <v>0.16277228012480999</v>
      </c>
      <c r="J5248">
        <v>0.13172452767790899</v>
      </c>
      <c r="K5248">
        <v>0.102060443704568</v>
      </c>
      <c r="L5248">
        <v>795.72572478945199</v>
      </c>
      <c r="M5248">
        <v>14.7633164298701</v>
      </c>
      <c r="N5248">
        <v>54.4729590010339</v>
      </c>
      <c r="O5248">
        <v>52.938903329257599</v>
      </c>
      <c r="P5248">
        <v>-6.4702703699278899E-2</v>
      </c>
      <c r="Q5248">
        <v>7.2045377184180304E-2</v>
      </c>
      <c r="R5248">
        <v>0.99700111160474703</v>
      </c>
      <c r="S5248" t="s">
        <v>11533</v>
      </c>
      <c r="T5248" t="s">
        <v>12568</v>
      </c>
      <c r="U5248" t="s">
        <v>12568</v>
      </c>
      <c r="V5248" t="s">
        <v>12568</v>
      </c>
      <c r="W5248" t="s">
        <v>17765</v>
      </c>
      <c r="X5248">
        <v>9</v>
      </c>
      <c r="Y5248" t="s">
        <v>23862</v>
      </c>
      <c r="Z5248" t="s">
        <v>30118</v>
      </c>
      <c r="AA5248">
        <v>0.5214869015049417</v>
      </c>
      <c r="AB5248" t="str">
        <f>HYPERLINK("Melting_Curves/meltCurve_Q9H2C0_GAN.pdf", "Melting_Curves/meltCurve_Q9H2C0_GAN.pdf")</f>
        <v>Melting_Curves/meltCurve_Q9H2C0_GAN.pdf</v>
      </c>
    </row>
    <row r="5249" spans="1:28" x14ac:dyDescent="0.25">
      <c r="A5249" t="s">
        <v>5253</v>
      </c>
      <c r="B5249">
        <v>0.99352677808782597</v>
      </c>
      <c r="C5249">
        <v>0.98027117227583505</v>
      </c>
      <c r="D5249">
        <v>0.95144870452963404</v>
      </c>
      <c r="E5249">
        <v>0.75802758621591704</v>
      </c>
      <c r="F5249">
        <v>0.68366535420222296</v>
      </c>
      <c r="G5249">
        <v>0.45384401425802101</v>
      </c>
      <c r="H5249">
        <v>0.34307415242528</v>
      </c>
      <c r="I5249">
        <v>0.34117292177251601</v>
      </c>
      <c r="J5249">
        <v>0.35625947215959902</v>
      </c>
      <c r="K5249">
        <v>0.29409713144022498</v>
      </c>
      <c r="L5249">
        <v>828.74008987306695</v>
      </c>
      <c r="M5249">
        <v>15.6756359967668</v>
      </c>
      <c r="N5249">
        <v>56.050675381945602</v>
      </c>
      <c r="O5249">
        <v>52.030075833787301</v>
      </c>
      <c r="P5249">
        <v>-5.3128539090599898E-2</v>
      </c>
      <c r="Q5249">
        <v>0.29468967950640601</v>
      </c>
      <c r="R5249">
        <v>0.99198132494150804</v>
      </c>
      <c r="S5249" t="s">
        <v>11534</v>
      </c>
      <c r="T5249" t="s">
        <v>12568</v>
      </c>
      <c r="U5249" t="s">
        <v>12568</v>
      </c>
      <c r="V5249" t="s">
        <v>12568</v>
      </c>
      <c r="W5249" t="s">
        <v>17766</v>
      </c>
      <c r="X5249">
        <v>32</v>
      </c>
      <c r="Y5249" t="s">
        <v>23863</v>
      </c>
      <c r="Z5249" t="s">
        <v>30119</v>
      </c>
      <c r="AA5249">
        <v>0.61154655138580005</v>
      </c>
      <c r="AB5249" t="str">
        <f>HYPERLINK("Melting_Curves/meltCurve_Q9H2D6_3_TRIOBP.pdf", "Melting_Curves/meltCurve_Q9H2D6_3_TRIOBP.pdf")</f>
        <v>Melting_Curves/meltCurve_Q9H2D6_3_TRIOBP.pdf</v>
      </c>
    </row>
    <row r="5250" spans="1:28" x14ac:dyDescent="0.25">
      <c r="A5250" t="s">
        <v>5254</v>
      </c>
      <c r="B5250">
        <v>0.99352677808782597</v>
      </c>
      <c r="C5250">
        <v>0.94389621442829796</v>
      </c>
      <c r="D5250">
        <v>0.96231641559784298</v>
      </c>
      <c r="E5250">
        <v>0.86435185770463796</v>
      </c>
      <c r="F5250">
        <v>0.814878294025288</v>
      </c>
      <c r="G5250">
        <v>0.69994500584853403</v>
      </c>
      <c r="H5250">
        <v>0.54117803913255202</v>
      </c>
      <c r="I5250">
        <v>0.546953474644993</v>
      </c>
      <c r="J5250">
        <v>0.66413143840321098</v>
      </c>
      <c r="K5250">
        <v>0.49273724397065</v>
      </c>
      <c r="L5250">
        <v>716.09882632330698</v>
      </c>
      <c r="M5250">
        <v>13.247168328887801</v>
      </c>
      <c r="O5250">
        <v>52.869446863527202</v>
      </c>
      <c r="P5250">
        <v>-3.01562020461725E-2</v>
      </c>
      <c r="Q5250">
        <v>0.51866542109842095</v>
      </c>
      <c r="R5250">
        <v>0.93005402473345</v>
      </c>
      <c r="S5250" t="s">
        <v>11535</v>
      </c>
      <c r="T5250" t="s">
        <v>12568</v>
      </c>
      <c r="U5250" t="s">
        <v>12568</v>
      </c>
      <c r="V5250" t="s">
        <v>12568</v>
      </c>
      <c r="W5250" t="s">
        <v>17767</v>
      </c>
      <c r="X5250">
        <v>1</v>
      </c>
      <c r="Y5250" t="s">
        <v>23864</v>
      </c>
      <c r="Z5250" t="s">
        <v>30120</v>
      </c>
      <c r="AA5250">
        <v>0.75554486261109943</v>
      </c>
      <c r="AB5250" t="str">
        <f>HYPERLINK("Melting_Curves/meltCurve_Q9H2F5_2_EPC1.pdf", "Melting_Curves/meltCurve_Q9H2F5_2_EPC1.pdf")</f>
        <v>Melting_Curves/meltCurve_Q9H2F5_2_EPC1.pdf</v>
      </c>
    </row>
    <row r="5251" spans="1:28" x14ac:dyDescent="0.25">
      <c r="A5251" t="s">
        <v>5255</v>
      </c>
      <c r="B5251">
        <v>0.99352677808782597</v>
      </c>
      <c r="C5251">
        <v>0.95887053226202801</v>
      </c>
      <c r="D5251">
        <v>0.93897345788562003</v>
      </c>
      <c r="E5251">
        <v>0.30854374040487098</v>
      </c>
      <c r="F5251">
        <v>0.247576445603884</v>
      </c>
      <c r="G5251">
        <v>0.15276575326821701</v>
      </c>
      <c r="H5251">
        <v>0.112873807452316</v>
      </c>
      <c r="I5251">
        <v>0.105217408916622</v>
      </c>
      <c r="J5251">
        <v>9.2487378918322399E-2</v>
      </c>
      <c r="K5251">
        <v>7.6683143746772695E-2</v>
      </c>
      <c r="L5251">
        <v>1871.82083851165</v>
      </c>
      <c r="M5251">
        <v>38.532744916191497</v>
      </c>
      <c r="N5251">
        <v>48.928751124550097</v>
      </c>
      <c r="O5251">
        <v>48.447123996249999</v>
      </c>
      <c r="P5251">
        <v>-0.174808573086532</v>
      </c>
      <c r="Q5251">
        <v>0.120856592926882</v>
      </c>
      <c r="R5251">
        <v>0.98884641645679705</v>
      </c>
      <c r="S5251" t="s">
        <v>11536</v>
      </c>
      <c r="T5251" t="s">
        <v>12568</v>
      </c>
      <c r="U5251" t="s">
        <v>12568</v>
      </c>
      <c r="V5251" t="s">
        <v>12568</v>
      </c>
      <c r="W5251" t="s">
        <v>17768</v>
      </c>
      <c r="X5251">
        <v>36</v>
      </c>
      <c r="Y5251" t="s">
        <v>23865</v>
      </c>
      <c r="Z5251" t="s">
        <v>30121</v>
      </c>
      <c r="AA5251">
        <v>0.37540540744944789</v>
      </c>
      <c r="AB5251" t="str">
        <f>HYPERLINK("Melting_Curves/meltCurve_Q9H2G2_SLK.pdf", "Melting_Curves/meltCurve_Q9H2G2_SLK.pdf")</f>
        <v>Melting_Curves/meltCurve_Q9H2G2_SLK.pdf</v>
      </c>
    </row>
    <row r="5252" spans="1:28" x14ac:dyDescent="0.25">
      <c r="A5252" t="s">
        <v>5256</v>
      </c>
      <c r="B5252">
        <v>0.99352677808782597</v>
      </c>
      <c r="C5252">
        <v>0.94402925447442199</v>
      </c>
      <c r="D5252">
        <v>1.0248935007415501</v>
      </c>
      <c r="E5252">
        <v>0.36914084731846503</v>
      </c>
      <c r="F5252">
        <v>0.31684692568711198</v>
      </c>
      <c r="G5252">
        <v>0.15229514807038</v>
      </c>
      <c r="H5252">
        <v>0.108846515578349</v>
      </c>
      <c r="I5252">
        <v>0.10692956980897</v>
      </c>
      <c r="J5252">
        <v>0.100587012404874</v>
      </c>
      <c r="K5252">
        <v>8.6692128907859906E-2</v>
      </c>
      <c r="L5252">
        <v>1893.9045693394401</v>
      </c>
      <c r="M5252">
        <v>38.545101012486398</v>
      </c>
      <c r="N5252">
        <v>49.520839131381003</v>
      </c>
      <c r="O5252">
        <v>49.003068593867198</v>
      </c>
      <c r="P5252">
        <v>-0.171127132082184</v>
      </c>
      <c r="Q5252">
        <v>0.12977421542984299</v>
      </c>
      <c r="R5252">
        <v>0.97543893008622795</v>
      </c>
      <c r="S5252" t="s">
        <v>11537</v>
      </c>
      <c r="T5252" t="s">
        <v>12568</v>
      </c>
      <c r="U5252" t="s">
        <v>12568</v>
      </c>
      <c r="V5252" t="s">
        <v>12568</v>
      </c>
      <c r="W5252" t="s">
        <v>17769</v>
      </c>
      <c r="X5252">
        <v>6</v>
      </c>
      <c r="Y5252" t="s">
        <v>23866</v>
      </c>
      <c r="Z5252" t="s">
        <v>30122</v>
      </c>
      <c r="AA5252">
        <v>0.39793993530203409</v>
      </c>
      <c r="AB5252" t="str">
        <f>HYPERLINK("Melting_Curves/meltCurve_Q9H2H8_PPIL3.pdf", "Melting_Curves/meltCurve_Q9H2H8_PPIL3.pdf")</f>
        <v>Melting_Curves/meltCurve_Q9H2H8_PPIL3.pdf</v>
      </c>
    </row>
    <row r="5253" spans="1:28" x14ac:dyDescent="0.25">
      <c r="A5253" t="s">
        <v>5257</v>
      </c>
      <c r="B5253">
        <v>0.99352677808782597</v>
      </c>
      <c r="C5253">
        <v>0.90938943176706599</v>
      </c>
      <c r="D5253">
        <v>0.75538428010337899</v>
      </c>
      <c r="E5253">
        <v>1.3575182885175801</v>
      </c>
      <c r="F5253">
        <v>0.953165465473642</v>
      </c>
      <c r="G5253">
        <v>1.00761127453704</v>
      </c>
      <c r="H5253">
        <v>0.72622536413928696</v>
      </c>
      <c r="I5253">
        <v>0.36702710094318902</v>
      </c>
      <c r="J5253">
        <v>0.263950017655389</v>
      </c>
      <c r="K5253">
        <v>0.19104128261082801</v>
      </c>
      <c r="L5253">
        <v>2620.0186916457701</v>
      </c>
      <c r="M5253">
        <v>42.286597922280897</v>
      </c>
      <c r="N5253">
        <v>62.749583341757699</v>
      </c>
      <c r="O5253">
        <v>61.820524503249601</v>
      </c>
      <c r="P5253">
        <v>-0.135677916257187</v>
      </c>
      <c r="Q5253">
        <v>0.20658872444012399</v>
      </c>
      <c r="R5253">
        <v>0.84095932229179404</v>
      </c>
      <c r="S5253" t="s">
        <v>11538</v>
      </c>
      <c r="T5253" t="s">
        <v>12568</v>
      </c>
      <c r="U5253" t="s">
        <v>12568</v>
      </c>
      <c r="V5253" t="s">
        <v>12568</v>
      </c>
      <c r="W5253" t="s">
        <v>17770</v>
      </c>
      <c r="X5253">
        <v>4</v>
      </c>
      <c r="Y5253" t="s">
        <v>23867</v>
      </c>
      <c r="Z5253" t="s">
        <v>30123</v>
      </c>
      <c r="AA5253">
        <v>0.78996233436328744</v>
      </c>
      <c r="AB5253" t="str">
        <f>HYPERLINK("Melting_Curves/meltCurve_Q9H2J4_PDCL3.pdf", "Melting_Curves/meltCurve_Q9H2J4_PDCL3.pdf")</f>
        <v>Melting_Curves/meltCurve_Q9H2J4_PDCL3.pdf</v>
      </c>
    </row>
    <row r="5254" spans="1:28" x14ac:dyDescent="0.25">
      <c r="A5254" t="s">
        <v>5258</v>
      </c>
      <c r="B5254">
        <v>0.99352677808782597</v>
      </c>
      <c r="C5254">
        <v>0.75000450087493398</v>
      </c>
      <c r="D5254">
        <v>0.73290417920856998</v>
      </c>
      <c r="E5254">
        <v>0.44919205681818197</v>
      </c>
      <c r="F5254">
        <v>0.39675570049173298</v>
      </c>
      <c r="G5254">
        <v>0.26141277630585202</v>
      </c>
      <c r="H5254">
        <v>0.18550961774351299</v>
      </c>
      <c r="I5254">
        <v>0.13063362426171499</v>
      </c>
      <c r="J5254">
        <v>9.6435248953267994E-2</v>
      </c>
      <c r="K5254">
        <v>7.7097954788741305E-2</v>
      </c>
      <c r="L5254">
        <v>477.27349220184601</v>
      </c>
      <c r="M5254">
        <v>9.6128121868363596</v>
      </c>
      <c r="N5254">
        <v>49.986671741449101</v>
      </c>
      <c r="O5254">
        <v>47.6437467040356</v>
      </c>
      <c r="P5254">
        <v>-4.8886359287991302E-2</v>
      </c>
      <c r="Q5254">
        <v>3.1370674251394601E-2</v>
      </c>
      <c r="R5254">
        <v>0.98108667136358896</v>
      </c>
      <c r="S5254" t="s">
        <v>11539</v>
      </c>
      <c r="T5254" t="s">
        <v>12568</v>
      </c>
      <c r="U5254" t="s">
        <v>12568</v>
      </c>
      <c r="V5254" t="s">
        <v>12568</v>
      </c>
      <c r="W5254" t="s">
        <v>17771</v>
      </c>
      <c r="X5254">
        <v>17</v>
      </c>
      <c r="Y5254" t="s">
        <v>23868</v>
      </c>
      <c r="Z5254" t="s">
        <v>30124</v>
      </c>
      <c r="AA5254">
        <v>0.390499492897322</v>
      </c>
      <c r="AB5254" t="str">
        <f>HYPERLINK("Melting_Curves/meltCurve_Q9H2K8_TAOK3.pdf", "Melting_Curves/meltCurve_Q9H2K8_TAOK3.pdf")</f>
        <v>Melting_Curves/meltCurve_Q9H2K8_TAOK3.pdf</v>
      </c>
    </row>
    <row r="5255" spans="1:28" x14ac:dyDescent="0.25">
      <c r="A5255" t="s">
        <v>5259</v>
      </c>
      <c r="B5255">
        <v>0.99352677808782597</v>
      </c>
      <c r="C5255">
        <v>0.80813379107889605</v>
      </c>
      <c r="D5255">
        <v>0.76273702089050699</v>
      </c>
      <c r="E5255">
        <v>0.43991843160038702</v>
      </c>
      <c r="F5255">
        <v>0.33200255791514699</v>
      </c>
      <c r="G5255">
        <v>0.215218937650306</v>
      </c>
      <c r="H5255">
        <v>0.15454808142419901</v>
      </c>
      <c r="I5255">
        <v>0.15623308889465301</v>
      </c>
      <c r="J5255">
        <v>0.14868502959517599</v>
      </c>
      <c r="K5255">
        <v>0.129245785416328</v>
      </c>
      <c r="L5255">
        <v>676.39470263072803</v>
      </c>
      <c r="M5255">
        <v>13.9760121692046</v>
      </c>
      <c r="N5255">
        <v>49.378462198645401</v>
      </c>
      <c r="O5255">
        <v>47.438297181163598</v>
      </c>
      <c r="P5255">
        <v>-6.4728749516129905E-2</v>
      </c>
      <c r="Q5255">
        <v>0.121290793579984</v>
      </c>
      <c r="R5255">
        <v>0.99027082363649699</v>
      </c>
      <c r="S5255" t="s">
        <v>11540</v>
      </c>
      <c r="T5255" t="s">
        <v>12568</v>
      </c>
      <c r="U5255" t="s">
        <v>12568</v>
      </c>
      <c r="V5255" t="s">
        <v>12568</v>
      </c>
      <c r="W5255" t="s">
        <v>17772</v>
      </c>
      <c r="X5255">
        <v>26</v>
      </c>
      <c r="Y5255" t="s">
        <v>23869</v>
      </c>
      <c r="Z5255" t="s">
        <v>30125</v>
      </c>
      <c r="AA5255">
        <v>0.39266817748932681</v>
      </c>
      <c r="AB5255" t="str">
        <f>HYPERLINK("Melting_Curves/meltCurve_Q9H2M9_RAB3GAP2.pdf", "Melting_Curves/meltCurve_Q9H2M9_RAB3GAP2.pdf")</f>
        <v>Melting_Curves/meltCurve_Q9H2M9_RAB3GAP2.pdf</v>
      </c>
    </row>
    <row r="5256" spans="1:28" x14ac:dyDescent="0.25">
      <c r="A5256" t="s">
        <v>5260</v>
      </c>
      <c r="B5256">
        <v>0.99352677808782597</v>
      </c>
      <c r="C5256">
        <v>0.96354534468236797</v>
      </c>
      <c r="D5256">
        <v>0.87641797138567501</v>
      </c>
      <c r="E5256">
        <v>0.56374166210648102</v>
      </c>
      <c r="F5256">
        <v>0.48899408401382899</v>
      </c>
      <c r="G5256">
        <v>0.38528782680954199</v>
      </c>
      <c r="H5256">
        <v>0.29727013139195302</v>
      </c>
      <c r="I5256">
        <v>0.303493133416946</v>
      </c>
      <c r="J5256">
        <v>0.27957890633544702</v>
      </c>
      <c r="K5256">
        <v>0.24493217831674299</v>
      </c>
      <c r="L5256">
        <v>813.27318553173404</v>
      </c>
      <c r="M5256">
        <v>16.356764807851601</v>
      </c>
      <c r="N5256">
        <v>52.209619548324298</v>
      </c>
      <c r="O5256">
        <v>48.995543237476298</v>
      </c>
      <c r="P5256">
        <v>-6.0869946637453098E-2</v>
      </c>
      <c r="Q5256">
        <v>0.27072576491734102</v>
      </c>
      <c r="R5256">
        <v>0.99096508512964998</v>
      </c>
      <c r="S5256" t="s">
        <v>11541</v>
      </c>
      <c r="T5256" t="s">
        <v>12568</v>
      </c>
      <c r="U5256" t="s">
        <v>12568</v>
      </c>
      <c r="V5256" t="s">
        <v>12568</v>
      </c>
      <c r="W5256" t="s">
        <v>17773</v>
      </c>
      <c r="X5256">
        <v>12</v>
      </c>
      <c r="Y5256" t="s">
        <v>23870</v>
      </c>
      <c r="Z5256" t="s">
        <v>30126</v>
      </c>
      <c r="AA5256">
        <v>0.52200324670016252</v>
      </c>
      <c r="AB5256" t="str">
        <f>HYPERLINK("Melting_Curves/meltCurve_Q9H2P0_ADNP.pdf", "Melting_Curves/meltCurve_Q9H2P0_ADNP.pdf")</f>
        <v>Melting_Curves/meltCurve_Q9H2P0_ADNP.pdf</v>
      </c>
    </row>
    <row r="5257" spans="1:28" x14ac:dyDescent="0.25">
      <c r="A5257" t="s">
        <v>5261</v>
      </c>
      <c r="B5257">
        <v>0.99352677808782597</v>
      </c>
      <c r="C5257">
        <v>0.94008995080255098</v>
      </c>
      <c r="D5257">
        <v>0.93580625180311305</v>
      </c>
      <c r="E5257">
        <v>0.52161452457698299</v>
      </c>
      <c r="F5257">
        <v>0.44924745958918899</v>
      </c>
      <c r="G5257">
        <v>0.18309746140724301</v>
      </c>
      <c r="H5257">
        <v>0.13268335434308701</v>
      </c>
      <c r="I5257">
        <v>0.121967814490492</v>
      </c>
      <c r="J5257">
        <v>0.108722221882204</v>
      </c>
      <c r="K5257">
        <v>7.3427169082496802E-2</v>
      </c>
      <c r="L5257">
        <v>877.87690728396103</v>
      </c>
      <c r="M5257">
        <v>17.297023214277601</v>
      </c>
      <c r="N5257">
        <v>51.310625090619503</v>
      </c>
      <c r="O5257">
        <v>50.089259820261802</v>
      </c>
      <c r="P5257">
        <v>-7.8939185933647099E-2</v>
      </c>
      <c r="Q5257">
        <v>8.5674566812981703E-2</v>
      </c>
      <c r="R5257">
        <v>0.98701837613284604</v>
      </c>
      <c r="S5257" t="s">
        <v>11542</v>
      </c>
      <c r="T5257" t="s">
        <v>12568</v>
      </c>
      <c r="U5257" t="s">
        <v>12568</v>
      </c>
      <c r="V5257" t="s">
        <v>12568</v>
      </c>
      <c r="W5257" t="s">
        <v>17774</v>
      </c>
      <c r="X5257">
        <v>6</v>
      </c>
      <c r="Y5257" t="s">
        <v>23871</v>
      </c>
      <c r="Z5257" t="s">
        <v>30127</v>
      </c>
      <c r="AA5257">
        <v>0.43000879894379052</v>
      </c>
      <c r="AB5257" t="str">
        <f>HYPERLINK("Melting_Curves/meltCurve_Q9H2P9_3_DPH5.pdf", "Melting_Curves/meltCurve_Q9H2P9_3_DPH5.pdf")</f>
        <v>Melting_Curves/meltCurve_Q9H2P9_3_DPH5.pdf</v>
      </c>
    </row>
    <row r="5258" spans="1:28" x14ac:dyDescent="0.25">
      <c r="A5258" t="s">
        <v>5262</v>
      </c>
      <c r="B5258">
        <v>0.99352677808782597</v>
      </c>
      <c r="C5258">
        <v>0.95331311272452102</v>
      </c>
      <c r="D5258">
        <v>0.954859707881062</v>
      </c>
      <c r="E5258">
        <v>0.39390142738324802</v>
      </c>
      <c r="F5258">
        <v>0.31820778863708699</v>
      </c>
      <c r="G5258">
        <v>0.17629961947390499</v>
      </c>
      <c r="H5258">
        <v>0.123364599705649</v>
      </c>
      <c r="I5258">
        <v>0.12316781552463001</v>
      </c>
      <c r="J5258">
        <v>0.10740622441372701</v>
      </c>
      <c r="K5258">
        <v>9.0414765578639103E-2</v>
      </c>
      <c r="L5258">
        <v>1356.6476370770299</v>
      </c>
      <c r="M5258">
        <v>27.591856935731698</v>
      </c>
      <c r="N5258">
        <v>49.696545152243701</v>
      </c>
      <c r="O5258">
        <v>48.9123216366675</v>
      </c>
      <c r="P5258">
        <v>-0.123108023502094</v>
      </c>
      <c r="Q5258">
        <v>0.12706953136093599</v>
      </c>
      <c r="R5258">
        <v>0.98445587933882905</v>
      </c>
      <c r="S5258" t="s">
        <v>11543</v>
      </c>
      <c r="T5258" t="s">
        <v>12568</v>
      </c>
      <c r="U5258" t="s">
        <v>12568</v>
      </c>
      <c r="V5258" t="s">
        <v>12568</v>
      </c>
      <c r="W5258" t="s">
        <v>17775</v>
      </c>
      <c r="X5258">
        <v>20</v>
      </c>
      <c r="Y5258" t="s">
        <v>23872</v>
      </c>
      <c r="Z5258" t="s">
        <v>30128</v>
      </c>
      <c r="AA5258">
        <v>0.40017460709293262</v>
      </c>
      <c r="AB5258" t="str">
        <f>HYPERLINK("Melting_Curves/meltCurve_Q9H2U1_3_DHX36.pdf", "Melting_Curves/meltCurve_Q9H2U1_3_DHX36.pdf")</f>
        <v>Melting_Curves/meltCurve_Q9H2U1_3_DHX36.pdf</v>
      </c>
    </row>
    <row r="5259" spans="1:28" x14ac:dyDescent="0.25">
      <c r="A5259" t="s">
        <v>5263</v>
      </c>
      <c r="B5259">
        <v>0.99352677808782597</v>
      </c>
      <c r="C5259">
        <v>0.79211479843028998</v>
      </c>
      <c r="D5259">
        <v>0.90643350747389195</v>
      </c>
      <c r="E5259">
        <v>0.33551462056348502</v>
      </c>
      <c r="F5259">
        <v>0.25079339958215502</v>
      </c>
      <c r="G5259">
        <v>0.12692901111254801</v>
      </c>
      <c r="H5259">
        <v>7.6782249607944705E-2</v>
      </c>
      <c r="I5259">
        <v>6.3403186456189406E-2</v>
      </c>
      <c r="J5259">
        <v>5.0579432083966799E-2</v>
      </c>
      <c r="K5259">
        <v>3.5230546902274097E-2</v>
      </c>
      <c r="L5259">
        <v>987.81112405258204</v>
      </c>
      <c r="M5259">
        <v>20.2376793306263</v>
      </c>
      <c r="N5259">
        <v>49.090410006651801</v>
      </c>
      <c r="O5259">
        <v>48.341408464069097</v>
      </c>
      <c r="P5259">
        <v>-9.8959952495097106E-2</v>
      </c>
      <c r="Q5259">
        <v>5.4493488680293301E-2</v>
      </c>
      <c r="R5259">
        <v>0.96478452785591395</v>
      </c>
      <c r="S5259" t="s">
        <v>11544</v>
      </c>
      <c r="T5259" t="s">
        <v>12568</v>
      </c>
      <c r="U5259" t="s">
        <v>12568</v>
      </c>
      <c r="V5259" t="s">
        <v>12568</v>
      </c>
      <c r="W5259" t="s">
        <v>17776</v>
      </c>
      <c r="X5259">
        <v>11</v>
      </c>
      <c r="Y5259" t="s">
        <v>23873</v>
      </c>
      <c r="Z5259" t="s">
        <v>30129</v>
      </c>
      <c r="AA5259">
        <v>0.3451250619729137</v>
      </c>
      <c r="AB5259" t="str">
        <f>HYPERLINK("Melting_Curves/meltCurve_Q9H2U2_PPA2.pdf", "Melting_Curves/meltCurve_Q9H2U2_PPA2.pdf")</f>
        <v>Melting_Curves/meltCurve_Q9H2U2_PPA2.pdf</v>
      </c>
    </row>
    <row r="5260" spans="1:28" x14ac:dyDescent="0.25">
      <c r="A5260" t="s">
        <v>5264</v>
      </c>
      <c r="B5260">
        <v>0.99352677808782597</v>
      </c>
      <c r="C5260">
        <v>0.93214124140848997</v>
      </c>
      <c r="D5260">
        <v>0.72811167924916098</v>
      </c>
      <c r="E5260">
        <v>0.34700532791218502</v>
      </c>
      <c r="F5260">
        <v>0.19831885249095299</v>
      </c>
      <c r="G5260">
        <v>0.150716009549413</v>
      </c>
      <c r="H5260">
        <v>0.121196609700973</v>
      </c>
      <c r="I5260">
        <v>0.12795678568391899</v>
      </c>
      <c r="J5260">
        <v>9.1266066877369406E-2</v>
      </c>
      <c r="K5260">
        <v>8.3035857391454998E-2</v>
      </c>
      <c r="L5260">
        <v>1033.2691889755199</v>
      </c>
      <c r="M5260">
        <v>21.636214837070799</v>
      </c>
      <c r="N5260">
        <v>48.287008587773897</v>
      </c>
      <c r="O5260">
        <v>47.354115021623798</v>
      </c>
      <c r="P5260">
        <v>-0.102144296518488</v>
      </c>
      <c r="Q5260">
        <v>0.105788522913548</v>
      </c>
      <c r="R5260">
        <v>0.99860660378492305</v>
      </c>
      <c r="S5260" t="s">
        <v>11545</v>
      </c>
      <c r="T5260" t="s">
        <v>12568</v>
      </c>
      <c r="U5260" t="s">
        <v>12568</v>
      </c>
      <c r="V5260" t="s">
        <v>12568</v>
      </c>
      <c r="W5260" t="s">
        <v>17777</v>
      </c>
      <c r="X5260">
        <v>3</v>
      </c>
      <c r="Y5260" t="s">
        <v>23874</v>
      </c>
      <c r="Z5260" t="s">
        <v>30130</v>
      </c>
      <c r="AA5260">
        <v>0.34777813905444832</v>
      </c>
      <c r="AB5260" t="str">
        <f>HYPERLINK("Melting_Curves/meltCurve_Q9H2W6_MRPL46.pdf", "Melting_Curves/meltCurve_Q9H2W6_MRPL46.pdf")</f>
        <v>Melting_Curves/meltCurve_Q9H2W6_MRPL46.pdf</v>
      </c>
    </row>
    <row r="5261" spans="1:28" x14ac:dyDescent="0.25">
      <c r="A5261" t="s">
        <v>5265</v>
      </c>
      <c r="B5261">
        <v>0.99352677808782597</v>
      </c>
      <c r="C5261">
        <v>0.937240310038157</v>
      </c>
      <c r="D5261">
        <v>0.93824719716390304</v>
      </c>
      <c r="E5261">
        <v>0.81500700290995898</v>
      </c>
      <c r="F5261">
        <v>0.77995997771217496</v>
      </c>
      <c r="G5261">
        <v>0.64121082730580803</v>
      </c>
      <c r="H5261">
        <v>0.57747207101786502</v>
      </c>
      <c r="I5261">
        <v>0.61435881207091503</v>
      </c>
      <c r="J5261">
        <v>0.63810186190437501</v>
      </c>
      <c r="K5261">
        <v>0.52812263984618302</v>
      </c>
      <c r="L5261">
        <v>634.99741824497301</v>
      </c>
      <c r="M5261">
        <v>12.234777301200801</v>
      </c>
      <c r="O5261">
        <v>50.572887163850801</v>
      </c>
      <c r="P5261">
        <v>-2.7093581381740301E-2</v>
      </c>
      <c r="Q5261">
        <v>0.55213102556023796</v>
      </c>
      <c r="R5261">
        <v>0.96078355045305697</v>
      </c>
      <c r="S5261" t="s">
        <v>11546</v>
      </c>
      <c r="T5261" t="s">
        <v>12568</v>
      </c>
      <c r="U5261" t="s">
        <v>12568</v>
      </c>
      <c r="V5261" t="s">
        <v>12568</v>
      </c>
      <c r="W5261" t="s">
        <v>17778</v>
      </c>
      <c r="X5261">
        <v>6</v>
      </c>
      <c r="Y5261" t="s">
        <v>23875</v>
      </c>
      <c r="Z5261" t="s">
        <v>30131</v>
      </c>
      <c r="AA5261">
        <v>0.74325234306131216</v>
      </c>
      <c r="AB5261" t="str">
        <f>HYPERLINK("Melting_Curves/meltCurve_Q9H2Y7_ZNF106.pdf", "Melting_Curves/meltCurve_Q9H2Y7_ZNF106.pdf")</f>
        <v>Melting_Curves/meltCurve_Q9H2Y7_ZNF106.pdf</v>
      </c>
    </row>
    <row r="5262" spans="1:28" x14ac:dyDescent="0.25">
      <c r="A5262" t="s">
        <v>5266</v>
      </c>
      <c r="B5262">
        <v>0.99352677808782597</v>
      </c>
      <c r="C5262">
        <v>0.92559038705484498</v>
      </c>
      <c r="D5262">
        <v>0.98655399005698696</v>
      </c>
      <c r="E5262">
        <v>1.03432031636962</v>
      </c>
      <c r="F5262">
        <v>0.90501187153389295</v>
      </c>
      <c r="G5262">
        <v>0.73061299252109702</v>
      </c>
      <c r="H5262">
        <v>0.633575878646506</v>
      </c>
      <c r="I5262">
        <v>0.57653394206922703</v>
      </c>
      <c r="J5262">
        <v>0.579250914934065</v>
      </c>
      <c r="K5262">
        <v>0.609073913397432</v>
      </c>
      <c r="L5262">
        <v>1622.19595321163</v>
      </c>
      <c r="M5262">
        <v>29.132967261234</v>
      </c>
      <c r="O5262">
        <v>55.422098473877497</v>
      </c>
      <c r="P5262">
        <v>-5.4048854216194403E-2</v>
      </c>
      <c r="Q5262">
        <v>0.58871625229314195</v>
      </c>
      <c r="R5262">
        <v>0.96997607592383195</v>
      </c>
      <c r="S5262" t="s">
        <v>11547</v>
      </c>
      <c r="T5262" t="s">
        <v>12568</v>
      </c>
      <c r="U5262" t="s">
        <v>12568</v>
      </c>
      <c r="V5262" t="s">
        <v>12568</v>
      </c>
      <c r="W5262" t="s">
        <v>17779</v>
      </c>
      <c r="X5262">
        <v>12</v>
      </c>
      <c r="Y5262" t="s">
        <v>23876</v>
      </c>
      <c r="Z5262" t="s">
        <v>30132</v>
      </c>
      <c r="AA5262">
        <v>0.80660631661396187</v>
      </c>
      <c r="AB5262" t="str">
        <f>HYPERLINK("Melting_Curves/meltCurve_Q9H307_PNN.pdf", "Melting_Curves/meltCurve_Q9H307_PNN.pdf")</f>
        <v>Melting_Curves/meltCurve_Q9H307_PNN.pdf</v>
      </c>
    </row>
    <row r="5263" spans="1:28" x14ac:dyDescent="0.25">
      <c r="A5263" t="s">
        <v>5267</v>
      </c>
      <c r="B5263">
        <v>0.99352677808782597</v>
      </c>
      <c r="C5263">
        <v>0.9335940406762</v>
      </c>
      <c r="D5263">
        <v>0.82940660105954001</v>
      </c>
      <c r="E5263">
        <v>0.58993970411851504</v>
      </c>
      <c r="F5263">
        <v>0.51341586290635999</v>
      </c>
      <c r="G5263">
        <v>0.390636258048981</v>
      </c>
      <c r="H5263">
        <v>0.34969654567609498</v>
      </c>
      <c r="I5263">
        <v>0.23723125540628801</v>
      </c>
      <c r="J5263">
        <v>0.22974531360806899</v>
      </c>
      <c r="K5263">
        <v>0.155969013820632</v>
      </c>
      <c r="L5263">
        <v>538.76209923750503</v>
      </c>
      <c r="M5263">
        <v>10.4371161479239</v>
      </c>
      <c r="N5263">
        <v>53.4136998479485</v>
      </c>
      <c r="O5263">
        <v>49.832755439423998</v>
      </c>
      <c r="P5263">
        <v>-4.4638081184744403E-2</v>
      </c>
      <c r="Q5263">
        <v>0.147841031448572</v>
      </c>
      <c r="R5263">
        <v>0.98716707129527403</v>
      </c>
      <c r="S5263" t="s">
        <v>11548</v>
      </c>
      <c r="T5263" t="s">
        <v>12568</v>
      </c>
      <c r="U5263" t="s">
        <v>12568</v>
      </c>
      <c r="V5263" t="s">
        <v>12568</v>
      </c>
      <c r="W5263" t="s">
        <v>17780</v>
      </c>
      <c r="X5263">
        <v>2</v>
      </c>
      <c r="Y5263" t="s">
        <v>23877</v>
      </c>
      <c r="Z5263" t="s">
        <v>30133</v>
      </c>
      <c r="AA5263">
        <v>0.50980828672940259</v>
      </c>
      <c r="AB5263" t="str">
        <f>HYPERLINK("Melting_Curves/meltCurve_Q9H3D4_10_TP63.pdf", "Melting_Curves/meltCurve_Q9H3D4_10_TP63.pdf")</f>
        <v>Melting_Curves/meltCurve_Q9H3D4_10_TP63.pdf</v>
      </c>
    </row>
    <row r="5264" spans="1:28" x14ac:dyDescent="0.25">
      <c r="A5264" t="s">
        <v>5268</v>
      </c>
      <c r="B5264">
        <v>0.99352677808782597</v>
      </c>
      <c r="C5264">
        <v>0.99795107881156397</v>
      </c>
      <c r="D5264">
        <v>0.89557697136769499</v>
      </c>
      <c r="E5264">
        <v>0.66669259275516501</v>
      </c>
      <c r="F5264">
        <v>0.61612734433017102</v>
      </c>
      <c r="G5264">
        <v>0.38758579305374302</v>
      </c>
      <c r="H5264">
        <v>0.36131934452735998</v>
      </c>
      <c r="I5264">
        <v>0.35208878533613702</v>
      </c>
      <c r="J5264">
        <v>0.23496826066913501</v>
      </c>
      <c r="K5264">
        <v>0.15083495775973099</v>
      </c>
      <c r="L5264">
        <v>587.43463546593898</v>
      </c>
      <c r="M5264">
        <v>11.032731073960401</v>
      </c>
      <c r="N5264">
        <v>55.178175747634</v>
      </c>
      <c r="O5264">
        <v>51.585152095947599</v>
      </c>
      <c r="P5264">
        <v>-4.4911695437065698E-2</v>
      </c>
      <c r="Q5264">
        <v>0.16031513806598</v>
      </c>
      <c r="R5264">
        <v>0.97623241868612398</v>
      </c>
      <c r="S5264" t="s">
        <v>11549</v>
      </c>
      <c r="T5264" t="s">
        <v>12568</v>
      </c>
      <c r="U5264" t="s">
        <v>12568</v>
      </c>
      <c r="V5264" t="s">
        <v>12568</v>
      </c>
      <c r="W5264" t="s">
        <v>17781</v>
      </c>
      <c r="X5264">
        <v>5</v>
      </c>
      <c r="Y5264" t="s">
        <v>23878</v>
      </c>
      <c r="Z5264" t="s">
        <v>30134</v>
      </c>
      <c r="AA5264">
        <v>0.55656873082289882</v>
      </c>
      <c r="AB5264" t="str">
        <f>HYPERLINK("Melting_Curves/meltCurve_Q9H3F6_KCTD10.pdf", "Melting_Curves/meltCurve_Q9H3F6_KCTD10.pdf")</f>
        <v>Melting_Curves/meltCurve_Q9H3F6_KCTD10.pdf</v>
      </c>
    </row>
    <row r="5265" spans="1:28" x14ac:dyDescent="0.25">
      <c r="A5265" t="s">
        <v>5269</v>
      </c>
      <c r="B5265">
        <v>0.99352677808782597</v>
      </c>
      <c r="C5265">
        <v>0.99869233076438702</v>
      </c>
      <c r="D5265">
        <v>0.72968512148539499</v>
      </c>
      <c r="E5265">
        <v>0.30067969830887398</v>
      </c>
      <c r="F5265">
        <v>0.24034044155985301</v>
      </c>
      <c r="G5265">
        <v>0.164816406185568</v>
      </c>
      <c r="H5265">
        <v>0.13652183875405199</v>
      </c>
      <c r="I5265">
        <v>0.140387948307407</v>
      </c>
      <c r="J5265">
        <v>0.11941599813998401</v>
      </c>
      <c r="K5265">
        <v>0.10395707791721399</v>
      </c>
      <c r="L5265">
        <v>1249.8789300686001</v>
      </c>
      <c r="M5265">
        <v>26.316802316815799</v>
      </c>
      <c r="N5265">
        <v>48.076408828729299</v>
      </c>
      <c r="O5265">
        <v>47.221866967247202</v>
      </c>
      <c r="P5265">
        <v>-0.120297873964546</v>
      </c>
      <c r="Q5265">
        <v>0.13657753141263301</v>
      </c>
      <c r="R5265">
        <v>0.99418709427713403</v>
      </c>
      <c r="S5265" t="s">
        <v>11550</v>
      </c>
      <c r="T5265" t="s">
        <v>12568</v>
      </c>
      <c r="U5265" t="s">
        <v>12568</v>
      </c>
      <c r="V5265" t="s">
        <v>12568</v>
      </c>
      <c r="W5265" t="s">
        <v>17782</v>
      </c>
      <c r="X5265">
        <v>2</v>
      </c>
      <c r="Y5265" t="s">
        <v>23879</v>
      </c>
      <c r="Z5265" t="s">
        <v>30135</v>
      </c>
      <c r="AA5265">
        <v>0.35909968556825961</v>
      </c>
      <c r="AB5265" t="str">
        <f>HYPERLINK("Melting_Curves/meltCurve_Q9H3H1_4_TRIT1.pdf", "Melting_Curves/meltCurve_Q9H3H1_4_TRIT1.pdf")</f>
        <v>Melting_Curves/meltCurve_Q9H3H1_4_TRIT1.pdf</v>
      </c>
    </row>
    <row r="5266" spans="1:28" x14ac:dyDescent="0.25">
      <c r="A5266" t="s">
        <v>5270</v>
      </c>
      <c r="B5266">
        <v>0.99352677808782597</v>
      </c>
      <c r="C5266">
        <v>0.99086183895607804</v>
      </c>
      <c r="D5266">
        <v>1.0465315887622999</v>
      </c>
      <c r="E5266">
        <v>0.83888091414025501</v>
      </c>
      <c r="F5266">
        <v>0.72392761344906198</v>
      </c>
      <c r="G5266">
        <v>0.21594693245782301</v>
      </c>
      <c r="H5266">
        <v>8.7515264902816706E-2</v>
      </c>
      <c r="I5266">
        <v>7.0313266460661203E-2</v>
      </c>
      <c r="J5266">
        <v>4.7140141364986697E-2</v>
      </c>
      <c r="K5266">
        <v>5.4814303462613297E-2</v>
      </c>
      <c r="L5266">
        <v>1507.95485163684</v>
      </c>
      <c r="M5266">
        <v>27.784504213820799</v>
      </c>
      <c r="N5266">
        <v>54.4612170793148</v>
      </c>
      <c r="O5266">
        <v>53.994420692706498</v>
      </c>
      <c r="P5266">
        <v>-0.122763484478964</v>
      </c>
      <c r="Q5266">
        <v>4.5729290547981798E-2</v>
      </c>
      <c r="R5266">
        <v>0.99294438287796905</v>
      </c>
      <c r="S5266" t="s">
        <v>11551</v>
      </c>
      <c r="T5266" t="s">
        <v>12568</v>
      </c>
      <c r="U5266" t="s">
        <v>12568</v>
      </c>
      <c r="V5266" t="s">
        <v>12568</v>
      </c>
      <c r="W5266" t="s">
        <v>17783</v>
      </c>
      <c r="X5266">
        <v>5</v>
      </c>
      <c r="Y5266" t="s">
        <v>23880</v>
      </c>
      <c r="Z5266" t="s">
        <v>30136</v>
      </c>
      <c r="AA5266">
        <v>0.50702027635304414</v>
      </c>
      <c r="AB5266" t="str">
        <f>HYPERLINK("Melting_Curves/meltCurve_Q9H3H3_2_C11orf68.pdf", "Melting_Curves/meltCurve_Q9H3H3_2_C11orf68.pdf")</f>
        <v>Melting_Curves/meltCurve_Q9H3H3_2_C11orf68.pdf</v>
      </c>
    </row>
    <row r="5267" spans="1:28" x14ac:dyDescent="0.25">
      <c r="A5267" t="s">
        <v>5271</v>
      </c>
      <c r="B5267">
        <v>0.99352677808782597</v>
      </c>
      <c r="C5267">
        <v>0.95205872845403094</v>
      </c>
      <c r="D5267">
        <v>1.02235402690994</v>
      </c>
      <c r="E5267">
        <v>0.95131751881170001</v>
      </c>
      <c r="F5267">
        <v>0.89719997733356105</v>
      </c>
      <c r="G5267">
        <v>0.80658775552617801</v>
      </c>
      <c r="H5267">
        <v>0.59685192607195803</v>
      </c>
      <c r="I5267">
        <v>0.58437717091802799</v>
      </c>
      <c r="J5267">
        <v>0.46343964793978398</v>
      </c>
      <c r="K5267">
        <v>0.34859544945534199</v>
      </c>
      <c r="L5267">
        <v>644.60807183705901</v>
      </c>
      <c r="M5267">
        <v>10.124798739700999</v>
      </c>
      <c r="N5267">
        <v>65.316386851403394</v>
      </c>
      <c r="O5267">
        <v>61.332351309071399</v>
      </c>
      <c r="P5267">
        <v>-3.6629951631085199E-2</v>
      </c>
      <c r="Q5267">
        <v>0.11284772321428201</v>
      </c>
      <c r="R5267">
        <v>0.98332519964849996</v>
      </c>
      <c r="S5267" t="s">
        <v>11552</v>
      </c>
      <c r="T5267" t="s">
        <v>12568</v>
      </c>
      <c r="U5267" t="s">
        <v>12568</v>
      </c>
      <c r="V5267" t="s">
        <v>12568</v>
      </c>
      <c r="W5267" t="s">
        <v>17784</v>
      </c>
      <c r="X5267">
        <v>8</v>
      </c>
      <c r="Y5267" t="s">
        <v>23881</v>
      </c>
      <c r="Z5267" t="s">
        <v>30137</v>
      </c>
      <c r="AA5267">
        <v>0.77940125354765211</v>
      </c>
      <c r="AB5267" t="str">
        <f>HYPERLINK("Melting_Curves/meltCurve_Q9H3K6_BOLA2.pdf", "Melting_Curves/meltCurve_Q9H3K6_BOLA2.pdf")</f>
        <v>Melting_Curves/meltCurve_Q9H3K6_BOLA2.pdf</v>
      </c>
    </row>
    <row r="5268" spans="1:28" x14ac:dyDescent="0.25">
      <c r="A5268" t="s">
        <v>5272</v>
      </c>
      <c r="B5268">
        <v>0.99352677808782597</v>
      </c>
      <c r="C5268">
        <v>1.01436907216311</v>
      </c>
      <c r="D5268">
        <v>0.94765873730213701</v>
      </c>
      <c r="E5268">
        <v>0.67050273352495005</v>
      </c>
      <c r="F5268">
        <v>0.55766929072354199</v>
      </c>
      <c r="G5268">
        <v>0.23877831596847199</v>
      </c>
      <c r="H5268">
        <v>0.18868548361644999</v>
      </c>
      <c r="I5268">
        <v>0.15507915761149099</v>
      </c>
      <c r="J5268">
        <v>0.139884386259297</v>
      </c>
      <c r="K5268">
        <v>8.9848669482601104E-2</v>
      </c>
      <c r="L5268">
        <v>904.64854578216102</v>
      </c>
      <c r="M5268">
        <v>17.2886880777187</v>
      </c>
      <c r="N5268">
        <v>53.044812053837397</v>
      </c>
      <c r="O5268">
        <v>51.6410145947698</v>
      </c>
      <c r="P5268">
        <v>-7.4960877513330207E-2</v>
      </c>
      <c r="Q5268">
        <v>0.104424376757091</v>
      </c>
      <c r="R5268">
        <v>0.99215383471938101</v>
      </c>
      <c r="S5268" t="s">
        <v>11553</v>
      </c>
      <c r="T5268" t="s">
        <v>12568</v>
      </c>
      <c r="U5268" t="s">
        <v>12568</v>
      </c>
      <c r="V5268" t="s">
        <v>12568</v>
      </c>
      <c r="W5268" t="s">
        <v>17785</v>
      </c>
      <c r="X5268">
        <v>2</v>
      </c>
      <c r="Y5268" t="s">
        <v>23882</v>
      </c>
      <c r="Z5268" t="s">
        <v>30138</v>
      </c>
      <c r="AA5268">
        <v>0.48824328243283088</v>
      </c>
      <c r="AB5268" t="str">
        <f>HYPERLINK("Melting_Curves/meltCurve_Q9H3L0_MMADHC.pdf", "Melting_Curves/meltCurve_Q9H3L0_MMADHC.pdf")</f>
        <v>Melting_Curves/meltCurve_Q9H3L0_MMADHC.pdf</v>
      </c>
    </row>
    <row r="5269" spans="1:28" x14ac:dyDescent="0.25">
      <c r="A5269" t="s">
        <v>5273</v>
      </c>
      <c r="B5269">
        <v>0.99352677808782597</v>
      </c>
      <c r="C5269">
        <v>0.91631794024386903</v>
      </c>
      <c r="D5269">
        <v>0.99323787460635204</v>
      </c>
      <c r="E5269">
        <v>0.87442668703334803</v>
      </c>
      <c r="F5269">
        <v>0.80464938774872397</v>
      </c>
      <c r="G5269">
        <v>0.81883633844661097</v>
      </c>
      <c r="H5269">
        <v>0.67640085872039002</v>
      </c>
      <c r="I5269">
        <v>0.83134072780699397</v>
      </c>
      <c r="J5269">
        <v>0.77005314911918799</v>
      </c>
      <c r="K5269">
        <v>0.77837354558267102</v>
      </c>
      <c r="L5269">
        <v>1013.22535381939</v>
      </c>
      <c r="M5269">
        <v>20.421198421666698</v>
      </c>
      <c r="O5269">
        <v>49.147900284116403</v>
      </c>
      <c r="P5269">
        <v>-2.4071105178755998E-2</v>
      </c>
      <c r="Q5269">
        <v>0.76827821109971794</v>
      </c>
      <c r="R5269">
        <v>0.76708084023715195</v>
      </c>
      <c r="S5269" t="s">
        <v>11554</v>
      </c>
      <c r="T5269" t="s">
        <v>12568</v>
      </c>
      <c r="U5269" t="s">
        <v>12568</v>
      </c>
      <c r="V5269" t="s">
        <v>12568</v>
      </c>
      <c r="W5269" t="s">
        <v>17786</v>
      </c>
      <c r="X5269">
        <v>3</v>
      </c>
      <c r="Y5269" t="s">
        <v>23883</v>
      </c>
      <c r="Z5269" t="s">
        <v>30139</v>
      </c>
      <c r="AA5269">
        <v>0.84565602426591324</v>
      </c>
      <c r="AB5269" t="str">
        <f>HYPERLINK("Melting_Curves/meltCurve_Q9H3N1_TMX1.pdf", "Melting_Curves/meltCurve_Q9H3N1_TMX1.pdf")</f>
        <v>Melting_Curves/meltCurve_Q9H3N1_TMX1.pdf</v>
      </c>
    </row>
    <row r="5270" spans="1:28" x14ac:dyDescent="0.25">
      <c r="A5270" t="s">
        <v>5274</v>
      </c>
      <c r="B5270">
        <v>0.99352677808782597</v>
      </c>
      <c r="C5270">
        <v>0.93016782048040303</v>
      </c>
      <c r="D5270">
        <v>0.84679089864256996</v>
      </c>
      <c r="E5270">
        <v>0.62613509609653095</v>
      </c>
      <c r="F5270">
        <v>0.57310412450116799</v>
      </c>
      <c r="G5270">
        <v>0.45545501373665398</v>
      </c>
      <c r="H5270">
        <v>0.42436703252813202</v>
      </c>
      <c r="I5270">
        <v>0.42249716349411598</v>
      </c>
      <c r="J5270">
        <v>0.46451544280363499</v>
      </c>
      <c r="K5270">
        <v>0.35742649260134601</v>
      </c>
      <c r="L5270">
        <v>738.28438861899394</v>
      </c>
      <c r="M5270">
        <v>15.085673951789801</v>
      </c>
      <c r="N5270">
        <v>54.854108988021402</v>
      </c>
      <c r="O5270">
        <v>48.103634255941103</v>
      </c>
      <c r="P5270">
        <v>-4.6912193889477198E-2</v>
      </c>
      <c r="Q5270">
        <v>0.40170413976300601</v>
      </c>
      <c r="R5270">
        <v>0.98480359959464703</v>
      </c>
      <c r="S5270" t="s">
        <v>11555</v>
      </c>
      <c r="T5270" t="s">
        <v>12568</v>
      </c>
      <c r="U5270" t="s">
        <v>12568</v>
      </c>
      <c r="V5270" t="s">
        <v>12568</v>
      </c>
      <c r="W5270" t="s">
        <v>17787</v>
      </c>
      <c r="X5270">
        <v>8</v>
      </c>
      <c r="Y5270" t="s">
        <v>23884</v>
      </c>
      <c r="Z5270" t="s">
        <v>30140</v>
      </c>
      <c r="AA5270">
        <v>0.59462646666641883</v>
      </c>
      <c r="AB5270" t="str">
        <f>HYPERLINK("Melting_Curves/meltCurve_Q9H3P2_NELFA.pdf", "Melting_Curves/meltCurve_Q9H3P2_NELFA.pdf")</f>
        <v>Melting_Curves/meltCurve_Q9H3P2_NELFA.pdf</v>
      </c>
    </row>
    <row r="5271" spans="1:28" x14ac:dyDescent="0.25">
      <c r="A5271" t="s">
        <v>5275</v>
      </c>
      <c r="B5271">
        <v>0.99352677808782597</v>
      </c>
      <c r="C5271">
        <v>0.99042537175514</v>
      </c>
      <c r="D5271">
        <v>0.94659967291742697</v>
      </c>
      <c r="E5271">
        <v>0.46396226938158303</v>
      </c>
      <c r="F5271">
        <v>0.35309801134992103</v>
      </c>
      <c r="G5271">
        <v>0.223366123933776</v>
      </c>
      <c r="H5271">
        <v>0.18304093466992799</v>
      </c>
      <c r="I5271">
        <v>0.16360046926838601</v>
      </c>
      <c r="J5271">
        <v>0.16657601806401001</v>
      </c>
      <c r="K5271">
        <v>0.117440945483128</v>
      </c>
      <c r="L5271">
        <v>1267.59214679504</v>
      </c>
      <c r="M5271">
        <v>25.642530575568301</v>
      </c>
      <c r="N5271">
        <v>50.234509810253698</v>
      </c>
      <c r="O5271">
        <v>49.135490493713803</v>
      </c>
      <c r="P5271">
        <v>-0.108569961383776</v>
      </c>
      <c r="Q5271">
        <v>0.16785539331039301</v>
      </c>
      <c r="R5271">
        <v>0.98901312370808303</v>
      </c>
      <c r="S5271" t="s">
        <v>11556</v>
      </c>
      <c r="T5271" t="s">
        <v>12568</v>
      </c>
      <c r="U5271" t="s">
        <v>12568</v>
      </c>
      <c r="V5271" t="s">
        <v>12568</v>
      </c>
      <c r="W5271" t="s">
        <v>17788</v>
      </c>
      <c r="X5271">
        <v>11</v>
      </c>
      <c r="Y5271" t="s">
        <v>23885</v>
      </c>
      <c r="Z5271" t="s">
        <v>30141</v>
      </c>
      <c r="AA5271">
        <v>0.43653977737797478</v>
      </c>
      <c r="AB5271" t="str">
        <f>HYPERLINK("Melting_Curves/meltCurve_Q9H3P7_ACBD3.pdf", "Melting_Curves/meltCurve_Q9H3P7_ACBD3.pdf")</f>
        <v>Melting_Curves/meltCurve_Q9H3P7_ACBD3.pdf</v>
      </c>
    </row>
    <row r="5272" spans="1:28" x14ac:dyDescent="0.25">
      <c r="A5272" t="s">
        <v>5276</v>
      </c>
      <c r="B5272">
        <v>0.99352677808782597</v>
      </c>
      <c r="C5272">
        <v>0.96518623001408199</v>
      </c>
      <c r="D5272">
        <v>1.0484538926284701</v>
      </c>
      <c r="E5272">
        <v>1.0249661924445299</v>
      </c>
      <c r="F5272">
        <v>0.86915939611665005</v>
      </c>
      <c r="G5272">
        <v>0.807441888471501</v>
      </c>
      <c r="H5272">
        <v>0.72397119708473401</v>
      </c>
      <c r="I5272">
        <v>0.752080199325041</v>
      </c>
      <c r="J5272">
        <v>0.74111909561167599</v>
      </c>
      <c r="K5272">
        <v>0.69933206903693101</v>
      </c>
      <c r="L5272">
        <v>1576.5691066029301</v>
      </c>
      <c r="M5272">
        <v>29.153247080618499</v>
      </c>
      <c r="O5272">
        <v>53.8261438000279</v>
      </c>
      <c r="P5272">
        <v>-3.6620601400652701E-2</v>
      </c>
      <c r="Q5272">
        <v>0.72954897825436205</v>
      </c>
      <c r="R5272">
        <v>0.94099983589578395</v>
      </c>
      <c r="S5272" t="s">
        <v>11557</v>
      </c>
      <c r="T5272" t="s">
        <v>12568</v>
      </c>
      <c r="U5272" t="s">
        <v>12568</v>
      </c>
      <c r="V5272" t="s">
        <v>12568</v>
      </c>
      <c r="W5272" t="s">
        <v>17789</v>
      </c>
      <c r="X5272">
        <v>12</v>
      </c>
      <c r="Y5272" t="s">
        <v>23886</v>
      </c>
      <c r="Z5272" t="s">
        <v>30142</v>
      </c>
      <c r="AA5272">
        <v>0.8583473096999934</v>
      </c>
      <c r="AB5272" t="str">
        <f>HYPERLINK("Melting_Curves/meltCurve_Q9H3Q1_CDC42EP4.pdf", "Melting_Curves/meltCurve_Q9H3Q1_CDC42EP4.pdf")</f>
        <v>Melting_Curves/meltCurve_Q9H3Q1_CDC42EP4.pdf</v>
      </c>
    </row>
    <row r="5273" spans="1:28" x14ac:dyDescent="0.25">
      <c r="A5273" t="s">
        <v>5277</v>
      </c>
      <c r="B5273">
        <v>0.99352677808782597</v>
      </c>
      <c r="C5273">
        <v>0.96188648368700902</v>
      </c>
      <c r="D5273">
        <v>0.95593936105511501</v>
      </c>
      <c r="E5273">
        <v>0.37724511917874098</v>
      </c>
      <c r="F5273">
        <v>0.29307448085587201</v>
      </c>
      <c r="G5273">
        <v>0.14206929568884499</v>
      </c>
      <c r="H5273">
        <v>9.1885853592871602E-2</v>
      </c>
      <c r="I5273">
        <v>8.5148746441489204E-2</v>
      </c>
      <c r="J5273">
        <v>7.0481566506990903E-2</v>
      </c>
      <c r="K5273">
        <v>5.3939580469519299E-2</v>
      </c>
      <c r="L5273">
        <v>1353.1932265415601</v>
      </c>
      <c r="M5273">
        <v>27.485101062250799</v>
      </c>
      <c r="N5273">
        <v>49.597639728378603</v>
      </c>
      <c r="O5273">
        <v>48.9752976837039</v>
      </c>
      <c r="P5273">
        <v>-0.12748974642847299</v>
      </c>
      <c r="Q5273">
        <v>9.1320186213039806E-2</v>
      </c>
      <c r="R5273">
        <v>0.98525076819188495</v>
      </c>
      <c r="S5273" t="s">
        <v>11558</v>
      </c>
      <c r="T5273" t="s">
        <v>12568</v>
      </c>
      <c r="U5273" t="s">
        <v>12568</v>
      </c>
      <c r="V5273" t="s">
        <v>12568</v>
      </c>
      <c r="W5273" t="s">
        <v>17790</v>
      </c>
      <c r="X5273">
        <v>30</v>
      </c>
      <c r="Y5273" t="s">
        <v>23887</v>
      </c>
      <c r="Z5273" t="s">
        <v>30143</v>
      </c>
      <c r="AA5273">
        <v>0.37764517634331413</v>
      </c>
      <c r="AB5273" t="str">
        <f>HYPERLINK("Melting_Curves/meltCurve_Q9H3S7_PTPN23.pdf", "Melting_Curves/meltCurve_Q9H3S7_PTPN23.pdf")</f>
        <v>Melting_Curves/meltCurve_Q9H3S7_PTPN23.pdf</v>
      </c>
    </row>
    <row r="5274" spans="1:28" x14ac:dyDescent="0.25">
      <c r="A5274" t="s">
        <v>5278</v>
      </c>
      <c r="B5274">
        <v>0.99352677808782597</v>
      </c>
      <c r="C5274">
        <v>0.91666530299703797</v>
      </c>
      <c r="D5274">
        <v>0.67773349827579998</v>
      </c>
      <c r="E5274">
        <v>0.25848157797813898</v>
      </c>
      <c r="F5274">
        <v>0.19553800740743499</v>
      </c>
      <c r="G5274">
        <v>0.11605469566762699</v>
      </c>
      <c r="H5274">
        <v>7.9076219997056996E-2</v>
      </c>
      <c r="I5274">
        <v>7.4208559592818996E-2</v>
      </c>
      <c r="J5274">
        <v>6.2764410272193594E-2</v>
      </c>
      <c r="K5274">
        <v>4.9191444425681102E-2</v>
      </c>
      <c r="L5274">
        <v>1031.1370949064101</v>
      </c>
      <c r="M5274">
        <v>21.8076618558656</v>
      </c>
      <c r="N5274">
        <v>47.6265132025054</v>
      </c>
      <c r="O5274">
        <v>46.891040874951599</v>
      </c>
      <c r="P5274">
        <v>-0.10781473716572799</v>
      </c>
      <c r="Q5274">
        <v>7.2724360437317295E-2</v>
      </c>
      <c r="R5274">
        <v>0.99669821179607399</v>
      </c>
      <c r="S5274" t="s">
        <v>11559</v>
      </c>
      <c r="T5274" t="s">
        <v>12568</v>
      </c>
      <c r="U5274" t="s">
        <v>12568</v>
      </c>
      <c r="V5274" t="s">
        <v>12568</v>
      </c>
      <c r="W5274" t="s">
        <v>17791</v>
      </c>
      <c r="X5274">
        <v>40</v>
      </c>
      <c r="Y5274" t="s">
        <v>23888</v>
      </c>
      <c r="Z5274" t="s">
        <v>30144</v>
      </c>
      <c r="AA5274">
        <v>0.30895730171806163</v>
      </c>
      <c r="AB5274" t="str">
        <f>HYPERLINK("Melting_Curves/meltCurve_Q9H3U1_UNC45A.pdf", "Melting_Curves/meltCurve_Q9H3U1_UNC45A.pdf")</f>
        <v>Melting_Curves/meltCurve_Q9H3U1_UNC45A.pdf</v>
      </c>
    </row>
    <row r="5275" spans="1:28" x14ac:dyDescent="0.25">
      <c r="A5275" t="s">
        <v>5279</v>
      </c>
      <c r="B5275">
        <v>0.99352677808782597</v>
      </c>
      <c r="C5275">
        <v>0.87379980532889301</v>
      </c>
      <c r="D5275">
        <v>1.1841618611426299</v>
      </c>
      <c r="E5275">
        <v>1.35852575966802</v>
      </c>
      <c r="F5275">
        <v>1.3173049864853199</v>
      </c>
      <c r="G5275">
        <v>1.38195544319342</v>
      </c>
      <c r="H5275">
        <v>1.77144101787416</v>
      </c>
      <c r="I5275">
        <v>2.0472916458485901</v>
      </c>
      <c r="J5275">
        <v>1.44154364788629</v>
      </c>
      <c r="K5275">
        <v>1.55007983188992</v>
      </c>
      <c r="L5275">
        <v>1085.0616374651399</v>
      </c>
      <c r="M5275">
        <v>22.360739920660599</v>
      </c>
      <c r="O5275">
        <v>48.1422171973418</v>
      </c>
      <c r="P5275">
        <v>5.8060310465178497E-2</v>
      </c>
      <c r="Q5275">
        <v>1.5</v>
      </c>
      <c r="R5275">
        <v>0.594621805710843</v>
      </c>
      <c r="S5275" t="s">
        <v>11560</v>
      </c>
      <c r="T5275" t="s">
        <v>12568</v>
      </c>
      <c r="U5275" t="s">
        <v>12568</v>
      </c>
      <c r="V5275" t="s">
        <v>12568</v>
      </c>
      <c r="W5275" t="s">
        <v>17792</v>
      </c>
      <c r="X5275">
        <v>1</v>
      </c>
      <c r="Y5275" t="s">
        <v>23889</v>
      </c>
      <c r="Z5275" t="s">
        <v>30145</v>
      </c>
      <c r="AA5275">
        <v>1.352330110471009</v>
      </c>
      <c r="AB5275" t="str">
        <f>HYPERLINK("Melting_Curves/meltCurve_Q9H3Y8_PPDPF.pdf", "Melting_Curves/meltCurve_Q9H3Y8_PPDPF.pdf")</f>
        <v>Melting_Curves/meltCurve_Q9H3Y8_PPDPF.pdf</v>
      </c>
    </row>
    <row r="5276" spans="1:28" x14ac:dyDescent="0.25">
      <c r="A5276" t="s">
        <v>5280</v>
      </c>
      <c r="B5276">
        <v>0.99352677808782597</v>
      </c>
      <c r="C5276">
        <v>0.96276474774739795</v>
      </c>
      <c r="D5276">
        <v>0.80143021280460103</v>
      </c>
      <c r="E5276">
        <v>0.41383047776997001</v>
      </c>
      <c r="F5276">
        <v>0.33263311762811598</v>
      </c>
      <c r="G5276">
        <v>0.222229308924662</v>
      </c>
      <c r="H5276">
        <v>0.169020257240731</v>
      </c>
      <c r="I5276">
        <v>0.176035606506871</v>
      </c>
      <c r="J5276">
        <v>0.12636034499760199</v>
      </c>
      <c r="K5276">
        <v>9.9556911555293406E-2</v>
      </c>
      <c r="L5276">
        <v>924.52937527236304</v>
      </c>
      <c r="M5276">
        <v>18.994825197539701</v>
      </c>
      <c r="N5276">
        <v>49.5485799275015</v>
      </c>
      <c r="O5276">
        <v>48.142853071510302</v>
      </c>
      <c r="P5276">
        <v>-8.4574606711778494E-2</v>
      </c>
      <c r="Q5276">
        <v>0.14260844423216901</v>
      </c>
      <c r="R5276">
        <v>0.99183477287190802</v>
      </c>
      <c r="S5276" t="s">
        <v>11561</v>
      </c>
      <c r="T5276" t="s">
        <v>12568</v>
      </c>
      <c r="U5276" t="s">
        <v>12568</v>
      </c>
      <c r="V5276" t="s">
        <v>12568</v>
      </c>
      <c r="W5276" t="s">
        <v>17793</v>
      </c>
      <c r="X5276">
        <v>4</v>
      </c>
      <c r="Y5276" t="s">
        <v>23890</v>
      </c>
      <c r="Z5276" t="s">
        <v>30146</v>
      </c>
      <c r="AA5276">
        <v>0.40387066881531469</v>
      </c>
      <c r="AB5276" t="str">
        <f>HYPERLINK("Melting_Curves/meltCurve_Q9H410_DSN1.pdf", "Melting_Curves/meltCurve_Q9H410_DSN1.pdf")</f>
        <v>Melting_Curves/meltCurve_Q9H410_DSN1.pdf</v>
      </c>
    </row>
    <row r="5277" spans="1:28" x14ac:dyDescent="0.25">
      <c r="A5277" t="s">
        <v>5281</v>
      </c>
      <c r="B5277">
        <v>0.99352677808782597</v>
      </c>
      <c r="C5277">
        <v>0.94140620766877503</v>
      </c>
      <c r="D5277">
        <v>0.90364551544569804</v>
      </c>
      <c r="E5277">
        <v>0.737329725441773</v>
      </c>
      <c r="F5277">
        <v>0.65718028933706296</v>
      </c>
      <c r="G5277">
        <v>0.56418086287212499</v>
      </c>
      <c r="H5277">
        <v>0.50546784577543502</v>
      </c>
      <c r="I5277">
        <v>0.50528134474475905</v>
      </c>
      <c r="J5277">
        <v>0.47789740948119303</v>
      </c>
      <c r="K5277">
        <v>0.44908925302742098</v>
      </c>
      <c r="L5277">
        <v>649.80344367147495</v>
      </c>
      <c r="M5277">
        <v>12.7892038844185</v>
      </c>
      <c r="N5277">
        <v>62.059793537009</v>
      </c>
      <c r="O5277">
        <v>49.614584727461597</v>
      </c>
      <c r="P5277">
        <v>-3.5398995706136603E-2</v>
      </c>
      <c r="Q5277">
        <v>0.45079430364575601</v>
      </c>
      <c r="R5277">
        <v>0.99616441144560997</v>
      </c>
      <c r="S5277" t="s">
        <v>11562</v>
      </c>
      <c r="T5277" t="s">
        <v>12568</v>
      </c>
      <c r="U5277" t="s">
        <v>12568</v>
      </c>
      <c r="V5277" t="s">
        <v>12568</v>
      </c>
      <c r="W5277" t="s">
        <v>17794</v>
      </c>
      <c r="X5277">
        <v>9</v>
      </c>
      <c r="Y5277" t="s">
        <v>23891</v>
      </c>
      <c r="Z5277" t="s">
        <v>30147</v>
      </c>
      <c r="AA5277">
        <v>0.66514835642722347</v>
      </c>
      <c r="AB5277" t="str">
        <f>HYPERLINK("Melting_Curves/meltCurve_Q9H425_C1orf198.pdf", "Melting_Curves/meltCurve_Q9H425_C1orf198.pdf")</f>
        <v>Melting_Curves/meltCurve_Q9H425_C1orf198.pdf</v>
      </c>
    </row>
    <row r="5278" spans="1:28" x14ac:dyDescent="0.25">
      <c r="A5278" t="s">
        <v>5282</v>
      </c>
      <c r="B5278">
        <v>0.99352677808782597</v>
      </c>
      <c r="C5278">
        <v>0.961116628343335</v>
      </c>
      <c r="D5278">
        <v>1.04955396132195</v>
      </c>
      <c r="E5278">
        <v>1.11501220256699</v>
      </c>
      <c r="F5278">
        <v>1.12745278168304</v>
      </c>
      <c r="G5278">
        <v>1.10458661638356</v>
      </c>
      <c r="H5278">
        <v>0.99296394381736297</v>
      </c>
      <c r="I5278">
        <v>1.2169426620585599</v>
      </c>
      <c r="J5278">
        <v>1.1684183639430901</v>
      </c>
      <c r="K5278">
        <v>1.04972413656097</v>
      </c>
      <c r="L5278">
        <v>11509.690900686001</v>
      </c>
      <c r="M5278">
        <v>250</v>
      </c>
      <c r="O5278">
        <v>46.035817191777603</v>
      </c>
      <c r="P5278">
        <v>0.15032951355417201</v>
      </c>
      <c r="Q5278">
        <v>1.11072867250875</v>
      </c>
      <c r="R5278">
        <v>0.44696417855550802</v>
      </c>
      <c r="S5278" t="s">
        <v>11563</v>
      </c>
      <c r="T5278" t="s">
        <v>12568</v>
      </c>
      <c r="U5278" t="s">
        <v>12568</v>
      </c>
      <c r="V5278" t="s">
        <v>12568</v>
      </c>
      <c r="W5278" t="s">
        <v>17795</v>
      </c>
      <c r="X5278">
        <v>13</v>
      </c>
      <c r="Y5278" t="s">
        <v>23892</v>
      </c>
      <c r="Z5278" t="s">
        <v>30148</v>
      </c>
      <c r="AA5278">
        <v>1.088430916685273</v>
      </c>
      <c r="AB5278" t="str">
        <f>HYPERLINK("Melting_Curves/meltCurve_Q9H444_CHMP4B.pdf", "Melting_Curves/meltCurve_Q9H444_CHMP4B.pdf")</f>
        <v>Melting_Curves/meltCurve_Q9H444_CHMP4B.pdf</v>
      </c>
    </row>
    <row r="5279" spans="1:28" x14ac:dyDescent="0.25">
      <c r="A5279" t="s">
        <v>5283</v>
      </c>
      <c r="B5279">
        <v>0.99352677808782597</v>
      </c>
      <c r="C5279">
        <v>0.91100240388551401</v>
      </c>
      <c r="D5279">
        <v>1.13763157817326</v>
      </c>
      <c r="E5279">
        <v>0.83774099563677895</v>
      </c>
      <c r="F5279">
        <v>0.93304420910494001</v>
      </c>
      <c r="G5279">
        <v>0.55444412562351897</v>
      </c>
      <c r="H5279">
        <v>0.80042343061527699</v>
      </c>
      <c r="I5279">
        <v>0.63277853308871501</v>
      </c>
      <c r="J5279">
        <v>0.55716416146640801</v>
      </c>
      <c r="K5279">
        <v>0.583714207862289</v>
      </c>
      <c r="L5279">
        <v>1366.7784780884299</v>
      </c>
      <c r="M5279">
        <v>25.4881849128775</v>
      </c>
      <c r="O5279">
        <v>53.297173424747399</v>
      </c>
      <c r="P5279">
        <v>-4.59755324237568E-2</v>
      </c>
      <c r="Q5279">
        <v>0.61545545603263097</v>
      </c>
      <c r="R5279">
        <v>0.734537834922524</v>
      </c>
      <c r="S5279" t="s">
        <v>11564</v>
      </c>
      <c r="T5279" t="s">
        <v>12568</v>
      </c>
      <c r="U5279" t="s">
        <v>12568</v>
      </c>
      <c r="V5279" t="s">
        <v>12568</v>
      </c>
      <c r="W5279" t="s">
        <v>17796</v>
      </c>
      <c r="X5279">
        <v>2</v>
      </c>
      <c r="Y5279" t="s">
        <v>23893</v>
      </c>
      <c r="Z5279" t="s">
        <v>30149</v>
      </c>
      <c r="AA5279">
        <v>0.79351862712861632</v>
      </c>
      <c r="AB5279" t="str">
        <f>HYPERLINK("Melting_Curves/meltCurve_Q9H461_FZD8.pdf", "Melting_Curves/meltCurve_Q9H461_FZD8.pdf")</f>
        <v>Melting_Curves/meltCurve_Q9H461_FZD8.pdf</v>
      </c>
    </row>
    <row r="5280" spans="1:28" x14ac:dyDescent="0.25">
      <c r="A5280" t="s">
        <v>5284</v>
      </c>
      <c r="B5280">
        <v>0.99352677808782597</v>
      </c>
      <c r="C5280">
        <v>0.94961272036584299</v>
      </c>
      <c r="D5280">
        <v>0.97007124698158298</v>
      </c>
      <c r="E5280">
        <v>0.885408093391157</v>
      </c>
      <c r="F5280">
        <v>0.80023610827008496</v>
      </c>
      <c r="G5280">
        <v>0.77545378361538597</v>
      </c>
      <c r="H5280">
        <v>0.62552886206605895</v>
      </c>
      <c r="I5280">
        <v>0.59964760524619398</v>
      </c>
      <c r="J5280">
        <v>0.71203893411927799</v>
      </c>
      <c r="K5280">
        <v>0.57153683756221296</v>
      </c>
      <c r="L5280">
        <v>623.88389526959202</v>
      </c>
      <c r="M5280">
        <v>11.5112599161892</v>
      </c>
      <c r="O5280">
        <v>52.639473917139398</v>
      </c>
      <c r="P5280">
        <v>-2.3027090646965599E-2</v>
      </c>
      <c r="Q5280">
        <v>0.57891977430811004</v>
      </c>
      <c r="R5280">
        <v>0.92556423986235303</v>
      </c>
      <c r="S5280" t="s">
        <v>11565</v>
      </c>
      <c r="T5280" t="s">
        <v>12568</v>
      </c>
      <c r="U5280" t="s">
        <v>12568</v>
      </c>
      <c r="V5280" t="s">
        <v>12568</v>
      </c>
      <c r="W5280" t="s">
        <v>17797</v>
      </c>
      <c r="X5280">
        <v>8</v>
      </c>
      <c r="Y5280" t="s">
        <v>23894</v>
      </c>
      <c r="Z5280" t="s">
        <v>30150</v>
      </c>
      <c r="AA5280">
        <v>0.78937471854497021</v>
      </c>
      <c r="AB5280" t="str">
        <f>HYPERLINK("Melting_Curves/meltCurve_Q9H467_CUEDC2.pdf", "Melting_Curves/meltCurve_Q9H467_CUEDC2.pdf")</f>
        <v>Melting_Curves/meltCurve_Q9H467_CUEDC2.pdf</v>
      </c>
    </row>
    <row r="5281" spans="1:28" x14ac:dyDescent="0.25">
      <c r="A5281" t="s">
        <v>5285</v>
      </c>
      <c r="B5281">
        <v>0.99352677808782597</v>
      </c>
      <c r="C5281">
        <v>0.97359629335505904</v>
      </c>
      <c r="D5281">
        <v>0.74511440309831001</v>
      </c>
      <c r="E5281">
        <v>0.32273666486479702</v>
      </c>
      <c r="F5281">
        <v>0.20449337227103201</v>
      </c>
      <c r="G5281">
        <v>0.173651243245798</v>
      </c>
      <c r="H5281">
        <v>0.126051099833213</v>
      </c>
      <c r="I5281">
        <v>0.148612977901802</v>
      </c>
      <c r="J5281">
        <v>9.4001191377356505E-2</v>
      </c>
      <c r="K5281">
        <v>6.4599853037844504E-2</v>
      </c>
      <c r="L5281">
        <v>1172.29132251495</v>
      </c>
      <c r="M5281">
        <v>24.558569068427801</v>
      </c>
      <c r="N5281">
        <v>48.261717773030803</v>
      </c>
      <c r="O5281">
        <v>47.421385935013298</v>
      </c>
      <c r="P5281">
        <v>-0.114239199149933</v>
      </c>
      <c r="Q5281">
        <v>0.117651693724988</v>
      </c>
      <c r="R5281">
        <v>0.99431373798714795</v>
      </c>
      <c r="S5281" t="s">
        <v>11566</v>
      </c>
      <c r="T5281" t="s">
        <v>12568</v>
      </c>
      <c r="U5281" t="s">
        <v>12568</v>
      </c>
      <c r="V5281" t="s">
        <v>12568</v>
      </c>
      <c r="W5281" t="s">
        <v>17798</v>
      </c>
      <c r="X5281">
        <v>1</v>
      </c>
      <c r="Y5281" t="s">
        <v>23895</v>
      </c>
      <c r="Z5281" t="s">
        <v>30151</v>
      </c>
      <c r="AA5281">
        <v>0.35324739447579462</v>
      </c>
      <c r="AB5281" t="str">
        <f>HYPERLINK("Melting_Curves/meltCurve_Q9H469_FBXL15.pdf", "Melting_Curves/meltCurve_Q9H469_FBXL15.pdf")</f>
        <v>Melting_Curves/meltCurve_Q9H469_FBXL15.pdf</v>
      </c>
    </row>
    <row r="5282" spans="1:28" x14ac:dyDescent="0.25">
      <c r="A5282" t="s">
        <v>5286</v>
      </c>
      <c r="B5282">
        <v>0.99352677808782597</v>
      </c>
      <c r="C5282">
        <v>0.95515899638483603</v>
      </c>
      <c r="D5282">
        <v>0.97567229872804195</v>
      </c>
      <c r="E5282">
        <v>0.90349350940452799</v>
      </c>
      <c r="F5282">
        <v>0.83432186409095999</v>
      </c>
      <c r="G5282">
        <v>0.61246332327887898</v>
      </c>
      <c r="H5282">
        <v>0.22550567362401699</v>
      </c>
      <c r="I5282">
        <v>0.124221267620304</v>
      </c>
      <c r="J5282">
        <v>9.4107372338717396E-2</v>
      </c>
      <c r="K5282">
        <v>7.1107014356592793E-2</v>
      </c>
      <c r="L5282">
        <v>1139.8300354509499</v>
      </c>
      <c r="M5282">
        <v>19.800536900527302</v>
      </c>
      <c r="N5282">
        <v>57.718327327456599</v>
      </c>
      <c r="O5282">
        <v>56.9880966121952</v>
      </c>
      <c r="P5282">
        <v>-8.4648748293109602E-2</v>
      </c>
      <c r="Q5282">
        <v>2.5519845382279301E-2</v>
      </c>
      <c r="R5282">
        <v>0.99306300282288196</v>
      </c>
      <c r="S5282" t="s">
        <v>11567</v>
      </c>
      <c r="T5282" t="s">
        <v>12568</v>
      </c>
      <c r="U5282" t="s">
        <v>12568</v>
      </c>
      <c r="V5282" t="s">
        <v>12568</v>
      </c>
      <c r="W5282" t="s">
        <v>17799</v>
      </c>
      <c r="X5282">
        <v>9</v>
      </c>
      <c r="Y5282" t="s">
        <v>23896</v>
      </c>
      <c r="Z5282" t="s">
        <v>30152</v>
      </c>
      <c r="AA5282">
        <v>0.60768309195861148</v>
      </c>
      <c r="AB5282" t="str">
        <f>HYPERLINK("Melting_Curves/meltCurve_Q9H479_FN3K.pdf", "Melting_Curves/meltCurve_Q9H479_FN3K.pdf")</f>
        <v>Melting_Curves/meltCurve_Q9H479_FN3K.pdf</v>
      </c>
    </row>
    <row r="5283" spans="1:28" x14ac:dyDescent="0.25">
      <c r="A5283" t="s">
        <v>5287</v>
      </c>
      <c r="B5283">
        <v>0.99352677808782597</v>
      </c>
      <c r="C5283">
        <v>0.92542402043291005</v>
      </c>
      <c r="D5283">
        <v>0.98164371042735499</v>
      </c>
      <c r="E5283">
        <v>0.79097808687729698</v>
      </c>
      <c r="F5283">
        <v>0.84959377943401204</v>
      </c>
      <c r="G5283">
        <v>0.38318738386385998</v>
      </c>
      <c r="H5283">
        <v>0.13824066734783699</v>
      </c>
      <c r="I5283">
        <v>9.3254278777100005E-2</v>
      </c>
      <c r="J5283">
        <v>7.4430571079812893E-2</v>
      </c>
      <c r="K5283">
        <v>6.3520947447812504E-2</v>
      </c>
      <c r="L5283">
        <v>1207.5195985589601</v>
      </c>
      <c r="M5283">
        <v>21.6863052451653</v>
      </c>
      <c r="N5283">
        <v>55.892741935313602</v>
      </c>
      <c r="O5283">
        <v>55.214226294554102</v>
      </c>
      <c r="P5283">
        <v>-9.4325239991407697E-2</v>
      </c>
      <c r="Q5283">
        <v>3.9398928439918497E-2</v>
      </c>
      <c r="R5283">
        <v>0.97865450552789801</v>
      </c>
      <c r="S5283" t="s">
        <v>11568</v>
      </c>
      <c r="T5283" t="s">
        <v>12568</v>
      </c>
      <c r="U5283" t="s">
        <v>12568</v>
      </c>
      <c r="V5283" t="s">
        <v>12568</v>
      </c>
      <c r="W5283" t="s">
        <v>17800</v>
      </c>
      <c r="X5283">
        <v>9</v>
      </c>
      <c r="Y5283" t="s">
        <v>23897</v>
      </c>
      <c r="Z5283" t="s">
        <v>30153</v>
      </c>
      <c r="AA5283">
        <v>0.55263708246949284</v>
      </c>
      <c r="AB5283" t="str">
        <f>HYPERLINK("Melting_Curves/meltCurve_Q9H488_POFUT1.pdf", "Melting_Curves/meltCurve_Q9H488_POFUT1.pdf")</f>
        <v>Melting_Curves/meltCurve_Q9H488_POFUT1.pdf</v>
      </c>
    </row>
    <row r="5284" spans="1:28" x14ac:dyDescent="0.25">
      <c r="A5284" t="s">
        <v>5288</v>
      </c>
      <c r="B5284">
        <v>0.99352677808782597</v>
      </c>
      <c r="C5284">
        <v>1.12065071859651</v>
      </c>
      <c r="D5284">
        <v>0.99375459353608797</v>
      </c>
      <c r="E5284">
        <v>0.64531928290553298</v>
      </c>
      <c r="F5284">
        <v>0.57148235738727404</v>
      </c>
      <c r="G5284">
        <v>0.244623654914189</v>
      </c>
      <c r="H5284">
        <v>9.83291915230015E-2</v>
      </c>
      <c r="I5284">
        <v>7.5285947805645098E-2</v>
      </c>
      <c r="J5284">
        <v>8.5651617465266602E-2</v>
      </c>
      <c r="K5284">
        <v>6.0448278431155501E-2</v>
      </c>
      <c r="L5284">
        <v>959.68405587863901</v>
      </c>
      <c r="M5284">
        <v>18.180637479503201</v>
      </c>
      <c r="N5284">
        <v>53.077599147508003</v>
      </c>
      <c r="O5284">
        <v>52.1598486900239</v>
      </c>
      <c r="P5284">
        <v>-8.3002228894124896E-2</v>
      </c>
      <c r="Q5284">
        <v>4.7518912676454098E-2</v>
      </c>
      <c r="R5284">
        <v>0.97800925361381397</v>
      </c>
      <c r="S5284" t="s">
        <v>11569</v>
      </c>
      <c r="T5284" t="s">
        <v>12568</v>
      </c>
      <c r="U5284" t="s">
        <v>12568</v>
      </c>
      <c r="V5284" t="s">
        <v>12568</v>
      </c>
      <c r="W5284" t="s">
        <v>17801</v>
      </c>
      <c r="X5284">
        <v>4</v>
      </c>
      <c r="Y5284" t="s">
        <v>23898</v>
      </c>
      <c r="Z5284" t="s">
        <v>30154</v>
      </c>
      <c r="AA5284">
        <v>0.46887257234300672</v>
      </c>
      <c r="AB5284" t="str">
        <f>HYPERLINK("Melting_Curves/meltCurve_Q9H492_MAP1LC3A.pdf", "Melting_Curves/meltCurve_Q9H492_MAP1LC3A.pdf")</f>
        <v>Melting_Curves/meltCurve_Q9H492_MAP1LC3A.pdf</v>
      </c>
    </row>
    <row r="5285" spans="1:28" x14ac:dyDescent="0.25">
      <c r="A5285" t="s">
        <v>5289</v>
      </c>
      <c r="B5285">
        <v>0.99352677808782597</v>
      </c>
      <c r="C5285">
        <v>0.94209338217899197</v>
      </c>
      <c r="D5285">
        <v>0.76156359205245705</v>
      </c>
      <c r="E5285">
        <v>0.33381224763513101</v>
      </c>
      <c r="F5285">
        <v>0.224948011729285</v>
      </c>
      <c r="G5285">
        <v>0.17680535539915701</v>
      </c>
      <c r="H5285">
        <v>0.10446330571945101</v>
      </c>
      <c r="I5285">
        <v>8.2247965916569493E-2</v>
      </c>
      <c r="J5285">
        <v>6.3935042437960304E-2</v>
      </c>
      <c r="K5285">
        <v>5.0294739185043902E-2</v>
      </c>
      <c r="L5285">
        <v>999.583108914072</v>
      </c>
      <c r="M5285">
        <v>20.767320695830399</v>
      </c>
      <c r="N5285">
        <v>48.5606436954873</v>
      </c>
      <c r="O5285">
        <v>47.6928684091748</v>
      </c>
      <c r="P5285">
        <v>-9.9755173418819496E-2</v>
      </c>
      <c r="Q5285">
        <v>8.3660911335880106E-2</v>
      </c>
      <c r="R5285">
        <v>0.994040435679173</v>
      </c>
      <c r="S5285" t="s">
        <v>11570</v>
      </c>
      <c r="T5285" t="s">
        <v>12568</v>
      </c>
      <c r="U5285" t="s">
        <v>12568</v>
      </c>
      <c r="V5285" t="s">
        <v>12568</v>
      </c>
      <c r="W5285" t="s">
        <v>17802</v>
      </c>
      <c r="X5285">
        <v>3</v>
      </c>
      <c r="Y5285" t="s">
        <v>23899</v>
      </c>
      <c r="Z5285" t="s">
        <v>30155</v>
      </c>
      <c r="AA5285">
        <v>0.34406091929346427</v>
      </c>
      <c r="AB5285" t="str">
        <f>HYPERLINK("Melting_Curves/meltCurve_Q9H496_IFRG15.pdf", "Melting_Curves/meltCurve_Q9H496_IFRG15.pdf")</f>
        <v>Melting_Curves/meltCurve_Q9H496_IFRG15.pdf</v>
      </c>
    </row>
    <row r="5286" spans="1:28" x14ac:dyDescent="0.25">
      <c r="A5286" t="s">
        <v>5290</v>
      </c>
      <c r="B5286">
        <v>0.99352677808782597</v>
      </c>
      <c r="C5286">
        <v>0.99663205210787198</v>
      </c>
      <c r="D5286">
        <v>0.97155375167929003</v>
      </c>
      <c r="E5286">
        <v>0.44587092120764499</v>
      </c>
      <c r="F5286">
        <v>0.336274822714209</v>
      </c>
      <c r="G5286">
        <v>0.166718667275604</v>
      </c>
      <c r="H5286">
        <v>0.11287046740617999</v>
      </c>
      <c r="I5286">
        <v>0.10956175289078</v>
      </c>
      <c r="J5286">
        <v>9.3967028089182697E-2</v>
      </c>
      <c r="K5286">
        <v>7.3427683248997996E-2</v>
      </c>
      <c r="L5286">
        <v>1250.45888584504</v>
      </c>
      <c r="M5286">
        <v>25.145601635098998</v>
      </c>
      <c r="N5286">
        <v>50.209692189694998</v>
      </c>
      <c r="O5286">
        <v>49.417422620570697</v>
      </c>
      <c r="P5286">
        <v>-0.11359699544091199</v>
      </c>
      <c r="Q5286">
        <v>0.10702527045138099</v>
      </c>
      <c r="R5286">
        <v>0.98689255992682601</v>
      </c>
      <c r="S5286" t="s">
        <v>11571</v>
      </c>
      <c r="T5286" t="s">
        <v>12568</v>
      </c>
      <c r="U5286" t="s">
        <v>12568</v>
      </c>
      <c r="V5286" t="s">
        <v>12568</v>
      </c>
      <c r="W5286" t="s">
        <v>17803</v>
      </c>
      <c r="X5286">
        <v>25</v>
      </c>
      <c r="Y5286" t="s">
        <v>23900</v>
      </c>
      <c r="Z5286" t="s">
        <v>30156</v>
      </c>
      <c r="AA5286">
        <v>0.40447595369196487</v>
      </c>
      <c r="AB5286" t="str">
        <f>HYPERLINK("Melting_Curves/meltCurve_Q9H4A4_RNPEP.pdf", "Melting_Curves/meltCurve_Q9H4A4_RNPEP.pdf")</f>
        <v>Melting_Curves/meltCurve_Q9H4A4_RNPEP.pdf</v>
      </c>
    </row>
    <row r="5287" spans="1:28" x14ac:dyDescent="0.25">
      <c r="A5287" t="s">
        <v>5291</v>
      </c>
      <c r="B5287">
        <v>0.99352677808782597</v>
      </c>
      <c r="C5287">
        <v>0.95849666053353599</v>
      </c>
      <c r="D5287">
        <v>0.89920788234723303</v>
      </c>
      <c r="E5287">
        <v>0.24486982289071699</v>
      </c>
      <c r="F5287">
        <v>0.16281110080842401</v>
      </c>
      <c r="G5287">
        <v>9.8333475560087605E-2</v>
      </c>
      <c r="H5287">
        <v>5.23938387015358E-2</v>
      </c>
      <c r="I5287">
        <v>5.2859363235493201E-2</v>
      </c>
      <c r="J5287">
        <v>3.9787090224363497E-2</v>
      </c>
      <c r="K5287">
        <v>3.95612380186968E-2</v>
      </c>
      <c r="L5287">
        <v>1845.74012639793</v>
      </c>
      <c r="M5287">
        <v>38.199228111890299</v>
      </c>
      <c r="N5287">
        <v>48.4971088349944</v>
      </c>
      <c r="O5287">
        <v>48.186926976599104</v>
      </c>
      <c r="P5287">
        <v>-0.185197728762619</v>
      </c>
      <c r="Q5287">
        <v>6.5521698929255703E-2</v>
      </c>
      <c r="R5287">
        <v>0.99421561795937297</v>
      </c>
      <c r="S5287" t="s">
        <v>11572</v>
      </c>
      <c r="T5287" t="s">
        <v>12568</v>
      </c>
      <c r="U5287" t="s">
        <v>12568</v>
      </c>
      <c r="V5287" t="s">
        <v>12568</v>
      </c>
      <c r="W5287" t="s">
        <v>17804</v>
      </c>
      <c r="X5287">
        <v>2</v>
      </c>
      <c r="Y5287" t="s">
        <v>23901</v>
      </c>
      <c r="Z5287" t="s">
        <v>30157</v>
      </c>
      <c r="AA5287">
        <v>0.32808046827598292</v>
      </c>
      <c r="AB5287" t="str">
        <f>HYPERLINK("Melting_Curves/meltCurve_Q9H4A5_GOLPH3L.pdf", "Melting_Curves/meltCurve_Q9H4A5_GOLPH3L.pdf")</f>
        <v>Melting_Curves/meltCurve_Q9H4A5_GOLPH3L.pdf</v>
      </c>
    </row>
    <row r="5288" spans="1:28" x14ac:dyDescent="0.25">
      <c r="A5288" t="s">
        <v>5292</v>
      </c>
      <c r="B5288">
        <v>0.99352677808782597</v>
      </c>
      <c r="C5288">
        <v>1.0242884223023201</v>
      </c>
      <c r="D5288">
        <v>1.0123052375592001</v>
      </c>
      <c r="E5288">
        <v>0.61442018400579101</v>
      </c>
      <c r="F5288">
        <v>0.55242022438702199</v>
      </c>
      <c r="G5288">
        <v>0.23139242733889401</v>
      </c>
      <c r="H5288">
        <v>0.189555482909223</v>
      </c>
      <c r="I5288">
        <v>0.13937226002835501</v>
      </c>
      <c r="J5288">
        <v>0.12550382626143999</v>
      </c>
      <c r="K5288">
        <v>8.3420791178260803E-2</v>
      </c>
      <c r="L5288">
        <v>939.97880744443205</v>
      </c>
      <c r="M5288">
        <v>18.038663031035899</v>
      </c>
      <c r="N5288">
        <v>52.784574548833902</v>
      </c>
      <c r="O5288">
        <v>51.481371481966299</v>
      </c>
      <c r="P5288">
        <v>-7.8573781019698294E-2</v>
      </c>
      <c r="Q5288">
        <v>0.103062549190167</v>
      </c>
      <c r="R5288">
        <v>0.98119200804153095</v>
      </c>
      <c r="S5288" t="s">
        <v>11573</v>
      </c>
      <c r="T5288" t="s">
        <v>12568</v>
      </c>
      <c r="U5288" t="s">
        <v>12568</v>
      </c>
      <c r="V5288" t="s">
        <v>12568</v>
      </c>
      <c r="W5288" t="s">
        <v>17805</v>
      </c>
      <c r="X5288">
        <v>3</v>
      </c>
      <c r="Y5288" t="s">
        <v>23902</v>
      </c>
      <c r="Z5288" t="s">
        <v>30158</v>
      </c>
      <c r="AA5288">
        <v>0.47994883505063618</v>
      </c>
      <c r="AB5288" t="str">
        <f>HYPERLINK("Melting_Curves/meltCurve_Q9H4A6_GOLPH3.pdf", "Melting_Curves/meltCurve_Q9H4A6_GOLPH3.pdf")</f>
        <v>Melting_Curves/meltCurve_Q9H4A6_GOLPH3.pdf</v>
      </c>
    </row>
    <row r="5289" spans="1:28" x14ac:dyDescent="0.25">
      <c r="A5289" t="s">
        <v>5293</v>
      </c>
      <c r="B5289">
        <v>0.99352677808782597</v>
      </c>
      <c r="C5289">
        <v>0.86874594092215196</v>
      </c>
      <c r="D5289">
        <v>0.93868793184603605</v>
      </c>
      <c r="E5289">
        <v>0.56154394437196997</v>
      </c>
      <c r="F5289">
        <v>0.41070695704020099</v>
      </c>
      <c r="G5289">
        <v>0.180143438487743</v>
      </c>
      <c r="H5289">
        <v>9.8384071788502794E-2</v>
      </c>
      <c r="I5289">
        <v>8.7295928881802001E-2</v>
      </c>
      <c r="J5289">
        <v>4.8608494004536699E-2</v>
      </c>
      <c r="K5289">
        <v>8.2478890063326996E-2</v>
      </c>
      <c r="L5289">
        <v>851.211505413655</v>
      </c>
      <c r="M5289">
        <v>16.690718554214101</v>
      </c>
      <c r="N5289">
        <v>51.325199325970303</v>
      </c>
      <c r="O5289">
        <v>50.283881868201803</v>
      </c>
      <c r="P5289">
        <v>-7.8813174736447E-2</v>
      </c>
      <c r="Q5289">
        <v>5.0306044740404003E-2</v>
      </c>
      <c r="R5289">
        <v>0.98700204172482398</v>
      </c>
      <c r="S5289" t="s">
        <v>11574</v>
      </c>
      <c r="T5289" t="s">
        <v>12568</v>
      </c>
      <c r="U5289" t="s">
        <v>12568</v>
      </c>
      <c r="V5289" t="s">
        <v>12568</v>
      </c>
      <c r="W5289" t="s">
        <v>17806</v>
      </c>
      <c r="X5289">
        <v>3</v>
      </c>
      <c r="Y5289" t="s">
        <v>23903</v>
      </c>
      <c r="Z5289" t="s">
        <v>30159</v>
      </c>
      <c r="AA5289">
        <v>0.41679644036881758</v>
      </c>
      <c r="AB5289" t="str">
        <f>HYPERLINK("Melting_Curves/meltCurve_Q9H4B0_OSGEPL1.pdf", "Melting_Curves/meltCurve_Q9H4B0_OSGEPL1.pdf")</f>
        <v>Melting_Curves/meltCurve_Q9H4B0_OSGEPL1.pdf</v>
      </c>
    </row>
    <row r="5290" spans="1:28" x14ac:dyDescent="0.25">
      <c r="A5290" t="s">
        <v>5294</v>
      </c>
      <c r="B5290">
        <v>0.99352677808782597</v>
      </c>
      <c r="C5290">
        <v>0.95373893332377302</v>
      </c>
      <c r="D5290">
        <v>0.67186866194654105</v>
      </c>
      <c r="E5290">
        <v>0.58142760279440497</v>
      </c>
      <c r="F5290">
        <v>0.45785745153965401</v>
      </c>
      <c r="G5290">
        <v>0.46316986325188703</v>
      </c>
      <c r="H5290">
        <v>0.47096302843835097</v>
      </c>
      <c r="I5290">
        <v>0.47630614815557998</v>
      </c>
      <c r="J5290">
        <v>0.38125022913274698</v>
      </c>
      <c r="K5290">
        <v>0.42566865864766201</v>
      </c>
      <c r="L5290">
        <v>1020.99541783721</v>
      </c>
      <c r="M5290">
        <v>22.177421821408601</v>
      </c>
      <c r="N5290">
        <v>51.082319932604896</v>
      </c>
      <c r="O5290">
        <v>45.668184923491999</v>
      </c>
      <c r="P5290">
        <v>-6.7496594301910198E-2</v>
      </c>
      <c r="Q5290">
        <v>0.44405067192019099</v>
      </c>
      <c r="R5290">
        <v>0.96682967205814696</v>
      </c>
      <c r="S5290" t="s">
        <v>11575</v>
      </c>
      <c r="T5290" t="s">
        <v>12568</v>
      </c>
      <c r="U5290" t="s">
        <v>12568</v>
      </c>
      <c r="V5290" t="s">
        <v>12568</v>
      </c>
      <c r="W5290" t="s">
        <v>17807</v>
      </c>
      <c r="X5290">
        <v>1</v>
      </c>
      <c r="Y5290" t="s">
        <v>23904</v>
      </c>
      <c r="Z5290" t="s">
        <v>30160</v>
      </c>
      <c r="AA5290">
        <v>0.56269594698442327</v>
      </c>
      <c r="AB5290" t="str">
        <f>HYPERLINK("Melting_Curves/meltCurve_Q9H4B6_SAV1.pdf", "Melting_Curves/meltCurve_Q9H4B6_SAV1.pdf")</f>
        <v>Melting_Curves/meltCurve_Q9H4B6_SAV1.pdf</v>
      </c>
    </row>
    <row r="5291" spans="1:28" x14ac:dyDescent="0.25">
      <c r="A5291" t="s">
        <v>5295</v>
      </c>
      <c r="B5291">
        <v>0.99352677808782597</v>
      </c>
      <c r="C5291">
        <v>0.931796855693802</v>
      </c>
      <c r="D5291">
        <v>0.93610905577344306</v>
      </c>
      <c r="E5291">
        <v>0.94077924748165798</v>
      </c>
      <c r="F5291">
        <v>1.02637124959938</v>
      </c>
      <c r="G5291">
        <v>0.89966656362172104</v>
      </c>
      <c r="H5291">
        <v>0.85857226513392404</v>
      </c>
      <c r="I5291">
        <v>0.98271139511105399</v>
      </c>
      <c r="J5291">
        <v>0.79544083808192501</v>
      </c>
      <c r="K5291">
        <v>0.77274399739611599</v>
      </c>
      <c r="L5291">
        <v>368.54951824570298</v>
      </c>
      <c r="M5291">
        <v>3.89575344800331</v>
      </c>
      <c r="Q5291">
        <v>0</v>
      </c>
      <c r="R5291">
        <v>0.52593016675548099</v>
      </c>
      <c r="S5291" t="s">
        <v>11576</v>
      </c>
      <c r="T5291" t="s">
        <v>12568</v>
      </c>
      <c r="U5291" t="s">
        <v>12568</v>
      </c>
      <c r="V5291" t="s">
        <v>12568</v>
      </c>
      <c r="W5291" t="s">
        <v>17808</v>
      </c>
      <c r="X5291">
        <v>2</v>
      </c>
      <c r="Y5291" t="s">
        <v>23905</v>
      </c>
      <c r="Z5291" t="s">
        <v>30161</v>
      </c>
      <c r="AA5291">
        <v>0.92660268282097602</v>
      </c>
      <c r="AB5291" t="str">
        <f>HYPERLINK("Melting_Curves/meltCurve_Q9H4F8_SMOC1.pdf", "Melting_Curves/meltCurve_Q9H4F8_SMOC1.pdf")</f>
        <v>Melting_Curves/meltCurve_Q9H4F8_SMOC1.pdf</v>
      </c>
    </row>
    <row r="5292" spans="1:28" x14ac:dyDescent="0.25">
      <c r="A5292" t="s">
        <v>5296</v>
      </c>
      <c r="B5292">
        <v>0.99352677808782597</v>
      </c>
      <c r="C5292">
        <v>0.97825373424753104</v>
      </c>
      <c r="D5292">
        <v>0.90179029032148905</v>
      </c>
      <c r="E5292">
        <v>0.54968842372956905</v>
      </c>
      <c r="F5292">
        <v>0.47112093107805098</v>
      </c>
      <c r="G5292">
        <v>0.38198728052835801</v>
      </c>
      <c r="H5292">
        <v>0.32866665886593999</v>
      </c>
      <c r="I5292">
        <v>0.364398169400179</v>
      </c>
      <c r="J5292">
        <v>0.33008259714162902</v>
      </c>
      <c r="K5292">
        <v>0.27775460004271202</v>
      </c>
      <c r="L5292">
        <v>1099.6814768285001</v>
      </c>
      <c r="M5292">
        <v>22.437884415218999</v>
      </c>
      <c r="N5292">
        <v>51.487529593188398</v>
      </c>
      <c r="O5292">
        <v>48.625726096823598</v>
      </c>
      <c r="P5292">
        <v>-7.7275946286689601E-2</v>
      </c>
      <c r="Q5292">
        <v>0.33014693631900199</v>
      </c>
      <c r="R5292">
        <v>0.98878926062709505</v>
      </c>
      <c r="S5292" t="s">
        <v>11577</v>
      </c>
      <c r="T5292" t="s">
        <v>12568</v>
      </c>
      <c r="U5292" t="s">
        <v>12568</v>
      </c>
      <c r="V5292" t="s">
        <v>12568</v>
      </c>
      <c r="W5292" t="s">
        <v>17809</v>
      </c>
      <c r="X5292">
        <v>31</v>
      </c>
      <c r="Y5292" t="s">
        <v>19498</v>
      </c>
      <c r="Z5292" t="s">
        <v>30162</v>
      </c>
      <c r="AA5292">
        <v>0.53874278323135039</v>
      </c>
      <c r="AB5292" t="str">
        <f>HYPERLINK("Melting_Curves/meltCurve_Q9H4G0_EPB41L1.pdf", "Melting_Curves/meltCurve_Q9H4G0_EPB41L1.pdf")</f>
        <v>Melting_Curves/meltCurve_Q9H4G0_EPB41L1.pdf</v>
      </c>
    </row>
    <row r="5293" spans="1:28" x14ac:dyDescent="0.25">
      <c r="A5293" t="s">
        <v>5297</v>
      </c>
      <c r="B5293">
        <v>0.99352677808782597</v>
      </c>
      <c r="C5293">
        <v>0.97665399262231001</v>
      </c>
      <c r="D5293">
        <v>1.0019726491705101</v>
      </c>
      <c r="E5293">
        <v>0.73428556678141998</v>
      </c>
      <c r="F5293">
        <v>0.68670938071124499</v>
      </c>
      <c r="G5293">
        <v>0.63744157745713503</v>
      </c>
      <c r="H5293">
        <v>0.56111563709020895</v>
      </c>
      <c r="I5293">
        <v>0.57189415045323999</v>
      </c>
      <c r="J5293">
        <v>0.66256345988320198</v>
      </c>
      <c r="K5293">
        <v>0.57009692017907798</v>
      </c>
      <c r="L5293">
        <v>1535.1791948185401</v>
      </c>
      <c r="M5293">
        <v>31.085355074679299</v>
      </c>
      <c r="O5293">
        <v>49.182896798791901</v>
      </c>
      <c r="P5293">
        <v>-6.2664849620625102E-2</v>
      </c>
      <c r="Q5293">
        <v>0.60341178068671297</v>
      </c>
      <c r="R5293">
        <v>0.95714186653802802</v>
      </c>
      <c r="S5293" t="s">
        <v>11578</v>
      </c>
      <c r="T5293" t="s">
        <v>12568</v>
      </c>
      <c r="U5293" t="s">
        <v>12568</v>
      </c>
      <c r="V5293" t="s">
        <v>12568</v>
      </c>
      <c r="W5293" t="s">
        <v>17810</v>
      </c>
      <c r="X5293">
        <v>29</v>
      </c>
      <c r="Y5293" t="s">
        <v>19498</v>
      </c>
      <c r="Z5293" t="s">
        <v>30163</v>
      </c>
      <c r="AA5293">
        <v>0.72974968438796783</v>
      </c>
      <c r="AB5293" t="str">
        <f>HYPERLINK("Melting_Curves/meltCurve_Q9H4G0_2_EPB41L1.pdf", "Melting_Curves/meltCurve_Q9H4G0_2_EPB41L1.pdf")</f>
        <v>Melting_Curves/meltCurve_Q9H4G0_2_EPB41L1.pdf</v>
      </c>
    </row>
    <row r="5294" spans="1:28" x14ac:dyDescent="0.25">
      <c r="A5294" t="s">
        <v>5298</v>
      </c>
      <c r="B5294">
        <v>0.99352677808782597</v>
      </c>
      <c r="C5294">
        <v>0.97484037310278804</v>
      </c>
      <c r="D5294">
        <v>1.00691524440113</v>
      </c>
      <c r="E5294">
        <v>0.75202116940687302</v>
      </c>
      <c r="F5294">
        <v>0.60835908602966504</v>
      </c>
      <c r="G5294">
        <v>0.63460645568538399</v>
      </c>
      <c r="H5294">
        <v>0.45965359477768197</v>
      </c>
      <c r="I5294">
        <v>0.43705461658952999</v>
      </c>
      <c r="J5294">
        <v>0.42967051294936698</v>
      </c>
      <c r="K5294">
        <v>0.43398602528375901</v>
      </c>
      <c r="L5294">
        <v>819.94953780565004</v>
      </c>
      <c r="M5294">
        <v>15.8579759465688</v>
      </c>
      <c r="N5294">
        <v>58.910857711374902</v>
      </c>
      <c r="O5294">
        <v>50.904541128838801</v>
      </c>
      <c r="P5294">
        <v>-4.45428170733791E-2</v>
      </c>
      <c r="Q5294">
        <v>0.42811186106316801</v>
      </c>
      <c r="R5294">
        <v>0.96138257187267895</v>
      </c>
      <c r="S5294" t="s">
        <v>11579</v>
      </c>
      <c r="T5294" t="s">
        <v>12568</v>
      </c>
      <c r="U5294" t="s">
        <v>12568</v>
      </c>
      <c r="V5294" t="s">
        <v>12568</v>
      </c>
      <c r="W5294" t="s">
        <v>17811</v>
      </c>
      <c r="X5294">
        <v>25</v>
      </c>
      <c r="Y5294" t="s">
        <v>19498</v>
      </c>
      <c r="Z5294" t="s">
        <v>30164</v>
      </c>
      <c r="AA5294">
        <v>0.66307823815705091</v>
      </c>
      <c r="AB5294" t="str">
        <f>HYPERLINK("Melting_Curves/meltCurve_Q9H4G0_4_EPB41L1.pdf", "Melting_Curves/meltCurve_Q9H4G0_4_EPB41L1.pdf")</f>
        <v>Melting_Curves/meltCurve_Q9H4G0_4_EPB41L1.pdf</v>
      </c>
    </row>
    <row r="5295" spans="1:28" x14ac:dyDescent="0.25">
      <c r="A5295" t="s">
        <v>5299</v>
      </c>
      <c r="B5295">
        <v>0.99352677808782597</v>
      </c>
      <c r="C5295">
        <v>0.94767827927147796</v>
      </c>
      <c r="D5295">
        <v>0.89356921917336496</v>
      </c>
      <c r="E5295">
        <v>0.47466122409364497</v>
      </c>
      <c r="F5295">
        <v>0.42616426116501699</v>
      </c>
      <c r="G5295">
        <v>0.25751254081914099</v>
      </c>
      <c r="H5295">
        <v>0.17636198136928999</v>
      </c>
      <c r="I5295">
        <v>0.13178359507418</v>
      </c>
      <c r="J5295">
        <v>0.109749477799035</v>
      </c>
      <c r="K5295">
        <v>6.3980621077233901E-2</v>
      </c>
      <c r="L5295">
        <v>757.12010438329003</v>
      </c>
      <c r="M5295">
        <v>15.019814388153801</v>
      </c>
      <c r="N5295">
        <v>51.098435009693098</v>
      </c>
      <c r="O5295">
        <v>49.5398506503413</v>
      </c>
      <c r="P5295">
        <v>-6.8843275188659403E-2</v>
      </c>
      <c r="Q5295">
        <v>9.1828237972660098E-2</v>
      </c>
      <c r="R5295">
        <v>0.98417558909936098</v>
      </c>
      <c r="S5295" t="s">
        <v>11580</v>
      </c>
      <c r="T5295" t="s">
        <v>12568</v>
      </c>
      <c r="U5295" t="s">
        <v>12568</v>
      </c>
      <c r="V5295" t="s">
        <v>12568</v>
      </c>
      <c r="W5295" t="s">
        <v>17812</v>
      </c>
      <c r="X5295">
        <v>3</v>
      </c>
      <c r="Y5295" t="s">
        <v>23906</v>
      </c>
      <c r="Z5295" t="s">
        <v>30165</v>
      </c>
      <c r="AA5295">
        <v>0.4282344160721101</v>
      </c>
      <c r="AB5295" t="str">
        <f>HYPERLINK("Melting_Curves/meltCurve_Q9H4H8_FAM83D.pdf", "Melting_Curves/meltCurve_Q9H4H8_FAM83D.pdf")</f>
        <v>Melting_Curves/meltCurve_Q9H4H8_FAM83D.pdf</v>
      </c>
    </row>
    <row r="5296" spans="1:28" x14ac:dyDescent="0.25">
      <c r="A5296" t="s">
        <v>5300</v>
      </c>
      <c r="B5296">
        <v>0.99352677808782597</v>
      </c>
      <c r="C5296">
        <v>0.914364165472483</v>
      </c>
      <c r="D5296">
        <v>0.91039605305945503</v>
      </c>
      <c r="E5296">
        <v>0.64378336562220495</v>
      </c>
      <c r="F5296">
        <v>0.51477534182921103</v>
      </c>
      <c r="G5296">
        <v>0.39631590925639798</v>
      </c>
      <c r="H5296">
        <v>0.29659433180982497</v>
      </c>
      <c r="I5296">
        <v>0.31149029421636898</v>
      </c>
      <c r="J5296">
        <v>0.32380534788622101</v>
      </c>
      <c r="K5296">
        <v>0.27587933635262701</v>
      </c>
      <c r="L5296">
        <v>802.609509794769</v>
      </c>
      <c r="M5296">
        <v>15.922253017393601</v>
      </c>
      <c r="N5296">
        <v>53.199873156540001</v>
      </c>
      <c r="O5296">
        <v>49.633001351931199</v>
      </c>
      <c r="P5296">
        <v>-5.74929659283865E-2</v>
      </c>
      <c r="Q5296">
        <v>0.28318678877055797</v>
      </c>
      <c r="R5296">
        <v>0.99191689388717497</v>
      </c>
      <c r="S5296" t="s">
        <v>11581</v>
      </c>
      <c r="T5296" t="s">
        <v>12568</v>
      </c>
      <c r="U5296" t="s">
        <v>12568</v>
      </c>
      <c r="V5296" t="s">
        <v>12568</v>
      </c>
      <c r="W5296" t="s">
        <v>17813</v>
      </c>
      <c r="X5296">
        <v>4</v>
      </c>
      <c r="Y5296" t="s">
        <v>23907</v>
      </c>
      <c r="Z5296" t="s">
        <v>30166</v>
      </c>
      <c r="AA5296">
        <v>0.54707479577394236</v>
      </c>
      <c r="AB5296" t="str">
        <f>HYPERLINK("Melting_Curves/meltCurve_Q9H4I2_ZHX3.pdf", "Melting_Curves/meltCurve_Q9H4I2_ZHX3.pdf")</f>
        <v>Melting_Curves/meltCurve_Q9H4I2_ZHX3.pdf</v>
      </c>
    </row>
    <row r="5297" spans="1:28" x14ac:dyDescent="0.25">
      <c r="A5297" t="s">
        <v>5301</v>
      </c>
      <c r="B5297">
        <v>0.99352677808782597</v>
      </c>
      <c r="C5297">
        <v>0.99406100551518795</v>
      </c>
      <c r="D5297">
        <v>0.85983812778407498</v>
      </c>
      <c r="E5297">
        <v>0.67255871544893298</v>
      </c>
      <c r="F5297">
        <v>0.64922868224615804</v>
      </c>
      <c r="G5297">
        <v>0.466588983297341</v>
      </c>
      <c r="H5297">
        <v>0.56690160213063401</v>
      </c>
      <c r="I5297">
        <v>0.56649276087475797</v>
      </c>
      <c r="J5297">
        <v>0.57613521804832601</v>
      </c>
      <c r="K5297">
        <v>0.45212134786269897</v>
      </c>
      <c r="L5297">
        <v>963.93920470171395</v>
      </c>
      <c r="M5297">
        <v>19.942452271738698</v>
      </c>
      <c r="O5297">
        <v>47.8578828593431</v>
      </c>
      <c r="P5297">
        <v>-4.9383168695023502E-2</v>
      </c>
      <c r="Q5297">
        <v>0.52597683390633498</v>
      </c>
      <c r="R5297">
        <v>0.94201010554057696</v>
      </c>
      <c r="S5297" t="s">
        <v>11582</v>
      </c>
      <c r="T5297" t="s">
        <v>12568</v>
      </c>
      <c r="U5297" t="s">
        <v>12568</v>
      </c>
      <c r="V5297" t="s">
        <v>12568</v>
      </c>
      <c r="W5297" t="s">
        <v>17814</v>
      </c>
      <c r="X5297">
        <v>2</v>
      </c>
      <c r="Y5297" t="s">
        <v>23908</v>
      </c>
      <c r="Z5297" t="s">
        <v>30167</v>
      </c>
      <c r="AA5297">
        <v>0.66442836780257086</v>
      </c>
      <c r="AB5297" t="str">
        <f>HYPERLINK("Melting_Curves/meltCurve_Q9H4L5_4_OSBPL3.pdf", "Melting_Curves/meltCurve_Q9H4L5_4_OSBPL3.pdf")</f>
        <v>Melting_Curves/meltCurve_Q9H4L5_4_OSBPL3.pdf</v>
      </c>
    </row>
    <row r="5298" spans="1:28" x14ac:dyDescent="0.25">
      <c r="A5298" t="s">
        <v>5302</v>
      </c>
      <c r="B5298">
        <v>0.99352677808782597</v>
      </c>
      <c r="C5298">
        <v>0.91555641103145502</v>
      </c>
      <c r="D5298">
        <v>0.68693460561047104</v>
      </c>
      <c r="E5298">
        <v>0.42072817847041599</v>
      </c>
      <c r="F5298">
        <v>0.35049508395785001</v>
      </c>
      <c r="G5298">
        <v>0.26847875774913799</v>
      </c>
      <c r="H5298">
        <v>0.21809767676782699</v>
      </c>
      <c r="I5298">
        <v>0.22444333298805899</v>
      </c>
      <c r="J5298">
        <v>0.23095791341246</v>
      </c>
      <c r="K5298">
        <v>0.18198121956695601</v>
      </c>
      <c r="L5298">
        <v>835.02253673715404</v>
      </c>
      <c r="M5298">
        <v>17.629845074430399</v>
      </c>
      <c r="N5298">
        <v>48.911330333557302</v>
      </c>
      <c r="O5298">
        <v>46.767338638475003</v>
      </c>
      <c r="P5298">
        <v>-7.4103864345517106E-2</v>
      </c>
      <c r="Q5298">
        <v>0.21372972739533699</v>
      </c>
      <c r="R5298">
        <v>0.99457605317683295</v>
      </c>
      <c r="S5298" t="s">
        <v>11583</v>
      </c>
      <c r="T5298" t="s">
        <v>12568</v>
      </c>
      <c r="U5298" t="s">
        <v>12568</v>
      </c>
      <c r="V5298" t="s">
        <v>12568</v>
      </c>
      <c r="W5298" t="s">
        <v>17815</v>
      </c>
      <c r="X5298">
        <v>10</v>
      </c>
      <c r="Y5298" t="s">
        <v>23909</v>
      </c>
      <c r="Z5298" t="s">
        <v>30168</v>
      </c>
      <c r="AA5298">
        <v>0.42165555700350849</v>
      </c>
      <c r="AB5298" t="str">
        <f>HYPERLINK("Melting_Curves/meltCurve_Q9H4L7_SMARCAD1.pdf", "Melting_Curves/meltCurve_Q9H4L7_SMARCAD1.pdf")</f>
        <v>Melting_Curves/meltCurve_Q9H4L7_SMARCAD1.pdf</v>
      </c>
    </row>
    <row r="5299" spans="1:28" x14ac:dyDescent="0.25">
      <c r="A5299" t="s">
        <v>5303</v>
      </c>
      <c r="B5299">
        <v>0.99352677808782597</v>
      </c>
      <c r="C5299">
        <v>1.0019652381884501</v>
      </c>
      <c r="D5299">
        <v>0.76729767060461596</v>
      </c>
      <c r="E5299">
        <v>0.291961551452732</v>
      </c>
      <c r="F5299">
        <v>0.233687726223166</v>
      </c>
      <c r="G5299">
        <v>0.132639007821962</v>
      </c>
      <c r="H5299">
        <v>0.121540820457592</v>
      </c>
      <c r="I5299">
        <v>0.14715829575624401</v>
      </c>
      <c r="J5299">
        <v>7.9013463157460301E-2</v>
      </c>
      <c r="K5299">
        <v>5.8281623187052697E-2</v>
      </c>
      <c r="L5299">
        <v>1282.3936975295501</v>
      </c>
      <c r="M5299">
        <v>26.825368825959998</v>
      </c>
      <c r="N5299">
        <v>48.260931377345202</v>
      </c>
      <c r="O5299">
        <v>47.541972746857503</v>
      </c>
      <c r="P5299">
        <v>-0.12528147070786</v>
      </c>
      <c r="Q5299">
        <v>0.11187555811967199</v>
      </c>
      <c r="R5299">
        <v>0.99110066702796695</v>
      </c>
      <c r="S5299" t="s">
        <v>11584</v>
      </c>
      <c r="T5299" t="s">
        <v>12568</v>
      </c>
      <c r="U5299" t="s">
        <v>12568</v>
      </c>
      <c r="V5299" t="s">
        <v>12568</v>
      </c>
      <c r="W5299" t="s">
        <v>17816</v>
      </c>
      <c r="X5299">
        <v>27</v>
      </c>
      <c r="Y5299" t="s">
        <v>23910</v>
      </c>
      <c r="Z5299" t="s">
        <v>30169</v>
      </c>
      <c r="AA5299">
        <v>0.34970304531108509</v>
      </c>
      <c r="AB5299" t="str">
        <f>HYPERLINK("Melting_Curves/meltCurve_Q9H4M9_EHD1.pdf", "Melting_Curves/meltCurve_Q9H4M9_EHD1.pdf")</f>
        <v>Melting_Curves/meltCurve_Q9H4M9_EHD1.pdf</v>
      </c>
    </row>
    <row r="5300" spans="1:28" x14ac:dyDescent="0.25">
      <c r="A5300" t="s">
        <v>5304</v>
      </c>
      <c r="B5300">
        <v>0.99352677808782597</v>
      </c>
      <c r="C5300">
        <v>0.952273604975304</v>
      </c>
      <c r="D5300">
        <v>1.2149308597320501</v>
      </c>
      <c r="E5300">
        <v>0.69182212022354606</v>
      </c>
      <c r="F5300">
        <v>0.58507971868720099</v>
      </c>
      <c r="G5300">
        <v>0.62341636027202296</v>
      </c>
      <c r="H5300">
        <v>0.32233254545454998</v>
      </c>
      <c r="I5300">
        <v>0.46764868525851999</v>
      </c>
      <c r="J5300">
        <v>0.406203007403236</v>
      </c>
      <c r="K5300">
        <v>0.14505974496469901</v>
      </c>
      <c r="L5300">
        <v>739.27807756608604</v>
      </c>
      <c r="M5300">
        <v>13.7287783462415</v>
      </c>
      <c r="N5300">
        <v>57.193039900892302</v>
      </c>
      <c r="O5300">
        <v>52.744816786425702</v>
      </c>
      <c r="P5300">
        <v>-4.7121520290210099E-2</v>
      </c>
      <c r="Q5300">
        <v>0.27595554237242098</v>
      </c>
      <c r="R5300">
        <v>0.83084905958098199</v>
      </c>
      <c r="S5300" t="s">
        <v>11585</v>
      </c>
      <c r="T5300" t="s">
        <v>12568</v>
      </c>
      <c r="U5300" t="s">
        <v>12568</v>
      </c>
      <c r="V5300" t="s">
        <v>12568</v>
      </c>
      <c r="W5300" t="s">
        <v>17817</v>
      </c>
      <c r="X5300">
        <v>2</v>
      </c>
      <c r="Y5300" t="s">
        <v>23911</v>
      </c>
      <c r="Z5300" t="s">
        <v>30170</v>
      </c>
      <c r="AA5300">
        <v>0.62685144252767599</v>
      </c>
      <c r="AB5300" t="str">
        <f>HYPERLINK("Melting_Curves/meltCurve_Q9H4P4_2_RNF41.pdf", "Melting_Curves/meltCurve_Q9H4P4_2_RNF41.pdf")</f>
        <v>Melting_Curves/meltCurve_Q9H4P4_2_RNF41.pdf</v>
      </c>
    </row>
    <row r="5301" spans="1:28" x14ac:dyDescent="0.25">
      <c r="A5301" t="s">
        <v>5305</v>
      </c>
      <c r="B5301">
        <v>0.99352677808782597</v>
      </c>
      <c r="C5301">
        <v>0.96191825022490796</v>
      </c>
      <c r="D5301">
        <v>0.97877493641083702</v>
      </c>
      <c r="E5301">
        <v>0.56705887012593503</v>
      </c>
      <c r="F5301">
        <v>0.49255375507064397</v>
      </c>
      <c r="G5301">
        <v>0.353492608836456</v>
      </c>
      <c r="H5301">
        <v>0.30708907518454598</v>
      </c>
      <c r="I5301">
        <v>0.25932503335138801</v>
      </c>
      <c r="J5301">
        <v>0.25249180956297701</v>
      </c>
      <c r="K5301">
        <v>0.17914663145388601</v>
      </c>
      <c r="L5301">
        <v>928.84951611213296</v>
      </c>
      <c r="M5301">
        <v>18.4123274135057</v>
      </c>
      <c r="N5301">
        <v>52.3114979430228</v>
      </c>
      <c r="O5301">
        <v>49.863377798094803</v>
      </c>
      <c r="P5301">
        <v>-7.0107159876546393E-2</v>
      </c>
      <c r="Q5301">
        <v>0.24059094338301601</v>
      </c>
      <c r="R5301">
        <v>0.97643593805185802</v>
      </c>
      <c r="S5301" t="s">
        <v>11586</v>
      </c>
      <c r="T5301" t="s">
        <v>12568</v>
      </c>
      <c r="U5301" t="s">
        <v>12568</v>
      </c>
      <c r="V5301" t="s">
        <v>12568</v>
      </c>
      <c r="W5301" t="s">
        <v>17818</v>
      </c>
      <c r="X5301">
        <v>5</v>
      </c>
      <c r="Y5301" t="s">
        <v>23912</v>
      </c>
      <c r="Z5301" t="s">
        <v>30171</v>
      </c>
      <c r="AA5301">
        <v>0.51739289777760034</v>
      </c>
      <c r="AB5301" t="str">
        <f>HYPERLINK("Melting_Curves/meltCurve_Q9H4Z3_PCIF1.pdf", "Melting_Curves/meltCurve_Q9H4Z3_PCIF1.pdf")</f>
        <v>Melting_Curves/meltCurve_Q9H4Z3_PCIF1.pdf</v>
      </c>
    </row>
    <row r="5302" spans="1:28" x14ac:dyDescent="0.25">
      <c r="A5302" t="s">
        <v>5306</v>
      </c>
      <c r="B5302">
        <v>0.99352677808782597</v>
      </c>
      <c r="C5302">
        <v>0.82934329976340304</v>
      </c>
      <c r="D5302">
        <v>0.71462795908360499</v>
      </c>
      <c r="E5302">
        <v>0.64241940136611697</v>
      </c>
      <c r="F5302">
        <v>0.56062330454449705</v>
      </c>
      <c r="G5302">
        <v>0.42537638240471898</v>
      </c>
      <c r="H5302">
        <v>0.35600044217672</v>
      </c>
      <c r="I5302">
        <v>0.32387517146841499</v>
      </c>
      <c r="J5302">
        <v>0.37588271415764701</v>
      </c>
      <c r="K5302">
        <v>0.31672170695988699</v>
      </c>
      <c r="L5302">
        <v>467.75430358561698</v>
      </c>
      <c r="M5302">
        <v>9.4775579809394106</v>
      </c>
      <c r="N5302">
        <v>54.009471332289401</v>
      </c>
      <c r="O5302">
        <v>47.306419933336201</v>
      </c>
      <c r="P5302">
        <v>-3.6127837917390999E-2</v>
      </c>
      <c r="Q5302">
        <v>0.27911420152392802</v>
      </c>
      <c r="R5302">
        <v>0.97540544587052702</v>
      </c>
      <c r="S5302" t="s">
        <v>11587</v>
      </c>
      <c r="T5302" t="s">
        <v>12568</v>
      </c>
      <c r="U5302" t="s">
        <v>12568</v>
      </c>
      <c r="V5302" t="s">
        <v>12568</v>
      </c>
      <c r="W5302" t="s">
        <v>17819</v>
      </c>
      <c r="X5302">
        <v>11</v>
      </c>
      <c r="Y5302" t="s">
        <v>23913</v>
      </c>
      <c r="Z5302" t="s">
        <v>30172</v>
      </c>
      <c r="AA5302">
        <v>0.54088399864965309</v>
      </c>
      <c r="AB5302" t="str">
        <f>HYPERLINK("Melting_Curves/meltCurve_Q9H501_ESF1.pdf", "Melting_Curves/meltCurve_Q9H501_ESF1.pdf")</f>
        <v>Melting_Curves/meltCurve_Q9H501_ESF1.pdf</v>
      </c>
    </row>
    <row r="5303" spans="1:28" x14ac:dyDescent="0.25">
      <c r="A5303" t="s">
        <v>5307</v>
      </c>
      <c r="B5303">
        <v>0.99352677808782597</v>
      </c>
      <c r="C5303">
        <v>1.03504079244725</v>
      </c>
      <c r="D5303">
        <v>1.0354342954557001</v>
      </c>
      <c r="E5303">
        <v>1.00860537281711</v>
      </c>
      <c r="F5303">
        <v>0.93522363617725102</v>
      </c>
      <c r="G5303">
        <v>0.83876159270817596</v>
      </c>
      <c r="H5303">
        <v>0.72368100664830604</v>
      </c>
      <c r="I5303">
        <v>0.724200127744973</v>
      </c>
      <c r="J5303">
        <v>0.77781908557903501</v>
      </c>
      <c r="K5303">
        <v>0.66408110429882405</v>
      </c>
      <c r="L5303">
        <v>1495.2717199792701</v>
      </c>
      <c r="M5303">
        <v>26.636031338552701</v>
      </c>
      <c r="O5303">
        <v>55.823624174945699</v>
      </c>
      <c r="P5303">
        <v>-3.4306486398555297E-2</v>
      </c>
      <c r="Q5303">
        <v>0.712405742679182</v>
      </c>
      <c r="R5303">
        <v>0.94685122214836204</v>
      </c>
      <c r="S5303" t="s">
        <v>11588</v>
      </c>
      <c r="T5303" t="s">
        <v>12568</v>
      </c>
      <c r="U5303" t="s">
        <v>12568</v>
      </c>
      <c r="V5303" t="s">
        <v>12568</v>
      </c>
      <c r="W5303" t="s">
        <v>17820</v>
      </c>
      <c r="X5303">
        <v>2</v>
      </c>
      <c r="Y5303" t="s">
        <v>23914</v>
      </c>
      <c r="Z5303" t="s">
        <v>30173</v>
      </c>
      <c r="AA5303">
        <v>0.86947298448195032</v>
      </c>
      <c r="AB5303" t="str">
        <f>HYPERLINK("Melting_Curves/meltCurve_Q9H582_2_ZNF644.pdf", "Melting_Curves/meltCurve_Q9H582_2_ZNF644.pdf")</f>
        <v>Melting_Curves/meltCurve_Q9H582_2_ZNF644.pdf</v>
      </c>
    </row>
    <row r="5304" spans="1:28" x14ac:dyDescent="0.25">
      <c r="A5304" t="s">
        <v>5308</v>
      </c>
      <c r="B5304">
        <v>0.99352677808782597</v>
      </c>
      <c r="C5304">
        <v>1.0055810688233899</v>
      </c>
      <c r="D5304">
        <v>0.94453323337814998</v>
      </c>
      <c r="E5304">
        <v>0.77792306894919505</v>
      </c>
      <c r="F5304">
        <v>0.74392285266935299</v>
      </c>
      <c r="G5304">
        <v>0.57537508012080596</v>
      </c>
      <c r="H5304">
        <v>0.64012044766208598</v>
      </c>
      <c r="I5304">
        <v>0.72932913760704099</v>
      </c>
      <c r="J5304">
        <v>0.74252313226567301</v>
      </c>
      <c r="K5304">
        <v>0.60813220281264602</v>
      </c>
      <c r="L5304">
        <v>1310.49434888006</v>
      </c>
      <c r="M5304">
        <v>26.769535660280901</v>
      </c>
      <c r="O5304">
        <v>48.683961547067497</v>
      </c>
      <c r="P5304">
        <v>-4.62248060723797E-2</v>
      </c>
      <c r="Q5304">
        <v>0.66373970139188398</v>
      </c>
      <c r="R5304">
        <v>0.88461351598940297</v>
      </c>
      <c r="S5304" t="s">
        <v>11589</v>
      </c>
      <c r="T5304" t="s">
        <v>12568</v>
      </c>
      <c r="U5304" t="s">
        <v>12568</v>
      </c>
      <c r="V5304" t="s">
        <v>12568</v>
      </c>
      <c r="W5304" t="s">
        <v>17821</v>
      </c>
      <c r="X5304">
        <v>29</v>
      </c>
      <c r="Y5304" t="s">
        <v>23915</v>
      </c>
      <c r="Z5304" t="s">
        <v>30174</v>
      </c>
      <c r="AA5304">
        <v>0.76669700474598346</v>
      </c>
      <c r="AB5304" t="str">
        <f>HYPERLINK("Melting_Curves/meltCurve_Q9H5N1_RABEP2.pdf", "Melting_Curves/meltCurve_Q9H5N1_RABEP2.pdf")</f>
        <v>Melting_Curves/meltCurve_Q9H5N1_RABEP2.pdf</v>
      </c>
    </row>
    <row r="5305" spans="1:28" x14ac:dyDescent="0.25">
      <c r="A5305" t="s">
        <v>5309</v>
      </c>
      <c r="B5305">
        <v>0.99352677808782597</v>
      </c>
      <c r="C5305">
        <v>1.01240588579137</v>
      </c>
      <c r="D5305">
        <v>0.96453827711585505</v>
      </c>
      <c r="E5305">
        <v>0.2468036744297</v>
      </c>
      <c r="F5305">
        <v>0.18635687201005299</v>
      </c>
      <c r="G5305">
        <v>0.11346611491586001</v>
      </c>
      <c r="H5305">
        <v>9.3379422827877506E-2</v>
      </c>
      <c r="I5305">
        <v>9.5101458280290901E-2</v>
      </c>
      <c r="J5305">
        <v>7.4198439787337006E-2</v>
      </c>
      <c r="K5305">
        <v>5.8842793933070001E-2</v>
      </c>
      <c r="L5305">
        <v>2571.97929570613</v>
      </c>
      <c r="M5305">
        <v>53.000241954690402</v>
      </c>
      <c r="N5305">
        <v>48.733822069544999</v>
      </c>
      <c r="O5305">
        <v>48.458750795827598</v>
      </c>
      <c r="P5305">
        <v>-0.24597325699157299</v>
      </c>
      <c r="Q5305">
        <v>0.100415524236711</v>
      </c>
      <c r="R5305">
        <v>0.99449557501048902</v>
      </c>
      <c r="S5305" t="s">
        <v>11590</v>
      </c>
      <c r="T5305" t="s">
        <v>12568</v>
      </c>
      <c r="U5305" t="s">
        <v>12568</v>
      </c>
      <c r="V5305" t="s">
        <v>12568</v>
      </c>
      <c r="W5305" t="s">
        <v>17822</v>
      </c>
      <c r="X5305">
        <v>7</v>
      </c>
      <c r="Y5305" t="s">
        <v>23916</v>
      </c>
      <c r="Z5305" t="s">
        <v>30175</v>
      </c>
      <c r="AA5305">
        <v>0.35784104617666279</v>
      </c>
      <c r="AB5305" t="str">
        <f>HYPERLINK("Melting_Curves/meltCurve_Q9H5Q4_TFB2M.pdf", "Melting_Curves/meltCurve_Q9H5Q4_TFB2M.pdf")</f>
        <v>Melting_Curves/meltCurve_Q9H5Q4_TFB2M.pdf</v>
      </c>
    </row>
    <row r="5306" spans="1:28" x14ac:dyDescent="0.25">
      <c r="A5306" t="s">
        <v>5310</v>
      </c>
      <c r="B5306">
        <v>0.99352677808782597</v>
      </c>
      <c r="C5306">
        <v>0.95659875935586203</v>
      </c>
      <c r="D5306">
        <v>0.99835546933867403</v>
      </c>
      <c r="E5306">
        <v>0.85678368358674395</v>
      </c>
      <c r="F5306">
        <v>0.75499819564127302</v>
      </c>
      <c r="G5306">
        <v>0.60533260066264805</v>
      </c>
      <c r="H5306">
        <v>0.39484745361363199</v>
      </c>
      <c r="I5306">
        <v>0.338958653544288</v>
      </c>
      <c r="J5306">
        <v>0.27254271999140001</v>
      </c>
      <c r="K5306">
        <v>0.223807526136441</v>
      </c>
      <c r="L5306">
        <v>691.831272549186</v>
      </c>
      <c r="M5306">
        <v>12.0835016547392</v>
      </c>
      <c r="N5306">
        <v>58.877758442706202</v>
      </c>
      <c r="O5306">
        <v>55.753774115346502</v>
      </c>
      <c r="P5306">
        <v>-4.6516386520036201E-2</v>
      </c>
      <c r="Q5306">
        <v>0.14168751245415501</v>
      </c>
      <c r="R5306">
        <v>0.99536363008518602</v>
      </c>
      <c r="S5306" t="s">
        <v>11591</v>
      </c>
      <c r="T5306" t="s">
        <v>12568</v>
      </c>
      <c r="U5306" t="s">
        <v>12568</v>
      </c>
      <c r="V5306" t="s">
        <v>12568</v>
      </c>
      <c r="W5306" t="s">
        <v>17823</v>
      </c>
      <c r="X5306">
        <v>6</v>
      </c>
      <c r="Y5306" t="s">
        <v>23917</v>
      </c>
      <c r="Z5306" t="s">
        <v>30176</v>
      </c>
      <c r="AA5306">
        <v>0.64894865706344329</v>
      </c>
      <c r="AB5306" t="str">
        <f>HYPERLINK("Melting_Curves/meltCurve_Q9H5V9_3_CXorf56.pdf", "Melting_Curves/meltCurve_Q9H5V9_3_CXorf56.pdf")</f>
        <v>Melting_Curves/meltCurve_Q9H5V9_3_CXorf56.pdf</v>
      </c>
    </row>
    <row r="5307" spans="1:28" x14ac:dyDescent="0.25">
      <c r="A5307" t="s">
        <v>5311</v>
      </c>
      <c r="B5307">
        <v>0.99352677808782597</v>
      </c>
      <c r="C5307">
        <v>1.0440260930077701</v>
      </c>
      <c r="D5307">
        <v>1.03138018575278</v>
      </c>
      <c r="E5307">
        <v>1.0613117177295599</v>
      </c>
      <c r="F5307">
        <v>0.95839767701549605</v>
      </c>
      <c r="G5307">
        <v>0.84554346295830496</v>
      </c>
      <c r="H5307">
        <v>0.72374828762711896</v>
      </c>
      <c r="I5307">
        <v>0.63125156549302197</v>
      </c>
      <c r="J5307">
        <v>0.47940679038025602</v>
      </c>
      <c r="K5307">
        <v>0.32024511589687099</v>
      </c>
      <c r="L5307">
        <v>822.71794963769196</v>
      </c>
      <c r="M5307">
        <v>12.4243516475516</v>
      </c>
      <c r="N5307">
        <v>66.218155139111701</v>
      </c>
      <c r="O5307">
        <v>64.572893011020895</v>
      </c>
      <c r="P5307">
        <v>-4.8112174350158403E-2</v>
      </c>
      <c r="Q5307">
        <v>0</v>
      </c>
      <c r="R5307">
        <v>0.97966900288398095</v>
      </c>
      <c r="S5307" t="s">
        <v>11592</v>
      </c>
      <c r="T5307" t="s">
        <v>12568</v>
      </c>
      <c r="U5307" t="s">
        <v>12568</v>
      </c>
      <c r="V5307" t="s">
        <v>12568</v>
      </c>
      <c r="W5307" t="s">
        <v>17824</v>
      </c>
      <c r="X5307">
        <v>2</v>
      </c>
      <c r="Y5307" t="s">
        <v>23918</v>
      </c>
      <c r="Z5307" t="s">
        <v>30177</v>
      </c>
      <c r="AA5307">
        <v>0.82207846768922066</v>
      </c>
      <c r="AB5307" t="str">
        <f>HYPERLINK("Melting_Curves/meltCurve_Q9H5X1_FAM96A.pdf", "Melting_Curves/meltCurve_Q9H5X1_FAM96A.pdf")</f>
        <v>Melting_Curves/meltCurve_Q9H5X1_FAM96A.pdf</v>
      </c>
    </row>
    <row r="5308" spans="1:28" x14ac:dyDescent="0.25">
      <c r="A5308" t="s">
        <v>5312</v>
      </c>
      <c r="B5308">
        <v>0.99352677808782597</v>
      </c>
      <c r="C5308">
        <v>0.93003924884060696</v>
      </c>
      <c r="D5308">
        <v>0.72235734555714104</v>
      </c>
      <c r="E5308">
        <v>0.28724308203851801</v>
      </c>
      <c r="F5308">
        <v>5.7493955961461798E-2</v>
      </c>
      <c r="G5308">
        <v>0.17227222539303799</v>
      </c>
      <c r="H5308">
        <v>3.9656879736199302E-2</v>
      </c>
      <c r="I5308">
        <v>6.6407138288195E-2</v>
      </c>
      <c r="J5308">
        <v>3.86767920606782E-2</v>
      </c>
      <c r="K5308">
        <v>8.7135781138974605E-2</v>
      </c>
      <c r="L5308">
        <v>1235.65366716219</v>
      </c>
      <c r="M5308">
        <v>26.014603128447298</v>
      </c>
      <c r="N5308">
        <v>47.7647433563587</v>
      </c>
      <c r="O5308">
        <v>47.2204569207614</v>
      </c>
      <c r="P5308">
        <v>-0.12843404083808199</v>
      </c>
      <c r="Q5308">
        <v>6.7501517840259095E-2</v>
      </c>
      <c r="R5308">
        <v>0.98803446322467703</v>
      </c>
      <c r="S5308" t="s">
        <v>11593</v>
      </c>
      <c r="T5308" t="s">
        <v>12568</v>
      </c>
      <c r="U5308" t="s">
        <v>12568</v>
      </c>
      <c r="V5308" t="s">
        <v>12568</v>
      </c>
      <c r="W5308" t="s">
        <v>17825</v>
      </c>
      <c r="X5308">
        <v>2</v>
      </c>
      <c r="Y5308" t="s">
        <v>23919</v>
      </c>
      <c r="Z5308" t="s">
        <v>30178</v>
      </c>
      <c r="AA5308">
        <v>0.30816416895722598</v>
      </c>
      <c r="AB5308" t="str">
        <f>HYPERLINK("Melting_Curves/meltCurve_Q9H5Z1_2_DHX35.pdf", "Melting_Curves/meltCurve_Q9H5Z1_2_DHX35.pdf")</f>
        <v>Melting_Curves/meltCurve_Q9H5Z1_2_DHX35.pdf</v>
      </c>
    </row>
    <row r="5309" spans="1:28" x14ac:dyDescent="0.25">
      <c r="A5309" t="s">
        <v>5313</v>
      </c>
      <c r="B5309">
        <v>0.99352677808782597</v>
      </c>
      <c r="C5309">
        <v>0.83379285672858805</v>
      </c>
      <c r="D5309">
        <v>0.78673776374559401</v>
      </c>
      <c r="E5309">
        <v>0.51905401160922804</v>
      </c>
      <c r="F5309">
        <v>0.52514487365913598</v>
      </c>
      <c r="G5309">
        <v>0.33202071058399102</v>
      </c>
      <c r="H5309">
        <v>0.21189324461234799</v>
      </c>
      <c r="I5309">
        <v>0.21326414267000099</v>
      </c>
      <c r="J5309">
        <v>0.17434874410176901</v>
      </c>
      <c r="K5309">
        <v>0.142751026020105</v>
      </c>
      <c r="L5309">
        <v>490.07911859804801</v>
      </c>
      <c r="M5309">
        <v>9.6086473003219695</v>
      </c>
      <c r="N5309">
        <v>52.019863001042602</v>
      </c>
      <c r="O5309">
        <v>48.941602664250198</v>
      </c>
      <c r="P5309">
        <v>-4.4908815670931898E-2</v>
      </c>
      <c r="Q5309">
        <v>8.5546555460070506E-2</v>
      </c>
      <c r="R5309">
        <v>0.982637454599815</v>
      </c>
      <c r="S5309" t="s">
        <v>11594</v>
      </c>
      <c r="T5309" t="s">
        <v>12568</v>
      </c>
      <c r="U5309" t="s">
        <v>12568</v>
      </c>
      <c r="V5309" t="s">
        <v>12568</v>
      </c>
      <c r="W5309" t="s">
        <v>17826</v>
      </c>
      <c r="X5309">
        <v>2</v>
      </c>
      <c r="Y5309" t="s">
        <v>23920</v>
      </c>
      <c r="Z5309" t="s">
        <v>30179</v>
      </c>
      <c r="AA5309">
        <v>0.46087530863893089</v>
      </c>
      <c r="AB5309" t="str">
        <f>HYPERLINK("Melting_Curves/meltCurve_Q9H609_ZNF576.pdf", "Melting_Curves/meltCurve_Q9H609_ZNF576.pdf")</f>
        <v>Melting_Curves/meltCurve_Q9H609_ZNF576.pdf</v>
      </c>
    </row>
    <row r="5310" spans="1:28" x14ac:dyDescent="0.25">
      <c r="A5310" t="s">
        <v>5314</v>
      </c>
      <c r="B5310">
        <v>0.99352677808782597</v>
      </c>
      <c r="C5310">
        <v>1.0266260691323099</v>
      </c>
      <c r="D5310">
        <v>0.90758571129115795</v>
      </c>
      <c r="E5310">
        <v>0.67939853237218295</v>
      </c>
      <c r="F5310">
        <v>0.54380576437789196</v>
      </c>
      <c r="G5310">
        <v>0.31434981569783399</v>
      </c>
      <c r="H5310">
        <v>0.31231618937490602</v>
      </c>
      <c r="I5310">
        <v>0.31918976656578002</v>
      </c>
      <c r="J5310">
        <v>0.36058398926379198</v>
      </c>
      <c r="K5310">
        <v>0.23900440324688299</v>
      </c>
      <c r="L5310">
        <v>1017.91855444334</v>
      </c>
      <c r="M5310">
        <v>20.061276691040799</v>
      </c>
      <c r="N5310">
        <v>53.052611728536803</v>
      </c>
      <c r="O5310">
        <v>50.244346657100898</v>
      </c>
      <c r="P5310">
        <v>-7.0731251758442498E-2</v>
      </c>
      <c r="Q5310">
        <v>0.29142458656137099</v>
      </c>
      <c r="R5310">
        <v>0.98396538075909901</v>
      </c>
      <c r="S5310" t="s">
        <v>11595</v>
      </c>
      <c r="T5310" t="s">
        <v>12568</v>
      </c>
      <c r="U5310" t="s">
        <v>12568</v>
      </c>
      <c r="V5310" t="s">
        <v>12568</v>
      </c>
      <c r="W5310" t="s">
        <v>17827</v>
      </c>
      <c r="X5310">
        <v>1</v>
      </c>
      <c r="Y5310" t="s">
        <v>23921</v>
      </c>
      <c r="Z5310" t="s">
        <v>30180</v>
      </c>
      <c r="AA5310">
        <v>0.55489119594043079</v>
      </c>
      <c r="AB5310" t="str">
        <f>HYPERLINK("Melting_Curves/meltCurve_Q9H633_3_RPP21.pdf", "Melting_Curves/meltCurve_Q9H633_3_RPP21.pdf")</f>
        <v>Melting_Curves/meltCurve_Q9H633_3_RPP21.pdf</v>
      </c>
    </row>
    <row r="5311" spans="1:28" x14ac:dyDescent="0.25">
      <c r="A5311" t="s">
        <v>5315</v>
      </c>
      <c r="B5311">
        <v>0.99352677808782597</v>
      </c>
      <c r="C5311">
        <v>0.98176111898665397</v>
      </c>
      <c r="D5311">
        <v>0.72686766336594799</v>
      </c>
      <c r="E5311">
        <v>0.30189329423741301</v>
      </c>
      <c r="F5311">
        <v>0.27335013780085099</v>
      </c>
      <c r="G5311">
        <v>0.17206433403376101</v>
      </c>
      <c r="H5311">
        <v>0.10772095966088301</v>
      </c>
      <c r="I5311">
        <v>0.123254780336645</v>
      </c>
      <c r="J5311">
        <v>9.4334649050608704E-2</v>
      </c>
      <c r="K5311">
        <v>6.3594770830556702E-2</v>
      </c>
      <c r="L5311">
        <v>1060.1699596543999</v>
      </c>
      <c r="M5311">
        <v>22.2017943932203</v>
      </c>
      <c r="N5311">
        <v>48.299104387135301</v>
      </c>
      <c r="O5311">
        <v>47.369205107916898</v>
      </c>
      <c r="P5311">
        <v>-0.104139574373783</v>
      </c>
      <c r="Q5311">
        <v>0.11126055204535</v>
      </c>
      <c r="R5311">
        <v>0.98837645303536403</v>
      </c>
      <c r="S5311" t="s">
        <v>11596</v>
      </c>
      <c r="T5311" t="s">
        <v>12568</v>
      </c>
      <c r="U5311" t="s">
        <v>12568</v>
      </c>
      <c r="V5311" t="s">
        <v>12568</v>
      </c>
      <c r="W5311" t="s">
        <v>17828</v>
      </c>
      <c r="X5311">
        <v>1</v>
      </c>
      <c r="Y5311" t="s">
        <v>23922</v>
      </c>
      <c r="Z5311" t="s">
        <v>30181</v>
      </c>
      <c r="AA5311">
        <v>0.35104488680404899</v>
      </c>
      <c r="AB5311" t="str">
        <f>HYPERLINK("Melting_Curves/meltCurve_Q9H672_ASB7.pdf", "Melting_Curves/meltCurve_Q9H672_ASB7.pdf")</f>
        <v>Melting_Curves/meltCurve_Q9H672_ASB7.pdf</v>
      </c>
    </row>
    <row r="5312" spans="1:28" x14ac:dyDescent="0.25">
      <c r="A5312" t="s">
        <v>5316</v>
      </c>
      <c r="B5312">
        <v>0.99352677808782597</v>
      </c>
      <c r="C5312">
        <v>0.96966472204655096</v>
      </c>
      <c r="D5312">
        <v>0.95848336463774397</v>
      </c>
      <c r="E5312">
        <v>0.65181366478468905</v>
      </c>
      <c r="F5312">
        <v>0.56655478465097997</v>
      </c>
      <c r="G5312">
        <v>0.41836683785155099</v>
      </c>
      <c r="H5312">
        <v>0.337366876202433</v>
      </c>
      <c r="I5312">
        <v>0.32991016544149498</v>
      </c>
      <c r="J5312">
        <v>0.336678742490086</v>
      </c>
      <c r="K5312">
        <v>0.26703172461974201</v>
      </c>
      <c r="L5312">
        <v>860.16234882310198</v>
      </c>
      <c r="M5312">
        <v>16.864776428705799</v>
      </c>
      <c r="N5312">
        <v>53.940293524289999</v>
      </c>
      <c r="O5312">
        <v>50.302564842513299</v>
      </c>
      <c r="P5312">
        <v>-5.8643279189187401E-2</v>
      </c>
      <c r="Q5312">
        <v>0.300383514871783</v>
      </c>
      <c r="R5312">
        <v>0.98788722117050998</v>
      </c>
      <c r="S5312" t="s">
        <v>11597</v>
      </c>
      <c r="T5312" t="s">
        <v>12568</v>
      </c>
      <c r="U5312" t="s">
        <v>12568</v>
      </c>
      <c r="V5312" t="s">
        <v>12568</v>
      </c>
      <c r="W5312" t="s">
        <v>17829</v>
      </c>
      <c r="X5312">
        <v>17</v>
      </c>
      <c r="Y5312" t="s">
        <v>23923</v>
      </c>
      <c r="Z5312" t="s">
        <v>30182</v>
      </c>
      <c r="AA5312">
        <v>0.57022686961540925</v>
      </c>
      <c r="AB5312" t="str">
        <f>HYPERLINK("Melting_Curves/meltCurve_Q9H694_BICC1.pdf", "Melting_Curves/meltCurve_Q9H694_BICC1.pdf")</f>
        <v>Melting_Curves/meltCurve_Q9H694_BICC1.pdf</v>
      </c>
    </row>
    <row r="5313" spans="1:28" x14ac:dyDescent="0.25">
      <c r="A5313" t="s">
        <v>5317</v>
      </c>
      <c r="B5313">
        <v>0.99352677808782597</v>
      </c>
      <c r="C5313">
        <v>0.94948704146080898</v>
      </c>
      <c r="D5313">
        <v>1.0278843267317499</v>
      </c>
      <c r="E5313">
        <v>0.92148537403363595</v>
      </c>
      <c r="F5313">
        <v>0.85494722728092998</v>
      </c>
      <c r="G5313">
        <v>0.741345299730648</v>
      </c>
      <c r="H5313">
        <v>0.752029625483709</v>
      </c>
      <c r="I5313">
        <v>0.762519311883333</v>
      </c>
      <c r="J5313">
        <v>0.78877447475882101</v>
      </c>
      <c r="K5313">
        <v>0.76477684832784099</v>
      </c>
      <c r="L5313">
        <v>1630.0079086190501</v>
      </c>
      <c r="M5313">
        <v>31.551472984176701</v>
      </c>
      <c r="O5313">
        <v>51.455661072271297</v>
      </c>
      <c r="P5313">
        <v>-3.6597386017517497E-2</v>
      </c>
      <c r="Q5313">
        <v>0.76126215674417597</v>
      </c>
      <c r="R5313">
        <v>0.94235211637430705</v>
      </c>
      <c r="S5313" t="s">
        <v>11598</v>
      </c>
      <c r="T5313" t="s">
        <v>12568</v>
      </c>
      <c r="U5313" t="s">
        <v>12568</v>
      </c>
      <c r="V5313" t="s">
        <v>12568</v>
      </c>
      <c r="W5313" t="s">
        <v>17830</v>
      </c>
      <c r="X5313">
        <v>1</v>
      </c>
      <c r="Y5313" t="s">
        <v>23924</v>
      </c>
      <c r="Z5313" t="s">
        <v>30183</v>
      </c>
      <c r="AA5313">
        <v>0.85543856490075676</v>
      </c>
      <c r="AB5313" t="str">
        <f>HYPERLINK("Melting_Curves/meltCurve_Q9H6A9_PCNXL3.pdf", "Melting_Curves/meltCurve_Q9H6A9_PCNXL3.pdf")</f>
        <v>Melting_Curves/meltCurve_Q9H6A9_PCNXL3.pdf</v>
      </c>
    </row>
    <row r="5314" spans="1:28" x14ac:dyDescent="0.25">
      <c r="A5314" t="s">
        <v>5318</v>
      </c>
      <c r="B5314">
        <v>0.99352677808782597</v>
      </c>
      <c r="C5314">
        <v>1.03981120717821</v>
      </c>
      <c r="D5314">
        <v>0.85513464275655904</v>
      </c>
      <c r="E5314">
        <v>0.58433928292703197</v>
      </c>
      <c r="F5314">
        <v>0.527174316498077</v>
      </c>
      <c r="G5314">
        <v>0.35559145570423001</v>
      </c>
      <c r="H5314">
        <v>0.37263826861721799</v>
      </c>
      <c r="I5314">
        <v>0.33485783504757899</v>
      </c>
      <c r="J5314">
        <v>0.38444519869622301</v>
      </c>
      <c r="K5314">
        <v>0.27589185336468097</v>
      </c>
      <c r="L5314">
        <v>960.10596005830803</v>
      </c>
      <c r="M5314">
        <v>19.468850630995</v>
      </c>
      <c r="N5314">
        <v>52.289162222938998</v>
      </c>
      <c r="O5314">
        <v>48.8035181151808</v>
      </c>
      <c r="P5314">
        <v>-6.6344490900403494E-2</v>
      </c>
      <c r="Q5314">
        <v>0.334788083866568</v>
      </c>
      <c r="R5314">
        <v>0.97680810269703799</v>
      </c>
      <c r="S5314" t="s">
        <v>11599</v>
      </c>
      <c r="T5314" t="s">
        <v>12568</v>
      </c>
      <c r="U5314" t="s">
        <v>12568</v>
      </c>
      <c r="V5314" t="s">
        <v>12568</v>
      </c>
      <c r="W5314" t="s">
        <v>17831</v>
      </c>
      <c r="X5314">
        <v>8</v>
      </c>
      <c r="Y5314" t="s">
        <v>23925</v>
      </c>
      <c r="Z5314" t="s">
        <v>30184</v>
      </c>
      <c r="AA5314">
        <v>0.55114465426799197</v>
      </c>
      <c r="AB5314" t="str">
        <f>HYPERLINK("Melting_Curves/meltCurve_Q9H6D7_HAUS4.pdf", "Melting_Curves/meltCurve_Q9H6D7_HAUS4.pdf")</f>
        <v>Melting_Curves/meltCurve_Q9H6D7_HAUS4.pdf</v>
      </c>
    </row>
    <row r="5315" spans="1:28" x14ac:dyDescent="0.25">
      <c r="A5315" t="s">
        <v>5319</v>
      </c>
      <c r="B5315">
        <v>0.99352677808782597</v>
      </c>
      <c r="C5315">
        <v>0.96249052186217599</v>
      </c>
      <c r="D5315">
        <v>0.98944413875465098</v>
      </c>
      <c r="E5315">
        <v>0.448720825707008</v>
      </c>
      <c r="F5315">
        <v>0.38302519177683703</v>
      </c>
      <c r="G5315">
        <v>0.19642337191596199</v>
      </c>
      <c r="H5315">
        <v>0.15636598410198899</v>
      </c>
      <c r="I5315">
        <v>0.14973506454115201</v>
      </c>
      <c r="J5315">
        <v>0.118848384346826</v>
      </c>
      <c r="K5315">
        <v>9.8928305071318307E-2</v>
      </c>
      <c r="L5315">
        <v>1201.29475954858</v>
      </c>
      <c r="M5315">
        <v>24.149453257020902</v>
      </c>
      <c r="N5315">
        <v>50.424733129177199</v>
      </c>
      <c r="O5315">
        <v>49.406847651309803</v>
      </c>
      <c r="P5315">
        <v>-0.105204012439261</v>
      </c>
      <c r="Q5315">
        <v>0.13907478149522001</v>
      </c>
      <c r="R5315">
        <v>0.97877607915907605</v>
      </c>
      <c r="S5315" t="s">
        <v>11600</v>
      </c>
      <c r="T5315" t="s">
        <v>12568</v>
      </c>
      <c r="U5315" t="s">
        <v>12568</v>
      </c>
      <c r="V5315" t="s">
        <v>12568</v>
      </c>
      <c r="W5315" t="s">
        <v>17832</v>
      </c>
      <c r="X5315">
        <v>3</v>
      </c>
      <c r="Y5315" t="s">
        <v>23926</v>
      </c>
      <c r="Z5315" t="s">
        <v>30185</v>
      </c>
      <c r="AA5315">
        <v>0.42693992776003947</v>
      </c>
      <c r="AB5315" t="str">
        <f>HYPERLINK("Melting_Curves/meltCurve_Q9H6E4_CCDC134.pdf", "Melting_Curves/meltCurve_Q9H6E4_CCDC134.pdf")</f>
        <v>Melting_Curves/meltCurve_Q9H6E4_CCDC134.pdf</v>
      </c>
    </row>
    <row r="5316" spans="1:28" x14ac:dyDescent="0.25">
      <c r="A5316" t="s">
        <v>5320</v>
      </c>
      <c r="B5316">
        <v>0.99352677808782597</v>
      </c>
      <c r="C5316">
        <v>1.0885326450163599</v>
      </c>
      <c r="D5316">
        <v>0.70861185094770696</v>
      </c>
      <c r="E5316">
        <v>0.47117595118627797</v>
      </c>
      <c r="F5316">
        <v>0.43146096570347697</v>
      </c>
      <c r="G5316">
        <v>0.39735301866147099</v>
      </c>
      <c r="H5316">
        <v>0.36317102975244198</v>
      </c>
      <c r="I5316">
        <v>0.45511896610804797</v>
      </c>
      <c r="J5316">
        <v>0.20205502075204601</v>
      </c>
      <c r="K5316">
        <v>0.36659164533488198</v>
      </c>
      <c r="S5316" t="s">
        <v>11601</v>
      </c>
      <c r="T5316" t="s">
        <v>12568</v>
      </c>
      <c r="U5316" t="s">
        <v>12569</v>
      </c>
      <c r="V5316" t="s">
        <v>12568</v>
      </c>
      <c r="W5316" t="s">
        <v>17833</v>
      </c>
      <c r="X5316">
        <v>2</v>
      </c>
      <c r="Y5316" t="s">
        <v>23927</v>
      </c>
      <c r="Z5316" t="s">
        <v>30186</v>
      </c>
      <c r="AB5316" t="str">
        <f>HYPERLINK("Melting_Curves/meltCurve_Q9H6E5_TUT1.pdf", "Melting_Curves/meltCurve_Q9H6E5_TUT1.pdf")</f>
        <v>Melting_Curves/meltCurve_Q9H6E5_TUT1.pdf</v>
      </c>
    </row>
    <row r="5317" spans="1:28" x14ac:dyDescent="0.25">
      <c r="A5317" t="s">
        <v>5321</v>
      </c>
      <c r="B5317">
        <v>0.99352677808782597</v>
      </c>
      <c r="C5317">
        <v>1.0036460726808101</v>
      </c>
      <c r="D5317">
        <v>1.01896921189471</v>
      </c>
      <c r="E5317">
        <v>0.89674852204042999</v>
      </c>
      <c r="F5317">
        <v>0.91151593615015203</v>
      </c>
      <c r="G5317">
        <v>0.77226999234796001</v>
      </c>
      <c r="H5317">
        <v>0.75999007741932301</v>
      </c>
      <c r="I5317">
        <v>0.83502988026106195</v>
      </c>
      <c r="J5317">
        <v>0.946179754205696</v>
      </c>
      <c r="K5317">
        <v>0.76971368529499096</v>
      </c>
      <c r="L5317">
        <v>1402.84514432572</v>
      </c>
      <c r="M5317">
        <v>27.657908343882099</v>
      </c>
      <c r="O5317">
        <v>50.458371829901097</v>
      </c>
      <c r="P5317">
        <v>-2.4604853134661101E-2</v>
      </c>
      <c r="Q5317">
        <v>0.82044780212328805</v>
      </c>
      <c r="R5317">
        <v>0.67614760410599195</v>
      </c>
      <c r="S5317" t="s">
        <v>11602</v>
      </c>
      <c r="T5317" t="s">
        <v>12568</v>
      </c>
      <c r="U5317" t="s">
        <v>12568</v>
      </c>
      <c r="V5317" t="s">
        <v>12568</v>
      </c>
      <c r="W5317" t="s">
        <v>17834</v>
      </c>
      <c r="X5317">
        <v>9</v>
      </c>
      <c r="Y5317" t="s">
        <v>23928</v>
      </c>
      <c r="Z5317" t="s">
        <v>30187</v>
      </c>
      <c r="AA5317">
        <v>0.88593817762232896</v>
      </c>
      <c r="AB5317" t="str">
        <f>HYPERLINK("Melting_Curves/meltCurve_Q9H6F5_CCDC86.pdf", "Melting_Curves/meltCurve_Q9H6F5_CCDC86.pdf")</f>
        <v>Melting_Curves/meltCurve_Q9H6F5_CCDC86.pdf</v>
      </c>
    </row>
    <row r="5318" spans="1:28" x14ac:dyDescent="0.25">
      <c r="A5318" t="s">
        <v>5322</v>
      </c>
      <c r="B5318">
        <v>0.99352677808782597</v>
      </c>
      <c r="C5318">
        <v>1.0573973131829899</v>
      </c>
      <c r="D5318">
        <v>0.95253402246875196</v>
      </c>
      <c r="E5318">
        <v>0.596275057061458</v>
      </c>
      <c r="F5318">
        <v>0.67014454295841797</v>
      </c>
      <c r="G5318">
        <v>0.33409546917431199</v>
      </c>
      <c r="H5318">
        <v>0.35937304651236401</v>
      </c>
      <c r="I5318">
        <v>0.28374613073287003</v>
      </c>
      <c r="J5318">
        <v>0.22107602667475501</v>
      </c>
      <c r="K5318">
        <v>0.16891153886005</v>
      </c>
      <c r="L5318">
        <v>718.73400159665096</v>
      </c>
      <c r="M5318">
        <v>13.675467069166601</v>
      </c>
      <c r="N5318">
        <v>54.455151786664999</v>
      </c>
      <c r="O5318">
        <v>51.470852670114802</v>
      </c>
      <c r="P5318">
        <v>-5.3835572298180298E-2</v>
      </c>
      <c r="Q5318">
        <v>0.18962591612287599</v>
      </c>
      <c r="R5318">
        <v>0.95130564037688803</v>
      </c>
      <c r="S5318" t="s">
        <v>11603</v>
      </c>
      <c r="T5318" t="s">
        <v>12568</v>
      </c>
      <c r="U5318" t="s">
        <v>12568</v>
      </c>
      <c r="V5318" t="s">
        <v>12568</v>
      </c>
      <c r="W5318" t="s">
        <v>17835</v>
      </c>
      <c r="X5318">
        <v>2</v>
      </c>
      <c r="Y5318" t="s">
        <v>23929</v>
      </c>
      <c r="Z5318" t="s">
        <v>30188</v>
      </c>
      <c r="AA5318">
        <v>0.54901325857857819</v>
      </c>
      <c r="AB5318" t="str">
        <f>HYPERLINK("Melting_Curves/meltCurve_Q9H6I2_SOX17.pdf", "Melting_Curves/meltCurve_Q9H6I2_SOX17.pdf")</f>
        <v>Melting_Curves/meltCurve_Q9H6I2_SOX17.pdf</v>
      </c>
    </row>
    <row r="5319" spans="1:28" x14ac:dyDescent="0.25">
      <c r="A5319" t="s">
        <v>5323</v>
      </c>
      <c r="B5319">
        <v>0.99352677808782597</v>
      </c>
      <c r="C5319">
        <v>0.91995092919564603</v>
      </c>
      <c r="D5319">
        <v>1.0078337249865501</v>
      </c>
      <c r="E5319">
        <v>0.50402580300703204</v>
      </c>
      <c r="F5319">
        <v>0.4090934592971</v>
      </c>
      <c r="G5319">
        <v>0.233621081994588</v>
      </c>
      <c r="H5319">
        <v>0.151329152757646</v>
      </c>
      <c r="I5319">
        <v>0.15440507841891701</v>
      </c>
      <c r="J5319">
        <v>0.166892071399704</v>
      </c>
      <c r="K5319">
        <v>0.13129709202988099</v>
      </c>
      <c r="L5319">
        <v>1131.7858610712101</v>
      </c>
      <c r="M5319">
        <v>22.575407884892599</v>
      </c>
      <c r="N5319">
        <v>50.971812236838701</v>
      </c>
      <c r="O5319">
        <v>49.745168044755502</v>
      </c>
      <c r="P5319">
        <v>-9.5864116328890803E-2</v>
      </c>
      <c r="Q5319">
        <v>0.15506633774419501</v>
      </c>
      <c r="R5319">
        <v>0.97723820046392695</v>
      </c>
      <c r="S5319" t="s">
        <v>11604</v>
      </c>
      <c r="T5319" t="s">
        <v>12568</v>
      </c>
      <c r="U5319" t="s">
        <v>12568</v>
      </c>
      <c r="V5319" t="s">
        <v>12568</v>
      </c>
      <c r="W5319" t="s">
        <v>17836</v>
      </c>
      <c r="X5319">
        <v>2</v>
      </c>
      <c r="Y5319" t="s">
        <v>23930</v>
      </c>
      <c r="Z5319" t="s">
        <v>30189</v>
      </c>
      <c r="AA5319">
        <v>0.44974169368432132</v>
      </c>
      <c r="AB5319" t="str">
        <f>HYPERLINK("Melting_Curves/meltCurve_Q9H6K1_C6orf106.pdf", "Melting_Curves/meltCurve_Q9H6K1_C6orf106.pdf")</f>
        <v>Melting_Curves/meltCurve_Q9H6K1_C6orf106.pdf</v>
      </c>
    </row>
    <row r="5320" spans="1:28" x14ac:dyDescent="0.25">
      <c r="A5320" t="s">
        <v>5324</v>
      </c>
      <c r="B5320">
        <v>0.99352677808782597</v>
      </c>
      <c r="C5320">
        <v>0.97038043501369697</v>
      </c>
      <c r="D5320">
        <v>0.98481034233276998</v>
      </c>
      <c r="E5320">
        <v>0.70493173259304998</v>
      </c>
      <c r="F5320">
        <v>0.41346070477102798</v>
      </c>
      <c r="G5320">
        <v>0.48334930551813898</v>
      </c>
      <c r="H5320">
        <v>0.26375018296428498</v>
      </c>
      <c r="I5320">
        <v>0.36440919066787802</v>
      </c>
      <c r="J5320">
        <v>0.353879231979914</v>
      </c>
      <c r="K5320">
        <v>0.327067534280158</v>
      </c>
      <c r="L5320">
        <v>1783.02319638226</v>
      </c>
      <c r="M5320">
        <v>35.509470154878898</v>
      </c>
      <c r="N5320">
        <v>51.995877066158798</v>
      </c>
      <c r="O5320">
        <v>50.054159701886803</v>
      </c>
      <c r="P5320">
        <v>-0.114914831363852</v>
      </c>
      <c r="Q5320">
        <v>0.352066242078035</v>
      </c>
      <c r="R5320">
        <v>0.96849862120248598</v>
      </c>
      <c r="S5320" t="s">
        <v>11605</v>
      </c>
      <c r="T5320" t="s">
        <v>12568</v>
      </c>
      <c r="U5320" t="s">
        <v>12568</v>
      </c>
      <c r="V5320" t="s">
        <v>12568</v>
      </c>
      <c r="W5320" t="s">
        <v>17837</v>
      </c>
      <c r="X5320">
        <v>2</v>
      </c>
      <c r="Y5320" t="s">
        <v>23931</v>
      </c>
      <c r="Z5320" t="s">
        <v>30190</v>
      </c>
      <c r="AA5320">
        <v>0.57549672531176022</v>
      </c>
      <c r="AB5320" t="str">
        <f>HYPERLINK("Melting_Curves/meltCurve_Q9H6L4_ARMC7.pdf", "Melting_Curves/meltCurve_Q9H6L4_ARMC7.pdf")</f>
        <v>Melting_Curves/meltCurve_Q9H6L4_ARMC7.pdf</v>
      </c>
    </row>
    <row r="5321" spans="1:28" x14ac:dyDescent="0.25">
      <c r="A5321" t="s">
        <v>5325</v>
      </c>
      <c r="B5321">
        <v>0.99352677808782597</v>
      </c>
      <c r="C5321">
        <v>0.93045269340827697</v>
      </c>
      <c r="D5321">
        <v>0.94162154300379897</v>
      </c>
      <c r="E5321">
        <v>0.55626014045996697</v>
      </c>
      <c r="F5321">
        <v>0.46055377433802003</v>
      </c>
      <c r="G5321">
        <v>0.263103521751827</v>
      </c>
      <c r="H5321">
        <v>0.135109089598724</v>
      </c>
      <c r="I5321">
        <v>9.4488336448782601E-2</v>
      </c>
      <c r="J5321">
        <v>8.7495903591760099E-2</v>
      </c>
      <c r="K5321">
        <v>6.3495566221571195E-2</v>
      </c>
      <c r="L5321">
        <v>761.84659151277003</v>
      </c>
      <c r="M5321">
        <v>14.7769385595423</v>
      </c>
      <c r="N5321">
        <v>51.9487842028839</v>
      </c>
      <c r="O5321">
        <v>50.639874324886399</v>
      </c>
      <c r="P5321">
        <v>-6.9106814941994596E-2</v>
      </c>
      <c r="Q5321">
        <v>5.2798243862531902E-2</v>
      </c>
      <c r="R5321">
        <v>0.98924462655534295</v>
      </c>
      <c r="S5321" t="s">
        <v>11606</v>
      </c>
      <c r="T5321" t="s">
        <v>12568</v>
      </c>
      <c r="U5321" t="s">
        <v>12568</v>
      </c>
      <c r="V5321" t="s">
        <v>12568</v>
      </c>
      <c r="W5321" t="s">
        <v>17838</v>
      </c>
      <c r="X5321">
        <v>7</v>
      </c>
      <c r="Y5321" t="s">
        <v>23932</v>
      </c>
      <c r="Z5321" t="s">
        <v>30191</v>
      </c>
      <c r="AA5321">
        <v>0.43968552590190119</v>
      </c>
      <c r="AB5321" t="str">
        <f>HYPERLINK("Melting_Curves/meltCurve_Q9H6Q4_NARFL.pdf", "Melting_Curves/meltCurve_Q9H6Q4_NARFL.pdf")</f>
        <v>Melting_Curves/meltCurve_Q9H6Q4_NARFL.pdf</v>
      </c>
    </row>
    <row r="5322" spans="1:28" x14ac:dyDescent="0.25">
      <c r="A5322" t="s">
        <v>5326</v>
      </c>
      <c r="B5322">
        <v>0.99352677808782597</v>
      </c>
      <c r="C5322">
        <v>0.90649478566936303</v>
      </c>
      <c r="D5322">
        <v>1.1125520399409099</v>
      </c>
      <c r="E5322">
        <v>0.54766663281945605</v>
      </c>
      <c r="F5322">
        <v>0.39183124285189302</v>
      </c>
      <c r="G5322">
        <v>0.27389796468482203</v>
      </c>
      <c r="H5322">
        <v>0.219325894852966</v>
      </c>
      <c r="I5322">
        <v>0.20016127584169699</v>
      </c>
      <c r="J5322">
        <v>0.17213631848094199</v>
      </c>
      <c r="K5322">
        <v>0.146185938316756</v>
      </c>
      <c r="L5322">
        <v>1602.04888548607</v>
      </c>
      <c r="M5322">
        <v>31.966696222811201</v>
      </c>
      <c r="N5322">
        <v>50.9552914333971</v>
      </c>
      <c r="O5322">
        <v>49.921272517430097</v>
      </c>
      <c r="P5322">
        <v>-0.12732668901542701</v>
      </c>
      <c r="Q5322">
        <v>0.20463731542219099</v>
      </c>
      <c r="R5322">
        <v>0.96058125704668895</v>
      </c>
      <c r="S5322" t="s">
        <v>11607</v>
      </c>
      <c r="T5322" t="s">
        <v>12568</v>
      </c>
      <c r="U5322" t="s">
        <v>12568</v>
      </c>
      <c r="V5322" t="s">
        <v>12568</v>
      </c>
      <c r="W5322" t="s">
        <v>17839</v>
      </c>
      <c r="X5322">
        <v>3</v>
      </c>
      <c r="Y5322" t="s">
        <v>23933</v>
      </c>
      <c r="Z5322" t="s">
        <v>30192</v>
      </c>
      <c r="AA5322">
        <v>0.47717351030684052</v>
      </c>
      <c r="AB5322" t="str">
        <f>HYPERLINK("Melting_Curves/meltCurve_Q9H6R4_2_NOL6.pdf", "Melting_Curves/meltCurve_Q9H6R4_2_NOL6.pdf")</f>
        <v>Melting_Curves/meltCurve_Q9H6R4_2_NOL6.pdf</v>
      </c>
    </row>
    <row r="5323" spans="1:28" x14ac:dyDescent="0.25">
      <c r="A5323" t="s">
        <v>5327</v>
      </c>
      <c r="B5323">
        <v>0.99352677808782597</v>
      </c>
      <c r="C5323">
        <v>0.93800396271134701</v>
      </c>
      <c r="D5323">
        <v>0.92212086210956801</v>
      </c>
      <c r="E5323">
        <v>1.1228040123315099</v>
      </c>
      <c r="F5323">
        <v>0.88398419273659001</v>
      </c>
      <c r="G5323">
        <v>0.78418749748852901</v>
      </c>
      <c r="H5323">
        <v>0.56254054571609502</v>
      </c>
      <c r="I5323">
        <v>0.56739740318625498</v>
      </c>
      <c r="J5323">
        <v>0.45254425022982703</v>
      </c>
      <c r="K5323">
        <v>0.198669914647429</v>
      </c>
      <c r="L5323">
        <v>733.00503319077404</v>
      </c>
      <c r="M5323">
        <v>11.4412142455985</v>
      </c>
      <c r="N5323">
        <v>64.067077561660298</v>
      </c>
      <c r="O5323">
        <v>62.203566652172199</v>
      </c>
      <c r="P5323">
        <v>-4.5996296991923098E-2</v>
      </c>
      <c r="Q5323">
        <v>0</v>
      </c>
      <c r="R5323">
        <v>0.92326128021167897</v>
      </c>
      <c r="S5323" t="s">
        <v>11608</v>
      </c>
      <c r="T5323" t="s">
        <v>12568</v>
      </c>
      <c r="U5323" t="s">
        <v>12568</v>
      </c>
      <c r="V5323" t="s">
        <v>12568</v>
      </c>
      <c r="W5323" t="s">
        <v>17840</v>
      </c>
      <c r="X5323">
        <v>3</v>
      </c>
      <c r="Y5323" t="s">
        <v>23934</v>
      </c>
      <c r="Z5323" t="s">
        <v>30193</v>
      </c>
      <c r="AA5323">
        <v>0.76916813210193302</v>
      </c>
      <c r="AB5323" t="str">
        <f>HYPERLINK("Melting_Curves/meltCurve_Q9H6R7_2_C2orf44.pdf", "Melting_Curves/meltCurve_Q9H6R7_2_C2orf44.pdf")</f>
        <v>Melting_Curves/meltCurve_Q9H6R7_2_C2orf44.pdf</v>
      </c>
    </row>
    <row r="5324" spans="1:28" x14ac:dyDescent="0.25">
      <c r="A5324" t="s">
        <v>5328</v>
      </c>
      <c r="B5324">
        <v>0.99352677808782597</v>
      </c>
      <c r="C5324">
        <v>0.91781677218707303</v>
      </c>
      <c r="D5324">
        <v>0.90758262301158299</v>
      </c>
      <c r="E5324">
        <v>0.54066521574127102</v>
      </c>
      <c r="F5324">
        <v>0.46259292967501903</v>
      </c>
      <c r="G5324">
        <v>0.39752083076100198</v>
      </c>
      <c r="H5324">
        <v>0.26477413800896199</v>
      </c>
      <c r="I5324">
        <v>0.43754753569454302</v>
      </c>
      <c r="J5324">
        <v>0.34126826908424501</v>
      </c>
      <c r="K5324">
        <v>0.26306610140042902</v>
      </c>
      <c r="L5324">
        <v>1050.79154642106</v>
      </c>
      <c r="M5324">
        <v>21.5187323387734</v>
      </c>
      <c r="N5324">
        <v>51.441639719112999</v>
      </c>
      <c r="O5324">
        <v>48.415642214699297</v>
      </c>
      <c r="P5324">
        <v>-7.4203571857319003E-2</v>
      </c>
      <c r="Q5324">
        <v>0.33220499746161403</v>
      </c>
      <c r="R5324">
        <v>0.95818853920443303</v>
      </c>
      <c r="S5324" t="s">
        <v>11609</v>
      </c>
      <c r="T5324" t="s">
        <v>12568</v>
      </c>
      <c r="U5324" t="s">
        <v>12568</v>
      </c>
      <c r="V5324" t="s">
        <v>12568</v>
      </c>
      <c r="W5324" t="s">
        <v>17841</v>
      </c>
      <c r="X5324">
        <v>2</v>
      </c>
      <c r="Y5324" t="s">
        <v>23935</v>
      </c>
      <c r="Z5324" t="s">
        <v>30194</v>
      </c>
      <c r="AA5324">
        <v>0.53685368135572098</v>
      </c>
      <c r="AB5324" t="str">
        <f>HYPERLINK("Melting_Curves/meltCurve_Q9H6S0_YTHDC2.pdf", "Melting_Curves/meltCurve_Q9H6S0_YTHDC2.pdf")</f>
        <v>Melting_Curves/meltCurve_Q9H6S0_YTHDC2.pdf</v>
      </c>
    </row>
    <row r="5325" spans="1:28" x14ac:dyDescent="0.25">
      <c r="A5325" t="s">
        <v>5329</v>
      </c>
      <c r="B5325">
        <v>0.99352677808782597</v>
      </c>
      <c r="C5325">
        <v>0.912048097744666</v>
      </c>
      <c r="D5325">
        <v>0.83377718828478198</v>
      </c>
      <c r="E5325">
        <v>0.39828370713898797</v>
      </c>
      <c r="F5325">
        <v>0.33690458625044001</v>
      </c>
      <c r="G5325">
        <v>0.251820001586257</v>
      </c>
      <c r="H5325">
        <v>0.19075806000602</v>
      </c>
      <c r="I5325">
        <v>0.182325555309722</v>
      </c>
      <c r="J5325">
        <v>0.183607032065983</v>
      </c>
      <c r="K5325">
        <v>0.181449784300793</v>
      </c>
      <c r="L5325">
        <v>1032.84758445886</v>
      </c>
      <c r="M5325">
        <v>21.397522440415599</v>
      </c>
      <c r="N5325">
        <v>49.375849749578499</v>
      </c>
      <c r="O5325">
        <v>47.8538315599464</v>
      </c>
      <c r="P5325">
        <v>-9.0499563494946297E-2</v>
      </c>
      <c r="Q5325">
        <v>0.19044030826974001</v>
      </c>
      <c r="R5325">
        <v>0.99074075592631194</v>
      </c>
      <c r="S5325" t="s">
        <v>11610</v>
      </c>
      <c r="T5325" t="s">
        <v>12568</v>
      </c>
      <c r="U5325" t="s">
        <v>12568</v>
      </c>
      <c r="V5325" t="s">
        <v>12568</v>
      </c>
      <c r="W5325" t="s">
        <v>17842</v>
      </c>
      <c r="X5325">
        <v>6</v>
      </c>
      <c r="Y5325" t="s">
        <v>23936</v>
      </c>
      <c r="Z5325" t="s">
        <v>30195</v>
      </c>
      <c r="AA5325">
        <v>0.42352697868670108</v>
      </c>
      <c r="AB5325" t="str">
        <f>HYPERLINK("Melting_Curves/meltCurve_Q9H6S1_AZI2.pdf", "Melting_Curves/meltCurve_Q9H6S1_AZI2.pdf")</f>
        <v>Melting_Curves/meltCurve_Q9H6S1_AZI2.pdf</v>
      </c>
    </row>
    <row r="5326" spans="1:28" x14ac:dyDescent="0.25">
      <c r="A5326" t="s">
        <v>5330</v>
      </c>
      <c r="B5326">
        <v>0.99352677808782597</v>
      </c>
      <c r="C5326">
        <v>0.99055910586155704</v>
      </c>
      <c r="D5326">
        <v>1.0155905783557699</v>
      </c>
      <c r="E5326">
        <v>0.70007957305173296</v>
      </c>
      <c r="F5326">
        <v>0.593200821135342</v>
      </c>
      <c r="G5326">
        <v>0.22775739561944899</v>
      </c>
      <c r="H5326">
        <v>0.15196579222236301</v>
      </c>
      <c r="I5326">
        <v>0.14762309103385199</v>
      </c>
      <c r="J5326">
        <v>0.142630840892326</v>
      </c>
      <c r="K5326">
        <v>0.122692707140442</v>
      </c>
      <c r="L5326">
        <v>1077.9153588704501</v>
      </c>
      <c r="M5326">
        <v>20.491748123289</v>
      </c>
      <c r="N5326">
        <v>53.2916974668276</v>
      </c>
      <c r="O5326">
        <v>52.109150402372201</v>
      </c>
      <c r="P5326">
        <v>-8.6869487556754998E-2</v>
      </c>
      <c r="Q5326">
        <v>0.1164129720848</v>
      </c>
      <c r="R5326">
        <v>0.98856737256209204</v>
      </c>
      <c r="S5326" t="s">
        <v>11611</v>
      </c>
      <c r="T5326" t="s">
        <v>12568</v>
      </c>
      <c r="U5326" t="s">
        <v>12568</v>
      </c>
      <c r="V5326" t="s">
        <v>12568</v>
      </c>
      <c r="W5326" t="s">
        <v>17843</v>
      </c>
      <c r="X5326">
        <v>22</v>
      </c>
      <c r="Y5326" t="s">
        <v>23937</v>
      </c>
      <c r="Z5326" t="s">
        <v>30196</v>
      </c>
      <c r="AA5326">
        <v>0.49927172773914102</v>
      </c>
      <c r="AB5326" t="str">
        <f>HYPERLINK("Melting_Curves/meltCurve_Q9H6S3_EPS8L2.pdf", "Melting_Curves/meltCurve_Q9H6S3_EPS8L2.pdf")</f>
        <v>Melting_Curves/meltCurve_Q9H6S3_EPS8L2.pdf</v>
      </c>
    </row>
    <row r="5327" spans="1:28" x14ac:dyDescent="0.25">
      <c r="A5327" t="s">
        <v>5331</v>
      </c>
      <c r="B5327">
        <v>0.99352677808782597</v>
      </c>
      <c r="C5327">
        <v>0.97889935765045399</v>
      </c>
      <c r="D5327">
        <v>0.95754077355987999</v>
      </c>
      <c r="E5327">
        <v>0.62713884202542802</v>
      </c>
      <c r="F5327">
        <v>0.51692045681602705</v>
      </c>
      <c r="G5327">
        <v>0.343471600547467</v>
      </c>
      <c r="H5327">
        <v>0.23751362680598001</v>
      </c>
      <c r="I5327">
        <v>0.21648867101094199</v>
      </c>
      <c r="J5327">
        <v>0.21232612267991099</v>
      </c>
      <c r="K5327">
        <v>0.15403093889604899</v>
      </c>
      <c r="L5327">
        <v>832.972609114683</v>
      </c>
      <c r="M5327">
        <v>16.160610630158299</v>
      </c>
      <c r="N5327">
        <v>52.974308642848698</v>
      </c>
      <c r="O5327">
        <v>50.773529483537402</v>
      </c>
      <c r="P5327">
        <v>-6.5503815914426403E-2</v>
      </c>
      <c r="Q5327">
        <v>0.17686056285329799</v>
      </c>
      <c r="R5327">
        <v>0.99078557938246303</v>
      </c>
      <c r="S5327" t="s">
        <v>11612</v>
      </c>
      <c r="T5327" t="s">
        <v>12568</v>
      </c>
      <c r="U5327" t="s">
        <v>12568</v>
      </c>
      <c r="V5327" t="s">
        <v>12568</v>
      </c>
      <c r="W5327" t="s">
        <v>17844</v>
      </c>
      <c r="X5327">
        <v>24</v>
      </c>
      <c r="Y5327" t="s">
        <v>23938</v>
      </c>
      <c r="Z5327" t="s">
        <v>30197</v>
      </c>
      <c r="AA5327">
        <v>0.51014830031872627</v>
      </c>
      <c r="AB5327" t="str">
        <f>HYPERLINK("Melting_Curves/meltCurve_Q9H6T3_2_RPAP3.pdf", "Melting_Curves/meltCurve_Q9H6T3_2_RPAP3.pdf")</f>
        <v>Melting_Curves/meltCurve_Q9H6T3_2_RPAP3.pdf</v>
      </c>
    </row>
    <row r="5328" spans="1:28" x14ac:dyDescent="0.25">
      <c r="A5328" t="s">
        <v>5332</v>
      </c>
      <c r="B5328">
        <v>0.99352677808782597</v>
      </c>
      <c r="C5328">
        <v>1.0224027455648701</v>
      </c>
      <c r="D5328">
        <v>0.96166688278714996</v>
      </c>
      <c r="E5328">
        <v>0.86999209795440102</v>
      </c>
      <c r="F5328">
        <v>0.76246322159001401</v>
      </c>
      <c r="G5328">
        <v>0.429874575808885</v>
      </c>
      <c r="H5328">
        <v>0.35126727264027502</v>
      </c>
      <c r="I5328">
        <v>0.45759844157587398</v>
      </c>
      <c r="J5328">
        <v>0.25137315481419198</v>
      </c>
      <c r="K5328">
        <v>0.23421036076103799</v>
      </c>
      <c r="L5328">
        <v>1032.3249522650899</v>
      </c>
      <c r="M5328">
        <v>19.0080481343415</v>
      </c>
      <c r="N5328">
        <v>56.741467335814001</v>
      </c>
      <c r="O5328">
        <v>53.719508796730203</v>
      </c>
      <c r="P5328">
        <v>-6.3818816894182895E-2</v>
      </c>
      <c r="Q5328">
        <v>0.278583941029306</v>
      </c>
      <c r="R5328">
        <v>0.96622896974510797</v>
      </c>
      <c r="S5328" t="s">
        <v>11613</v>
      </c>
      <c r="T5328" t="s">
        <v>12568</v>
      </c>
      <c r="U5328" t="s">
        <v>12568</v>
      </c>
      <c r="V5328" t="s">
        <v>12568</v>
      </c>
      <c r="W5328" t="s">
        <v>17845</v>
      </c>
      <c r="X5328">
        <v>11</v>
      </c>
      <c r="Y5328" t="s">
        <v>23939</v>
      </c>
      <c r="Z5328" t="s">
        <v>30198</v>
      </c>
      <c r="AA5328">
        <v>0.6332482631257631</v>
      </c>
      <c r="AB5328" t="str">
        <f>HYPERLINK("Melting_Curves/meltCurve_Q9H6U6_2_BCAS3.pdf", "Melting_Curves/meltCurve_Q9H6U6_2_BCAS3.pdf")</f>
        <v>Melting_Curves/meltCurve_Q9H6U6_2_BCAS3.pdf</v>
      </c>
    </row>
    <row r="5329" spans="1:28" x14ac:dyDescent="0.25">
      <c r="A5329" t="s">
        <v>5333</v>
      </c>
      <c r="B5329">
        <v>0.99352677808782597</v>
      </c>
      <c r="C5329">
        <v>0.95065159942116795</v>
      </c>
      <c r="D5329">
        <v>0.99796321558253498</v>
      </c>
      <c r="E5329">
        <v>0.89651403169129296</v>
      </c>
      <c r="F5329">
        <v>0.86700770576909103</v>
      </c>
      <c r="G5329">
        <v>0.73903175217131001</v>
      </c>
      <c r="H5329">
        <v>0.70486702545512303</v>
      </c>
      <c r="I5329">
        <v>0.66850465331248499</v>
      </c>
      <c r="J5329">
        <v>0.63974123639340297</v>
      </c>
      <c r="K5329">
        <v>0.53435588555124502</v>
      </c>
      <c r="L5329">
        <v>460.35482023235301</v>
      </c>
      <c r="M5329">
        <v>7.5371037733640103</v>
      </c>
      <c r="O5329">
        <v>57.222828601487898</v>
      </c>
      <c r="P5329">
        <v>-1.97226021685648E-2</v>
      </c>
      <c r="Q5329">
        <v>0.40189649755830598</v>
      </c>
      <c r="R5329">
        <v>0.97001042640305002</v>
      </c>
      <c r="S5329" t="s">
        <v>11614</v>
      </c>
      <c r="T5329" t="s">
        <v>12568</v>
      </c>
      <c r="U5329" t="s">
        <v>12568</v>
      </c>
      <c r="V5329" t="s">
        <v>12568</v>
      </c>
      <c r="W5329" t="s">
        <v>17846</v>
      </c>
      <c r="X5329">
        <v>4</v>
      </c>
      <c r="Y5329" t="s">
        <v>23940</v>
      </c>
      <c r="Z5329" t="s">
        <v>30199</v>
      </c>
      <c r="AA5329">
        <v>0.80382643922653163</v>
      </c>
      <c r="AB5329" t="str">
        <f>HYPERLINK("Melting_Curves/meltCurve_Q9H6X2_ANTXR1.pdf", "Melting_Curves/meltCurve_Q9H6X2_ANTXR1.pdf")</f>
        <v>Melting_Curves/meltCurve_Q9H6X2_ANTXR1.pdf</v>
      </c>
    </row>
    <row r="5330" spans="1:28" x14ac:dyDescent="0.25">
      <c r="A5330" t="s">
        <v>5334</v>
      </c>
      <c r="B5330">
        <v>0.99352677808782597</v>
      </c>
      <c r="C5330">
        <v>0.85147766727357999</v>
      </c>
      <c r="D5330">
        <v>0.82584406901026397</v>
      </c>
      <c r="E5330">
        <v>0.55720169389821295</v>
      </c>
      <c r="F5330">
        <v>0.49978964102071</v>
      </c>
      <c r="G5330">
        <v>0.31334786929443098</v>
      </c>
      <c r="H5330">
        <v>0.20829315925641601</v>
      </c>
      <c r="I5330">
        <v>0.20959592594426499</v>
      </c>
      <c r="J5330">
        <v>0.187601133309417</v>
      </c>
      <c r="K5330">
        <v>0.14719173644790401</v>
      </c>
      <c r="L5330">
        <v>562.89190175205999</v>
      </c>
      <c r="M5330">
        <v>11.0718253417062</v>
      </c>
      <c r="N5330">
        <v>52.066054780696398</v>
      </c>
      <c r="O5330">
        <v>49.266038708624301</v>
      </c>
      <c r="P5330">
        <v>-4.9753179524747101E-2</v>
      </c>
      <c r="Q5330">
        <v>0.11474942366792799</v>
      </c>
      <c r="R5330">
        <v>0.98949013549447795</v>
      </c>
      <c r="S5330" t="s">
        <v>11615</v>
      </c>
      <c r="T5330" t="s">
        <v>12568</v>
      </c>
      <c r="U5330" t="s">
        <v>12568</v>
      </c>
      <c r="V5330" t="s">
        <v>12568</v>
      </c>
      <c r="W5330" t="s">
        <v>17847</v>
      </c>
      <c r="X5330">
        <v>8</v>
      </c>
      <c r="Y5330" t="s">
        <v>23941</v>
      </c>
      <c r="Z5330" t="s">
        <v>30200</v>
      </c>
      <c r="AA5330">
        <v>0.46727904830429701</v>
      </c>
      <c r="AB5330" t="str">
        <f>HYPERLINK("Melting_Curves/meltCurve_Q9H6Y2_WDR55.pdf", "Melting_Curves/meltCurve_Q9H6Y2_WDR55.pdf")</f>
        <v>Melting_Curves/meltCurve_Q9H6Y2_WDR55.pdf</v>
      </c>
    </row>
    <row r="5331" spans="1:28" x14ac:dyDescent="0.25">
      <c r="A5331" t="s">
        <v>5335</v>
      </c>
      <c r="B5331">
        <v>0.99352677808782597</v>
      </c>
      <c r="C5331">
        <v>0.99206793571261198</v>
      </c>
      <c r="D5331">
        <v>0.957999839550847</v>
      </c>
      <c r="E5331">
        <v>0.93627050547986301</v>
      </c>
      <c r="F5331">
        <v>0.80156184919431495</v>
      </c>
      <c r="G5331">
        <v>0.66816190749670101</v>
      </c>
      <c r="H5331">
        <v>0.63178282451161305</v>
      </c>
      <c r="I5331">
        <v>0.58013457390003298</v>
      </c>
      <c r="J5331">
        <v>0.59910960912066002</v>
      </c>
      <c r="K5331">
        <v>0.40810976484508599</v>
      </c>
      <c r="L5331">
        <v>556.06772969480301</v>
      </c>
      <c r="M5331">
        <v>9.5711717868445305</v>
      </c>
      <c r="N5331">
        <v>68.364947186169104</v>
      </c>
      <c r="O5331">
        <v>55.7317622725866</v>
      </c>
      <c r="P5331">
        <v>-2.6581918849032899E-2</v>
      </c>
      <c r="Q5331">
        <v>0.38122273153115399</v>
      </c>
      <c r="R5331">
        <v>0.95341840965347902</v>
      </c>
      <c r="S5331" t="s">
        <v>11616</v>
      </c>
      <c r="T5331" t="s">
        <v>12568</v>
      </c>
      <c r="U5331" t="s">
        <v>12568</v>
      </c>
      <c r="V5331" t="s">
        <v>12568</v>
      </c>
      <c r="W5331" t="s">
        <v>17848</v>
      </c>
      <c r="X5331">
        <v>16</v>
      </c>
      <c r="Y5331" t="s">
        <v>23942</v>
      </c>
      <c r="Z5331" t="s">
        <v>30201</v>
      </c>
      <c r="AA5331">
        <v>0.7596261876798811</v>
      </c>
      <c r="AB5331" t="str">
        <f>HYPERLINK("Melting_Curves/meltCurve_Q9H6Z4_2_RANBP3.pdf", "Melting_Curves/meltCurve_Q9H6Z4_2_RANBP3.pdf")</f>
        <v>Melting_Curves/meltCurve_Q9H6Z4_2_RANBP3.pdf</v>
      </c>
    </row>
    <row r="5332" spans="1:28" x14ac:dyDescent="0.25">
      <c r="A5332" t="s">
        <v>5336</v>
      </c>
      <c r="B5332">
        <v>0.99352677808782597</v>
      </c>
      <c r="C5332">
        <v>1.0162539157871899</v>
      </c>
      <c r="D5332">
        <v>0.99338326268306798</v>
      </c>
      <c r="E5332">
        <v>0.443061190018049</v>
      </c>
      <c r="F5332">
        <v>0.51133975783786001</v>
      </c>
      <c r="G5332">
        <v>0.20602579919323499</v>
      </c>
      <c r="H5332">
        <v>0.154079744800666</v>
      </c>
      <c r="I5332">
        <v>0.12717165173793701</v>
      </c>
      <c r="J5332">
        <v>9.8091315474358204E-2</v>
      </c>
      <c r="K5332">
        <v>5.4556471490445103E-2</v>
      </c>
      <c r="L5332">
        <v>884.21195878709705</v>
      </c>
      <c r="M5332">
        <v>17.3729397635671</v>
      </c>
      <c r="N5332">
        <v>51.477527793175298</v>
      </c>
      <c r="O5332">
        <v>50.2359546663237</v>
      </c>
      <c r="P5332">
        <v>-7.8757118534028406E-2</v>
      </c>
      <c r="Q5332">
        <v>8.9109059894286594E-2</v>
      </c>
      <c r="R5332">
        <v>0.95709579493526198</v>
      </c>
      <c r="S5332" t="s">
        <v>11617</v>
      </c>
      <c r="T5332" t="s">
        <v>12568</v>
      </c>
      <c r="U5332" t="s">
        <v>12568</v>
      </c>
      <c r="V5332" t="s">
        <v>12568</v>
      </c>
      <c r="W5332" t="s">
        <v>17849</v>
      </c>
      <c r="X5332">
        <v>1</v>
      </c>
      <c r="Y5332" t="s">
        <v>23943</v>
      </c>
      <c r="Z5332" t="s">
        <v>30202</v>
      </c>
      <c r="AA5332">
        <v>0.43632239614341822</v>
      </c>
      <c r="AB5332" t="str">
        <f>HYPERLINK("Melting_Curves/meltCurve_Q9H706_2_GAREM.pdf", "Melting_Curves/meltCurve_Q9H706_2_GAREM.pdf")</f>
        <v>Melting_Curves/meltCurve_Q9H706_2_GAREM.pdf</v>
      </c>
    </row>
    <row r="5333" spans="1:28" x14ac:dyDescent="0.25">
      <c r="A5333" t="s">
        <v>5337</v>
      </c>
      <c r="B5333">
        <v>0.99352677808782597</v>
      </c>
      <c r="C5333">
        <v>0.98194845028393896</v>
      </c>
      <c r="D5333">
        <v>0.94454105192248095</v>
      </c>
      <c r="E5333">
        <v>0.76540313496307899</v>
      </c>
      <c r="F5333">
        <v>0.69193864360391999</v>
      </c>
      <c r="G5333">
        <v>0.51715975963107996</v>
      </c>
      <c r="H5333">
        <v>0.39556559020105603</v>
      </c>
      <c r="I5333">
        <v>0.38206496897207698</v>
      </c>
      <c r="J5333">
        <v>0.348887123651069</v>
      </c>
      <c r="K5333">
        <v>0.26505374513685198</v>
      </c>
      <c r="L5333">
        <v>642.70200111249096</v>
      </c>
      <c r="M5333">
        <v>11.851677726323899</v>
      </c>
      <c r="N5333">
        <v>57.6300226584572</v>
      </c>
      <c r="O5333">
        <v>52.753991169916098</v>
      </c>
      <c r="P5333">
        <v>-4.2045704418381603E-2</v>
      </c>
      <c r="Q5333">
        <v>0.25157673711763601</v>
      </c>
      <c r="R5333">
        <v>0.99311008524121003</v>
      </c>
      <c r="S5333" t="s">
        <v>11618</v>
      </c>
      <c r="T5333" t="s">
        <v>12568</v>
      </c>
      <c r="U5333" t="s">
        <v>12568</v>
      </c>
      <c r="V5333" t="s">
        <v>12568</v>
      </c>
      <c r="W5333" t="s">
        <v>17850</v>
      </c>
      <c r="X5333">
        <v>14</v>
      </c>
      <c r="Y5333" t="s">
        <v>23944</v>
      </c>
      <c r="Z5333" t="s">
        <v>30203</v>
      </c>
      <c r="AA5333">
        <v>0.62586864157152322</v>
      </c>
      <c r="AB5333" t="str">
        <f>HYPERLINK("Melting_Curves/meltCurve_Q9H773_DCTPP1.pdf", "Melting_Curves/meltCurve_Q9H773_DCTPP1.pdf")</f>
        <v>Melting_Curves/meltCurve_Q9H773_DCTPP1.pdf</v>
      </c>
    </row>
    <row r="5334" spans="1:28" x14ac:dyDescent="0.25">
      <c r="A5334" t="s">
        <v>5338</v>
      </c>
      <c r="B5334">
        <v>0.99352677808782597</v>
      </c>
      <c r="C5334">
        <v>0.98724221124025302</v>
      </c>
      <c r="D5334">
        <v>0.975553068634609</v>
      </c>
      <c r="E5334">
        <v>0.36994693682191498</v>
      </c>
      <c r="F5334">
        <v>0.30547760812614</v>
      </c>
      <c r="G5334">
        <v>0.20839480874986199</v>
      </c>
      <c r="H5334">
        <v>0.17535062875326299</v>
      </c>
      <c r="I5334">
        <v>0.173901178561604</v>
      </c>
      <c r="J5334">
        <v>0.147289666700328</v>
      </c>
      <c r="K5334">
        <v>0.12681783331084501</v>
      </c>
      <c r="L5334">
        <v>2076.2814350537601</v>
      </c>
      <c r="M5334">
        <v>42.5523150976788</v>
      </c>
      <c r="N5334">
        <v>49.315191852624402</v>
      </c>
      <c r="O5334">
        <v>48.686206503976798</v>
      </c>
      <c r="P5334">
        <v>-0.17891023238558401</v>
      </c>
      <c r="Q5334">
        <v>0.181200873692792</v>
      </c>
      <c r="R5334">
        <v>0.987416164419745</v>
      </c>
      <c r="S5334" t="s">
        <v>11619</v>
      </c>
      <c r="T5334" t="s">
        <v>12568</v>
      </c>
      <c r="U5334" t="s">
        <v>12568</v>
      </c>
      <c r="V5334" t="s">
        <v>12568</v>
      </c>
      <c r="W5334" t="s">
        <v>17851</v>
      </c>
      <c r="X5334">
        <v>11</v>
      </c>
      <c r="Y5334" t="s">
        <v>23945</v>
      </c>
      <c r="Z5334" t="s">
        <v>30204</v>
      </c>
      <c r="AA5334">
        <v>0.42364779764280591</v>
      </c>
      <c r="AB5334" t="str">
        <f>HYPERLINK("Melting_Curves/meltCurve_Q9H788_SH2D4A.pdf", "Melting_Curves/meltCurve_Q9H788_SH2D4A.pdf")</f>
        <v>Melting_Curves/meltCurve_Q9H788_SH2D4A.pdf</v>
      </c>
    </row>
    <row r="5335" spans="1:28" x14ac:dyDescent="0.25">
      <c r="A5335" t="s">
        <v>5339</v>
      </c>
      <c r="B5335">
        <v>0.99352677808782597</v>
      </c>
      <c r="C5335">
        <v>0.96932090978665097</v>
      </c>
      <c r="D5335">
        <v>0.93783376540904595</v>
      </c>
      <c r="E5335">
        <v>0.76488544010590598</v>
      </c>
      <c r="F5335">
        <v>0.65897026591735097</v>
      </c>
      <c r="G5335">
        <v>0.46467885035548601</v>
      </c>
      <c r="H5335">
        <v>0.41597485708269899</v>
      </c>
      <c r="I5335">
        <v>0.42802091450268598</v>
      </c>
      <c r="J5335">
        <v>0.49221025505993998</v>
      </c>
      <c r="K5335">
        <v>0.43508663888923599</v>
      </c>
      <c r="L5335">
        <v>1003.60007936959</v>
      </c>
      <c r="M5335">
        <v>19.623559864774201</v>
      </c>
      <c r="N5335">
        <v>56.849387881655502</v>
      </c>
      <c r="O5335">
        <v>50.620391845296197</v>
      </c>
      <c r="P5335">
        <v>-5.5218047114402397E-2</v>
      </c>
      <c r="Q5335">
        <v>0.43026420576403601</v>
      </c>
      <c r="R5335">
        <v>0.98515590583522705</v>
      </c>
      <c r="S5335" t="s">
        <v>11620</v>
      </c>
      <c r="T5335" t="s">
        <v>12568</v>
      </c>
      <c r="U5335" t="s">
        <v>12568</v>
      </c>
      <c r="V5335" t="s">
        <v>12568</v>
      </c>
      <c r="W5335" t="s">
        <v>17852</v>
      </c>
      <c r="X5335">
        <v>12</v>
      </c>
      <c r="Y5335" t="s">
        <v>23946</v>
      </c>
      <c r="Z5335" t="s">
        <v>30205</v>
      </c>
      <c r="AA5335">
        <v>0.65006529114480316</v>
      </c>
      <c r="AB5335" t="str">
        <f>HYPERLINK("Melting_Curves/meltCurve_Q9H792_PEAK1.pdf", "Melting_Curves/meltCurve_Q9H792_PEAK1.pdf")</f>
        <v>Melting_Curves/meltCurve_Q9H792_PEAK1.pdf</v>
      </c>
    </row>
    <row r="5336" spans="1:28" x14ac:dyDescent="0.25">
      <c r="A5336" t="s">
        <v>5340</v>
      </c>
      <c r="B5336">
        <v>0.99352677808782597</v>
      </c>
      <c r="C5336">
        <v>0.53924040382209704</v>
      </c>
      <c r="D5336">
        <v>0.66122629198540905</v>
      </c>
      <c r="E5336">
        <v>0.34234872091081098</v>
      </c>
      <c r="F5336">
        <v>0.28225626786865299</v>
      </c>
      <c r="G5336">
        <v>0.13843740590461401</v>
      </c>
      <c r="H5336">
        <v>8.6919839960730202E-2</v>
      </c>
      <c r="I5336">
        <v>7.8102770662987597E-2</v>
      </c>
      <c r="J5336">
        <v>7.01556836829553E-2</v>
      </c>
      <c r="K5336">
        <v>6.7163324471730096E-2</v>
      </c>
      <c r="L5336">
        <v>484.70641785494001</v>
      </c>
      <c r="M5336">
        <v>10.327805030632099</v>
      </c>
      <c r="N5336">
        <v>47.147032228599699</v>
      </c>
      <c r="O5336">
        <v>45.274820982104202</v>
      </c>
      <c r="P5336">
        <v>-5.5741491920813097E-2</v>
      </c>
      <c r="Q5336">
        <v>2.2986344440531201E-2</v>
      </c>
      <c r="R5336">
        <v>0.92514017196530896</v>
      </c>
      <c r="S5336" t="s">
        <v>11621</v>
      </c>
      <c r="T5336" t="s">
        <v>12568</v>
      </c>
      <c r="U5336" t="s">
        <v>12568</v>
      </c>
      <c r="V5336" t="s">
        <v>12568</v>
      </c>
      <c r="W5336" t="s">
        <v>17853</v>
      </c>
      <c r="X5336">
        <v>3</v>
      </c>
      <c r="Y5336" t="s">
        <v>23947</v>
      </c>
      <c r="Z5336" t="s">
        <v>30206</v>
      </c>
      <c r="AA5336">
        <v>0.30230016847494878</v>
      </c>
      <c r="AB5336" t="str">
        <f>HYPERLINK("Melting_Curves/meltCurve_Q9H7B4_SMYD3.pdf", "Melting_Curves/meltCurve_Q9H7B4_SMYD3.pdf")</f>
        <v>Melting_Curves/meltCurve_Q9H7B4_SMYD3.pdf</v>
      </c>
    </row>
    <row r="5337" spans="1:28" x14ac:dyDescent="0.25">
      <c r="A5337" t="s">
        <v>5341</v>
      </c>
      <c r="B5337">
        <v>0.99352677808782597</v>
      </c>
      <c r="C5337">
        <v>0.95230496502890205</v>
      </c>
      <c r="D5337">
        <v>0.96767457037442195</v>
      </c>
      <c r="E5337">
        <v>0.86069414058605398</v>
      </c>
      <c r="F5337">
        <v>0.80295739602778904</v>
      </c>
      <c r="G5337">
        <v>0.66380650321173995</v>
      </c>
      <c r="H5337">
        <v>0.65472927787496404</v>
      </c>
      <c r="I5337">
        <v>0.66081017920253504</v>
      </c>
      <c r="J5337">
        <v>0.72157748942559297</v>
      </c>
      <c r="K5337">
        <v>0.63067553457805703</v>
      </c>
      <c r="L5337">
        <v>976.85361120757602</v>
      </c>
      <c r="M5337">
        <v>19.071676076300299</v>
      </c>
      <c r="O5337">
        <v>50.666956511552101</v>
      </c>
      <c r="P5337">
        <v>-3.2382822812241897E-2</v>
      </c>
      <c r="Q5337">
        <v>0.6558929298392</v>
      </c>
      <c r="R5337">
        <v>0.95391869495816894</v>
      </c>
      <c r="S5337" t="s">
        <v>11622</v>
      </c>
      <c r="T5337" t="s">
        <v>12568</v>
      </c>
      <c r="U5337" t="s">
        <v>12568</v>
      </c>
      <c r="V5337" t="s">
        <v>12568</v>
      </c>
      <c r="W5337" t="s">
        <v>17854</v>
      </c>
      <c r="X5337">
        <v>10</v>
      </c>
      <c r="Y5337" t="s">
        <v>23948</v>
      </c>
      <c r="Z5337" t="s">
        <v>30207</v>
      </c>
      <c r="AA5337">
        <v>0.78980064177291209</v>
      </c>
      <c r="AB5337" t="str">
        <f>HYPERLINK("Melting_Curves/meltCurve_Q9H7C4_2_SYNC.pdf", "Melting_Curves/meltCurve_Q9H7C4_2_SYNC.pdf")</f>
        <v>Melting_Curves/meltCurve_Q9H7C4_2_SYNC.pdf</v>
      </c>
    </row>
    <row r="5338" spans="1:28" x14ac:dyDescent="0.25">
      <c r="A5338" t="s">
        <v>5342</v>
      </c>
      <c r="B5338">
        <v>0.99352677808782597</v>
      </c>
      <c r="C5338">
        <v>0.93992999754109696</v>
      </c>
      <c r="D5338">
        <v>0.99251817189949398</v>
      </c>
      <c r="E5338">
        <v>1.0019097337799501</v>
      </c>
      <c r="F5338">
        <v>1.0067566042737901</v>
      </c>
      <c r="G5338">
        <v>0.95331122465211304</v>
      </c>
      <c r="H5338">
        <v>0.81769163281248103</v>
      </c>
      <c r="I5338">
        <v>1.0104850916957699</v>
      </c>
      <c r="J5338">
        <v>0.91716354116517296</v>
      </c>
      <c r="K5338">
        <v>0.864136099480174</v>
      </c>
      <c r="L5338">
        <v>297.80929143480301</v>
      </c>
      <c r="M5338">
        <v>2.2103153408580898</v>
      </c>
      <c r="Q5338">
        <v>0</v>
      </c>
      <c r="R5338">
        <v>0.30185419084683401</v>
      </c>
      <c r="S5338" t="s">
        <v>11623</v>
      </c>
      <c r="T5338" t="s">
        <v>12568</v>
      </c>
      <c r="U5338" t="s">
        <v>12568</v>
      </c>
      <c r="V5338" t="s">
        <v>12568</v>
      </c>
      <c r="W5338" t="s">
        <v>17855</v>
      </c>
      <c r="X5338">
        <v>7</v>
      </c>
      <c r="Y5338" t="s">
        <v>23949</v>
      </c>
      <c r="Z5338" t="s">
        <v>30208</v>
      </c>
      <c r="AA5338">
        <v>0.95379878948604591</v>
      </c>
      <c r="AB5338" t="str">
        <f>HYPERLINK("Melting_Curves/meltCurve_Q9H7C9_AAMDC.pdf", "Melting_Curves/meltCurve_Q9H7C9_AAMDC.pdf")</f>
        <v>Melting_Curves/meltCurve_Q9H7C9_AAMDC.pdf</v>
      </c>
    </row>
    <row r="5339" spans="1:28" x14ac:dyDescent="0.25">
      <c r="A5339" t="s">
        <v>5343</v>
      </c>
      <c r="B5339">
        <v>0.99352677808782597</v>
      </c>
      <c r="C5339">
        <v>0.91033286055596196</v>
      </c>
      <c r="D5339">
        <v>0.83247749502139301</v>
      </c>
      <c r="E5339">
        <v>0.41792304120860901</v>
      </c>
      <c r="F5339">
        <v>0.38559155452407301</v>
      </c>
      <c r="G5339">
        <v>0.256682493617027</v>
      </c>
      <c r="H5339">
        <v>0.187596462995822</v>
      </c>
      <c r="I5339">
        <v>0.203005605172597</v>
      </c>
      <c r="J5339">
        <v>0.17590236685230101</v>
      </c>
      <c r="K5339">
        <v>0.15141519947811399</v>
      </c>
      <c r="L5339">
        <v>869.70234749586996</v>
      </c>
      <c r="M5339">
        <v>17.872350841942801</v>
      </c>
      <c r="N5339">
        <v>49.879676963844801</v>
      </c>
      <c r="O5339">
        <v>48.064932240333597</v>
      </c>
      <c r="P5339">
        <v>-7.6527833433669798E-2</v>
      </c>
      <c r="Q5339">
        <v>0.17680252765705801</v>
      </c>
      <c r="R5339">
        <v>0.98681003059197303</v>
      </c>
      <c r="S5339" t="s">
        <v>11624</v>
      </c>
      <c r="T5339" t="s">
        <v>12568</v>
      </c>
      <c r="U5339" t="s">
        <v>12568</v>
      </c>
      <c r="V5339" t="s">
        <v>12568</v>
      </c>
      <c r="W5339" t="s">
        <v>17856</v>
      </c>
      <c r="X5339">
        <v>27</v>
      </c>
      <c r="Y5339" t="s">
        <v>23950</v>
      </c>
      <c r="Z5339" t="s">
        <v>30209</v>
      </c>
      <c r="AA5339">
        <v>0.42904942393636708</v>
      </c>
      <c r="AB5339" t="str">
        <f>HYPERLINK("Melting_Curves/meltCurve_Q9H7D0_DOCK5.pdf", "Melting_Curves/meltCurve_Q9H7D0_DOCK5.pdf")</f>
        <v>Melting_Curves/meltCurve_Q9H7D0_DOCK5.pdf</v>
      </c>
    </row>
    <row r="5340" spans="1:28" x14ac:dyDescent="0.25">
      <c r="A5340" t="s">
        <v>5344</v>
      </c>
      <c r="B5340">
        <v>0.99352677808782597</v>
      </c>
      <c r="C5340">
        <v>0.912824206227691</v>
      </c>
      <c r="D5340">
        <v>0.82807429698248503</v>
      </c>
      <c r="E5340">
        <v>1.1885670528921</v>
      </c>
      <c r="F5340">
        <v>1.25059683655077</v>
      </c>
      <c r="G5340">
        <v>0.69604067972841499</v>
      </c>
      <c r="H5340">
        <v>0.35317969152596901</v>
      </c>
      <c r="I5340">
        <v>0.34139702170955299</v>
      </c>
      <c r="J5340">
        <v>0.25366236002465398</v>
      </c>
      <c r="K5340">
        <v>0.241759998125012</v>
      </c>
      <c r="L5340">
        <v>6325.7198754603796</v>
      </c>
      <c r="M5340">
        <v>110.70388056411799</v>
      </c>
      <c r="N5340">
        <v>57.610750959832998</v>
      </c>
      <c r="O5340">
        <v>57.122264820837401</v>
      </c>
      <c r="P5340">
        <v>-0.340463055055923</v>
      </c>
      <c r="Q5340">
        <v>0.297295815482366</v>
      </c>
      <c r="R5340">
        <v>0.891942017632675</v>
      </c>
      <c r="S5340" t="s">
        <v>11625</v>
      </c>
      <c r="T5340" t="s">
        <v>12568</v>
      </c>
      <c r="U5340" t="s">
        <v>12568</v>
      </c>
      <c r="V5340" t="s">
        <v>12568</v>
      </c>
      <c r="W5340" t="s">
        <v>17857</v>
      </c>
      <c r="X5340">
        <v>6</v>
      </c>
      <c r="Y5340" t="s">
        <v>23951</v>
      </c>
      <c r="Z5340" t="s">
        <v>30210</v>
      </c>
      <c r="AA5340">
        <v>0.69915502899245574</v>
      </c>
      <c r="AB5340" t="str">
        <f>HYPERLINK("Melting_Curves/meltCurve_Q9H7D7_2_WDR26.pdf", "Melting_Curves/meltCurve_Q9H7D7_2_WDR26.pdf")</f>
        <v>Melting_Curves/meltCurve_Q9H7D7_2_WDR26.pdf</v>
      </c>
    </row>
    <row r="5341" spans="1:28" x14ac:dyDescent="0.25">
      <c r="A5341" t="s">
        <v>5345</v>
      </c>
      <c r="B5341">
        <v>0.99352677808782597</v>
      </c>
      <c r="C5341">
        <v>1.03417515674748</v>
      </c>
      <c r="D5341">
        <v>0.952630828563371</v>
      </c>
      <c r="E5341">
        <v>0.84695623960872002</v>
      </c>
      <c r="F5341">
        <v>0.76017798607514198</v>
      </c>
      <c r="G5341">
        <v>0.55245328615260803</v>
      </c>
      <c r="H5341">
        <v>0.369447150145364</v>
      </c>
      <c r="I5341">
        <v>0.299900179216323</v>
      </c>
      <c r="J5341">
        <v>0.27095990474432802</v>
      </c>
      <c r="K5341">
        <v>0.18953615050855399</v>
      </c>
      <c r="L5341">
        <v>732.54412882756401</v>
      </c>
      <c r="M5341">
        <v>12.9514790317546</v>
      </c>
      <c r="N5341">
        <v>58.070556781477698</v>
      </c>
      <c r="O5341">
        <v>55.263136809263798</v>
      </c>
      <c r="P5341">
        <v>-5.0223136325065802E-2</v>
      </c>
      <c r="Q5341">
        <v>0.142957621601667</v>
      </c>
      <c r="R5341">
        <v>0.99562034182007397</v>
      </c>
      <c r="S5341" t="s">
        <v>11626</v>
      </c>
      <c r="T5341" t="s">
        <v>12568</v>
      </c>
      <c r="U5341" t="s">
        <v>12568</v>
      </c>
      <c r="V5341" t="s">
        <v>12568</v>
      </c>
      <c r="W5341" t="s">
        <v>17858</v>
      </c>
      <c r="X5341">
        <v>4</v>
      </c>
      <c r="Y5341" t="s">
        <v>23952</v>
      </c>
      <c r="Z5341" t="s">
        <v>30211</v>
      </c>
      <c r="AA5341">
        <v>0.63156243323973504</v>
      </c>
      <c r="AB5341" t="str">
        <f>HYPERLINK("Melting_Curves/meltCurve_Q9H7E2_3_TDRD3.pdf", "Melting_Curves/meltCurve_Q9H7E2_3_TDRD3.pdf")</f>
        <v>Melting_Curves/meltCurve_Q9H7E2_3_TDRD3.pdf</v>
      </c>
    </row>
    <row r="5342" spans="1:28" x14ac:dyDescent="0.25">
      <c r="A5342" t="s">
        <v>5346</v>
      </c>
      <c r="B5342">
        <v>0.99352677808782597</v>
      </c>
      <c r="C5342">
        <v>0.87283119001333398</v>
      </c>
      <c r="D5342">
        <v>0.9255937375294</v>
      </c>
      <c r="E5342">
        <v>0.74570974632643705</v>
      </c>
      <c r="F5342">
        <v>0.63908013135878805</v>
      </c>
      <c r="G5342">
        <v>0.606813709907841</v>
      </c>
      <c r="H5342">
        <v>0.50574380882116599</v>
      </c>
      <c r="I5342">
        <v>0.55220677397984996</v>
      </c>
      <c r="J5342">
        <v>0.50277331449288498</v>
      </c>
      <c r="K5342">
        <v>0.45644458740423699</v>
      </c>
      <c r="L5342">
        <v>554.03196531239598</v>
      </c>
      <c r="M5342">
        <v>10.9091959669245</v>
      </c>
      <c r="N5342">
        <v>65.737278794291697</v>
      </c>
      <c r="O5342">
        <v>49.168707639868998</v>
      </c>
      <c r="P5342">
        <v>-3.0064277505038199E-2</v>
      </c>
      <c r="Q5342">
        <v>0.45817957750892901</v>
      </c>
      <c r="R5342">
        <v>0.962812609138336</v>
      </c>
      <c r="S5342" t="s">
        <v>11627</v>
      </c>
      <c r="T5342" t="s">
        <v>12568</v>
      </c>
      <c r="U5342" t="s">
        <v>12568</v>
      </c>
      <c r="V5342" t="s">
        <v>12568</v>
      </c>
      <c r="W5342" t="s">
        <v>17859</v>
      </c>
      <c r="X5342">
        <v>3</v>
      </c>
      <c r="Y5342" t="s">
        <v>23953</v>
      </c>
      <c r="Z5342" t="s">
        <v>30212</v>
      </c>
      <c r="AA5342">
        <v>0.67345397108442451</v>
      </c>
      <c r="AB5342" t="str">
        <f>HYPERLINK("Melting_Curves/meltCurve_Q9H7E9_C8orf33.pdf", "Melting_Curves/meltCurve_Q9H7E9_C8orf33.pdf")</f>
        <v>Melting_Curves/meltCurve_Q9H7E9_C8orf33.pdf</v>
      </c>
    </row>
    <row r="5343" spans="1:28" x14ac:dyDescent="0.25">
      <c r="A5343" t="s">
        <v>5347</v>
      </c>
      <c r="B5343">
        <v>0.99352677808782597</v>
      </c>
      <c r="C5343">
        <v>1.0300123223251401</v>
      </c>
      <c r="D5343">
        <v>0.99418544160378797</v>
      </c>
      <c r="E5343">
        <v>0.93470516582357099</v>
      </c>
      <c r="F5343">
        <v>0.86102884487018805</v>
      </c>
      <c r="G5343">
        <v>0.58336291235478599</v>
      </c>
      <c r="H5343">
        <v>0.346593294202859</v>
      </c>
      <c r="I5343">
        <v>0.26557814810268199</v>
      </c>
      <c r="J5343">
        <v>0.26584298022492697</v>
      </c>
      <c r="K5343">
        <v>0.195452139473901</v>
      </c>
      <c r="L5343">
        <v>1176.62005128791</v>
      </c>
      <c r="M5343">
        <v>20.732591976472801</v>
      </c>
      <c r="N5343">
        <v>58.200053621758897</v>
      </c>
      <c r="O5343">
        <v>56.232116459322498</v>
      </c>
      <c r="P5343">
        <v>-7.3605058385163097E-2</v>
      </c>
      <c r="Q5343">
        <v>0.20147922393919701</v>
      </c>
      <c r="R5343">
        <v>0.99721279351196002</v>
      </c>
      <c r="S5343" t="s">
        <v>11628</v>
      </c>
      <c r="T5343" t="s">
        <v>12568</v>
      </c>
      <c r="U5343" t="s">
        <v>12568</v>
      </c>
      <c r="V5343" t="s">
        <v>12568</v>
      </c>
      <c r="W5343" t="s">
        <v>17860</v>
      </c>
      <c r="X5343">
        <v>4</v>
      </c>
      <c r="Y5343" t="s">
        <v>23954</v>
      </c>
      <c r="Z5343" t="s">
        <v>30213</v>
      </c>
      <c r="AA5343">
        <v>0.65685689469379327</v>
      </c>
      <c r="AB5343" t="str">
        <f>HYPERLINK("Melting_Curves/meltCurve_Q9H7L9_SUDS3.pdf", "Melting_Curves/meltCurve_Q9H7L9_SUDS3.pdf")</f>
        <v>Melting_Curves/meltCurve_Q9H7L9_SUDS3.pdf</v>
      </c>
    </row>
    <row r="5344" spans="1:28" x14ac:dyDescent="0.25">
      <c r="A5344" t="s">
        <v>5348</v>
      </c>
      <c r="B5344">
        <v>0.99352677808782597</v>
      </c>
      <c r="C5344">
        <v>0.90763401447927805</v>
      </c>
      <c r="D5344">
        <v>0.95771095526997096</v>
      </c>
      <c r="E5344">
        <v>0.86867165386047596</v>
      </c>
      <c r="F5344">
        <v>0.97251420618835605</v>
      </c>
      <c r="G5344">
        <v>0.85292542402862703</v>
      </c>
      <c r="H5344">
        <v>0.77514695264710298</v>
      </c>
      <c r="I5344">
        <v>0.62750005845925405</v>
      </c>
      <c r="J5344">
        <v>0.57146756093261997</v>
      </c>
      <c r="K5344">
        <v>0.373056253425815</v>
      </c>
      <c r="L5344">
        <v>656.35618321482104</v>
      </c>
      <c r="M5344">
        <v>9.6895684737688601</v>
      </c>
      <c r="N5344">
        <v>67.738432561996405</v>
      </c>
      <c r="O5344">
        <v>65.042001986526898</v>
      </c>
      <c r="P5344">
        <v>-3.7263937012885003E-2</v>
      </c>
      <c r="Q5344">
        <v>0</v>
      </c>
      <c r="R5344">
        <v>0.93122971826006695</v>
      </c>
      <c r="S5344" t="s">
        <v>11629</v>
      </c>
      <c r="T5344" t="s">
        <v>12568</v>
      </c>
      <c r="U5344" t="s">
        <v>12568</v>
      </c>
      <c r="V5344" t="s">
        <v>12568</v>
      </c>
      <c r="W5344" t="s">
        <v>17861</v>
      </c>
      <c r="X5344">
        <v>11</v>
      </c>
      <c r="Y5344" t="s">
        <v>23955</v>
      </c>
      <c r="Z5344" t="s">
        <v>30214</v>
      </c>
      <c r="AA5344">
        <v>0.82792097943108456</v>
      </c>
      <c r="AB5344" t="str">
        <f>HYPERLINK("Melting_Curves/meltCurve_Q9H7N4_SCAF1.pdf", "Melting_Curves/meltCurve_Q9H7N4_SCAF1.pdf")</f>
        <v>Melting_Curves/meltCurve_Q9H7N4_SCAF1.pdf</v>
      </c>
    </row>
    <row r="5345" spans="1:28" x14ac:dyDescent="0.25">
      <c r="A5345" t="s">
        <v>5349</v>
      </c>
      <c r="B5345">
        <v>0.99352677808782597</v>
      </c>
      <c r="C5345">
        <v>0.93974418732177101</v>
      </c>
      <c r="D5345">
        <v>0.83356200226022104</v>
      </c>
      <c r="E5345">
        <v>0.70004971756421597</v>
      </c>
      <c r="F5345">
        <v>0.59289497141755798</v>
      </c>
      <c r="G5345">
        <v>0.48819202618227697</v>
      </c>
      <c r="H5345">
        <v>0.43351573585776598</v>
      </c>
      <c r="I5345">
        <v>0.46378539009641001</v>
      </c>
      <c r="J5345">
        <v>0.49654712242337301</v>
      </c>
      <c r="K5345">
        <v>0.45064029458258797</v>
      </c>
      <c r="L5345">
        <v>739.84686075223999</v>
      </c>
      <c r="M5345">
        <v>15.086530317941801</v>
      </c>
      <c r="N5345">
        <v>57.537509379401399</v>
      </c>
      <c r="O5345">
        <v>48.202794377576403</v>
      </c>
      <c r="P5345">
        <v>-4.3341973355244298E-2</v>
      </c>
      <c r="Q5345">
        <v>0.446129006300441</v>
      </c>
      <c r="R5345">
        <v>0.98921537217232802</v>
      </c>
      <c r="S5345" t="s">
        <v>11630</v>
      </c>
      <c r="T5345" t="s">
        <v>12568</v>
      </c>
      <c r="U5345" t="s">
        <v>12568</v>
      </c>
      <c r="V5345" t="s">
        <v>12568</v>
      </c>
      <c r="W5345" t="s">
        <v>17862</v>
      </c>
      <c r="X5345">
        <v>3</v>
      </c>
      <c r="Y5345" t="s">
        <v>23956</v>
      </c>
      <c r="Z5345" t="s">
        <v>30215</v>
      </c>
      <c r="AA5345">
        <v>0.62653565709304393</v>
      </c>
      <c r="AB5345" t="str">
        <f>HYPERLINK("Melting_Curves/meltCurve_Q9H7P9_PLEKHG2.pdf", "Melting_Curves/meltCurve_Q9H7P9_PLEKHG2.pdf")</f>
        <v>Melting_Curves/meltCurve_Q9H7P9_PLEKHG2.pdf</v>
      </c>
    </row>
    <row r="5346" spans="1:28" x14ac:dyDescent="0.25">
      <c r="A5346" t="s">
        <v>5350</v>
      </c>
      <c r="B5346">
        <v>0.99352677808782597</v>
      </c>
      <c r="C5346">
        <v>0.95371767908771099</v>
      </c>
      <c r="D5346">
        <v>1.0190184405640099</v>
      </c>
      <c r="E5346">
        <v>0.95884392101323401</v>
      </c>
      <c r="F5346">
        <v>0.827621179961467</v>
      </c>
      <c r="G5346">
        <v>0.79153884981950295</v>
      </c>
      <c r="H5346">
        <v>0.61838010001135801</v>
      </c>
      <c r="I5346">
        <v>0.68462952130965504</v>
      </c>
      <c r="J5346">
        <v>0.76671312835459005</v>
      </c>
      <c r="K5346">
        <v>0.76917211574258104</v>
      </c>
      <c r="L5346">
        <v>1642.0489672748099</v>
      </c>
      <c r="M5346">
        <v>31.239104298332599</v>
      </c>
      <c r="O5346">
        <v>52.349910920471203</v>
      </c>
      <c r="P5346">
        <v>-4.1970400608512599E-2</v>
      </c>
      <c r="Q5346">
        <v>0.71866873365959905</v>
      </c>
      <c r="R5346">
        <v>0.86816607449437599</v>
      </c>
      <c r="S5346" t="s">
        <v>11631</v>
      </c>
      <c r="T5346" t="s">
        <v>12568</v>
      </c>
      <c r="U5346" t="s">
        <v>12568</v>
      </c>
      <c r="V5346" t="s">
        <v>12568</v>
      </c>
      <c r="W5346" t="s">
        <v>17863</v>
      </c>
      <c r="X5346">
        <v>4</v>
      </c>
      <c r="Y5346" t="s">
        <v>23957</v>
      </c>
      <c r="Z5346" t="s">
        <v>30216</v>
      </c>
      <c r="AA5346">
        <v>0.83816299951067663</v>
      </c>
      <c r="AB5346" t="str">
        <f>HYPERLINK("Melting_Curves/meltCurve_Q9H7S9_ZNF703.pdf", "Melting_Curves/meltCurve_Q9H7S9_ZNF703.pdf")</f>
        <v>Melting_Curves/meltCurve_Q9H7S9_ZNF703.pdf</v>
      </c>
    </row>
    <row r="5347" spans="1:28" x14ac:dyDescent="0.25">
      <c r="A5347" t="s">
        <v>5351</v>
      </c>
      <c r="B5347">
        <v>0.99352677808782597</v>
      </c>
      <c r="C5347">
        <v>0.93534446105047397</v>
      </c>
      <c r="D5347">
        <v>0.98160035142330104</v>
      </c>
      <c r="E5347">
        <v>0.90525972608509098</v>
      </c>
      <c r="F5347">
        <v>0.87486229323406095</v>
      </c>
      <c r="G5347">
        <v>0.714524615160679</v>
      </c>
      <c r="H5347">
        <v>0.68553369398720698</v>
      </c>
      <c r="I5347">
        <v>0.76326526762401603</v>
      </c>
      <c r="J5347">
        <v>0.72082920403750395</v>
      </c>
      <c r="K5347">
        <v>0.62231697451649204</v>
      </c>
      <c r="L5347">
        <v>799.14465010087201</v>
      </c>
      <c r="M5347">
        <v>15.019806042302701</v>
      </c>
      <c r="O5347">
        <v>52.289636431579503</v>
      </c>
      <c r="P5347">
        <v>-2.3638935048286899E-2</v>
      </c>
      <c r="Q5347">
        <v>0.670848779162875</v>
      </c>
      <c r="R5347">
        <v>0.89800095309116901</v>
      </c>
      <c r="S5347" t="s">
        <v>11632</v>
      </c>
      <c r="T5347" t="s">
        <v>12568</v>
      </c>
      <c r="U5347" t="s">
        <v>12568</v>
      </c>
      <c r="V5347" t="s">
        <v>12568</v>
      </c>
      <c r="W5347" t="s">
        <v>17864</v>
      </c>
      <c r="X5347">
        <v>3</v>
      </c>
      <c r="Y5347" t="s">
        <v>23958</v>
      </c>
      <c r="Z5347" t="s">
        <v>30217</v>
      </c>
      <c r="AA5347">
        <v>0.8227493298342039</v>
      </c>
      <c r="AB5347" t="str">
        <f>HYPERLINK("Melting_Curves/meltCurve_Q9H7U1_3_CCSER2.pdf", "Melting_Curves/meltCurve_Q9H7U1_3_CCSER2.pdf")</f>
        <v>Melting_Curves/meltCurve_Q9H7U1_3_CCSER2.pdf</v>
      </c>
    </row>
    <row r="5348" spans="1:28" x14ac:dyDescent="0.25">
      <c r="A5348" t="s">
        <v>5352</v>
      </c>
      <c r="B5348">
        <v>0.99352677808782597</v>
      </c>
      <c r="C5348">
        <v>1.0592490482935399</v>
      </c>
      <c r="D5348">
        <v>0.94362833274653801</v>
      </c>
      <c r="E5348">
        <v>0.57034962617781104</v>
      </c>
      <c r="F5348">
        <v>0.46200326013708198</v>
      </c>
      <c r="G5348">
        <v>0.23966438449442201</v>
      </c>
      <c r="H5348">
        <v>0.23163462406195501</v>
      </c>
      <c r="I5348">
        <v>0.17058934432759301</v>
      </c>
      <c r="J5348">
        <v>0.176574106126338</v>
      </c>
      <c r="K5348">
        <v>0.15549901639471</v>
      </c>
      <c r="L5348">
        <v>1041.6262892182001</v>
      </c>
      <c r="M5348">
        <v>20.587462305353299</v>
      </c>
      <c r="N5348">
        <v>51.672917041336099</v>
      </c>
      <c r="O5348">
        <v>50.125064316918099</v>
      </c>
      <c r="P5348">
        <v>-8.4760300852484899E-2</v>
      </c>
      <c r="Q5348">
        <v>0.17454766636514399</v>
      </c>
      <c r="R5348">
        <v>0.98612794048571795</v>
      </c>
      <c r="S5348" t="s">
        <v>11633</v>
      </c>
      <c r="T5348" t="s">
        <v>12568</v>
      </c>
      <c r="U5348" t="s">
        <v>12568</v>
      </c>
      <c r="V5348" t="s">
        <v>12568</v>
      </c>
      <c r="W5348" t="s">
        <v>17865</v>
      </c>
      <c r="X5348">
        <v>1</v>
      </c>
      <c r="Y5348" t="s">
        <v>23959</v>
      </c>
      <c r="Z5348" t="s">
        <v>30218</v>
      </c>
      <c r="AA5348">
        <v>0.47692761865910538</v>
      </c>
      <c r="AB5348" t="str">
        <f>HYPERLINK("Melting_Curves/meltCurve_Q9H7X3_ZNF696.pdf", "Melting_Curves/meltCurve_Q9H7X3_ZNF696.pdf")</f>
        <v>Melting_Curves/meltCurve_Q9H7X3_ZNF696.pdf</v>
      </c>
    </row>
    <row r="5349" spans="1:28" x14ac:dyDescent="0.25">
      <c r="A5349" t="s">
        <v>5353</v>
      </c>
      <c r="B5349">
        <v>0.99352677808782597</v>
      </c>
      <c r="C5349">
        <v>1.0050364994459999</v>
      </c>
      <c r="D5349">
        <v>0.90590697941962295</v>
      </c>
      <c r="E5349">
        <v>0.60066002937910701</v>
      </c>
      <c r="F5349">
        <v>0.57395025090280605</v>
      </c>
      <c r="G5349">
        <v>0.43127705829317198</v>
      </c>
      <c r="H5349">
        <v>0.319310686642443</v>
      </c>
      <c r="I5349">
        <v>0.30524129245915299</v>
      </c>
      <c r="J5349">
        <v>0.26122181906244202</v>
      </c>
      <c r="K5349">
        <v>0.20066716061227</v>
      </c>
      <c r="L5349">
        <v>662.60390114139398</v>
      </c>
      <c r="M5349">
        <v>12.816197214425999</v>
      </c>
      <c r="N5349">
        <v>54.124843940801</v>
      </c>
      <c r="O5349">
        <v>50.490301444006597</v>
      </c>
      <c r="P5349">
        <v>-4.9609713355471902E-2</v>
      </c>
      <c r="Q5349">
        <v>0.21838226813615599</v>
      </c>
      <c r="R5349">
        <v>0.97953836330008304</v>
      </c>
      <c r="S5349" t="s">
        <v>11634</v>
      </c>
      <c r="T5349" t="s">
        <v>12568</v>
      </c>
      <c r="U5349" t="s">
        <v>12568</v>
      </c>
      <c r="V5349" t="s">
        <v>12568</v>
      </c>
      <c r="W5349" t="s">
        <v>17866</v>
      </c>
      <c r="X5349">
        <v>1</v>
      </c>
      <c r="Y5349" t="s">
        <v>23960</v>
      </c>
      <c r="Z5349" t="s">
        <v>30219</v>
      </c>
      <c r="AA5349">
        <v>0.54552697869840217</v>
      </c>
      <c r="AB5349" t="str">
        <f>HYPERLINK("Melting_Curves/meltCurve_Q9H7X7_2_RABL5.pdf", "Melting_Curves/meltCurve_Q9H7X7_2_RABL5.pdf")</f>
        <v>Melting_Curves/meltCurve_Q9H7X7_2_RABL5.pdf</v>
      </c>
    </row>
    <row r="5350" spans="1:28" x14ac:dyDescent="0.25">
      <c r="A5350" t="s">
        <v>5354</v>
      </c>
      <c r="B5350">
        <v>0.99352677808782597</v>
      </c>
      <c r="C5350">
        <v>0.90529580223594097</v>
      </c>
      <c r="D5350">
        <v>0.87532446042891299</v>
      </c>
      <c r="E5350">
        <v>0.73265151788156302</v>
      </c>
      <c r="F5350">
        <v>0.67804124814450595</v>
      </c>
      <c r="G5350">
        <v>0.55539639954328501</v>
      </c>
      <c r="H5350">
        <v>0.49067744599586199</v>
      </c>
      <c r="I5350">
        <v>0.53868704489597397</v>
      </c>
      <c r="J5350">
        <v>0.52145567298906903</v>
      </c>
      <c r="K5350">
        <v>0.43267268647083701</v>
      </c>
      <c r="L5350">
        <v>554.44723979435696</v>
      </c>
      <c r="M5350">
        <v>10.955730187521301</v>
      </c>
      <c r="N5350">
        <v>63.851965912428497</v>
      </c>
      <c r="O5350">
        <v>49.009493252916101</v>
      </c>
      <c r="P5350">
        <v>-3.0833339744204699E-2</v>
      </c>
      <c r="Q5350">
        <v>0.448468082652342</v>
      </c>
      <c r="R5350">
        <v>0.97716403822242004</v>
      </c>
      <c r="S5350" t="s">
        <v>11635</v>
      </c>
      <c r="T5350" t="s">
        <v>12568</v>
      </c>
      <c r="U5350" t="s">
        <v>12568</v>
      </c>
      <c r="V5350" t="s">
        <v>12568</v>
      </c>
      <c r="W5350" t="s">
        <v>17867</v>
      </c>
      <c r="X5350">
        <v>7</v>
      </c>
      <c r="Y5350" t="s">
        <v>23961</v>
      </c>
      <c r="Z5350" t="s">
        <v>30220</v>
      </c>
      <c r="AA5350">
        <v>0.66447915195914953</v>
      </c>
      <c r="AB5350" t="str">
        <f>HYPERLINK("Melting_Curves/meltCurve_Q9H7Z6_KAT8.pdf", "Melting_Curves/meltCurve_Q9H7Z6_KAT8.pdf")</f>
        <v>Melting_Curves/meltCurve_Q9H7Z6_KAT8.pdf</v>
      </c>
    </row>
    <row r="5351" spans="1:28" x14ac:dyDescent="0.25">
      <c r="A5351" t="s">
        <v>5355</v>
      </c>
      <c r="B5351">
        <v>0.99352677808782597</v>
      </c>
      <c r="C5351">
        <v>0.97225508624934998</v>
      </c>
      <c r="D5351">
        <v>0.82349326793211997</v>
      </c>
      <c r="E5351">
        <v>0.28332730353152202</v>
      </c>
      <c r="F5351">
        <v>0.228222067047439</v>
      </c>
      <c r="G5351">
        <v>0.118442662861552</v>
      </c>
      <c r="H5351">
        <v>0.111383672177596</v>
      </c>
      <c r="I5351">
        <v>8.4857333508667102E-2</v>
      </c>
      <c r="J5351">
        <v>7.6489094140525002E-2</v>
      </c>
      <c r="K5351">
        <v>5.2158729647306099E-2</v>
      </c>
      <c r="L5351">
        <v>1354.8026533152199</v>
      </c>
      <c r="M5351">
        <v>28.162388883526301</v>
      </c>
      <c r="N5351">
        <v>48.463506775893599</v>
      </c>
      <c r="O5351">
        <v>47.866208093205103</v>
      </c>
      <c r="P5351">
        <v>-0.13332161348657401</v>
      </c>
      <c r="Q5351">
        <v>9.3607201674722307E-2</v>
      </c>
      <c r="R5351">
        <v>0.992836291404388</v>
      </c>
      <c r="S5351" t="s">
        <v>11636</v>
      </c>
      <c r="T5351" t="s">
        <v>12568</v>
      </c>
      <c r="U5351" t="s">
        <v>12568</v>
      </c>
      <c r="V5351" t="s">
        <v>12568</v>
      </c>
      <c r="W5351" t="s">
        <v>17868</v>
      </c>
      <c r="X5351">
        <v>6</v>
      </c>
      <c r="Y5351" t="s">
        <v>23962</v>
      </c>
      <c r="Z5351" t="s">
        <v>30221</v>
      </c>
      <c r="AA5351">
        <v>0.34477089760721957</v>
      </c>
      <c r="AB5351" t="str">
        <f>HYPERLINK("Melting_Curves/meltCurve_Q9H7Z7_PTGES2.pdf", "Melting_Curves/meltCurve_Q9H7Z7_PTGES2.pdf")</f>
        <v>Melting_Curves/meltCurve_Q9H7Z7_PTGES2.pdf</v>
      </c>
    </row>
    <row r="5352" spans="1:28" x14ac:dyDescent="0.25">
      <c r="A5352" t="s">
        <v>5356</v>
      </c>
      <c r="B5352">
        <v>0.99352677808782597</v>
      </c>
      <c r="C5352">
        <v>0.99122813544829502</v>
      </c>
      <c r="D5352">
        <v>0.96622888956634501</v>
      </c>
      <c r="E5352">
        <v>1.0547773243081899</v>
      </c>
      <c r="F5352">
        <v>0.95817428055707499</v>
      </c>
      <c r="G5352">
        <v>0.80072111017930703</v>
      </c>
      <c r="H5352">
        <v>0.74979037984854602</v>
      </c>
      <c r="I5352">
        <v>0.74693121935093099</v>
      </c>
      <c r="J5352">
        <v>0.88368583942890999</v>
      </c>
      <c r="K5352">
        <v>0.73769584617885997</v>
      </c>
      <c r="L5352">
        <v>3220.6316741914802</v>
      </c>
      <c r="M5352">
        <v>59.191180238769199</v>
      </c>
      <c r="O5352">
        <v>54.348656282145299</v>
      </c>
      <c r="P5352">
        <v>-5.96981277253903E-2</v>
      </c>
      <c r="Q5352">
        <v>0.78074353563225396</v>
      </c>
      <c r="R5352">
        <v>0.85355647406002899</v>
      </c>
      <c r="S5352" t="s">
        <v>11637</v>
      </c>
      <c r="T5352" t="s">
        <v>12568</v>
      </c>
      <c r="U5352" t="s">
        <v>12568</v>
      </c>
      <c r="V5352" t="s">
        <v>12568</v>
      </c>
      <c r="W5352" t="s">
        <v>17869</v>
      </c>
      <c r="X5352">
        <v>11</v>
      </c>
      <c r="Y5352" t="s">
        <v>23963</v>
      </c>
      <c r="Z5352" t="s">
        <v>30222</v>
      </c>
      <c r="AA5352">
        <v>0.88643947699349968</v>
      </c>
      <c r="AB5352" t="str">
        <f>HYPERLINK("Melting_Curves/meltCurve_Q9H814_PHAX.pdf", "Melting_Curves/meltCurve_Q9H814_PHAX.pdf")</f>
        <v>Melting_Curves/meltCurve_Q9H814_PHAX.pdf</v>
      </c>
    </row>
    <row r="5353" spans="1:28" x14ac:dyDescent="0.25">
      <c r="A5353" t="s">
        <v>5357</v>
      </c>
      <c r="B5353">
        <v>0.99352677808782597</v>
      </c>
      <c r="C5353">
        <v>0.98089916337869398</v>
      </c>
      <c r="D5353">
        <v>1.03643544097451</v>
      </c>
      <c r="E5353">
        <v>0.68680817308889297</v>
      </c>
      <c r="F5353">
        <v>0.595952359111528</v>
      </c>
      <c r="G5353">
        <v>0.20445527886170201</v>
      </c>
      <c r="H5353">
        <v>0.118140247597915</v>
      </c>
      <c r="I5353">
        <v>0.110943043984312</v>
      </c>
      <c r="J5353">
        <v>9.4449159833676397E-2</v>
      </c>
      <c r="K5353">
        <v>7.3803177101482903E-2</v>
      </c>
      <c r="L5353">
        <v>1059.41067254942</v>
      </c>
      <c r="M5353">
        <v>20.049011173675702</v>
      </c>
      <c r="N5353">
        <v>53.240086967786702</v>
      </c>
      <c r="O5353">
        <v>52.323771166134499</v>
      </c>
      <c r="P5353">
        <v>-8.9112876822218898E-2</v>
      </c>
      <c r="Q5353">
        <v>6.9765301653773995E-2</v>
      </c>
      <c r="R5353">
        <v>0.98559466469341805</v>
      </c>
      <c r="S5353" t="s">
        <v>11638</v>
      </c>
      <c r="T5353" t="s">
        <v>12568</v>
      </c>
      <c r="U5353" t="s">
        <v>12568</v>
      </c>
      <c r="V5353" t="s">
        <v>12568</v>
      </c>
      <c r="W5353" t="s">
        <v>17870</v>
      </c>
      <c r="X5353">
        <v>17</v>
      </c>
      <c r="Y5353" t="s">
        <v>23964</v>
      </c>
      <c r="Z5353" t="s">
        <v>30223</v>
      </c>
      <c r="AA5353">
        <v>0.48069505650469702</v>
      </c>
      <c r="AB5353" t="str">
        <f>HYPERLINK("Melting_Curves/meltCurve_Q9H832_UBE2Z.pdf", "Melting_Curves/meltCurve_Q9H832_UBE2Z.pdf")</f>
        <v>Melting_Curves/meltCurve_Q9H832_UBE2Z.pdf</v>
      </c>
    </row>
    <row r="5354" spans="1:28" x14ac:dyDescent="0.25">
      <c r="A5354" t="s">
        <v>5358</v>
      </c>
      <c r="B5354">
        <v>0.99352677808782597</v>
      </c>
      <c r="C5354">
        <v>1.02474378955136</v>
      </c>
      <c r="D5354">
        <v>0.98976411337132497</v>
      </c>
      <c r="E5354">
        <v>0.89412515147635097</v>
      </c>
      <c r="F5354">
        <v>0.63259875816302003</v>
      </c>
      <c r="G5354">
        <v>0.56064014513039095</v>
      </c>
      <c r="H5354">
        <v>0.179374197310747</v>
      </c>
      <c r="I5354">
        <v>0.12401949479909299</v>
      </c>
      <c r="J5354">
        <v>7.2863961044895897E-2</v>
      </c>
      <c r="K5354">
        <v>4.7808633042873E-2</v>
      </c>
      <c r="L5354">
        <v>867.64172206556498</v>
      </c>
      <c r="M5354">
        <v>15.4099359729121</v>
      </c>
      <c r="N5354">
        <v>56.304030095132198</v>
      </c>
      <c r="O5354">
        <v>55.381435386215699</v>
      </c>
      <c r="P5354">
        <v>-6.9569069805179906E-2</v>
      </c>
      <c r="Q5354">
        <v>0</v>
      </c>
      <c r="R5354">
        <v>0.98387768015721899</v>
      </c>
      <c r="S5354" t="s">
        <v>11639</v>
      </c>
      <c r="T5354" t="s">
        <v>12568</v>
      </c>
      <c r="U5354" t="s">
        <v>12568</v>
      </c>
      <c r="V5354" t="s">
        <v>12568</v>
      </c>
      <c r="W5354" t="s">
        <v>17871</v>
      </c>
      <c r="X5354">
        <v>1</v>
      </c>
      <c r="Y5354" t="s">
        <v>23965</v>
      </c>
      <c r="Z5354" t="s">
        <v>30224</v>
      </c>
      <c r="AA5354">
        <v>0.56030300867859117</v>
      </c>
      <c r="AB5354" t="str">
        <f>HYPERLINK("Melting_Curves/meltCurve_Q9H840_GEMIN7.pdf", "Melting_Curves/meltCurve_Q9H840_GEMIN7.pdf")</f>
        <v>Melting_Curves/meltCurve_Q9H840_GEMIN7.pdf</v>
      </c>
    </row>
    <row r="5355" spans="1:28" x14ac:dyDescent="0.25">
      <c r="A5355" t="s">
        <v>5359</v>
      </c>
      <c r="B5355">
        <v>0.99352677808782597</v>
      </c>
      <c r="C5355">
        <v>0.91782213925459799</v>
      </c>
      <c r="D5355">
        <v>0.84980170743863004</v>
      </c>
      <c r="E5355">
        <v>0.37569535079877298</v>
      </c>
      <c r="F5355">
        <v>0.31162129282913698</v>
      </c>
      <c r="G5355">
        <v>0.177232414406859</v>
      </c>
      <c r="H5355">
        <v>0.12331954204394401</v>
      </c>
      <c r="I5355">
        <v>0.11586052924974399</v>
      </c>
      <c r="J5355">
        <v>0.106807792562956</v>
      </c>
      <c r="K5355">
        <v>7.4057851177049494E-2</v>
      </c>
      <c r="L5355">
        <v>982.31494791328203</v>
      </c>
      <c r="M5355">
        <v>20.1349953189522</v>
      </c>
      <c r="N5355">
        <v>49.374877795641098</v>
      </c>
      <c r="O5355">
        <v>48.312885178066097</v>
      </c>
      <c r="P5355">
        <v>-9.3079549831158501E-2</v>
      </c>
      <c r="Q5355">
        <v>0.106670164087384</v>
      </c>
      <c r="R5355">
        <v>0.98900155491719299</v>
      </c>
      <c r="S5355" t="s">
        <v>11640</v>
      </c>
      <c r="T5355" t="s">
        <v>12568</v>
      </c>
      <c r="U5355" t="s">
        <v>12568</v>
      </c>
      <c r="V5355" t="s">
        <v>12568</v>
      </c>
      <c r="W5355" t="s">
        <v>17872</v>
      </c>
      <c r="X5355">
        <v>7</v>
      </c>
      <c r="Y5355" t="s">
        <v>23966</v>
      </c>
      <c r="Z5355" t="s">
        <v>30225</v>
      </c>
      <c r="AA5355">
        <v>0.38067910224816021</v>
      </c>
      <c r="AB5355" t="str">
        <f>HYPERLINK("Melting_Curves/meltCurve_Q9H845_ACAD9.pdf", "Melting_Curves/meltCurve_Q9H845_ACAD9.pdf")</f>
        <v>Melting_Curves/meltCurve_Q9H845_ACAD9.pdf</v>
      </c>
    </row>
    <row r="5356" spans="1:28" x14ac:dyDescent="0.25">
      <c r="A5356" t="s">
        <v>5360</v>
      </c>
      <c r="B5356">
        <v>0.99352677808782597</v>
      </c>
      <c r="C5356">
        <v>0.90337744545921195</v>
      </c>
      <c r="D5356">
        <v>0.80474178531900598</v>
      </c>
      <c r="E5356">
        <v>0.54434490373831801</v>
      </c>
      <c r="F5356">
        <v>0.43653044106198202</v>
      </c>
      <c r="G5356">
        <v>0.28237806728473802</v>
      </c>
      <c r="H5356">
        <v>0.12696532597127799</v>
      </c>
      <c r="I5356">
        <v>0.117604221747601</v>
      </c>
      <c r="J5356">
        <v>9.4572177676130395E-2</v>
      </c>
      <c r="K5356">
        <v>7.1238676898663505E-2</v>
      </c>
      <c r="L5356">
        <v>600.88730033587797</v>
      </c>
      <c r="M5356">
        <v>11.7523534550535</v>
      </c>
      <c r="N5356">
        <v>51.422959529105597</v>
      </c>
      <c r="O5356">
        <v>49.716088757117198</v>
      </c>
      <c r="P5356">
        <v>-5.7193003761569501E-2</v>
      </c>
      <c r="Q5356">
        <v>3.2476557091865303E-2</v>
      </c>
      <c r="R5356">
        <v>0.99617140042833197</v>
      </c>
      <c r="S5356" t="s">
        <v>11641</v>
      </c>
      <c r="T5356" t="s">
        <v>12568</v>
      </c>
      <c r="U5356" t="s">
        <v>12568</v>
      </c>
      <c r="V5356" t="s">
        <v>12568</v>
      </c>
      <c r="W5356" t="s">
        <v>17873</v>
      </c>
      <c r="X5356">
        <v>3</v>
      </c>
      <c r="Y5356" t="s">
        <v>23967</v>
      </c>
      <c r="Z5356" t="s">
        <v>30226</v>
      </c>
      <c r="AA5356">
        <v>0.42363460362805028</v>
      </c>
      <c r="AB5356" t="str">
        <f>HYPERLINK("Melting_Curves/meltCurve_Q9H857_2_NT5DC2.pdf", "Melting_Curves/meltCurve_Q9H857_2_NT5DC2.pdf")</f>
        <v>Melting_Curves/meltCurve_Q9H857_2_NT5DC2.pdf</v>
      </c>
    </row>
    <row r="5357" spans="1:28" x14ac:dyDescent="0.25">
      <c r="A5357" t="s">
        <v>5361</v>
      </c>
      <c r="B5357">
        <v>0.99352677808782597</v>
      </c>
      <c r="C5357">
        <v>0.92956621447419696</v>
      </c>
      <c r="D5357">
        <v>0.98896322313266705</v>
      </c>
      <c r="E5357">
        <v>0.869931021034</v>
      </c>
      <c r="F5357">
        <v>0.77637364129052</v>
      </c>
      <c r="G5357">
        <v>0.75830230259601195</v>
      </c>
      <c r="H5357">
        <v>0.63213052687029203</v>
      </c>
      <c r="I5357">
        <v>0.60011750180993995</v>
      </c>
      <c r="J5357">
        <v>0.61408457227645397</v>
      </c>
      <c r="K5357">
        <v>0.49618066309152198</v>
      </c>
      <c r="L5357">
        <v>452.519045218575</v>
      </c>
      <c r="M5357">
        <v>7.7247113391625</v>
      </c>
      <c r="O5357">
        <v>55.042867833137301</v>
      </c>
      <c r="P5357">
        <v>-2.1172560572335401E-2</v>
      </c>
      <c r="Q5357">
        <v>0.397311554934486</v>
      </c>
      <c r="R5357">
        <v>0.96136168218887097</v>
      </c>
      <c r="S5357" t="s">
        <v>11642</v>
      </c>
      <c r="T5357" t="s">
        <v>12568</v>
      </c>
      <c r="U5357" t="s">
        <v>12568</v>
      </c>
      <c r="V5357" t="s">
        <v>12568</v>
      </c>
      <c r="W5357" t="s">
        <v>17874</v>
      </c>
      <c r="X5357">
        <v>4</v>
      </c>
      <c r="Y5357" t="s">
        <v>23968</v>
      </c>
      <c r="Z5357" t="s">
        <v>30227</v>
      </c>
      <c r="AA5357">
        <v>0.76874368070184018</v>
      </c>
      <c r="AB5357" t="str">
        <f>HYPERLINK("Melting_Curves/meltCurve_Q9H869_7_YY1AP1.pdf", "Melting_Curves/meltCurve_Q9H869_7_YY1AP1.pdf")</f>
        <v>Melting_Curves/meltCurve_Q9H869_7_YY1AP1.pdf</v>
      </c>
    </row>
    <row r="5358" spans="1:28" x14ac:dyDescent="0.25">
      <c r="A5358" t="s">
        <v>5362</v>
      </c>
      <c r="B5358">
        <v>0.99352677808782597</v>
      </c>
      <c r="C5358">
        <v>1.00654836802645</v>
      </c>
      <c r="D5358">
        <v>1.02932001731069</v>
      </c>
      <c r="E5358">
        <v>1.1358082353846599</v>
      </c>
      <c r="F5358">
        <v>1.01542813576707</v>
      </c>
      <c r="G5358">
        <v>0.99418218505711597</v>
      </c>
      <c r="H5358">
        <v>1.1494074487477799</v>
      </c>
      <c r="I5358">
        <v>1.3893537713461299</v>
      </c>
      <c r="J5358">
        <v>1.32675900475613</v>
      </c>
      <c r="K5358">
        <v>1.10424367903093</v>
      </c>
      <c r="L5358">
        <v>15000</v>
      </c>
      <c r="M5358">
        <v>246.08773310971</v>
      </c>
      <c r="O5358">
        <v>60.949845625646603</v>
      </c>
      <c r="P5358">
        <v>0.27601855977245099</v>
      </c>
      <c r="Q5358">
        <v>1.2734518843329601</v>
      </c>
      <c r="R5358">
        <v>0.64171534067847702</v>
      </c>
      <c r="S5358" t="s">
        <v>11643</v>
      </c>
      <c r="T5358" t="s">
        <v>12568</v>
      </c>
      <c r="U5358" t="s">
        <v>12568</v>
      </c>
      <c r="V5358" t="s">
        <v>12568</v>
      </c>
      <c r="W5358" t="s">
        <v>17875</v>
      </c>
      <c r="X5358">
        <v>3</v>
      </c>
      <c r="Y5358" t="s">
        <v>23969</v>
      </c>
      <c r="Z5358" t="s">
        <v>30228</v>
      </c>
      <c r="AA5358">
        <v>1.0824258420703039</v>
      </c>
      <c r="AB5358" t="str">
        <f>HYPERLINK("Melting_Curves/meltCurve_Q9H875_PRKRIP1.pdf", "Melting_Curves/meltCurve_Q9H875_PRKRIP1.pdf")</f>
        <v>Melting_Curves/meltCurve_Q9H875_PRKRIP1.pdf</v>
      </c>
    </row>
    <row r="5359" spans="1:28" x14ac:dyDescent="0.25">
      <c r="A5359" t="s">
        <v>5363</v>
      </c>
      <c r="B5359">
        <v>0.99352677808782597</v>
      </c>
      <c r="C5359">
        <v>0.99996333698990802</v>
      </c>
      <c r="D5359">
        <v>1.06462546285561</v>
      </c>
      <c r="E5359">
        <v>1.2413741893560499</v>
      </c>
      <c r="F5359">
        <v>1.14543065966459</v>
      </c>
      <c r="G5359">
        <v>1.0949913369923401</v>
      </c>
      <c r="H5359">
        <v>0.98070564967431795</v>
      </c>
      <c r="I5359">
        <v>1.0813956761718699</v>
      </c>
      <c r="J5359">
        <v>1.15205117399985</v>
      </c>
      <c r="K5359">
        <v>1.0018101994250399</v>
      </c>
      <c r="L5359">
        <v>11271.774122946201</v>
      </c>
      <c r="M5359">
        <v>245.65032042991501</v>
      </c>
      <c r="O5359">
        <v>45.882382990917698</v>
      </c>
      <c r="P5359">
        <v>0.13341913977106201</v>
      </c>
      <c r="Q5359">
        <v>1.09967975223574</v>
      </c>
      <c r="R5359">
        <v>0.25281185489722002</v>
      </c>
      <c r="S5359" t="s">
        <v>11644</v>
      </c>
      <c r="T5359" t="s">
        <v>12568</v>
      </c>
      <c r="U5359" t="s">
        <v>12568</v>
      </c>
      <c r="V5359" t="s">
        <v>12568</v>
      </c>
      <c r="W5359" t="s">
        <v>17876</v>
      </c>
      <c r="X5359">
        <v>9</v>
      </c>
      <c r="Y5359" t="s">
        <v>23970</v>
      </c>
      <c r="Z5359" t="s">
        <v>30229</v>
      </c>
      <c r="AA5359">
        <v>1.08011611699165</v>
      </c>
      <c r="AB5359" t="str">
        <f>HYPERLINK("Melting_Curves/meltCurve_Q9H8G2_CAAP1.pdf", "Melting_Curves/meltCurve_Q9H8G2_CAAP1.pdf")</f>
        <v>Melting_Curves/meltCurve_Q9H8G2_CAAP1.pdf</v>
      </c>
    </row>
    <row r="5360" spans="1:28" x14ac:dyDescent="0.25">
      <c r="A5360" t="s">
        <v>5364</v>
      </c>
      <c r="B5360">
        <v>0.99352677808782597</v>
      </c>
      <c r="C5360">
        <v>1.0405350161970901</v>
      </c>
      <c r="D5360">
        <v>1.0387498874247401</v>
      </c>
      <c r="E5360">
        <v>0.77495616873522699</v>
      </c>
      <c r="F5360">
        <v>0.62045799993919903</v>
      </c>
      <c r="G5360">
        <v>0.32117687371106401</v>
      </c>
      <c r="H5360">
        <v>0.12325802398255099</v>
      </c>
      <c r="I5360">
        <v>9.3764471112412595E-2</v>
      </c>
      <c r="J5360">
        <v>7.9761596488604897E-2</v>
      </c>
      <c r="K5360">
        <v>5.6727409916857298E-2</v>
      </c>
      <c r="L5360">
        <v>1015.55034262027</v>
      </c>
      <c r="M5360">
        <v>18.804551557524899</v>
      </c>
      <c r="N5360">
        <v>54.281908062152397</v>
      </c>
      <c r="O5360">
        <v>53.405931394272898</v>
      </c>
      <c r="P5360">
        <v>-8.4011931315369201E-2</v>
      </c>
      <c r="Q5360">
        <v>4.56461562356398E-2</v>
      </c>
      <c r="R5360">
        <v>0.99296852588761697</v>
      </c>
      <c r="S5360" t="s">
        <v>11645</v>
      </c>
      <c r="T5360" t="s">
        <v>12568</v>
      </c>
      <c r="U5360" t="s">
        <v>12568</v>
      </c>
      <c r="V5360" t="s">
        <v>12568</v>
      </c>
      <c r="W5360" t="s">
        <v>17877</v>
      </c>
      <c r="X5360">
        <v>4</v>
      </c>
      <c r="Y5360" t="s">
        <v>23971</v>
      </c>
      <c r="Z5360" t="s">
        <v>30230</v>
      </c>
      <c r="AA5360">
        <v>0.50547937732158221</v>
      </c>
      <c r="AB5360" t="str">
        <f>HYPERLINK("Melting_Curves/meltCurve_Q9H8H0_NOL11.pdf", "Melting_Curves/meltCurve_Q9H8H0_NOL11.pdf")</f>
        <v>Melting_Curves/meltCurve_Q9H8H0_NOL11.pdf</v>
      </c>
    </row>
    <row r="5361" spans="1:28" x14ac:dyDescent="0.25">
      <c r="A5361" t="s">
        <v>5365</v>
      </c>
      <c r="B5361">
        <v>0.99352677808782597</v>
      </c>
      <c r="C5361">
        <v>1.01037622524347</v>
      </c>
      <c r="D5361">
        <v>0.94101568782201706</v>
      </c>
      <c r="E5361">
        <v>0.731617333228061</v>
      </c>
      <c r="F5361">
        <v>0.59301838760799896</v>
      </c>
      <c r="G5361">
        <v>0.44665436290209698</v>
      </c>
      <c r="H5361">
        <v>0.29682064634772098</v>
      </c>
      <c r="I5361">
        <v>0.20446572409045499</v>
      </c>
      <c r="J5361">
        <v>0.124270800210231</v>
      </c>
      <c r="K5361">
        <v>6.8673042313769306E-2</v>
      </c>
      <c r="L5361">
        <v>603.76976122471694</v>
      </c>
      <c r="M5361">
        <v>10.8832447553592</v>
      </c>
      <c r="N5361">
        <v>55.476999256909401</v>
      </c>
      <c r="O5361">
        <v>53.702543743494601</v>
      </c>
      <c r="P5361">
        <v>-5.0682285363400602E-2</v>
      </c>
      <c r="Q5361">
        <v>0</v>
      </c>
      <c r="R5361">
        <v>0.99324594913984199</v>
      </c>
      <c r="S5361" t="s">
        <v>11646</v>
      </c>
      <c r="T5361" t="s">
        <v>12568</v>
      </c>
      <c r="U5361" t="s">
        <v>12568</v>
      </c>
      <c r="V5361" t="s">
        <v>12568</v>
      </c>
      <c r="W5361" t="s">
        <v>17878</v>
      </c>
      <c r="X5361">
        <v>6</v>
      </c>
      <c r="Y5361" t="s">
        <v>23972</v>
      </c>
      <c r="Z5361" t="s">
        <v>30231</v>
      </c>
      <c r="AA5361">
        <v>0.53897014991646208</v>
      </c>
      <c r="AB5361" t="str">
        <f>HYPERLINK("Melting_Curves/meltCurve_Q9H8K7_C10orf88.pdf", "Melting_Curves/meltCurve_Q9H8K7_C10orf88.pdf")</f>
        <v>Melting_Curves/meltCurve_Q9H8K7_C10orf88.pdf</v>
      </c>
    </row>
    <row r="5362" spans="1:28" x14ac:dyDescent="0.25">
      <c r="A5362" t="s">
        <v>5366</v>
      </c>
      <c r="B5362">
        <v>0.99352677808782597</v>
      </c>
      <c r="C5362">
        <v>1.01477044055614</v>
      </c>
      <c r="D5362">
        <v>1.00314926898822</v>
      </c>
      <c r="E5362">
        <v>0.64837550738862204</v>
      </c>
      <c r="F5362">
        <v>0.56830994175028404</v>
      </c>
      <c r="G5362">
        <v>0.21816518877044599</v>
      </c>
      <c r="H5362">
        <v>0.136610713339955</v>
      </c>
      <c r="I5362">
        <v>0.14773517837376399</v>
      </c>
      <c r="J5362">
        <v>9.4998113188628996E-2</v>
      </c>
      <c r="K5362">
        <v>5.2114509789116102E-2</v>
      </c>
      <c r="L5362">
        <v>947.68183749784998</v>
      </c>
      <c r="M5362">
        <v>18.0376634577316</v>
      </c>
      <c r="N5362">
        <v>52.992021329150496</v>
      </c>
      <c r="O5362">
        <v>51.906077033595999</v>
      </c>
      <c r="P5362">
        <v>-8.0673802126383407E-2</v>
      </c>
      <c r="Q5362">
        <v>7.1441908183514799E-2</v>
      </c>
      <c r="R5362">
        <v>0.98532759438481199</v>
      </c>
      <c r="S5362" t="s">
        <v>11647</v>
      </c>
      <c r="T5362" t="s">
        <v>12568</v>
      </c>
      <c r="U5362" t="s">
        <v>12568</v>
      </c>
      <c r="V5362" t="s">
        <v>12568</v>
      </c>
      <c r="W5362" t="s">
        <v>17879</v>
      </c>
      <c r="X5362">
        <v>3</v>
      </c>
      <c r="Y5362" t="s">
        <v>23973</v>
      </c>
      <c r="Z5362" t="s">
        <v>30232</v>
      </c>
      <c r="AA5362">
        <v>0.47482526744935322</v>
      </c>
      <c r="AB5362" t="str">
        <f>HYPERLINK("Melting_Curves/meltCurve_Q9H8M7_FAM188A.pdf", "Melting_Curves/meltCurve_Q9H8M7_FAM188A.pdf")</f>
        <v>Melting_Curves/meltCurve_Q9H8M7_FAM188A.pdf</v>
      </c>
    </row>
    <row r="5363" spans="1:28" x14ac:dyDescent="0.25">
      <c r="A5363" t="s">
        <v>5367</v>
      </c>
      <c r="B5363">
        <v>0.99352677808782597</v>
      </c>
      <c r="C5363">
        <v>1.00052811013703</v>
      </c>
      <c r="D5363">
        <v>1.04521459253538</v>
      </c>
      <c r="E5363">
        <v>1.0148469447897901</v>
      </c>
      <c r="F5363">
        <v>0.88486804863669399</v>
      </c>
      <c r="G5363">
        <v>0.81975715184034703</v>
      </c>
      <c r="H5363">
        <v>0.39796220762470302</v>
      </c>
      <c r="I5363">
        <v>0.13435592891180001</v>
      </c>
      <c r="J5363">
        <v>0.102386411623813</v>
      </c>
      <c r="K5363">
        <v>8.9093705125415701E-2</v>
      </c>
      <c r="L5363">
        <v>1718.8540341064099</v>
      </c>
      <c r="M5363">
        <v>28.819390221459599</v>
      </c>
      <c r="N5363">
        <v>59.898213856141702</v>
      </c>
      <c r="O5363">
        <v>59.3573210250592</v>
      </c>
      <c r="P5363">
        <v>-0.11434955933165</v>
      </c>
      <c r="Q5363">
        <v>5.7935429234725701E-2</v>
      </c>
      <c r="R5363">
        <v>0.99163751062082806</v>
      </c>
      <c r="S5363" t="s">
        <v>11648</v>
      </c>
      <c r="T5363" t="s">
        <v>12568</v>
      </c>
      <c r="U5363" t="s">
        <v>12568</v>
      </c>
      <c r="V5363" t="s">
        <v>12568</v>
      </c>
      <c r="W5363" t="s">
        <v>17880</v>
      </c>
      <c r="X5363">
        <v>8</v>
      </c>
      <c r="Y5363" t="s">
        <v>23974</v>
      </c>
      <c r="Z5363" t="s">
        <v>30233</v>
      </c>
      <c r="AA5363">
        <v>0.68092497193838686</v>
      </c>
      <c r="AB5363" t="str">
        <f>HYPERLINK("Melting_Curves/meltCurve_Q9H8S9_MOB1A.pdf", "Melting_Curves/meltCurve_Q9H8S9_MOB1A.pdf")</f>
        <v>Melting_Curves/meltCurve_Q9H8S9_MOB1A.pdf</v>
      </c>
    </row>
    <row r="5364" spans="1:28" x14ac:dyDescent="0.25">
      <c r="A5364" t="s">
        <v>5368</v>
      </c>
      <c r="B5364">
        <v>0.99352677808782597</v>
      </c>
      <c r="C5364">
        <v>0.94490354690407996</v>
      </c>
      <c r="D5364">
        <v>0.92410926147180095</v>
      </c>
      <c r="E5364">
        <v>0.80236797193672504</v>
      </c>
      <c r="F5364">
        <v>0.74834339123128202</v>
      </c>
      <c r="G5364">
        <v>0.68219662579137097</v>
      </c>
      <c r="H5364">
        <v>0.54518787924711698</v>
      </c>
      <c r="I5364">
        <v>0.56832446399601799</v>
      </c>
      <c r="J5364">
        <v>0.58384137542982395</v>
      </c>
      <c r="K5364">
        <v>0.49850283243767901</v>
      </c>
      <c r="L5364">
        <v>538.68650329146999</v>
      </c>
      <c r="M5364">
        <v>10.150613941471899</v>
      </c>
      <c r="O5364">
        <v>51.133195158217902</v>
      </c>
      <c r="P5364">
        <v>-2.5628772088552201E-2</v>
      </c>
      <c r="Q5364">
        <v>0.48382252891264099</v>
      </c>
      <c r="R5364">
        <v>0.97813413725214005</v>
      </c>
      <c r="S5364" t="s">
        <v>11649</v>
      </c>
      <c r="T5364" t="s">
        <v>12568</v>
      </c>
      <c r="U5364" t="s">
        <v>12568</v>
      </c>
      <c r="V5364" t="s">
        <v>12568</v>
      </c>
      <c r="W5364" t="s">
        <v>17881</v>
      </c>
      <c r="X5364">
        <v>9</v>
      </c>
      <c r="Y5364" t="s">
        <v>23975</v>
      </c>
      <c r="Z5364" t="s">
        <v>30234</v>
      </c>
      <c r="AA5364">
        <v>0.72597952841695568</v>
      </c>
      <c r="AB5364" t="str">
        <f>HYPERLINK("Melting_Curves/meltCurve_Q9H8U3_ZFAND3.pdf", "Melting_Curves/meltCurve_Q9H8U3_ZFAND3.pdf")</f>
        <v>Melting_Curves/meltCurve_Q9H8U3_ZFAND3.pdf</v>
      </c>
    </row>
    <row r="5365" spans="1:28" x14ac:dyDescent="0.25">
      <c r="A5365" t="s">
        <v>5369</v>
      </c>
      <c r="B5365">
        <v>0.99352677808782597</v>
      </c>
      <c r="C5365">
        <v>0.85752958747206998</v>
      </c>
      <c r="D5365">
        <v>0.68321425149638404</v>
      </c>
      <c r="E5365">
        <v>0.33779379511091101</v>
      </c>
      <c r="F5365">
        <v>0.25533888942850802</v>
      </c>
      <c r="G5365">
        <v>0.16801997760074799</v>
      </c>
      <c r="H5365">
        <v>0.12417955141183901</v>
      </c>
      <c r="I5365">
        <v>0.108883633433053</v>
      </c>
      <c r="J5365">
        <v>0.116579268960251</v>
      </c>
      <c r="K5365">
        <v>8.5582270816534994E-2</v>
      </c>
      <c r="L5365">
        <v>811.00291014352194</v>
      </c>
      <c r="M5365">
        <v>17.095287794614801</v>
      </c>
      <c r="N5365">
        <v>48.093425992469498</v>
      </c>
      <c r="O5365">
        <v>46.805243737260199</v>
      </c>
      <c r="P5365">
        <v>-8.18544382626267E-2</v>
      </c>
      <c r="Q5365">
        <v>0.103615651400514</v>
      </c>
      <c r="R5365">
        <v>0.99660447763884097</v>
      </c>
      <c r="S5365" t="s">
        <v>11650</v>
      </c>
      <c r="T5365" t="s">
        <v>12568</v>
      </c>
      <c r="U5365" t="s">
        <v>12568</v>
      </c>
      <c r="V5365" t="s">
        <v>12568</v>
      </c>
      <c r="W5365" t="s">
        <v>17882</v>
      </c>
      <c r="X5365">
        <v>8</v>
      </c>
      <c r="Y5365" t="s">
        <v>23976</v>
      </c>
      <c r="Z5365" t="s">
        <v>30235</v>
      </c>
      <c r="AA5365">
        <v>0.34402164096385879</v>
      </c>
      <c r="AB5365" t="str">
        <f>HYPERLINK("Melting_Curves/meltCurve_Q9H8V3_ECT2.pdf", "Melting_Curves/meltCurve_Q9H8V3_ECT2.pdf")</f>
        <v>Melting_Curves/meltCurve_Q9H8V3_ECT2.pdf</v>
      </c>
    </row>
    <row r="5366" spans="1:28" x14ac:dyDescent="0.25">
      <c r="A5366" t="s">
        <v>5370</v>
      </c>
      <c r="B5366">
        <v>0.99352677808782597</v>
      </c>
      <c r="C5366">
        <v>0.93703060893838797</v>
      </c>
      <c r="D5366">
        <v>0.96209372346038602</v>
      </c>
      <c r="E5366">
        <v>0.54471047563896402</v>
      </c>
      <c r="F5366">
        <v>0.46462261085333501</v>
      </c>
      <c r="G5366">
        <v>0.248034734776515</v>
      </c>
      <c r="H5366">
        <v>0.15314550412518901</v>
      </c>
      <c r="I5366">
        <v>0.113701321309345</v>
      </c>
      <c r="J5366">
        <v>0.11107136874648101</v>
      </c>
      <c r="K5366">
        <v>0.106463339265209</v>
      </c>
      <c r="L5366">
        <v>850.37026715918205</v>
      </c>
      <c r="M5366">
        <v>16.637482446759599</v>
      </c>
      <c r="N5366">
        <v>51.781095684791801</v>
      </c>
      <c r="O5366">
        <v>50.390433315731897</v>
      </c>
      <c r="P5366">
        <v>-7.4561088261555497E-2</v>
      </c>
      <c r="Q5366">
        <v>9.6759333640916101E-2</v>
      </c>
      <c r="R5366">
        <v>0.98596170448190101</v>
      </c>
      <c r="S5366" t="s">
        <v>11651</v>
      </c>
      <c r="T5366" t="s">
        <v>12568</v>
      </c>
      <c r="U5366" t="s">
        <v>12568</v>
      </c>
      <c r="V5366" t="s">
        <v>12568</v>
      </c>
      <c r="W5366" t="s">
        <v>17883</v>
      </c>
      <c r="X5366">
        <v>5</v>
      </c>
      <c r="Y5366" t="s">
        <v>23977</v>
      </c>
      <c r="Z5366" t="s">
        <v>30236</v>
      </c>
      <c r="AA5366">
        <v>0.44877248683740151</v>
      </c>
      <c r="AB5366" t="str">
        <f>HYPERLINK("Melting_Curves/meltCurve_Q9H8W4_PLEKHF2.pdf", "Melting_Curves/meltCurve_Q9H8W4_PLEKHF2.pdf")</f>
        <v>Melting_Curves/meltCurve_Q9H8W4_PLEKHF2.pdf</v>
      </c>
    </row>
    <row r="5367" spans="1:28" x14ac:dyDescent="0.25">
      <c r="A5367" t="s">
        <v>5371</v>
      </c>
      <c r="B5367">
        <v>0.99352677808782597</v>
      </c>
      <c r="C5367">
        <v>0.95801438745948997</v>
      </c>
      <c r="D5367">
        <v>0.96271325228973204</v>
      </c>
      <c r="E5367">
        <v>0.322911768072769</v>
      </c>
      <c r="F5367">
        <v>0.228492258541205</v>
      </c>
      <c r="G5367">
        <v>0.17225254812044699</v>
      </c>
      <c r="H5367">
        <v>0.11738073108568201</v>
      </c>
      <c r="I5367">
        <v>0.12577902757474699</v>
      </c>
      <c r="J5367">
        <v>5.2720408678482697E-2</v>
      </c>
      <c r="K5367">
        <v>6.6233040560441103E-2</v>
      </c>
      <c r="L5367">
        <v>2035.11851034965</v>
      </c>
      <c r="M5367">
        <v>41.749979606599098</v>
      </c>
      <c r="N5367">
        <v>49.063673306093399</v>
      </c>
      <c r="O5367">
        <v>48.633947440817003</v>
      </c>
      <c r="P5367">
        <v>-0.189152814901907</v>
      </c>
      <c r="Q5367">
        <v>0.118636127923937</v>
      </c>
      <c r="R5367">
        <v>0.98674678022182905</v>
      </c>
      <c r="S5367" t="s">
        <v>11652</v>
      </c>
      <c r="T5367" t="s">
        <v>12568</v>
      </c>
      <c r="U5367" t="s">
        <v>12568</v>
      </c>
      <c r="V5367" t="s">
        <v>12568</v>
      </c>
      <c r="W5367" t="s">
        <v>17884</v>
      </c>
      <c r="X5367">
        <v>3</v>
      </c>
      <c r="Y5367" t="s">
        <v>23978</v>
      </c>
      <c r="Z5367" t="s">
        <v>30237</v>
      </c>
      <c r="AA5367">
        <v>0.37829170405388318</v>
      </c>
      <c r="AB5367" t="str">
        <f>HYPERLINK("Melting_Curves/meltCurve_Q9H8Y5_ANKZF1.pdf", "Melting_Curves/meltCurve_Q9H8Y5_ANKZF1.pdf")</f>
        <v>Melting_Curves/meltCurve_Q9H8Y5_ANKZF1.pdf</v>
      </c>
    </row>
    <row r="5368" spans="1:28" x14ac:dyDescent="0.25">
      <c r="A5368" t="s">
        <v>5372</v>
      </c>
      <c r="B5368">
        <v>0.99352677808782597</v>
      </c>
      <c r="C5368">
        <v>0.91588216540117895</v>
      </c>
      <c r="D5368">
        <v>0.91994005589793104</v>
      </c>
      <c r="E5368">
        <v>0.34349494870011199</v>
      </c>
      <c r="F5368">
        <v>0.28496679836323402</v>
      </c>
      <c r="G5368">
        <v>0.17338481700703401</v>
      </c>
      <c r="H5368">
        <v>0.14250762989624299</v>
      </c>
      <c r="I5368">
        <v>0.13393668049062599</v>
      </c>
      <c r="J5368">
        <v>0.123707174869603</v>
      </c>
      <c r="K5368">
        <v>9.3162991471597401E-2</v>
      </c>
      <c r="L5368">
        <v>1501.42734249466</v>
      </c>
      <c r="M5368">
        <v>30.8957251717347</v>
      </c>
      <c r="N5368">
        <v>49.120945770440201</v>
      </c>
      <c r="O5368">
        <v>48.3943728136747</v>
      </c>
      <c r="P5368">
        <v>-0.137185962230222</v>
      </c>
      <c r="Q5368">
        <v>0.14046489155751199</v>
      </c>
      <c r="R5368">
        <v>0.98420263230954097</v>
      </c>
      <c r="S5368" t="s">
        <v>11653</v>
      </c>
      <c r="T5368" t="s">
        <v>12568</v>
      </c>
      <c r="U5368" t="s">
        <v>12568</v>
      </c>
      <c r="V5368" t="s">
        <v>12568</v>
      </c>
      <c r="W5368" t="s">
        <v>17885</v>
      </c>
      <c r="X5368">
        <v>8</v>
      </c>
      <c r="Y5368" t="s">
        <v>23979</v>
      </c>
      <c r="Z5368" t="s">
        <v>30238</v>
      </c>
      <c r="AA5368">
        <v>0.39166805290434092</v>
      </c>
      <c r="AB5368" t="str">
        <f>HYPERLINK("Melting_Curves/meltCurve_Q9H8Y8_GORASP2.pdf", "Melting_Curves/meltCurve_Q9H8Y8_GORASP2.pdf")</f>
        <v>Melting_Curves/meltCurve_Q9H8Y8_GORASP2.pdf</v>
      </c>
    </row>
    <row r="5369" spans="1:28" x14ac:dyDescent="0.25">
      <c r="A5369" t="s">
        <v>5373</v>
      </c>
      <c r="B5369">
        <v>0.99352677808782597</v>
      </c>
      <c r="C5369">
        <v>0.89899903544670901</v>
      </c>
      <c r="D5369">
        <v>0.81528505818215302</v>
      </c>
      <c r="E5369">
        <v>0.56519676996968404</v>
      </c>
      <c r="F5369">
        <v>0.51080489286133901</v>
      </c>
      <c r="G5369">
        <v>0.26944158037383897</v>
      </c>
      <c r="H5369">
        <v>0.133501976951206</v>
      </c>
      <c r="I5369">
        <v>0.11916419919563</v>
      </c>
      <c r="J5369">
        <v>9.5355913676838003E-2</v>
      </c>
      <c r="K5369">
        <v>7.4740364822156402E-2</v>
      </c>
      <c r="L5369">
        <v>580.326249982337</v>
      </c>
      <c r="M5369">
        <v>11.1823839368917</v>
      </c>
      <c r="N5369">
        <v>52.015122972780297</v>
      </c>
      <c r="O5369">
        <v>50.319797200055099</v>
      </c>
      <c r="P5369">
        <v>-5.4874321798274998E-2</v>
      </c>
      <c r="Q5369">
        <v>1.2593224479200299E-2</v>
      </c>
      <c r="R5369">
        <v>0.99280339588430599</v>
      </c>
      <c r="S5369" t="s">
        <v>11654</v>
      </c>
      <c r="T5369" t="s">
        <v>12568</v>
      </c>
      <c r="U5369" t="s">
        <v>12568</v>
      </c>
      <c r="V5369" t="s">
        <v>12568</v>
      </c>
      <c r="W5369" t="s">
        <v>17886</v>
      </c>
      <c r="X5369">
        <v>4</v>
      </c>
      <c r="Y5369" t="s">
        <v>23980</v>
      </c>
      <c r="Z5369" t="s">
        <v>30239</v>
      </c>
      <c r="AA5369">
        <v>0.43740654452484279</v>
      </c>
      <c r="AB5369" t="str">
        <f>HYPERLINK("Melting_Curves/meltCurve_Q9H900_ZWILCH.pdf", "Melting_Curves/meltCurve_Q9H900_ZWILCH.pdf")</f>
        <v>Melting_Curves/meltCurve_Q9H900_ZWILCH.pdf</v>
      </c>
    </row>
    <row r="5370" spans="1:28" x14ac:dyDescent="0.25">
      <c r="A5370" t="s">
        <v>5374</v>
      </c>
      <c r="B5370">
        <v>0.99352677808782597</v>
      </c>
      <c r="C5370">
        <v>0.791198050042488</v>
      </c>
      <c r="D5370">
        <v>0.90390550518175095</v>
      </c>
      <c r="E5370">
        <v>0.97184689934397095</v>
      </c>
      <c r="F5370">
        <v>0.92778227633750299</v>
      </c>
      <c r="G5370">
        <v>0.91988389149471095</v>
      </c>
      <c r="H5370">
        <v>0.77427049709314999</v>
      </c>
      <c r="I5370">
        <v>0.93034312453418899</v>
      </c>
      <c r="J5370">
        <v>0.96779613204445702</v>
      </c>
      <c r="K5370">
        <v>0.88189681415340304</v>
      </c>
      <c r="L5370">
        <v>10108.266827986001</v>
      </c>
      <c r="M5370">
        <v>250</v>
      </c>
      <c r="O5370">
        <v>40.430479381713802</v>
      </c>
      <c r="P5370">
        <v>-0.15992416571602699</v>
      </c>
      <c r="Q5370">
        <v>0.89654702793349605</v>
      </c>
      <c r="R5370">
        <v>0.175641454766888</v>
      </c>
      <c r="S5370" t="s">
        <v>11655</v>
      </c>
      <c r="T5370" t="s">
        <v>12568</v>
      </c>
      <c r="U5370" t="s">
        <v>12568</v>
      </c>
      <c r="V5370" t="s">
        <v>12568</v>
      </c>
      <c r="W5370" t="s">
        <v>17887</v>
      </c>
      <c r="X5370">
        <v>18</v>
      </c>
      <c r="Y5370" t="s">
        <v>18832</v>
      </c>
      <c r="Z5370" t="s">
        <v>30240</v>
      </c>
      <c r="AA5370">
        <v>0.89808276663947761</v>
      </c>
      <c r="AB5370" t="str">
        <f>HYPERLINK("Melting_Curves/meltCurve_Q9H910_2_HN1L.pdf", "Melting_Curves/meltCurve_Q9H910_2_HN1L.pdf")</f>
        <v>Melting_Curves/meltCurve_Q9H910_2_HN1L.pdf</v>
      </c>
    </row>
    <row r="5371" spans="1:28" x14ac:dyDescent="0.25">
      <c r="A5371" t="s">
        <v>5375</v>
      </c>
      <c r="B5371">
        <v>0.99352677808782597</v>
      </c>
      <c r="C5371">
        <v>0.951896380177644</v>
      </c>
      <c r="D5371">
        <v>0.97100410970029905</v>
      </c>
      <c r="E5371">
        <v>0.62454813269853204</v>
      </c>
      <c r="F5371">
        <v>0.59161809936397203</v>
      </c>
      <c r="G5371">
        <v>0.32723271433920997</v>
      </c>
      <c r="H5371">
        <v>0.10570591444667</v>
      </c>
      <c r="I5371">
        <v>6.7372247737923399E-2</v>
      </c>
      <c r="J5371">
        <v>5.4568547569640198E-2</v>
      </c>
      <c r="K5371">
        <v>4.3463577010830499E-2</v>
      </c>
      <c r="L5371">
        <v>751.25688966498103</v>
      </c>
      <c r="M5371">
        <v>14.0551137358869</v>
      </c>
      <c r="N5371">
        <v>53.450789407114101</v>
      </c>
      <c r="O5371">
        <v>52.403630153799703</v>
      </c>
      <c r="P5371">
        <v>-6.7060902744821099E-2</v>
      </c>
      <c r="Q5371">
        <v>0</v>
      </c>
      <c r="R5371">
        <v>0.98503884890959303</v>
      </c>
      <c r="S5371" t="s">
        <v>11656</v>
      </c>
      <c r="T5371" t="s">
        <v>12568</v>
      </c>
      <c r="U5371" t="s">
        <v>12568</v>
      </c>
      <c r="V5371" t="s">
        <v>12568</v>
      </c>
      <c r="W5371" t="s">
        <v>17888</v>
      </c>
      <c r="X5371">
        <v>6</v>
      </c>
      <c r="Y5371" t="s">
        <v>23981</v>
      </c>
      <c r="Z5371" t="s">
        <v>30241</v>
      </c>
      <c r="AA5371">
        <v>0.47128815420107328</v>
      </c>
      <c r="AB5371" t="str">
        <f>HYPERLINK("Melting_Curves/meltCurve_Q9H944_MED20.pdf", "Melting_Curves/meltCurve_Q9H944_MED20.pdf")</f>
        <v>Melting_Curves/meltCurve_Q9H944_MED20.pdf</v>
      </c>
    </row>
    <row r="5372" spans="1:28" x14ac:dyDescent="0.25">
      <c r="A5372" t="s">
        <v>5376</v>
      </c>
      <c r="B5372">
        <v>0.99352677808782597</v>
      </c>
      <c r="C5372">
        <v>0.99993463118066495</v>
      </c>
      <c r="D5372">
        <v>0.84983915384880004</v>
      </c>
      <c r="E5372">
        <v>0.488319971223872</v>
      </c>
      <c r="F5372">
        <v>0.39456934065511301</v>
      </c>
      <c r="G5372">
        <v>0.25970310855301798</v>
      </c>
      <c r="H5372">
        <v>0.25674696291275101</v>
      </c>
      <c r="I5372">
        <v>0.25618015651136999</v>
      </c>
      <c r="J5372">
        <v>0.249513852303509</v>
      </c>
      <c r="K5372">
        <v>9.2846899089257001E-2</v>
      </c>
      <c r="L5372">
        <v>990.62386224712202</v>
      </c>
      <c r="M5372">
        <v>20.180731271635199</v>
      </c>
      <c r="N5372">
        <v>50.451129368053898</v>
      </c>
      <c r="O5372">
        <v>48.613238797490702</v>
      </c>
      <c r="P5372">
        <v>-8.1969821841641102E-2</v>
      </c>
      <c r="Q5372">
        <v>0.21019852018237101</v>
      </c>
      <c r="R5372">
        <v>0.97730856440895197</v>
      </c>
      <c r="S5372" t="s">
        <v>11657</v>
      </c>
      <c r="T5372" t="s">
        <v>12568</v>
      </c>
      <c r="U5372" t="s">
        <v>12568</v>
      </c>
      <c r="V5372" t="s">
        <v>12568</v>
      </c>
      <c r="W5372" t="s">
        <v>17889</v>
      </c>
      <c r="X5372">
        <v>6</v>
      </c>
      <c r="Y5372" t="s">
        <v>23982</v>
      </c>
      <c r="Z5372" t="s">
        <v>30242</v>
      </c>
      <c r="AA5372">
        <v>0.46030031431444163</v>
      </c>
      <c r="AB5372" t="str">
        <f>HYPERLINK("Melting_Curves/meltCurve_Q9H974_QTRTD1.pdf", "Melting_Curves/meltCurve_Q9H974_QTRTD1.pdf")</f>
        <v>Melting_Curves/meltCurve_Q9H974_QTRTD1.pdf</v>
      </c>
    </row>
    <row r="5373" spans="1:28" x14ac:dyDescent="0.25">
      <c r="A5373" t="s">
        <v>5377</v>
      </c>
      <c r="B5373">
        <v>0.99352677808782597</v>
      </c>
      <c r="C5373">
        <v>1.02319382762184</v>
      </c>
      <c r="D5373">
        <v>1.01676352666605</v>
      </c>
      <c r="E5373">
        <v>0.84868324038359999</v>
      </c>
      <c r="F5373">
        <v>0.73966082355391405</v>
      </c>
      <c r="G5373">
        <v>0.35934417487637099</v>
      </c>
      <c r="H5373">
        <v>0.124549238850704</v>
      </c>
      <c r="I5373">
        <v>9.5715775656433605E-2</v>
      </c>
      <c r="J5373">
        <v>6.6843728532820196E-2</v>
      </c>
      <c r="K5373">
        <v>3.2555290847686297E-2</v>
      </c>
      <c r="L5373">
        <v>1141.8400534138</v>
      </c>
      <c r="M5373">
        <v>20.686629630208699</v>
      </c>
      <c r="N5373">
        <v>55.355774966050298</v>
      </c>
      <c r="O5373">
        <v>54.688969616912402</v>
      </c>
      <c r="P5373">
        <v>-9.1843690549998205E-2</v>
      </c>
      <c r="Q5373">
        <v>2.8803893932771801E-2</v>
      </c>
      <c r="R5373">
        <v>0.99641243476049202</v>
      </c>
      <c r="S5373" t="s">
        <v>11658</v>
      </c>
      <c r="T5373" t="s">
        <v>12568</v>
      </c>
      <c r="U5373" t="s">
        <v>12568</v>
      </c>
      <c r="V5373" t="s">
        <v>12568</v>
      </c>
      <c r="W5373" t="s">
        <v>17890</v>
      </c>
      <c r="X5373">
        <v>5</v>
      </c>
      <c r="Y5373" t="s">
        <v>23983</v>
      </c>
      <c r="Z5373" t="s">
        <v>30243</v>
      </c>
      <c r="AA5373">
        <v>0.53300848060408856</v>
      </c>
      <c r="AB5373" t="str">
        <f>HYPERLINK("Melting_Curves/meltCurve_Q9H977_WDR54.pdf", "Melting_Curves/meltCurve_Q9H977_WDR54.pdf")</f>
        <v>Melting_Curves/meltCurve_Q9H977_WDR54.pdf</v>
      </c>
    </row>
    <row r="5374" spans="1:28" x14ac:dyDescent="0.25">
      <c r="A5374" t="s">
        <v>5378</v>
      </c>
      <c r="B5374">
        <v>0.99352677808782597</v>
      </c>
      <c r="C5374">
        <v>0.80959263293833905</v>
      </c>
      <c r="D5374">
        <v>1.03320075848285</v>
      </c>
      <c r="E5374">
        <v>1.1683018914840999</v>
      </c>
      <c r="F5374">
        <v>1.0781309217276001</v>
      </c>
      <c r="G5374">
        <v>1.2614601583985601</v>
      </c>
      <c r="H5374">
        <v>1.1762427138927301</v>
      </c>
      <c r="I5374">
        <v>1.3302510557446301</v>
      </c>
      <c r="J5374">
        <v>0.90172717158092597</v>
      </c>
      <c r="K5374">
        <v>0.77435303462886396</v>
      </c>
      <c r="L5374">
        <v>15000</v>
      </c>
      <c r="M5374">
        <v>223.620499749907</v>
      </c>
      <c r="O5374">
        <v>67.072559581862805</v>
      </c>
      <c r="P5374">
        <v>-0.18809836465584601</v>
      </c>
      <c r="Q5374">
        <v>0.77432767369173905</v>
      </c>
      <c r="R5374">
        <v>0.10481031561347701</v>
      </c>
      <c r="S5374" t="s">
        <v>11659</v>
      </c>
      <c r="T5374" t="s">
        <v>12568</v>
      </c>
      <c r="U5374" t="s">
        <v>12568</v>
      </c>
      <c r="V5374" t="s">
        <v>12568</v>
      </c>
      <c r="W5374" t="s">
        <v>17891</v>
      </c>
      <c r="X5374">
        <v>1</v>
      </c>
      <c r="Y5374" t="s">
        <v>23984</v>
      </c>
      <c r="Z5374" t="s">
        <v>30244</v>
      </c>
      <c r="AA5374">
        <v>0.97805196778256998</v>
      </c>
      <c r="AB5374" t="str">
        <f>HYPERLINK("Melting_Curves/meltCurve_Q9H992_MARCH7.pdf", "Melting_Curves/meltCurve_Q9H992_MARCH7.pdf")</f>
        <v>Melting_Curves/meltCurve_Q9H992_MARCH7.pdf</v>
      </c>
    </row>
    <row r="5375" spans="1:28" x14ac:dyDescent="0.25">
      <c r="A5375" t="s">
        <v>5379</v>
      </c>
      <c r="B5375">
        <v>0.99352677808782597</v>
      </c>
      <c r="C5375">
        <v>0.71317347625084704</v>
      </c>
      <c r="D5375">
        <v>0.59468442197637705</v>
      </c>
      <c r="E5375">
        <v>0.25554188677051798</v>
      </c>
      <c r="F5375">
        <v>0.17730511455027301</v>
      </c>
      <c r="G5375">
        <v>0.111654938775564</v>
      </c>
      <c r="H5375">
        <v>9.5418746279458497E-2</v>
      </c>
      <c r="I5375">
        <v>0.109661944065072</v>
      </c>
      <c r="J5375">
        <v>9.5327888712560399E-2</v>
      </c>
      <c r="K5375">
        <v>8.1051524693454002E-2</v>
      </c>
      <c r="L5375">
        <v>764.45392146228096</v>
      </c>
      <c r="M5375">
        <v>16.6124963114992</v>
      </c>
      <c r="N5375">
        <v>46.534878662763496</v>
      </c>
      <c r="O5375">
        <v>45.365506046585303</v>
      </c>
      <c r="P5375">
        <v>-8.3824632248525294E-2</v>
      </c>
      <c r="Q5375">
        <v>8.4426691124386999E-2</v>
      </c>
      <c r="R5375">
        <v>0.98608702390312297</v>
      </c>
      <c r="S5375" t="s">
        <v>11660</v>
      </c>
      <c r="T5375" t="s">
        <v>12568</v>
      </c>
      <c r="U5375" t="s">
        <v>12568</v>
      </c>
      <c r="V5375" t="s">
        <v>12568</v>
      </c>
      <c r="W5375" t="s">
        <v>17892</v>
      </c>
      <c r="X5375">
        <v>8</v>
      </c>
      <c r="Y5375" t="s">
        <v>23985</v>
      </c>
      <c r="Z5375" t="s">
        <v>30245</v>
      </c>
      <c r="AA5375">
        <v>0.28949876887013182</v>
      </c>
      <c r="AB5375" t="str">
        <f>HYPERLINK("Melting_Curves/meltCurve_Q9H993_C6orf211.pdf", "Melting_Curves/meltCurve_Q9H993_C6orf211.pdf")</f>
        <v>Melting_Curves/meltCurve_Q9H993_C6orf211.pdf</v>
      </c>
    </row>
    <row r="5376" spans="1:28" x14ac:dyDescent="0.25">
      <c r="A5376" t="s">
        <v>5380</v>
      </c>
      <c r="B5376">
        <v>0.99352677808782597</v>
      </c>
      <c r="C5376">
        <v>0.93619105196221397</v>
      </c>
      <c r="D5376">
        <v>0.95337762784244096</v>
      </c>
      <c r="E5376">
        <v>0.27150298258316802</v>
      </c>
      <c r="F5376">
        <v>0.19652669304907799</v>
      </c>
      <c r="G5376">
        <v>0.120122016041218</v>
      </c>
      <c r="H5376">
        <v>9.8478781493824497E-2</v>
      </c>
      <c r="I5376">
        <v>7.7621685195676804E-2</v>
      </c>
      <c r="J5376">
        <v>6.2963132014542206E-2</v>
      </c>
      <c r="K5376">
        <v>5.26979683148723E-2</v>
      </c>
      <c r="L5376">
        <v>2182.7643550630501</v>
      </c>
      <c r="M5376">
        <v>44.946937615858197</v>
      </c>
      <c r="N5376">
        <v>48.792544911794998</v>
      </c>
      <c r="O5376">
        <v>48.467300770240399</v>
      </c>
      <c r="P5376">
        <v>-0.209759853491889</v>
      </c>
      <c r="Q5376">
        <v>9.5245974750447396E-2</v>
      </c>
      <c r="R5376">
        <v>0.99010772208114795</v>
      </c>
      <c r="S5376" t="s">
        <v>11661</v>
      </c>
      <c r="T5376" t="s">
        <v>12568</v>
      </c>
      <c r="U5376" t="s">
        <v>12568</v>
      </c>
      <c r="V5376" t="s">
        <v>12568</v>
      </c>
      <c r="W5376" t="s">
        <v>17893</v>
      </c>
      <c r="X5376">
        <v>5</v>
      </c>
      <c r="Y5376" t="s">
        <v>23986</v>
      </c>
      <c r="Z5376" t="s">
        <v>30246</v>
      </c>
      <c r="AA5376">
        <v>0.35590004957679983</v>
      </c>
      <c r="AB5376" t="str">
        <f>HYPERLINK("Melting_Curves/meltCurve_Q9H999_PANK3.pdf", "Melting_Curves/meltCurve_Q9H999_PANK3.pdf")</f>
        <v>Melting_Curves/meltCurve_Q9H999_PANK3.pdf</v>
      </c>
    </row>
    <row r="5377" spans="1:28" x14ac:dyDescent="0.25">
      <c r="A5377" t="s">
        <v>5381</v>
      </c>
      <c r="B5377">
        <v>0.99352677808782597</v>
      </c>
      <c r="C5377">
        <v>0.95068511941916001</v>
      </c>
      <c r="D5377">
        <v>0.87974769675193398</v>
      </c>
      <c r="E5377">
        <v>0.61491173894079199</v>
      </c>
      <c r="F5377">
        <v>0.69147207072101002</v>
      </c>
      <c r="G5377">
        <v>0.52522372603517598</v>
      </c>
      <c r="H5377">
        <v>0.38801614580888</v>
      </c>
      <c r="I5377">
        <v>0.45013313910856101</v>
      </c>
      <c r="J5377">
        <v>0.39504311894746402</v>
      </c>
      <c r="K5377">
        <v>0.30559951025531201</v>
      </c>
      <c r="L5377">
        <v>518.17606360137904</v>
      </c>
      <c r="M5377">
        <v>9.9390722058802599</v>
      </c>
      <c r="N5377">
        <v>57.4749856232471</v>
      </c>
      <c r="O5377">
        <v>50.156450113612401</v>
      </c>
      <c r="P5377">
        <v>-3.4625368168668201E-2</v>
      </c>
      <c r="Q5377">
        <v>0.30141531479979</v>
      </c>
      <c r="R5377">
        <v>0.95271955314991497</v>
      </c>
      <c r="S5377" t="s">
        <v>11662</v>
      </c>
      <c r="T5377" t="s">
        <v>12568</v>
      </c>
      <c r="U5377" t="s">
        <v>12568</v>
      </c>
      <c r="V5377" t="s">
        <v>12568</v>
      </c>
      <c r="W5377" t="s">
        <v>17894</v>
      </c>
      <c r="X5377">
        <v>8</v>
      </c>
      <c r="Y5377" t="s">
        <v>23987</v>
      </c>
      <c r="Z5377" t="s">
        <v>30247</v>
      </c>
      <c r="AA5377">
        <v>0.61034336467372574</v>
      </c>
      <c r="AB5377" t="str">
        <f>HYPERLINK("Melting_Curves/meltCurve_Q9H9A5_2_CNOT10.pdf", "Melting_Curves/meltCurve_Q9H9A5_2_CNOT10.pdf")</f>
        <v>Melting_Curves/meltCurve_Q9H9A5_2_CNOT10.pdf</v>
      </c>
    </row>
    <row r="5378" spans="1:28" x14ac:dyDescent="0.25">
      <c r="A5378" t="s">
        <v>5382</v>
      </c>
      <c r="B5378">
        <v>0.99352677808782597</v>
      </c>
      <c r="C5378">
        <v>0.98898614627145898</v>
      </c>
      <c r="D5378">
        <v>0.94893245774921398</v>
      </c>
      <c r="E5378">
        <v>0.25747172837336602</v>
      </c>
      <c r="F5378">
        <v>0.18875029552717301</v>
      </c>
      <c r="G5378">
        <v>0.103302924621044</v>
      </c>
      <c r="H5378">
        <v>6.6164958920522501E-2</v>
      </c>
      <c r="I5378">
        <v>6.4347325973745803E-2</v>
      </c>
      <c r="J5378">
        <v>5.2622599591430501E-2</v>
      </c>
      <c r="K5378">
        <v>4.0351924643703303E-2</v>
      </c>
      <c r="L5378">
        <v>2179.1903067643402</v>
      </c>
      <c r="M5378">
        <v>44.880847426045797</v>
      </c>
      <c r="N5378">
        <v>48.743223812197797</v>
      </c>
      <c r="O5378">
        <v>48.458913780105597</v>
      </c>
      <c r="P5378">
        <v>-0.213120550944845</v>
      </c>
      <c r="Q5378">
        <v>7.9555981624917005E-2</v>
      </c>
      <c r="R5378">
        <v>0.99267495167059105</v>
      </c>
      <c r="S5378" t="s">
        <v>11663</v>
      </c>
      <c r="T5378" t="s">
        <v>12568</v>
      </c>
      <c r="U5378" t="s">
        <v>12568</v>
      </c>
      <c r="V5378" t="s">
        <v>12568</v>
      </c>
      <c r="W5378" t="s">
        <v>17895</v>
      </c>
      <c r="X5378">
        <v>17</v>
      </c>
      <c r="Y5378" t="s">
        <v>23988</v>
      </c>
      <c r="Z5378" t="s">
        <v>30248</v>
      </c>
      <c r="AA5378">
        <v>0.3444879432238756</v>
      </c>
      <c r="AB5378" t="str">
        <f>HYPERLINK("Melting_Curves/meltCurve_Q9H9A6_LRRC40.pdf", "Melting_Curves/meltCurve_Q9H9A6_LRRC40.pdf")</f>
        <v>Melting_Curves/meltCurve_Q9H9A6_LRRC40.pdf</v>
      </c>
    </row>
    <row r="5379" spans="1:28" x14ac:dyDescent="0.25">
      <c r="A5379" t="s">
        <v>5383</v>
      </c>
      <c r="B5379">
        <v>0.99352677808782597</v>
      </c>
      <c r="C5379">
        <v>1.0341636772246701</v>
      </c>
      <c r="D5379">
        <v>0.94876340741067999</v>
      </c>
      <c r="E5379">
        <v>0.819200069320137</v>
      </c>
      <c r="F5379">
        <v>0.78446110536288904</v>
      </c>
      <c r="G5379">
        <v>0.78206613213187604</v>
      </c>
      <c r="H5379">
        <v>0.38154544496388598</v>
      </c>
      <c r="I5379">
        <v>0.23957806569542101</v>
      </c>
      <c r="J5379">
        <v>0.12463968794616501</v>
      </c>
      <c r="K5379">
        <v>9.943158476168E-2</v>
      </c>
      <c r="L5379">
        <v>852.36000510939903</v>
      </c>
      <c r="M5379">
        <v>14.354801342369001</v>
      </c>
      <c r="N5379">
        <v>59.378042795229703</v>
      </c>
      <c r="O5379">
        <v>58.261362882070003</v>
      </c>
      <c r="P5379">
        <v>-6.1603965387874E-2</v>
      </c>
      <c r="Q5379">
        <v>0</v>
      </c>
      <c r="R5379">
        <v>0.96584878947603903</v>
      </c>
      <c r="S5379" t="s">
        <v>11664</v>
      </c>
      <c r="T5379" t="s">
        <v>12568</v>
      </c>
      <c r="U5379" t="s">
        <v>12568</v>
      </c>
      <c r="V5379" t="s">
        <v>12568</v>
      </c>
      <c r="W5379" t="s">
        <v>17896</v>
      </c>
      <c r="X5379">
        <v>4</v>
      </c>
      <c r="Y5379" t="s">
        <v>23989</v>
      </c>
      <c r="Z5379" t="s">
        <v>30249</v>
      </c>
      <c r="AA5379">
        <v>0.65473768564593271</v>
      </c>
      <c r="AB5379" t="str">
        <f>HYPERLINK("Melting_Curves/meltCurve_Q9H9A7_RMI1.pdf", "Melting_Curves/meltCurve_Q9H9A7_RMI1.pdf")</f>
        <v>Melting_Curves/meltCurve_Q9H9A7_RMI1.pdf</v>
      </c>
    </row>
    <row r="5380" spans="1:28" x14ac:dyDescent="0.25">
      <c r="A5380" t="s">
        <v>5384</v>
      </c>
      <c r="B5380">
        <v>0.99352677808782597</v>
      </c>
      <c r="C5380">
        <v>0.97141492955580799</v>
      </c>
      <c r="D5380">
        <v>0.90142410933385397</v>
      </c>
      <c r="E5380">
        <v>0.78454078422886897</v>
      </c>
      <c r="F5380">
        <v>0.70155834810316697</v>
      </c>
      <c r="G5380">
        <v>0.643976346657117</v>
      </c>
      <c r="H5380">
        <v>0.54401491588683304</v>
      </c>
      <c r="I5380">
        <v>0.63935870954359897</v>
      </c>
      <c r="J5380">
        <v>0.597504212474678</v>
      </c>
      <c r="K5380">
        <v>0.53581993467478495</v>
      </c>
      <c r="L5380">
        <v>721.17197665392098</v>
      </c>
      <c r="M5380">
        <v>14.3918316313384</v>
      </c>
      <c r="O5380">
        <v>49.172130206863798</v>
      </c>
      <c r="P5380">
        <v>-3.1811279247642099E-2</v>
      </c>
      <c r="Q5380">
        <v>0.56529717928493695</v>
      </c>
      <c r="R5380">
        <v>0.97035645520539804</v>
      </c>
      <c r="S5380" t="s">
        <v>11665</v>
      </c>
      <c r="T5380" t="s">
        <v>12568</v>
      </c>
      <c r="U5380" t="s">
        <v>12568</v>
      </c>
      <c r="V5380" t="s">
        <v>12568</v>
      </c>
      <c r="W5380" t="s">
        <v>17897</v>
      </c>
      <c r="X5380">
        <v>8</v>
      </c>
      <c r="Y5380" t="s">
        <v>23990</v>
      </c>
      <c r="Z5380" t="s">
        <v>30250</v>
      </c>
      <c r="AA5380">
        <v>0.7228907236801031</v>
      </c>
      <c r="AB5380" t="str">
        <f>HYPERLINK("Melting_Curves/meltCurve_Q9H9B1_EHMT1.pdf", "Melting_Curves/meltCurve_Q9H9B1_EHMT1.pdf")</f>
        <v>Melting_Curves/meltCurve_Q9H9B1_EHMT1.pdf</v>
      </c>
    </row>
    <row r="5381" spans="1:28" x14ac:dyDescent="0.25">
      <c r="A5381" t="s">
        <v>5385</v>
      </c>
      <c r="B5381">
        <v>0.99352677808782597</v>
      </c>
      <c r="C5381">
        <v>0.916208613183642</v>
      </c>
      <c r="D5381">
        <v>0.86597673671916597</v>
      </c>
      <c r="E5381">
        <v>0.42453512808510002</v>
      </c>
      <c r="F5381">
        <v>0.367015184408855</v>
      </c>
      <c r="G5381">
        <v>0.27660833147324598</v>
      </c>
      <c r="H5381">
        <v>0.19246615914508799</v>
      </c>
      <c r="I5381">
        <v>0.21241652979329501</v>
      </c>
      <c r="J5381">
        <v>0.19795904580616699</v>
      </c>
      <c r="K5381">
        <v>0.178094520370596</v>
      </c>
      <c r="L5381">
        <v>1021.66225578944</v>
      </c>
      <c r="M5381">
        <v>21.019171236157501</v>
      </c>
      <c r="N5381">
        <v>49.8339684371171</v>
      </c>
      <c r="O5381">
        <v>48.172680012760097</v>
      </c>
      <c r="P5381">
        <v>-8.7039261157897493E-2</v>
      </c>
      <c r="Q5381">
        <v>0.20209958624209601</v>
      </c>
      <c r="R5381">
        <v>0.98681892481713596</v>
      </c>
      <c r="S5381" t="s">
        <v>11666</v>
      </c>
      <c r="T5381" t="s">
        <v>12568</v>
      </c>
      <c r="U5381" t="s">
        <v>12568</v>
      </c>
      <c r="V5381" t="s">
        <v>12568</v>
      </c>
      <c r="W5381" t="s">
        <v>17898</v>
      </c>
      <c r="X5381">
        <v>8</v>
      </c>
      <c r="Y5381" t="s">
        <v>23991</v>
      </c>
      <c r="Z5381" t="s">
        <v>30251</v>
      </c>
      <c r="AA5381">
        <v>0.44112333458425279</v>
      </c>
      <c r="AB5381" t="str">
        <f>HYPERLINK("Melting_Curves/meltCurve_Q9H9C1_VIPAS39.pdf", "Melting_Curves/meltCurve_Q9H9C1_VIPAS39.pdf")</f>
        <v>Melting_Curves/meltCurve_Q9H9C1_VIPAS39.pdf</v>
      </c>
    </row>
    <row r="5382" spans="1:28" x14ac:dyDescent="0.25">
      <c r="A5382" t="s">
        <v>5386</v>
      </c>
      <c r="B5382">
        <v>0.99352677808782597</v>
      </c>
      <c r="C5382">
        <v>1.09225355333389</v>
      </c>
      <c r="D5382">
        <v>0.898956015976901</v>
      </c>
      <c r="E5382">
        <v>0.837771339570757</v>
      </c>
      <c r="F5382">
        <v>1.1625676225844499</v>
      </c>
      <c r="G5382">
        <v>0.45803480568731603</v>
      </c>
      <c r="H5382">
        <v>0.484945820627119</v>
      </c>
      <c r="I5382">
        <v>0.40290259501952402</v>
      </c>
      <c r="J5382">
        <v>0.35728001247207097</v>
      </c>
      <c r="K5382">
        <v>0.337596359517151</v>
      </c>
      <c r="L5382">
        <v>14126.7444893301</v>
      </c>
      <c r="M5382">
        <v>250</v>
      </c>
      <c r="N5382">
        <v>56.863435461621499</v>
      </c>
      <c r="O5382">
        <v>56.503361958015702</v>
      </c>
      <c r="P5382">
        <v>-0.66845451046363802</v>
      </c>
      <c r="Q5382">
        <v>0.39568116696842498</v>
      </c>
      <c r="R5382">
        <v>0.91158555408217501</v>
      </c>
      <c r="S5382" t="s">
        <v>11667</v>
      </c>
      <c r="T5382" t="s">
        <v>12568</v>
      </c>
      <c r="U5382" t="s">
        <v>12568</v>
      </c>
      <c r="V5382" t="s">
        <v>12568</v>
      </c>
      <c r="W5382" t="s">
        <v>17899</v>
      </c>
      <c r="X5382">
        <v>1</v>
      </c>
      <c r="Y5382" t="s">
        <v>23992</v>
      </c>
      <c r="Z5382" t="s">
        <v>30252</v>
      </c>
      <c r="AA5382">
        <v>0.72825701845052115</v>
      </c>
      <c r="AB5382" t="str">
        <f>HYPERLINK("Melting_Curves/meltCurve_Q9H9D4_ZNF408.pdf", "Melting_Curves/meltCurve_Q9H9D4_ZNF408.pdf")</f>
        <v>Melting_Curves/meltCurve_Q9H9D4_ZNF408.pdf</v>
      </c>
    </row>
    <row r="5383" spans="1:28" x14ac:dyDescent="0.25">
      <c r="A5383" t="s">
        <v>5387</v>
      </c>
      <c r="B5383">
        <v>0.99352677808782597</v>
      </c>
      <c r="C5383">
        <v>0.94982411866989003</v>
      </c>
      <c r="D5383">
        <v>0.56306388999129497</v>
      </c>
      <c r="E5383">
        <v>0.277199492995856</v>
      </c>
      <c r="F5383">
        <v>0.21019779510033701</v>
      </c>
      <c r="G5383">
        <v>0.13279628492526399</v>
      </c>
      <c r="H5383">
        <v>0.112138927095915</v>
      </c>
      <c r="I5383">
        <v>0.111167957889534</v>
      </c>
      <c r="J5383">
        <v>0.10332633585451299</v>
      </c>
      <c r="K5383">
        <v>8.5511885908001101E-2</v>
      </c>
      <c r="L5383">
        <v>1083.0805351731899</v>
      </c>
      <c r="M5383">
        <v>23.300722675008</v>
      </c>
      <c r="N5383">
        <v>47.009200245039104</v>
      </c>
      <c r="O5383">
        <v>46.1444074973057</v>
      </c>
      <c r="P5383">
        <v>-0.111741577377983</v>
      </c>
      <c r="Q5383">
        <v>0.11485066557847801</v>
      </c>
      <c r="R5383">
        <v>0.99128214459187503</v>
      </c>
      <c r="S5383" t="s">
        <v>11668</v>
      </c>
      <c r="T5383" t="s">
        <v>12568</v>
      </c>
      <c r="U5383" t="s">
        <v>12568</v>
      </c>
      <c r="V5383" t="s">
        <v>12568</v>
      </c>
      <c r="W5383" t="s">
        <v>17900</v>
      </c>
      <c r="X5383">
        <v>12</v>
      </c>
      <c r="Y5383" t="s">
        <v>23993</v>
      </c>
      <c r="Z5383" t="s">
        <v>30253</v>
      </c>
      <c r="AA5383">
        <v>0.31551741726927213</v>
      </c>
      <c r="AB5383" t="str">
        <f>HYPERLINK("Melting_Curves/meltCurve_Q9H9E3_COG4.pdf", "Melting_Curves/meltCurve_Q9H9E3_COG4.pdf")</f>
        <v>Melting_Curves/meltCurve_Q9H9E3_COG4.pdf</v>
      </c>
    </row>
    <row r="5384" spans="1:28" x14ac:dyDescent="0.25">
      <c r="A5384" t="s">
        <v>5388</v>
      </c>
      <c r="B5384">
        <v>0.99352677808782597</v>
      </c>
      <c r="C5384">
        <v>0.73151165448767397</v>
      </c>
      <c r="D5384">
        <v>0.46615480822080102</v>
      </c>
      <c r="E5384">
        <v>0.294246970725834</v>
      </c>
      <c r="F5384">
        <v>0.26510408215867498</v>
      </c>
      <c r="G5384">
        <v>0.15298790373506299</v>
      </c>
      <c r="H5384">
        <v>0.152826899414433</v>
      </c>
      <c r="I5384">
        <v>0.23070504663257199</v>
      </c>
      <c r="J5384">
        <v>8.8595442015220405E-2</v>
      </c>
      <c r="K5384">
        <v>6.8999235187778299E-2</v>
      </c>
      <c r="L5384">
        <v>778.17958837816195</v>
      </c>
      <c r="M5384">
        <v>17.2340208119527</v>
      </c>
      <c r="N5384">
        <v>46.036673868397102</v>
      </c>
      <c r="O5384">
        <v>44.558886454160699</v>
      </c>
      <c r="P5384">
        <v>-8.3089188353649604E-2</v>
      </c>
      <c r="Q5384">
        <v>0.140735654353667</v>
      </c>
      <c r="R5384">
        <v>0.96624719501888101</v>
      </c>
      <c r="S5384" t="s">
        <v>11669</v>
      </c>
      <c r="T5384" t="s">
        <v>12568</v>
      </c>
      <c r="U5384" t="s">
        <v>12568</v>
      </c>
      <c r="V5384" t="s">
        <v>12568</v>
      </c>
      <c r="W5384" t="s">
        <v>17901</v>
      </c>
      <c r="X5384">
        <v>4</v>
      </c>
      <c r="Y5384" t="s">
        <v>23994</v>
      </c>
      <c r="Z5384" t="s">
        <v>30254</v>
      </c>
      <c r="AA5384">
        <v>0.3084409484771734</v>
      </c>
      <c r="AB5384" t="str">
        <f>HYPERLINK("Melting_Curves/meltCurve_Q9H9F9_ACTR5.pdf", "Melting_Curves/meltCurve_Q9H9F9_ACTR5.pdf")</f>
        <v>Melting_Curves/meltCurve_Q9H9F9_ACTR5.pdf</v>
      </c>
    </row>
    <row r="5385" spans="1:28" x14ac:dyDescent="0.25">
      <c r="A5385" t="s">
        <v>5389</v>
      </c>
      <c r="B5385">
        <v>0.99352677808782597</v>
      </c>
      <c r="C5385">
        <v>1.00067127294111</v>
      </c>
      <c r="D5385">
        <v>1.0203621150084401</v>
      </c>
      <c r="E5385">
        <v>0.35580223276631701</v>
      </c>
      <c r="F5385">
        <v>0.26930572413589099</v>
      </c>
      <c r="G5385">
        <v>0.16053472541840699</v>
      </c>
      <c r="H5385">
        <v>9.8548321520855395E-2</v>
      </c>
      <c r="I5385">
        <v>7.6998370336910996E-2</v>
      </c>
      <c r="J5385">
        <v>6.7598080425939996E-2</v>
      </c>
      <c r="K5385">
        <v>4.6429530703204998E-2</v>
      </c>
      <c r="L5385">
        <v>2072.9306883071199</v>
      </c>
      <c r="M5385">
        <v>42.200612065595799</v>
      </c>
      <c r="N5385">
        <v>49.406157283916997</v>
      </c>
      <c r="O5385">
        <v>49.010950380978201</v>
      </c>
      <c r="P5385">
        <v>-0.191985547083734</v>
      </c>
      <c r="Q5385">
        <v>0.108128728689442</v>
      </c>
      <c r="R5385">
        <v>0.98110846554402598</v>
      </c>
      <c r="S5385" t="s">
        <v>11670</v>
      </c>
      <c r="T5385" t="s">
        <v>12568</v>
      </c>
      <c r="U5385" t="s">
        <v>12568</v>
      </c>
      <c r="V5385" t="s">
        <v>12568</v>
      </c>
      <c r="W5385" t="s">
        <v>17902</v>
      </c>
      <c r="X5385">
        <v>1</v>
      </c>
      <c r="Y5385" t="s">
        <v>23995</v>
      </c>
      <c r="Z5385" t="s">
        <v>30255</v>
      </c>
      <c r="AA5385">
        <v>0.38200357528672119</v>
      </c>
      <c r="AB5385" t="str">
        <f>HYPERLINK("Melting_Curves/meltCurve_Q9H9H4_VPS37B.pdf", "Melting_Curves/meltCurve_Q9H9H4_VPS37B.pdf")</f>
        <v>Melting_Curves/meltCurve_Q9H9H4_VPS37B.pdf</v>
      </c>
    </row>
    <row r="5386" spans="1:28" x14ac:dyDescent="0.25">
      <c r="A5386" t="s">
        <v>5390</v>
      </c>
      <c r="B5386">
        <v>0.99352677808782597</v>
      </c>
      <c r="C5386">
        <v>0.98140801476828099</v>
      </c>
      <c r="D5386">
        <v>1.0337792271383699</v>
      </c>
      <c r="E5386">
        <v>0.96178056749689</v>
      </c>
      <c r="F5386">
        <v>0.90911035505696103</v>
      </c>
      <c r="G5386">
        <v>0.85426322161627899</v>
      </c>
      <c r="H5386">
        <v>0.68082504869731397</v>
      </c>
      <c r="I5386">
        <v>0.78899958334092501</v>
      </c>
      <c r="J5386">
        <v>0.73944646688640003</v>
      </c>
      <c r="K5386">
        <v>0.681766692805576</v>
      </c>
      <c r="L5386">
        <v>1091.81038788605</v>
      </c>
      <c r="M5386">
        <v>19.611254142667001</v>
      </c>
      <c r="O5386">
        <v>55.103469689820301</v>
      </c>
      <c r="P5386">
        <v>-2.59589344164337E-2</v>
      </c>
      <c r="Q5386">
        <v>0.70825384219396703</v>
      </c>
      <c r="R5386">
        <v>0.91612238840303495</v>
      </c>
      <c r="S5386" t="s">
        <v>11671</v>
      </c>
      <c r="T5386" t="s">
        <v>12568</v>
      </c>
      <c r="U5386" t="s">
        <v>12568</v>
      </c>
      <c r="V5386" t="s">
        <v>12568</v>
      </c>
      <c r="W5386" t="s">
        <v>17903</v>
      </c>
      <c r="X5386">
        <v>3</v>
      </c>
      <c r="Y5386" t="s">
        <v>23996</v>
      </c>
      <c r="Z5386" t="s">
        <v>30256</v>
      </c>
      <c r="AA5386">
        <v>0.86457913803592334</v>
      </c>
      <c r="AB5386" t="str">
        <f>HYPERLINK("Melting_Curves/meltCurve_Q9H9J2_MRPL44.pdf", "Melting_Curves/meltCurve_Q9H9J2_MRPL44.pdf")</f>
        <v>Melting_Curves/meltCurve_Q9H9J2_MRPL44.pdf</v>
      </c>
    </row>
    <row r="5387" spans="1:28" x14ac:dyDescent="0.25">
      <c r="A5387" t="s">
        <v>5391</v>
      </c>
      <c r="B5387">
        <v>0.99352677808782597</v>
      </c>
      <c r="C5387">
        <v>0.97054436362858598</v>
      </c>
      <c r="D5387">
        <v>0.96782100275609095</v>
      </c>
      <c r="E5387">
        <v>0.92081935708652796</v>
      </c>
      <c r="F5387">
        <v>0.92051018587606204</v>
      </c>
      <c r="G5387">
        <v>0.83397943310823897</v>
      </c>
      <c r="H5387">
        <v>0.86543402369299105</v>
      </c>
      <c r="I5387">
        <v>0.921999198339301</v>
      </c>
      <c r="J5387">
        <v>0.75104105794778497</v>
      </c>
      <c r="K5387">
        <v>0.77639257006173601</v>
      </c>
      <c r="L5387">
        <v>246.08140578023901</v>
      </c>
      <c r="M5387">
        <v>2.2546629757938899</v>
      </c>
      <c r="O5387">
        <v>69.583072916201203</v>
      </c>
      <c r="P5387">
        <v>-8.64238479259688E-3</v>
      </c>
      <c r="Q5387">
        <v>0</v>
      </c>
      <c r="R5387">
        <v>0.76280267072130803</v>
      </c>
      <c r="S5387" t="s">
        <v>11672</v>
      </c>
      <c r="T5387" t="s">
        <v>12568</v>
      </c>
      <c r="U5387" t="s">
        <v>12568</v>
      </c>
      <c r="V5387" t="s">
        <v>12568</v>
      </c>
      <c r="W5387" t="s">
        <v>17904</v>
      </c>
      <c r="X5387">
        <v>4</v>
      </c>
      <c r="Y5387" t="s">
        <v>23997</v>
      </c>
      <c r="Z5387" t="s">
        <v>30257</v>
      </c>
      <c r="AA5387">
        <v>0.89438349763377734</v>
      </c>
      <c r="AB5387" t="str">
        <f>HYPERLINK("Melting_Curves/meltCurve_Q9H9R9_DBNDD1.pdf", "Melting_Curves/meltCurve_Q9H9R9_DBNDD1.pdf")</f>
        <v>Melting_Curves/meltCurve_Q9H9R9_DBNDD1.pdf</v>
      </c>
    </row>
    <row r="5388" spans="1:28" x14ac:dyDescent="0.25">
      <c r="A5388" t="s">
        <v>5392</v>
      </c>
      <c r="B5388">
        <v>0.99352677808782597</v>
      </c>
      <c r="C5388">
        <v>0.97609804583933901</v>
      </c>
      <c r="D5388">
        <v>0.86080055444654702</v>
      </c>
      <c r="E5388">
        <v>1.3340655930829399</v>
      </c>
      <c r="F5388">
        <v>1.08000911472692</v>
      </c>
      <c r="G5388">
        <v>0.54549677921836703</v>
      </c>
      <c r="H5388">
        <v>0.163483831260268</v>
      </c>
      <c r="I5388">
        <v>0.13012328567943601</v>
      </c>
      <c r="J5388">
        <v>9.7133165567583807E-2</v>
      </c>
      <c r="K5388">
        <v>7.23074987469189E-2</v>
      </c>
      <c r="L5388">
        <v>4848.2512600714599</v>
      </c>
      <c r="M5388">
        <v>85.105277446919004</v>
      </c>
      <c r="N5388">
        <v>57.1427981462286</v>
      </c>
      <c r="O5388">
        <v>56.936266226264301</v>
      </c>
      <c r="P5388">
        <v>-0.330793026589147</v>
      </c>
      <c r="Q5388">
        <v>0.114785055533698</v>
      </c>
      <c r="R5388">
        <v>0.93117514058802298</v>
      </c>
      <c r="S5388" t="s">
        <v>11673</v>
      </c>
      <c r="T5388" t="s">
        <v>12568</v>
      </c>
      <c r="U5388" t="s">
        <v>12568</v>
      </c>
      <c r="V5388" t="s">
        <v>12568</v>
      </c>
      <c r="W5388" t="s">
        <v>17905</v>
      </c>
      <c r="X5388">
        <v>11</v>
      </c>
      <c r="Y5388" t="s">
        <v>23998</v>
      </c>
      <c r="Z5388" t="s">
        <v>30258</v>
      </c>
      <c r="AA5388">
        <v>0.61621853022798112</v>
      </c>
      <c r="AB5388" t="str">
        <f>HYPERLINK("Melting_Curves/meltCurve_Q9H9T3_2_ELP3.pdf", "Melting_Curves/meltCurve_Q9H9T3_2_ELP3.pdf")</f>
        <v>Melting_Curves/meltCurve_Q9H9T3_2_ELP3.pdf</v>
      </c>
    </row>
    <row r="5389" spans="1:28" x14ac:dyDescent="0.25">
      <c r="A5389" t="s">
        <v>5393</v>
      </c>
      <c r="B5389">
        <v>0.99352677808782597</v>
      </c>
      <c r="C5389">
        <v>0.86039918443728702</v>
      </c>
      <c r="D5389">
        <v>0.85917926422540103</v>
      </c>
      <c r="E5389">
        <v>0.55309811957825095</v>
      </c>
      <c r="F5389">
        <v>0.40644995485237101</v>
      </c>
      <c r="G5389">
        <v>0.27834689261260998</v>
      </c>
      <c r="H5389">
        <v>0.151778843485606</v>
      </c>
      <c r="I5389">
        <v>0.13341484670307399</v>
      </c>
      <c r="J5389">
        <v>7.4345915277209101E-2</v>
      </c>
      <c r="K5389">
        <v>7.9463454801697003E-2</v>
      </c>
      <c r="L5389">
        <v>624.35231598950497</v>
      </c>
      <c r="M5389">
        <v>12.2314351581823</v>
      </c>
      <c r="N5389">
        <v>51.435441317672897</v>
      </c>
      <c r="O5389">
        <v>49.737988761941999</v>
      </c>
      <c r="P5389">
        <v>-5.8766180226074098E-2</v>
      </c>
      <c r="Q5389">
        <v>4.4345254527603399E-2</v>
      </c>
      <c r="R5389">
        <v>0.99197852362530303</v>
      </c>
      <c r="S5389" t="s">
        <v>11674</v>
      </c>
      <c r="T5389" t="s">
        <v>12568</v>
      </c>
      <c r="U5389" t="s">
        <v>12568</v>
      </c>
      <c r="V5389" t="s">
        <v>12568</v>
      </c>
      <c r="W5389" t="s">
        <v>17906</v>
      </c>
      <c r="X5389">
        <v>3</v>
      </c>
      <c r="Y5389" t="s">
        <v>23999</v>
      </c>
      <c r="Z5389" t="s">
        <v>30259</v>
      </c>
      <c r="AA5389">
        <v>0.42642482693716788</v>
      </c>
      <c r="AB5389" t="str">
        <f>HYPERLINK("Melting_Curves/meltCurve_Q9H9Y6_POLR1B.pdf", "Melting_Curves/meltCurve_Q9H9Y6_POLR1B.pdf")</f>
        <v>Melting_Curves/meltCurve_Q9H9Y6_POLR1B.pdf</v>
      </c>
    </row>
    <row r="5390" spans="1:28" x14ac:dyDescent="0.25">
      <c r="A5390" t="s">
        <v>5394</v>
      </c>
      <c r="B5390">
        <v>0.99352677808782597</v>
      </c>
      <c r="C5390">
        <v>0.89325351194429803</v>
      </c>
      <c r="D5390">
        <v>0.294241728281041</v>
      </c>
      <c r="E5390">
        <v>0.457799500347848</v>
      </c>
      <c r="F5390">
        <v>0.39172784137139599</v>
      </c>
      <c r="G5390">
        <v>0.21227026160686499</v>
      </c>
      <c r="H5390">
        <v>0.13205845296063101</v>
      </c>
      <c r="I5390">
        <v>0.11974747529893701</v>
      </c>
      <c r="J5390">
        <v>9.9398099643532301E-2</v>
      </c>
      <c r="K5390">
        <v>8.6568636610507704E-2</v>
      </c>
      <c r="L5390">
        <v>566.13669475580298</v>
      </c>
      <c r="M5390">
        <v>12.1734031938953</v>
      </c>
      <c r="N5390">
        <v>47.420181572490499</v>
      </c>
      <c r="O5390">
        <v>45.304438218109503</v>
      </c>
      <c r="P5390">
        <v>-6.0163669487717397E-2</v>
      </c>
      <c r="Q5390">
        <v>0.10458569265835201</v>
      </c>
      <c r="R5390">
        <v>0.86095430925473804</v>
      </c>
      <c r="S5390" t="s">
        <v>11675</v>
      </c>
      <c r="T5390" t="s">
        <v>12568</v>
      </c>
      <c r="U5390" t="s">
        <v>12568</v>
      </c>
      <c r="V5390" t="s">
        <v>12568</v>
      </c>
      <c r="W5390" t="s">
        <v>17907</v>
      </c>
      <c r="X5390">
        <v>4</v>
      </c>
      <c r="Y5390" t="s">
        <v>24000</v>
      </c>
      <c r="Z5390" t="s">
        <v>30260</v>
      </c>
      <c r="AA5390">
        <v>0.33680451546822648</v>
      </c>
      <c r="AB5390" t="str">
        <f>HYPERLINK("Melting_Curves/meltCurve_Q9HA47_3_UCK1.pdf", "Melting_Curves/meltCurve_Q9HA47_3_UCK1.pdf")</f>
        <v>Melting_Curves/meltCurve_Q9HA47_3_UCK1.pdf</v>
      </c>
    </row>
    <row r="5391" spans="1:28" x14ac:dyDescent="0.25">
      <c r="A5391" t="s">
        <v>5395</v>
      </c>
      <c r="B5391">
        <v>0.99352677808782597</v>
      </c>
      <c r="C5391">
        <v>0.99401851101790994</v>
      </c>
      <c r="D5391">
        <v>1.0193065447887499</v>
      </c>
      <c r="E5391">
        <v>0.92141858828746204</v>
      </c>
      <c r="F5391">
        <v>0.83831059031800603</v>
      </c>
      <c r="G5391">
        <v>0.69684125741528902</v>
      </c>
      <c r="H5391">
        <v>0.41343816891457102</v>
      </c>
      <c r="I5391">
        <v>0.17518818558188301</v>
      </c>
      <c r="J5391">
        <v>7.9181147283728701E-2</v>
      </c>
      <c r="K5391">
        <v>6.1256549156221599E-2</v>
      </c>
      <c r="L5391">
        <v>1051.65250473059</v>
      </c>
      <c r="M5391">
        <v>17.753686030013501</v>
      </c>
      <c r="N5391">
        <v>59.235727664340502</v>
      </c>
      <c r="O5391">
        <v>58.499511180729698</v>
      </c>
      <c r="P5391">
        <v>-7.5875039103280306E-2</v>
      </c>
      <c r="Q5391">
        <v>0</v>
      </c>
      <c r="R5391">
        <v>0.99303198292922001</v>
      </c>
      <c r="S5391" t="s">
        <v>11676</v>
      </c>
      <c r="T5391" t="s">
        <v>12568</v>
      </c>
      <c r="U5391" t="s">
        <v>12568</v>
      </c>
      <c r="V5391" t="s">
        <v>12568</v>
      </c>
      <c r="W5391" t="s">
        <v>17908</v>
      </c>
      <c r="X5391">
        <v>11</v>
      </c>
      <c r="Y5391" t="s">
        <v>24001</v>
      </c>
      <c r="Z5391" t="s">
        <v>30261</v>
      </c>
      <c r="AA5391">
        <v>0.65130510076908599</v>
      </c>
      <c r="AB5391" t="str">
        <f>HYPERLINK("Melting_Curves/meltCurve_Q9HA64_FN3KRP.pdf", "Melting_Curves/meltCurve_Q9HA64_FN3KRP.pdf")</f>
        <v>Melting_Curves/meltCurve_Q9HA64_FN3KRP.pdf</v>
      </c>
    </row>
    <row r="5392" spans="1:28" x14ac:dyDescent="0.25">
      <c r="A5392" t="s">
        <v>5396</v>
      </c>
      <c r="B5392">
        <v>0.99352677808782597</v>
      </c>
      <c r="C5392">
        <v>1.02635297766446</v>
      </c>
      <c r="D5392">
        <v>0.93067269674360698</v>
      </c>
      <c r="E5392">
        <v>0.51110372961244599</v>
      </c>
      <c r="F5392">
        <v>0.39616924272048598</v>
      </c>
      <c r="G5392">
        <v>0.23769855782667099</v>
      </c>
      <c r="H5392">
        <v>0.121871357301489</v>
      </c>
      <c r="I5392">
        <v>0.115391360199119</v>
      </c>
      <c r="J5392">
        <v>8.5624088453551003E-2</v>
      </c>
      <c r="K5392">
        <v>7.0473637718259596E-2</v>
      </c>
      <c r="L5392">
        <v>942.13964493967001</v>
      </c>
      <c r="M5392">
        <v>18.6394676009931</v>
      </c>
      <c r="N5392">
        <v>51.100542481992697</v>
      </c>
      <c r="O5392">
        <v>49.9744059338121</v>
      </c>
      <c r="P5392">
        <v>-8.4702629316440806E-2</v>
      </c>
      <c r="Q5392">
        <v>9.1651823034907695E-2</v>
      </c>
      <c r="R5392">
        <v>0.98762123998985596</v>
      </c>
      <c r="S5392" t="s">
        <v>11677</v>
      </c>
      <c r="T5392" t="s">
        <v>12568</v>
      </c>
      <c r="U5392" t="s">
        <v>12568</v>
      </c>
      <c r="V5392" t="s">
        <v>12568</v>
      </c>
      <c r="W5392" t="s">
        <v>17909</v>
      </c>
      <c r="X5392">
        <v>8</v>
      </c>
      <c r="Y5392" t="s">
        <v>24002</v>
      </c>
      <c r="Z5392" t="s">
        <v>30262</v>
      </c>
      <c r="AA5392">
        <v>0.42536904567816541</v>
      </c>
      <c r="AB5392" t="str">
        <f>HYPERLINK("Melting_Curves/meltCurve_Q9HA65_TBC1D17.pdf", "Melting_Curves/meltCurve_Q9HA65_TBC1D17.pdf")</f>
        <v>Melting_Curves/meltCurve_Q9HA65_TBC1D17.pdf</v>
      </c>
    </row>
    <row r="5393" spans="1:28" x14ac:dyDescent="0.25">
      <c r="A5393" t="s">
        <v>5397</v>
      </c>
      <c r="B5393">
        <v>0.99352677808782597</v>
      </c>
      <c r="C5393">
        <v>1.0085916232491401</v>
      </c>
      <c r="D5393">
        <v>0.93272355593096001</v>
      </c>
      <c r="E5393">
        <v>0.90600460651007197</v>
      </c>
      <c r="F5393">
        <v>0.85036632356497999</v>
      </c>
      <c r="G5393">
        <v>0.61777518563067602</v>
      </c>
      <c r="H5393">
        <v>0.41761505156717998</v>
      </c>
      <c r="I5393">
        <v>0.24497757959898001</v>
      </c>
      <c r="J5393">
        <v>0.11485077811178</v>
      </c>
      <c r="K5393">
        <v>9.7971557861288305E-2</v>
      </c>
      <c r="L5393">
        <v>847.48720549343</v>
      </c>
      <c r="M5393">
        <v>14.356352873961701</v>
      </c>
      <c r="N5393">
        <v>59.032207989450903</v>
      </c>
      <c r="O5393">
        <v>57.922266639055998</v>
      </c>
      <c r="P5393">
        <v>-6.1971312149781799E-2</v>
      </c>
      <c r="Q5393">
        <v>0</v>
      </c>
      <c r="R5393">
        <v>0.99507187772541295</v>
      </c>
      <c r="S5393" t="s">
        <v>11678</v>
      </c>
      <c r="T5393" t="s">
        <v>12568</v>
      </c>
      <c r="U5393" t="s">
        <v>12568</v>
      </c>
      <c r="V5393" t="s">
        <v>12568</v>
      </c>
      <c r="W5393" t="s">
        <v>17910</v>
      </c>
      <c r="X5393">
        <v>13</v>
      </c>
      <c r="Y5393" t="s">
        <v>24003</v>
      </c>
      <c r="Z5393" t="s">
        <v>30263</v>
      </c>
      <c r="AA5393">
        <v>0.64450640794973757</v>
      </c>
      <c r="AB5393" t="str">
        <f>HYPERLINK("Melting_Curves/meltCurve_Q9HA77_CARS2.pdf", "Melting_Curves/meltCurve_Q9HA77_CARS2.pdf")</f>
        <v>Melting_Curves/meltCurve_Q9HA77_CARS2.pdf</v>
      </c>
    </row>
    <row r="5394" spans="1:28" x14ac:dyDescent="0.25">
      <c r="A5394" t="s">
        <v>5398</v>
      </c>
      <c r="B5394">
        <v>0.99352677808782597</v>
      </c>
      <c r="C5394">
        <v>0.99867474476950402</v>
      </c>
      <c r="D5394">
        <v>1.03927539226911</v>
      </c>
      <c r="E5394">
        <v>0.61436532502673602</v>
      </c>
      <c r="F5394">
        <v>0.51368336666054903</v>
      </c>
      <c r="G5394">
        <v>0.14903674666341299</v>
      </c>
      <c r="H5394">
        <v>8.8500271926758495E-2</v>
      </c>
      <c r="I5394">
        <v>7.5869094745846202E-2</v>
      </c>
      <c r="J5394">
        <v>6.8200705810107495E-2</v>
      </c>
      <c r="K5394">
        <v>4.8477155596541803E-2</v>
      </c>
      <c r="L5394">
        <v>1066.9978479046599</v>
      </c>
      <c r="M5394">
        <v>20.508586228645999</v>
      </c>
      <c r="N5394">
        <v>52.2878669655639</v>
      </c>
      <c r="O5394">
        <v>51.5398191972183</v>
      </c>
      <c r="P5394">
        <v>-9.4642542536994806E-2</v>
      </c>
      <c r="Q5394">
        <v>4.8649368900747302E-2</v>
      </c>
      <c r="R5394">
        <v>0.98351296018461998</v>
      </c>
      <c r="S5394" t="s">
        <v>11679</v>
      </c>
      <c r="T5394" t="s">
        <v>12568</v>
      </c>
      <c r="U5394" t="s">
        <v>12568</v>
      </c>
      <c r="V5394" t="s">
        <v>12568</v>
      </c>
      <c r="W5394" t="s">
        <v>17911</v>
      </c>
      <c r="X5394">
        <v>13</v>
      </c>
      <c r="Y5394" t="s">
        <v>24004</v>
      </c>
      <c r="Z5394" t="s">
        <v>30264</v>
      </c>
      <c r="AA5394">
        <v>0.44262464843572619</v>
      </c>
      <c r="AB5394" t="str">
        <f>HYPERLINK("Melting_Curves/meltCurve_Q9HAB8_PPCS.pdf", "Melting_Curves/meltCurve_Q9HAB8_PPCS.pdf")</f>
        <v>Melting_Curves/meltCurve_Q9HAB8_PPCS.pdf</v>
      </c>
    </row>
    <row r="5395" spans="1:28" x14ac:dyDescent="0.25">
      <c r="A5395" t="s">
        <v>5399</v>
      </c>
      <c r="B5395">
        <v>0.99352677808782597</v>
      </c>
      <c r="C5395">
        <v>0.97575027490630795</v>
      </c>
      <c r="D5395">
        <v>0.976483211723155</v>
      </c>
      <c r="E5395">
        <v>0.70212853593415403</v>
      </c>
      <c r="F5395">
        <v>0.62970688267349095</v>
      </c>
      <c r="G5395">
        <v>0.344660887852348</v>
      </c>
      <c r="H5395">
        <v>0.156086641362845</v>
      </c>
      <c r="I5395">
        <v>0.143695243711779</v>
      </c>
      <c r="J5395">
        <v>0.128031758575504</v>
      </c>
      <c r="K5395">
        <v>9.2400945389228994E-2</v>
      </c>
      <c r="L5395">
        <v>816.03587839331203</v>
      </c>
      <c r="M5395">
        <v>15.1961452753279</v>
      </c>
      <c r="N5395">
        <v>54.201146031663299</v>
      </c>
      <c r="O5395">
        <v>52.795997102061001</v>
      </c>
      <c r="P5395">
        <v>-6.7248767890956004E-2</v>
      </c>
      <c r="Q5395">
        <v>6.5519627701417907E-2</v>
      </c>
      <c r="R5395">
        <v>0.99152347125189599</v>
      </c>
      <c r="S5395" t="s">
        <v>11680</v>
      </c>
      <c r="T5395" t="s">
        <v>12568</v>
      </c>
      <c r="U5395" t="s">
        <v>12568</v>
      </c>
      <c r="V5395" t="s">
        <v>12568</v>
      </c>
      <c r="W5395" t="s">
        <v>17912</v>
      </c>
      <c r="X5395">
        <v>5</v>
      </c>
      <c r="Y5395" t="s">
        <v>24005</v>
      </c>
      <c r="Z5395" t="s">
        <v>30265</v>
      </c>
      <c r="AA5395">
        <v>0.51142010453602305</v>
      </c>
      <c r="AB5395" t="str">
        <f>HYPERLINK("Melting_Curves/meltCurve_Q9HAD4_WDR41.pdf", "Melting_Curves/meltCurve_Q9HAD4_WDR41.pdf")</f>
        <v>Melting_Curves/meltCurve_Q9HAD4_WDR41.pdf</v>
      </c>
    </row>
    <row r="5396" spans="1:28" x14ac:dyDescent="0.25">
      <c r="A5396" t="s">
        <v>5400</v>
      </c>
      <c r="B5396">
        <v>0.99352677808782597</v>
      </c>
      <c r="C5396">
        <v>0.948390036731101</v>
      </c>
      <c r="D5396">
        <v>0.900008506286748</v>
      </c>
      <c r="E5396">
        <v>0.557274922175933</v>
      </c>
      <c r="F5396">
        <v>0.49348618009215101</v>
      </c>
      <c r="G5396">
        <v>0.27943467017643497</v>
      </c>
      <c r="H5396">
        <v>0.19754256077900401</v>
      </c>
      <c r="I5396">
        <v>0.17676942038961399</v>
      </c>
      <c r="J5396">
        <v>0.17707847078668701</v>
      </c>
      <c r="K5396">
        <v>0.15837263122297901</v>
      </c>
      <c r="L5396">
        <v>785.17057799873101</v>
      </c>
      <c r="M5396">
        <v>15.4660115463802</v>
      </c>
      <c r="N5396">
        <v>51.9575165620465</v>
      </c>
      <c r="O5396">
        <v>49.941452882462798</v>
      </c>
      <c r="P5396">
        <v>-6.5879867628679298E-2</v>
      </c>
      <c r="Q5396">
        <v>0.14914288266603401</v>
      </c>
      <c r="R5396">
        <v>0.99117835746537297</v>
      </c>
      <c r="S5396" t="s">
        <v>11681</v>
      </c>
      <c r="T5396" t="s">
        <v>12568</v>
      </c>
      <c r="U5396" t="s">
        <v>12568</v>
      </c>
      <c r="V5396" t="s">
        <v>12568</v>
      </c>
      <c r="W5396" t="s">
        <v>17913</v>
      </c>
      <c r="X5396">
        <v>2</v>
      </c>
      <c r="Y5396" t="s">
        <v>24006</v>
      </c>
      <c r="Z5396" t="s">
        <v>30266</v>
      </c>
      <c r="AA5396">
        <v>0.47333180749616222</v>
      </c>
      <c r="AB5396" t="str">
        <f>HYPERLINK("Melting_Curves/meltCurve_Q9HAJ7_SAP30L.pdf", "Melting_Curves/meltCurve_Q9HAJ7_SAP30L.pdf")</f>
        <v>Melting_Curves/meltCurve_Q9HAJ7_SAP30L.pdf</v>
      </c>
    </row>
    <row r="5397" spans="1:28" x14ac:dyDescent="0.25">
      <c r="A5397" t="s">
        <v>5401</v>
      </c>
      <c r="B5397">
        <v>0.99352677808782597</v>
      </c>
      <c r="C5397">
        <v>0.96727640997938702</v>
      </c>
      <c r="D5397">
        <v>0.91714887298987202</v>
      </c>
      <c r="E5397">
        <v>0.72375026493795702</v>
      </c>
      <c r="F5397">
        <v>0.536998472524852</v>
      </c>
      <c r="G5397">
        <v>0.47175253025656</v>
      </c>
      <c r="H5397">
        <v>0.38598958720194898</v>
      </c>
      <c r="I5397">
        <v>0.33647380778261299</v>
      </c>
      <c r="J5397">
        <v>0.34054428126146102</v>
      </c>
      <c r="K5397">
        <v>0.28832536753707699</v>
      </c>
      <c r="L5397">
        <v>764.76176174755994</v>
      </c>
      <c r="M5397">
        <v>14.887963993828301</v>
      </c>
      <c r="N5397">
        <v>54.8849016283745</v>
      </c>
      <c r="O5397">
        <v>50.467736149475201</v>
      </c>
      <c r="P5397">
        <v>-5.10837063555101E-2</v>
      </c>
      <c r="Q5397">
        <v>0.30741078993982601</v>
      </c>
      <c r="R5397">
        <v>0.99331937794661895</v>
      </c>
      <c r="S5397" t="s">
        <v>11682</v>
      </c>
      <c r="T5397" t="s">
        <v>12568</v>
      </c>
      <c r="U5397" t="s">
        <v>12568</v>
      </c>
      <c r="V5397" t="s">
        <v>12568</v>
      </c>
      <c r="W5397" t="s">
        <v>17914</v>
      </c>
      <c r="X5397">
        <v>1</v>
      </c>
      <c r="Y5397" t="s">
        <v>24007</v>
      </c>
      <c r="Z5397" t="s">
        <v>30267</v>
      </c>
      <c r="AA5397">
        <v>0.58585778183426285</v>
      </c>
      <c r="AB5397" t="str">
        <f>HYPERLINK("Melting_Curves/meltCurve_Q9HAP2_MLXIP.pdf", "Melting_Curves/meltCurve_Q9HAP2_MLXIP.pdf")</f>
        <v>Melting_Curves/meltCurve_Q9HAP2_MLXIP.pdf</v>
      </c>
    </row>
    <row r="5398" spans="1:28" x14ac:dyDescent="0.25">
      <c r="A5398" t="s">
        <v>5402</v>
      </c>
      <c r="B5398">
        <v>0.99352677808782597</v>
      </c>
      <c r="C5398">
        <v>0.52928627057637201</v>
      </c>
      <c r="D5398">
        <v>1.20502082963862</v>
      </c>
      <c r="E5398">
        <v>0.995324325345184</v>
      </c>
      <c r="F5398">
        <v>0.71647358088114599</v>
      </c>
      <c r="G5398">
        <v>0.81914959604723203</v>
      </c>
      <c r="H5398">
        <v>0.83584126497365996</v>
      </c>
      <c r="I5398">
        <v>0.60524929863524901</v>
      </c>
      <c r="J5398">
        <v>0.39736860343111502</v>
      </c>
      <c r="K5398">
        <v>0.18371875130194501</v>
      </c>
      <c r="L5398">
        <v>944.05227304412995</v>
      </c>
      <c r="M5398">
        <v>14.4958249245096</v>
      </c>
      <c r="N5398">
        <v>65.125805462845705</v>
      </c>
      <c r="O5398">
        <v>63.924024627998001</v>
      </c>
      <c r="P5398">
        <v>-5.6698164068083E-2</v>
      </c>
      <c r="Q5398">
        <v>0</v>
      </c>
      <c r="R5398">
        <v>0.586745384027342</v>
      </c>
      <c r="S5398" t="s">
        <v>11683</v>
      </c>
      <c r="T5398" t="s">
        <v>12568</v>
      </c>
      <c r="U5398" t="s">
        <v>12568</v>
      </c>
      <c r="V5398" t="s">
        <v>12568</v>
      </c>
      <c r="W5398" t="s">
        <v>17915</v>
      </c>
      <c r="X5398">
        <v>3</v>
      </c>
      <c r="Y5398" t="s">
        <v>24008</v>
      </c>
      <c r="Z5398" t="s">
        <v>30268</v>
      </c>
      <c r="AA5398">
        <v>0.8087972589823752</v>
      </c>
      <c r="AB5398" t="str">
        <f>HYPERLINK("Melting_Curves/meltCurve_Q9HAT2_2_SIAE.pdf", "Melting_Curves/meltCurve_Q9HAT2_2_SIAE.pdf")</f>
        <v>Melting_Curves/meltCurve_Q9HAT2_2_SIAE.pdf</v>
      </c>
    </row>
    <row r="5399" spans="1:28" x14ac:dyDescent="0.25">
      <c r="A5399" t="s">
        <v>5403</v>
      </c>
      <c r="B5399">
        <v>0.99352677808782597</v>
      </c>
      <c r="C5399">
        <v>0.92367799043159704</v>
      </c>
      <c r="D5399">
        <v>0.93532336232715696</v>
      </c>
      <c r="E5399">
        <v>0.85198467512125398</v>
      </c>
      <c r="F5399">
        <v>0.78446759834245405</v>
      </c>
      <c r="G5399">
        <v>0.65567052302551598</v>
      </c>
      <c r="H5399">
        <v>0.578965534643614</v>
      </c>
      <c r="I5399">
        <v>0.65389023950914804</v>
      </c>
      <c r="J5399">
        <v>0.64250084654927397</v>
      </c>
      <c r="K5399">
        <v>0.58655398392040603</v>
      </c>
      <c r="L5399">
        <v>686.76472422934603</v>
      </c>
      <c r="M5399">
        <v>13.2981436268424</v>
      </c>
      <c r="O5399">
        <v>50.517722890288603</v>
      </c>
      <c r="P5399">
        <v>-2.70668849679905E-2</v>
      </c>
      <c r="Q5399">
        <v>0.58877379351263404</v>
      </c>
      <c r="R5399">
        <v>0.95468317035330097</v>
      </c>
      <c r="S5399" t="s">
        <v>11684</v>
      </c>
      <c r="T5399" t="s">
        <v>12568</v>
      </c>
      <c r="U5399" t="s">
        <v>12568</v>
      </c>
      <c r="V5399" t="s">
        <v>12568</v>
      </c>
      <c r="W5399" t="s">
        <v>17916</v>
      </c>
      <c r="X5399">
        <v>17</v>
      </c>
      <c r="Y5399" t="s">
        <v>24009</v>
      </c>
      <c r="Z5399" t="s">
        <v>30269</v>
      </c>
      <c r="AA5399">
        <v>0.75954421279789297</v>
      </c>
      <c r="AB5399" t="str">
        <f>HYPERLINK("Melting_Curves/meltCurve_Q9HAU0_PLEKHA5.pdf", "Melting_Curves/meltCurve_Q9HAU0_PLEKHA5.pdf")</f>
        <v>Melting_Curves/meltCurve_Q9HAU0_PLEKHA5.pdf</v>
      </c>
    </row>
    <row r="5400" spans="1:28" x14ac:dyDescent="0.25">
      <c r="A5400" t="s">
        <v>5404</v>
      </c>
      <c r="B5400">
        <v>0.99352677808782597</v>
      </c>
      <c r="C5400">
        <v>0.94371839182778405</v>
      </c>
      <c r="D5400">
        <v>0.93343211486862598</v>
      </c>
      <c r="E5400">
        <v>0.47886841758034099</v>
      </c>
      <c r="F5400">
        <v>0.348334736523846</v>
      </c>
      <c r="G5400">
        <v>0.27187097723312798</v>
      </c>
      <c r="H5400">
        <v>0.218916915025201</v>
      </c>
      <c r="I5400">
        <v>0.226623852663044</v>
      </c>
      <c r="J5400">
        <v>0.237027448856301</v>
      </c>
      <c r="K5400">
        <v>0.180053052471744</v>
      </c>
      <c r="L5400">
        <v>1367.68004645622</v>
      </c>
      <c r="M5400">
        <v>27.882256776954499</v>
      </c>
      <c r="N5400">
        <v>50.131782554383598</v>
      </c>
      <c r="O5400">
        <v>48.801745284723602</v>
      </c>
      <c r="P5400">
        <v>-0.110590688897988</v>
      </c>
      <c r="Q5400">
        <v>0.22574824672073299</v>
      </c>
      <c r="R5400">
        <v>0.99118268570784795</v>
      </c>
      <c r="S5400" t="s">
        <v>11685</v>
      </c>
      <c r="T5400" t="s">
        <v>12568</v>
      </c>
      <c r="U5400" t="s">
        <v>12568</v>
      </c>
      <c r="V5400" t="s">
        <v>12568</v>
      </c>
      <c r="W5400" t="s">
        <v>17917</v>
      </c>
      <c r="X5400">
        <v>2</v>
      </c>
      <c r="Y5400" t="s">
        <v>24010</v>
      </c>
      <c r="Z5400" t="s">
        <v>30270</v>
      </c>
      <c r="AA5400">
        <v>0.46484922913542592</v>
      </c>
      <c r="AB5400" t="str">
        <f>HYPERLINK("Melting_Curves/meltCurve_Q9HAU4_SMURF2.pdf", "Melting_Curves/meltCurve_Q9HAU4_SMURF2.pdf")</f>
        <v>Melting_Curves/meltCurve_Q9HAU4_SMURF2.pdf</v>
      </c>
    </row>
    <row r="5401" spans="1:28" x14ac:dyDescent="0.25">
      <c r="A5401" t="s">
        <v>5405</v>
      </c>
      <c r="B5401">
        <v>0.99352677808782597</v>
      </c>
      <c r="C5401">
        <v>0.98160186859161502</v>
      </c>
      <c r="D5401">
        <v>0.89957364324218503</v>
      </c>
      <c r="E5401">
        <v>0.449280828479795</v>
      </c>
      <c r="F5401">
        <v>0.38710679448084701</v>
      </c>
      <c r="G5401">
        <v>0.25071530750638599</v>
      </c>
      <c r="H5401">
        <v>0.18093155631907201</v>
      </c>
      <c r="I5401">
        <v>0.17682600792210501</v>
      </c>
      <c r="J5401">
        <v>0.163822672918573</v>
      </c>
      <c r="K5401">
        <v>0.14498324361666101</v>
      </c>
      <c r="L5401">
        <v>1052.0340104075501</v>
      </c>
      <c r="M5401">
        <v>21.343644221556701</v>
      </c>
      <c r="N5401">
        <v>50.290693150176502</v>
      </c>
      <c r="O5401">
        <v>48.8637030754794</v>
      </c>
      <c r="P5401">
        <v>-9.0313054379738203E-2</v>
      </c>
      <c r="Q5401">
        <v>0.172977367377566</v>
      </c>
      <c r="R5401">
        <v>0.98759546105600304</v>
      </c>
      <c r="S5401" t="s">
        <v>11686</v>
      </c>
      <c r="T5401" t="s">
        <v>12568</v>
      </c>
      <c r="U5401" t="s">
        <v>12568</v>
      </c>
      <c r="V5401" t="s">
        <v>12568</v>
      </c>
      <c r="W5401" t="s">
        <v>17918</v>
      </c>
      <c r="X5401">
        <v>9</v>
      </c>
      <c r="Y5401" t="s">
        <v>24011</v>
      </c>
      <c r="Z5401" t="s">
        <v>30271</v>
      </c>
      <c r="AA5401">
        <v>0.43922221805672851</v>
      </c>
      <c r="AB5401" t="str">
        <f>HYPERLINK("Melting_Curves/meltCurve_Q9HAU5_UPF2.pdf", "Melting_Curves/meltCurve_Q9HAU5_UPF2.pdf")</f>
        <v>Melting_Curves/meltCurve_Q9HAU5_UPF2.pdf</v>
      </c>
    </row>
    <row r="5402" spans="1:28" x14ac:dyDescent="0.25">
      <c r="A5402" t="s">
        <v>5406</v>
      </c>
      <c r="B5402">
        <v>0.99352677808782597</v>
      </c>
      <c r="C5402">
        <v>0.95450526334099595</v>
      </c>
      <c r="D5402">
        <v>0.84130661913328597</v>
      </c>
      <c r="E5402">
        <v>0.51137203240005602</v>
      </c>
      <c r="F5402">
        <v>0.46088645899520297</v>
      </c>
      <c r="G5402">
        <v>0.302891666582498</v>
      </c>
      <c r="H5402">
        <v>0.18517179731636099</v>
      </c>
      <c r="I5402">
        <v>0.17249460568896899</v>
      </c>
      <c r="J5402">
        <v>0.148422016256748</v>
      </c>
      <c r="K5402">
        <v>0.13722595237836299</v>
      </c>
      <c r="L5402">
        <v>701.35618416832597</v>
      </c>
      <c r="M5402">
        <v>13.9254449117236</v>
      </c>
      <c r="N5402">
        <v>51.461012181626401</v>
      </c>
      <c r="O5402">
        <v>49.360547066263798</v>
      </c>
      <c r="P5402">
        <v>-6.14876122921829E-2</v>
      </c>
      <c r="Q5402">
        <v>0.128314488857249</v>
      </c>
      <c r="R5402">
        <v>0.99042519326698597</v>
      </c>
      <c r="S5402" t="s">
        <v>11687</v>
      </c>
      <c r="T5402" t="s">
        <v>12568</v>
      </c>
      <c r="U5402" t="s">
        <v>12568</v>
      </c>
      <c r="V5402" t="s">
        <v>12568</v>
      </c>
      <c r="W5402" t="s">
        <v>17919</v>
      </c>
      <c r="X5402">
        <v>2</v>
      </c>
      <c r="Y5402" t="s">
        <v>24012</v>
      </c>
      <c r="Z5402" t="s">
        <v>30272</v>
      </c>
      <c r="AA5402">
        <v>0.45279169978427919</v>
      </c>
      <c r="AB5402" t="str">
        <f>HYPERLINK("Melting_Curves/meltCurve_Q9HAU8_RNPEPL1.pdf", "Melting_Curves/meltCurve_Q9HAU8_RNPEPL1.pdf")</f>
        <v>Melting_Curves/meltCurve_Q9HAU8_RNPEPL1.pdf</v>
      </c>
    </row>
    <row r="5403" spans="1:28" x14ac:dyDescent="0.25">
      <c r="A5403" t="s">
        <v>5407</v>
      </c>
      <c r="B5403">
        <v>0.99352677808782597</v>
      </c>
      <c r="C5403">
        <v>1.1456121817096601</v>
      </c>
      <c r="D5403">
        <v>0.72985068258358798</v>
      </c>
      <c r="E5403">
        <v>0.30750424954924599</v>
      </c>
      <c r="F5403">
        <v>0.21908096080255299</v>
      </c>
      <c r="G5403">
        <v>0.12612244264549199</v>
      </c>
      <c r="H5403">
        <v>7.3472572296078606E-2</v>
      </c>
      <c r="I5403">
        <v>7.0815538973119596E-2</v>
      </c>
      <c r="J5403">
        <v>5.8010262282958198E-2</v>
      </c>
      <c r="K5403">
        <v>4.3413094944142902E-2</v>
      </c>
      <c r="L5403">
        <v>1272.3865450481801</v>
      </c>
      <c r="M5403">
        <v>26.4822518906741</v>
      </c>
      <c r="N5403">
        <v>48.364441747235297</v>
      </c>
      <c r="O5403">
        <v>47.775311410425502</v>
      </c>
      <c r="P5403">
        <v>-0.127515572872611</v>
      </c>
      <c r="Q5403">
        <v>7.9832052389958705E-2</v>
      </c>
      <c r="R5403">
        <v>0.97226069515153102</v>
      </c>
      <c r="S5403" t="s">
        <v>11688</v>
      </c>
      <c r="T5403" t="s">
        <v>12568</v>
      </c>
      <c r="U5403" t="s">
        <v>12568</v>
      </c>
      <c r="V5403" t="s">
        <v>12568</v>
      </c>
      <c r="W5403" t="s">
        <v>17920</v>
      </c>
      <c r="X5403">
        <v>31</v>
      </c>
      <c r="Y5403" t="s">
        <v>24013</v>
      </c>
      <c r="Z5403" t="s">
        <v>30273</v>
      </c>
      <c r="AA5403">
        <v>0.33384359043311368</v>
      </c>
      <c r="AB5403" t="str">
        <f>HYPERLINK("Melting_Curves/meltCurve_Q9HAV4_XPO5.pdf", "Melting_Curves/meltCurve_Q9HAV4_XPO5.pdf")</f>
        <v>Melting_Curves/meltCurve_Q9HAV4_XPO5.pdf</v>
      </c>
    </row>
    <row r="5404" spans="1:28" x14ac:dyDescent="0.25">
      <c r="A5404" t="s">
        <v>5408</v>
      </c>
      <c r="B5404">
        <v>0.99352677808782597</v>
      </c>
      <c r="C5404">
        <v>0.93122431644667902</v>
      </c>
      <c r="D5404">
        <v>1.00911289457453</v>
      </c>
      <c r="E5404">
        <v>0.63503488003470598</v>
      </c>
      <c r="F5404">
        <v>0.52247499017374699</v>
      </c>
      <c r="G5404">
        <v>0.31754025312796402</v>
      </c>
      <c r="H5404">
        <v>0.22516017616162901</v>
      </c>
      <c r="I5404">
        <v>0.20244892594574701</v>
      </c>
      <c r="J5404">
        <v>0.25350964258098901</v>
      </c>
      <c r="K5404">
        <v>0.19939495272079899</v>
      </c>
      <c r="L5404">
        <v>994.63513008514201</v>
      </c>
      <c r="M5404">
        <v>19.3957962247278</v>
      </c>
      <c r="N5404">
        <v>52.749272887083798</v>
      </c>
      <c r="O5404">
        <v>50.745176104973702</v>
      </c>
      <c r="P5404">
        <v>-7.5625369739766607E-2</v>
      </c>
      <c r="Q5404">
        <v>0.20859515729179201</v>
      </c>
      <c r="R5404">
        <v>0.98250871461213096</v>
      </c>
      <c r="S5404" t="s">
        <v>11689</v>
      </c>
      <c r="T5404" t="s">
        <v>12568</v>
      </c>
      <c r="U5404" t="s">
        <v>12568</v>
      </c>
      <c r="V5404" t="s">
        <v>12568</v>
      </c>
      <c r="W5404" t="s">
        <v>17921</v>
      </c>
      <c r="X5404">
        <v>9</v>
      </c>
      <c r="Y5404" t="s">
        <v>24014</v>
      </c>
      <c r="Z5404" t="s">
        <v>30274</v>
      </c>
      <c r="AA5404">
        <v>0.5178043333618001</v>
      </c>
      <c r="AB5404" t="str">
        <f>HYPERLINK("Melting_Curves/meltCurve_Q9HAV7_GRPEL1.pdf", "Melting_Curves/meltCurve_Q9HAV7_GRPEL1.pdf")</f>
        <v>Melting_Curves/meltCurve_Q9HAV7_GRPEL1.pdf</v>
      </c>
    </row>
    <row r="5405" spans="1:28" x14ac:dyDescent="0.25">
      <c r="A5405" t="s">
        <v>5409</v>
      </c>
      <c r="B5405">
        <v>0.99352677808782597</v>
      </c>
      <c r="C5405">
        <v>0.98067924511256899</v>
      </c>
      <c r="D5405">
        <v>0.97789366846564096</v>
      </c>
      <c r="E5405">
        <v>1.1420917794946199</v>
      </c>
      <c r="F5405">
        <v>0.98381708610949703</v>
      </c>
      <c r="G5405">
        <v>0.87977246097728801</v>
      </c>
      <c r="H5405">
        <v>0.93891021231532301</v>
      </c>
      <c r="I5405">
        <v>0.90047967707640597</v>
      </c>
      <c r="J5405">
        <v>1.1461768051428001</v>
      </c>
      <c r="K5405">
        <v>1.0064029971163999</v>
      </c>
      <c r="L5405">
        <v>1706.4291439068299</v>
      </c>
      <c r="M5405">
        <v>25.155424758960599</v>
      </c>
      <c r="O5405">
        <v>67.411115344177006</v>
      </c>
      <c r="P5405">
        <v>5.8597134868391401E-3</v>
      </c>
      <c r="Q5405">
        <v>1.06281023575642</v>
      </c>
      <c r="R5405">
        <v>3.5831907225796801E-2</v>
      </c>
      <c r="S5405" t="s">
        <v>11690</v>
      </c>
      <c r="T5405" t="s">
        <v>12568</v>
      </c>
      <c r="U5405" t="s">
        <v>12568</v>
      </c>
      <c r="V5405" t="s">
        <v>12568</v>
      </c>
      <c r="W5405" t="s">
        <v>17922</v>
      </c>
      <c r="X5405">
        <v>5</v>
      </c>
      <c r="Y5405" t="s">
        <v>24015</v>
      </c>
      <c r="Z5405" t="s">
        <v>30275</v>
      </c>
      <c r="AA5405">
        <v>1.0062861217125909</v>
      </c>
      <c r="AB5405" t="str">
        <f>HYPERLINK("Melting_Curves/meltCurve_Q9HAW4_2_CLSPN.pdf", "Melting_Curves/meltCurve_Q9HAW4_2_CLSPN.pdf")</f>
        <v>Melting_Curves/meltCurve_Q9HAW4_2_CLSPN.pdf</v>
      </c>
    </row>
    <row r="5406" spans="1:28" x14ac:dyDescent="0.25">
      <c r="A5406" t="s">
        <v>5410</v>
      </c>
      <c r="B5406">
        <v>0.99352677808782597</v>
      </c>
      <c r="C5406">
        <v>0.93517030460526496</v>
      </c>
      <c r="D5406">
        <v>0.91081564147343197</v>
      </c>
      <c r="E5406">
        <v>0.82998951468733195</v>
      </c>
      <c r="F5406">
        <v>0.69594713359126903</v>
      </c>
      <c r="G5406">
        <v>0.45873765593177201</v>
      </c>
      <c r="H5406">
        <v>0.20287356794976999</v>
      </c>
      <c r="I5406">
        <v>0.16020568854767001</v>
      </c>
      <c r="J5406">
        <v>0.118803740565288</v>
      </c>
      <c r="K5406">
        <v>8.3483896494175105E-2</v>
      </c>
      <c r="L5406">
        <v>747.87331638216995</v>
      </c>
      <c r="M5406">
        <v>13.396014974974401</v>
      </c>
      <c r="N5406">
        <v>55.9179033829665</v>
      </c>
      <c r="O5406">
        <v>54.627978490223697</v>
      </c>
      <c r="P5406">
        <v>-6.0662378784554598E-2</v>
      </c>
      <c r="Q5406">
        <v>1.0648366920261301E-2</v>
      </c>
      <c r="R5406">
        <v>0.99439373222025895</v>
      </c>
      <c r="S5406" t="s">
        <v>11691</v>
      </c>
      <c r="T5406" t="s">
        <v>12568</v>
      </c>
      <c r="U5406" t="s">
        <v>12568</v>
      </c>
      <c r="V5406" t="s">
        <v>12568</v>
      </c>
      <c r="W5406" t="s">
        <v>17923</v>
      </c>
      <c r="X5406">
        <v>2</v>
      </c>
      <c r="Y5406" t="s">
        <v>24016</v>
      </c>
      <c r="Z5406" t="s">
        <v>30276</v>
      </c>
      <c r="AA5406">
        <v>0.55211652320677185</v>
      </c>
      <c r="AB5406" t="str">
        <f>HYPERLINK("Melting_Curves/meltCurve_Q9HAY6_BCMO1.pdf", "Melting_Curves/meltCurve_Q9HAY6_BCMO1.pdf")</f>
        <v>Melting_Curves/meltCurve_Q9HAY6_BCMO1.pdf</v>
      </c>
    </row>
    <row r="5407" spans="1:28" x14ac:dyDescent="0.25">
      <c r="A5407" t="s">
        <v>5411</v>
      </c>
      <c r="B5407">
        <v>0.99352677808782597</v>
      </c>
      <c r="C5407">
        <v>0.95391835316547902</v>
      </c>
      <c r="D5407">
        <v>0.899604264540941</v>
      </c>
      <c r="E5407">
        <v>0.536022072655023</v>
      </c>
      <c r="F5407">
        <v>0.46661364938739303</v>
      </c>
      <c r="G5407">
        <v>0.26844753166373297</v>
      </c>
      <c r="H5407">
        <v>0.18102264787775099</v>
      </c>
      <c r="I5407">
        <v>0.15765533502332901</v>
      </c>
      <c r="J5407">
        <v>0.125433963803426</v>
      </c>
      <c r="K5407">
        <v>8.1270865468565906E-2</v>
      </c>
      <c r="L5407">
        <v>739.17228653580298</v>
      </c>
      <c r="M5407">
        <v>14.486448807291101</v>
      </c>
      <c r="N5407">
        <v>51.788699906391102</v>
      </c>
      <c r="O5407">
        <v>50.082325600411203</v>
      </c>
      <c r="P5407">
        <v>-6.5366806550881507E-2</v>
      </c>
      <c r="Q5407">
        <v>9.6164226747410902E-2</v>
      </c>
      <c r="R5407">
        <v>0.98980718698263803</v>
      </c>
      <c r="S5407" t="s">
        <v>11692</v>
      </c>
      <c r="T5407" t="s">
        <v>12568</v>
      </c>
      <c r="U5407" t="s">
        <v>12568</v>
      </c>
      <c r="V5407" t="s">
        <v>12568</v>
      </c>
      <c r="W5407" t="s">
        <v>17924</v>
      </c>
      <c r="X5407">
        <v>13</v>
      </c>
      <c r="Y5407" t="s">
        <v>24017</v>
      </c>
      <c r="Z5407" t="s">
        <v>30277</v>
      </c>
      <c r="AA5407">
        <v>0.4504153850881169</v>
      </c>
      <c r="AB5407" t="str">
        <f>HYPERLINK("Melting_Curves/meltCurve_Q9HB07_C12orf10.pdf", "Melting_Curves/meltCurve_Q9HB07_C12orf10.pdf")</f>
        <v>Melting_Curves/meltCurve_Q9HB07_C12orf10.pdf</v>
      </c>
    </row>
    <row r="5408" spans="1:28" x14ac:dyDescent="0.25">
      <c r="A5408" t="s">
        <v>5412</v>
      </c>
      <c r="B5408">
        <v>0.99352677808782597</v>
      </c>
      <c r="C5408">
        <v>1.0990238887080701</v>
      </c>
      <c r="D5408">
        <v>1.0678331812311199</v>
      </c>
      <c r="E5408">
        <v>0.71619539116084896</v>
      </c>
      <c r="F5408">
        <v>0.67261980938281996</v>
      </c>
      <c r="G5408">
        <v>0.43284129359417101</v>
      </c>
      <c r="H5408">
        <v>0.337299453515849</v>
      </c>
      <c r="I5408">
        <v>0.45378742539648897</v>
      </c>
      <c r="J5408">
        <v>0.30366905762658097</v>
      </c>
      <c r="K5408">
        <v>0.249321649613056</v>
      </c>
      <c r="L5408">
        <v>1011.14768467829</v>
      </c>
      <c r="M5408">
        <v>19.253257652047299</v>
      </c>
      <c r="N5408">
        <v>55.389431315238902</v>
      </c>
      <c r="O5408">
        <v>51.961539004766301</v>
      </c>
      <c r="P5408">
        <v>-6.3391185601349098E-2</v>
      </c>
      <c r="Q5408">
        <v>0.31569420407742199</v>
      </c>
      <c r="R5408">
        <v>0.94288330653582497</v>
      </c>
      <c r="S5408" t="s">
        <v>11693</v>
      </c>
      <c r="T5408" t="s">
        <v>12568</v>
      </c>
      <c r="U5408" t="s">
        <v>12568</v>
      </c>
      <c r="V5408" t="s">
        <v>12568</v>
      </c>
      <c r="W5408" t="s">
        <v>17925</v>
      </c>
      <c r="X5408">
        <v>2</v>
      </c>
      <c r="Y5408" t="s">
        <v>24018</v>
      </c>
      <c r="Z5408" t="s">
        <v>30278</v>
      </c>
      <c r="AA5408">
        <v>0.61132682765041579</v>
      </c>
      <c r="AB5408" t="str">
        <f>HYPERLINK("Melting_Curves/meltCurve_Q9HB09_3_BCL2L12.pdf", "Melting_Curves/meltCurve_Q9HB09_3_BCL2L12.pdf")</f>
        <v>Melting_Curves/meltCurve_Q9HB09_3_BCL2L12.pdf</v>
      </c>
    </row>
    <row r="5409" spans="1:28" x14ac:dyDescent="0.25">
      <c r="A5409" t="s">
        <v>5413</v>
      </c>
      <c r="B5409">
        <v>0.99352677808782597</v>
      </c>
      <c r="C5409">
        <v>0.61189166884274904</v>
      </c>
      <c r="D5409">
        <v>0.42591466659894101</v>
      </c>
      <c r="E5409">
        <v>0.22090095804621501</v>
      </c>
      <c r="F5409">
        <v>0.18375393757465699</v>
      </c>
      <c r="G5409">
        <v>8.8238349382341694E-2</v>
      </c>
      <c r="H5409">
        <v>7.4155275277271601E-2</v>
      </c>
      <c r="I5409">
        <v>9.0945925794241794E-2</v>
      </c>
      <c r="J5409">
        <v>4.9005480243035797E-2</v>
      </c>
      <c r="K5409">
        <v>3.82081906079954E-2</v>
      </c>
      <c r="L5409">
        <v>746.31987099302103</v>
      </c>
      <c r="M5409">
        <v>16.704570206703199</v>
      </c>
      <c r="N5409">
        <v>45.078769724644403</v>
      </c>
      <c r="O5409">
        <v>44.052023754716402</v>
      </c>
      <c r="P5409">
        <v>-8.8258040731240897E-2</v>
      </c>
      <c r="Q5409">
        <v>6.9071757254335703E-2</v>
      </c>
      <c r="R5409">
        <v>0.97401727401044402</v>
      </c>
      <c r="S5409" t="s">
        <v>11694</v>
      </c>
      <c r="T5409" t="s">
        <v>12568</v>
      </c>
      <c r="U5409" t="s">
        <v>12568</v>
      </c>
      <c r="V5409" t="s">
        <v>12568</v>
      </c>
      <c r="W5409" t="s">
        <v>17926</v>
      </c>
      <c r="X5409">
        <v>4</v>
      </c>
      <c r="Y5409" t="s">
        <v>24019</v>
      </c>
      <c r="Z5409" t="s">
        <v>30279</v>
      </c>
      <c r="AA5409">
        <v>0.23885213372321859</v>
      </c>
      <c r="AB5409" t="str">
        <f>HYPERLINK("Melting_Curves/meltCurve_Q9HB19_PLEKHA2.pdf", "Melting_Curves/meltCurve_Q9HB19_PLEKHA2.pdf")</f>
        <v>Melting_Curves/meltCurve_Q9HB19_PLEKHA2.pdf</v>
      </c>
    </row>
    <row r="5410" spans="1:28" x14ac:dyDescent="0.25">
      <c r="A5410" t="s">
        <v>5414</v>
      </c>
      <c r="B5410">
        <v>0.99352677808782597</v>
      </c>
      <c r="C5410">
        <v>0.95687921199574899</v>
      </c>
      <c r="D5410">
        <v>0.75013729534459905</v>
      </c>
      <c r="E5410">
        <v>0.68702883662443104</v>
      </c>
      <c r="F5410">
        <v>0.54563220918126398</v>
      </c>
      <c r="G5410">
        <v>0.437418855291836</v>
      </c>
      <c r="H5410">
        <v>0.41521672822549599</v>
      </c>
      <c r="I5410">
        <v>0.46977150575119597</v>
      </c>
      <c r="J5410">
        <v>0.43749362144899401</v>
      </c>
      <c r="K5410">
        <v>0.29818423890912599</v>
      </c>
      <c r="L5410">
        <v>625.23633462113196</v>
      </c>
      <c r="M5410">
        <v>12.726219235395799</v>
      </c>
      <c r="N5410">
        <v>55.008979659070903</v>
      </c>
      <c r="O5410">
        <v>47.964045364130399</v>
      </c>
      <c r="P5410">
        <v>-4.1685243505301298E-2</v>
      </c>
      <c r="Q5410">
        <v>0.37168766024863997</v>
      </c>
      <c r="R5410">
        <v>0.95537155933054196</v>
      </c>
      <c r="S5410" t="s">
        <v>11695</v>
      </c>
      <c r="T5410" t="s">
        <v>12568</v>
      </c>
      <c r="U5410" t="s">
        <v>12568</v>
      </c>
      <c r="V5410" t="s">
        <v>12568</v>
      </c>
      <c r="W5410" t="s">
        <v>17927</v>
      </c>
      <c r="X5410">
        <v>1</v>
      </c>
      <c r="Y5410" t="s">
        <v>24020</v>
      </c>
      <c r="Z5410" t="s">
        <v>30280</v>
      </c>
      <c r="AA5410">
        <v>0.58363596995899447</v>
      </c>
      <c r="AB5410" t="str">
        <f>HYPERLINK("Melting_Curves/meltCurve_Q9HB20_PLEKHA3.pdf", "Melting_Curves/meltCurve_Q9HB20_PLEKHA3.pdf")</f>
        <v>Melting_Curves/meltCurve_Q9HB20_PLEKHA3.pdf</v>
      </c>
    </row>
    <row r="5411" spans="1:28" x14ac:dyDescent="0.25">
      <c r="A5411" t="s">
        <v>5415</v>
      </c>
      <c r="B5411">
        <v>0.99352677808782597</v>
      </c>
      <c r="C5411">
        <v>0.87035470547803895</v>
      </c>
      <c r="D5411">
        <v>0.81118851935020098</v>
      </c>
      <c r="E5411">
        <v>0.36366395919976002</v>
      </c>
      <c r="F5411">
        <v>0.30787675896989702</v>
      </c>
      <c r="G5411">
        <v>0.25533902049244001</v>
      </c>
      <c r="H5411">
        <v>0.209259587748233</v>
      </c>
      <c r="I5411">
        <v>0.21530334871481799</v>
      </c>
      <c r="J5411">
        <v>0.19639951626965399</v>
      </c>
      <c r="K5411">
        <v>0.170268934412346</v>
      </c>
      <c r="L5411">
        <v>1051.1454939253699</v>
      </c>
      <c r="M5411">
        <v>22.031081488110001</v>
      </c>
      <c r="N5411">
        <v>48.859757690387298</v>
      </c>
      <c r="O5411">
        <v>47.324045673074203</v>
      </c>
      <c r="P5411">
        <v>-9.2875096906950005E-2</v>
      </c>
      <c r="Q5411">
        <v>0.202013206572704</v>
      </c>
      <c r="R5411">
        <v>0.98568699157791395</v>
      </c>
      <c r="S5411" t="s">
        <v>11696</v>
      </c>
      <c r="T5411" t="s">
        <v>12568</v>
      </c>
      <c r="U5411" t="s">
        <v>12568</v>
      </c>
      <c r="V5411" t="s">
        <v>12568</v>
      </c>
      <c r="W5411" t="s">
        <v>17928</v>
      </c>
      <c r="X5411">
        <v>7</v>
      </c>
      <c r="Y5411" t="s">
        <v>24021</v>
      </c>
      <c r="Z5411" t="s">
        <v>30281</v>
      </c>
      <c r="AA5411">
        <v>0.41641726991373162</v>
      </c>
      <c r="AB5411" t="str">
        <f>HYPERLINK("Melting_Curves/meltCurve_Q9HB21_PLEKHA1.pdf", "Melting_Curves/meltCurve_Q9HB21_PLEKHA1.pdf")</f>
        <v>Melting_Curves/meltCurve_Q9HB21_PLEKHA1.pdf</v>
      </c>
    </row>
    <row r="5412" spans="1:28" x14ac:dyDescent="0.25">
      <c r="A5412" t="s">
        <v>5416</v>
      </c>
      <c r="B5412">
        <v>0.99352677808782597</v>
      </c>
      <c r="C5412">
        <v>0.937790206653907</v>
      </c>
      <c r="D5412">
        <v>8.1671852337402803E-2</v>
      </c>
      <c r="E5412">
        <v>0.38548430985689303</v>
      </c>
      <c r="F5412">
        <v>0.31366112734074297</v>
      </c>
      <c r="G5412">
        <v>0.19243239094025799</v>
      </c>
      <c r="H5412">
        <v>0.12952849930836599</v>
      </c>
      <c r="I5412">
        <v>0.115231595513702</v>
      </c>
      <c r="J5412">
        <v>0.11928841946752899</v>
      </c>
      <c r="K5412">
        <v>8.9609667753267896E-2</v>
      </c>
      <c r="L5412">
        <v>10832.337529312401</v>
      </c>
      <c r="M5412">
        <v>250</v>
      </c>
      <c r="N5412">
        <v>43.405950855418901</v>
      </c>
      <c r="O5412">
        <v>43.326577936002501</v>
      </c>
      <c r="P5412">
        <v>-1.18523751458203</v>
      </c>
      <c r="Q5412">
        <v>0.17836344375263199</v>
      </c>
      <c r="R5412">
        <v>0.91816118564492999</v>
      </c>
      <c r="S5412" t="s">
        <v>11697</v>
      </c>
      <c r="T5412" t="s">
        <v>12568</v>
      </c>
      <c r="U5412" t="s">
        <v>12568</v>
      </c>
      <c r="V5412" t="s">
        <v>12568</v>
      </c>
      <c r="W5412" t="s">
        <v>17929</v>
      </c>
      <c r="X5412">
        <v>3</v>
      </c>
      <c r="Y5412" t="s">
        <v>24022</v>
      </c>
      <c r="Z5412" t="s">
        <v>30282</v>
      </c>
      <c r="AA5412">
        <v>0.26960978174795341</v>
      </c>
      <c r="AB5412" t="str">
        <f>HYPERLINK("Melting_Curves/meltCurve_Q9HB40_SCPEP1.pdf", "Melting_Curves/meltCurve_Q9HB40_SCPEP1.pdf")</f>
        <v>Melting_Curves/meltCurve_Q9HB40_SCPEP1.pdf</v>
      </c>
    </row>
    <row r="5413" spans="1:28" x14ac:dyDescent="0.25">
      <c r="A5413" t="s">
        <v>5417</v>
      </c>
      <c r="B5413">
        <v>0.99352677808782597</v>
      </c>
      <c r="C5413">
        <v>0.94623756154708005</v>
      </c>
      <c r="D5413">
        <v>0.98929443140406503</v>
      </c>
      <c r="E5413">
        <v>0.82844288180581804</v>
      </c>
      <c r="F5413">
        <v>0.73871407341955397</v>
      </c>
      <c r="G5413">
        <v>0.40035875565498802</v>
      </c>
      <c r="H5413">
        <v>0.15006060777496699</v>
      </c>
      <c r="I5413">
        <v>0.112963906950343</v>
      </c>
      <c r="J5413">
        <v>0.10189267906671</v>
      </c>
      <c r="K5413">
        <v>7.8091128946555205E-2</v>
      </c>
      <c r="L5413">
        <v>1029.4845888754101</v>
      </c>
      <c r="M5413">
        <v>18.641536357284</v>
      </c>
      <c r="N5413">
        <v>55.537798587328197</v>
      </c>
      <c r="O5413">
        <v>54.601571487563199</v>
      </c>
      <c r="P5413">
        <v>-8.1106545490792797E-2</v>
      </c>
      <c r="Q5413">
        <v>4.9787753834744798E-2</v>
      </c>
      <c r="R5413">
        <v>0.99396137271463203</v>
      </c>
      <c r="S5413" t="s">
        <v>11698</v>
      </c>
      <c r="T5413" t="s">
        <v>12568</v>
      </c>
      <c r="U5413" t="s">
        <v>12568</v>
      </c>
      <c r="V5413" t="s">
        <v>12568</v>
      </c>
      <c r="W5413" t="s">
        <v>17930</v>
      </c>
      <c r="X5413">
        <v>23</v>
      </c>
      <c r="Y5413" t="s">
        <v>24023</v>
      </c>
      <c r="Z5413" t="s">
        <v>30283</v>
      </c>
      <c r="AA5413">
        <v>0.54592305265434526</v>
      </c>
      <c r="AB5413" t="str">
        <f>HYPERLINK("Melting_Curves/meltCurve_Q9HB71_CACYBP.pdf", "Melting_Curves/meltCurve_Q9HB71_CACYBP.pdf")</f>
        <v>Melting_Curves/meltCurve_Q9HB71_CACYBP.pdf</v>
      </c>
    </row>
    <row r="5414" spans="1:28" x14ac:dyDescent="0.25">
      <c r="A5414" t="s">
        <v>5418</v>
      </c>
      <c r="B5414">
        <v>0.99352677808782597</v>
      </c>
      <c r="C5414">
        <v>0.990858821562147</v>
      </c>
      <c r="D5414">
        <v>0.95693800273052398</v>
      </c>
      <c r="E5414">
        <v>0.95436842918114295</v>
      </c>
      <c r="F5414">
        <v>0.80790751651157</v>
      </c>
      <c r="G5414">
        <v>0.73646830336540203</v>
      </c>
      <c r="H5414">
        <v>0.64035171358147103</v>
      </c>
      <c r="I5414">
        <v>0.48014700969631302</v>
      </c>
      <c r="J5414">
        <v>0.242393353928363</v>
      </c>
      <c r="K5414">
        <v>0.11983132379040901</v>
      </c>
      <c r="L5414">
        <v>784.22402131848696</v>
      </c>
      <c r="M5414">
        <v>12.6028427982636</v>
      </c>
      <c r="N5414">
        <v>62.225962368508</v>
      </c>
      <c r="O5414">
        <v>60.721615396944401</v>
      </c>
      <c r="P5414">
        <v>-5.1898131606412802E-2</v>
      </c>
      <c r="Q5414">
        <v>0</v>
      </c>
      <c r="R5414">
        <v>0.96842611465678397</v>
      </c>
      <c r="S5414" t="s">
        <v>11699</v>
      </c>
      <c r="T5414" t="s">
        <v>12568</v>
      </c>
      <c r="U5414" t="s">
        <v>12568</v>
      </c>
      <c r="V5414" t="s">
        <v>12568</v>
      </c>
      <c r="W5414" t="s">
        <v>17931</v>
      </c>
      <c r="X5414">
        <v>6</v>
      </c>
      <c r="Y5414" t="s">
        <v>24024</v>
      </c>
      <c r="Z5414" t="s">
        <v>30284</v>
      </c>
      <c r="AA5414">
        <v>0.7300277552918818</v>
      </c>
      <c r="AB5414" t="str">
        <f>HYPERLINK("Melting_Curves/meltCurve_Q9HB90_RRAGC.pdf", "Melting_Curves/meltCurve_Q9HB90_RRAGC.pdf")</f>
        <v>Melting_Curves/meltCurve_Q9HB90_RRAGC.pdf</v>
      </c>
    </row>
    <row r="5415" spans="1:28" x14ac:dyDescent="0.25">
      <c r="A5415" t="s">
        <v>5419</v>
      </c>
      <c r="B5415">
        <v>0.99352677808782597</v>
      </c>
      <c r="C5415">
        <v>0.90031823481678797</v>
      </c>
      <c r="D5415">
        <v>0.76099740265564297</v>
      </c>
      <c r="E5415">
        <v>0.39032378121301697</v>
      </c>
      <c r="F5415">
        <v>0.32318767268083998</v>
      </c>
      <c r="G5415">
        <v>0.29789935258179401</v>
      </c>
      <c r="H5415">
        <v>0.23008568699866</v>
      </c>
      <c r="I5415">
        <v>0.192991155875991</v>
      </c>
      <c r="J5415">
        <v>0.22697752923742301</v>
      </c>
      <c r="K5415">
        <v>0.14551076073635799</v>
      </c>
      <c r="L5415">
        <v>909.87610872889604</v>
      </c>
      <c r="M5415">
        <v>19.0935724676538</v>
      </c>
      <c r="N5415">
        <v>49.008503462380602</v>
      </c>
      <c r="O5415">
        <v>47.140042032723102</v>
      </c>
      <c r="P5415">
        <v>-8.0496787274241394E-2</v>
      </c>
      <c r="Q5415">
        <v>0.20507839141148401</v>
      </c>
      <c r="R5415">
        <v>0.98701839470432695</v>
      </c>
      <c r="S5415" t="s">
        <v>11700</v>
      </c>
      <c r="T5415" t="s">
        <v>12568</v>
      </c>
      <c r="U5415" t="s">
        <v>12568</v>
      </c>
      <c r="V5415" t="s">
        <v>12568</v>
      </c>
      <c r="W5415" t="s">
        <v>17932</v>
      </c>
      <c r="X5415">
        <v>1</v>
      </c>
      <c r="Y5415" t="s">
        <v>24025</v>
      </c>
      <c r="Z5415" t="s">
        <v>30285</v>
      </c>
      <c r="AA5415">
        <v>0.42045830414539459</v>
      </c>
      <c r="AB5415" t="str">
        <f>HYPERLINK("Melting_Curves/meltCurve_Q9HB96_FANCE.pdf", "Melting_Curves/meltCurve_Q9HB96_FANCE.pdf")</f>
        <v>Melting_Curves/meltCurve_Q9HB96_FANCE.pdf</v>
      </c>
    </row>
    <row r="5416" spans="1:28" x14ac:dyDescent="0.25">
      <c r="A5416" t="s">
        <v>5420</v>
      </c>
      <c r="B5416">
        <v>0.99352677808782597</v>
      </c>
      <c r="C5416">
        <v>0.81826822458997395</v>
      </c>
      <c r="D5416">
        <v>0.74836897159654503</v>
      </c>
      <c r="E5416">
        <v>0.67305278993544504</v>
      </c>
      <c r="F5416">
        <v>0.67303659841329799</v>
      </c>
      <c r="G5416">
        <v>0.51552986773321297</v>
      </c>
      <c r="H5416">
        <v>0.35500158888882</v>
      </c>
      <c r="I5416">
        <v>0.39492552091386701</v>
      </c>
      <c r="J5416">
        <v>0.21233399388951699</v>
      </c>
      <c r="K5416">
        <v>0.328603103862533</v>
      </c>
      <c r="L5416">
        <v>331.99417351563301</v>
      </c>
      <c r="M5416">
        <v>5.9115886804167399</v>
      </c>
      <c r="N5416">
        <v>56.921738474796797</v>
      </c>
      <c r="O5416">
        <v>50.739563085023597</v>
      </c>
      <c r="P5416">
        <v>-2.8114896191606401E-2</v>
      </c>
      <c r="Q5416">
        <v>3.8036153764846703E-2</v>
      </c>
      <c r="R5416">
        <v>0.94173495136944396</v>
      </c>
      <c r="S5416" t="s">
        <v>11701</v>
      </c>
      <c r="T5416" t="s">
        <v>12568</v>
      </c>
      <c r="U5416" t="s">
        <v>12568</v>
      </c>
      <c r="V5416" t="s">
        <v>12568</v>
      </c>
      <c r="W5416" t="s">
        <v>17933</v>
      </c>
      <c r="X5416">
        <v>1</v>
      </c>
      <c r="Y5416" t="s">
        <v>24026</v>
      </c>
      <c r="Z5416" t="s">
        <v>30286</v>
      </c>
      <c r="AA5416">
        <v>0.56850401143556573</v>
      </c>
      <c r="AB5416" t="str">
        <f>HYPERLINK("Melting_Curves/meltCurve_Q9HBD1_6_RC3H2.pdf", "Melting_Curves/meltCurve_Q9HBD1_6_RC3H2.pdf")</f>
        <v>Melting_Curves/meltCurve_Q9HBD1_6_RC3H2.pdf</v>
      </c>
    </row>
    <row r="5417" spans="1:28" x14ac:dyDescent="0.25">
      <c r="A5417" t="s">
        <v>5421</v>
      </c>
      <c r="B5417">
        <v>0.99352677808782597</v>
      </c>
      <c r="C5417">
        <v>0.97808810237258803</v>
      </c>
      <c r="D5417">
        <v>0.89205356055914298</v>
      </c>
      <c r="E5417">
        <v>1.0925985638364499</v>
      </c>
      <c r="F5417">
        <v>1.04119103373618</v>
      </c>
      <c r="G5417">
        <v>0.61299171228076499</v>
      </c>
      <c r="H5417">
        <v>0.80439386283188097</v>
      </c>
      <c r="I5417">
        <v>0.79793978451693004</v>
      </c>
      <c r="J5417">
        <v>0.71714675617648205</v>
      </c>
      <c r="K5417">
        <v>0.84273312082472895</v>
      </c>
      <c r="L5417">
        <v>6827.4062233273999</v>
      </c>
      <c r="M5417">
        <v>124.862105090109</v>
      </c>
      <c r="O5417">
        <v>54.665547228045398</v>
      </c>
      <c r="P5417">
        <v>-0.1398393298957</v>
      </c>
      <c r="Q5417">
        <v>0.75510926044219795</v>
      </c>
      <c r="R5417">
        <v>0.72320927086043496</v>
      </c>
      <c r="S5417" t="s">
        <v>11702</v>
      </c>
      <c r="T5417" t="s">
        <v>12568</v>
      </c>
      <c r="U5417" t="s">
        <v>12568</v>
      </c>
      <c r="V5417" t="s">
        <v>12568</v>
      </c>
      <c r="W5417" t="s">
        <v>17934</v>
      </c>
      <c r="X5417">
        <v>1</v>
      </c>
      <c r="Y5417" t="s">
        <v>24027</v>
      </c>
      <c r="Z5417" t="s">
        <v>30287</v>
      </c>
      <c r="AA5417">
        <v>0.87503322390400606</v>
      </c>
      <c r="AB5417" t="str">
        <f>HYPERLINK("Melting_Curves/meltCurve_Q9HBE1_4_PATZ1.pdf", "Melting_Curves/meltCurve_Q9HBE1_4_PATZ1.pdf")</f>
        <v>Melting_Curves/meltCurve_Q9HBE1_4_PATZ1.pdf</v>
      </c>
    </row>
    <row r="5418" spans="1:28" x14ac:dyDescent="0.25">
      <c r="A5418" t="s">
        <v>5422</v>
      </c>
      <c r="B5418">
        <v>0.99352677808782597</v>
      </c>
      <c r="C5418">
        <v>0.98957010869611295</v>
      </c>
      <c r="D5418">
        <v>0.91518128312244995</v>
      </c>
      <c r="E5418">
        <v>0.817564768344058</v>
      </c>
      <c r="F5418">
        <v>0.76496681631762897</v>
      </c>
      <c r="G5418">
        <v>0.56473851157432997</v>
      </c>
      <c r="H5418">
        <v>0.34989958058865001</v>
      </c>
      <c r="I5418">
        <v>0.31274328119640699</v>
      </c>
      <c r="J5418">
        <v>0.17657208098882099</v>
      </c>
      <c r="K5418">
        <v>0.17549641349650499</v>
      </c>
      <c r="L5418">
        <v>603.36047704995997</v>
      </c>
      <c r="M5418">
        <v>10.395423263260801</v>
      </c>
      <c r="N5418">
        <v>58.1777162404221</v>
      </c>
      <c r="O5418">
        <v>56.016375391210602</v>
      </c>
      <c r="P5418">
        <v>-4.5853852314950198E-2</v>
      </c>
      <c r="Q5418">
        <v>1.2069000846407199E-2</v>
      </c>
      <c r="R5418">
        <v>0.99377017135428303</v>
      </c>
      <c r="S5418" t="s">
        <v>11703</v>
      </c>
      <c r="T5418" t="s">
        <v>12568</v>
      </c>
      <c r="U5418" t="s">
        <v>12568</v>
      </c>
      <c r="V5418" t="s">
        <v>12568</v>
      </c>
      <c r="W5418" t="s">
        <v>17935</v>
      </c>
      <c r="X5418">
        <v>2</v>
      </c>
      <c r="Y5418" t="s">
        <v>24028</v>
      </c>
      <c r="Z5418" t="s">
        <v>30288</v>
      </c>
      <c r="AA5418">
        <v>0.61649815072048497</v>
      </c>
      <c r="AB5418" t="str">
        <f>HYPERLINK("Melting_Curves/meltCurve_Q9HBH1_PDF.pdf", "Melting_Curves/meltCurve_Q9HBH1_PDF.pdf")</f>
        <v>Melting_Curves/meltCurve_Q9HBH1_PDF.pdf</v>
      </c>
    </row>
    <row r="5419" spans="1:28" x14ac:dyDescent="0.25">
      <c r="A5419" t="s">
        <v>5423</v>
      </c>
      <c r="B5419">
        <v>0.99352677808782597</v>
      </c>
      <c r="C5419">
        <v>0.98148698501284104</v>
      </c>
      <c r="D5419">
        <v>0.93965736825318102</v>
      </c>
      <c r="E5419">
        <v>0.39353981334517901</v>
      </c>
      <c r="F5419">
        <v>0.282133217493305</v>
      </c>
      <c r="G5419">
        <v>0.138867167693144</v>
      </c>
      <c r="H5419">
        <v>9.2181376741645199E-2</v>
      </c>
      <c r="I5419">
        <v>0.101883643903392</v>
      </c>
      <c r="J5419">
        <v>5.9045792908168998E-2</v>
      </c>
      <c r="K5419">
        <v>4.0142974763450197E-2</v>
      </c>
      <c r="L5419">
        <v>1307.4500336549299</v>
      </c>
      <c r="M5419">
        <v>26.520954714530699</v>
      </c>
      <c r="N5419">
        <v>49.651367094530102</v>
      </c>
      <c r="O5419">
        <v>49.021032871886497</v>
      </c>
      <c r="P5419">
        <v>-0.123644923940558</v>
      </c>
      <c r="Q5419">
        <v>8.5834405438318606E-2</v>
      </c>
      <c r="R5419">
        <v>0.98873935022204096</v>
      </c>
      <c r="S5419" t="s">
        <v>11704</v>
      </c>
      <c r="T5419" t="s">
        <v>12568</v>
      </c>
      <c r="U5419" t="s">
        <v>12568</v>
      </c>
      <c r="V5419" t="s">
        <v>12568</v>
      </c>
      <c r="W5419" t="s">
        <v>17936</v>
      </c>
      <c r="X5419">
        <v>4</v>
      </c>
      <c r="Y5419" t="s">
        <v>24029</v>
      </c>
      <c r="Z5419" t="s">
        <v>30289</v>
      </c>
      <c r="AA5419">
        <v>0.37638228792344319</v>
      </c>
      <c r="AB5419" t="str">
        <f>HYPERLINK("Melting_Curves/meltCurve_Q9HBI1_PARVB.pdf", "Melting_Curves/meltCurve_Q9HBI1_PARVB.pdf")</f>
        <v>Melting_Curves/meltCurve_Q9HBI1_PARVB.pdf</v>
      </c>
    </row>
    <row r="5420" spans="1:28" x14ac:dyDescent="0.25">
      <c r="A5420" t="s">
        <v>5424</v>
      </c>
      <c r="B5420">
        <v>0.99352677808782597</v>
      </c>
      <c r="C5420">
        <v>0.93613887562926201</v>
      </c>
      <c r="D5420">
        <v>0.891985549537332</v>
      </c>
      <c r="E5420">
        <v>0.26445680349511602</v>
      </c>
      <c r="F5420">
        <v>0.19776731867554601</v>
      </c>
      <c r="G5420">
        <v>0.121579008608159</v>
      </c>
      <c r="H5420">
        <v>9.1974880926449398E-2</v>
      </c>
      <c r="I5420">
        <v>9.3148834071118694E-2</v>
      </c>
      <c r="J5420">
        <v>7.6855401260872896E-2</v>
      </c>
      <c r="K5420">
        <v>5.9508548896999899E-2</v>
      </c>
      <c r="L5420">
        <v>1770.2639458206099</v>
      </c>
      <c r="M5420">
        <v>36.700338211518599</v>
      </c>
      <c r="N5420">
        <v>48.5217988533511</v>
      </c>
      <c r="O5420">
        <v>48.093087565953503</v>
      </c>
      <c r="P5420">
        <v>-0.17221295725065899</v>
      </c>
      <c r="Q5420">
        <v>9.7313097664488493E-2</v>
      </c>
      <c r="R5420">
        <v>0.99209606721604904</v>
      </c>
      <c r="S5420" t="s">
        <v>11705</v>
      </c>
      <c r="T5420" t="s">
        <v>12568</v>
      </c>
      <c r="U5420" t="s">
        <v>12568</v>
      </c>
      <c r="V5420" t="s">
        <v>12568</v>
      </c>
      <c r="W5420" t="s">
        <v>17937</v>
      </c>
      <c r="X5420">
        <v>9</v>
      </c>
      <c r="Y5420" t="s">
        <v>24030</v>
      </c>
      <c r="Z5420" t="s">
        <v>30290</v>
      </c>
      <c r="AA5420">
        <v>0.34871452137357378</v>
      </c>
      <c r="AB5420" t="str">
        <f>HYPERLINK("Melting_Curves/meltCurve_Q9HBK9_AS3MT.pdf", "Melting_Curves/meltCurve_Q9HBK9_AS3MT.pdf")</f>
        <v>Melting_Curves/meltCurve_Q9HBK9_AS3MT.pdf</v>
      </c>
    </row>
    <row r="5421" spans="1:28" x14ac:dyDescent="0.25">
      <c r="A5421" t="s">
        <v>5425</v>
      </c>
      <c r="B5421">
        <v>0.99352677808782597</v>
      </c>
      <c r="C5421">
        <v>0.83488960049008198</v>
      </c>
      <c r="D5421">
        <v>0.55768439516912705</v>
      </c>
      <c r="E5421">
        <v>0.236397018506742</v>
      </c>
      <c r="F5421">
        <v>0.177436938598074</v>
      </c>
      <c r="G5421">
        <v>0.113173625465774</v>
      </c>
      <c r="H5421">
        <v>7.5675558720304306E-2</v>
      </c>
      <c r="I5421">
        <v>6.9086078892991606E-2</v>
      </c>
      <c r="J5421">
        <v>5.8353482834900203E-2</v>
      </c>
      <c r="K5421">
        <v>4.1987233133045199E-2</v>
      </c>
      <c r="L5421">
        <v>887.06847958909498</v>
      </c>
      <c r="M5421">
        <v>19.1390508647657</v>
      </c>
      <c r="N5421">
        <v>46.694824756052803</v>
      </c>
      <c r="O5421">
        <v>45.851513672481303</v>
      </c>
      <c r="P5421">
        <v>-9.7454492954003102E-2</v>
      </c>
      <c r="Q5421">
        <v>6.6147433873251504E-2</v>
      </c>
      <c r="R5421">
        <v>0.99641575328336995</v>
      </c>
      <c r="S5421" t="s">
        <v>11706</v>
      </c>
      <c r="T5421" t="s">
        <v>12568</v>
      </c>
      <c r="U5421" t="s">
        <v>12568</v>
      </c>
      <c r="V5421" t="s">
        <v>12568</v>
      </c>
      <c r="W5421" t="s">
        <v>17938</v>
      </c>
      <c r="X5421">
        <v>9</v>
      </c>
      <c r="Y5421" t="s">
        <v>24031</v>
      </c>
      <c r="Z5421" t="s">
        <v>30291</v>
      </c>
      <c r="AA5421">
        <v>0.27935939271821858</v>
      </c>
      <c r="AB5421" t="str">
        <f>HYPERLINK("Melting_Curves/meltCurve_Q9HBL8_NMRAL1.pdf", "Melting_Curves/meltCurve_Q9HBL8_NMRAL1.pdf")</f>
        <v>Melting_Curves/meltCurve_Q9HBL8_NMRAL1.pdf</v>
      </c>
    </row>
    <row r="5422" spans="1:28" x14ac:dyDescent="0.25">
      <c r="A5422" t="s">
        <v>5426</v>
      </c>
      <c r="B5422">
        <v>0.99352677808782597</v>
      </c>
      <c r="C5422">
        <v>1.0174309150365399</v>
      </c>
      <c r="D5422">
        <v>0.96118598314261205</v>
      </c>
      <c r="E5422">
        <v>0.32955724298313399</v>
      </c>
      <c r="F5422">
        <v>0.24796950711287599</v>
      </c>
      <c r="G5422">
        <v>0.109439687661987</v>
      </c>
      <c r="H5422">
        <v>5.7767543094318002E-2</v>
      </c>
      <c r="I5422">
        <v>3.7213087869689E-2</v>
      </c>
      <c r="J5422">
        <v>4.1530592775664697E-2</v>
      </c>
      <c r="K5422">
        <v>4.0684520113867903E-2</v>
      </c>
      <c r="L5422">
        <v>1642.67726974682</v>
      </c>
      <c r="M5422">
        <v>33.510820192047802</v>
      </c>
      <c r="N5422">
        <v>49.237669105688397</v>
      </c>
      <c r="O5422">
        <v>48.845734350676899</v>
      </c>
      <c r="P5422">
        <v>-0.15967208191044499</v>
      </c>
      <c r="Q5422">
        <v>6.9044889431749995E-2</v>
      </c>
      <c r="R5422">
        <v>0.98640623680581496</v>
      </c>
      <c r="S5422" t="s">
        <v>11707</v>
      </c>
      <c r="T5422" t="s">
        <v>12568</v>
      </c>
      <c r="U5422" t="s">
        <v>12568</v>
      </c>
      <c r="V5422" t="s">
        <v>12568</v>
      </c>
      <c r="W5422" t="s">
        <v>17939</v>
      </c>
      <c r="X5422">
        <v>4</v>
      </c>
      <c r="Y5422" t="s">
        <v>24032</v>
      </c>
      <c r="Z5422" t="s">
        <v>30292</v>
      </c>
      <c r="AA5422">
        <v>0.35345412949214622</v>
      </c>
      <c r="AB5422" t="str">
        <f>HYPERLINK("Melting_Curves/meltCurve_Q9HBM1_SPC25.pdf", "Melting_Curves/meltCurve_Q9HBM1_SPC25.pdf")</f>
        <v>Melting_Curves/meltCurve_Q9HBM1_SPC25.pdf</v>
      </c>
    </row>
    <row r="5423" spans="1:28" x14ac:dyDescent="0.25">
      <c r="A5423" t="s">
        <v>5427</v>
      </c>
      <c r="B5423">
        <v>0.99352677808782597</v>
      </c>
      <c r="C5423">
        <v>0.94563089828468505</v>
      </c>
      <c r="D5423">
        <v>1.0308342284135299</v>
      </c>
      <c r="E5423">
        <v>1.0369367827234901</v>
      </c>
      <c r="F5423">
        <v>1.06080379760718</v>
      </c>
      <c r="G5423">
        <v>1.09180697461156</v>
      </c>
      <c r="H5423">
        <v>1.03209820801704</v>
      </c>
      <c r="I5423">
        <v>1.18215273008396</v>
      </c>
      <c r="J5423">
        <v>1.14309236334927</v>
      </c>
      <c r="K5423">
        <v>1.08274846213256</v>
      </c>
      <c r="L5423">
        <v>732.15991868649701</v>
      </c>
      <c r="M5423">
        <v>13.593343369130199</v>
      </c>
      <c r="O5423">
        <v>52.736061222019799</v>
      </c>
      <c r="P5423">
        <v>8.0630934508916698E-3</v>
      </c>
      <c r="Q5423">
        <v>1.12510616922044</v>
      </c>
      <c r="R5423">
        <v>0.62693925348494595</v>
      </c>
      <c r="S5423" t="s">
        <v>11708</v>
      </c>
      <c r="T5423" t="s">
        <v>12568</v>
      </c>
      <c r="U5423" t="s">
        <v>12568</v>
      </c>
      <c r="V5423" t="s">
        <v>12568</v>
      </c>
      <c r="W5423" t="s">
        <v>17940</v>
      </c>
      <c r="X5423">
        <v>6</v>
      </c>
      <c r="Y5423" t="s">
        <v>24033</v>
      </c>
      <c r="Z5423" t="s">
        <v>30293</v>
      </c>
      <c r="AA5423">
        <v>1.0643919505996779</v>
      </c>
      <c r="AB5423" t="str">
        <f>HYPERLINK("Melting_Curves/meltCurve_Q9HBR0_SLC38A10.pdf", "Melting_Curves/meltCurve_Q9HBR0_SLC38A10.pdf")</f>
        <v>Melting_Curves/meltCurve_Q9HBR0_SLC38A10.pdf</v>
      </c>
    </row>
    <row r="5424" spans="1:28" x14ac:dyDescent="0.25">
      <c r="A5424" t="s">
        <v>5428</v>
      </c>
      <c r="B5424">
        <v>0.99352677808782597</v>
      </c>
      <c r="C5424">
        <v>0.99762309895712697</v>
      </c>
      <c r="D5424">
        <v>0.99874616117349402</v>
      </c>
      <c r="E5424">
        <v>0.58123943639779496</v>
      </c>
      <c r="F5424">
        <v>0.40906525141993799</v>
      </c>
      <c r="G5424">
        <v>0.23121443516785201</v>
      </c>
      <c r="H5424">
        <v>0.11627229520639</v>
      </c>
      <c r="I5424">
        <v>0.11854545983559001</v>
      </c>
      <c r="J5424">
        <v>9.1975874905951299E-2</v>
      </c>
      <c r="K5424">
        <v>7.7779592659128205E-2</v>
      </c>
      <c r="L5424">
        <v>1049.94571103167</v>
      </c>
      <c r="M5424">
        <v>20.554557431938498</v>
      </c>
      <c r="N5424">
        <v>51.614513345620502</v>
      </c>
      <c r="O5424">
        <v>50.6047966682873</v>
      </c>
      <c r="P5424">
        <v>-9.1827624666381405E-2</v>
      </c>
      <c r="Q5424">
        <v>9.5717314059293193E-2</v>
      </c>
      <c r="R5424">
        <v>0.99012911398138403</v>
      </c>
      <c r="S5424" t="s">
        <v>11709</v>
      </c>
      <c r="T5424" t="s">
        <v>12568</v>
      </c>
      <c r="U5424" t="s">
        <v>12568</v>
      </c>
      <c r="V5424" t="s">
        <v>12568</v>
      </c>
      <c r="W5424" t="s">
        <v>17941</v>
      </c>
      <c r="X5424">
        <v>7</v>
      </c>
      <c r="Y5424" t="s">
        <v>24034</v>
      </c>
      <c r="Z5424" t="s">
        <v>30294</v>
      </c>
      <c r="AA5424">
        <v>0.44165027499524312</v>
      </c>
      <c r="AB5424" t="str">
        <f>HYPERLINK("Melting_Curves/meltCurve_Q9HBU6_ETNK1.pdf", "Melting_Curves/meltCurve_Q9HBU6_ETNK1.pdf")</f>
        <v>Melting_Curves/meltCurve_Q9HBU6_ETNK1.pdf</v>
      </c>
    </row>
    <row r="5425" spans="1:28" x14ac:dyDescent="0.25">
      <c r="A5425" t="s">
        <v>5429</v>
      </c>
      <c r="B5425">
        <v>0.99352677808782597</v>
      </c>
      <c r="C5425">
        <v>0.83069789164351704</v>
      </c>
      <c r="D5425">
        <v>0.90633943951914298</v>
      </c>
      <c r="E5425">
        <v>0.46043249004176801</v>
      </c>
      <c r="F5425">
        <v>0.49590185807547899</v>
      </c>
      <c r="G5425">
        <v>0.25869470265571098</v>
      </c>
      <c r="H5425">
        <v>0.17745441852194199</v>
      </c>
      <c r="I5425">
        <v>0.15631927874190099</v>
      </c>
      <c r="J5425">
        <v>0.148796944603376</v>
      </c>
      <c r="K5425">
        <v>0.11468279584034501</v>
      </c>
      <c r="L5425">
        <v>639.30687811840698</v>
      </c>
      <c r="M5425">
        <v>12.667466902328</v>
      </c>
      <c r="N5425">
        <v>51.352946802927001</v>
      </c>
      <c r="O5425">
        <v>49.260248821614802</v>
      </c>
      <c r="P5425">
        <v>-5.7998591588303498E-2</v>
      </c>
      <c r="Q5425">
        <v>9.8014997861319494E-2</v>
      </c>
      <c r="R5425">
        <v>0.96231038845151295</v>
      </c>
      <c r="S5425" t="s">
        <v>11710</v>
      </c>
      <c r="T5425" t="s">
        <v>12568</v>
      </c>
      <c r="U5425" t="s">
        <v>12568</v>
      </c>
      <c r="V5425" t="s">
        <v>12568</v>
      </c>
      <c r="W5425" t="s">
        <v>17942</v>
      </c>
      <c r="X5425">
        <v>1</v>
      </c>
      <c r="Y5425" t="s">
        <v>24035</v>
      </c>
      <c r="Z5425" t="s">
        <v>30295</v>
      </c>
      <c r="AA5425">
        <v>0.44071736280715712</v>
      </c>
      <c r="AB5425" t="str">
        <f>HYPERLINK("Melting_Curves/meltCurve_Q9HBZ2_2_ARNT2.pdf", "Melting_Curves/meltCurve_Q9HBZ2_2_ARNT2.pdf")</f>
        <v>Melting_Curves/meltCurve_Q9HBZ2_2_ARNT2.pdf</v>
      </c>
    </row>
    <row r="5426" spans="1:28" x14ac:dyDescent="0.25">
      <c r="A5426" t="s">
        <v>5430</v>
      </c>
      <c r="B5426">
        <v>0.99352677808782597</v>
      </c>
      <c r="C5426">
        <v>0.96326178102717996</v>
      </c>
      <c r="D5426">
        <v>0.92389410790517601</v>
      </c>
      <c r="E5426">
        <v>0.40600057952858298</v>
      </c>
      <c r="F5426">
        <v>0.32696178808290899</v>
      </c>
      <c r="G5426">
        <v>0.23075860455674499</v>
      </c>
      <c r="H5426">
        <v>0.17134253102881999</v>
      </c>
      <c r="I5426">
        <v>0.178130382871592</v>
      </c>
      <c r="J5426">
        <v>0.16617116059691101</v>
      </c>
      <c r="K5426">
        <v>0.13428039445408901</v>
      </c>
      <c r="L5426">
        <v>1402.58970297625</v>
      </c>
      <c r="M5426">
        <v>28.721180879113199</v>
      </c>
      <c r="N5426">
        <v>49.603140086013497</v>
      </c>
      <c r="O5426">
        <v>48.599789274887002</v>
      </c>
      <c r="P5426">
        <v>-0.12121361758355501</v>
      </c>
      <c r="Q5426">
        <v>0.179572868717088</v>
      </c>
      <c r="R5426">
        <v>0.98840717080984997</v>
      </c>
      <c r="S5426" t="s">
        <v>11711</v>
      </c>
      <c r="T5426" t="s">
        <v>12568</v>
      </c>
      <c r="U5426" t="s">
        <v>12568</v>
      </c>
      <c r="V5426" t="s">
        <v>12568</v>
      </c>
      <c r="W5426" t="s">
        <v>17943</v>
      </c>
      <c r="X5426">
        <v>36</v>
      </c>
      <c r="Y5426" t="s">
        <v>24036</v>
      </c>
      <c r="Z5426" t="s">
        <v>30296</v>
      </c>
      <c r="AA5426">
        <v>0.42663285170567089</v>
      </c>
      <c r="AB5426" t="str">
        <f>HYPERLINK("Melting_Curves/meltCurve_Q9HC35_EML4.pdf", "Melting_Curves/meltCurve_Q9HC35_EML4.pdf")</f>
        <v>Melting_Curves/meltCurve_Q9HC35_EML4.pdf</v>
      </c>
    </row>
    <row r="5427" spans="1:28" x14ac:dyDescent="0.25">
      <c r="A5427" t="s">
        <v>5431</v>
      </c>
      <c r="B5427">
        <v>0.99352677808782597</v>
      </c>
      <c r="C5427">
        <v>0.69336591202175601</v>
      </c>
      <c r="D5427">
        <v>1.01848033958603</v>
      </c>
      <c r="E5427">
        <v>0.62492658476624097</v>
      </c>
      <c r="F5427">
        <v>0.54967711438405598</v>
      </c>
      <c r="G5427">
        <v>0.15606659971508399</v>
      </c>
      <c r="H5427">
        <v>9.7213384538222203E-2</v>
      </c>
      <c r="I5427">
        <v>9.3376480198636494E-2</v>
      </c>
      <c r="J5427">
        <v>7.02274475579103E-2</v>
      </c>
      <c r="K5427">
        <v>5.55292494600255E-2</v>
      </c>
      <c r="L5427">
        <v>799.96278327710297</v>
      </c>
      <c r="M5427">
        <v>15.2967896850787</v>
      </c>
      <c r="N5427">
        <v>52.440163630514498</v>
      </c>
      <c r="O5427">
        <v>51.4268023855129</v>
      </c>
      <c r="P5427">
        <v>-7.2838713535707103E-2</v>
      </c>
      <c r="Q5427">
        <v>2.05757415708612E-2</v>
      </c>
      <c r="R5427">
        <v>0.91958449872436299</v>
      </c>
      <c r="S5427" t="s">
        <v>11712</v>
      </c>
      <c r="T5427" t="s">
        <v>12568</v>
      </c>
      <c r="U5427" t="s">
        <v>12568</v>
      </c>
      <c r="V5427" t="s">
        <v>12568</v>
      </c>
      <c r="W5427" t="s">
        <v>17944</v>
      </c>
      <c r="X5427">
        <v>25</v>
      </c>
      <c r="Y5427" t="s">
        <v>24037</v>
      </c>
      <c r="Z5427" t="s">
        <v>30297</v>
      </c>
      <c r="AA5427">
        <v>0.44305180238445158</v>
      </c>
      <c r="AB5427" t="str">
        <f>HYPERLINK("Melting_Curves/meltCurve_Q9HC38_2_GLOD4.pdf", "Melting_Curves/meltCurve_Q9HC38_2_GLOD4.pdf")</f>
        <v>Melting_Curves/meltCurve_Q9HC38_2_GLOD4.pdf</v>
      </c>
    </row>
    <row r="5428" spans="1:28" x14ac:dyDescent="0.25">
      <c r="A5428" t="s">
        <v>5432</v>
      </c>
      <c r="B5428">
        <v>0.99352677808782597</v>
      </c>
      <c r="C5428">
        <v>0.89099540711143099</v>
      </c>
      <c r="D5428">
        <v>1.00374198972886</v>
      </c>
      <c r="E5428">
        <v>0.81719312963676705</v>
      </c>
      <c r="F5428">
        <v>0.80283407626949999</v>
      </c>
      <c r="G5428">
        <v>0.69722591267854706</v>
      </c>
      <c r="H5428">
        <v>0.68202924527261399</v>
      </c>
      <c r="I5428">
        <v>0.68396366091187899</v>
      </c>
      <c r="J5428">
        <v>0.63888824389082199</v>
      </c>
      <c r="K5428">
        <v>0.63209951306884504</v>
      </c>
      <c r="L5428">
        <v>595.74260486425499</v>
      </c>
      <c r="M5428">
        <v>11.4997493784463</v>
      </c>
      <c r="O5428">
        <v>50.3125668450079</v>
      </c>
      <c r="P5428">
        <v>-2.1663475898326699E-2</v>
      </c>
      <c r="Q5428">
        <v>0.62098817203817103</v>
      </c>
      <c r="R5428">
        <v>0.91950923797825501</v>
      </c>
      <c r="S5428" t="s">
        <v>11713</v>
      </c>
      <c r="T5428" t="s">
        <v>12568</v>
      </c>
      <c r="U5428" t="s">
        <v>12568</v>
      </c>
      <c r="V5428" t="s">
        <v>12568</v>
      </c>
      <c r="W5428" t="s">
        <v>17945</v>
      </c>
      <c r="X5428">
        <v>5</v>
      </c>
      <c r="Y5428" t="s">
        <v>24038</v>
      </c>
      <c r="Z5428" t="s">
        <v>30298</v>
      </c>
      <c r="AA5428">
        <v>0.78254106253318378</v>
      </c>
      <c r="AB5428" t="str">
        <f>HYPERLINK("Melting_Curves/meltCurve_Q9HC52_CBX8.pdf", "Melting_Curves/meltCurve_Q9HC52_CBX8.pdf")</f>
        <v>Melting_Curves/meltCurve_Q9HC52_CBX8.pdf</v>
      </c>
    </row>
    <row r="5429" spans="1:28" x14ac:dyDescent="0.25">
      <c r="A5429" t="s">
        <v>5433</v>
      </c>
      <c r="B5429">
        <v>0.99352677808782597</v>
      </c>
      <c r="C5429">
        <v>1.0506340598766299</v>
      </c>
      <c r="D5429">
        <v>0.90107396016089802</v>
      </c>
      <c r="E5429">
        <v>0.73106259631036496</v>
      </c>
      <c r="F5429">
        <v>0.71703633739928996</v>
      </c>
      <c r="G5429">
        <v>0.53408898315245301</v>
      </c>
      <c r="H5429">
        <v>0.83541631368467895</v>
      </c>
      <c r="I5429">
        <v>0.61326522738782396</v>
      </c>
      <c r="J5429">
        <v>0.80493091348722001</v>
      </c>
      <c r="K5429">
        <v>0.44397632982648499</v>
      </c>
      <c r="L5429">
        <v>1376.24024683226</v>
      </c>
      <c r="M5429">
        <v>28.727843027035799</v>
      </c>
      <c r="O5429">
        <v>47.675794030367399</v>
      </c>
      <c r="P5429">
        <v>-5.2272144352637301E-2</v>
      </c>
      <c r="Q5429">
        <v>0.65300594002099599</v>
      </c>
      <c r="R5429">
        <v>0.64149919347373896</v>
      </c>
      <c r="S5429" t="s">
        <v>11714</v>
      </c>
      <c r="T5429" t="s">
        <v>12568</v>
      </c>
      <c r="U5429" t="s">
        <v>12568</v>
      </c>
      <c r="V5429" t="s">
        <v>12568</v>
      </c>
      <c r="W5429" t="s">
        <v>17946</v>
      </c>
      <c r="X5429">
        <v>4</v>
      </c>
      <c r="Y5429" t="s">
        <v>24039</v>
      </c>
      <c r="Z5429" t="s">
        <v>30299</v>
      </c>
      <c r="AA5429">
        <v>0.74673757961831511</v>
      </c>
      <c r="AB5429" t="str">
        <f>HYPERLINK("Melting_Curves/meltCurve_Q9HC84_MUC5B.pdf", "Melting_Curves/meltCurve_Q9HC84_MUC5B.pdf")</f>
        <v>Melting_Curves/meltCurve_Q9HC84_MUC5B.pdf</v>
      </c>
    </row>
    <row r="5430" spans="1:28" x14ac:dyDescent="0.25">
      <c r="A5430" t="s">
        <v>5434</v>
      </c>
      <c r="B5430">
        <v>0.99352677808782597</v>
      </c>
      <c r="C5430">
        <v>0.81501921575454905</v>
      </c>
      <c r="D5430">
        <v>0.63014022839740802</v>
      </c>
      <c r="E5430">
        <v>0.50219670890595502</v>
      </c>
      <c r="F5430">
        <v>0.46203909145028899</v>
      </c>
      <c r="G5430">
        <v>0.35129617081285602</v>
      </c>
      <c r="H5430">
        <v>0.33517994979031002</v>
      </c>
      <c r="I5430">
        <v>0.33806212771913502</v>
      </c>
      <c r="J5430">
        <v>0.212937529272967</v>
      </c>
      <c r="K5430">
        <v>8.7788778228077E-2</v>
      </c>
      <c r="L5430">
        <v>410.17874629233597</v>
      </c>
      <c r="M5430">
        <v>8.29068638163006</v>
      </c>
      <c r="N5430">
        <v>51.322945758335401</v>
      </c>
      <c r="O5430">
        <v>46.8468675798173</v>
      </c>
      <c r="P5430">
        <v>-3.8571497845805297E-2</v>
      </c>
      <c r="Q5430">
        <v>0.12906232479329099</v>
      </c>
      <c r="R5430">
        <v>0.939679040502575</v>
      </c>
      <c r="S5430" t="s">
        <v>11715</v>
      </c>
      <c r="T5430" t="s">
        <v>12568</v>
      </c>
      <c r="U5430" t="s">
        <v>12568</v>
      </c>
      <c r="V5430" t="s">
        <v>12568</v>
      </c>
      <c r="W5430" t="s">
        <v>17947</v>
      </c>
      <c r="X5430">
        <v>14</v>
      </c>
      <c r="Y5430" t="s">
        <v>24040</v>
      </c>
      <c r="Z5430" t="s">
        <v>30300</v>
      </c>
      <c r="AA5430">
        <v>0.45667960211326891</v>
      </c>
      <c r="AB5430" t="str">
        <f>HYPERLINK("Melting_Curves/meltCurve_Q9HCC0_MCCC2.pdf", "Melting_Curves/meltCurve_Q9HCC0_MCCC2.pdf")</f>
        <v>Melting_Curves/meltCurve_Q9HCC0_MCCC2.pdf</v>
      </c>
    </row>
    <row r="5431" spans="1:28" x14ac:dyDescent="0.25">
      <c r="A5431" t="s">
        <v>5435</v>
      </c>
      <c r="B5431">
        <v>0.99352677808782597</v>
      </c>
      <c r="C5431">
        <v>0.89497936880505302</v>
      </c>
      <c r="D5431">
        <v>0.87588257216244803</v>
      </c>
      <c r="E5431">
        <v>0.47786640235206002</v>
      </c>
      <c r="F5431">
        <v>0.56719541952150898</v>
      </c>
      <c r="G5431">
        <v>0.336217960149234</v>
      </c>
      <c r="H5431">
        <v>0.39483441135971797</v>
      </c>
      <c r="I5431">
        <v>0.43073152479793098</v>
      </c>
      <c r="J5431">
        <v>0.39861370883021802</v>
      </c>
      <c r="K5431">
        <v>0</v>
      </c>
      <c r="L5431">
        <v>514.90672895936598</v>
      </c>
      <c r="M5431">
        <v>10.1708546009885</v>
      </c>
      <c r="N5431">
        <v>53.454312867459599</v>
      </c>
      <c r="O5431">
        <v>48.785622064912701</v>
      </c>
      <c r="P5431">
        <v>-4.12926790745759E-2</v>
      </c>
      <c r="Q5431">
        <v>0.20810150487064299</v>
      </c>
      <c r="R5431">
        <v>0.82845154998958304</v>
      </c>
      <c r="S5431" t="s">
        <v>11716</v>
      </c>
      <c r="T5431" t="s">
        <v>12568</v>
      </c>
      <c r="U5431" t="s">
        <v>12568</v>
      </c>
      <c r="V5431" t="s">
        <v>12568</v>
      </c>
      <c r="W5431" t="s">
        <v>17948</v>
      </c>
      <c r="X5431">
        <v>1</v>
      </c>
      <c r="Y5431" t="s">
        <v>24041</v>
      </c>
      <c r="Z5431" t="s">
        <v>30301</v>
      </c>
      <c r="AA5431">
        <v>0.52184888959739217</v>
      </c>
      <c r="AB5431" t="str">
        <f>HYPERLINK("Melting_Curves/meltCurve_Q9HCC9_5_ZFYVE28.pdf", "Melting_Curves/meltCurve_Q9HCC9_5_ZFYVE28.pdf")</f>
        <v>Melting_Curves/meltCurve_Q9HCC9_5_ZFYVE28.pdf</v>
      </c>
    </row>
    <row r="5432" spans="1:28" x14ac:dyDescent="0.25">
      <c r="A5432" t="s">
        <v>5436</v>
      </c>
      <c r="B5432">
        <v>0.99352677808782597</v>
      </c>
      <c r="C5432">
        <v>0.98013275456582905</v>
      </c>
      <c r="D5432">
        <v>0.97235345328107203</v>
      </c>
      <c r="E5432">
        <v>0.72445510763668797</v>
      </c>
      <c r="F5432">
        <v>0.67727557317940301</v>
      </c>
      <c r="G5432">
        <v>0.54847435880183704</v>
      </c>
      <c r="H5432">
        <v>0.44407822899796501</v>
      </c>
      <c r="I5432">
        <v>0.47054785492804801</v>
      </c>
      <c r="J5432">
        <v>0.42102688254236897</v>
      </c>
      <c r="K5432">
        <v>0.38014705319859898</v>
      </c>
      <c r="L5432">
        <v>740.69046149426197</v>
      </c>
      <c r="M5432">
        <v>14.2267499296116</v>
      </c>
      <c r="N5432">
        <v>58.466702384500103</v>
      </c>
      <c r="O5432">
        <v>51.066962645747502</v>
      </c>
      <c r="P5432">
        <v>-4.2160180662605101E-2</v>
      </c>
      <c r="Q5432">
        <v>0.39473882787178599</v>
      </c>
      <c r="R5432">
        <v>0.98263427809410797</v>
      </c>
      <c r="S5432" t="s">
        <v>11717</v>
      </c>
      <c r="T5432" t="s">
        <v>12568</v>
      </c>
      <c r="U5432" t="s">
        <v>12568</v>
      </c>
      <c r="V5432" t="s">
        <v>12568</v>
      </c>
      <c r="W5432" t="s">
        <v>17949</v>
      </c>
      <c r="X5432">
        <v>4</v>
      </c>
      <c r="Y5432" t="s">
        <v>24042</v>
      </c>
      <c r="Z5432" t="s">
        <v>30302</v>
      </c>
      <c r="AA5432">
        <v>0.65272951429601656</v>
      </c>
      <c r="AB5432" t="str">
        <f>HYPERLINK("Melting_Curves/meltCurve_Q9HCD5_NCOA5.pdf", "Melting_Curves/meltCurve_Q9HCD5_NCOA5.pdf")</f>
        <v>Melting_Curves/meltCurve_Q9HCD5_NCOA5.pdf</v>
      </c>
    </row>
    <row r="5433" spans="1:28" x14ac:dyDescent="0.25">
      <c r="A5433" t="s">
        <v>5437</v>
      </c>
      <c r="B5433">
        <v>0.99352677808782597</v>
      </c>
      <c r="C5433">
        <v>1.0029904721114</v>
      </c>
      <c r="D5433">
        <v>1.0196003136704801</v>
      </c>
      <c r="E5433">
        <v>0.83089181994908101</v>
      </c>
      <c r="F5433">
        <v>0.818263746399301</v>
      </c>
      <c r="G5433">
        <v>0.62839271345367198</v>
      </c>
      <c r="H5433">
        <v>0.55081213320855604</v>
      </c>
      <c r="I5433">
        <v>0.64598350766012502</v>
      </c>
      <c r="J5433">
        <v>0.49966976024497101</v>
      </c>
      <c r="K5433">
        <v>0.48127687902879401</v>
      </c>
      <c r="L5433">
        <v>813.633011346486</v>
      </c>
      <c r="M5433">
        <v>15.095358009002901</v>
      </c>
      <c r="O5433">
        <v>52.980184516915799</v>
      </c>
      <c r="P5433">
        <v>-3.54511245053497E-2</v>
      </c>
      <c r="Q5433">
        <v>0.50235773490403202</v>
      </c>
      <c r="R5433">
        <v>0.94909323800405798</v>
      </c>
      <c r="S5433" t="s">
        <v>11718</v>
      </c>
      <c r="T5433" t="s">
        <v>12568</v>
      </c>
      <c r="U5433" t="s">
        <v>12568</v>
      </c>
      <c r="V5433" t="s">
        <v>12568</v>
      </c>
      <c r="W5433" t="s">
        <v>17950</v>
      </c>
      <c r="X5433">
        <v>6</v>
      </c>
      <c r="Y5433" t="s">
        <v>24043</v>
      </c>
      <c r="Z5433" t="s">
        <v>30303</v>
      </c>
      <c r="AA5433">
        <v>0.74310799949322426</v>
      </c>
      <c r="AB5433" t="str">
        <f>HYPERLINK("Melting_Curves/meltCurve_Q9HCD6_TANC2.pdf", "Melting_Curves/meltCurve_Q9HCD6_TANC2.pdf")</f>
        <v>Melting_Curves/meltCurve_Q9HCD6_TANC2.pdf</v>
      </c>
    </row>
    <row r="5434" spans="1:28" x14ac:dyDescent="0.25">
      <c r="A5434" t="s">
        <v>5438</v>
      </c>
      <c r="B5434">
        <v>0.99352677808782597</v>
      </c>
      <c r="C5434">
        <v>0.90596248709268501</v>
      </c>
      <c r="D5434">
        <v>0.73638949914037299</v>
      </c>
      <c r="E5434">
        <v>0.32337047207403502</v>
      </c>
      <c r="F5434">
        <v>0.180496836846052</v>
      </c>
      <c r="G5434">
        <v>0.10011869315730899</v>
      </c>
      <c r="H5434">
        <v>7.3915719375310204E-2</v>
      </c>
      <c r="I5434">
        <v>4.63308444670648E-2</v>
      </c>
      <c r="J5434">
        <v>5.6727756117390601E-2</v>
      </c>
      <c r="K5434">
        <v>0</v>
      </c>
      <c r="L5434">
        <v>951.51015562062298</v>
      </c>
      <c r="M5434">
        <v>19.799908443311001</v>
      </c>
      <c r="N5434">
        <v>48.265385703196301</v>
      </c>
      <c r="O5434">
        <v>47.5741439743651</v>
      </c>
      <c r="P5434">
        <v>-9.9774225731768404E-2</v>
      </c>
      <c r="Q5434">
        <v>4.1104129614500197E-2</v>
      </c>
      <c r="R5434">
        <v>0.99719802407056601</v>
      </c>
      <c r="S5434" t="s">
        <v>11719</v>
      </c>
      <c r="T5434" t="s">
        <v>12568</v>
      </c>
      <c r="U5434" t="s">
        <v>12568</v>
      </c>
      <c r="V5434" t="s">
        <v>12568</v>
      </c>
      <c r="W5434" t="s">
        <v>17951</v>
      </c>
      <c r="X5434">
        <v>1</v>
      </c>
      <c r="Y5434" t="s">
        <v>24044</v>
      </c>
      <c r="Z5434" t="s">
        <v>30304</v>
      </c>
      <c r="AA5434">
        <v>0.31251308225317798</v>
      </c>
      <c r="AB5434" t="str">
        <f>HYPERLINK("Melting_Curves/meltCurve_Q9HCE0_2_EPG5.pdf", "Melting_Curves/meltCurve_Q9HCE0_2_EPG5.pdf")</f>
        <v>Melting_Curves/meltCurve_Q9HCE0_2_EPG5.pdf</v>
      </c>
    </row>
    <row r="5435" spans="1:28" x14ac:dyDescent="0.25">
      <c r="A5435" t="s">
        <v>5439</v>
      </c>
      <c r="B5435">
        <v>0.99352677808782597</v>
      </c>
      <c r="C5435">
        <v>0.96769004768459199</v>
      </c>
      <c r="D5435">
        <v>1.02631618201446</v>
      </c>
      <c r="E5435">
        <v>1.0504246389482701</v>
      </c>
      <c r="F5435">
        <v>0.92613245982905701</v>
      </c>
      <c r="G5435">
        <v>0.90467154086059798</v>
      </c>
      <c r="H5435">
        <v>0.84198979758435499</v>
      </c>
      <c r="I5435">
        <v>0.85640995794374897</v>
      </c>
      <c r="J5435">
        <v>1.04686796107278</v>
      </c>
      <c r="K5435">
        <v>0.85823900731271596</v>
      </c>
      <c r="L5435">
        <v>13191.5031545683</v>
      </c>
      <c r="M5435">
        <v>250</v>
      </c>
      <c r="O5435">
        <v>52.762635933505301</v>
      </c>
      <c r="P5435">
        <v>-0.11651756255649701</v>
      </c>
      <c r="Q5435">
        <v>0.90163562036830203</v>
      </c>
      <c r="R5435">
        <v>0.441208021555208</v>
      </c>
      <c r="S5435" t="s">
        <v>11720</v>
      </c>
      <c r="T5435" t="s">
        <v>12568</v>
      </c>
      <c r="U5435" t="s">
        <v>12568</v>
      </c>
      <c r="V5435" t="s">
        <v>12568</v>
      </c>
      <c r="W5435" t="s">
        <v>17952</v>
      </c>
      <c r="X5435">
        <v>3</v>
      </c>
      <c r="Y5435" t="s">
        <v>24045</v>
      </c>
      <c r="Z5435" t="s">
        <v>30305</v>
      </c>
      <c r="AA5435">
        <v>0.94350209297606935</v>
      </c>
      <c r="AB5435" t="str">
        <f>HYPERLINK("Melting_Curves/meltCurve_Q9HCE3_ZNF532.pdf", "Melting_Curves/meltCurve_Q9HCE3_ZNF532.pdf")</f>
        <v>Melting_Curves/meltCurve_Q9HCE3_ZNF532.pdf</v>
      </c>
    </row>
    <row r="5436" spans="1:28" x14ac:dyDescent="0.25">
      <c r="A5436" t="s">
        <v>5440</v>
      </c>
      <c r="B5436">
        <v>0.99352677808782597</v>
      </c>
      <c r="C5436">
        <v>0.94378676774345904</v>
      </c>
      <c r="D5436">
        <v>0.974439522647497</v>
      </c>
      <c r="E5436">
        <v>0.52222939369323795</v>
      </c>
      <c r="F5436">
        <v>0.46688855858892298</v>
      </c>
      <c r="G5436">
        <v>0.22600909625731899</v>
      </c>
      <c r="H5436">
        <v>0.21093380564599801</v>
      </c>
      <c r="I5436">
        <v>0.154430968612185</v>
      </c>
      <c r="J5436">
        <v>9.8266832249205294E-2</v>
      </c>
      <c r="K5436">
        <v>8.9270752006601201E-2</v>
      </c>
      <c r="L5436">
        <v>866.12392579173695</v>
      </c>
      <c r="M5436">
        <v>17.018241371418</v>
      </c>
      <c r="N5436">
        <v>51.666843028019699</v>
      </c>
      <c r="O5436">
        <v>50.2067304656318</v>
      </c>
      <c r="P5436">
        <v>-7.5221444362434595E-2</v>
      </c>
      <c r="Q5436">
        <v>0.11239025990174401</v>
      </c>
      <c r="R5436">
        <v>0.97783515309441005</v>
      </c>
      <c r="S5436" t="s">
        <v>11721</v>
      </c>
      <c r="T5436" t="s">
        <v>12568</v>
      </c>
      <c r="U5436" t="s">
        <v>12568</v>
      </c>
      <c r="V5436" t="s">
        <v>12568</v>
      </c>
      <c r="W5436" t="s">
        <v>17953</v>
      </c>
      <c r="X5436">
        <v>5</v>
      </c>
      <c r="Y5436" t="s">
        <v>24046</v>
      </c>
      <c r="Z5436" t="s">
        <v>30306</v>
      </c>
      <c r="AA5436">
        <v>0.45126547199955541</v>
      </c>
      <c r="AB5436" t="str">
        <f>HYPERLINK("Melting_Curves/meltCurve_Q9HCE5_METTL14.pdf", "Melting_Curves/meltCurve_Q9HCE5_METTL14.pdf")</f>
        <v>Melting_Curves/meltCurve_Q9HCE5_METTL14.pdf</v>
      </c>
    </row>
    <row r="5437" spans="1:28" x14ac:dyDescent="0.25">
      <c r="A5437" t="s">
        <v>5441</v>
      </c>
      <c r="B5437">
        <v>0.99352677808782597</v>
      </c>
      <c r="C5437">
        <v>1.0248938579435101</v>
      </c>
      <c r="D5437">
        <v>0.96682568889234599</v>
      </c>
      <c r="E5437">
        <v>0.90265811263654505</v>
      </c>
      <c r="F5437">
        <v>0.77086941293850497</v>
      </c>
      <c r="G5437">
        <v>0.65699743873829497</v>
      </c>
      <c r="H5437">
        <v>0.56887842960062396</v>
      </c>
      <c r="I5437">
        <v>0.57824792400820801</v>
      </c>
      <c r="J5437">
        <v>0.58732997444299395</v>
      </c>
      <c r="K5437">
        <v>0.493706910301492</v>
      </c>
      <c r="L5437">
        <v>936.39264485318904</v>
      </c>
      <c r="M5437">
        <v>17.526068158606499</v>
      </c>
      <c r="O5437">
        <v>52.747531898123299</v>
      </c>
      <c r="P5437">
        <v>-3.8688225055257097E-2</v>
      </c>
      <c r="Q5437">
        <v>0.53427171671704499</v>
      </c>
      <c r="R5437">
        <v>0.98427906868068005</v>
      </c>
      <c r="S5437" t="s">
        <v>11722</v>
      </c>
      <c r="T5437" t="s">
        <v>12568</v>
      </c>
      <c r="U5437" t="s">
        <v>12568</v>
      </c>
      <c r="V5437" t="s">
        <v>12568</v>
      </c>
      <c r="W5437" t="s">
        <v>17954</v>
      </c>
      <c r="X5437">
        <v>8</v>
      </c>
      <c r="Y5437" t="s">
        <v>24047</v>
      </c>
      <c r="Z5437" t="s">
        <v>30307</v>
      </c>
      <c r="AA5437">
        <v>0.75061549996152865</v>
      </c>
      <c r="AB5437" t="str">
        <f>HYPERLINK("Melting_Curves/meltCurve_Q9HCH0_NCKAP5L.pdf", "Melting_Curves/meltCurve_Q9HCH0_NCKAP5L.pdf")</f>
        <v>Melting_Curves/meltCurve_Q9HCH0_NCKAP5L.pdf</v>
      </c>
    </row>
    <row r="5438" spans="1:28" x14ac:dyDescent="0.25">
      <c r="A5438" t="s">
        <v>5442</v>
      </c>
      <c r="B5438">
        <v>0.99352677808782597</v>
      </c>
      <c r="C5438">
        <v>0.73630744843074203</v>
      </c>
      <c r="D5438">
        <v>0.81791255393283802</v>
      </c>
      <c r="E5438">
        <v>0.54200021523726405</v>
      </c>
      <c r="F5438">
        <v>0.61387266744173896</v>
      </c>
      <c r="G5438">
        <v>0.47349806350100898</v>
      </c>
      <c r="H5438">
        <v>0.489935807056044</v>
      </c>
      <c r="I5438">
        <v>0.40715691580625701</v>
      </c>
      <c r="J5438">
        <v>0.42025658644251601</v>
      </c>
      <c r="K5438">
        <v>0.48147702338867499</v>
      </c>
      <c r="L5438">
        <v>517.12715249751398</v>
      </c>
      <c r="M5438">
        <v>11.0679660308392</v>
      </c>
      <c r="N5438">
        <v>56.4163895899108</v>
      </c>
      <c r="O5438">
        <v>45.275374250117601</v>
      </c>
      <c r="P5438">
        <v>-3.5131554333656001E-2</v>
      </c>
      <c r="Q5438">
        <v>0.42534323599004698</v>
      </c>
      <c r="R5438">
        <v>0.88700049282219495</v>
      </c>
      <c r="S5438" t="s">
        <v>11723</v>
      </c>
      <c r="T5438" t="s">
        <v>12568</v>
      </c>
      <c r="U5438" t="s">
        <v>12568</v>
      </c>
      <c r="V5438" t="s">
        <v>12568</v>
      </c>
      <c r="W5438" t="s">
        <v>17955</v>
      </c>
      <c r="X5438">
        <v>4</v>
      </c>
      <c r="Y5438" t="s">
        <v>24048</v>
      </c>
      <c r="Z5438" t="s">
        <v>30308</v>
      </c>
      <c r="AA5438">
        <v>0.58260924261524749</v>
      </c>
      <c r="AB5438" t="str">
        <f>HYPERLINK("Melting_Curves/meltCurve_Q9HCH5_11_SYTL2.pdf", "Melting_Curves/meltCurve_Q9HCH5_11_SYTL2.pdf")</f>
        <v>Melting_Curves/meltCurve_Q9HCH5_11_SYTL2.pdf</v>
      </c>
    </row>
    <row r="5439" spans="1:28" x14ac:dyDescent="0.25">
      <c r="A5439" t="s">
        <v>5443</v>
      </c>
      <c r="B5439">
        <v>0.99352677808782597</v>
      </c>
      <c r="C5439">
        <v>0.82828222572296095</v>
      </c>
      <c r="D5439">
        <v>0.74303668567539005</v>
      </c>
      <c r="E5439">
        <v>0.54445477812540499</v>
      </c>
      <c r="F5439">
        <v>0.47121575546533501</v>
      </c>
      <c r="G5439">
        <v>0.16061663697884301</v>
      </c>
      <c r="H5439">
        <v>0.33247000744690097</v>
      </c>
      <c r="I5439">
        <v>0.38397692566994301</v>
      </c>
      <c r="J5439">
        <v>0.325258056611819</v>
      </c>
      <c r="K5439">
        <v>0.282730517828919</v>
      </c>
      <c r="L5439">
        <v>715.62879092467404</v>
      </c>
      <c r="M5439">
        <v>15.0545534401223</v>
      </c>
      <c r="N5439">
        <v>50.442790824741898</v>
      </c>
      <c r="O5439">
        <v>46.720621777771598</v>
      </c>
      <c r="P5439">
        <v>-5.7198730598343898E-2</v>
      </c>
      <c r="Q5439">
        <v>0.29002386836584498</v>
      </c>
      <c r="R5439">
        <v>0.92394822988051295</v>
      </c>
      <c r="S5439" t="s">
        <v>11724</v>
      </c>
      <c r="T5439" t="s">
        <v>12568</v>
      </c>
      <c r="U5439" t="s">
        <v>12568</v>
      </c>
      <c r="V5439" t="s">
        <v>12568</v>
      </c>
      <c r="W5439" t="s">
        <v>17956</v>
      </c>
      <c r="X5439">
        <v>5</v>
      </c>
      <c r="Y5439" t="s">
        <v>24048</v>
      </c>
      <c r="Z5439" t="s">
        <v>30309</v>
      </c>
      <c r="AA5439">
        <v>0.48692753948918838</v>
      </c>
      <c r="AB5439" t="str">
        <f>HYPERLINK("Melting_Curves/meltCurve_Q9HCH5_14_SYTL2.pdf", "Melting_Curves/meltCurve_Q9HCH5_14_SYTL2.pdf")</f>
        <v>Melting_Curves/meltCurve_Q9HCH5_14_SYTL2.pdf</v>
      </c>
    </row>
    <row r="5440" spans="1:28" x14ac:dyDescent="0.25">
      <c r="A5440" t="s">
        <v>5444</v>
      </c>
      <c r="B5440">
        <v>0.99352677808782597</v>
      </c>
      <c r="C5440">
        <v>1.188170041717</v>
      </c>
      <c r="D5440">
        <v>1.0401335112972401</v>
      </c>
      <c r="E5440">
        <v>0.98555783593715296</v>
      </c>
      <c r="F5440">
        <v>0.73858890520757603</v>
      </c>
      <c r="G5440">
        <v>0.71817260168887698</v>
      </c>
      <c r="H5440">
        <v>0.697233070140721</v>
      </c>
      <c r="I5440">
        <v>0.72462534322513406</v>
      </c>
      <c r="J5440">
        <v>0.78677492821266404</v>
      </c>
      <c r="K5440">
        <v>0.62462054738434103</v>
      </c>
      <c r="L5440">
        <v>4565.0728662229903</v>
      </c>
      <c r="M5440">
        <v>88.354393922251006</v>
      </c>
      <c r="O5440">
        <v>51.6412765421709</v>
      </c>
      <c r="P5440">
        <v>-0.123929285600258</v>
      </c>
      <c r="Q5440">
        <v>0.71026369807578105</v>
      </c>
      <c r="R5440">
        <v>0.83812516950411298</v>
      </c>
      <c r="S5440" t="s">
        <v>11725</v>
      </c>
      <c r="T5440" t="s">
        <v>12568</v>
      </c>
      <c r="U5440" t="s">
        <v>12568</v>
      </c>
      <c r="V5440" t="s">
        <v>12568</v>
      </c>
      <c r="W5440" t="s">
        <v>17957</v>
      </c>
      <c r="X5440">
        <v>1</v>
      </c>
      <c r="Y5440" t="s">
        <v>24049</v>
      </c>
      <c r="Z5440" t="s">
        <v>30310</v>
      </c>
      <c r="AA5440">
        <v>0.82316006950462062</v>
      </c>
      <c r="AB5440" t="str">
        <f>HYPERLINK("Melting_Curves/meltCurve_Q9HCJ0_TNRC6C.pdf", "Melting_Curves/meltCurve_Q9HCJ0_TNRC6C.pdf")</f>
        <v>Melting_Curves/meltCurve_Q9HCJ0_TNRC6C.pdf</v>
      </c>
    </row>
    <row r="5441" spans="1:28" x14ac:dyDescent="0.25">
      <c r="A5441" t="s">
        <v>5445</v>
      </c>
      <c r="B5441">
        <v>0.99352677808782597</v>
      </c>
      <c r="C5441">
        <v>0.98139523683316499</v>
      </c>
      <c r="D5441">
        <v>0.97737427766177498</v>
      </c>
      <c r="E5441">
        <v>0.614298960378725</v>
      </c>
      <c r="F5441">
        <v>0.48546613890601698</v>
      </c>
      <c r="G5441">
        <v>0.39544698884940199</v>
      </c>
      <c r="H5441">
        <v>0.337160822186928</v>
      </c>
      <c r="I5441">
        <v>0.32459265590908698</v>
      </c>
      <c r="J5441">
        <v>0.31573351901714403</v>
      </c>
      <c r="K5441">
        <v>0.33543121663075998</v>
      </c>
      <c r="L5441">
        <v>1267.3541909404901</v>
      </c>
      <c r="M5441">
        <v>25.428118613735901</v>
      </c>
      <c r="N5441">
        <v>52.1247524533565</v>
      </c>
      <c r="O5441">
        <v>49.535475400727002</v>
      </c>
      <c r="P5441">
        <v>-8.5224383038095305E-2</v>
      </c>
      <c r="Q5441">
        <v>0.33591989754573298</v>
      </c>
      <c r="R5441">
        <v>0.99147404167751996</v>
      </c>
      <c r="S5441" t="s">
        <v>11726</v>
      </c>
      <c r="T5441" t="s">
        <v>12568</v>
      </c>
      <c r="U5441" t="s">
        <v>12568</v>
      </c>
      <c r="V5441" t="s">
        <v>12568</v>
      </c>
      <c r="W5441" t="s">
        <v>17958</v>
      </c>
      <c r="X5441">
        <v>3</v>
      </c>
      <c r="Y5441" t="s">
        <v>24050</v>
      </c>
      <c r="Z5441" t="s">
        <v>30311</v>
      </c>
      <c r="AA5441">
        <v>0.55947900945841178</v>
      </c>
      <c r="AB5441" t="str">
        <f>HYPERLINK("Melting_Curves/meltCurve_Q9HCJ3_2_RAVER2.pdf", "Melting_Curves/meltCurve_Q9HCJ3_2_RAVER2.pdf")</f>
        <v>Melting_Curves/meltCurve_Q9HCJ3_2_RAVER2.pdf</v>
      </c>
    </row>
    <row r="5442" spans="1:28" x14ac:dyDescent="0.25">
      <c r="A5442" t="s">
        <v>5446</v>
      </c>
      <c r="B5442">
        <v>0.99352677808782597</v>
      </c>
      <c r="C5442">
        <v>0.92709551885915598</v>
      </c>
      <c r="D5442">
        <v>0.81956298941266703</v>
      </c>
      <c r="E5442">
        <v>0.422719242708335</v>
      </c>
      <c r="F5442">
        <v>0.34493997920908098</v>
      </c>
      <c r="G5442">
        <v>0.23078506991714101</v>
      </c>
      <c r="H5442">
        <v>0.15606473379331601</v>
      </c>
      <c r="I5442">
        <v>0.16205466497551399</v>
      </c>
      <c r="J5442">
        <v>0.15258026002936501</v>
      </c>
      <c r="K5442">
        <v>0.13632220161542899</v>
      </c>
      <c r="L5442">
        <v>903.76144512365499</v>
      </c>
      <c r="M5442">
        <v>18.549931889348699</v>
      </c>
      <c r="N5442">
        <v>49.677610841314703</v>
      </c>
      <c r="O5442">
        <v>48.164850082838697</v>
      </c>
      <c r="P5442">
        <v>-8.1820133839197201E-2</v>
      </c>
      <c r="Q5442">
        <v>0.15025411543310399</v>
      </c>
      <c r="R5442">
        <v>0.99365301473178902</v>
      </c>
      <c r="S5442" t="s">
        <v>11727</v>
      </c>
      <c r="T5442" t="s">
        <v>12568</v>
      </c>
      <c r="U5442" t="s">
        <v>12568</v>
      </c>
      <c r="V5442" t="s">
        <v>12568</v>
      </c>
      <c r="W5442" t="s">
        <v>17959</v>
      </c>
      <c r="X5442">
        <v>16</v>
      </c>
      <c r="Y5442" t="s">
        <v>24051</v>
      </c>
      <c r="Z5442" t="s">
        <v>30312</v>
      </c>
      <c r="AA5442">
        <v>0.41118565693495968</v>
      </c>
      <c r="AB5442" t="str">
        <f>HYPERLINK("Melting_Curves/meltCurve_Q9HCK8_CHD8.pdf", "Melting_Curves/meltCurve_Q9HCK8_CHD8.pdf")</f>
        <v>Melting_Curves/meltCurve_Q9HCK8_CHD8.pdf</v>
      </c>
    </row>
    <row r="5443" spans="1:28" x14ac:dyDescent="0.25">
      <c r="A5443" t="s">
        <v>5447</v>
      </c>
      <c r="B5443">
        <v>0.99352677808782597</v>
      </c>
      <c r="C5443">
        <v>0.95252701607736501</v>
      </c>
      <c r="D5443">
        <v>0.95464739038082602</v>
      </c>
      <c r="E5443">
        <v>0.91800862392848703</v>
      </c>
      <c r="F5443">
        <v>0.90274163674252506</v>
      </c>
      <c r="G5443">
        <v>0.82841566002705902</v>
      </c>
      <c r="H5443">
        <v>0.70412203501725401</v>
      </c>
      <c r="I5443">
        <v>0.60808171891753604</v>
      </c>
      <c r="J5443">
        <v>0.62353493252497905</v>
      </c>
      <c r="K5443">
        <v>0.44071341493483601</v>
      </c>
      <c r="L5443">
        <v>469.73594601099899</v>
      </c>
      <c r="M5443">
        <v>6.7833549572934704</v>
      </c>
      <c r="N5443">
        <v>69.248337446840296</v>
      </c>
      <c r="O5443">
        <v>63.977070792460196</v>
      </c>
      <c r="P5443">
        <v>-2.6562106719661398E-2</v>
      </c>
      <c r="Q5443">
        <v>0</v>
      </c>
      <c r="R5443">
        <v>0.971713518584575</v>
      </c>
      <c r="S5443" t="s">
        <v>11728</v>
      </c>
      <c r="T5443" t="s">
        <v>12568</v>
      </c>
      <c r="U5443" t="s">
        <v>12568</v>
      </c>
      <c r="V5443" t="s">
        <v>12568</v>
      </c>
      <c r="W5443" t="s">
        <v>17960</v>
      </c>
      <c r="X5443">
        <v>2</v>
      </c>
      <c r="Y5443" t="s">
        <v>24052</v>
      </c>
      <c r="Z5443" t="s">
        <v>30313</v>
      </c>
      <c r="AA5443">
        <v>0.80913498717163823</v>
      </c>
      <c r="AB5443" t="str">
        <f>HYPERLINK("Melting_Curves/meltCurve_Q9HCM1_KIAA1551.pdf", "Melting_Curves/meltCurve_Q9HCM1_KIAA1551.pdf")</f>
        <v>Melting_Curves/meltCurve_Q9HCM1_KIAA1551.pdf</v>
      </c>
    </row>
    <row r="5444" spans="1:28" x14ac:dyDescent="0.25">
      <c r="A5444" t="s">
        <v>5448</v>
      </c>
      <c r="B5444">
        <v>0.99352677808782597</v>
      </c>
      <c r="C5444">
        <v>1.0224329449751901</v>
      </c>
      <c r="D5444">
        <v>0.97431856324256305</v>
      </c>
      <c r="E5444">
        <v>0.78627214104182297</v>
      </c>
      <c r="F5444">
        <v>0.67076463938476405</v>
      </c>
      <c r="G5444">
        <v>0.591348067293337</v>
      </c>
      <c r="H5444">
        <v>0.55283166784919602</v>
      </c>
      <c r="I5444">
        <v>0.47508284096759001</v>
      </c>
      <c r="J5444">
        <v>0.43968501714640701</v>
      </c>
      <c r="K5444">
        <v>0.31105167454411298</v>
      </c>
      <c r="L5444">
        <v>558.55646172886202</v>
      </c>
      <c r="M5444">
        <v>10.1295664476173</v>
      </c>
      <c r="N5444">
        <v>60.970731039057</v>
      </c>
      <c r="O5444">
        <v>53.121598668092403</v>
      </c>
      <c r="P5444">
        <v>-3.2900302523433601E-2</v>
      </c>
      <c r="Q5444">
        <v>0.31017468962497902</v>
      </c>
      <c r="R5444">
        <v>0.96441150587465696</v>
      </c>
      <c r="S5444" t="s">
        <v>11729</v>
      </c>
      <c r="T5444" t="s">
        <v>12568</v>
      </c>
      <c r="U5444" t="s">
        <v>12568</v>
      </c>
      <c r="V5444" t="s">
        <v>12568</v>
      </c>
      <c r="W5444" t="s">
        <v>17961</v>
      </c>
      <c r="X5444">
        <v>4</v>
      </c>
      <c r="Y5444" t="s">
        <v>24053</v>
      </c>
      <c r="Z5444" t="s">
        <v>30314</v>
      </c>
      <c r="AA5444">
        <v>0.67565681213887552</v>
      </c>
      <c r="AB5444" t="str">
        <f>HYPERLINK("Melting_Curves/meltCurve_Q9HCM4_4_EPB41L5.pdf", "Melting_Curves/meltCurve_Q9HCM4_4_EPB41L5.pdf")</f>
        <v>Melting_Curves/meltCurve_Q9HCM4_4_EPB41L5.pdf</v>
      </c>
    </row>
    <row r="5445" spans="1:28" x14ac:dyDescent="0.25">
      <c r="A5445" t="s">
        <v>5449</v>
      </c>
      <c r="B5445">
        <v>0.99352677808782597</v>
      </c>
      <c r="C5445">
        <v>1.0390652122513799</v>
      </c>
      <c r="D5445">
        <v>1.01589163005724</v>
      </c>
      <c r="E5445">
        <v>1.1793356330059901</v>
      </c>
      <c r="F5445">
        <v>1.2275460257759101</v>
      </c>
      <c r="G5445">
        <v>1.0542721953791301</v>
      </c>
      <c r="H5445">
        <v>0.375152747848785</v>
      </c>
      <c r="I5445">
        <v>0.16360063457358501</v>
      </c>
      <c r="J5445">
        <v>0.11890765505374799</v>
      </c>
      <c r="K5445">
        <v>5.96343242722987E-2</v>
      </c>
      <c r="L5445">
        <v>6005.6707446496202</v>
      </c>
      <c r="M5445">
        <v>99.311377992504205</v>
      </c>
      <c r="N5445">
        <v>60.628591725305903</v>
      </c>
      <c r="O5445">
        <v>60.448626987549098</v>
      </c>
      <c r="P5445">
        <v>-0.36456116051333398</v>
      </c>
      <c r="Q5445">
        <v>0.112398931389575</v>
      </c>
      <c r="R5445">
        <v>0.95458722296157505</v>
      </c>
      <c r="S5445" t="s">
        <v>11730</v>
      </c>
      <c r="T5445" t="s">
        <v>12568</v>
      </c>
      <c r="U5445" t="s">
        <v>12568</v>
      </c>
      <c r="V5445" t="s">
        <v>12568</v>
      </c>
      <c r="W5445" t="s">
        <v>17962</v>
      </c>
      <c r="X5445">
        <v>5</v>
      </c>
      <c r="Y5445" t="s">
        <v>24054</v>
      </c>
      <c r="Z5445" t="s">
        <v>30315</v>
      </c>
      <c r="AA5445">
        <v>0.71872921379383514</v>
      </c>
      <c r="AB5445" t="str">
        <f>HYPERLINK("Melting_Curves/meltCurve_Q9HCN4_3_GPN1.pdf", "Melting_Curves/meltCurve_Q9HCN4_3_GPN1.pdf")</f>
        <v>Melting_Curves/meltCurve_Q9HCN4_3_GPN1.pdf</v>
      </c>
    </row>
    <row r="5446" spans="1:28" x14ac:dyDescent="0.25">
      <c r="A5446" t="s">
        <v>5450</v>
      </c>
      <c r="B5446">
        <v>0.99352677808782597</v>
      </c>
      <c r="C5446">
        <v>1.0214900726532501</v>
      </c>
      <c r="D5446">
        <v>0.97387922187484599</v>
      </c>
      <c r="E5446">
        <v>0.93772265183061598</v>
      </c>
      <c r="F5446">
        <v>0.83528637620422397</v>
      </c>
      <c r="G5446">
        <v>0.71563172973273204</v>
      </c>
      <c r="H5446">
        <v>0.58238998630385996</v>
      </c>
      <c r="I5446">
        <v>0.57205121046382001</v>
      </c>
      <c r="J5446">
        <v>0.512173228577949</v>
      </c>
      <c r="K5446">
        <v>0.44971753296773198</v>
      </c>
      <c r="L5446">
        <v>742.56413722207799</v>
      </c>
      <c r="M5446">
        <v>12.994725596017201</v>
      </c>
      <c r="N5446">
        <v>66.954045784440893</v>
      </c>
      <c r="O5446">
        <v>55.841017708503898</v>
      </c>
      <c r="P5446">
        <v>-3.3427653088297697E-2</v>
      </c>
      <c r="Q5446">
        <v>0.42551955581719397</v>
      </c>
      <c r="R5446">
        <v>0.99218861109355505</v>
      </c>
      <c r="S5446" t="s">
        <v>11731</v>
      </c>
      <c r="T5446" t="s">
        <v>12568</v>
      </c>
      <c r="U5446" t="s">
        <v>12568</v>
      </c>
      <c r="V5446" t="s">
        <v>12568</v>
      </c>
      <c r="W5446" t="s">
        <v>17963</v>
      </c>
      <c r="X5446">
        <v>3</v>
      </c>
      <c r="Y5446" t="s">
        <v>24055</v>
      </c>
      <c r="Z5446" t="s">
        <v>30316</v>
      </c>
      <c r="AA5446">
        <v>0.76314967751472595</v>
      </c>
      <c r="AB5446" t="str">
        <f>HYPERLINK("Melting_Curves/meltCurve_Q9HCN8_SDF2L1.pdf", "Melting_Curves/meltCurve_Q9HCN8_SDF2L1.pdf")</f>
        <v>Melting_Curves/meltCurve_Q9HCN8_SDF2L1.pdf</v>
      </c>
    </row>
    <row r="5447" spans="1:28" x14ac:dyDescent="0.25">
      <c r="A5447" t="s">
        <v>5451</v>
      </c>
      <c r="B5447">
        <v>0.99352677808782597</v>
      </c>
      <c r="C5447">
        <v>0.91790164176566502</v>
      </c>
      <c r="D5447">
        <v>0.85570623485253405</v>
      </c>
      <c r="E5447">
        <v>0.45865919185151</v>
      </c>
      <c r="F5447">
        <v>0.44601220317374402</v>
      </c>
      <c r="G5447">
        <v>0.18391853909532499</v>
      </c>
      <c r="H5447">
        <v>0.18388681592599701</v>
      </c>
      <c r="I5447">
        <v>0.21936538776157799</v>
      </c>
      <c r="J5447">
        <v>0.16814972248332699</v>
      </c>
      <c r="K5447">
        <v>0.13886607488277899</v>
      </c>
      <c r="L5447">
        <v>840.36411945414204</v>
      </c>
      <c r="M5447">
        <v>17.026209524795</v>
      </c>
      <c r="N5447">
        <v>50.486825683973798</v>
      </c>
      <c r="O5447">
        <v>48.691304829036</v>
      </c>
      <c r="P5447">
        <v>-7.3575747545021095E-2</v>
      </c>
      <c r="Q5447">
        <v>0.1584083111981</v>
      </c>
      <c r="R5447">
        <v>0.97976023301434101</v>
      </c>
      <c r="S5447" t="s">
        <v>11732</v>
      </c>
      <c r="T5447" t="s">
        <v>12568</v>
      </c>
      <c r="U5447" t="s">
        <v>12568</v>
      </c>
      <c r="V5447" t="s">
        <v>12568</v>
      </c>
      <c r="W5447" t="s">
        <v>17964</v>
      </c>
      <c r="X5447">
        <v>1</v>
      </c>
      <c r="Y5447" t="s">
        <v>24056</v>
      </c>
      <c r="Z5447" t="s">
        <v>30317</v>
      </c>
      <c r="AA5447">
        <v>0.43704486728054898</v>
      </c>
      <c r="AB5447" t="str">
        <f>HYPERLINK("Melting_Curves/meltCurve_Q9HCP0_2_CSNK1G1.pdf", "Melting_Curves/meltCurve_Q9HCP0_2_CSNK1G1.pdf")</f>
        <v>Melting_Curves/meltCurve_Q9HCP0_2_CSNK1G1.pdf</v>
      </c>
    </row>
    <row r="5448" spans="1:28" x14ac:dyDescent="0.25">
      <c r="A5448" t="s">
        <v>5452</v>
      </c>
      <c r="B5448">
        <v>0.99352677808782597</v>
      </c>
      <c r="C5448">
        <v>0.93671490633480003</v>
      </c>
      <c r="D5448">
        <v>1.02567409243588</v>
      </c>
      <c r="E5448">
        <v>1.05879614190759</v>
      </c>
      <c r="F5448">
        <v>0.99520540466881002</v>
      </c>
      <c r="G5448">
        <v>0.95496428145268997</v>
      </c>
      <c r="H5448">
        <v>0.87919707235181899</v>
      </c>
      <c r="I5448">
        <v>0.96432721690189305</v>
      </c>
      <c r="J5448">
        <v>0.882669607720445</v>
      </c>
      <c r="K5448">
        <v>0.72914756341604803</v>
      </c>
      <c r="L5448">
        <v>960.88590094886104</v>
      </c>
      <c r="M5448">
        <v>12.6133573389001</v>
      </c>
      <c r="Q5448">
        <v>0</v>
      </c>
      <c r="R5448">
        <v>0.75498121969165</v>
      </c>
      <c r="S5448" t="s">
        <v>11733</v>
      </c>
      <c r="T5448" t="s">
        <v>12568</v>
      </c>
      <c r="U5448" t="s">
        <v>12568</v>
      </c>
      <c r="V5448" t="s">
        <v>12568</v>
      </c>
      <c r="W5448" t="s">
        <v>17965</v>
      </c>
      <c r="X5448">
        <v>3</v>
      </c>
      <c r="Y5448" t="s">
        <v>24057</v>
      </c>
      <c r="Z5448" t="s">
        <v>30318</v>
      </c>
      <c r="AA5448">
        <v>0.95794562484432499</v>
      </c>
      <c r="AB5448" t="str">
        <f>HYPERLINK("Melting_Curves/meltCurve_Q9HCS5_EPB41L4A.pdf", "Melting_Curves/meltCurve_Q9HCS5_EPB41L4A.pdf")</f>
        <v>Melting_Curves/meltCurve_Q9HCS5_EPB41L4A.pdf</v>
      </c>
    </row>
    <row r="5449" spans="1:28" x14ac:dyDescent="0.25">
      <c r="A5449" t="s">
        <v>5453</v>
      </c>
      <c r="B5449">
        <v>0.99352677808782597</v>
      </c>
      <c r="C5449">
        <v>1.0373070143810801</v>
      </c>
      <c r="D5449">
        <v>0.99879028729101305</v>
      </c>
      <c r="E5449">
        <v>0.97371518908617105</v>
      </c>
      <c r="F5449">
        <v>0.81050065509224001</v>
      </c>
      <c r="G5449">
        <v>0.69443933819439796</v>
      </c>
      <c r="H5449">
        <v>0.59422087375813504</v>
      </c>
      <c r="I5449">
        <v>0.44433305218824698</v>
      </c>
      <c r="J5449">
        <v>0.428735888188162</v>
      </c>
      <c r="K5449">
        <v>0.332742826201957</v>
      </c>
      <c r="L5449">
        <v>728.17255521047798</v>
      </c>
      <c r="M5449">
        <v>12.327353886194899</v>
      </c>
      <c r="N5449">
        <v>62.810895064027797</v>
      </c>
      <c r="O5449">
        <v>57.579753890737102</v>
      </c>
      <c r="P5449">
        <v>-3.96117900477298E-2</v>
      </c>
      <c r="Q5449">
        <v>0.26007085488721998</v>
      </c>
      <c r="R5449">
        <v>0.985011136220454</v>
      </c>
      <c r="S5449" t="s">
        <v>11734</v>
      </c>
      <c r="T5449" t="s">
        <v>12568</v>
      </c>
      <c r="U5449" t="s">
        <v>12568</v>
      </c>
      <c r="V5449" t="s">
        <v>12568</v>
      </c>
      <c r="W5449" t="s">
        <v>17966</v>
      </c>
      <c r="X5449">
        <v>5</v>
      </c>
      <c r="Y5449" t="s">
        <v>24058</v>
      </c>
      <c r="Z5449" t="s">
        <v>30319</v>
      </c>
      <c r="AA5449">
        <v>0.73636606739140598</v>
      </c>
      <c r="AB5449" t="str">
        <f>HYPERLINK("Melting_Curves/meltCurve_Q9HCU8_POLD4.pdf", "Melting_Curves/meltCurve_Q9HCU8_POLD4.pdf")</f>
        <v>Melting_Curves/meltCurve_Q9HCU8_POLD4.pdf</v>
      </c>
    </row>
    <row r="5450" spans="1:28" x14ac:dyDescent="0.25">
      <c r="A5450" t="s">
        <v>5454</v>
      </c>
      <c r="B5450">
        <v>0.99352677808782597</v>
      </c>
      <c r="C5450">
        <v>0.96730549989453096</v>
      </c>
      <c r="D5450">
        <v>1.0233182362601401</v>
      </c>
      <c r="E5450">
        <v>1.0584854104811801</v>
      </c>
      <c r="F5450">
        <v>1.0536163940373899</v>
      </c>
      <c r="G5450">
        <v>1.0416563153670599</v>
      </c>
      <c r="H5450">
        <v>0.82805205294539497</v>
      </c>
      <c r="I5450">
        <v>0.84147590558672103</v>
      </c>
      <c r="J5450">
        <v>0.73863140311199404</v>
      </c>
      <c r="K5450">
        <v>0.60014615658185499</v>
      </c>
      <c r="L5450">
        <v>1140.4178744508799</v>
      </c>
      <c r="M5450">
        <v>16.988287797733101</v>
      </c>
      <c r="O5450">
        <v>66.220184896635999</v>
      </c>
      <c r="P5450">
        <v>-3.7213930062537502E-2</v>
      </c>
      <c r="Q5450">
        <v>0.41979782585639802</v>
      </c>
      <c r="R5450">
        <v>0.90218122274342705</v>
      </c>
      <c r="S5450" t="s">
        <v>11735</v>
      </c>
      <c r="T5450" t="s">
        <v>12568</v>
      </c>
      <c r="U5450" t="s">
        <v>12568</v>
      </c>
      <c r="V5450" t="s">
        <v>12568</v>
      </c>
      <c r="W5450" t="s">
        <v>17967</v>
      </c>
      <c r="X5450">
        <v>11</v>
      </c>
      <c r="Y5450" t="s">
        <v>24059</v>
      </c>
      <c r="Z5450" t="s">
        <v>30320</v>
      </c>
      <c r="AA5450">
        <v>0.92070954932162152</v>
      </c>
      <c r="AB5450" t="str">
        <f>HYPERLINK("Melting_Curves/meltCurve_Q9HD15_SRA1.pdf", "Melting_Curves/meltCurve_Q9HD15_SRA1.pdf")</f>
        <v>Melting_Curves/meltCurve_Q9HD15_SRA1.pdf</v>
      </c>
    </row>
    <row r="5451" spans="1:28" x14ac:dyDescent="0.25">
      <c r="A5451" t="s">
        <v>5455</v>
      </c>
      <c r="B5451">
        <v>0.99352677808782597</v>
      </c>
      <c r="C5451">
        <v>0.95830823562556899</v>
      </c>
      <c r="D5451">
        <v>0.80679463616486202</v>
      </c>
      <c r="E5451">
        <v>0.38448641090000801</v>
      </c>
      <c r="F5451">
        <v>0.324373644467362</v>
      </c>
      <c r="G5451">
        <v>0.26243071631326698</v>
      </c>
      <c r="H5451">
        <v>0.20340436162249501</v>
      </c>
      <c r="I5451">
        <v>0.19198073838475199</v>
      </c>
      <c r="J5451">
        <v>0.18711825527092499</v>
      </c>
      <c r="K5451">
        <v>0.14677179213880401</v>
      </c>
      <c r="L5451">
        <v>1100.72929510463</v>
      </c>
      <c r="M5451">
        <v>22.898096447542599</v>
      </c>
      <c r="N5451">
        <v>49.125637265320698</v>
      </c>
      <c r="O5451">
        <v>47.708645488368198</v>
      </c>
      <c r="P5451">
        <v>-9.6688892918222497E-2</v>
      </c>
      <c r="Q5451">
        <v>0.19420230738236799</v>
      </c>
      <c r="R5451">
        <v>0.99120775147859896</v>
      </c>
      <c r="S5451" t="s">
        <v>11736</v>
      </c>
      <c r="T5451" t="s">
        <v>12568</v>
      </c>
      <c r="U5451" t="s">
        <v>12568</v>
      </c>
      <c r="V5451" t="s">
        <v>12568</v>
      </c>
      <c r="W5451" t="s">
        <v>17968</v>
      </c>
      <c r="X5451">
        <v>11</v>
      </c>
      <c r="Y5451" t="s">
        <v>24060</v>
      </c>
      <c r="Z5451" t="s">
        <v>30321</v>
      </c>
      <c r="AA5451">
        <v>0.41956330940277459</v>
      </c>
      <c r="AB5451" t="str">
        <f>HYPERLINK("Melting_Curves/meltCurve_Q9HD26_2_GOPC.pdf", "Melting_Curves/meltCurve_Q9HD26_2_GOPC.pdf")</f>
        <v>Melting_Curves/meltCurve_Q9HD26_2_GOPC.pdf</v>
      </c>
    </row>
    <row r="5452" spans="1:28" x14ac:dyDescent="0.25">
      <c r="A5452" t="s">
        <v>5456</v>
      </c>
      <c r="B5452">
        <v>0.99352677808782597</v>
      </c>
      <c r="C5452">
        <v>1.00503276560443</v>
      </c>
      <c r="D5452">
        <v>0.82142211630514606</v>
      </c>
      <c r="E5452">
        <v>1.15455066536578</v>
      </c>
      <c r="F5452">
        <v>0.88860379772012499</v>
      </c>
      <c r="G5452">
        <v>0.83062899906068699</v>
      </c>
      <c r="H5452">
        <v>0.87929035575290304</v>
      </c>
      <c r="I5452">
        <v>0.64369689625961402</v>
      </c>
      <c r="J5452">
        <v>0.21475280290080501</v>
      </c>
      <c r="K5452">
        <v>0.13846582740791999</v>
      </c>
      <c r="L5452">
        <v>2204.5859881311899</v>
      </c>
      <c r="M5452">
        <v>34.112727734106699</v>
      </c>
      <c r="N5452">
        <v>64.813318679313596</v>
      </c>
      <c r="O5452">
        <v>64.405612687834306</v>
      </c>
      <c r="P5452">
        <v>-0.126213124353284</v>
      </c>
      <c r="Q5452">
        <v>4.6830626184718199E-2</v>
      </c>
      <c r="R5452">
        <v>0.901901261264481</v>
      </c>
      <c r="S5452" t="s">
        <v>11737</v>
      </c>
      <c r="T5452" t="s">
        <v>12568</v>
      </c>
      <c r="U5452" t="s">
        <v>12568</v>
      </c>
      <c r="V5452" t="s">
        <v>12568</v>
      </c>
      <c r="W5452" t="s">
        <v>17969</v>
      </c>
      <c r="X5452">
        <v>3</v>
      </c>
      <c r="Y5452" t="s">
        <v>24061</v>
      </c>
      <c r="Z5452" t="s">
        <v>30322</v>
      </c>
      <c r="AA5452">
        <v>0.82982125352728842</v>
      </c>
      <c r="AB5452" t="str">
        <f>HYPERLINK("Melting_Curves/meltCurve_Q9HD40_3_SEPSECS.pdf", "Melting_Curves/meltCurve_Q9HD40_3_SEPSECS.pdf")</f>
        <v>Melting_Curves/meltCurve_Q9HD40_3_SEPSECS.pdf</v>
      </c>
    </row>
    <row r="5453" spans="1:28" x14ac:dyDescent="0.25">
      <c r="A5453" t="s">
        <v>5457</v>
      </c>
      <c r="B5453">
        <v>0.99352677808782597</v>
      </c>
      <c r="C5453">
        <v>0.95455746395223695</v>
      </c>
      <c r="D5453">
        <v>1.0725550484116499</v>
      </c>
      <c r="E5453">
        <v>1.0253291232569799</v>
      </c>
      <c r="F5453">
        <v>0.96799596765343798</v>
      </c>
      <c r="G5453">
        <v>0.87885743248308601</v>
      </c>
      <c r="H5453">
        <v>0.742624923093815</v>
      </c>
      <c r="I5453">
        <v>0.74194905642850995</v>
      </c>
      <c r="J5453">
        <v>0.73044520129686097</v>
      </c>
      <c r="K5453">
        <v>0.52789048238235003</v>
      </c>
      <c r="L5453">
        <v>659.25140648824402</v>
      </c>
      <c r="M5453">
        <v>9.7804291227846196</v>
      </c>
      <c r="O5453">
        <v>64.768459825276395</v>
      </c>
      <c r="P5453">
        <v>-2.7315465127402402E-2</v>
      </c>
      <c r="Q5453">
        <v>0.27682349610009299</v>
      </c>
      <c r="R5453">
        <v>0.90805725692412598</v>
      </c>
      <c r="S5453" t="s">
        <v>11738</v>
      </c>
      <c r="T5453" t="s">
        <v>12568</v>
      </c>
      <c r="U5453" t="s">
        <v>12568</v>
      </c>
      <c r="V5453" t="s">
        <v>12568</v>
      </c>
      <c r="W5453" t="s">
        <v>12600</v>
      </c>
      <c r="X5453">
        <v>7</v>
      </c>
      <c r="Y5453" t="s">
        <v>18828</v>
      </c>
      <c r="Z5453" t="s">
        <v>30323</v>
      </c>
      <c r="AA5453">
        <v>0.87202727811787861</v>
      </c>
      <c r="AB5453" t="str">
        <f>HYPERLINK("Melting_Curves/meltCurve_Q9HD42_CHMP1A.pdf", "Melting_Curves/meltCurve_Q9HD42_CHMP1A.pdf")</f>
        <v>Melting_Curves/meltCurve_Q9HD42_CHMP1A.pdf</v>
      </c>
    </row>
    <row r="5454" spans="1:28" x14ac:dyDescent="0.25">
      <c r="A5454" t="s">
        <v>5458</v>
      </c>
      <c r="B5454">
        <v>0.99352677808782597</v>
      </c>
      <c r="C5454">
        <v>0.86995173403347503</v>
      </c>
      <c r="D5454">
        <v>0.92777173852276895</v>
      </c>
      <c r="E5454">
        <v>0.79465255492324105</v>
      </c>
      <c r="F5454">
        <v>0.79078045347949399</v>
      </c>
      <c r="G5454">
        <v>0.65443518334019302</v>
      </c>
      <c r="H5454">
        <v>0.46125105521849902</v>
      </c>
      <c r="I5454">
        <v>0.39584091393389098</v>
      </c>
      <c r="J5454">
        <v>0.37576690868658802</v>
      </c>
      <c r="K5454">
        <v>0.35504134260242698</v>
      </c>
      <c r="L5454">
        <v>450.11139417386897</v>
      </c>
      <c r="M5454">
        <v>7.6362311225104804</v>
      </c>
      <c r="N5454">
        <v>61.204059008705002</v>
      </c>
      <c r="O5454">
        <v>55.309689949683701</v>
      </c>
      <c r="P5454">
        <v>-3.0316375458973699E-2</v>
      </c>
      <c r="Q5454">
        <v>0.122846381327473</v>
      </c>
      <c r="R5454">
        <v>0.96985855382905295</v>
      </c>
      <c r="S5454" t="s">
        <v>11739</v>
      </c>
      <c r="T5454" t="s">
        <v>12568</v>
      </c>
      <c r="U5454" t="s">
        <v>12568</v>
      </c>
      <c r="V5454" t="s">
        <v>12568</v>
      </c>
      <c r="W5454" t="s">
        <v>17970</v>
      </c>
      <c r="X5454">
        <v>3</v>
      </c>
      <c r="Y5454" t="s">
        <v>24062</v>
      </c>
      <c r="Z5454" t="s">
        <v>30324</v>
      </c>
      <c r="AA5454">
        <v>0.67051266051425495</v>
      </c>
      <c r="AB5454" t="str">
        <f>HYPERLINK("Melting_Curves/meltCurve_Q9HD47_2_RANGRF.pdf", "Melting_Curves/meltCurve_Q9HD47_2_RANGRF.pdf")</f>
        <v>Melting_Curves/meltCurve_Q9HD47_2_RANGRF.pdf</v>
      </c>
    </row>
    <row r="5455" spans="1:28" x14ac:dyDescent="0.25">
      <c r="A5455" t="s">
        <v>5459</v>
      </c>
      <c r="B5455">
        <v>0.99352677808782597</v>
      </c>
      <c r="C5455">
        <v>0.91559850885182403</v>
      </c>
      <c r="D5455">
        <v>0.76454501685940401</v>
      </c>
      <c r="E5455">
        <v>0.80680392424262204</v>
      </c>
      <c r="F5455">
        <v>1.1329780525245201</v>
      </c>
      <c r="G5455">
        <v>0.246973043172066</v>
      </c>
      <c r="H5455">
        <v>0.111987186051646</v>
      </c>
      <c r="I5455">
        <v>9.7537258292662202E-2</v>
      </c>
      <c r="J5455">
        <v>7.5329064012343197E-2</v>
      </c>
      <c r="K5455">
        <v>6.9703481530168102E-2</v>
      </c>
      <c r="L5455">
        <v>14161.1144715555</v>
      </c>
      <c r="M5455">
        <v>250</v>
      </c>
      <c r="N5455">
        <v>56.6887112635739</v>
      </c>
      <c r="O5455">
        <v>56.6408331339901</v>
      </c>
      <c r="P5455">
        <v>-1.00563577193217</v>
      </c>
      <c r="Q5455">
        <v>8.8639235731204899E-2</v>
      </c>
      <c r="R5455">
        <v>0.93088580990633996</v>
      </c>
      <c r="S5455" t="s">
        <v>11740</v>
      </c>
      <c r="T5455" t="s">
        <v>12568</v>
      </c>
      <c r="U5455" t="s">
        <v>12568</v>
      </c>
      <c r="V5455" t="s">
        <v>12568</v>
      </c>
      <c r="W5455" t="s">
        <v>17971</v>
      </c>
      <c r="X5455">
        <v>3</v>
      </c>
      <c r="Y5455" t="s">
        <v>24063</v>
      </c>
      <c r="Z5455" t="s">
        <v>30325</v>
      </c>
      <c r="AA5455">
        <v>0.59436669623510285</v>
      </c>
      <c r="AB5455" t="str">
        <f>HYPERLINK("Melting_Curves/meltCurve_Q9HD67_MYO10.pdf", "Melting_Curves/meltCurve_Q9HD67_MYO10.pdf")</f>
        <v>Melting_Curves/meltCurve_Q9HD67_MYO10.pdf</v>
      </c>
    </row>
    <row r="5456" spans="1:28" x14ac:dyDescent="0.25">
      <c r="A5456" t="s">
        <v>5460</v>
      </c>
      <c r="B5456">
        <v>0.99352677808782597</v>
      </c>
      <c r="C5456">
        <v>0.95739283579019596</v>
      </c>
      <c r="D5456">
        <v>0.88730574714801203</v>
      </c>
      <c r="E5456">
        <v>0.46750578381556401</v>
      </c>
      <c r="F5456">
        <v>0.41748693162117601</v>
      </c>
      <c r="G5456">
        <v>0.25256508126746002</v>
      </c>
      <c r="H5456">
        <v>0.176055999163309</v>
      </c>
      <c r="I5456">
        <v>0.18916708423745099</v>
      </c>
      <c r="J5456">
        <v>0.16490651029982301</v>
      </c>
      <c r="K5456">
        <v>0.159120818328398</v>
      </c>
      <c r="L5456">
        <v>927.98147570771596</v>
      </c>
      <c r="M5456">
        <v>18.749026813688602</v>
      </c>
      <c r="N5456">
        <v>50.610103176740097</v>
      </c>
      <c r="O5456">
        <v>48.942167313282297</v>
      </c>
      <c r="P5456">
        <v>-7.9569079011457405E-2</v>
      </c>
      <c r="Q5456">
        <v>0.169211378231134</v>
      </c>
      <c r="R5456">
        <v>0.98787616067501605</v>
      </c>
      <c r="S5456" t="s">
        <v>11741</v>
      </c>
      <c r="T5456" t="s">
        <v>12568</v>
      </c>
      <c r="U5456" t="s">
        <v>12568</v>
      </c>
      <c r="V5456" t="s">
        <v>12568</v>
      </c>
      <c r="W5456" t="s">
        <v>17972</v>
      </c>
      <c r="X5456">
        <v>5</v>
      </c>
      <c r="Y5456" t="s">
        <v>24064</v>
      </c>
      <c r="Z5456" t="s">
        <v>30326</v>
      </c>
      <c r="AA5456">
        <v>0.4453287952444866</v>
      </c>
      <c r="AB5456" t="str">
        <f>HYPERLINK("Melting_Curves/meltCurve_Q9NNW5_WDR6.pdf", "Melting_Curves/meltCurve_Q9NNW5_WDR6.pdf")</f>
        <v>Melting_Curves/meltCurve_Q9NNW5_WDR6.pdf</v>
      </c>
    </row>
    <row r="5457" spans="1:28" x14ac:dyDescent="0.25">
      <c r="A5457" t="s">
        <v>5461</v>
      </c>
      <c r="B5457">
        <v>0.99352677808782597</v>
      </c>
      <c r="C5457">
        <v>0.95135876236662098</v>
      </c>
      <c r="D5457">
        <v>0.962702110015629</v>
      </c>
      <c r="E5457">
        <v>0.80518756181601003</v>
      </c>
      <c r="F5457">
        <v>0.77298895767195297</v>
      </c>
      <c r="G5457">
        <v>0.65581065490787505</v>
      </c>
      <c r="H5457">
        <v>0.57175026551900499</v>
      </c>
      <c r="I5457">
        <v>0.63357608587358305</v>
      </c>
      <c r="J5457">
        <v>0.71524264155203598</v>
      </c>
      <c r="K5457">
        <v>0.61576595207406504</v>
      </c>
      <c r="L5457">
        <v>925.98397994403695</v>
      </c>
      <c r="M5457">
        <v>18.386287581135001</v>
      </c>
      <c r="O5457">
        <v>49.778330630020299</v>
      </c>
      <c r="P5457">
        <v>-3.4223965186004401E-2</v>
      </c>
      <c r="Q5457">
        <v>0.62939022173983905</v>
      </c>
      <c r="R5457">
        <v>0.92817992715356301</v>
      </c>
      <c r="S5457" t="s">
        <v>11742</v>
      </c>
      <c r="T5457" t="s">
        <v>12568</v>
      </c>
      <c r="U5457" t="s">
        <v>12568</v>
      </c>
      <c r="V5457" t="s">
        <v>12568</v>
      </c>
      <c r="W5457" t="s">
        <v>17973</v>
      </c>
      <c r="X5457">
        <v>13</v>
      </c>
      <c r="Y5457" t="s">
        <v>24065</v>
      </c>
      <c r="Z5457" t="s">
        <v>30327</v>
      </c>
      <c r="AA5457">
        <v>0.76345457278752116</v>
      </c>
      <c r="AB5457" t="str">
        <f>HYPERLINK("Melting_Curves/meltCurve_Q9NNX1_2_TUFT1.pdf", "Melting_Curves/meltCurve_Q9NNX1_2_TUFT1.pdf")</f>
        <v>Melting_Curves/meltCurve_Q9NNX1_2_TUFT1.pdf</v>
      </c>
    </row>
    <row r="5458" spans="1:28" x14ac:dyDescent="0.25">
      <c r="A5458" t="s">
        <v>5462</v>
      </c>
      <c r="B5458">
        <v>0.99352677808782597</v>
      </c>
      <c r="C5458">
        <v>0.98890092438720401</v>
      </c>
      <c r="D5458">
        <v>1.0179470429930799</v>
      </c>
      <c r="E5458">
        <v>0.90044377185595903</v>
      </c>
      <c r="F5458">
        <v>0.81429950080799396</v>
      </c>
      <c r="G5458">
        <v>0.51458029271215999</v>
      </c>
      <c r="H5458">
        <v>0.30938291514489202</v>
      </c>
      <c r="I5458">
        <v>0.31417069185919</v>
      </c>
      <c r="J5458">
        <v>0.31887010719938202</v>
      </c>
      <c r="K5458">
        <v>0.296687915143928</v>
      </c>
      <c r="L5458">
        <v>1335.61654109336</v>
      </c>
      <c r="M5458">
        <v>24.273250417445901</v>
      </c>
      <c r="N5458">
        <v>57.049583150113897</v>
      </c>
      <c r="O5458">
        <v>54.654820849818002</v>
      </c>
      <c r="P5458">
        <v>-7.8966884409276197E-2</v>
      </c>
      <c r="Q5458">
        <v>0.28878806749388303</v>
      </c>
      <c r="R5458">
        <v>0.99472396550757802</v>
      </c>
      <c r="S5458" t="s">
        <v>11743</v>
      </c>
      <c r="T5458" t="s">
        <v>12568</v>
      </c>
      <c r="U5458" t="s">
        <v>12568</v>
      </c>
      <c r="V5458" t="s">
        <v>12568</v>
      </c>
      <c r="W5458" t="s">
        <v>17974</v>
      </c>
      <c r="X5458">
        <v>15</v>
      </c>
      <c r="Y5458" t="s">
        <v>19404</v>
      </c>
      <c r="Z5458" t="s">
        <v>30328</v>
      </c>
      <c r="AA5458">
        <v>0.65189299060969297</v>
      </c>
      <c r="AB5458" t="str">
        <f>HYPERLINK("Melting_Curves/meltCurve_Q9NP61_ARFGAP3.pdf", "Melting_Curves/meltCurve_Q9NP61_ARFGAP3.pdf")</f>
        <v>Melting_Curves/meltCurve_Q9NP61_ARFGAP3.pdf</v>
      </c>
    </row>
    <row r="5459" spans="1:28" x14ac:dyDescent="0.25">
      <c r="A5459" t="s">
        <v>5463</v>
      </c>
      <c r="B5459">
        <v>0.99352677808782597</v>
      </c>
      <c r="C5459">
        <v>0.94103818858908705</v>
      </c>
      <c r="D5459">
        <v>0.86747296806636698</v>
      </c>
      <c r="E5459">
        <v>0.79900803285356603</v>
      </c>
      <c r="F5459">
        <v>0.67802916807757596</v>
      </c>
      <c r="G5459">
        <v>0.54843336499996498</v>
      </c>
      <c r="H5459">
        <v>0.32249422016615598</v>
      </c>
      <c r="I5459">
        <v>0.32435664305255901</v>
      </c>
      <c r="J5459">
        <v>0.352498018736007</v>
      </c>
      <c r="K5459">
        <v>0.36677633650797897</v>
      </c>
      <c r="L5459">
        <v>659.86040132368203</v>
      </c>
      <c r="M5459">
        <v>12.362135990397199</v>
      </c>
      <c r="N5459">
        <v>57.180517114687603</v>
      </c>
      <c r="O5459">
        <v>52.038466708258298</v>
      </c>
      <c r="P5459">
        <v>-4.2753840674099597E-2</v>
      </c>
      <c r="Q5459">
        <v>0.28026468014611</v>
      </c>
      <c r="R5459">
        <v>0.97448277358958402</v>
      </c>
      <c r="S5459" t="s">
        <v>11744</v>
      </c>
      <c r="T5459" t="s">
        <v>12568</v>
      </c>
      <c r="U5459" t="s">
        <v>12568</v>
      </c>
      <c r="V5459" t="s">
        <v>12568</v>
      </c>
      <c r="W5459" t="s">
        <v>17975</v>
      </c>
      <c r="X5459">
        <v>5</v>
      </c>
      <c r="Y5459" t="s">
        <v>24066</v>
      </c>
      <c r="Z5459" t="s">
        <v>30329</v>
      </c>
      <c r="AA5459">
        <v>0.62046165840248879</v>
      </c>
      <c r="AB5459" t="str">
        <f>HYPERLINK("Melting_Curves/meltCurve_Q9NP66_HMG20A.pdf", "Melting_Curves/meltCurve_Q9NP66_HMG20A.pdf")</f>
        <v>Melting_Curves/meltCurve_Q9NP66_HMG20A.pdf</v>
      </c>
    </row>
    <row r="5460" spans="1:28" x14ac:dyDescent="0.25">
      <c r="A5460" t="s">
        <v>5464</v>
      </c>
      <c r="B5460">
        <v>0.99352677808782597</v>
      </c>
      <c r="C5460">
        <v>1.01095344419594</v>
      </c>
      <c r="D5460">
        <v>1.01721706308688</v>
      </c>
      <c r="E5460">
        <v>0.82969083073916405</v>
      </c>
      <c r="F5460">
        <v>0.708998306492167</v>
      </c>
      <c r="G5460">
        <v>0.43549998231482301</v>
      </c>
      <c r="H5460">
        <v>0.24925923551038001</v>
      </c>
      <c r="I5460">
        <v>0.180906822457755</v>
      </c>
      <c r="J5460">
        <v>0.109943112927255</v>
      </c>
      <c r="K5460">
        <v>6.7690565655962598E-2</v>
      </c>
      <c r="L5460">
        <v>845.505433692319</v>
      </c>
      <c r="M5460">
        <v>15.1550353079258</v>
      </c>
      <c r="N5460">
        <v>56.102135913567501</v>
      </c>
      <c r="O5460">
        <v>54.846049253486797</v>
      </c>
      <c r="P5460">
        <v>-6.6296775471577807E-2</v>
      </c>
      <c r="Q5460">
        <v>4.0381410384616401E-2</v>
      </c>
      <c r="R5460">
        <v>0.99645105360186104</v>
      </c>
      <c r="S5460" t="s">
        <v>11745</v>
      </c>
      <c r="T5460" t="s">
        <v>12568</v>
      </c>
      <c r="U5460" t="s">
        <v>12568</v>
      </c>
      <c r="V5460" t="s">
        <v>12568</v>
      </c>
      <c r="W5460" t="s">
        <v>17976</v>
      </c>
      <c r="X5460">
        <v>6</v>
      </c>
      <c r="Y5460" t="s">
        <v>24067</v>
      </c>
      <c r="Z5460" t="s">
        <v>30330</v>
      </c>
      <c r="AA5460">
        <v>0.56267556049362166</v>
      </c>
      <c r="AB5460" t="str">
        <f>HYPERLINK("Melting_Curves/meltCurve_Q9NP72_RAB18.pdf", "Melting_Curves/meltCurve_Q9NP72_RAB18.pdf")</f>
        <v>Melting_Curves/meltCurve_Q9NP72_RAB18.pdf</v>
      </c>
    </row>
    <row r="5461" spans="1:28" x14ac:dyDescent="0.25">
      <c r="A5461" t="s">
        <v>5465</v>
      </c>
      <c r="B5461">
        <v>0.99352677808782597</v>
      </c>
      <c r="C5461">
        <v>0.99618358605113999</v>
      </c>
      <c r="D5461">
        <v>1.04780955692436</v>
      </c>
      <c r="E5461">
        <v>0.76846028147640899</v>
      </c>
      <c r="F5461">
        <v>0.68183673086230301</v>
      </c>
      <c r="G5461">
        <v>0.41803697912423698</v>
      </c>
      <c r="H5461">
        <v>0.18949064689748901</v>
      </c>
      <c r="I5461">
        <v>0.15529148578701599</v>
      </c>
      <c r="J5461">
        <v>0.113839856212247</v>
      </c>
      <c r="K5461">
        <v>8.2754383242630097E-2</v>
      </c>
      <c r="L5461">
        <v>871.89792087634601</v>
      </c>
      <c r="M5461">
        <v>15.862848873742999</v>
      </c>
      <c r="N5461">
        <v>55.374543322161898</v>
      </c>
      <c r="O5461">
        <v>54.113512080537497</v>
      </c>
      <c r="P5461">
        <v>-6.9232301899228202E-2</v>
      </c>
      <c r="Q5461">
        <v>5.5378191471778998E-2</v>
      </c>
      <c r="R5461">
        <v>0.98975750702714804</v>
      </c>
      <c r="S5461" t="s">
        <v>11746</v>
      </c>
      <c r="T5461" t="s">
        <v>12568</v>
      </c>
      <c r="U5461" t="s">
        <v>12568</v>
      </c>
      <c r="V5461" t="s">
        <v>12568</v>
      </c>
      <c r="W5461" t="s">
        <v>17977</v>
      </c>
      <c r="X5461">
        <v>5</v>
      </c>
      <c r="Y5461" t="s">
        <v>24068</v>
      </c>
      <c r="Z5461" t="s">
        <v>30331</v>
      </c>
      <c r="AA5461">
        <v>0.5437363993524833</v>
      </c>
      <c r="AB5461" t="str">
        <f>HYPERLINK("Melting_Curves/meltCurve_Q9NP73_2_ALG13.pdf", "Melting_Curves/meltCurve_Q9NP73_2_ALG13.pdf")</f>
        <v>Melting_Curves/meltCurve_Q9NP73_2_ALG13.pdf</v>
      </c>
    </row>
    <row r="5462" spans="1:28" x14ac:dyDescent="0.25">
      <c r="A5462" t="s">
        <v>5466</v>
      </c>
      <c r="B5462">
        <v>0.99352677808782597</v>
      </c>
      <c r="C5462">
        <v>0.92389284382640902</v>
      </c>
      <c r="D5462">
        <v>0.97229106582815406</v>
      </c>
      <c r="E5462">
        <v>0.96964779671064705</v>
      </c>
      <c r="F5462">
        <v>0.87031078891705604</v>
      </c>
      <c r="G5462">
        <v>0.81391938593247704</v>
      </c>
      <c r="H5462">
        <v>0.87553267705558402</v>
      </c>
      <c r="I5462">
        <v>0.95919447855273798</v>
      </c>
      <c r="J5462">
        <v>0.99248128637164701</v>
      </c>
      <c r="K5462">
        <v>0.90055423482810804</v>
      </c>
      <c r="L5462">
        <v>644.27569658451796</v>
      </c>
      <c r="M5462">
        <v>14.7107365456148</v>
      </c>
      <c r="O5462">
        <v>43.010855490348497</v>
      </c>
      <c r="P5462">
        <v>-7.7666726253047503E-3</v>
      </c>
      <c r="Q5462">
        <v>0.90917795074568497</v>
      </c>
      <c r="R5462">
        <v>0.17502922550432501</v>
      </c>
      <c r="S5462" t="s">
        <v>11747</v>
      </c>
      <c r="T5462" t="s">
        <v>12568</v>
      </c>
      <c r="U5462" t="s">
        <v>12568</v>
      </c>
      <c r="V5462" t="s">
        <v>12568</v>
      </c>
      <c r="W5462" t="s">
        <v>17978</v>
      </c>
      <c r="X5462">
        <v>6</v>
      </c>
      <c r="Y5462" t="s">
        <v>24069</v>
      </c>
      <c r="Z5462" t="s">
        <v>30332</v>
      </c>
      <c r="AA5462">
        <v>0.92419375530938142</v>
      </c>
      <c r="AB5462" t="str">
        <f>HYPERLINK("Melting_Curves/meltCurve_Q9NP74_PALMD.pdf", "Melting_Curves/meltCurve_Q9NP74_PALMD.pdf")</f>
        <v>Melting_Curves/meltCurve_Q9NP74_PALMD.pdf</v>
      </c>
    </row>
    <row r="5463" spans="1:28" x14ac:dyDescent="0.25">
      <c r="A5463" t="s">
        <v>5467</v>
      </c>
      <c r="B5463">
        <v>0.99352677808782597</v>
      </c>
      <c r="C5463">
        <v>0.60518231494150199</v>
      </c>
      <c r="D5463">
        <v>1.1877980604952501</v>
      </c>
      <c r="E5463">
        <v>0.27666494403847303</v>
      </c>
      <c r="F5463">
        <v>0.205891094493904</v>
      </c>
      <c r="G5463">
        <v>9.6622747289317704E-2</v>
      </c>
      <c r="H5463">
        <v>8.0072356016572199E-2</v>
      </c>
      <c r="I5463">
        <v>8.3481370223153994E-2</v>
      </c>
      <c r="J5463">
        <v>7.2250171395427498E-2</v>
      </c>
      <c r="K5463">
        <v>5.94679821019264E-2</v>
      </c>
      <c r="L5463">
        <v>6278.6523781010701</v>
      </c>
      <c r="M5463">
        <v>126.978671330518</v>
      </c>
      <c r="N5463">
        <v>49.5331363620503</v>
      </c>
      <c r="O5463">
        <v>49.434249856776397</v>
      </c>
      <c r="P5463">
        <v>-0.57821969721699495</v>
      </c>
      <c r="Q5463">
        <v>9.9569834477066896E-2</v>
      </c>
      <c r="R5463">
        <v>0.86948023202467595</v>
      </c>
      <c r="S5463" t="s">
        <v>11748</v>
      </c>
      <c r="T5463" t="s">
        <v>12568</v>
      </c>
      <c r="U5463" t="s">
        <v>12568</v>
      </c>
      <c r="V5463" t="s">
        <v>12568</v>
      </c>
      <c r="W5463" t="s">
        <v>17979</v>
      </c>
      <c r="X5463">
        <v>6</v>
      </c>
      <c r="Y5463" t="s">
        <v>24070</v>
      </c>
      <c r="Z5463" t="s">
        <v>30333</v>
      </c>
      <c r="AA5463">
        <v>0.38340372023891728</v>
      </c>
      <c r="AB5463" t="str">
        <f>HYPERLINK("Melting_Curves/meltCurve_Q9NP77_SSU72.pdf", "Melting_Curves/meltCurve_Q9NP77_SSU72.pdf")</f>
        <v>Melting_Curves/meltCurve_Q9NP77_SSU72.pdf</v>
      </c>
    </row>
    <row r="5464" spans="1:28" x14ac:dyDescent="0.25">
      <c r="A5464" t="s">
        <v>5468</v>
      </c>
      <c r="B5464">
        <v>0.99352677808782597</v>
      </c>
      <c r="C5464">
        <v>0.99215142186187399</v>
      </c>
      <c r="D5464">
        <v>0.97814749355800001</v>
      </c>
      <c r="E5464">
        <v>0.55368891868355796</v>
      </c>
      <c r="F5464">
        <v>0.489868113856678</v>
      </c>
      <c r="G5464">
        <v>0.229181102787434</v>
      </c>
      <c r="H5464">
        <v>0.152476606098224</v>
      </c>
      <c r="I5464">
        <v>0.14193928038936399</v>
      </c>
      <c r="J5464">
        <v>0.121536747281798</v>
      </c>
      <c r="K5464">
        <v>9.5293847387519198E-2</v>
      </c>
      <c r="L5464">
        <v>920.741348906197</v>
      </c>
      <c r="M5464">
        <v>17.970130762138901</v>
      </c>
      <c r="N5464">
        <v>51.938036411631003</v>
      </c>
      <c r="O5464">
        <v>50.615468101848002</v>
      </c>
      <c r="P5464">
        <v>-7.9207415578557802E-2</v>
      </c>
      <c r="Q5464">
        <v>0.107648058947955</v>
      </c>
      <c r="R5464">
        <v>0.98422764524644102</v>
      </c>
      <c r="S5464" t="s">
        <v>11749</v>
      </c>
      <c r="T5464" t="s">
        <v>12568</v>
      </c>
      <c r="U5464" t="s">
        <v>12568</v>
      </c>
      <c r="V5464" t="s">
        <v>12568</v>
      </c>
      <c r="W5464" t="s">
        <v>17980</v>
      </c>
      <c r="X5464">
        <v>10</v>
      </c>
      <c r="Y5464" t="s">
        <v>24071</v>
      </c>
      <c r="Z5464" t="s">
        <v>30334</v>
      </c>
      <c r="AA5464">
        <v>0.45694097499217617</v>
      </c>
      <c r="AB5464" t="str">
        <f>HYPERLINK("Melting_Curves/meltCurve_Q9NP79_VTA1.pdf", "Melting_Curves/meltCurve_Q9NP79_VTA1.pdf")</f>
        <v>Melting_Curves/meltCurve_Q9NP79_VTA1.pdf</v>
      </c>
    </row>
    <row r="5465" spans="1:28" x14ac:dyDescent="0.25">
      <c r="A5465" t="s">
        <v>5469</v>
      </c>
      <c r="B5465">
        <v>0.99352677808782597</v>
      </c>
      <c r="C5465">
        <v>1.05251898709118</v>
      </c>
      <c r="D5465">
        <v>1.04165213715446</v>
      </c>
      <c r="E5465">
        <v>1.3059090731831899</v>
      </c>
      <c r="F5465">
        <v>1.12097366525999</v>
      </c>
      <c r="G5465">
        <v>1.0265838133566401</v>
      </c>
      <c r="H5465">
        <v>0.86909548399352299</v>
      </c>
      <c r="I5465">
        <v>0.91831145878779097</v>
      </c>
      <c r="J5465">
        <v>0.889476268479517</v>
      </c>
      <c r="K5465">
        <v>0.66323851474393503</v>
      </c>
      <c r="L5465">
        <v>1310.22713547276</v>
      </c>
      <c r="M5465">
        <v>17.940245876769801</v>
      </c>
      <c r="Q5465">
        <v>0</v>
      </c>
      <c r="R5465">
        <v>0.50887767961619201</v>
      </c>
      <c r="S5465" t="s">
        <v>11750</v>
      </c>
      <c r="T5465" t="s">
        <v>12568</v>
      </c>
      <c r="U5465" t="s">
        <v>12568</v>
      </c>
      <c r="V5465" t="s">
        <v>12568</v>
      </c>
      <c r="W5465" t="s">
        <v>17981</v>
      </c>
      <c r="X5465">
        <v>3</v>
      </c>
      <c r="Y5465" t="s">
        <v>24072</v>
      </c>
      <c r="Z5465" t="s">
        <v>30335</v>
      </c>
      <c r="AA5465">
        <v>0.9576182452100942</v>
      </c>
      <c r="AB5465" t="str">
        <f>HYPERLINK("Melting_Curves/meltCurve_Q9NP97_DYNLRB1.pdf", "Melting_Curves/meltCurve_Q9NP97_DYNLRB1.pdf")</f>
        <v>Melting_Curves/meltCurve_Q9NP97_DYNLRB1.pdf</v>
      </c>
    </row>
    <row r="5466" spans="1:28" x14ac:dyDescent="0.25">
      <c r="A5466" t="s">
        <v>5470</v>
      </c>
      <c r="B5466">
        <v>0.99352677808782597</v>
      </c>
      <c r="C5466">
        <v>0.90094705157997101</v>
      </c>
      <c r="D5466">
        <v>0.77502640897009301</v>
      </c>
      <c r="E5466">
        <v>0.37471196007867003</v>
      </c>
      <c r="F5466">
        <v>0.30113297954944002</v>
      </c>
      <c r="G5466">
        <v>0.223637621736092</v>
      </c>
      <c r="H5466">
        <v>0.16903091532784401</v>
      </c>
      <c r="I5466">
        <v>0.13892860339914001</v>
      </c>
      <c r="J5466">
        <v>0.130939229199106</v>
      </c>
      <c r="K5466">
        <v>0.123360984849952</v>
      </c>
      <c r="L5466">
        <v>893.02389681798297</v>
      </c>
      <c r="M5466">
        <v>18.565133507030598</v>
      </c>
      <c r="N5466">
        <v>48.977708047993303</v>
      </c>
      <c r="O5466">
        <v>47.554519952232702</v>
      </c>
      <c r="P5466">
        <v>-8.3821071116556706E-2</v>
      </c>
      <c r="Q5466">
        <v>0.14120807168767399</v>
      </c>
      <c r="R5466">
        <v>0.99316123010634105</v>
      </c>
      <c r="S5466" t="s">
        <v>11751</v>
      </c>
      <c r="T5466" t="s">
        <v>12568</v>
      </c>
      <c r="U5466" t="s">
        <v>12568</v>
      </c>
      <c r="V5466" t="s">
        <v>12568</v>
      </c>
      <c r="W5466" t="s">
        <v>17982</v>
      </c>
      <c r="X5466">
        <v>5</v>
      </c>
      <c r="Y5466" t="s">
        <v>24073</v>
      </c>
      <c r="Z5466" t="s">
        <v>30336</v>
      </c>
      <c r="AA5466">
        <v>0.38738796387771512</v>
      </c>
      <c r="AB5466" t="str">
        <f>HYPERLINK("Melting_Curves/meltCurve_Q9NPA3_MID1IP1.pdf", "Melting_Curves/meltCurve_Q9NPA3_MID1IP1.pdf")</f>
        <v>Melting_Curves/meltCurve_Q9NPA3_MID1IP1.pdf</v>
      </c>
    </row>
    <row r="5467" spans="1:28" x14ac:dyDescent="0.25">
      <c r="A5467" t="s">
        <v>5471</v>
      </c>
      <c r="B5467">
        <v>0.99352677808782597</v>
      </c>
      <c r="C5467">
        <v>0.96350106922647905</v>
      </c>
      <c r="D5467">
        <v>0.99993278816127695</v>
      </c>
      <c r="E5467">
        <v>0.95193008832618198</v>
      </c>
      <c r="F5467">
        <v>0.88794982713522197</v>
      </c>
      <c r="G5467">
        <v>0.80778441350811303</v>
      </c>
      <c r="H5467">
        <v>0.69747050875459704</v>
      </c>
      <c r="I5467">
        <v>0.72991346003912005</v>
      </c>
      <c r="J5467">
        <v>0.72812397377248905</v>
      </c>
      <c r="K5467">
        <v>0.63447146425736101</v>
      </c>
      <c r="L5467">
        <v>829.63453971352499</v>
      </c>
      <c r="M5467">
        <v>14.902720007606</v>
      </c>
      <c r="O5467">
        <v>54.6964493348856</v>
      </c>
      <c r="P5467">
        <v>-2.3147293232179299E-2</v>
      </c>
      <c r="Q5467">
        <v>0.66021140920348997</v>
      </c>
      <c r="R5467">
        <v>0.95906951406347896</v>
      </c>
      <c r="S5467" t="s">
        <v>11752</v>
      </c>
      <c r="T5467" t="s">
        <v>12568</v>
      </c>
      <c r="U5467" t="s">
        <v>12568</v>
      </c>
      <c r="V5467" t="s">
        <v>12568</v>
      </c>
      <c r="W5467" t="s">
        <v>17983</v>
      </c>
      <c r="X5467">
        <v>8</v>
      </c>
      <c r="Y5467" t="s">
        <v>24074</v>
      </c>
      <c r="Z5467" t="s">
        <v>30337</v>
      </c>
      <c r="AA5467">
        <v>0.84394599060280795</v>
      </c>
      <c r="AB5467" t="str">
        <f>HYPERLINK("Melting_Curves/meltCurve_Q9NPA8_2_ENY2.pdf", "Melting_Curves/meltCurve_Q9NPA8_2_ENY2.pdf")</f>
        <v>Melting_Curves/meltCurve_Q9NPA8_2_ENY2.pdf</v>
      </c>
    </row>
    <row r="5468" spans="1:28" x14ac:dyDescent="0.25">
      <c r="A5468" t="s">
        <v>5472</v>
      </c>
      <c r="B5468">
        <v>0.99352677808782597</v>
      </c>
      <c r="C5468">
        <v>0.933957673796594</v>
      </c>
      <c r="D5468">
        <v>0.57340674072297604</v>
      </c>
      <c r="E5468">
        <v>0.26513052606168602</v>
      </c>
      <c r="F5468">
        <v>0.20324267059962201</v>
      </c>
      <c r="G5468">
        <v>0.12989985839068699</v>
      </c>
      <c r="H5468">
        <v>8.5440154246162595E-2</v>
      </c>
      <c r="I5468">
        <v>9.9762580181841504E-2</v>
      </c>
      <c r="J5468">
        <v>6.39479735462231E-2</v>
      </c>
      <c r="K5468">
        <v>6.2634611737989704E-2</v>
      </c>
      <c r="L5468">
        <v>1010.70446400341</v>
      </c>
      <c r="M5468">
        <v>21.661215616158</v>
      </c>
      <c r="N5468">
        <v>47.092080405226199</v>
      </c>
      <c r="O5468">
        <v>46.267431320569102</v>
      </c>
      <c r="P5468">
        <v>-0.106490013476203</v>
      </c>
      <c r="Q5468">
        <v>9.0189247247849602E-2</v>
      </c>
      <c r="R5468">
        <v>0.99195742401888898</v>
      </c>
      <c r="S5468" t="s">
        <v>11753</v>
      </c>
      <c r="T5468" t="s">
        <v>12568</v>
      </c>
      <c r="U5468" t="s">
        <v>12568</v>
      </c>
      <c r="V5468" t="s">
        <v>12568</v>
      </c>
      <c r="W5468" t="s">
        <v>17984</v>
      </c>
      <c r="X5468">
        <v>7</v>
      </c>
      <c r="Y5468" t="s">
        <v>24075</v>
      </c>
      <c r="Z5468" t="s">
        <v>30338</v>
      </c>
      <c r="AA5468">
        <v>0.3034600253220005</v>
      </c>
      <c r="AB5468" t="str">
        <f>HYPERLINK("Melting_Curves/meltCurve_Q9NPB8_GPCPD1.pdf", "Melting_Curves/meltCurve_Q9NPB8_GPCPD1.pdf")</f>
        <v>Melting_Curves/meltCurve_Q9NPB8_GPCPD1.pdf</v>
      </c>
    </row>
    <row r="5469" spans="1:28" x14ac:dyDescent="0.25">
      <c r="A5469" t="s">
        <v>5473</v>
      </c>
      <c r="B5469">
        <v>0.99352677808782597</v>
      </c>
      <c r="C5469">
        <v>1.0790129401619899</v>
      </c>
      <c r="D5469">
        <v>1.1534899492784401</v>
      </c>
      <c r="E5469">
        <v>1.46661624018363</v>
      </c>
      <c r="F5469">
        <v>1.3293734146748899</v>
      </c>
      <c r="G5469">
        <v>1.0916683834793399</v>
      </c>
      <c r="H5469">
        <v>0.77488299718279297</v>
      </c>
      <c r="I5469">
        <v>0.45345207391870901</v>
      </c>
      <c r="J5469">
        <v>0.139438866264565</v>
      </c>
      <c r="K5469">
        <v>0.11268584720078</v>
      </c>
      <c r="L5469">
        <v>2461.5273826093098</v>
      </c>
      <c r="M5469">
        <v>38.972996147076998</v>
      </c>
      <c r="N5469">
        <v>63.438859586562899</v>
      </c>
      <c r="O5469">
        <v>62.994195389702398</v>
      </c>
      <c r="P5469">
        <v>-0.14248623283383099</v>
      </c>
      <c r="Q5469">
        <v>7.8768525742331202E-2</v>
      </c>
      <c r="R5469">
        <v>0.81852664934666597</v>
      </c>
      <c r="S5469" t="s">
        <v>11754</v>
      </c>
      <c r="T5469" t="s">
        <v>12568</v>
      </c>
      <c r="U5469" t="s">
        <v>12568</v>
      </c>
      <c r="V5469" t="s">
        <v>12568</v>
      </c>
      <c r="W5469" t="s">
        <v>17985</v>
      </c>
      <c r="X5469">
        <v>4</v>
      </c>
      <c r="Y5469" t="s">
        <v>24076</v>
      </c>
      <c r="Z5469" t="s">
        <v>30339</v>
      </c>
      <c r="AA5469">
        <v>0.79276809914751578</v>
      </c>
      <c r="AB5469" t="str">
        <f>HYPERLINK("Melting_Curves/meltCurve_Q9NPD3_EXOSC4.pdf", "Melting_Curves/meltCurve_Q9NPD3_EXOSC4.pdf")</f>
        <v>Melting_Curves/meltCurve_Q9NPD3_EXOSC4.pdf</v>
      </c>
    </row>
    <row r="5470" spans="1:28" x14ac:dyDescent="0.25">
      <c r="A5470" t="s">
        <v>5474</v>
      </c>
      <c r="B5470">
        <v>0.99352677808782597</v>
      </c>
      <c r="C5470">
        <v>0.43958218801156801</v>
      </c>
      <c r="D5470">
        <v>1.1802732603733599</v>
      </c>
      <c r="E5470">
        <v>0.53363921130179004</v>
      </c>
      <c r="F5470">
        <v>0.439574815130999</v>
      </c>
      <c r="G5470">
        <v>0.13798359844372299</v>
      </c>
      <c r="H5470">
        <v>7.3273691459289997E-2</v>
      </c>
      <c r="I5470">
        <v>5.9557362821678797E-2</v>
      </c>
      <c r="J5470">
        <v>4.56981925729174E-2</v>
      </c>
      <c r="K5470">
        <v>3.4657363810612601E-2</v>
      </c>
      <c r="L5470">
        <v>771.67461719285598</v>
      </c>
      <c r="M5470">
        <v>14.9802931789739</v>
      </c>
      <c r="N5470">
        <v>51.512651215215797</v>
      </c>
      <c r="O5470">
        <v>50.620836418243599</v>
      </c>
      <c r="P5470">
        <v>-7.3990354098459193E-2</v>
      </c>
      <c r="Q5470">
        <v>0</v>
      </c>
      <c r="R5470">
        <v>0.75246432053947998</v>
      </c>
      <c r="S5470" t="s">
        <v>11755</v>
      </c>
      <c r="T5470" t="s">
        <v>12568</v>
      </c>
      <c r="U5470" t="s">
        <v>12568</v>
      </c>
      <c r="V5470" t="s">
        <v>12568</v>
      </c>
      <c r="W5470" t="s">
        <v>17986</v>
      </c>
      <c r="X5470">
        <v>10</v>
      </c>
      <c r="Y5470" t="s">
        <v>24077</v>
      </c>
      <c r="Z5470" t="s">
        <v>30340</v>
      </c>
      <c r="AA5470">
        <v>0.40653018649041978</v>
      </c>
      <c r="AB5470" t="str">
        <f>HYPERLINK("Melting_Curves/meltCurve_Q9NPD8_UBE2T.pdf", "Melting_Curves/meltCurve_Q9NPD8_UBE2T.pdf")</f>
        <v>Melting_Curves/meltCurve_Q9NPD8_UBE2T.pdf</v>
      </c>
    </row>
    <row r="5471" spans="1:28" x14ac:dyDescent="0.25">
      <c r="A5471" t="s">
        <v>5475</v>
      </c>
      <c r="B5471">
        <v>0.99352677808782597</v>
      </c>
      <c r="C5471">
        <v>0.94327336434787101</v>
      </c>
      <c r="D5471">
        <v>0.94934437716978204</v>
      </c>
      <c r="E5471">
        <v>0.83208540776238105</v>
      </c>
      <c r="F5471">
        <v>0.72269603780254699</v>
      </c>
      <c r="G5471">
        <v>0.64445054508891597</v>
      </c>
      <c r="H5471">
        <v>0.42909908361702698</v>
      </c>
      <c r="I5471">
        <v>0.50244518822793205</v>
      </c>
      <c r="J5471">
        <v>0.413572832822375</v>
      </c>
      <c r="K5471">
        <v>0.45311403252211702</v>
      </c>
      <c r="L5471">
        <v>685.20698121834596</v>
      </c>
      <c r="M5471">
        <v>12.716563366747501</v>
      </c>
      <c r="N5471">
        <v>61.375787157119397</v>
      </c>
      <c r="O5471">
        <v>52.602670537460902</v>
      </c>
      <c r="P5471">
        <v>-3.6623669577342699E-2</v>
      </c>
      <c r="Q5471">
        <v>0.39413439040613002</v>
      </c>
      <c r="R5471">
        <v>0.97405708164926597</v>
      </c>
      <c r="S5471" t="s">
        <v>11756</v>
      </c>
      <c r="T5471" t="s">
        <v>12568</v>
      </c>
      <c r="U5471" t="s">
        <v>12568</v>
      </c>
      <c r="V5471" t="s">
        <v>12568</v>
      </c>
      <c r="W5471" t="s">
        <v>17987</v>
      </c>
      <c r="X5471">
        <v>1</v>
      </c>
      <c r="Y5471" t="s">
        <v>24078</v>
      </c>
      <c r="Z5471" t="s">
        <v>30341</v>
      </c>
      <c r="AA5471">
        <v>0.68961775478660903</v>
      </c>
      <c r="AB5471" t="str">
        <f>HYPERLINK("Melting_Curves/meltCurve_Q9NPE2_NGRN.pdf", "Melting_Curves/meltCurve_Q9NPE2_NGRN.pdf")</f>
        <v>Melting_Curves/meltCurve_Q9NPE2_NGRN.pdf</v>
      </c>
    </row>
    <row r="5472" spans="1:28" x14ac:dyDescent="0.25">
      <c r="A5472" t="s">
        <v>5476</v>
      </c>
      <c r="B5472">
        <v>0.99352677808782597</v>
      </c>
      <c r="C5472">
        <v>0.91511988105398001</v>
      </c>
      <c r="D5472">
        <v>1.00970884120875</v>
      </c>
      <c r="E5472">
        <v>1.1588277204829101</v>
      </c>
      <c r="F5472">
        <v>1.0065453603341701</v>
      </c>
      <c r="G5472">
        <v>0.89864681037065597</v>
      </c>
      <c r="H5472">
        <v>0.95038047551602201</v>
      </c>
      <c r="I5472">
        <v>0.66856374466795898</v>
      </c>
      <c r="J5472">
        <v>0.51894615311606496</v>
      </c>
      <c r="K5472">
        <v>0.29372312816639301</v>
      </c>
      <c r="L5472">
        <v>1427.5913191623399</v>
      </c>
      <c r="M5472">
        <v>21.453687067813402</v>
      </c>
      <c r="N5472">
        <v>66.925575889114697</v>
      </c>
      <c r="O5472">
        <v>65.972868391881704</v>
      </c>
      <c r="P5472">
        <v>-7.6607067188163402E-2</v>
      </c>
      <c r="Q5472">
        <v>5.77165945685904E-2</v>
      </c>
      <c r="R5472">
        <v>0.92675302623223299</v>
      </c>
      <c r="S5472" t="s">
        <v>11757</v>
      </c>
      <c r="T5472" t="s">
        <v>12568</v>
      </c>
      <c r="U5472" t="s">
        <v>12568</v>
      </c>
      <c r="V5472" t="s">
        <v>12568</v>
      </c>
      <c r="W5472" t="s">
        <v>17988</v>
      </c>
      <c r="X5472">
        <v>1</v>
      </c>
      <c r="Y5472" t="s">
        <v>24079</v>
      </c>
      <c r="Z5472" t="s">
        <v>30342</v>
      </c>
      <c r="AA5472">
        <v>0.87070784235686038</v>
      </c>
      <c r="AB5472" t="str">
        <f>HYPERLINK("Melting_Curves/meltCurve_Q9NPE3_NOP10.pdf", "Melting_Curves/meltCurve_Q9NPE3_NOP10.pdf")</f>
        <v>Melting_Curves/meltCurve_Q9NPE3_NOP10.pdf</v>
      </c>
    </row>
    <row r="5473" spans="1:28" x14ac:dyDescent="0.25">
      <c r="A5473" t="s">
        <v>5477</v>
      </c>
      <c r="B5473">
        <v>0.99352677808782597</v>
      </c>
      <c r="C5473">
        <v>1.02659256205506</v>
      </c>
      <c r="D5473">
        <v>0.88304442111386805</v>
      </c>
      <c r="E5473">
        <v>0.77700555919866299</v>
      </c>
      <c r="F5473">
        <v>0.75251412239534798</v>
      </c>
      <c r="G5473">
        <v>0.65516358294773502</v>
      </c>
      <c r="H5473">
        <v>0.56900047955534505</v>
      </c>
      <c r="I5473">
        <v>0.63575949815482102</v>
      </c>
      <c r="J5473">
        <v>0.59926189532124396</v>
      </c>
      <c r="K5473">
        <v>0.51436945885928997</v>
      </c>
      <c r="L5473">
        <v>640.24983494119499</v>
      </c>
      <c r="M5473">
        <v>12.5195908108073</v>
      </c>
      <c r="O5473">
        <v>49.887676376093196</v>
      </c>
      <c r="P5473">
        <v>-2.8174694822073201E-2</v>
      </c>
      <c r="Q5473">
        <v>0.55101323531857205</v>
      </c>
      <c r="R5473">
        <v>0.95227481476595199</v>
      </c>
      <c r="S5473" t="s">
        <v>11758</v>
      </c>
      <c r="T5473" t="s">
        <v>12568</v>
      </c>
      <c r="U5473" t="s">
        <v>12568</v>
      </c>
      <c r="V5473" t="s">
        <v>12568</v>
      </c>
      <c r="W5473" t="s">
        <v>17989</v>
      </c>
      <c r="X5473">
        <v>2</v>
      </c>
      <c r="Y5473" t="s">
        <v>24080</v>
      </c>
      <c r="Z5473" t="s">
        <v>30343</v>
      </c>
      <c r="AA5473">
        <v>0.73139718983260782</v>
      </c>
      <c r="AB5473" t="str">
        <f>HYPERLINK("Melting_Curves/meltCurve_Q9NPF0_CD320.pdf", "Melting_Curves/meltCurve_Q9NPF0_CD320.pdf")</f>
        <v>Melting_Curves/meltCurve_Q9NPF0_CD320.pdf</v>
      </c>
    </row>
    <row r="5474" spans="1:28" x14ac:dyDescent="0.25">
      <c r="A5474" t="s">
        <v>5478</v>
      </c>
      <c r="B5474">
        <v>0.99352677808782597</v>
      </c>
      <c r="C5474">
        <v>0.98786133658574904</v>
      </c>
      <c r="D5474">
        <v>0.91057885319677601</v>
      </c>
      <c r="E5474">
        <v>0.58284295311309997</v>
      </c>
      <c r="F5474">
        <v>0.49004406338322098</v>
      </c>
      <c r="G5474">
        <v>0.271912905098113</v>
      </c>
      <c r="H5474">
        <v>0.154449379494767</v>
      </c>
      <c r="I5474">
        <v>0.117405781717841</v>
      </c>
      <c r="J5474">
        <v>8.9977679963068796E-2</v>
      </c>
      <c r="K5474">
        <v>6.4485433232785702E-2</v>
      </c>
      <c r="L5474">
        <v>745.82192706211094</v>
      </c>
      <c r="M5474">
        <v>14.3727309697646</v>
      </c>
      <c r="N5474">
        <v>52.3177975788374</v>
      </c>
      <c r="O5474">
        <v>50.917927906421802</v>
      </c>
      <c r="P5474">
        <v>-6.6676294517908893E-2</v>
      </c>
      <c r="Q5474">
        <v>5.5262796849340601E-2</v>
      </c>
      <c r="R5474">
        <v>0.99317735232881099</v>
      </c>
      <c r="S5474" t="s">
        <v>11759</v>
      </c>
      <c r="T5474" t="s">
        <v>12568</v>
      </c>
      <c r="U5474" t="s">
        <v>12568</v>
      </c>
      <c r="V5474" t="s">
        <v>12568</v>
      </c>
      <c r="W5474" t="s">
        <v>17990</v>
      </c>
      <c r="X5474">
        <v>10</v>
      </c>
      <c r="Y5474" t="s">
        <v>24081</v>
      </c>
      <c r="Z5474" t="s">
        <v>30344</v>
      </c>
      <c r="AA5474">
        <v>0.45236224809816461</v>
      </c>
      <c r="AB5474" t="str">
        <f>HYPERLINK("Melting_Curves/meltCurve_Q9NPF4_OSGEP.pdf", "Melting_Curves/meltCurve_Q9NPF4_OSGEP.pdf")</f>
        <v>Melting_Curves/meltCurve_Q9NPF4_OSGEP.pdf</v>
      </c>
    </row>
    <row r="5475" spans="1:28" x14ac:dyDescent="0.25">
      <c r="A5475" t="s">
        <v>5479</v>
      </c>
      <c r="B5475">
        <v>0.99352677808782597</v>
      </c>
      <c r="C5475">
        <v>0.95803403096687401</v>
      </c>
      <c r="D5475">
        <v>0.84697835797554599</v>
      </c>
      <c r="E5475">
        <v>0.58214345738460405</v>
      </c>
      <c r="F5475">
        <v>0.626834275335728</v>
      </c>
      <c r="G5475">
        <v>0.275908562768378</v>
      </c>
      <c r="H5475">
        <v>0.27242307780421499</v>
      </c>
      <c r="I5475">
        <v>0.31424610286497001</v>
      </c>
      <c r="J5475">
        <v>0.24895884037197799</v>
      </c>
      <c r="K5475">
        <v>0.132718238965194</v>
      </c>
      <c r="L5475">
        <v>626.37323505843005</v>
      </c>
      <c r="M5475">
        <v>12.159344554460301</v>
      </c>
      <c r="N5475">
        <v>53.312938544934603</v>
      </c>
      <c r="O5475">
        <v>50.179810893970199</v>
      </c>
      <c r="P5475">
        <v>-5.0395537670338497E-2</v>
      </c>
      <c r="Q5475">
        <v>0.168290993847174</v>
      </c>
      <c r="R5475">
        <v>0.95774467486748804</v>
      </c>
      <c r="S5475" t="s">
        <v>11760</v>
      </c>
      <c r="T5475" t="s">
        <v>12568</v>
      </c>
      <c r="U5475" t="s">
        <v>12568</v>
      </c>
      <c r="V5475" t="s">
        <v>12568</v>
      </c>
      <c r="W5475" t="s">
        <v>17991</v>
      </c>
      <c r="X5475">
        <v>2</v>
      </c>
      <c r="Y5475" t="s">
        <v>24082</v>
      </c>
      <c r="Z5475" t="s">
        <v>30345</v>
      </c>
      <c r="AA5475">
        <v>0.51329846780732735</v>
      </c>
      <c r="AB5475" t="str">
        <f>HYPERLINK("Melting_Curves/meltCurve_Q9NPF5_DMAP1.pdf", "Melting_Curves/meltCurve_Q9NPF5_DMAP1.pdf")</f>
        <v>Melting_Curves/meltCurve_Q9NPF5_DMAP1.pdf</v>
      </c>
    </row>
    <row r="5476" spans="1:28" x14ac:dyDescent="0.25">
      <c r="A5476" t="s">
        <v>5480</v>
      </c>
      <c r="B5476">
        <v>0.99352677808782597</v>
      </c>
      <c r="C5476">
        <v>0.97792043627646696</v>
      </c>
      <c r="D5476">
        <v>1.03913912384453</v>
      </c>
      <c r="E5476">
        <v>0.99024071180120099</v>
      </c>
      <c r="F5476">
        <v>0.86518620313277195</v>
      </c>
      <c r="G5476">
        <v>0.61731779672144904</v>
      </c>
      <c r="H5476">
        <v>0.23052244376015299</v>
      </c>
      <c r="I5476">
        <v>0.17283329441491899</v>
      </c>
      <c r="J5476">
        <v>0.142382465732214</v>
      </c>
      <c r="K5476">
        <v>0.12263970015707799</v>
      </c>
      <c r="L5476">
        <v>1491.5504341723199</v>
      </c>
      <c r="M5476">
        <v>26.031017425109901</v>
      </c>
      <c r="N5476">
        <v>57.865416659862298</v>
      </c>
      <c r="O5476">
        <v>56.964021159035298</v>
      </c>
      <c r="P5476">
        <v>-0.101395229922447</v>
      </c>
      <c r="Q5476">
        <v>0.112472087849959</v>
      </c>
      <c r="R5476">
        <v>0.99590935867790897</v>
      </c>
      <c r="S5476" t="s">
        <v>11761</v>
      </c>
      <c r="T5476" t="s">
        <v>12568</v>
      </c>
      <c r="U5476" t="s">
        <v>12568</v>
      </c>
      <c r="V5476" t="s">
        <v>12568</v>
      </c>
      <c r="W5476" t="s">
        <v>17992</v>
      </c>
      <c r="X5476">
        <v>2</v>
      </c>
      <c r="Y5476" t="s">
        <v>24083</v>
      </c>
      <c r="Z5476" t="s">
        <v>30346</v>
      </c>
      <c r="AA5476">
        <v>0.63170101762013908</v>
      </c>
      <c r="AB5476" t="str">
        <f>HYPERLINK("Melting_Curves/meltCurve_Q9NPH0_ACP6.pdf", "Melting_Curves/meltCurve_Q9NPH0_ACP6.pdf")</f>
        <v>Melting_Curves/meltCurve_Q9NPH0_ACP6.pdf</v>
      </c>
    </row>
    <row r="5477" spans="1:28" x14ac:dyDescent="0.25">
      <c r="A5477" t="s">
        <v>5481</v>
      </c>
      <c r="B5477">
        <v>0.99352677808782597</v>
      </c>
      <c r="C5477">
        <v>0.97825422162738096</v>
      </c>
      <c r="D5477">
        <v>0.90675590862466104</v>
      </c>
      <c r="E5477">
        <v>0.59987018625819399</v>
      </c>
      <c r="F5477">
        <v>0.50558960829100397</v>
      </c>
      <c r="G5477">
        <v>0.31587256877025899</v>
      </c>
      <c r="H5477">
        <v>0.23111440697722599</v>
      </c>
      <c r="I5477">
        <v>0.20335073584313701</v>
      </c>
      <c r="J5477">
        <v>0.19560074572269701</v>
      </c>
      <c r="K5477">
        <v>0.14142607331154</v>
      </c>
      <c r="L5477">
        <v>771.25075313642697</v>
      </c>
      <c r="M5477">
        <v>15.0468450591537</v>
      </c>
      <c r="N5477">
        <v>52.5765717545478</v>
      </c>
      <c r="O5477">
        <v>50.376870555750003</v>
      </c>
      <c r="P5477">
        <v>-6.2931946754308105E-2</v>
      </c>
      <c r="Q5477">
        <v>0.15729892756512501</v>
      </c>
      <c r="R5477">
        <v>0.99333816911107098</v>
      </c>
      <c r="S5477" t="s">
        <v>11762</v>
      </c>
      <c r="T5477" t="s">
        <v>12568</v>
      </c>
      <c r="U5477" t="s">
        <v>12568</v>
      </c>
      <c r="V5477" t="s">
        <v>12568</v>
      </c>
      <c r="W5477" t="s">
        <v>17993</v>
      </c>
      <c r="X5477">
        <v>8</v>
      </c>
      <c r="Y5477" t="s">
        <v>24084</v>
      </c>
      <c r="Z5477" t="s">
        <v>30347</v>
      </c>
      <c r="AA5477">
        <v>0.49271304072967659</v>
      </c>
      <c r="AB5477" t="str">
        <f>HYPERLINK("Melting_Curves/meltCurve_Q9NPI6_DCP1A.pdf", "Melting_Curves/meltCurve_Q9NPI6_DCP1A.pdf")</f>
        <v>Melting_Curves/meltCurve_Q9NPI6_DCP1A.pdf</v>
      </c>
    </row>
    <row r="5478" spans="1:28" x14ac:dyDescent="0.25">
      <c r="A5478" t="s">
        <v>5482</v>
      </c>
      <c r="B5478">
        <v>0.99352677808782597</v>
      </c>
      <c r="C5478">
        <v>1.0238447594408699</v>
      </c>
      <c r="D5478">
        <v>1.0006067404240799</v>
      </c>
      <c r="E5478">
        <v>0.87956834706876097</v>
      </c>
      <c r="F5478">
        <v>0.73770993748257296</v>
      </c>
      <c r="G5478">
        <v>0.61905602034875995</v>
      </c>
      <c r="H5478">
        <v>0.32844692402415798</v>
      </c>
      <c r="I5478">
        <v>0.14254922256597899</v>
      </c>
      <c r="J5478">
        <v>7.2815684399537201E-2</v>
      </c>
      <c r="K5478">
        <v>5.7311559939403497E-2</v>
      </c>
      <c r="L5478">
        <v>881.72395510941999</v>
      </c>
      <c r="M5478">
        <v>15.269314801066299</v>
      </c>
      <c r="N5478">
        <v>57.744828069204303</v>
      </c>
      <c r="O5478">
        <v>56.781572873071802</v>
      </c>
      <c r="P5478">
        <v>-6.7234636558746105E-2</v>
      </c>
      <c r="Q5478">
        <v>0</v>
      </c>
      <c r="R5478">
        <v>0.990150602584286</v>
      </c>
      <c r="S5478" t="s">
        <v>11763</v>
      </c>
      <c r="T5478" t="s">
        <v>12568</v>
      </c>
      <c r="U5478" t="s">
        <v>12568</v>
      </c>
      <c r="V5478" t="s">
        <v>12568</v>
      </c>
      <c r="W5478" t="s">
        <v>17994</v>
      </c>
      <c r="X5478">
        <v>4</v>
      </c>
      <c r="Y5478" t="s">
        <v>24085</v>
      </c>
      <c r="Z5478" t="s">
        <v>30348</v>
      </c>
      <c r="AA5478">
        <v>0.60550453009093119</v>
      </c>
      <c r="AB5478" t="str">
        <f>HYPERLINK("Melting_Curves/meltCurve_Q9NPJ3_ACOT13.pdf", "Melting_Curves/meltCurve_Q9NPJ3_ACOT13.pdf")</f>
        <v>Melting_Curves/meltCurve_Q9NPJ3_ACOT13.pdf</v>
      </c>
    </row>
    <row r="5479" spans="1:28" x14ac:dyDescent="0.25">
      <c r="A5479" t="s">
        <v>5483</v>
      </c>
      <c r="B5479">
        <v>0.99352677808782597</v>
      </c>
      <c r="C5479">
        <v>0.97788746445580299</v>
      </c>
      <c r="D5479">
        <v>0.98571668807921997</v>
      </c>
      <c r="E5479">
        <v>1.1669999500477299</v>
      </c>
      <c r="F5479">
        <v>1.06372012568689</v>
      </c>
      <c r="G5479">
        <v>0.874496669132246</v>
      </c>
      <c r="H5479">
        <v>0.62705724731139501</v>
      </c>
      <c r="I5479">
        <v>0.72278157336826998</v>
      </c>
      <c r="J5479">
        <v>0.77034855696400295</v>
      </c>
      <c r="K5479">
        <v>0.59705016687933299</v>
      </c>
      <c r="L5479">
        <v>14275.1727367108</v>
      </c>
      <c r="M5479">
        <v>250</v>
      </c>
      <c r="O5479">
        <v>57.097037602882203</v>
      </c>
      <c r="P5479">
        <v>-0.35103684592858098</v>
      </c>
      <c r="Q5479">
        <v>0.67930938055589196</v>
      </c>
      <c r="R5479">
        <v>0.84159509733429705</v>
      </c>
      <c r="S5479" t="s">
        <v>11764</v>
      </c>
      <c r="T5479" t="s">
        <v>12568</v>
      </c>
      <c r="U5479" t="s">
        <v>12568</v>
      </c>
      <c r="V5479" t="s">
        <v>12568</v>
      </c>
      <c r="W5479" t="s">
        <v>17995</v>
      </c>
      <c r="X5479">
        <v>10</v>
      </c>
      <c r="Y5479" t="s">
        <v>24086</v>
      </c>
      <c r="Z5479" t="s">
        <v>30349</v>
      </c>
      <c r="AA5479">
        <v>0.86214255631593917</v>
      </c>
      <c r="AB5479" t="str">
        <f>HYPERLINK("Melting_Curves/meltCurve_Q9NPJ6_MED4.pdf", "Melting_Curves/meltCurve_Q9NPJ6_MED4.pdf")</f>
        <v>Melting_Curves/meltCurve_Q9NPJ6_MED4.pdf</v>
      </c>
    </row>
    <row r="5480" spans="1:28" x14ac:dyDescent="0.25">
      <c r="A5480" t="s">
        <v>5484</v>
      </c>
      <c r="B5480">
        <v>0.99352677808782597</v>
      </c>
      <c r="C5480">
        <v>0.81809296790011898</v>
      </c>
      <c r="D5480">
        <v>0.93485615408711498</v>
      </c>
      <c r="E5480">
        <v>0.28508226126723202</v>
      </c>
      <c r="F5480">
        <v>0.22607238238086699</v>
      </c>
      <c r="G5480">
        <v>0.123477506699207</v>
      </c>
      <c r="H5480">
        <v>8.4777760097953597E-2</v>
      </c>
      <c r="I5480">
        <v>8.4324640857739996E-2</v>
      </c>
      <c r="J5480">
        <v>5.9019609979026499E-2</v>
      </c>
      <c r="K5480">
        <v>4.67044417932155E-2</v>
      </c>
      <c r="L5480">
        <v>1625.5866901387101</v>
      </c>
      <c r="M5480">
        <v>33.504350996460403</v>
      </c>
      <c r="N5480">
        <v>48.802407833425299</v>
      </c>
      <c r="O5480">
        <v>48.346808041650803</v>
      </c>
      <c r="P5480">
        <v>-0.15791859670019201</v>
      </c>
      <c r="Q5480">
        <v>8.8497178848824798E-2</v>
      </c>
      <c r="R5480">
        <v>0.96594422642946998</v>
      </c>
      <c r="S5480" t="s">
        <v>11765</v>
      </c>
      <c r="T5480" t="s">
        <v>12568</v>
      </c>
      <c r="U5480" t="s">
        <v>12568</v>
      </c>
      <c r="V5480" t="s">
        <v>12568</v>
      </c>
      <c r="W5480" t="s">
        <v>17996</v>
      </c>
      <c r="X5480">
        <v>17</v>
      </c>
      <c r="Y5480" t="s">
        <v>24087</v>
      </c>
      <c r="Z5480" t="s">
        <v>30350</v>
      </c>
      <c r="AA5480">
        <v>0.35171808217372791</v>
      </c>
      <c r="AB5480" t="str">
        <f>HYPERLINK("Melting_Curves/meltCurve_Q9NPQ8_4_RIC8A.pdf", "Melting_Curves/meltCurve_Q9NPQ8_4_RIC8A.pdf")</f>
        <v>Melting_Curves/meltCurve_Q9NPQ8_4_RIC8A.pdf</v>
      </c>
    </row>
    <row r="5481" spans="1:28" x14ac:dyDescent="0.25">
      <c r="A5481" t="s">
        <v>5485</v>
      </c>
      <c r="B5481">
        <v>0.99352677808782597</v>
      </c>
      <c r="C5481">
        <v>0.93521942992629004</v>
      </c>
      <c r="D5481">
        <v>0.99093230226707496</v>
      </c>
      <c r="E5481">
        <v>0.690152920676527</v>
      </c>
      <c r="F5481">
        <v>0.62836837995507899</v>
      </c>
      <c r="G5481">
        <v>0.382559109320117</v>
      </c>
      <c r="H5481">
        <v>0.27795127381246798</v>
      </c>
      <c r="I5481">
        <v>0.26974105631290601</v>
      </c>
      <c r="J5481">
        <v>0.27493360204324802</v>
      </c>
      <c r="K5481">
        <v>0.220098303173895</v>
      </c>
      <c r="L5481">
        <v>831.60669909718501</v>
      </c>
      <c r="M5481">
        <v>15.8557483180653</v>
      </c>
      <c r="N5481">
        <v>54.472170371909897</v>
      </c>
      <c r="O5481">
        <v>51.635268632934</v>
      </c>
      <c r="P5481">
        <v>-5.96850178625042E-2</v>
      </c>
      <c r="Q5481">
        <v>0.22259071678429901</v>
      </c>
      <c r="R5481">
        <v>0.984297266394485</v>
      </c>
      <c r="S5481" t="s">
        <v>11766</v>
      </c>
      <c r="T5481" t="s">
        <v>12568</v>
      </c>
      <c r="U5481" t="s">
        <v>12568</v>
      </c>
      <c r="V5481" t="s">
        <v>12568</v>
      </c>
      <c r="W5481" t="s">
        <v>17997</v>
      </c>
      <c r="X5481">
        <v>18</v>
      </c>
      <c r="Y5481" t="s">
        <v>24088</v>
      </c>
      <c r="Z5481" t="s">
        <v>30351</v>
      </c>
      <c r="AA5481">
        <v>0.5609063977413441</v>
      </c>
      <c r="AB5481" t="str">
        <f>HYPERLINK("Melting_Curves/meltCurve_Q9NQ29_LUC7L.pdf", "Melting_Curves/meltCurve_Q9NQ29_LUC7L.pdf")</f>
        <v>Melting_Curves/meltCurve_Q9NQ29_LUC7L.pdf</v>
      </c>
    </row>
    <row r="5482" spans="1:28" x14ac:dyDescent="0.25">
      <c r="A5482" t="s">
        <v>5486</v>
      </c>
      <c r="B5482">
        <v>0.99352677808782597</v>
      </c>
      <c r="C5482">
        <v>0.95594952241523601</v>
      </c>
      <c r="D5482">
        <v>1.02667298342351</v>
      </c>
      <c r="E5482">
        <v>0.233197035105908</v>
      </c>
      <c r="F5482">
        <v>0.17374905202389199</v>
      </c>
      <c r="G5482">
        <v>9.7252071133155399E-2</v>
      </c>
      <c r="H5482">
        <v>5.9146439436244598E-2</v>
      </c>
      <c r="I5482">
        <v>5.77642314228149E-2</v>
      </c>
      <c r="J5482">
        <v>4.1761655597501099E-2</v>
      </c>
      <c r="K5482">
        <v>3.4896996933223901E-2</v>
      </c>
      <c r="L5482">
        <v>4008.7658949849001</v>
      </c>
      <c r="M5482">
        <v>81.746074405541094</v>
      </c>
      <c r="N5482">
        <v>49.139426007682097</v>
      </c>
      <c r="O5482">
        <v>49.009922549298402</v>
      </c>
      <c r="P5482">
        <v>-0.38498928203639399</v>
      </c>
      <c r="Q5482">
        <v>7.6736471398293593E-2</v>
      </c>
      <c r="R5482">
        <v>0.99062669653308399</v>
      </c>
      <c r="S5482" t="s">
        <v>11767</v>
      </c>
      <c r="T5482" t="s">
        <v>12568</v>
      </c>
      <c r="U5482" t="s">
        <v>12568</v>
      </c>
      <c r="V5482" t="s">
        <v>12568</v>
      </c>
      <c r="W5482" t="s">
        <v>17998</v>
      </c>
      <c r="X5482">
        <v>11</v>
      </c>
      <c r="Y5482" t="s">
        <v>24089</v>
      </c>
      <c r="Z5482" t="s">
        <v>30352</v>
      </c>
      <c r="AA5482">
        <v>0.35566791006269233</v>
      </c>
      <c r="AB5482" t="str">
        <f>HYPERLINK("Melting_Curves/meltCurve_Q9NQ88_TIGAR.pdf", "Melting_Curves/meltCurve_Q9NQ88_TIGAR.pdf")</f>
        <v>Melting_Curves/meltCurve_Q9NQ88_TIGAR.pdf</v>
      </c>
    </row>
    <row r="5483" spans="1:28" x14ac:dyDescent="0.25">
      <c r="A5483" t="s">
        <v>5487</v>
      </c>
      <c r="B5483">
        <v>0.99352677808782597</v>
      </c>
      <c r="C5483">
        <v>0.87408484938402498</v>
      </c>
      <c r="D5483">
        <v>0.86810182321031804</v>
      </c>
      <c r="E5483">
        <v>0.95093305236985803</v>
      </c>
      <c r="F5483">
        <v>0.82139068188976805</v>
      </c>
      <c r="G5483">
        <v>0.76172888601257105</v>
      </c>
      <c r="H5483">
        <v>0.72135225908408296</v>
      </c>
      <c r="I5483">
        <v>0.81797278993114597</v>
      </c>
      <c r="J5483">
        <v>0.71312774903207499</v>
      </c>
      <c r="K5483">
        <v>0.65475503413314096</v>
      </c>
      <c r="L5483">
        <v>195.65967317740899</v>
      </c>
      <c r="M5483">
        <v>2.0332141195095801</v>
      </c>
      <c r="O5483">
        <v>57.733867647576801</v>
      </c>
      <c r="P5483">
        <v>-9.56415320427512E-3</v>
      </c>
      <c r="Q5483">
        <v>0</v>
      </c>
      <c r="R5483">
        <v>0.76622052547215702</v>
      </c>
      <c r="S5483" t="s">
        <v>11768</v>
      </c>
      <c r="T5483" t="s">
        <v>12568</v>
      </c>
      <c r="U5483" t="s">
        <v>12568</v>
      </c>
      <c r="V5483" t="s">
        <v>12568</v>
      </c>
      <c r="W5483" t="s">
        <v>17999</v>
      </c>
      <c r="X5483">
        <v>2</v>
      </c>
      <c r="Y5483" t="s">
        <v>24090</v>
      </c>
      <c r="Z5483" t="s">
        <v>30353</v>
      </c>
      <c r="AA5483">
        <v>0.81892410829987539</v>
      </c>
      <c r="AB5483" t="str">
        <f>HYPERLINK("Melting_Curves/meltCurve_Q9NQ92_COPRS.pdf", "Melting_Curves/meltCurve_Q9NQ92_COPRS.pdf")</f>
        <v>Melting_Curves/meltCurve_Q9NQ92_COPRS.pdf</v>
      </c>
    </row>
    <row r="5484" spans="1:28" x14ac:dyDescent="0.25">
      <c r="A5484" t="s">
        <v>5488</v>
      </c>
      <c r="B5484">
        <v>0.99352677808782597</v>
      </c>
      <c r="C5484">
        <v>0.96138361858491295</v>
      </c>
      <c r="D5484">
        <v>1.0351636539753899</v>
      </c>
      <c r="E5484">
        <v>1.15337082088273</v>
      </c>
      <c r="F5484">
        <v>1.1237965876443201</v>
      </c>
      <c r="G5484">
        <v>0.80475063476944098</v>
      </c>
      <c r="H5484">
        <v>0.849046004551268</v>
      </c>
      <c r="I5484">
        <v>0.71038411379328403</v>
      </c>
      <c r="J5484">
        <v>0.76663921218771702</v>
      </c>
      <c r="K5484">
        <v>0.49160112890096702</v>
      </c>
      <c r="L5484">
        <v>780.49180605873198</v>
      </c>
      <c r="M5484">
        <v>11.004128111833101</v>
      </c>
      <c r="O5484">
        <v>68.705571897526696</v>
      </c>
      <c r="P5484">
        <v>-4.0054377886955497E-2</v>
      </c>
      <c r="Q5484">
        <v>0</v>
      </c>
      <c r="R5484">
        <v>0.77094765489442496</v>
      </c>
      <c r="S5484" t="s">
        <v>11769</v>
      </c>
      <c r="T5484" t="s">
        <v>12568</v>
      </c>
      <c r="U5484" t="s">
        <v>12568</v>
      </c>
      <c r="V5484" t="s">
        <v>12568</v>
      </c>
      <c r="W5484" t="s">
        <v>18000</v>
      </c>
      <c r="X5484">
        <v>9</v>
      </c>
      <c r="Y5484" t="s">
        <v>24091</v>
      </c>
      <c r="Z5484" t="s">
        <v>30354</v>
      </c>
      <c r="AA5484">
        <v>0.89104459754884047</v>
      </c>
      <c r="AB5484" t="str">
        <f>HYPERLINK("Melting_Curves/meltCurve_Q9NQA3_WASH6P.pdf", "Melting_Curves/meltCurve_Q9NQA3_WASH6P.pdf")</f>
        <v>Melting_Curves/meltCurve_Q9NQA3_WASH6P.pdf</v>
      </c>
    </row>
    <row r="5485" spans="1:28" x14ac:dyDescent="0.25">
      <c r="A5485" t="s">
        <v>5489</v>
      </c>
      <c r="B5485">
        <v>0.99352677808782597</v>
      </c>
      <c r="C5485">
        <v>0.96281692586288303</v>
      </c>
      <c r="D5485">
        <v>0.99772849023717303</v>
      </c>
      <c r="E5485">
        <v>0.93713432697782995</v>
      </c>
      <c r="F5485">
        <v>0.87086190911791195</v>
      </c>
      <c r="G5485">
        <v>0.72347350617846895</v>
      </c>
      <c r="H5485">
        <v>0.67629704793415102</v>
      </c>
      <c r="I5485">
        <v>0.73621934942918399</v>
      </c>
      <c r="J5485">
        <v>0.77221766254880297</v>
      </c>
      <c r="K5485">
        <v>0.69716303112081801</v>
      </c>
      <c r="L5485">
        <v>1661.8173941329101</v>
      </c>
      <c r="M5485">
        <v>31.450850570924999</v>
      </c>
      <c r="O5485">
        <v>52.626309460621201</v>
      </c>
      <c r="P5485">
        <v>-4.2347312935020198E-2</v>
      </c>
      <c r="Q5485">
        <v>0.71656464310355905</v>
      </c>
      <c r="R5485">
        <v>0.94405021305942205</v>
      </c>
      <c r="S5485" t="s">
        <v>11770</v>
      </c>
      <c r="T5485" t="s">
        <v>12568</v>
      </c>
      <c r="U5485" t="s">
        <v>12568</v>
      </c>
      <c r="V5485" t="s">
        <v>12568</v>
      </c>
      <c r="W5485" t="s">
        <v>18001</v>
      </c>
      <c r="X5485">
        <v>3</v>
      </c>
      <c r="Y5485" t="s">
        <v>24092</v>
      </c>
      <c r="Z5485" t="s">
        <v>30355</v>
      </c>
      <c r="AA5485">
        <v>0.83953227228091931</v>
      </c>
      <c r="AB5485" t="str">
        <f>HYPERLINK("Melting_Curves/meltCurve_Q9NQC3_RTN4.pdf", "Melting_Curves/meltCurve_Q9NQC3_RTN4.pdf")</f>
        <v>Melting_Curves/meltCurve_Q9NQC3_RTN4.pdf</v>
      </c>
    </row>
    <row r="5486" spans="1:28" x14ac:dyDescent="0.25">
      <c r="A5486" t="s">
        <v>5490</v>
      </c>
      <c r="B5486">
        <v>0.99352677808782597</v>
      </c>
      <c r="C5486">
        <v>0.89663261445638998</v>
      </c>
      <c r="D5486">
        <v>0.70171505424754899</v>
      </c>
      <c r="E5486">
        <v>0.33377261647735201</v>
      </c>
      <c r="F5486">
        <v>0.27892176921962802</v>
      </c>
      <c r="G5486">
        <v>0.191954733193403</v>
      </c>
      <c r="H5486">
        <v>0.142589522066738</v>
      </c>
      <c r="I5486">
        <v>0.148262100683033</v>
      </c>
      <c r="J5486">
        <v>0.133042790523001</v>
      </c>
      <c r="K5486">
        <v>9.5583185641993695E-2</v>
      </c>
      <c r="L5486">
        <v>889.41674579901201</v>
      </c>
      <c r="M5486">
        <v>18.7375949312462</v>
      </c>
      <c r="N5486">
        <v>48.253928123639703</v>
      </c>
      <c r="O5486">
        <v>46.9362114581591</v>
      </c>
      <c r="P5486">
        <v>-8.6667729141489597E-2</v>
      </c>
      <c r="Q5486">
        <v>0.13165267789609</v>
      </c>
      <c r="R5486">
        <v>0.99445805765622897</v>
      </c>
      <c r="S5486" t="s">
        <v>11771</v>
      </c>
      <c r="T5486" t="s">
        <v>12568</v>
      </c>
      <c r="U5486" t="s">
        <v>12568</v>
      </c>
      <c r="V5486" t="s">
        <v>12568</v>
      </c>
      <c r="W5486" t="s">
        <v>18002</v>
      </c>
      <c r="X5486">
        <v>4</v>
      </c>
      <c r="Y5486" t="s">
        <v>24093</v>
      </c>
      <c r="Z5486" t="s">
        <v>30356</v>
      </c>
      <c r="AA5486">
        <v>0.36218219741315338</v>
      </c>
      <c r="AB5486" t="str">
        <f>HYPERLINK("Melting_Curves/meltCurve_Q9NQE9_HINT3.pdf", "Melting_Curves/meltCurve_Q9NQE9_HINT3.pdf")</f>
        <v>Melting_Curves/meltCurve_Q9NQE9_HINT3.pdf</v>
      </c>
    </row>
    <row r="5487" spans="1:28" x14ac:dyDescent="0.25">
      <c r="A5487" t="s">
        <v>5491</v>
      </c>
      <c r="B5487">
        <v>0.99352677808782597</v>
      </c>
      <c r="C5487">
        <v>1.0076790719597799</v>
      </c>
      <c r="D5487">
        <v>1.02566464725716</v>
      </c>
      <c r="E5487">
        <v>0.83751653769835999</v>
      </c>
      <c r="F5487">
        <v>0.76040027983894298</v>
      </c>
      <c r="G5487">
        <v>0.33292622771299102</v>
      </c>
      <c r="H5487">
        <v>0.150106407393786</v>
      </c>
      <c r="I5487">
        <v>0.12959861049516699</v>
      </c>
      <c r="J5487">
        <v>0.109106563387405</v>
      </c>
      <c r="K5487">
        <v>8.7147470542541197E-2</v>
      </c>
      <c r="L5487">
        <v>1265.3285126543601</v>
      </c>
      <c r="M5487">
        <v>23.093533086615501</v>
      </c>
      <c r="N5487">
        <v>55.239385563730004</v>
      </c>
      <c r="O5487">
        <v>54.3855770052187</v>
      </c>
      <c r="P5487">
        <v>-9.7094160093836798E-2</v>
      </c>
      <c r="Q5487">
        <v>8.5384712928564602E-2</v>
      </c>
      <c r="R5487">
        <v>0.99368802814091794</v>
      </c>
      <c r="S5487" t="s">
        <v>11772</v>
      </c>
      <c r="T5487" t="s">
        <v>12568</v>
      </c>
      <c r="U5487" t="s">
        <v>12568</v>
      </c>
      <c r="V5487" t="s">
        <v>12568</v>
      </c>
      <c r="W5487" t="s">
        <v>18003</v>
      </c>
      <c r="X5487">
        <v>8</v>
      </c>
      <c r="Y5487" t="s">
        <v>24094</v>
      </c>
      <c r="Z5487" t="s">
        <v>30357</v>
      </c>
      <c r="AA5487">
        <v>0.54604654364875027</v>
      </c>
      <c r="AB5487" t="str">
        <f>HYPERLINK("Melting_Curves/meltCurve_Q9NQG5_RPRD1B.pdf", "Melting_Curves/meltCurve_Q9NQG5_RPRD1B.pdf")</f>
        <v>Melting_Curves/meltCurve_Q9NQG5_RPRD1B.pdf</v>
      </c>
    </row>
    <row r="5488" spans="1:28" x14ac:dyDescent="0.25">
      <c r="A5488" t="s">
        <v>5492</v>
      </c>
      <c r="B5488">
        <v>0.99352677808782597</v>
      </c>
      <c r="C5488">
        <v>1.0195093833970701</v>
      </c>
      <c r="D5488">
        <v>0.90981218331844405</v>
      </c>
      <c r="E5488">
        <v>0.53464207979142297</v>
      </c>
      <c r="F5488">
        <v>0.44523125144951098</v>
      </c>
      <c r="G5488">
        <v>0.23524522189317501</v>
      </c>
      <c r="H5488">
        <v>0.15311809508643701</v>
      </c>
      <c r="I5488">
        <v>0.13598628237612301</v>
      </c>
      <c r="J5488">
        <v>0.10783963097124701</v>
      </c>
      <c r="K5488">
        <v>7.9651131429811506E-2</v>
      </c>
      <c r="L5488">
        <v>864.01273939787802</v>
      </c>
      <c r="M5488">
        <v>16.995434971006699</v>
      </c>
      <c r="N5488">
        <v>51.500937787501897</v>
      </c>
      <c r="O5488">
        <v>50.149742946392301</v>
      </c>
      <c r="P5488">
        <v>-7.6403555945554702E-2</v>
      </c>
      <c r="Q5488">
        <v>9.82563020571941E-2</v>
      </c>
      <c r="R5488">
        <v>0.98933835532970005</v>
      </c>
      <c r="S5488" t="s">
        <v>11773</v>
      </c>
      <c r="T5488" t="s">
        <v>12568</v>
      </c>
      <c r="U5488" t="s">
        <v>12568</v>
      </c>
      <c r="V5488" t="s">
        <v>12568</v>
      </c>
      <c r="W5488" t="s">
        <v>18004</v>
      </c>
      <c r="X5488">
        <v>5</v>
      </c>
      <c r="Y5488" t="s">
        <v>24095</v>
      </c>
      <c r="Z5488" t="s">
        <v>30358</v>
      </c>
      <c r="AA5488">
        <v>0.44090303331393099</v>
      </c>
      <c r="AB5488" t="str">
        <f>HYPERLINK("Melting_Curves/meltCurve_Q9NQH7_2_XPNPEP3.pdf", "Melting_Curves/meltCurve_Q9NQH7_2_XPNPEP3.pdf")</f>
        <v>Melting_Curves/meltCurve_Q9NQH7_2_XPNPEP3.pdf</v>
      </c>
    </row>
    <row r="5489" spans="1:28" x14ac:dyDescent="0.25">
      <c r="A5489" t="s">
        <v>5493</v>
      </c>
      <c r="B5489">
        <v>0.99352677808782597</v>
      </c>
      <c r="C5489">
        <v>1.04722159866665</v>
      </c>
      <c r="D5489">
        <v>0.96987800877590502</v>
      </c>
      <c r="E5489">
        <v>1.07951544115951</v>
      </c>
      <c r="F5489">
        <v>0.96331616396143704</v>
      </c>
      <c r="G5489">
        <v>0.87990377794743801</v>
      </c>
      <c r="H5489">
        <v>1.0569574416954799</v>
      </c>
      <c r="I5489">
        <v>1.28285250715655</v>
      </c>
      <c r="J5489">
        <v>1.40842124034703</v>
      </c>
      <c r="K5489">
        <v>1.17823088454997</v>
      </c>
      <c r="L5489">
        <v>6799.1443542573497</v>
      </c>
      <c r="M5489">
        <v>110.037045400331</v>
      </c>
      <c r="O5489">
        <v>61.769192969883001</v>
      </c>
      <c r="P5489">
        <v>0.130049206971663</v>
      </c>
      <c r="Q5489">
        <v>1.2920119926469</v>
      </c>
      <c r="R5489">
        <v>0.77785953241498396</v>
      </c>
      <c r="S5489" t="s">
        <v>11774</v>
      </c>
      <c r="T5489" t="s">
        <v>12568</v>
      </c>
      <c r="U5489" t="s">
        <v>12568</v>
      </c>
      <c r="V5489" t="s">
        <v>12568</v>
      </c>
      <c r="W5489" t="s">
        <v>18005</v>
      </c>
      <c r="X5489">
        <v>6</v>
      </c>
      <c r="Y5489" t="s">
        <v>24096</v>
      </c>
      <c r="Z5489" t="s">
        <v>30359</v>
      </c>
      <c r="AA5489">
        <v>1.079754315573608</v>
      </c>
      <c r="AB5489" t="str">
        <f>HYPERLINK("Melting_Curves/meltCurve_Q9NQP4_PFDN4.pdf", "Melting_Curves/meltCurve_Q9NQP4_PFDN4.pdf")</f>
        <v>Melting_Curves/meltCurve_Q9NQP4_PFDN4.pdf</v>
      </c>
    </row>
    <row r="5490" spans="1:28" x14ac:dyDescent="0.25">
      <c r="A5490" t="s">
        <v>5494</v>
      </c>
      <c r="B5490">
        <v>0.99352677808782597</v>
      </c>
      <c r="C5490">
        <v>0.87298824919660101</v>
      </c>
      <c r="D5490">
        <v>0.91762447476428999</v>
      </c>
      <c r="E5490">
        <v>0.70925435255886304</v>
      </c>
      <c r="F5490">
        <v>0.60776514289562</v>
      </c>
      <c r="G5490">
        <v>0.27030692085879299</v>
      </c>
      <c r="H5490">
        <v>9.8893356384787606E-2</v>
      </c>
      <c r="I5490">
        <v>8.4451347787086697E-2</v>
      </c>
      <c r="J5490">
        <v>7.0888527877330701E-2</v>
      </c>
      <c r="K5490">
        <v>5.50322256660635E-2</v>
      </c>
      <c r="L5490">
        <v>768.17589923831497</v>
      </c>
      <c r="M5490">
        <v>14.343963579164001</v>
      </c>
      <c r="N5490">
        <v>53.553951236295198</v>
      </c>
      <c r="O5490">
        <v>52.545348283072997</v>
      </c>
      <c r="P5490">
        <v>-6.8253884761041897E-2</v>
      </c>
      <c r="Q5490">
        <v>0</v>
      </c>
      <c r="R5490">
        <v>0.98587283538096704</v>
      </c>
      <c r="S5490" t="s">
        <v>11775</v>
      </c>
      <c r="T5490" t="s">
        <v>12568</v>
      </c>
      <c r="U5490" t="s">
        <v>12568</v>
      </c>
      <c r="V5490" t="s">
        <v>12568</v>
      </c>
      <c r="W5490" t="s">
        <v>18006</v>
      </c>
      <c r="X5490">
        <v>17</v>
      </c>
      <c r="Y5490" t="s">
        <v>24097</v>
      </c>
      <c r="Z5490" t="s">
        <v>30360</v>
      </c>
      <c r="AA5490">
        <v>0.47402411694917951</v>
      </c>
      <c r="AB5490" t="str">
        <f>HYPERLINK("Melting_Curves/meltCurve_Q9NQR4_NIT2.pdf", "Melting_Curves/meltCurve_Q9NQR4_NIT2.pdf")</f>
        <v>Melting_Curves/meltCurve_Q9NQR4_NIT2.pdf</v>
      </c>
    </row>
    <row r="5491" spans="1:28" x14ac:dyDescent="0.25">
      <c r="A5491" t="s">
        <v>5495</v>
      </c>
      <c r="B5491">
        <v>0.99352677808782597</v>
      </c>
      <c r="C5491">
        <v>0.99541443525415996</v>
      </c>
      <c r="D5491">
        <v>1.02131448932826</v>
      </c>
      <c r="E5491">
        <v>0.97260865826034004</v>
      </c>
      <c r="F5491">
        <v>0.78227517961336501</v>
      </c>
      <c r="G5491">
        <v>0.790345907720582</v>
      </c>
      <c r="H5491">
        <v>0.86998132295421804</v>
      </c>
      <c r="I5491">
        <v>0.88944559619411401</v>
      </c>
      <c r="J5491">
        <v>1.09497656403493</v>
      </c>
      <c r="K5491">
        <v>0.91299508693235898</v>
      </c>
      <c r="L5491">
        <v>12555.189690621501</v>
      </c>
      <c r="M5491">
        <v>250</v>
      </c>
      <c r="O5491">
        <v>50.217546282221697</v>
      </c>
      <c r="P5491">
        <v>-0.136900209668604</v>
      </c>
      <c r="Q5491">
        <v>0.89000332116730196</v>
      </c>
      <c r="R5491">
        <v>0.29728301175511002</v>
      </c>
      <c r="S5491" t="s">
        <v>11776</v>
      </c>
      <c r="T5491" t="s">
        <v>12568</v>
      </c>
      <c r="U5491" t="s">
        <v>12568</v>
      </c>
      <c r="V5491" t="s">
        <v>12568</v>
      </c>
      <c r="W5491" t="s">
        <v>18007</v>
      </c>
      <c r="X5491">
        <v>10</v>
      </c>
      <c r="Y5491" t="s">
        <v>24098</v>
      </c>
      <c r="Z5491" t="s">
        <v>30361</v>
      </c>
      <c r="AA5491">
        <v>0.9274879998735428</v>
      </c>
      <c r="AB5491" t="str">
        <f>HYPERLINK("Melting_Curves/meltCurve_Q9NQS1_AVEN.pdf", "Melting_Curves/meltCurve_Q9NQS1_AVEN.pdf")</f>
        <v>Melting_Curves/meltCurve_Q9NQS1_AVEN.pdf</v>
      </c>
    </row>
    <row r="5492" spans="1:28" x14ac:dyDescent="0.25">
      <c r="A5492" t="s">
        <v>5496</v>
      </c>
      <c r="B5492">
        <v>0.99352677808782597</v>
      </c>
      <c r="C5492">
        <v>0.81423628743761201</v>
      </c>
      <c r="D5492">
        <v>0.76691010464187503</v>
      </c>
      <c r="E5492">
        <v>0.70873415957506603</v>
      </c>
      <c r="F5492">
        <v>0.68283620720404803</v>
      </c>
      <c r="G5492">
        <v>0.57546051767891904</v>
      </c>
      <c r="H5492">
        <v>0.59595703854003002</v>
      </c>
      <c r="I5492">
        <v>0.69530632641745704</v>
      </c>
      <c r="J5492">
        <v>0.66225200826774899</v>
      </c>
      <c r="K5492">
        <v>0.54835764262161102</v>
      </c>
      <c r="L5492">
        <v>645.23023440227701</v>
      </c>
      <c r="M5492">
        <v>14.4582992830429</v>
      </c>
      <c r="O5492">
        <v>43.799318840172802</v>
      </c>
      <c r="P5492">
        <v>-3.1614186835157897E-2</v>
      </c>
      <c r="Q5492">
        <v>0.61696233166361303</v>
      </c>
      <c r="R5492">
        <v>0.85040550919785896</v>
      </c>
      <c r="S5492" t="s">
        <v>11777</v>
      </c>
      <c r="T5492" t="s">
        <v>12568</v>
      </c>
      <c r="U5492" t="s">
        <v>12568</v>
      </c>
      <c r="V5492" t="s">
        <v>12568</v>
      </c>
      <c r="W5492" t="s">
        <v>18008</v>
      </c>
      <c r="X5492">
        <v>2</v>
      </c>
      <c r="Y5492" t="s">
        <v>24099</v>
      </c>
      <c r="Z5492" t="s">
        <v>30362</v>
      </c>
      <c r="AA5492">
        <v>0.68988498231806139</v>
      </c>
      <c r="AB5492" t="str">
        <f>HYPERLINK("Melting_Curves/meltCurve_Q9NQS3_PVRL3.pdf", "Melting_Curves/meltCurve_Q9NQS3_PVRL3.pdf")</f>
        <v>Melting_Curves/meltCurve_Q9NQS3_PVRL3.pdf</v>
      </c>
    </row>
    <row r="5493" spans="1:28" x14ac:dyDescent="0.25">
      <c r="A5493" t="s">
        <v>5497</v>
      </c>
      <c r="B5493">
        <v>0.99352677808782597</v>
      </c>
      <c r="C5493">
        <v>0.96044746719725105</v>
      </c>
      <c r="D5493">
        <v>0.97335592082178102</v>
      </c>
      <c r="E5493">
        <v>0.94843956271621099</v>
      </c>
      <c r="F5493">
        <v>1.1438569679495401</v>
      </c>
      <c r="G5493">
        <v>0.412188375760765</v>
      </c>
      <c r="H5493">
        <v>0.301859530553512</v>
      </c>
      <c r="I5493">
        <v>0.27846983319767599</v>
      </c>
      <c r="J5493">
        <v>0.26438907548215501</v>
      </c>
      <c r="K5493">
        <v>0.26382995263644399</v>
      </c>
      <c r="L5493">
        <v>14166.1671591308</v>
      </c>
      <c r="M5493">
        <v>250</v>
      </c>
      <c r="N5493">
        <v>56.848413219152597</v>
      </c>
      <c r="O5493">
        <v>56.661042078610599</v>
      </c>
      <c r="P5493">
        <v>-0.79735441000747698</v>
      </c>
      <c r="Q5493">
        <v>0.27713708737585102</v>
      </c>
      <c r="R5493">
        <v>0.97896084269903305</v>
      </c>
      <c r="S5493" t="s">
        <v>11778</v>
      </c>
      <c r="T5493" t="s">
        <v>12568</v>
      </c>
      <c r="U5493" t="s">
        <v>12568</v>
      </c>
      <c r="V5493" t="s">
        <v>12568</v>
      </c>
      <c r="W5493" t="s">
        <v>18009</v>
      </c>
      <c r="X5493">
        <v>2</v>
      </c>
      <c r="Y5493" t="s">
        <v>24100</v>
      </c>
      <c r="Z5493" t="s">
        <v>30363</v>
      </c>
      <c r="AA5493">
        <v>0.67875133653738684</v>
      </c>
      <c r="AB5493" t="str">
        <f>HYPERLINK("Melting_Curves/meltCurve_Q9NQS7_2_INCENP.pdf", "Melting_Curves/meltCurve_Q9NQS7_2_INCENP.pdf")</f>
        <v>Melting_Curves/meltCurve_Q9NQS7_2_INCENP.pdf</v>
      </c>
    </row>
    <row r="5494" spans="1:28" x14ac:dyDescent="0.25">
      <c r="A5494" t="s">
        <v>5498</v>
      </c>
      <c r="B5494">
        <v>0.99352677808782597</v>
      </c>
      <c r="C5494">
        <v>1.1052359233909199</v>
      </c>
      <c r="D5494">
        <v>1.4414782791260401</v>
      </c>
      <c r="E5494">
        <v>1.0791608252970799</v>
      </c>
      <c r="F5494">
        <v>0.93241144475559701</v>
      </c>
      <c r="G5494">
        <v>0.37126033680729797</v>
      </c>
      <c r="H5494">
        <v>0.18673638190754199</v>
      </c>
      <c r="I5494">
        <v>0.17738009103887101</v>
      </c>
      <c r="J5494">
        <v>0.172855527722268</v>
      </c>
      <c r="K5494">
        <v>0.122332979958343</v>
      </c>
      <c r="L5494">
        <v>2734.1515973600199</v>
      </c>
      <c r="M5494">
        <v>49.059033273769501</v>
      </c>
      <c r="N5494">
        <v>56.177477283577304</v>
      </c>
      <c r="O5494">
        <v>55.639499954248599</v>
      </c>
      <c r="P5494">
        <v>-0.18490306828165501</v>
      </c>
      <c r="Q5494">
        <v>0.16118161052448199</v>
      </c>
      <c r="R5494">
        <v>0.903933896480134</v>
      </c>
      <c r="S5494" t="s">
        <v>11779</v>
      </c>
      <c r="T5494" t="s">
        <v>12568</v>
      </c>
      <c r="U5494" t="s">
        <v>12568</v>
      </c>
      <c r="V5494" t="s">
        <v>12568</v>
      </c>
      <c r="W5494" t="s">
        <v>18010</v>
      </c>
      <c r="X5494">
        <v>3</v>
      </c>
      <c r="Y5494" t="s">
        <v>24101</v>
      </c>
      <c r="Z5494" t="s">
        <v>30364</v>
      </c>
      <c r="AA5494">
        <v>0.60319434486985979</v>
      </c>
      <c r="AB5494" t="str">
        <f>HYPERLINK("Melting_Curves/meltCurve_Q9NQT4_EXOSC5.pdf", "Melting_Curves/meltCurve_Q9NQT4_EXOSC5.pdf")</f>
        <v>Melting_Curves/meltCurve_Q9NQT4_EXOSC5.pdf</v>
      </c>
    </row>
    <row r="5495" spans="1:28" x14ac:dyDescent="0.25">
      <c r="A5495" t="s">
        <v>5499</v>
      </c>
      <c r="B5495">
        <v>0.99352677808782597</v>
      </c>
      <c r="C5495">
        <v>0.94697121108744697</v>
      </c>
      <c r="D5495">
        <v>0.71830348553676604</v>
      </c>
      <c r="E5495">
        <v>0.35721707032615901</v>
      </c>
      <c r="F5495">
        <v>0.28976024928219202</v>
      </c>
      <c r="G5495">
        <v>0.20405052167343499</v>
      </c>
      <c r="H5495">
        <v>0.159613466190343</v>
      </c>
      <c r="I5495">
        <v>0.157596653334764</v>
      </c>
      <c r="J5495">
        <v>0.14541964774014501</v>
      </c>
      <c r="K5495">
        <v>0.10809974419238801</v>
      </c>
      <c r="L5495">
        <v>959.26128749400505</v>
      </c>
      <c r="M5495">
        <v>20.113597533175</v>
      </c>
      <c r="N5495">
        <v>48.537072905798397</v>
      </c>
      <c r="O5495">
        <v>47.228255335226102</v>
      </c>
      <c r="P5495">
        <v>-9.0747678234450499E-2</v>
      </c>
      <c r="Q5495">
        <v>0.147697361944094</v>
      </c>
      <c r="R5495">
        <v>0.99428956900435495</v>
      </c>
      <c r="S5495" t="s">
        <v>11780</v>
      </c>
      <c r="T5495" t="s">
        <v>12568</v>
      </c>
      <c r="U5495" t="s">
        <v>12568</v>
      </c>
      <c r="V5495" t="s">
        <v>12568</v>
      </c>
      <c r="W5495" t="s">
        <v>18011</v>
      </c>
      <c r="X5495">
        <v>30</v>
      </c>
      <c r="Y5495" t="s">
        <v>24102</v>
      </c>
      <c r="Z5495" t="s">
        <v>30365</v>
      </c>
      <c r="AA5495">
        <v>0.3782841829647185</v>
      </c>
      <c r="AB5495" t="str">
        <f>HYPERLINK("Melting_Curves/meltCurve_Q9NQT8_KIF13B.pdf", "Melting_Curves/meltCurve_Q9NQT8_KIF13B.pdf")</f>
        <v>Melting_Curves/meltCurve_Q9NQT8_KIF13B.pdf</v>
      </c>
    </row>
    <row r="5496" spans="1:28" x14ac:dyDescent="0.25">
      <c r="A5496" t="s">
        <v>5500</v>
      </c>
      <c r="B5496">
        <v>0.99352677808782597</v>
      </c>
      <c r="C5496">
        <v>0.92910370724621505</v>
      </c>
      <c r="D5496">
        <v>0.91241019681637303</v>
      </c>
      <c r="E5496">
        <v>0.61233151637170302</v>
      </c>
      <c r="F5496">
        <v>0.53488530625625796</v>
      </c>
      <c r="G5496">
        <v>0.46737480520929597</v>
      </c>
      <c r="H5496">
        <v>0.41674993443344899</v>
      </c>
      <c r="I5496">
        <v>0.45914008621564301</v>
      </c>
      <c r="J5496">
        <v>0.45427953028602902</v>
      </c>
      <c r="K5496">
        <v>0.38755770540821699</v>
      </c>
      <c r="L5496">
        <v>1048.1375948797299</v>
      </c>
      <c r="M5496">
        <v>21.493452549227801</v>
      </c>
      <c r="N5496">
        <v>53.672086290075001</v>
      </c>
      <c r="O5496">
        <v>48.349190803869803</v>
      </c>
      <c r="P5496">
        <v>-6.3358691908303399E-2</v>
      </c>
      <c r="Q5496">
        <v>0.429916356179109</v>
      </c>
      <c r="R5496">
        <v>0.98432795835331599</v>
      </c>
      <c r="S5496" t="s">
        <v>11781</v>
      </c>
      <c r="T5496" t="s">
        <v>12568</v>
      </c>
      <c r="U5496" t="s">
        <v>12568</v>
      </c>
      <c r="V5496" t="s">
        <v>12568</v>
      </c>
      <c r="W5496" t="s">
        <v>18012</v>
      </c>
      <c r="X5496">
        <v>31</v>
      </c>
      <c r="Y5496" t="s">
        <v>24103</v>
      </c>
      <c r="Z5496" t="s">
        <v>30366</v>
      </c>
      <c r="AA5496">
        <v>0.60338501980495562</v>
      </c>
      <c r="AB5496" t="str">
        <f>HYPERLINK("Melting_Curves/meltCurve_Q9NQW6_ANLN.pdf", "Melting_Curves/meltCurve_Q9NQW6_ANLN.pdf")</f>
        <v>Melting_Curves/meltCurve_Q9NQW6_ANLN.pdf</v>
      </c>
    </row>
    <row r="5497" spans="1:28" x14ac:dyDescent="0.25">
      <c r="A5497" t="s">
        <v>5501</v>
      </c>
      <c r="B5497">
        <v>0.99352677808782597</v>
      </c>
      <c r="C5497">
        <v>1.0570485188269501</v>
      </c>
      <c r="D5497">
        <v>0.67762629540340702</v>
      </c>
      <c r="E5497">
        <v>0.296869988672745</v>
      </c>
      <c r="F5497">
        <v>0.210730551049087</v>
      </c>
      <c r="G5497">
        <v>0.131484659433104</v>
      </c>
      <c r="H5497">
        <v>9.4647636956298603E-2</v>
      </c>
      <c r="I5497">
        <v>8.5921713171438804E-2</v>
      </c>
      <c r="J5497">
        <v>7.4270096946864594E-2</v>
      </c>
      <c r="K5497">
        <v>5.48841185503086E-2</v>
      </c>
      <c r="L5497">
        <v>1181.1962511705201</v>
      </c>
      <c r="M5497">
        <v>24.8387133064899</v>
      </c>
      <c r="N5497">
        <v>47.946864129325498</v>
      </c>
      <c r="O5497">
        <v>47.249620823234103</v>
      </c>
      <c r="P5497">
        <v>-0.11934164465109</v>
      </c>
      <c r="Q5497">
        <v>9.1938485622870006E-2</v>
      </c>
      <c r="R5497">
        <v>0.98506118045546898</v>
      </c>
      <c r="S5497" t="s">
        <v>11782</v>
      </c>
      <c r="T5497" t="s">
        <v>12568</v>
      </c>
      <c r="U5497" t="s">
        <v>12568</v>
      </c>
      <c r="V5497" t="s">
        <v>12568</v>
      </c>
      <c r="W5497" t="s">
        <v>18013</v>
      </c>
      <c r="X5497">
        <v>21</v>
      </c>
      <c r="Y5497" t="s">
        <v>24104</v>
      </c>
      <c r="Z5497" t="s">
        <v>30367</v>
      </c>
      <c r="AA5497">
        <v>0.3287663345225656</v>
      </c>
      <c r="AB5497" t="str">
        <f>HYPERLINK("Melting_Curves/meltCurve_Q9NQW7_3_XPNPEP1.pdf", "Melting_Curves/meltCurve_Q9NQW7_3_XPNPEP1.pdf")</f>
        <v>Melting_Curves/meltCurve_Q9NQW7_3_XPNPEP1.pdf</v>
      </c>
    </row>
    <row r="5498" spans="1:28" x14ac:dyDescent="0.25">
      <c r="A5498" t="s">
        <v>5502</v>
      </c>
      <c r="B5498">
        <v>0.99352677808782597</v>
      </c>
      <c r="C5498">
        <v>1.0408480065110699</v>
      </c>
      <c r="D5498">
        <v>0.88840001587210005</v>
      </c>
      <c r="E5498">
        <v>0.96940887300474299</v>
      </c>
      <c r="F5498">
        <v>0.81912046149654105</v>
      </c>
      <c r="G5498">
        <v>0.72793750338100705</v>
      </c>
      <c r="H5498">
        <v>0.71794044188767503</v>
      </c>
      <c r="I5498">
        <v>0.245363467530057</v>
      </c>
      <c r="J5498">
        <v>0.18470261765924501</v>
      </c>
      <c r="K5498">
        <v>0.12736633477370601</v>
      </c>
      <c r="L5498">
        <v>940.44042625040902</v>
      </c>
      <c r="M5498">
        <v>15.298509251540599</v>
      </c>
      <c r="N5498">
        <v>61.472684092683203</v>
      </c>
      <c r="O5498">
        <v>60.451042532275501</v>
      </c>
      <c r="P5498">
        <v>-6.3274091218424602E-2</v>
      </c>
      <c r="Q5498">
        <v>0</v>
      </c>
      <c r="R5498">
        <v>0.93435080800350701</v>
      </c>
      <c r="S5498" t="s">
        <v>11783</v>
      </c>
      <c r="T5498" t="s">
        <v>12568</v>
      </c>
      <c r="U5498" t="s">
        <v>12568</v>
      </c>
      <c r="V5498" t="s">
        <v>12568</v>
      </c>
      <c r="W5498" t="s">
        <v>18014</v>
      </c>
      <c r="X5498">
        <v>16</v>
      </c>
      <c r="Y5498" t="s">
        <v>24105</v>
      </c>
      <c r="Z5498" t="s">
        <v>30368</v>
      </c>
      <c r="AA5498">
        <v>0.7163382706930792</v>
      </c>
      <c r="AB5498" t="str">
        <f>HYPERLINK("Melting_Curves/meltCurve_Q9NQX3_GPHN.pdf", "Melting_Curves/meltCurve_Q9NQX3_GPHN.pdf")</f>
        <v>Melting_Curves/meltCurve_Q9NQX3_GPHN.pdf</v>
      </c>
    </row>
    <row r="5499" spans="1:28" x14ac:dyDescent="0.25">
      <c r="A5499" t="s">
        <v>5503</v>
      </c>
      <c r="B5499">
        <v>0.99352677808782597</v>
      </c>
      <c r="C5499">
        <v>0.92360902589518601</v>
      </c>
      <c r="D5499">
        <v>0.85314573136413696</v>
      </c>
      <c r="E5499">
        <v>0.33424356176699899</v>
      </c>
      <c r="F5499">
        <v>0.27604861563786398</v>
      </c>
      <c r="G5499">
        <v>0.17348976700142901</v>
      </c>
      <c r="H5499">
        <v>0.116077432672541</v>
      </c>
      <c r="I5499">
        <v>9.6681596145434104E-2</v>
      </c>
      <c r="J5499">
        <v>8.08471276801907E-2</v>
      </c>
      <c r="K5499">
        <v>6.5258924210015307E-2</v>
      </c>
      <c r="L5499">
        <v>1110.7105182099201</v>
      </c>
      <c r="M5499">
        <v>22.890148350808701</v>
      </c>
      <c r="N5499">
        <v>49.006834974801002</v>
      </c>
      <c r="O5499">
        <v>48.157701231054901</v>
      </c>
      <c r="P5499">
        <v>-0.106824552175475</v>
      </c>
      <c r="Q5499">
        <v>0.10104045975297</v>
      </c>
      <c r="R5499">
        <v>0.98729937330302198</v>
      </c>
      <c r="S5499" t="s">
        <v>11784</v>
      </c>
      <c r="T5499" t="s">
        <v>12568</v>
      </c>
      <c r="U5499" t="s">
        <v>12568</v>
      </c>
      <c r="V5499" t="s">
        <v>12568</v>
      </c>
      <c r="W5499" t="s">
        <v>18015</v>
      </c>
      <c r="X5499">
        <v>8</v>
      </c>
      <c r="Y5499" t="s">
        <v>24106</v>
      </c>
      <c r="Z5499" t="s">
        <v>30369</v>
      </c>
      <c r="AA5499">
        <v>0.36600657890732952</v>
      </c>
      <c r="AB5499" t="str">
        <f>HYPERLINK("Melting_Curves/meltCurve_Q9NQY0_BIN3.pdf", "Melting_Curves/meltCurve_Q9NQY0_BIN3.pdf")</f>
        <v>Melting_Curves/meltCurve_Q9NQY0_BIN3.pdf</v>
      </c>
    </row>
    <row r="5500" spans="1:28" x14ac:dyDescent="0.25">
      <c r="A5500" t="s">
        <v>5504</v>
      </c>
      <c r="B5500">
        <v>0.99352677808782597</v>
      </c>
      <c r="C5500">
        <v>0.99925584371551301</v>
      </c>
      <c r="D5500">
        <v>0.957894137901391</v>
      </c>
      <c r="E5500">
        <v>0.58141626046253603</v>
      </c>
      <c r="F5500">
        <v>0.634516335023245</v>
      </c>
      <c r="G5500">
        <v>0.48676309006062202</v>
      </c>
      <c r="H5500">
        <v>0.398465404470494</v>
      </c>
      <c r="I5500">
        <v>0.39628064807883201</v>
      </c>
      <c r="J5500">
        <v>0.44180216844301001</v>
      </c>
      <c r="K5500">
        <v>0.31513624947817398</v>
      </c>
      <c r="L5500">
        <v>846.91971837309302</v>
      </c>
      <c r="M5500">
        <v>16.883582918441501</v>
      </c>
      <c r="N5500">
        <v>54.874662315224001</v>
      </c>
      <c r="O5500">
        <v>49.474453239816697</v>
      </c>
      <c r="P5500">
        <v>-5.2668095507451301E-2</v>
      </c>
      <c r="Q5500">
        <v>0.38269974976072102</v>
      </c>
      <c r="R5500">
        <v>0.94661546395723595</v>
      </c>
      <c r="S5500" t="s">
        <v>11785</v>
      </c>
      <c r="T5500" t="s">
        <v>12568</v>
      </c>
      <c r="U5500" t="s">
        <v>12568</v>
      </c>
      <c r="V5500" t="s">
        <v>12568</v>
      </c>
      <c r="W5500" t="s">
        <v>18016</v>
      </c>
      <c r="X5500">
        <v>4</v>
      </c>
      <c r="Y5500" t="s">
        <v>24107</v>
      </c>
      <c r="Z5500" t="s">
        <v>30370</v>
      </c>
      <c r="AA5500">
        <v>0.60364317844131798</v>
      </c>
      <c r="AB5500" t="str">
        <f>HYPERLINK("Melting_Curves/meltCurve_Q9NQZ2_UTP3.pdf", "Melting_Curves/meltCurve_Q9NQZ2_UTP3.pdf")</f>
        <v>Melting_Curves/meltCurve_Q9NQZ2_UTP3.pdf</v>
      </c>
    </row>
    <row r="5501" spans="1:28" x14ac:dyDescent="0.25">
      <c r="A5501" t="s">
        <v>5505</v>
      </c>
      <c r="B5501">
        <v>0.99352677808782597</v>
      </c>
      <c r="C5501">
        <v>1.0330870997492601</v>
      </c>
      <c r="D5501">
        <v>0.80944262525744604</v>
      </c>
      <c r="E5501">
        <v>0.67657304712393496</v>
      </c>
      <c r="F5501">
        <v>0.69152050555290201</v>
      </c>
      <c r="G5501">
        <v>0.48639510092862798</v>
      </c>
      <c r="H5501">
        <v>0.36124092790939</v>
      </c>
      <c r="I5501">
        <v>0.35122079992632299</v>
      </c>
      <c r="J5501">
        <v>0.30623284072016499</v>
      </c>
      <c r="K5501">
        <v>0.32358499320284401</v>
      </c>
      <c r="L5501">
        <v>573.03954567686401</v>
      </c>
      <c r="M5501">
        <v>10.8733869051712</v>
      </c>
      <c r="N5501">
        <v>56.390309211281703</v>
      </c>
      <c r="O5501">
        <v>51.012534988778597</v>
      </c>
      <c r="P5501">
        <v>-3.9739368345396799E-2</v>
      </c>
      <c r="Q5501">
        <v>0.25451327077677</v>
      </c>
      <c r="R5501">
        <v>0.96661527583875895</v>
      </c>
      <c r="S5501" t="s">
        <v>11786</v>
      </c>
      <c r="T5501" t="s">
        <v>12568</v>
      </c>
      <c r="U5501" t="s">
        <v>12568</v>
      </c>
      <c r="V5501" t="s">
        <v>12568</v>
      </c>
      <c r="W5501" t="s">
        <v>18017</v>
      </c>
      <c r="X5501">
        <v>2</v>
      </c>
      <c r="Y5501" t="s">
        <v>24108</v>
      </c>
      <c r="Z5501" t="s">
        <v>30371</v>
      </c>
      <c r="AA5501">
        <v>0.5943572303303557</v>
      </c>
      <c r="AB5501" t="str">
        <f>HYPERLINK("Melting_Curves/meltCurve_Q9NQZ5_STARD7.pdf", "Melting_Curves/meltCurve_Q9NQZ5_STARD7.pdf")</f>
        <v>Melting_Curves/meltCurve_Q9NQZ5_STARD7.pdf</v>
      </c>
    </row>
    <row r="5502" spans="1:28" x14ac:dyDescent="0.25">
      <c r="A5502" t="s">
        <v>5506</v>
      </c>
      <c r="B5502">
        <v>0.99352677808782597</v>
      </c>
      <c r="C5502">
        <v>0.97312773180325696</v>
      </c>
      <c r="D5502">
        <v>0.75386341524175304</v>
      </c>
      <c r="E5502">
        <v>1.0573070243460301</v>
      </c>
      <c r="F5502">
        <v>0.81347274694920202</v>
      </c>
      <c r="G5502">
        <v>0.40720599035287203</v>
      </c>
      <c r="H5502">
        <v>0.19656236283761699</v>
      </c>
      <c r="I5502">
        <v>0.178028665620583</v>
      </c>
      <c r="J5502">
        <v>0.139836410664712</v>
      </c>
      <c r="K5502">
        <v>9.9431663294482206E-2</v>
      </c>
      <c r="L5502">
        <v>1651.5371257617601</v>
      </c>
      <c r="M5502">
        <v>29.730990379209398</v>
      </c>
      <c r="N5502">
        <v>56.129832573957799</v>
      </c>
      <c r="O5502">
        <v>55.299859697085203</v>
      </c>
      <c r="P5502">
        <v>-0.11662018382309</v>
      </c>
      <c r="Q5502">
        <v>0.13234837488059401</v>
      </c>
      <c r="R5502">
        <v>0.94942012040416002</v>
      </c>
      <c r="S5502" t="s">
        <v>11787</v>
      </c>
      <c r="T5502" t="s">
        <v>12568</v>
      </c>
      <c r="U5502" t="s">
        <v>12568</v>
      </c>
      <c r="V5502" t="s">
        <v>12568</v>
      </c>
      <c r="W5502" t="s">
        <v>18018</v>
      </c>
      <c r="X5502">
        <v>34</v>
      </c>
      <c r="Y5502" t="s">
        <v>24109</v>
      </c>
      <c r="Z5502" t="s">
        <v>30372</v>
      </c>
      <c r="AA5502">
        <v>0.58793571417895152</v>
      </c>
      <c r="AB5502" t="str">
        <f>HYPERLINK("Melting_Curves/meltCurve_Q9NR09_BIRC6.pdf", "Melting_Curves/meltCurve_Q9NR09_BIRC6.pdf")</f>
        <v>Melting_Curves/meltCurve_Q9NR09_BIRC6.pdf</v>
      </c>
    </row>
    <row r="5503" spans="1:28" x14ac:dyDescent="0.25">
      <c r="A5503" t="s">
        <v>5507</v>
      </c>
      <c r="B5503">
        <v>0.99352677808782597</v>
      </c>
      <c r="C5503">
        <v>0.91999697767438804</v>
      </c>
      <c r="D5503">
        <v>0.96120159945912198</v>
      </c>
      <c r="E5503">
        <v>0.64326662379890798</v>
      </c>
      <c r="F5503">
        <v>0.55611411722048998</v>
      </c>
      <c r="G5503">
        <v>0.41575381289608898</v>
      </c>
      <c r="H5503">
        <v>0.30952670896036</v>
      </c>
      <c r="I5503">
        <v>0.31204673891323698</v>
      </c>
      <c r="J5503">
        <v>0.291822645290787</v>
      </c>
      <c r="K5503">
        <v>0.247073465553594</v>
      </c>
      <c r="L5503">
        <v>768.30624418103196</v>
      </c>
      <c r="M5503">
        <v>14.9842102725712</v>
      </c>
      <c r="N5503">
        <v>53.918904785671501</v>
      </c>
      <c r="O5503">
        <v>50.387151702413597</v>
      </c>
      <c r="P5503">
        <v>-5.5004250024426903E-2</v>
      </c>
      <c r="Q5503">
        <v>0.26022759320594302</v>
      </c>
      <c r="R5503">
        <v>0.98458647922853904</v>
      </c>
      <c r="S5503" t="s">
        <v>11788</v>
      </c>
      <c r="T5503" t="s">
        <v>12568</v>
      </c>
      <c r="U5503" t="s">
        <v>12568</v>
      </c>
      <c r="V5503" t="s">
        <v>12568</v>
      </c>
      <c r="W5503" t="s">
        <v>18019</v>
      </c>
      <c r="X5503">
        <v>15</v>
      </c>
      <c r="Y5503" t="s">
        <v>24110</v>
      </c>
      <c r="Z5503" t="s">
        <v>30373</v>
      </c>
      <c r="AA5503">
        <v>0.55521630701585523</v>
      </c>
      <c r="AB5503" t="str">
        <f>HYPERLINK("Melting_Curves/meltCurve_Q9NR12_PDLIM7.pdf", "Melting_Curves/meltCurve_Q9NR12_PDLIM7.pdf")</f>
        <v>Melting_Curves/meltCurve_Q9NR12_PDLIM7.pdf</v>
      </c>
    </row>
    <row r="5504" spans="1:28" x14ac:dyDescent="0.25">
      <c r="A5504" t="s">
        <v>5508</v>
      </c>
      <c r="B5504">
        <v>0.99352677808782597</v>
      </c>
      <c r="C5504">
        <v>0.97709479100103702</v>
      </c>
      <c r="D5504">
        <v>0.96890772001810399</v>
      </c>
      <c r="E5504">
        <v>0.35713380316389198</v>
      </c>
      <c r="F5504">
        <v>0.278477577233949</v>
      </c>
      <c r="G5504">
        <v>0.17031947612357401</v>
      </c>
      <c r="H5504">
        <v>0.120324896666993</v>
      </c>
      <c r="I5504">
        <v>0.112958453662656</v>
      </c>
      <c r="J5504">
        <v>8.7839604713326594E-2</v>
      </c>
      <c r="K5504">
        <v>6.9094331904836506E-2</v>
      </c>
      <c r="L5504">
        <v>1735.4354933940799</v>
      </c>
      <c r="M5504">
        <v>35.461034631328197</v>
      </c>
      <c r="N5504">
        <v>49.335655599410401</v>
      </c>
      <c r="O5504">
        <v>48.784371027963402</v>
      </c>
      <c r="P5504">
        <v>-0.15919482657614201</v>
      </c>
      <c r="Q5504">
        <v>0.12397441824050701</v>
      </c>
      <c r="R5504">
        <v>0.98520723463786197</v>
      </c>
      <c r="S5504" t="s">
        <v>11789</v>
      </c>
      <c r="T5504" t="s">
        <v>12568</v>
      </c>
      <c r="U5504" t="s">
        <v>12568</v>
      </c>
      <c r="V5504" t="s">
        <v>12568</v>
      </c>
      <c r="W5504" t="s">
        <v>18020</v>
      </c>
      <c r="X5504">
        <v>9</v>
      </c>
      <c r="Y5504" t="s">
        <v>24111</v>
      </c>
      <c r="Z5504" t="s">
        <v>30374</v>
      </c>
      <c r="AA5504">
        <v>0.38879549979037092</v>
      </c>
      <c r="AB5504" t="str">
        <f>HYPERLINK("Melting_Curves/meltCurve_Q9NR19_ACSS2.pdf", "Melting_Curves/meltCurve_Q9NR19_ACSS2.pdf")</f>
        <v>Melting_Curves/meltCurve_Q9NR19_ACSS2.pdf</v>
      </c>
    </row>
    <row r="5505" spans="1:28" x14ac:dyDescent="0.25">
      <c r="A5505" t="s">
        <v>5509</v>
      </c>
      <c r="B5505">
        <v>0.99352677808782597</v>
      </c>
      <c r="C5505">
        <v>1.2432048434148899</v>
      </c>
      <c r="D5505">
        <v>1.2068135911864899</v>
      </c>
      <c r="E5505">
        <v>1.1819517543721301</v>
      </c>
      <c r="F5505">
        <v>1.0679557630741201</v>
      </c>
      <c r="G5505">
        <v>0.93832897822305705</v>
      </c>
      <c r="H5505">
        <v>0.75685701170710895</v>
      </c>
      <c r="I5505">
        <v>0.64158012624829197</v>
      </c>
      <c r="J5505">
        <v>0.41283540481044001</v>
      </c>
      <c r="K5505">
        <v>0.24866339345581201</v>
      </c>
      <c r="L5505">
        <v>1257.57658847891</v>
      </c>
      <c r="M5505">
        <v>19.281641683772701</v>
      </c>
      <c r="N5505">
        <v>65.620911865498599</v>
      </c>
      <c r="O5505">
        <v>64.532076545350193</v>
      </c>
      <c r="P5505">
        <v>-7.0564206907605703E-2</v>
      </c>
      <c r="Q5505">
        <v>5.5374565915423501E-2</v>
      </c>
      <c r="R5505">
        <v>0.86398041449152896</v>
      </c>
      <c r="S5505" t="s">
        <v>11790</v>
      </c>
      <c r="T5505" t="s">
        <v>12568</v>
      </c>
      <c r="U5505" t="s">
        <v>12568</v>
      </c>
      <c r="V5505" t="s">
        <v>12568</v>
      </c>
      <c r="W5505" t="s">
        <v>18021</v>
      </c>
      <c r="X5505">
        <v>10</v>
      </c>
      <c r="Y5505" t="s">
        <v>24112</v>
      </c>
      <c r="Z5505" t="s">
        <v>30375</v>
      </c>
      <c r="AA5505">
        <v>0.83507934712517651</v>
      </c>
      <c r="AB5505" t="str">
        <f>HYPERLINK("Melting_Curves/meltCurve_Q9NR28_2_DIABLO.pdf", "Melting_Curves/meltCurve_Q9NR28_2_DIABLO.pdf")</f>
        <v>Melting_Curves/meltCurve_Q9NR28_2_DIABLO.pdf</v>
      </c>
    </row>
    <row r="5506" spans="1:28" x14ac:dyDescent="0.25">
      <c r="A5506" t="s">
        <v>5510</v>
      </c>
      <c r="B5506">
        <v>0.99352677808782597</v>
      </c>
      <c r="C5506">
        <v>0.95748927166465303</v>
      </c>
      <c r="D5506">
        <v>1.1981149410431899</v>
      </c>
      <c r="E5506">
        <v>0.818910034000358</v>
      </c>
      <c r="F5506">
        <v>0.75317362068683802</v>
      </c>
      <c r="G5506">
        <v>0.638859232743613</v>
      </c>
      <c r="H5506">
        <v>0.52071205139302401</v>
      </c>
      <c r="I5506">
        <v>0.57350865580552302</v>
      </c>
      <c r="J5506">
        <v>0.55787831302217705</v>
      </c>
      <c r="K5506">
        <v>0.51469568413066502</v>
      </c>
      <c r="L5506">
        <v>1279.17711942549</v>
      </c>
      <c r="M5506">
        <v>24.4205136421633</v>
      </c>
      <c r="O5506">
        <v>52.033793264708699</v>
      </c>
      <c r="P5506">
        <v>-5.34802980521452E-2</v>
      </c>
      <c r="Q5506">
        <v>0.54419604789078502</v>
      </c>
      <c r="R5506">
        <v>0.88497025862993794</v>
      </c>
      <c r="S5506" t="s">
        <v>11791</v>
      </c>
      <c r="T5506" t="s">
        <v>12568</v>
      </c>
      <c r="U5506" t="s">
        <v>12568</v>
      </c>
      <c r="V5506" t="s">
        <v>12568</v>
      </c>
      <c r="W5506" t="s">
        <v>18022</v>
      </c>
      <c r="X5506">
        <v>21</v>
      </c>
      <c r="Y5506" t="s">
        <v>24113</v>
      </c>
      <c r="Z5506" t="s">
        <v>30376</v>
      </c>
      <c r="AA5506">
        <v>0.73667653104521236</v>
      </c>
      <c r="AB5506" t="str">
        <f>HYPERLINK("Melting_Curves/meltCurve_Q9NR30_DDX21.pdf", "Melting_Curves/meltCurve_Q9NR30_DDX21.pdf")</f>
        <v>Melting_Curves/meltCurve_Q9NR30_DDX21.pdf</v>
      </c>
    </row>
    <row r="5507" spans="1:28" x14ac:dyDescent="0.25">
      <c r="A5507" t="s">
        <v>5511</v>
      </c>
      <c r="B5507">
        <v>0.99352677808782597</v>
      </c>
      <c r="C5507">
        <v>1.1029038992883999</v>
      </c>
      <c r="D5507">
        <v>1.11527071231902</v>
      </c>
      <c r="E5507">
        <v>0.72468895577974801</v>
      </c>
      <c r="F5507">
        <v>0.520235368445367</v>
      </c>
      <c r="G5507">
        <v>0.31580449220113599</v>
      </c>
      <c r="H5507">
        <v>0.13845155657842201</v>
      </c>
      <c r="I5507">
        <v>0.115053090415208</v>
      </c>
      <c r="J5507">
        <v>8.8657123645968297E-2</v>
      </c>
      <c r="K5507">
        <v>8.33286770769254E-2</v>
      </c>
      <c r="L5507">
        <v>1090.24924456248</v>
      </c>
      <c r="M5507">
        <v>20.609878478530401</v>
      </c>
      <c r="N5507">
        <v>53.413501370222697</v>
      </c>
      <c r="O5507">
        <v>52.408883796951002</v>
      </c>
      <c r="P5507">
        <v>-8.9469922771711105E-2</v>
      </c>
      <c r="Q5507">
        <v>8.9973624331520993E-2</v>
      </c>
      <c r="R5507">
        <v>0.97383417020181795</v>
      </c>
      <c r="S5507" t="s">
        <v>11792</v>
      </c>
      <c r="T5507" t="s">
        <v>12568</v>
      </c>
      <c r="U5507" t="s">
        <v>12568</v>
      </c>
      <c r="V5507" t="s">
        <v>12568</v>
      </c>
      <c r="W5507" t="s">
        <v>18023</v>
      </c>
      <c r="X5507">
        <v>6</v>
      </c>
      <c r="Y5507" t="s">
        <v>24114</v>
      </c>
      <c r="Z5507" t="s">
        <v>30377</v>
      </c>
      <c r="AA5507">
        <v>0.49315807924440902</v>
      </c>
      <c r="AB5507" t="str">
        <f>HYPERLINK("Melting_Curves/meltCurve_Q9NR31_SAR1A.pdf", "Melting_Curves/meltCurve_Q9NR31_SAR1A.pdf")</f>
        <v>Melting_Curves/meltCurve_Q9NR31_SAR1A.pdf</v>
      </c>
    </row>
    <row r="5508" spans="1:28" x14ac:dyDescent="0.25">
      <c r="A5508" t="s">
        <v>5512</v>
      </c>
      <c r="B5508">
        <v>0.99352677808782597</v>
      </c>
      <c r="C5508">
        <v>0.97097644120448101</v>
      </c>
      <c r="D5508">
        <v>1.0120398528016501</v>
      </c>
      <c r="E5508">
        <v>0.86009765566520802</v>
      </c>
      <c r="F5508">
        <v>0.772845533569263</v>
      </c>
      <c r="G5508">
        <v>0.69321665258008502</v>
      </c>
      <c r="H5508">
        <v>0.59343029504105005</v>
      </c>
      <c r="I5508">
        <v>0.56532764742032204</v>
      </c>
      <c r="J5508">
        <v>0.64815667347551498</v>
      </c>
      <c r="K5508">
        <v>0.48856966570486698</v>
      </c>
      <c r="L5508">
        <v>782.72467389077303</v>
      </c>
      <c r="M5508">
        <v>14.6281734657358</v>
      </c>
      <c r="O5508">
        <v>52.537904186581699</v>
      </c>
      <c r="P5508">
        <v>-3.1990519426965298E-2</v>
      </c>
      <c r="Q5508">
        <v>0.54046843958836299</v>
      </c>
      <c r="R5508">
        <v>0.952391000055131</v>
      </c>
      <c r="S5508" t="s">
        <v>11793</v>
      </c>
      <c r="T5508" t="s">
        <v>12568</v>
      </c>
      <c r="U5508" t="s">
        <v>12568</v>
      </c>
      <c r="V5508" t="s">
        <v>12568</v>
      </c>
      <c r="W5508" t="s">
        <v>18024</v>
      </c>
      <c r="X5508">
        <v>4</v>
      </c>
      <c r="Y5508" t="s">
        <v>24115</v>
      </c>
      <c r="Z5508" t="s">
        <v>30378</v>
      </c>
      <c r="AA5508">
        <v>0.75736755077908002</v>
      </c>
      <c r="AB5508" t="str">
        <f>HYPERLINK("Melting_Curves/meltCurve_Q9NR33_POLE4.pdf", "Melting_Curves/meltCurve_Q9NR33_POLE4.pdf")</f>
        <v>Melting_Curves/meltCurve_Q9NR33_POLE4.pdf</v>
      </c>
    </row>
    <row r="5509" spans="1:28" x14ac:dyDescent="0.25">
      <c r="A5509" t="s">
        <v>5513</v>
      </c>
      <c r="B5509">
        <v>0.99352677808782597</v>
      </c>
      <c r="C5509">
        <v>0.93289737641389703</v>
      </c>
      <c r="D5509">
        <v>0.93834733046864205</v>
      </c>
      <c r="E5509">
        <v>0.39813791262494203</v>
      </c>
      <c r="F5509">
        <v>0.34218880551837899</v>
      </c>
      <c r="G5509">
        <v>0.14896775047038799</v>
      </c>
      <c r="H5509">
        <v>0.10282969267910499</v>
      </c>
      <c r="I5509">
        <v>8.0130335908983705E-2</v>
      </c>
      <c r="J5509">
        <v>6.9599456400534096E-2</v>
      </c>
      <c r="K5509">
        <v>5.2959349355001802E-2</v>
      </c>
      <c r="L5509">
        <v>1060.0251055302599</v>
      </c>
      <c r="M5509">
        <v>21.392094949759102</v>
      </c>
      <c r="N5509">
        <v>49.953605504280198</v>
      </c>
      <c r="O5509">
        <v>49.125251554582903</v>
      </c>
      <c r="P5509">
        <v>-0.100270548075838</v>
      </c>
      <c r="Q5509">
        <v>7.8969225332953405E-2</v>
      </c>
      <c r="R5509">
        <v>0.98168552036511303</v>
      </c>
      <c r="S5509" t="s">
        <v>11794</v>
      </c>
      <c r="T5509" t="s">
        <v>12568</v>
      </c>
      <c r="U5509" t="s">
        <v>12568</v>
      </c>
      <c r="V5509" t="s">
        <v>12568</v>
      </c>
      <c r="W5509" t="s">
        <v>18025</v>
      </c>
      <c r="X5509">
        <v>16</v>
      </c>
      <c r="Y5509" t="s">
        <v>24116</v>
      </c>
      <c r="Z5509" t="s">
        <v>30379</v>
      </c>
      <c r="AA5509">
        <v>0.38346411644925471</v>
      </c>
      <c r="AB5509" t="str">
        <f>HYPERLINK("Melting_Curves/meltCurve_Q9NR45_NANS.pdf", "Melting_Curves/meltCurve_Q9NR45_NANS.pdf")</f>
        <v>Melting_Curves/meltCurve_Q9NR45_NANS.pdf</v>
      </c>
    </row>
    <row r="5510" spans="1:28" x14ac:dyDescent="0.25">
      <c r="A5510" t="s">
        <v>5514</v>
      </c>
      <c r="B5510">
        <v>0.99352677808782597</v>
      </c>
      <c r="C5510">
        <v>0.89194833221326497</v>
      </c>
      <c r="D5510">
        <v>0.93989557712135097</v>
      </c>
      <c r="E5510">
        <v>0.28087169371214699</v>
      </c>
      <c r="F5510">
        <v>0.21594888062616799</v>
      </c>
      <c r="G5510">
        <v>0.12838931753316399</v>
      </c>
      <c r="H5510">
        <v>8.6761288282351204E-2</v>
      </c>
      <c r="I5510">
        <v>9.0720904616775094E-2</v>
      </c>
      <c r="J5510">
        <v>7.5747241760891704E-2</v>
      </c>
      <c r="K5510">
        <v>5.8930034062415697E-2</v>
      </c>
      <c r="L5510">
        <v>1934.98934224288</v>
      </c>
      <c r="M5510">
        <v>39.892274959370802</v>
      </c>
      <c r="N5510">
        <v>48.779193023765302</v>
      </c>
      <c r="O5510">
        <v>48.383954346092899</v>
      </c>
      <c r="P5510">
        <v>-0.18544578037328199</v>
      </c>
      <c r="Q5510">
        <v>0.100318918698068</v>
      </c>
      <c r="R5510">
        <v>0.98362184032632305</v>
      </c>
      <c r="S5510" t="s">
        <v>11795</v>
      </c>
      <c r="T5510" t="s">
        <v>12568</v>
      </c>
      <c r="U5510" t="s">
        <v>12568</v>
      </c>
      <c r="V5510" t="s">
        <v>12568</v>
      </c>
      <c r="W5510" t="s">
        <v>18026</v>
      </c>
      <c r="X5510">
        <v>11</v>
      </c>
      <c r="Y5510" t="s">
        <v>24117</v>
      </c>
      <c r="Z5510" t="s">
        <v>30380</v>
      </c>
      <c r="AA5510">
        <v>0.3584277925115823</v>
      </c>
      <c r="AB5510" t="str">
        <f>HYPERLINK("Melting_Curves/meltCurve_Q9NR46_SH3GLB2.pdf", "Melting_Curves/meltCurve_Q9NR46_SH3GLB2.pdf")</f>
        <v>Melting_Curves/meltCurve_Q9NR46_SH3GLB2.pdf</v>
      </c>
    </row>
    <row r="5511" spans="1:28" x14ac:dyDescent="0.25">
      <c r="A5511" t="s">
        <v>5515</v>
      </c>
      <c r="B5511">
        <v>0.99352677808782597</v>
      </c>
      <c r="C5511">
        <v>0.86876913448112603</v>
      </c>
      <c r="D5511">
        <v>0.75074207340583898</v>
      </c>
      <c r="E5511">
        <v>0.46735294981767</v>
      </c>
      <c r="F5511">
        <v>0.37008229136566401</v>
      </c>
      <c r="G5511">
        <v>0.223777462024493</v>
      </c>
      <c r="H5511">
        <v>0.124357871550135</v>
      </c>
      <c r="I5511">
        <v>0.109330071247734</v>
      </c>
      <c r="J5511">
        <v>8.8734672102121895E-2</v>
      </c>
      <c r="K5511">
        <v>7.4423016921204801E-2</v>
      </c>
      <c r="L5511">
        <v>622.46488751136599</v>
      </c>
      <c r="M5511">
        <v>12.5588112829395</v>
      </c>
      <c r="N5511">
        <v>50.028104967502998</v>
      </c>
      <c r="O5511">
        <v>48.357685557459398</v>
      </c>
      <c r="P5511">
        <v>-6.13688524007426E-2</v>
      </c>
      <c r="Q5511">
        <v>5.4988212537368103E-2</v>
      </c>
      <c r="R5511">
        <v>0.99638980723225301</v>
      </c>
      <c r="S5511" t="s">
        <v>11796</v>
      </c>
      <c r="T5511" t="s">
        <v>12568</v>
      </c>
      <c r="U5511" t="s">
        <v>12568</v>
      </c>
      <c r="V5511" t="s">
        <v>12568</v>
      </c>
      <c r="W5511" t="s">
        <v>18027</v>
      </c>
      <c r="X5511">
        <v>9</v>
      </c>
      <c r="Y5511" t="s">
        <v>24118</v>
      </c>
      <c r="Z5511" t="s">
        <v>30381</v>
      </c>
      <c r="AA5511">
        <v>0.38741430591906451</v>
      </c>
      <c r="AB5511" t="str">
        <f>HYPERLINK("Melting_Curves/meltCurve_Q9NR50_EIF2B3.pdf", "Melting_Curves/meltCurve_Q9NR50_EIF2B3.pdf")</f>
        <v>Melting_Curves/meltCurve_Q9NR50_EIF2B3.pdf</v>
      </c>
    </row>
    <row r="5512" spans="1:28" x14ac:dyDescent="0.25">
      <c r="A5512" t="s">
        <v>5516</v>
      </c>
      <c r="B5512">
        <v>0.99352677808782597</v>
      </c>
      <c r="C5512">
        <v>0.96347697396666498</v>
      </c>
      <c r="D5512">
        <v>0.90923250007256395</v>
      </c>
      <c r="E5512">
        <v>0.49529161464958699</v>
      </c>
      <c r="F5512">
        <v>0.38207606847070302</v>
      </c>
      <c r="G5512">
        <v>0.26118961075322</v>
      </c>
      <c r="H5512">
        <v>0.16047188534916801</v>
      </c>
      <c r="I5512">
        <v>0.137657398770861</v>
      </c>
      <c r="J5512">
        <v>0.13869267779081301</v>
      </c>
      <c r="K5512">
        <v>0.11597538935311601</v>
      </c>
      <c r="L5512">
        <v>932.24119392590103</v>
      </c>
      <c r="M5512">
        <v>18.670426963811099</v>
      </c>
      <c r="N5512">
        <v>50.787609885487697</v>
      </c>
      <c r="O5512">
        <v>49.369192778028797</v>
      </c>
      <c r="P5512">
        <v>-8.1783760445345494E-2</v>
      </c>
      <c r="Q5512">
        <v>0.135011549376016</v>
      </c>
      <c r="R5512">
        <v>0.99059832348900301</v>
      </c>
      <c r="S5512" t="s">
        <v>11797</v>
      </c>
      <c r="T5512" t="s">
        <v>12568</v>
      </c>
      <c r="U5512" t="s">
        <v>12568</v>
      </c>
      <c r="V5512" t="s">
        <v>12568</v>
      </c>
      <c r="W5512" t="s">
        <v>18028</v>
      </c>
      <c r="X5512">
        <v>4</v>
      </c>
      <c r="Y5512" t="s">
        <v>24119</v>
      </c>
      <c r="Z5512" t="s">
        <v>30382</v>
      </c>
      <c r="AA5512">
        <v>0.43512983590055848</v>
      </c>
      <c r="AB5512" t="str">
        <f>HYPERLINK("Melting_Curves/meltCurve_Q9NRF2_3_SH2B1.pdf", "Melting_Curves/meltCurve_Q9NRF2_3_SH2B1.pdf")</f>
        <v>Melting_Curves/meltCurve_Q9NRF2_3_SH2B1.pdf</v>
      </c>
    </row>
    <row r="5513" spans="1:28" x14ac:dyDescent="0.25">
      <c r="A5513" t="s">
        <v>5517</v>
      </c>
      <c r="B5513">
        <v>0.99352677808782597</v>
      </c>
      <c r="C5513">
        <v>1.02909429872608</v>
      </c>
      <c r="D5513">
        <v>0.90606643650330299</v>
      </c>
      <c r="E5513">
        <v>0.70546635831645299</v>
      </c>
      <c r="F5513">
        <v>0.58935665034829199</v>
      </c>
      <c r="G5513">
        <v>0.36686436090140301</v>
      </c>
      <c r="H5513">
        <v>0.183734895263991</v>
      </c>
      <c r="I5513">
        <v>0.10428889470111601</v>
      </c>
      <c r="J5513">
        <v>6.9426144560104999E-2</v>
      </c>
      <c r="K5513">
        <v>5.97770911711877E-2</v>
      </c>
      <c r="L5513">
        <v>703.591007687667</v>
      </c>
      <c r="M5513">
        <v>12.984509909887</v>
      </c>
      <c r="N5513">
        <v>54.186951263498202</v>
      </c>
      <c r="O5513">
        <v>52.949962913193097</v>
      </c>
      <c r="P5513">
        <v>-6.1316422403336103E-2</v>
      </c>
      <c r="Q5513">
        <v>0</v>
      </c>
      <c r="R5513">
        <v>0.99516174421367798</v>
      </c>
      <c r="S5513" t="s">
        <v>11798</v>
      </c>
      <c r="T5513" t="s">
        <v>12568</v>
      </c>
      <c r="U5513" t="s">
        <v>12568</v>
      </c>
      <c r="V5513" t="s">
        <v>12568</v>
      </c>
      <c r="W5513" t="s">
        <v>18029</v>
      </c>
      <c r="X5513">
        <v>16</v>
      </c>
      <c r="Y5513" t="s">
        <v>24120</v>
      </c>
      <c r="Z5513" t="s">
        <v>30383</v>
      </c>
      <c r="AA5513">
        <v>0.49671064669106008</v>
      </c>
      <c r="AB5513" t="str">
        <f>HYPERLINK("Melting_Curves/meltCurve_Q9NRF8_CTPS2.pdf", "Melting_Curves/meltCurve_Q9NRF8_CTPS2.pdf")</f>
        <v>Melting_Curves/meltCurve_Q9NRF8_CTPS2.pdf</v>
      </c>
    </row>
    <row r="5514" spans="1:28" x14ac:dyDescent="0.25">
      <c r="A5514" t="s">
        <v>5518</v>
      </c>
      <c r="B5514">
        <v>0.99352677808782597</v>
      </c>
      <c r="C5514">
        <v>1.0149106899804099</v>
      </c>
      <c r="D5514">
        <v>0.99699946601040301</v>
      </c>
      <c r="E5514">
        <v>0.81140497791700805</v>
      </c>
      <c r="F5514">
        <v>0.70115815756274602</v>
      </c>
      <c r="G5514">
        <v>0.56920754160404896</v>
      </c>
      <c r="H5514">
        <v>0.43941552464582301</v>
      </c>
      <c r="I5514">
        <v>0.46476795583673403</v>
      </c>
      <c r="J5514">
        <v>0.49393149600603597</v>
      </c>
      <c r="K5514">
        <v>0.42356750834128698</v>
      </c>
      <c r="L5514">
        <v>989.34632279729499</v>
      </c>
      <c r="M5514">
        <v>18.869727182152101</v>
      </c>
      <c r="N5514">
        <v>59.285457214386497</v>
      </c>
      <c r="O5514">
        <v>51.852155183080598</v>
      </c>
      <c r="P5514">
        <v>-5.0623826115210199E-2</v>
      </c>
      <c r="Q5514">
        <v>0.44358569659313601</v>
      </c>
      <c r="R5514">
        <v>0.98657971305376202</v>
      </c>
      <c r="S5514" t="s">
        <v>11799</v>
      </c>
      <c r="T5514" t="s">
        <v>12568</v>
      </c>
      <c r="U5514" t="s">
        <v>12568</v>
      </c>
      <c r="V5514" t="s">
        <v>12568</v>
      </c>
      <c r="W5514" t="s">
        <v>18030</v>
      </c>
      <c r="X5514">
        <v>6</v>
      </c>
      <c r="Y5514" t="s">
        <v>24121</v>
      </c>
      <c r="Z5514" t="s">
        <v>30384</v>
      </c>
      <c r="AA5514">
        <v>0.68263114883903142</v>
      </c>
      <c r="AB5514" t="str">
        <f>HYPERLINK("Melting_Curves/meltCurve_Q9NRF9_POLE3.pdf", "Melting_Curves/meltCurve_Q9NRF9_POLE3.pdf")</f>
        <v>Melting_Curves/meltCurve_Q9NRF9_POLE3.pdf</v>
      </c>
    </row>
    <row r="5515" spans="1:28" x14ac:dyDescent="0.25">
      <c r="A5515" t="s">
        <v>5519</v>
      </c>
      <c r="B5515">
        <v>0.99352677808782597</v>
      </c>
      <c r="C5515">
        <v>1.0305362677761001</v>
      </c>
      <c r="D5515">
        <v>1.0082725217681101</v>
      </c>
      <c r="E5515">
        <v>0.60964796979423896</v>
      </c>
      <c r="F5515">
        <v>0.49645213507094299</v>
      </c>
      <c r="G5515">
        <v>0.25708597291949398</v>
      </c>
      <c r="H5515">
        <v>0.125835437871993</v>
      </c>
      <c r="I5515">
        <v>0.123882899417841</v>
      </c>
      <c r="J5515">
        <v>0.106818837057177</v>
      </c>
      <c r="K5515">
        <v>9.6441689996635604E-2</v>
      </c>
      <c r="L5515">
        <v>972.29705130129105</v>
      </c>
      <c r="M5515">
        <v>18.761997313771701</v>
      </c>
      <c r="N5515">
        <v>52.4148191842336</v>
      </c>
      <c r="O5515">
        <v>51.244725202081</v>
      </c>
      <c r="P5515">
        <v>-8.2793711860788002E-2</v>
      </c>
      <c r="Q5515">
        <v>9.5498588080982202E-2</v>
      </c>
      <c r="R5515">
        <v>0.98629256572303503</v>
      </c>
      <c r="S5515" t="s">
        <v>11800</v>
      </c>
      <c r="T5515" t="s">
        <v>12568</v>
      </c>
      <c r="U5515" t="s">
        <v>12568</v>
      </c>
      <c r="V5515" t="s">
        <v>12568</v>
      </c>
      <c r="W5515" t="s">
        <v>18031</v>
      </c>
      <c r="X5515">
        <v>2</v>
      </c>
      <c r="Y5515" t="s">
        <v>24122</v>
      </c>
      <c r="Z5515" t="s">
        <v>30385</v>
      </c>
      <c r="AA5515">
        <v>0.46599013395860878</v>
      </c>
      <c r="AB5515" t="str">
        <f>HYPERLINK("Melting_Curves/meltCurve_Q9NRG0_CHRAC1.pdf", "Melting_Curves/meltCurve_Q9NRG0_CHRAC1.pdf")</f>
        <v>Melting_Curves/meltCurve_Q9NRG0_CHRAC1.pdf</v>
      </c>
    </row>
    <row r="5516" spans="1:28" x14ac:dyDescent="0.25">
      <c r="A5516" t="s">
        <v>5520</v>
      </c>
      <c r="B5516">
        <v>0.99352677808782597</v>
      </c>
      <c r="C5516">
        <v>1.0250111117410099</v>
      </c>
      <c r="D5516">
        <v>0.96336584549675597</v>
      </c>
      <c r="E5516">
        <v>0.87924514106305596</v>
      </c>
      <c r="F5516">
        <v>0.79884598412665997</v>
      </c>
      <c r="G5516">
        <v>0.65927761920990202</v>
      </c>
      <c r="H5516">
        <v>0.78414737496103304</v>
      </c>
      <c r="I5516">
        <v>0.82408191673096898</v>
      </c>
      <c r="J5516">
        <v>0.91440956823654496</v>
      </c>
      <c r="K5516">
        <v>0.56496362152351798</v>
      </c>
      <c r="L5516">
        <v>1619.74909074272</v>
      </c>
      <c r="M5516">
        <v>32.401349631113398</v>
      </c>
      <c r="O5516">
        <v>49.800907644878897</v>
      </c>
      <c r="P5516">
        <v>-4.0483098159929003E-2</v>
      </c>
      <c r="Q5516">
        <v>0.75111093887110703</v>
      </c>
      <c r="R5516">
        <v>0.59492221094699405</v>
      </c>
      <c r="S5516" t="s">
        <v>11801</v>
      </c>
      <c r="T5516" t="s">
        <v>12568</v>
      </c>
      <c r="U5516" t="s">
        <v>12568</v>
      </c>
      <c r="V5516" t="s">
        <v>12568</v>
      </c>
      <c r="W5516" t="s">
        <v>18032</v>
      </c>
      <c r="X5516">
        <v>12</v>
      </c>
      <c r="Y5516" t="s">
        <v>24123</v>
      </c>
      <c r="Z5516" t="s">
        <v>30386</v>
      </c>
      <c r="AA5516">
        <v>0.83530948396434457</v>
      </c>
      <c r="AB5516" t="str">
        <f>HYPERLINK("Melting_Curves/meltCurve_Q9NRG1_PRTFDC1.pdf", "Melting_Curves/meltCurve_Q9NRG1_PRTFDC1.pdf")</f>
        <v>Melting_Curves/meltCurve_Q9NRG1_PRTFDC1.pdf</v>
      </c>
    </row>
    <row r="5517" spans="1:28" x14ac:dyDescent="0.25">
      <c r="A5517" t="s">
        <v>5521</v>
      </c>
      <c r="B5517">
        <v>0.99352677808782597</v>
      </c>
      <c r="C5517">
        <v>0.75473611999756995</v>
      </c>
      <c r="D5517">
        <v>0.46067309050730598</v>
      </c>
      <c r="E5517">
        <v>0.27441840187286098</v>
      </c>
      <c r="F5517">
        <v>0.25320651127019</v>
      </c>
      <c r="G5517">
        <v>0.13511201312064</v>
      </c>
      <c r="H5517">
        <v>0.104971183846594</v>
      </c>
      <c r="I5517">
        <v>9.7783165287937707E-2</v>
      </c>
      <c r="J5517">
        <v>8.7414927216289101E-2</v>
      </c>
      <c r="K5517">
        <v>5.8756496643851797E-2</v>
      </c>
      <c r="L5517">
        <v>748.77388382072604</v>
      </c>
      <c r="M5517">
        <v>16.433223165035798</v>
      </c>
      <c r="N5517">
        <v>46.157849471229497</v>
      </c>
      <c r="O5517">
        <v>44.905960344572897</v>
      </c>
      <c r="P5517">
        <v>-8.2783891124569506E-2</v>
      </c>
      <c r="Q5517">
        <v>9.5192569997744794E-2</v>
      </c>
      <c r="R5517">
        <v>0.98230639045033397</v>
      </c>
      <c r="S5517" t="s">
        <v>11802</v>
      </c>
      <c r="T5517" t="s">
        <v>12568</v>
      </c>
      <c r="U5517" t="s">
        <v>12568</v>
      </c>
      <c r="V5517" t="s">
        <v>12568</v>
      </c>
      <c r="W5517" t="s">
        <v>18033</v>
      </c>
      <c r="X5517">
        <v>3</v>
      </c>
      <c r="Y5517" t="s">
        <v>24124</v>
      </c>
      <c r="Z5517" t="s">
        <v>30387</v>
      </c>
      <c r="AA5517">
        <v>0.28558796477352377</v>
      </c>
      <c r="AB5517" t="str">
        <f>HYPERLINK("Melting_Curves/meltCurve_Q9NRG4_SMYD2.pdf", "Melting_Curves/meltCurve_Q9NRG4_SMYD2.pdf")</f>
        <v>Melting_Curves/meltCurve_Q9NRG4_SMYD2.pdf</v>
      </c>
    </row>
    <row r="5518" spans="1:28" x14ac:dyDescent="0.25">
      <c r="A5518" t="s">
        <v>5522</v>
      </c>
      <c r="B5518">
        <v>0.99352677808782597</v>
      </c>
      <c r="C5518">
        <v>0.96934063992767505</v>
      </c>
      <c r="D5518">
        <v>1.02520822086407</v>
      </c>
      <c r="E5518">
        <v>0.99246643730351303</v>
      </c>
      <c r="F5518">
        <v>0.94488377563868498</v>
      </c>
      <c r="G5518">
        <v>0.86052659002071097</v>
      </c>
      <c r="H5518">
        <v>0.67199554543565299</v>
      </c>
      <c r="I5518">
        <v>0.66716767333448601</v>
      </c>
      <c r="J5518">
        <v>0.63290472035756096</v>
      </c>
      <c r="K5518">
        <v>0.52154124314230299</v>
      </c>
      <c r="L5518">
        <v>986.52718855404805</v>
      </c>
      <c r="M5518">
        <v>16.557421690803</v>
      </c>
      <c r="O5518">
        <v>58.7333959211186</v>
      </c>
      <c r="P5518">
        <v>-3.3547948614611703E-2</v>
      </c>
      <c r="Q5518">
        <v>0.52402011350883104</v>
      </c>
      <c r="R5518">
        <v>0.97317893696013402</v>
      </c>
      <c r="S5518" t="s">
        <v>11803</v>
      </c>
      <c r="T5518" t="s">
        <v>12568</v>
      </c>
      <c r="U5518" t="s">
        <v>12568</v>
      </c>
      <c r="V5518" t="s">
        <v>12568</v>
      </c>
      <c r="W5518" t="s">
        <v>18034</v>
      </c>
      <c r="X5518">
        <v>8</v>
      </c>
      <c r="Y5518" t="s">
        <v>24125</v>
      </c>
      <c r="Z5518" t="s">
        <v>30388</v>
      </c>
      <c r="AA5518">
        <v>0.83905624948089519</v>
      </c>
      <c r="AB5518" t="str">
        <f>HYPERLINK("Melting_Curves/meltCurve_Q9NRH1_YAE1D1.pdf", "Melting_Curves/meltCurve_Q9NRH1_YAE1D1.pdf")</f>
        <v>Melting_Curves/meltCurve_Q9NRH1_YAE1D1.pdf</v>
      </c>
    </row>
    <row r="5519" spans="1:28" x14ac:dyDescent="0.25">
      <c r="A5519" t="s">
        <v>5523</v>
      </c>
      <c r="B5519">
        <v>0.99352677808782597</v>
      </c>
      <c r="C5519">
        <v>0.89086984818031101</v>
      </c>
      <c r="D5519">
        <v>0.86932324551859397</v>
      </c>
      <c r="E5519">
        <v>0.72948071808195902</v>
      </c>
      <c r="F5519">
        <v>0.639319450345883</v>
      </c>
      <c r="G5519">
        <v>0.55852079717057102</v>
      </c>
      <c r="H5519">
        <v>0.50786646677320002</v>
      </c>
      <c r="I5519">
        <v>0.48770874146714999</v>
      </c>
      <c r="J5519">
        <v>0.49796176480704202</v>
      </c>
      <c r="K5519">
        <v>0.4209093700232</v>
      </c>
      <c r="L5519">
        <v>527.06911335348002</v>
      </c>
      <c r="M5519">
        <v>10.4052538276754</v>
      </c>
      <c r="N5519">
        <v>61.756776635944398</v>
      </c>
      <c r="O5519">
        <v>48.890353731643302</v>
      </c>
      <c r="P5519">
        <v>-3.0713908708829198E-2</v>
      </c>
      <c r="Q5519">
        <v>0.422988868577995</v>
      </c>
      <c r="R5519">
        <v>0.98773707056653903</v>
      </c>
      <c r="S5519" t="s">
        <v>11804</v>
      </c>
      <c r="T5519" t="s">
        <v>12568</v>
      </c>
      <c r="U5519" t="s">
        <v>12568</v>
      </c>
      <c r="V5519" t="s">
        <v>12568</v>
      </c>
      <c r="W5519" t="s">
        <v>18035</v>
      </c>
      <c r="X5519">
        <v>1</v>
      </c>
      <c r="Y5519" t="s">
        <v>24126</v>
      </c>
      <c r="Z5519" t="s">
        <v>30389</v>
      </c>
      <c r="AA5519">
        <v>0.65137608237531053</v>
      </c>
      <c r="AB5519" t="str">
        <f>HYPERLINK("Melting_Curves/meltCurve_Q9NRJ4_TULP4.pdf", "Melting_Curves/meltCurve_Q9NRJ4_TULP4.pdf")</f>
        <v>Melting_Curves/meltCurve_Q9NRJ4_TULP4.pdf</v>
      </c>
    </row>
    <row r="5520" spans="1:28" x14ac:dyDescent="0.25">
      <c r="A5520" t="s">
        <v>5524</v>
      </c>
      <c r="B5520">
        <v>0.99352677808782597</v>
      </c>
      <c r="C5520">
        <v>0.96612256843529198</v>
      </c>
      <c r="D5520">
        <v>1.00603706250321</v>
      </c>
      <c r="E5520">
        <v>0.61323687436107799</v>
      </c>
      <c r="F5520">
        <v>0.44829308513160898</v>
      </c>
      <c r="G5520">
        <v>0.29669122427715999</v>
      </c>
      <c r="H5520">
        <v>0.18041542518727199</v>
      </c>
      <c r="I5520">
        <v>0.16220693388174701</v>
      </c>
      <c r="J5520">
        <v>0.139335701733837</v>
      </c>
      <c r="K5520">
        <v>8.9564600617653894E-2</v>
      </c>
      <c r="L5520">
        <v>943.33453917789097</v>
      </c>
      <c r="M5520">
        <v>18.342274409623698</v>
      </c>
      <c r="N5520">
        <v>52.264727328109799</v>
      </c>
      <c r="O5520">
        <v>50.8299179606759</v>
      </c>
      <c r="P5520">
        <v>-7.8757623318272602E-2</v>
      </c>
      <c r="Q5520">
        <v>0.127030795051329</v>
      </c>
      <c r="R5520">
        <v>0.98650691178426497</v>
      </c>
      <c r="S5520" t="s">
        <v>11805</v>
      </c>
      <c r="T5520" t="s">
        <v>12568</v>
      </c>
      <c r="U5520" t="s">
        <v>12568</v>
      </c>
      <c r="V5520" t="s">
        <v>12568</v>
      </c>
      <c r="W5520" t="s">
        <v>18036</v>
      </c>
      <c r="X5520">
        <v>2</v>
      </c>
      <c r="Y5520" t="s">
        <v>24127</v>
      </c>
      <c r="Z5520" t="s">
        <v>30390</v>
      </c>
      <c r="AA5520">
        <v>0.47377283590745889</v>
      </c>
      <c r="AB5520" t="str">
        <f>HYPERLINK("Melting_Curves/meltCurve_Q9NRL2_2_BAZ1A.pdf", "Melting_Curves/meltCurve_Q9NRL2_2_BAZ1A.pdf")</f>
        <v>Melting_Curves/meltCurve_Q9NRL2_2_BAZ1A.pdf</v>
      </c>
    </row>
    <row r="5521" spans="1:28" x14ac:dyDescent="0.25">
      <c r="A5521" t="s">
        <v>5525</v>
      </c>
      <c r="B5521">
        <v>0.99352677808782597</v>
      </c>
      <c r="C5521">
        <v>0.97588553924741395</v>
      </c>
      <c r="D5521">
        <v>0.86438339542323495</v>
      </c>
      <c r="E5521">
        <v>0.56547202788859297</v>
      </c>
      <c r="F5521">
        <v>0.48448465252901102</v>
      </c>
      <c r="G5521">
        <v>0.316945949197042</v>
      </c>
      <c r="H5521">
        <v>0.239731890601215</v>
      </c>
      <c r="I5521">
        <v>0.24741696777960701</v>
      </c>
      <c r="J5521">
        <v>0.25895060519987301</v>
      </c>
      <c r="K5521">
        <v>0.23822524846378301</v>
      </c>
      <c r="L5521">
        <v>851.93601782464498</v>
      </c>
      <c r="M5521">
        <v>17.079170392491701</v>
      </c>
      <c r="N5521">
        <v>51.795458070491797</v>
      </c>
      <c r="O5521">
        <v>49.212796802619003</v>
      </c>
      <c r="P5521">
        <v>-6.6464173282124298E-2</v>
      </c>
      <c r="Q5521">
        <v>0.23399338120010399</v>
      </c>
      <c r="R5521">
        <v>0.99385102263966696</v>
      </c>
      <c r="S5521" t="s">
        <v>11806</v>
      </c>
      <c r="T5521" t="s">
        <v>12568</v>
      </c>
      <c r="U5521" t="s">
        <v>12568</v>
      </c>
      <c r="V5521" t="s">
        <v>12568</v>
      </c>
      <c r="W5521" t="s">
        <v>18037</v>
      </c>
      <c r="X5521">
        <v>14</v>
      </c>
      <c r="Y5521" t="s">
        <v>24128</v>
      </c>
      <c r="Z5521" t="s">
        <v>30391</v>
      </c>
      <c r="AA5521">
        <v>0.5007577668772224</v>
      </c>
      <c r="AB5521" t="str">
        <f>HYPERLINK("Melting_Curves/meltCurve_Q9NRL3_STRN4.pdf", "Melting_Curves/meltCurve_Q9NRL3_STRN4.pdf")</f>
        <v>Melting_Curves/meltCurve_Q9NRL3_STRN4.pdf</v>
      </c>
    </row>
    <row r="5522" spans="1:28" x14ac:dyDescent="0.25">
      <c r="A5522" t="s">
        <v>5526</v>
      </c>
      <c r="B5522">
        <v>0.99352677808782597</v>
      </c>
      <c r="C5522">
        <v>0.98356205993661106</v>
      </c>
      <c r="D5522">
        <v>1.0041577721784201</v>
      </c>
      <c r="E5522">
        <v>0.64251268668714401</v>
      </c>
      <c r="F5522">
        <v>0.57036106512136797</v>
      </c>
      <c r="G5522">
        <v>0.17359570786328299</v>
      </c>
      <c r="H5522">
        <v>9.7453599195109805E-2</v>
      </c>
      <c r="I5522">
        <v>8.6549788995937696E-2</v>
      </c>
      <c r="J5522">
        <v>7.3904752481432107E-2</v>
      </c>
      <c r="K5522">
        <v>5.9533554432186997E-2</v>
      </c>
      <c r="L5522">
        <v>993.72776669763505</v>
      </c>
      <c r="M5522">
        <v>18.925537069800502</v>
      </c>
      <c r="N5522">
        <v>52.780682463547002</v>
      </c>
      <c r="O5522">
        <v>51.931533252017701</v>
      </c>
      <c r="P5522">
        <v>-8.6856852095725703E-2</v>
      </c>
      <c r="Q5522">
        <v>4.6700182056593403E-2</v>
      </c>
      <c r="R5522">
        <v>0.985088053069058</v>
      </c>
      <c r="S5522" t="s">
        <v>11807</v>
      </c>
      <c r="T5522" t="s">
        <v>12568</v>
      </c>
      <c r="U5522" t="s">
        <v>12568</v>
      </c>
      <c r="V5522" t="s">
        <v>12568</v>
      </c>
      <c r="W5522" t="s">
        <v>18038</v>
      </c>
      <c r="X5522">
        <v>11</v>
      </c>
      <c r="Y5522" t="s">
        <v>24129</v>
      </c>
      <c r="Z5522" t="s">
        <v>30392</v>
      </c>
      <c r="AA5522">
        <v>0.45861287341695373</v>
      </c>
      <c r="AB5522" t="str">
        <f>HYPERLINK("Melting_Curves/meltCurve_Q9NRN7_AASDHPPT.pdf", "Melting_Curves/meltCurve_Q9NRN7_AASDHPPT.pdf")</f>
        <v>Melting_Curves/meltCurve_Q9NRN7_AASDHPPT.pdf</v>
      </c>
    </row>
    <row r="5523" spans="1:28" x14ac:dyDescent="0.25">
      <c r="A5523" t="s">
        <v>5527</v>
      </c>
      <c r="B5523">
        <v>0.99352677808782597</v>
      </c>
      <c r="C5523">
        <v>0.94231229632236402</v>
      </c>
      <c r="D5523">
        <v>0.961389141689589</v>
      </c>
      <c r="E5523">
        <v>0.90570347796735595</v>
      </c>
      <c r="F5523">
        <v>0.86072143956385705</v>
      </c>
      <c r="G5523">
        <v>0.71592095178314896</v>
      </c>
      <c r="H5523">
        <v>0.59313385354096904</v>
      </c>
      <c r="I5523">
        <v>0.62035162828522195</v>
      </c>
      <c r="J5523">
        <v>0.54746060839034405</v>
      </c>
      <c r="K5523">
        <v>0.28278951562301202</v>
      </c>
      <c r="L5523">
        <v>475.89425121923801</v>
      </c>
      <c r="M5523">
        <v>7.2536389465876203</v>
      </c>
      <c r="N5523">
        <v>65.607656124593206</v>
      </c>
      <c r="O5523">
        <v>61.1720298619692</v>
      </c>
      <c r="P5523">
        <v>-2.9692636751981302E-2</v>
      </c>
      <c r="Q5523">
        <v>0</v>
      </c>
      <c r="R5523">
        <v>0.94104185506312599</v>
      </c>
      <c r="S5523" t="s">
        <v>11808</v>
      </c>
      <c r="T5523" t="s">
        <v>12568</v>
      </c>
      <c r="U5523" t="s">
        <v>12568</v>
      </c>
      <c r="V5523" t="s">
        <v>12568</v>
      </c>
      <c r="W5523" t="s">
        <v>18039</v>
      </c>
      <c r="X5523">
        <v>8</v>
      </c>
      <c r="Y5523" t="s">
        <v>24130</v>
      </c>
      <c r="Z5523" t="s">
        <v>30393</v>
      </c>
      <c r="AA5523">
        <v>0.75850927720976913</v>
      </c>
      <c r="AB5523" t="str">
        <f>HYPERLINK("Melting_Curves/meltCurve_Q9NRN9_METTL5.pdf", "Melting_Curves/meltCurve_Q9NRN9_METTL5.pdf")</f>
        <v>Melting_Curves/meltCurve_Q9NRN9_METTL5.pdf</v>
      </c>
    </row>
    <row r="5524" spans="1:28" x14ac:dyDescent="0.25">
      <c r="A5524" t="s">
        <v>5528</v>
      </c>
      <c r="B5524">
        <v>0.99352677808782597</v>
      </c>
      <c r="C5524">
        <v>0.98781986052155801</v>
      </c>
      <c r="D5524">
        <v>1.0052021304635601</v>
      </c>
      <c r="E5524">
        <v>0.978813735707324</v>
      </c>
      <c r="F5524">
        <v>0.908617758382116</v>
      </c>
      <c r="G5524">
        <v>0.71548327867065897</v>
      </c>
      <c r="H5524">
        <v>0.65868418771704396</v>
      </c>
      <c r="I5524">
        <v>0.71186442117380699</v>
      </c>
      <c r="J5524">
        <v>0.85305449293084501</v>
      </c>
      <c r="K5524">
        <v>0.67079113918248001</v>
      </c>
      <c r="L5524">
        <v>4162.4655991679901</v>
      </c>
      <c r="M5524">
        <v>77.832436792866801</v>
      </c>
      <c r="O5524">
        <v>53.444564969546001</v>
      </c>
      <c r="P5524">
        <v>-0.101372939236187</v>
      </c>
      <c r="Q5524">
        <v>0.72156435856907697</v>
      </c>
      <c r="R5524">
        <v>0.87022617336892005</v>
      </c>
      <c r="S5524" t="s">
        <v>11809</v>
      </c>
      <c r="T5524" t="s">
        <v>12568</v>
      </c>
      <c r="U5524" t="s">
        <v>12568</v>
      </c>
      <c r="V5524" t="s">
        <v>12568</v>
      </c>
      <c r="W5524" t="s">
        <v>18040</v>
      </c>
      <c r="X5524">
        <v>12</v>
      </c>
      <c r="Y5524" t="s">
        <v>24131</v>
      </c>
      <c r="Z5524" t="s">
        <v>30394</v>
      </c>
      <c r="AA5524">
        <v>0.84694338393742008</v>
      </c>
      <c r="AB5524" t="str">
        <f>HYPERLINK("Melting_Curves/meltCurve_Q9NRR5_UBQLN4.pdf", "Melting_Curves/meltCurve_Q9NRR5_UBQLN4.pdf")</f>
        <v>Melting_Curves/meltCurve_Q9NRR5_UBQLN4.pdf</v>
      </c>
    </row>
    <row r="5525" spans="1:28" x14ac:dyDescent="0.25">
      <c r="A5525" t="s">
        <v>5529</v>
      </c>
      <c r="B5525">
        <v>0.99352677808782597</v>
      </c>
      <c r="C5525">
        <v>0.96142655202658001</v>
      </c>
      <c r="D5525">
        <v>0.97187854027706799</v>
      </c>
      <c r="E5525">
        <v>0.74606143932930202</v>
      </c>
      <c r="F5525">
        <v>0.69080258989669996</v>
      </c>
      <c r="G5525">
        <v>0.49451444929666299</v>
      </c>
      <c r="H5525">
        <v>0.416095187472933</v>
      </c>
      <c r="I5525">
        <v>0.44280785608261503</v>
      </c>
      <c r="J5525">
        <v>0</v>
      </c>
      <c r="K5525">
        <v>0.36601525739485202</v>
      </c>
      <c r="L5525">
        <v>601.82579091018602</v>
      </c>
      <c r="M5525">
        <v>10.8736217335325</v>
      </c>
      <c r="N5525">
        <v>57.343816735325802</v>
      </c>
      <c r="O5525">
        <v>53.574039537056898</v>
      </c>
      <c r="P5525">
        <v>-4.27602229474962E-2</v>
      </c>
      <c r="Q5525">
        <v>0.15758331104407</v>
      </c>
      <c r="R5525">
        <v>0.87983390892416702</v>
      </c>
      <c r="S5525" t="s">
        <v>11810</v>
      </c>
      <c r="T5525" t="s">
        <v>12568</v>
      </c>
      <c r="U5525" t="s">
        <v>12568</v>
      </c>
      <c r="V5525" t="s">
        <v>12568</v>
      </c>
      <c r="W5525" t="s">
        <v>18041</v>
      </c>
      <c r="X5525">
        <v>1</v>
      </c>
      <c r="Y5525" t="s">
        <v>24132</v>
      </c>
      <c r="Z5525" t="s">
        <v>30395</v>
      </c>
      <c r="AA5525">
        <v>0.60841118918835191</v>
      </c>
      <c r="AB5525" t="str">
        <f>HYPERLINK("Melting_Curves/meltCurve_Q9NRR6_2_INPP5E.pdf", "Melting_Curves/meltCurve_Q9NRR6_2_INPP5E.pdf")</f>
        <v>Melting_Curves/meltCurve_Q9NRR6_2_INPP5E.pdf</v>
      </c>
    </row>
    <row r="5526" spans="1:28" x14ac:dyDescent="0.25">
      <c r="A5526" t="s">
        <v>5530</v>
      </c>
      <c r="B5526">
        <v>0.99352677808782597</v>
      </c>
      <c r="C5526">
        <v>0.89679409681402</v>
      </c>
      <c r="D5526">
        <v>1.0099411606726001</v>
      </c>
      <c r="E5526">
        <v>0.30321890443433702</v>
      </c>
      <c r="F5526">
        <v>0.285412393786527</v>
      </c>
      <c r="G5526">
        <v>0.146682431473252</v>
      </c>
      <c r="H5526">
        <v>0.10920806696563699</v>
      </c>
      <c r="I5526">
        <v>0.108027069270329</v>
      </c>
      <c r="J5526">
        <v>0.100816303766725</v>
      </c>
      <c r="K5526">
        <v>9.3715742797607499E-2</v>
      </c>
      <c r="L5526">
        <v>2692.3434636881002</v>
      </c>
      <c r="M5526">
        <v>55.152236422158197</v>
      </c>
      <c r="N5526">
        <v>49.100143900008902</v>
      </c>
      <c r="O5526">
        <v>48.7525247722457</v>
      </c>
      <c r="P5526">
        <v>-0.244242415998285</v>
      </c>
      <c r="Q5526">
        <v>0.13639568745619199</v>
      </c>
      <c r="R5526">
        <v>0.97435687096845702</v>
      </c>
      <c r="S5526" t="s">
        <v>11811</v>
      </c>
      <c r="T5526" t="s">
        <v>12568</v>
      </c>
      <c r="U5526" t="s">
        <v>12568</v>
      </c>
      <c r="V5526" t="s">
        <v>12568</v>
      </c>
      <c r="W5526" t="s">
        <v>18042</v>
      </c>
      <c r="X5526">
        <v>8</v>
      </c>
      <c r="Y5526" t="s">
        <v>24133</v>
      </c>
      <c r="Z5526" t="s">
        <v>30396</v>
      </c>
      <c r="AA5526">
        <v>0.39172380742613089</v>
      </c>
      <c r="AB5526" t="str">
        <f>HYPERLINK("Melting_Curves/meltCurve_Q9NRS6_SNX15.pdf", "Melting_Curves/meltCurve_Q9NRS6_SNX15.pdf")</f>
        <v>Melting_Curves/meltCurve_Q9NRS6_SNX15.pdf</v>
      </c>
    </row>
    <row r="5527" spans="1:28" x14ac:dyDescent="0.25">
      <c r="A5527" t="s">
        <v>5531</v>
      </c>
      <c r="B5527">
        <v>0.99352677808782597</v>
      </c>
      <c r="C5527">
        <v>0.88663571510358397</v>
      </c>
      <c r="D5527">
        <v>0.992574456061174</v>
      </c>
      <c r="E5527">
        <v>0.77327159844535898</v>
      </c>
      <c r="F5527">
        <v>0.68137272539545801</v>
      </c>
      <c r="G5527">
        <v>0.32954518667952198</v>
      </c>
      <c r="H5527">
        <v>0.13125174831517</v>
      </c>
      <c r="I5527">
        <v>0.111642538704199</v>
      </c>
      <c r="J5527">
        <v>0.100610514314007</v>
      </c>
      <c r="K5527">
        <v>8.4047556641220197E-2</v>
      </c>
      <c r="L5527">
        <v>956.12584129366303</v>
      </c>
      <c r="M5527">
        <v>17.614081731020899</v>
      </c>
      <c r="N5527">
        <v>54.622445999708702</v>
      </c>
      <c r="O5527">
        <v>53.596742080377901</v>
      </c>
      <c r="P5527">
        <v>-7.7892100005543294E-2</v>
      </c>
      <c r="Q5527">
        <v>5.1999752483857298E-2</v>
      </c>
      <c r="R5527">
        <v>0.98548943502757802</v>
      </c>
      <c r="S5527" t="s">
        <v>11812</v>
      </c>
      <c r="T5527" t="s">
        <v>12568</v>
      </c>
      <c r="U5527" t="s">
        <v>12568</v>
      </c>
      <c r="V5527" t="s">
        <v>12568</v>
      </c>
      <c r="W5527" t="s">
        <v>18043</v>
      </c>
      <c r="X5527">
        <v>10</v>
      </c>
      <c r="Y5527" t="s">
        <v>24134</v>
      </c>
      <c r="Z5527" t="s">
        <v>30397</v>
      </c>
      <c r="AA5527">
        <v>0.51882612143801676</v>
      </c>
      <c r="AB5527" t="str">
        <f>HYPERLINK("Melting_Curves/meltCurve_Q9NRV9_HEBP1.pdf", "Melting_Curves/meltCurve_Q9NRV9_HEBP1.pdf")</f>
        <v>Melting_Curves/meltCurve_Q9NRV9_HEBP1.pdf</v>
      </c>
    </row>
    <row r="5528" spans="1:28" x14ac:dyDescent="0.25">
      <c r="A5528" t="s">
        <v>5532</v>
      </c>
      <c r="B5528">
        <v>0.99352677808782597</v>
      </c>
      <c r="C5528">
        <v>0.852010986311876</v>
      </c>
      <c r="D5528">
        <v>0.69505627346539101</v>
      </c>
      <c r="E5528">
        <v>0.22858794060746301</v>
      </c>
      <c r="F5528">
        <v>0.16994599791814699</v>
      </c>
      <c r="G5528">
        <v>9.6346069533747705E-2</v>
      </c>
      <c r="H5528">
        <v>7.0220993887254293E-2</v>
      </c>
      <c r="I5528">
        <v>6.8211692855994502E-2</v>
      </c>
      <c r="J5528">
        <v>5.1769094915887499E-2</v>
      </c>
      <c r="K5528">
        <v>4.2603509700813197E-2</v>
      </c>
      <c r="L5528">
        <v>1005.16941345579</v>
      </c>
      <c r="M5528">
        <v>21.312646322746701</v>
      </c>
      <c r="N5528">
        <v>47.441070486914903</v>
      </c>
      <c r="O5528">
        <v>46.753720735262</v>
      </c>
      <c r="P5528">
        <v>-0.10727455119815001</v>
      </c>
      <c r="Q5528">
        <v>5.87077024555702E-2</v>
      </c>
      <c r="R5528">
        <v>0.99369146904869599</v>
      </c>
      <c r="S5528" t="s">
        <v>11813</v>
      </c>
      <c r="T5528" t="s">
        <v>12568</v>
      </c>
      <c r="U5528" t="s">
        <v>12568</v>
      </c>
      <c r="V5528" t="s">
        <v>12568</v>
      </c>
      <c r="W5528" t="s">
        <v>18044</v>
      </c>
      <c r="X5528">
        <v>9</v>
      </c>
      <c r="Y5528" t="s">
        <v>24135</v>
      </c>
      <c r="Z5528" t="s">
        <v>30398</v>
      </c>
      <c r="AA5528">
        <v>0.29536480000257098</v>
      </c>
      <c r="AB5528" t="str">
        <f>HYPERLINK("Melting_Curves/meltCurve_Q9NRW7_VPS45.pdf", "Melting_Curves/meltCurve_Q9NRW7_VPS45.pdf")</f>
        <v>Melting_Curves/meltCurve_Q9NRW7_VPS45.pdf</v>
      </c>
    </row>
    <row r="5529" spans="1:28" x14ac:dyDescent="0.25">
      <c r="A5529" t="s">
        <v>5533</v>
      </c>
      <c r="B5529">
        <v>0.99352677808782597</v>
      </c>
      <c r="C5529">
        <v>0.82682307396584798</v>
      </c>
      <c r="D5529">
        <v>0.86435142834943701</v>
      </c>
      <c r="E5529">
        <v>0.69425779507168495</v>
      </c>
      <c r="F5529">
        <v>0.67895662010077196</v>
      </c>
      <c r="G5529">
        <v>0.58842514320024797</v>
      </c>
      <c r="H5529">
        <v>0.48983601392052201</v>
      </c>
      <c r="I5529">
        <v>0.58478093472422799</v>
      </c>
      <c r="J5529">
        <v>0.55130430424263899</v>
      </c>
      <c r="K5529">
        <v>0.50511325840278798</v>
      </c>
      <c r="L5529">
        <v>494.15372147167301</v>
      </c>
      <c r="M5529">
        <v>10.1578878598702</v>
      </c>
      <c r="O5529">
        <v>46.874865833731199</v>
      </c>
      <c r="P5529">
        <v>-2.7141096618819499E-2</v>
      </c>
      <c r="Q5529">
        <v>0.49924523399336002</v>
      </c>
      <c r="R5529">
        <v>0.93214347648684104</v>
      </c>
      <c r="S5529" t="s">
        <v>11814</v>
      </c>
      <c r="T5529" t="s">
        <v>12568</v>
      </c>
      <c r="U5529" t="s">
        <v>12568</v>
      </c>
      <c r="V5529" t="s">
        <v>12568</v>
      </c>
      <c r="W5529" t="s">
        <v>18045</v>
      </c>
      <c r="X5529">
        <v>3</v>
      </c>
      <c r="Y5529" t="s">
        <v>24136</v>
      </c>
      <c r="Z5529" t="s">
        <v>30399</v>
      </c>
      <c r="AA5529">
        <v>0.66819500967638057</v>
      </c>
      <c r="AB5529" t="str">
        <f>HYPERLINK("Melting_Curves/meltCurve_Q9NRX1_PNO1.pdf", "Melting_Curves/meltCurve_Q9NRX1_PNO1.pdf")</f>
        <v>Melting_Curves/meltCurve_Q9NRX1_PNO1.pdf</v>
      </c>
    </row>
    <row r="5530" spans="1:28" x14ac:dyDescent="0.25">
      <c r="A5530" t="s">
        <v>5534</v>
      </c>
      <c r="B5530">
        <v>0.99352677808782597</v>
      </c>
      <c r="C5530">
        <v>0.92473971417194401</v>
      </c>
      <c r="D5530">
        <v>0.99802604093935698</v>
      </c>
      <c r="E5530">
        <v>0.85944004784402195</v>
      </c>
      <c r="F5530">
        <v>0.82271152882833498</v>
      </c>
      <c r="G5530">
        <v>0.95842896819907497</v>
      </c>
      <c r="H5530">
        <v>0.68316326090192903</v>
      </c>
      <c r="I5530">
        <v>0.62945909078384099</v>
      </c>
      <c r="J5530">
        <v>0.56537530679389902</v>
      </c>
      <c r="K5530">
        <v>0.50411572891598599</v>
      </c>
      <c r="L5530">
        <v>437.06775911151198</v>
      </c>
      <c r="M5530">
        <v>6.2285844332565699</v>
      </c>
      <c r="O5530">
        <v>63.976119166345903</v>
      </c>
      <c r="P5530">
        <v>-2.4408426109851399E-2</v>
      </c>
      <c r="Q5530">
        <v>0</v>
      </c>
      <c r="R5530">
        <v>0.88121254313716202</v>
      </c>
      <c r="S5530" t="s">
        <v>11815</v>
      </c>
      <c r="T5530" t="s">
        <v>12568</v>
      </c>
      <c r="U5530" t="s">
        <v>12568</v>
      </c>
      <c r="V5530" t="s">
        <v>12568</v>
      </c>
      <c r="W5530" t="s">
        <v>18046</v>
      </c>
      <c r="X5530">
        <v>6</v>
      </c>
      <c r="Y5530" t="s">
        <v>24137</v>
      </c>
      <c r="Z5530" t="s">
        <v>30400</v>
      </c>
      <c r="AA5530">
        <v>0.81035762006414658</v>
      </c>
      <c r="AB5530" t="str">
        <f>HYPERLINK("Melting_Curves/meltCurve_Q9NRX4_PHPT1.pdf", "Melting_Curves/meltCurve_Q9NRX4_PHPT1.pdf")</f>
        <v>Melting_Curves/meltCurve_Q9NRX4_PHPT1.pdf</v>
      </c>
    </row>
    <row r="5531" spans="1:28" x14ac:dyDescent="0.25">
      <c r="A5531" t="s">
        <v>5535</v>
      </c>
      <c r="B5531">
        <v>0.99352677808782597</v>
      </c>
      <c r="C5531">
        <v>1.12506024964999</v>
      </c>
      <c r="D5531">
        <v>0.71555719234108495</v>
      </c>
      <c r="E5531">
        <v>0.78692349266528705</v>
      </c>
      <c r="F5531">
        <v>0.620553300985215</v>
      </c>
      <c r="G5531">
        <v>1.94480200288887</v>
      </c>
      <c r="H5531">
        <v>0.75867217189146197</v>
      </c>
      <c r="I5531">
        <v>0.94351617017734202</v>
      </c>
      <c r="J5531">
        <v>0.74521647038762395</v>
      </c>
      <c r="K5531">
        <v>0.80039540481976401</v>
      </c>
      <c r="L5531">
        <v>14818.8330880254</v>
      </c>
      <c r="M5531">
        <v>250</v>
      </c>
      <c r="O5531">
        <v>59.271539293929699</v>
      </c>
      <c r="P5531">
        <v>-0.19831149969227599</v>
      </c>
      <c r="Q5531">
        <v>0.81193235521643603</v>
      </c>
      <c r="R5531">
        <v>8.3339001031288301E-2</v>
      </c>
      <c r="S5531" t="s">
        <v>11816</v>
      </c>
      <c r="T5531" t="s">
        <v>12568</v>
      </c>
      <c r="U5531" t="s">
        <v>12568</v>
      </c>
      <c r="V5531" t="s">
        <v>12568</v>
      </c>
      <c r="W5531" t="s">
        <v>18047</v>
      </c>
      <c r="X5531">
        <v>3</v>
      </c>
      <c r="Y5531" t="s">
        <v>24138</v>
      </c>
      <c r="Z5531" t="s">
        <v>30401</v>
      </c>
      <c r="AA5531">
        <v>0.93278746464573326</v>
      </c>
      <c r="AB5531" t="str">
        <f>HYPERLINK("Melting_Curves/meltCurve_Q9NRY2_INIP.pdf", "Melting_Curves/meltCurve_Q9NRY2_INIP.pdf")</f>
        <v>Melting_Curves/meltCurve_Q9NRY2_INIP.pdf</v>
      </c>
    </row>
    <row r="5532" spans="1:28" x14ac:dyDescent="0.25">
      <c r="A5532" t="s">
        <v>5536</v>
      </c>
      <c r="B5532">
        <v>0.99352677808782597</v>
      </c>
      <c r="C5532">
        <v>0.93078919514792302</v>
      </c>
      <c r="D5532">
        <v>0.79646789589912803</v>
      </c>
      <c r="E5532">
        <v>0.26968821473492699</v>
      </c>
      <c r="F5532">
        <v>0.21970922324845399</v>
      </c>
      <c r="G5532">
        <v>0.13293985511113199</v>
      </c>
      <c r="H5532">
        <v>9.7546510794840696E-2</v>
      </c>
      <c r="I5532">
        <v>9.9457390455183203E-2</v>
      </c>
      <c r="J5532">
        <v>8.6521190886201804E-2</v>
      </c>
      <c r="K5532">
        <v>6.9526055467972206E-2</v>
      </c>
      <c r="L5532">
        <v>1283.72372209891</v>
      </c>
      <c r="M5532">
        <v>26.840668285281001</v>
      </c>
      <c r="N5532">
        <v>48.225837741551501</v>
      </c>
      <c r="O5532">
        <v>47.564439917637102</v>
      </c>
      <c r="P5532">
        <v>-0.127052528876586</v>
      </c>
      <c r="Q5532">
        <v>9.9408248381540498E-2</v>
      </c>
      <c r="R5532">
        <v>0.99334293142377394</v>
      </c>
      <c r="S5532" t="s">
        <v>11817</v>
      </c>
      <c r="T5532" t="s">
        <v>12568</v>
      </c>
      <c r="U5532" t="s">
        <v>12568</v>
      </c>
      <c r="V5532" t="s">
        <v>12568</v>
      </c>
      <c r="W5532" t="s">
        <v>18048</v>
      </c>
      <c r="X5532">
        <v>20</v>
      </c>
      <c r="Y5532" t="s">
        <v>24139</v>
      </c>
      <c r="Z5532" t="s">
        <v>30402</v>
      </c>
      <c r="AA5532">
        <v>0.3412355986330215</v>
      </c>
      <c r="AB5532" t="str">
        <f>HYPERLINK("Melting_Curves/meltCurve_Q9NRY4_ARHGAP35.pdf", "Melting_Curves/meltCurve_Q9NRY4_ARHGAP35.pdf")</f>
        <v>Melting_Curves/meltCurve_Q9NRY4_ARHGAP35.pdf</v>
      </c>
    </row>
    <row r="5533" spans="1:28" x14ac:dyDescent="0.25">
      <c r="A5533" t="s">
        <v>5537</v>
      </c>
      <c r="B5533">
        <v>0.99352677808782597</v>
      </c>
      <c r="C5533">
        <v>1.08024566083028</v>
      </c>
      <c r="D5533">
        <v>1.0925833833518901</v>
      </c>
      <c r="E5533">
        <v>0.95314785982842198</v>
      </c>
      <c r="F5533">
        <v>0.78241978022022696</v>
      </c>
      <c r="G5533">
        <v>0.55976625015465498</v>
      </c>
      <c r="H5533">
        <v>0.27925272842647703</v>
      </c>
      <c r="I5533">
        <v>0.25462562423748097</v>
      </c>
      <c r="J5533">
        <v>0.240558385209101</v>
      </c>
      <c r="K5533">
        <v>0.20388695695269099</v>
      </c>
      <c r="L5533">
        <v>1226.3542256072001</v>
      </c>
      <c r="M5533">
        <v>21.905580621256501</v>
      </c>
      <c r="N5533">
        <v>57.330868289984998</v>
      </c>
      <c r="O5533">
        <v>55.523354192930398</v>
      </c>
      <c r="P5533">
        <v>-7.8791382924170802E-2</v>
      </c>
      <c r="Q5533">
        <v>0.20117844845889299</v>
      </c>
      <c r="R5533">
        <v>0.98361261749867002</v>
      </c>
      <c r="S5533" t="s">
        <v>11818</v>
      </c>
      <c r="T5533" t="s">
        <v>12568</v>
      </c>
      <c r="U5533" t="s">
        <v>12568</v>
      </c>
      <c r="V5533" t="s">
        <v>12568</v>
      </c>
      <c r="W5533" t="s">
        <v>18049</v>
      </c>
      <c r="X5533">
        <v>9</v>
      </c>
      <c r="Y5533" t="s">
        <v>24140</v>
      </c>
      <c r="Z5533" t="s">
        <v>30403</v>
      </c>
      <c r="AA5533">
        <v>0.63582140275342525</v>
      </c>
      <c r="AB5533" t="str">
        <f>HYPERLINK("Melting_Curves/meltCurve_Q9NRY5_FAM114A2.pdf", "Melting_Curves/meltCurve_Q9NRY5_FAM114A2.pdf")</f>
        <v>Melting_Curves/meltCurve_Q9NRY5_FAM114A2.pdf</v>
      </c>
    </row>
    <row r="5534" spans="1:28" x14ac:dyDescent="0.25">
      <c r="A5534" t="s">
        <v>5538</v>
      </c>
      <c r="B5534">
        <v>0.99352677808782597</v>
      </c>
      <c r="C5534">
        <v>0.65973206281482499</v>
      </c>
      <c r="D5534">
        <v>0.58158178513127301</v>
      </c>
      <c r="E5534">
        <v>0.36800226719025197</v>
      </c>
      <c r="F5534">
        <v>0.32948997870156499</v>
      </c>
      <c r="G5534">
        <v>0.24089210024716001</v>
      </c>
      <c r="H5534">
        <v>0.19093788809342799</v>
      </c>
      <c r="I5534">
        <v>0.20936978519199501</v>
      </c>
      <c r="J5534">
        <v>0.19037352773046401</v>
      </c>
      <c r="K5534">
        <v>0.17125800348825501</v>
      </c>
      <c r="L5534">
        <v>608.73285520866898</v>
      </c>
      <c r="M5534">
        <v>13.3607807522865</v>
      </c>
      <c r="N5534">
        <v>47.162554595896999</v>
      </c>
      <c r="O5534">
        <v>44.576820615680198</v>
      </c>
      <c r="P5534">
        <v>-6.1277226569071197E-2</v>
      </c>
      <c r="Q5534">
        <v>0.182350229168009</v>
      </c>
      <c r="R5534">
        <v>0.96691646236801099</v>
      </c>
      <c r="S5534" t="s">
        <v>11819</v>
      </c>
      <c r="T5534" t="s">
        <v>12568</v>
      </c>
      <c r="U5534" t="s">
        <v>12568</v>
      </c>
      <c r="V5534" t="s">
        <v>12568</v>
      </c>
      <c r="W5534" t="s">
        <v>18050</v>
      </c>
      <c r="X5534">
        <v>15</v>
      </c>
      <c r="Y5534" t="s">
        <v>24141</v>
      </c>
      <c r="Z5534" t="s">
        <v>30404</v>
      </c>
      <c r="AA5534">
        <v>0.36538581325701153</v>
      </c>
      <c r="AB5534" t="str">
        <f>HYPERLINK("Melting_Curves/meltCurve_Q9NRZ9_3_HELLS.pdf", "Melting_Curves/meltCurve_Q9NRZ9_3_HELLS.pdf")</f>
        <v>Melting_Curves/meltCurve_Q9NRZ9_3_HELLS.pdf</v>
      </c>
    </row>
    <row r="5535" spans="1:28" x14ac:dyDescent="0.25">
      <c r="A5535" t="s">
        <v>5539</v>
      </c>
      <c r="B5535">
        <v>0.99352677808782597</v>
      </c>
      <c r="C5535">
        <v>0.78895682830702096</v>
      </c>
      <c r="D5535">
        <v>0.98291692487350502</v>
      </c>
      <c r="E5535">
        <v>0.90795548012715999</v>
      </c>
      <c r="F5535">
        <v>0.95614299852916895</v>
      </c>
      <c r="G5535">
        <v>1.18515099204173</v>
      </c>
      <c r="H5535">
        <v>0.95887605307091395</v>
      </c>
      <c r="I5535">
        <v>0.91853896106362498</v>
      </c>
      <c r="J5535">
        <v>0.97119135443331805</v>
      </c>
      <c r="K5535">
        <v>0.82905497421484697</v>
      </c>
      <c r="L5535">
        <v>1525.8150131125701</v>
      </c>
      <c r="M5535">
        <v>20.158958013276798</v>
      </c>
      <c r="Q5535">
        <v>0</v>
      </c>
      <c r="R5535">
        <v>6.0220621494725797E-2</v>
      </c>
      <c r="S5535" t="s">
        <v>11820</v>
      </c>
      <c r="T5535" t="s">
        <v>12568</v>
      </c>
      <c r="U5535" t="s">
        <v>12568</v>
      </c>
      <c r="V5535" t="s">
        <v>12568</v>
      </c>
      <c r="W5535" t="s">
        <v>18051</v>
      </c>
      <c r="X5535">
        <v>1</v>
      </c>
      <c r="Y5535" t="s">
        <v>24142</v>
      </c>
      <c r="Z5535" t="s">
        <v>30405</v>
      </c>
      <c r="AA5535">
        <v>0.98259880816426393</v>
      </c>
      <c r="AB5535" t="str">
        <f>HYPERLINK("Melting_Curves/meltCurve_Q9NS18_GLRX2.pdf", "Melting_Curves/meltCurve_Q9NS18_GLRX2.pdf")</f>
        <v>Melting_Curves/meltCurve_Q9NS18_GLRX2.pdf</v>
      </c>
    </row>
    <row r="5536" spans="1:28" x14ac:dyDescent="0.25">
      <c r="A5536" t="s">
        <v>5540</v>
      </c>
      <c r="B5536">
        <v>0.99352677808782597</v>
      </c>
      <c r="C5536">
        <v>0.94847518918096196</v>
      </c>
      <c r="D5536">
        <v>0.87152072893314303</v>
      </c>
      <c r="E5536">
        <v>0.43241323903010098</v>
      </c>
      <c r="F5536">
        <v>0.35308686198789402</v>
      </c>
      <c r="G5536">
        <v>0.26005931427078499</v>
      </c>
      <c r="H5536">
        <v>0.21514319811293101</v>
      </c>
      <c r="I5536">
        <v>0.196477916084179</v>
      </c>
      <c r="J5536">
        <v>0.207908479135511</v>
      </c>
      <c r="K5536">
        <v>0.17145745059513301</v>
      </c>
      <c r="L5536">
        <v>1136.34901885249</v>
      </c>
      <c r="M5536">
        <v>23.3586238526971</v>
      </c>
      <c r="N5536">
        <v>49.776397691072503</v>
      </c>
      <c r="O5536">
        <v>48.295613841076502</v>
      </c>
      <c r="P5536">
        <v>-9.6060654297532799E-2</v>
      </c>
      <c r="Q5536">
        <v>0.20556529644961599</v>
      </c>
      <c r="R5536">
        <v>0.99184202039879898</v>
      </c>
      <c r="S5536" t="s">
        <v>11821</v>
      </c>
      <c r="T5536" t="s">
        <v>12568</v>
      </c>
      <c r="U5536" t="s">
        <v>12568</v>
      </c>
      <c r="V5536" t="s">
        <v>12568</v>
      </c>
      <c r="W5536" t="s">
        <v>18052</v>
      </c>
      <c r="X5536">
        <v>3</v>
      </c>
      <c r="Y5536" t="s">
        <v>24143</v>
      </c>
      <c r="Z5536" t="s">
        <v>30406</v>
      </c>
      <c r="AA5536">
        <v>0.44266673302714649</v>
      </c>
      <c r="AB5536" t="str">
        <f>HYPERLINK("Melting_Curves/meltCurve_Q9NS37_CREBZF.pdf", "Melting_Curves/meltCurve_Q9NS37_CREBZF.pdf")</f>
        <v>Melting_Curves/meltCurve_Q9NS37_CREBZF.pdf</v>
      </c>
    </row>
    <row r="5537" spans="1:28" x14ac:dyDescent="0.25">
      <c r="A5537" t="s">
        <v>5541</v>
      </c>
      <c r="B5537">
        <v>0.99352677808782597</v>
      </c>
      <c r="C5537">
        <v>0.81594114073941504</v>
      </c>
      <c r="D5537">
        <v>0.89018589417674898</v>
      </c>
      <c r="E5537">
        <v>0.59149508820340502</v>
      </c>
      <c r="F5537">
        <v>0.56896565108566199</v>
      </c>
      <c r="G5537">
        <v>0.29045321710854499</v>
      </c>
      <c r="H5537">
        <v>0.20200340877065601</v>
      </c>
      <c r="I5537">
        <v>0.17772046988788801</v>
      </c>
      <c r="J5537">
        <v>0.16358271927824899</v>
      </c>
      <c r="K5537">
        <v>9.0364530809823304E-2</v>
      </c>
      <c r="L5537">
        <v>537.59993711976904</v>
      </c>
      <c r="M5537">
        <v>10.222078468692199</v>
      </c>
      <c r="N5537">
        <v>52.957568644449701</v>
      </c>
      <c r="O5537">
        <v>50.6984833434528</v>
      </c>
      <c r="P5537">
        <v>-4.8711029974106701E-2</v>
      </c>
      <c r="Q5537">
        <v>3.4063147322761798E-2</v>
      </c>
      <c r="R5537">
        <v>0.97367684992151504</v>
      </c>
      <c r="S5537" t="s">
        <v>11822</v>
      </c>
      <c r="T5537" t="s">
        <v>12568</v>
      </c>
      <c r="U5537" t="s">
        <v>12568</v>
      </c>
      <c r="V5537" t="s">
        <v>12568</v>
      </c>
      <c r="W5537" t="s">
        <v>18053</v>
      </c>
      <c r="X5537">
        <v>2</v>
      </c>
      <c r="Y5537" t="s">
        <v>24144</v>
      </c>
      <c r="Z5537" t="s">
        <v>30407</v>
      </c>
      <c r="AA5537">
        <v>0.47330357394920869</v>
      </c>
      <c r="AB5537" t="str">
        <f>HYPERLINK("Melting_Curves/meltCurve_Q9NS73_3_MBIP.pdf", "Melting_Curves/meltCurve_Q9NS73_3_MBIP.pdf")</f>
        <v>Melting_Curves/meltCurve_Q9NS73_3_MBIP.pdf</v>
      </c>
    </row>
    <row r="5538" spans="1:28" x14ac:dyDescent="0.25">
      <c r="A5538" t="s">
        <v>5542</v>
      </c>
      <c r="B5538">
        <v>0.99352677808782597</v>
      </c>
      <c r="C5538">
        <v>0.97922854189876196</v>
      </c>
      <c r="D5538">
        <v>0.94583747040062405</v>
      </c>
      <c r="E5538">
        <v>0.90227017086002903</v>
      </c>
      <c r="F5538">
        <v>0.79751908553619899</v>
      </c>
      <c r="G5538">
        <v>0.63131564415448904</v>
      </c>
      <c r="H5538">
        <v>0.319131058595511</v>
      </c>
      <c r="I5538">
        <v>0.17854711072940299</v>
      </c>
      <c r="J5538">
        <v>0.102645744041213</v>
      </c>
      <c r="K5538">
        <v>8.5393353826287502E-2</v>
      </c>
      <c r="L5538">
        <v>891.20906974312197</v>
      </c>
      <c r="M5538">
        <v>15.309836551361199</v>
      </c>
      <c r="N5538">
        <v>58.211534225926002</v>
      </c>
      <c r="O5538">
        <v>57.245485734266303</v>
      </c>
      <c r="P5538">
        <v>-6.68666880881717E-2</v>
      </c>
      <c r="Q5538">
        <v>0</v>
      </c>
      <c r="R5538">
        <v>0.99520446356404302</v>
      </c>
      <c r="S5538" t="s">
        <v>11823</v>
      </c>
      <c r="T5538" t="s">
        <v>12568</v>
      </c>
      <c r="U5538" t="s">
        <v>12568</v>
      </c>
      <c r="V5538" t="s">
        <v>12568</v>
      </c>
      <c r="W5538" t="s">
        <v>18054</v>
      </c>
      <c r="X5538">
        <v>9</v>
      </c>
      <c r="Y5538" t="s">
        <v>24145</v>
      </c>
      <c r="Z5538" t="s">
        <v>30408</v>
      </c>
      <c r="AA5538">
        <v>0.61988148002617272</v>
      </c>
      <c r="AB5538" t="str">
        <f>HYPERLINK("Melting_Curves/meltCurve_Q9NS86_LANCL2.pdf", "Melting_Curves/meltCurve_Q9NS86_LANCL2.pdf")</f>
        <v>Melting_Curves/meltCurve_Q9NS86_LANCL2.pdf</v>
      </c>
    </row>
    <row r="5539" spans="1:28" x14ac:dyDescent="0.25">
      <c r="A5539" t="s">
        <v>5543</v>
      </c>
      <c r="B5539">
        <v>0.99352677808782597</v>
      </c>
      <c r="C5539">
        <v>0.96382551374554204</v>
      </c>
      <c r="D5539">
        <v>0.53321281398048204</v>
      </c>
      <c r="E5539">
        <v>0.389647933861273</v>
      </c>
      <c r="F5539">
        <v>0.31934292974349299</v>
      </c>
      <c r="G5539">
        <v>0.22297494233005899</v>
      </c>
      <c r="H5539">
        <v>0.17803976985277001</v>
      </c>
      <c r="I5539">
        <v>0.17350101514407201</v>
      </c>
      <c r="J5539">
        <v>0.177910242862233</v>
      </c>
      <c r="K5539">
        <v>0.138557968383901</v>
      </c>
      <c r="L5539">
        <v>881.09799024812003</v>
      </c>
      <c r="M5539">
        <v>18.918122731716799</v>
      </c>
      <c r="N5539">
        <v>47.704059338192103</v>
      </c>
      <c r="O5539">
        <v>46.063260036812203</v>
      </c>
      <c r="P5539">
        <v>-8.41394221613921E-2</v>
      </c>
      <c r="Q5539">
        <v>0.180557752995087</v>
      </c>
      <c r="R5539">
        <v>0.96886755040547501</v>
      </c>
      <c r="S5539" t="s">
        <v>11824</v>
      </c>
      <c r="T5539" t="s">
        <v>12568</v>
      </c>
      <c r="U5539" t="s">
        <v>12568</v>
      </c>
      <c r="V5539" t="s">
        <v>12568</v>
      </c>
      <c r="W5539" t="s">
        <v>18055</v>
      </c>
      <c r="X5539">
        <v>24</v>
      </c>
      <c r="Y5539" t="s">
        <v>24146</v>
      </c>
      <c r="Z5539" t="s">
        <v>30409</v>
      </c>
      <c r="AA5539">
        <v>0.3739870977954326</v>
      </c>
      <c r="AB5539" t="str">
        <f>HYPERLINK("Melting_Curves/meltCurve_Q9NS87_2_KIF15.pdf", "Melting_Curves/meltCurve_Q9NS87_2_KIF15.pdf")</f>
        <v>Melting_Curves/meltCurve_Q9NS87_2_KIF15.pdf</v>
      </c>
    </row>
    <row r="5540" spans="1:28" x14ac:dyDescent="0.25">
      <c r="A5540" t="s">
        <v>5544</v>
      </c>
      <c r="B5540">
        <v>0.99352677808782597</v>
      </c>
      <c r="C5540">
        <v>0.97662233895079598</v>
      </c>
      <c r="D5540">
        <v>0.930603194820673</v>
      </c>
      <c r="E5540">
        <v>0.77049936463741997</v>
      </c>
      <c r="F5540">
        <v>0.71632012584934901</v>
      </c>
      <c r="G5540">
        <v>0.57404968976342896</v>
      </c>
      <c r="H5540">
        <v>0.59746845492468503</v>
      </c>
      <c r="I5540">
        <v>0.58236737755167201</v>
      </c>
      <c r="J5540">
        <v>0.68706580254412097</v>
      </c>
      <c r="K5540">
        <v>0.49325117514952299</v>
      </c>
      <c r="L5540">
        <v>910.01457007404997</v>
      </c>
      <c r="M5540">
        <v>18.238196712114402</v>
      </c>
      <c r="O5540">
        <v>49.307814428892897</v>
      </c>
      <c r="P5540">
        <v>-3.9095789990038002E-2</v>
      </c>
      <c r="Q5540">
        <v>0.57723058721114595</v>
      </c>
      <c r="R5540">
        <v>0.92620107644209004</v>
      </c>
      <c r="S5540" t="s">
        <v>11825</v>
      </c>
      <c r="T5540" t="s">
        <v>12568</v>
      </c>
      <c r="U5540" t="s">
        <v>12568</v>
      </c>
      <c r="V5540" t="s">
        <v>12568</v>
      </c>
      <c r="W5540" t="s">
        <v>18056</v>
      </c>
      <c r="X5540">
        <v>18</v>
      </c>
      <c r="Y5540" t="s">
        <v>24147</v>
      </c>
      <c r="Z5540" t="s">
        <v>30410</v>
      </c>
      <c r="AA5540">
        <v>0.72372970693505267</v>
      </c>
      <c r="AB5540" t="str">
        <f>HYPERLINK("Melting_Curves/meltCurve_Q9NS91_RAD18.pdf", "Melting_Curves/meltCurve_Q9NS91_RAD18.pdf")</f>
        <v>Melting_Curves/meltCurve_Q9NS91_RAD18.pdf</v>
      </c>
    </row>
    <row r="5541" spans="1:28" x14ac:dyDescent="0.25">
      <c r="A5541" t="s">
        <v>5545</v>
      </c>
      <c r="B5541">
        <v>0.99352677808782597</v>
      </c>
      <c r="C5541">
        <v>0.98606111180439704</v>
      </c>
      <c r="D5541">
        <v>1.0147298171333099</v>
      </c>
      <c r="E5541">
        <v>1.0017332773752301</v>
      </c>
      <c r="F5541">
        <v>0.93155854195102805</v>
      </c>
      <c r="G5541">
        <v>0.84148717826522901</v>
      </c>
      <c r="H5541">
        <v>0.70502736817852696</v>
      </c>
      <c r="I5541">
        <v>0.72411014003322405</v>
      </c>
      <c r="J5541">
        <v>0.75253115091439504</v>
      </c>
      <c r="K5541">
        <v>0.64146088495945197</v>
      </c>
      <c r="L5541">
        <v>1341.7064646281201</v>
      </c>
      <c r="M5541">
        <v>23.759374299819299</v>
      </c>
      <c r="O5541">
        <v>56.075135884017897</v>
      </c>
      <c r="P5541">
        <v>-3.2890836796819901E-2</v>
      </c>
      <c r="Q5541">
        <v>0.68949892781223598</v>
      </c>
      <c r="R5541">
        <v>0.95660965989249402</v>
      </c>
      <c r="S5541" t="s">
        <v>11826</v>
      </c>
      <c r="T5541" t="s">
        <v>12568</v>
      </c>
      <c r="U5541" t="s">
        <v>12568</v>
      </c>
      <c r="V5541" t="s">
        <v>12568</v>
      </c>
      <c r="W5541" t="s">
        <v>18057</v>
      </c>
      <c r="X5541">
        <v>4</v>
      </c>
      <c r="Y5541" t="s">
        <v>24148</v>
      </c>
      <c r="Z5541" t="s">
        <v>30411</v>
      </c>
      <c r="AA5541">
        <v>0.86303685351526083</v>
      </c>
      <c r="AB5541" t="str">
        <f>HYPERLINK("Melting_Curves/meltCurve_Q9NSA3_CTNNBIP1.pdf", "Melting_Curves/meltCurve_Q9NSA3_CTNNBIP1.pdf")</f>
        <v>Melting_Curves/meltCurve_Q9NSA3_CTNNBIP1.pdf</v>
      </c>
    </row>
    <row r="5542" spans="1:28" x14ac:dyDescent="0.25">
      <c r="A5542" t="s">
        <v>5546</v>
      </c>
      <c r="B5542">
        <v>0.99352677808782597</v>
      </c>
      <c r="C5542">
        <v>0.91678462332866895</v>
      </c>
      <c r="D5542">
        <v>0.871721198448005</v>
      </c>
      <c r="E5542">
        <v>0.67130013937864796</v>
      </c>
      <c r="F5542">
        <v>0.576536251496782</v>
      </c>
      <c r="G5542">
        <v>0.397670073000922</v>
      </c>
      <c r="H5542">
        <v>0.28010392794821098</v>
      </c>
      <c r="I5542">
        <v>0.26355278127609599</v>
      </c>
      <c r="J5542">
        <v>0.229043886177243</v>
      </c>
      <c r="K5542">
        <v>0.18052226810966501</v>
      </c>
      <c r="L5542">
        <v>579.54864200883605</v>
      </c>
      <c r="M5542">
        <v>11.001381302249801</v>
      </c>
      <c r="N5542">
        <v>54.3171941970717</v>
      </c>
      <c r="O5542">
        <v>51.028788264031</v>
      </c>
      <c r="P5542">
        <v>-4.6306441904165802E-2</v>
      </c>
      <c r="Q5542">
        <v>0.14113874138749999</v>
      </c>
      <c r="R5542">
        <v>0.99678126281615498</v>
      </c>
      <c r="S5542" t="s">
        <v>11827</v>
      </c>
      <c r="T5542" t="s">
        <v>12568</v>
      </c>
      <c r="U5542" t="s">
        <v>12568</v>
      </c>
      <c r="V5542" t="s">
        <v>12568</v>
      </c>
      <c r="W5542" t="s">
        <v>18058</v>
      </c>
      <c r="X5542">
        <v>3</v>
      </c>
      <c r="Y5542" t="s">
        <v>24149</v>
      </c>
      <c r="Z5542" t="s">
        <v>30412</v>
      </c>
      <c r="AA5542">
        <v>0.53176047162666362</v>
      </c>
      <c r="AB5542" t="str">
        <f>HYPERLINK("Melting_Curves/meltCurve_Q9NSB8_2_HOMER2.pdf", "Melting_Curves/meltCurve_Q9NSB8_2_HOMER2.pdf")</f>
        <v>Melting_Curves/meltCurve_Q9NSB8_2_HOMER2.pdf</v>
      </c>
    </row>
    <row r="5543" spans="1:28" x14ac:dyDescent="0.25">
      <c r="A5543" t="s">
        <v>5547</v>
      </c>
      <c r="B5543">
        <v>0.99352677808782597</v>
      </c>
      <c r="C5543">
        <v>0.96882201751689301</v>
      </c>
      <c r="D5543">
        <v>0.84895322722552702</v>
      </c>
      <c r="E5543">
        <v>0.72833017776891196</v>
      </c>
      <c r="F5543">
        <v>0.65140806365724302</v>
      </c>
      <c r="G5543">
        <v>0.460446794466771</v>
      </c>
      <c r="H5543">
        <v>0.31746937147112603</v>
      </c>
      <c r="I5543">
        <v>0.284430691194551</v>
      </c>
      <c r="J5543">
        <v>0.274884746292055</v>
      </c>
      <c r="K5543">
        <v>0.24033730719924601</v>
      </c>
      <c r="L5543">
        <v>583.14670260327796</v>
      </c>
      <c r="M5543">
        <v>10.874126330332899</v>
      </c>
      <c r="N5543">
        <v>55.813812710922001</v>
      </c>
      <c r="O5543">
        <v>51.908984606998601</v>
      </c>
      <c r="P5543">
        <v>-4.3302109223583601E-2</v>
      </c>
      <c r="Q5543">
        <v>0.17345963800532599</v>
      </c>
      <c r="R5543">
        <v>0.99404285598347497</v>
      </c>
      <c r="S5543" t="s">
        <v>11828</v>
      </c>
      <c r="T5543" t="s">
        <v>12568</v>
      </c>
      <c r="U5543" t="s">
        <v>12568</v>
      </c>
      <c r="V5543" t="s">
        <v>12568</v>
      </c>
      <c r="W5543" t="s">
        <v>18059</v>
      </c>
      <c r="X5543">
        <v>6</v>
      </c>
      <c r="Y5543" t="s">
        <v>24150</v>
      </c>
      <c r="Z5543" t="s">
        <v>30413</v>
      </c>
      <c r="AA5543">
        <v>0.57339533087522976</v>
      </c>
      <c r="AB5543" t="str">
        <f>HYPERLINK("Melting_Curves/meltCurve_Q9NSC5_5_HOMER3.pdf", "Melting_Curves/meltCurve_Q9NSC5_5_HOMER3.pdf")</f>
        <v>Melting_Curves/meltCurve_Q9NSC5_5_HOMER3.pdf</v>
      </c>
    </row>
    <row r="5544" spans="1:28" x14ac:dyDescent="0.25">
      <c r="A5544" t="s">
        <v>5548</v>
      </c>
      <c r="B5544">
        <v>0.99352677808782597</v>
      </c>
      <c r="C5544">
        <v>0.78557055646655105</v>
      </c>
      <c r="D5544">
        <v>1.18517841745717</v>
      </c>
      <c r="E5544">
        <v>0.505133319916098</v>
      </c>
      <c r="F5544">
        <v>0.466037267468425</v>
      </c>
      <c r="G5544">
        <v>0.237438465239736</v>
      </c>
      <c r="H5544">
        <v>0.13973059525318801</v>
      </c>
      <c r="I5544">
        <v>0.115243841685763</v>
      </c>
      <c r="J5544">
        <v>0.10806081772314501</v>
      </c>
      <c r="K5544">
        <v>8.5412217213923503E-2</v>
      </c>
      <c r="L5544">
        <v>1087.59707416941</v>
      </c>
      <c r="M5544">
        <v>21.283248512394302</v>
      </c>
      <c r="N5544">
        <v>51.711950935546199</v>
      </c>
      <c r="O5544">
        <v>50.656362895696603</v>
      </c>
      <c r="P5544">
        <v>-9.3364802829881105E-2</v>
      </c>
      <c r="Q5544">
        <v>0.111150457961025</v>
      </c>
      <c r="R5544">
        <v>0.90417784980763305</v>
      </c>
      <c r="S5544" t="s">
        <v>11829</v>
      </c>
      <c r="T5544" t="s">
        <v>12568</v>
      </c>
      <c r="U5544" t="s">
        <v>12568</v>
      </c>
      <c r="V5544" t="s">
        <v>12568</v>
      </c>
      <c r="W5544" t="s">
        <v>18060</v>
      </c>
      <c r="X5544">
        <v>17</v>
      </c>
      <c r="Y5544" t="s">
        <v>24151</v>
      </c>
      <c r="Z5544" t="s">
        <v>30414</v>
      </c>
      <c r="AA5544">
        <v>0.45103034038925738</v>
      </c>
      <c r="AB5544" t="str">
        <f>HYPERLINK("Melting_Curves/meltCurve_Q9NSD9_FARSB.pdf", "Melting_Curves/meltCurve_Q9NSD9_FARSB.pdf")</f>
        <v>Melting_Curves/meltCurve_Q9NSD9_FARSB.pdf</v>
      </c>
    </row>
    <row r="5545" spans="1:28" x14ac:dyDescent="0.25">
      <c r="A5545" t="s">
        <v>5549</v>
      </c>
      <c r="B5545">
        <v>0.99352677808782597</v>
      </c>
      <c r="C5545">
        <v>1.03160340569873</v>
      </c>
      <c r="D5545">
        <v>0.98630612476641899</v>
      </c>
      <c r="E5545">
        <v>0.78389612101855599</v>
      </c>
      <c r="F5545">
        <v>0.69518492689057099</v>
      </c>
      <c r="G5545">
        <v>0.31219761800761597</v>
      </c>
      <c r="H5545">
        <v>0.13646243332289601</v>
      </c>
      <c r="I5545">
        <v>0.120625445329946</v>
      </c>
      <c r="J5545">
        <v>0.100805765774654</v>
      </c>
      <c r="K5545">
        <v>7.7674685486234796E-2</v>
      </c>
      <c r="L5545">
        <v>1050.9004114972399</v>
      </c>
      <c r="M5545">
        <v>19.364884270393802</v>
      </c>
      <c r="N5545">
        <v>54.6560564961067</v>
      </c>
      <c r="O5545">
        <v>53.699579660129601</v>
      </c>
      <c r="P5545">
        <v>-8.4371518300725395E-2</v>
      </c>
      <c r="Q5545">
        <v>6.4172634199851794E-2</v>
      </c>
      <c r="R5545">
        <v>0.99317459249649298</v>
      </c>
      <c r="S5545" t="s">
        <v>11830</v>
      </c>
      <c r="T5545" t="s">
        <v>12568</v>
      </c>
      <c r="U5545" t="s">
        <v>12568</v>
      </c>
      <c r="V5545" t="s">
        <v>12568</v>
      </c>
      <c r="W5545" t="s">
        <v>18061</v>
      </c>
      <c r="X5545">
        <v>31</v>
      </c>
      <c r="Y5545" t="s">
        <v>24152</v>
      </c>
      <c r="Z5545" t="s">
        <v>30415</v>
      </c>
      <c r="AA5545">
        <v>0.52257973215956277</v>
      </c>
      <c r="AB5545" t="str">
        <f>HYPERLINK("Melting_Curves/meltCurve_Q9NSE4_IARS2.pdf", "Melting_Curves/meltCurve_Q9NSE4_IARS2.pdf")</f>
        <v>Melting_Curves/meltCurve_Q9NSE4_IARS2.pdf</v>
      </c>
    </row>
    <row r="5546" spans="1:28" x14ac:dyDescent="0.25">
      <c r="A5546" t="s">
        <v>5550</v>
      </c>
      <c r="B5546">
        <v>0.99352677808782597</v>
      </c>
      <c r="C5546">
        <v>1.0682954070964501</v>
      </c>
      <c r="D5546">
        <v>0.887632542836024</v>
      </c>
      <c r="E5546">
        <v>0.93396365086975897</v>
      </c>
      <c r="F5546">
        <v>0.79738051530666199</v>
      </c>
      <c r="G5546">
        <v>0.60408738705319698</v>
      </c>
      <c r="H5546">
        <v>0.22165174265040799</v>
      </c>
      <c r="I5546">
        <v>0.17410631082508499</v>
      </c>
      <c r="J5546">
        <v>0.122411157776475</v>
      </c>
      <c r="K5546">
        <v>0.14836740852901201</v>
      </c>
      <c r="L5546">
        <v>1119.01822613698</v>
      </c>
      <c r="M5546">
        <v>19.653255611048198</v>
      </c>
      <c r="N5546">
        <v>57.499906933706299</v>
      </c>
      <c r="O5546">
        <v>56.358388984944</v>
      </c>
      <c r="P5546">
        <v>-7.9566380259148306E-2</v>
      </c>
      <c r="Q5546">
        <v>8.7362075595573602E-2</v>
      </c>
      <c r="R5546">
        <v>0.98078491929543599</v>
      </c>
      <c r="S5546" t="s">
        <v>11831</v>
      </c>
      <c r="T5546" t="s">
        <v>12568</v>
      </c>
      <c r="U5546" t="s">
        <v>12568</v>
      </c>
      <c r="V5546" t="s">
        <v>12568</v>
      </c>
      <c r="W5546" t="s">
        <v>18062</v>
      </c>
      <c r="X5546">
        <v>9</v>
      </c>
      <c r="Y5546" t="s">
        <v>24153</v>
      </c>
      <c r="Z5546" t="s">
        <v>30416</v>
      </c>
      <c r="AA5546">
        <v>0.61408768612338449</v>
      </c>
      <c r="AB5546" t="str">
        <f>HYPERLINK("Melting_Curves/meltCurve_Q9NSI2_2_FAM207A.pdf", "Melting_Curves/meltCurve_Q9NSI2_2_FAM207A.pdf")</f>
        <v>Melting_Curves/meltCurve_Q9NSI2_2_FAM207A.pdf</v>
      </c>
    </row>
    <row r="5547" spans="1:28" x14ac:dyDescent="0.25">
      <c r="A5547" t="s">
        <v>5551</v>
      </c>
      <c r="B5547">
        <v>0.99352677808782597</v>
      </c>
      <c r="C5547">
        <v>1.0523880207848599</v>
      </c>
      <c r="D5547">
        <v>0.86498709789517403</v>
      </c>
      <c r="E5547">
        <v>0.38557315476404702</v>
      </c>
      <c r="F5547">
        <v>0.30560594994266199</v>
      </c>
      <c r="G5547">
        <v>0.177105282611107</v>
      </c>
      <c r="H5547">
        <v>0.12394024799348401</v>
      </c>
      <c r="I5547">
        <v>0.117400462190551</v>
      </c>
      <c r="J5547">
        <v>0.107197588089654</v>
      </c>
      <c r="K5547">
        <v>9.0327957003206102E-2</v>
      </c>
      <c r="L5547">
        <v>1234.2037822539601</v>
      </c>
      <c r="M5547">
        <v>25.247376752270299</v>
      </c>
      <c r="N5547">
        <v>49.438892287240002</v>
      </c>
      <c r="O5547">
        <v>48.580848440984603</v>
      </c>
      <c r="P5547">
        <v>-0.113906900182388</v>
      </c>
      <c r="Q5547">
        <v>0.123295511734272</v>
      </c>
      <c r="R5547">
        <v>0.98754935923030196</v>
      </c>
      <c r="S5547" t="s">
        <v>11832</v>
      </c>
      <c r="T5547" t="s">
        <v>12568</v>
      </c>
      <c r="U5547" t="s">
        <v>12568</v>
      </c>
      <c r="V5547" t="s">
        <v>12568</v>
      </c>
      <c r="W5547" t="s">
        <v>18063</v>
      </c>
      <c r="X5547">
        <v>16</v>
      </c>
      <c r="Y5547" t="s">
        <v>24154</v>
      </c>
      <c r="Z5547" t="s">
        <v>30417</v>
      </c>
      <c r="AA5547">
        <v>0.39053668928461788</v>
      </c>
      <c r="AB5547" t="str">
        <f>HYPERLINK("Melting_Curves/meltCurve_Q9NSK0_KLC4.pdf", "Melting_Curves/meltCurve_Q9NSK0_KLC4.pdf")</f>
        <v>Melting_Curves/meltCurve_Q9NSK0_KLC4.pdf</v>
      </c>
    </row>
    <row r="5548" spans="1:28" x14ac:dyDescent="0.25">
      <c r="A5548" t="s">
        <v>5552</v>
      </c>
      <c r="B5548">
        <v>0.99352677808782597</v>
      </c>
      <c r="C5548">
        <v>0.99030469896943196</v>
      </c>
      <c r="D5548">
        <v>1.0043405162413801</v>
      </c>
      <c r="E5548">
        <v>0.87938306248215803</v>
      </c>
      <c r="F5548">
        <v>0.78821277035473203</v>
      </c>
      <c r="G5548">
        <v>0.573047953990379</v>
      </c>
      <c r="H5548">
        <v>0.31757028854368902</v>
      </c>
      <c r="I5548">
        <v>0.23897472191222299</v>
      </c>
      <c r="J5548">
        <v>0.18368291044920501</v>
      </c>
      <c r="K5548">
        <v>0.13622293886651299</v>
      </c>
      <c r="L5548">
        <v>862.48539224210003</v>
      </c>
      <c r="M5548">
        <v>15.083737663718001</v>
      </c>
      <c r="N5548">
        <v>57.884767536051001</v>
      </c>
      <c r="O5548">
        <v>56.203040447776502</v>
      </c>
      <c r="P5548">
        <v>-6.1471194059398403E-2</v>
      </c>
      <c r="Q5548">
        <v>8.3907019894919804E-2</v>
      </c>
      <c r="R5548">
        <v>0.99788322679155295</v>
      </c>
      <c r="S5548" t="s">
        <v>11833</v>
      </c>
      <c r="T5548" t="s">
        <v>12568</v>
      </c>
      <c r="U5548" t="s">
        <v>12568</v>
      </c>
      <c r="V5548" t="s">
        <v>12568</v>
      </c>
      <c r="W5548" t="s">
        <v>18064</v>
      </c>
      <c r="X5548">
        <v>9</v>
      </c>
      <c r="Y5548" t="s">
        <v>24155</v>
      </c>
      <c r="Z5548" t="s">
        <v>30418</v>
      </c>
      <c r="AA5548">
        <v>0.62260956071095208</v>
      </c>
      <c r="AB5548" t="str">
        <f>HYPERLINK("Melting_Curves/meltCurve_Q9NT62_ATG3.pdf", "Melting_Curves/meltCurve_Q9NT62_ATG3.pdf")</f>
        <v>Melting_Curves/meltCurve_Q9NT62_ATG3.pdf</v>
      </c>
    </row>
    <row r="5549" spans="1:28" x14ac:dyDescent="0.25">
      <c r="A5549" t="s">
        <v>5553</v>
      </c>
      <c r="B5549">
        <v>0.99352677808782597</v>
      </c>
      <c r="C5549">
        <v>0.92134815031341599</v>
      </c>
      <c r="D5549">
        <v>0.69860431875067497</v>
      </c>
      <c r="E5549">
        <v>0.33393318784388298</v>
      </c>
      <c r="F5549">
        <v>0.29126119384064603</v>
      </c>
      <c r="G5549">
        <v>0.17843583984449701</v>
      </c>
      <c r="H5549">
        <v>0.13276370271287399</v>
      </c>
      <c r="I5549">
        <v>0.121750735369426</v>
      </c>
      <c r="J5549">
        <v>9.9462562212610198E-2</v>
      </c>
      <c r="K5549">
        <v>8.5204678086099106E-2</v>
      </c>
      <c r="L5549">
        <v>867.32679349844398</v>
      </c>
      <c r="M5549">
        <v>18.175320551800201</v>
      </c>
      <c r="N5549">
        <v>48.390589206544298</v>
      </c>
      <c r="O5549">
        <v>47.153598833307903</v>
      </c>
      <c r="P5549">
        <v>-8.5639003094691996E-2</v>
      </c>
      <c r="Q5549">
        <v>0.111323422343775</v>
      </c>
      <c r="R5549">
        <v>0.99292541265325696</v>
      </c>
      <c r="S5549" t="s">
        <v>11834</v>
      </c>
      <c r="T5549" t="s">
        <v>12568</v>
      </c>
      <c r="U5549" t="s">
        <v>12568</v>
      </c>
      <c r="V5549" t="s">
        <v>12568</v>
      </c>
      <c r="W5549" t="s">
        <v>18065</v>
      </c>
      <c r="X5549">
        <v>14</v>
      </c>
      <c r="Y5549" t="s">
        <v>24156</v>
      </c>
      <c r="Z5549" t="s">
        <v>30419</v>
      </c>
      <c r="AA5549">
        <v>0.35559890556015072</v>
      </c>
      <c r="AB5549" t="str">
        <f>HYPERLINK("Melting_Curves/meltCurve_Q9NTI5_2_PDS5B.pdf", "Melting_Curves/meltCurve_Q9NTI5_2_PDS5B.pdf")</f>
        <v>Melting_Curves/meltCurve_Q9NTI5_2_PDS5B.pdf</v>
      </c>
    </row>
    <row r="5550" spans="1:28" x14ac:dyDescent="0.25">
      <c r="A5550" t="s">
        <v>5554</v>
      </c>
      <c r="B5550">
        <v>0.99352677808782597</v>
      </c>
      <c r="C5550">
        <v>0.93901744627804995</v>
      </c>
      <c r="D5550">
        <v>0.72529930357448202</v>
      </c>
      <c r="E5550">
        <v>0.31430309577280402</v>
      </c>
      <c r="F5550">
        <v>0.24167126487855101</v>
      </c>
      <c r="G5550">
        <v>0.14535322599639899</v>
      </c>
      <c r="H5550">
        <v>8.9338319196311397E-2</v>
      </c>
      <c r="I5550">
        <v>8.9699907533462006E-2</v>
      </c>
      <c r="J5550">
        <v>7.0601472383283098E-2</v>
      </c>
      <c r="K5550">
        <v>5.7889536043597901E-2</v>
      </c>
      <c r="L5550">
        <v>969.55919130760606</v>
      </c>
      <c r="M5550">
        <v>20.250318742043</v>
      </c>
      <c r="N5550">
        <v>48.3066337302675</v>
      </c>
      <c r="O5550">
        <v>47.419142259564701</v>
      </c>
      <c r="P5550">
        <v>-9.7999271086765205E-2</v>
      </c>
      <c r="Q5550">
        <v>8.2108795084799902E-2</v>
      </c>
      <c r="R5550">
        <v>0.99522996366634797</v>
      </c>
      <c r="S5550" t="s">
        <v>11835</v>
      </c>
      <c r="T5550" t="s">
        <v>12568</v>
      </c>
      <c r="U5550" t="s">
        <v>12568</v>
      </c>
      <c r="V5550" t="s">
        <v>12568</v>
      </c>
      <c r="W5550" t="s">
        <v>18066</v>
      </c>
      <c r="X5550">
        <v>48</v>
      </c>
      <c r="Y5550" t="s">
        <v>24157</v>
      </c>
      <c r="Z5550" t="s">
        <v>30420</v>
      </c>
      <c r="AA5550">
        <v>0.33590519242722378</v>
      </c>
      <c r="AB5550" t="str">
        <f>HYPERLINK("Melting_Curves/meltCurve_Q9NTJ3_SMC4.pdf", "Melting_Curves/meltCurve_Q9NTJ3_SMC4.pdf")</f>
        <v>Melting_Curves/meltCurve_Q9NTJ3_SMC4.pdf</v>
      </c>
    </row>
    <row r="5551" spans="1:28" x14ac:dyDescent="0.25">
      <c r="A5551" t="s">
        <v>5555</v>
      </c>
      <c r="B5551">
        <v>0.99352677808782597</v>
      </c>
      <c r="C5551">
        <v>0.95932665269450301</v>
      </c>
      <c r="D5551">
        <v>0.85391765292990796</v>
      </c>
      <c r="E5551">
        <v>0.75248831479176104</v>
      </c>
      <c r="F5551">
        <v>0.69682142727790597</v>
      </c>
      <c r="G5551">
        <v>0.385292279712935</v>
      </c>
      <c r="H5551">
        <v>0.21154109442833399</v>
      </c>
      <c r="I5551">
        <v>0.17968681707856199</v>
      </c>
      <c r="J5551">
        <v>0.146693976319553</v>
      </c>
      <c r="K5551">
        <v>0.127370380575269</v>
      </c>
      <c r="L5551">
        <v>663.80988134376196</v>
      </c>
      <c r="M5551">
        <v>12.1277960788769</v>
      </c>
      <c r="N5551">
        <v>55.139280687321303</v>
      </c>
      <c r="O5551">
        <v>53.3101849563757</v>
      </c>
      <c r="P5551">
        <v>-5.4464483413035197E-2</v>
      </c>
      <c r="Q5551">
        <v>4.2582832096802498E-2</v>
      </c>
      <c r="R5551">
        <v>0.98796619109792205</v>
      </c>
      <c r="S5551" t="s">
        <v>11836</v>
      </c>
      <c r="T5551" t="s">
        <v>12568</v>
      </c>
      <c r="U5551" t="s">
        <v>12568</v>
      </c>
      <c r="V5551" t="s">
        <v>12568</v>
      </c>
      <c r="W5551" t="s">
        <v>18067</v>
      </c>
      <c r="X5551">
        <v>7</v>
      </c>
      <c r="Y5551" t="s">
        <v>24158</v>
      </c>
      <c r="Z5551" t="s">
        <v>30421</v>
      </c>
      <c r="AA5551">
        <v>0.53579810165889552</v>
      </c>
      <c r="AB5551" t="str">
        <f>HYPERLINK("Melting_Curves/meltCurve_Q9NTJ4_3_MAN2C1.pdf", "Melting_Curves/meltCurve_Q9NTJ4_3_MAN2C1.pdf")</f>
        <v>Melting_Curves/meltCurve_Q9NTJ4_3_MAN2C1.pdf</v>
      </c>
    </row>
    <row r="5552" spans="1:28" x14ac:dyDescent="0.25">
      <c r="A5552" t="s">
        <v>5556</v>
      </c>
      <c r="B5552">
        <v>0.99352677808782597</v>
      </c>
      <c r="C5552">
        <v>0.99441193041449305</v>
      </c>
      <c r="D5552">
        <v>0.98003762992795496</v>
      </c>
      <c r="E5552">
        <v>0.231564009769337</v>
      </c>
      <c r="F5552">
        <v>0.16198012061710901</v>
      </c>
      <c r="G5552">
        <v>9.8460293464140494E-2</v>
      </c>
      <c r="H5552">
        <v>7.3419227527926095E-2</v>
      </c>
      <c r="I5552">
        <v>6.7994969173611502E-2</v>
      </c>
      <c r="J5552">
        <v>5.9719771878693602E-2</v>
      </c>
      <c r="K5552">
        <v>4.8157070600424803E-2</v>
      </c>
      <c r="L5552">
        <v>2826.9952702021501</v>
      </c>
      <c r="M5552">
        <v>58.126272932704197</v>
      </c>
      <c r="N5552">
        <v>48.787114206975502</v>
      </c>
      <c r="O5552">
        <v>48.577935422990699</v>
      </c>
      <c r="P5552">
        <v>-0.274410926898847</v>
      </c>
      <c r="Q5552">
        <v>8.2665207608263402E-2</v>
      </c>
      <c r="R5552">
        <v>0.99540111735749703</v>
      </c>
      <c r="S5552" t="s">
        <v>11837</v>
      </c>
      <c r="T5552" t="s">
        <v>12568</v>
      </c>
      <c r="U5552" t="s">
        <v>12568</v>
      </c>
      <c r="V5552" t="s">
        <v>12568</v>
      </c>
      <c r="W5552" t="s">
        <v>18068</v>
      </c>
      <c r="X5552">
        <v>13</v>
      </c>
      <c r="Y5552" t="s">
        <v>24159</v>
      </c>
      <c r="Z5552" t="s">
        <v>30422</v>
      </c>
      <c r="AA5552">
        <v>0.3481714738749026</v>
      </c>
      <c r="AB5552" t="str">
        <f>HYPERLINK("Melting_Curves/meltCurve_Q9NTK5_OLA1.pdf", "Melting_Curves/meltCurve_Q9NTK5_OLA1.pdf")</f>
        <v>Melting_Curves/meltCurve_Q9NTK5_OLA1.pdf</v>
      </c>
    </row>
    <row r="5553" spans="1:28" x14ac:dyDescent="0.25">
      <c r="A5553" t="s">
        <v>5557</v>
      </c>
      <c r="B5553">
        <v>0.99352677808782597</v>
      </c>
      <c r="C5553">
        <v>1.06724588267243</v>
      </c>
      <c r="D5553">
        <v>1.0961542866409799</v>
      </c>
      <c r="E5553">
        <v>0.99287143449720405</v>
      </c>
      <c r="F5553">
        <v>0.869885964194692</v>
      </c>
      <c r="G5553">
        <v>0.69385777275545502</v>
      </c>
      <c r="H5553">
        <v>0.58101537047390595</v>
      </c>
      <c r="I5553">
        <v>0.61218762096319201</v>
      </c>
      <c r="J5553">
        <v>0.61423724923587297</v>
      </c>
      <c r="K5553">
        <v>0.71842602344109996</v>
      </c>
      <c r="L5553">
        <v>2093.54776665913</v>
      </c>
      <c r="M5553">
        <v>38.8120703938635</v>
      </c>
      <c r="O5553">
        <v>53.798037133796697</v>
      </c>
      <c r="P5553">
        <v>-6.5991115009021897E-2</v>
      </c>
      <c r="Q5553">
        <v>0.63411547762822096</v>
      </c>
      <c r="R5553">
        <v>0.93027047347937697</v>
      </c>
      <c r="S5553" t="s">
        <v>11838</v>
      </c>
      <c r="T5553" t="s">
        <v>12568</v>
      </c>
      <c r="U5553" t="s">
        <v>12568</v>
      </c>
      <c r="V5553" t="s">
        <v>12568</v>
      </c>
      <c r="W5553" t="s">
        <v>18069</v>
      </c>
      <c r="X5553">
        <v>11</v>
      </c>
      <c r="Y5553" t="s">
        <v>24159</v>
      </c>
      <c r="Z5553" t="s">
        <v>30423</v>
      </c>
      <c r="AA5553">
        <v>0.80558364465202592</v>
      </c>
      <c r="AB5553" t="str">
        <f>HYPERLINK("Melting_Curves/meltCurve_Q9NTK5_2_OLA1.pdf", "Melting_Curves/meltCurve_Q9NTK5_2_OLA1.pdf")</f>
        <v>Melting_Curves/meltCurve_Q9NTK5_2_OLA1.pdf</v>
      </c>
    </row>
    <row r="5554" spans="1:28" x14ac:dyDescent="0.25">
      <c r="A5554" t="s">
        <v>5558</v>
      </c>
      <c r="B5554">
        <v>0.99352677808782597</v>
      </c>
      <c r="C5554">
        <v>0.98350369720449604</v>
      </c>
      <c r="D5554">
        <v>0.86543896720409696</v>
      </c>
      <c r="E5554">
        <v>0.89698719090075596</v>
      </c>
      <c r="F5554">
        <v>0.73368213080066702</v>
      </c>
      <c r="G5554">
        <v>0.35113457779443702</v>
      </c>
      <c r="H5554">
        <v>0.16995970913677699</v>
      </c>
      <c r="I5554">
        <v>0.17153243348619601</v>
      </c>
      <c r="J5554">
        <v>0.119981016967735</v>
      </c>
      <c r="K5554">
        <v>8.1682373921682594E-2</v>
      </c>
      <c r="L5554">
        <v>1147.4898445945701</v>
      </c>
      <c r="M5554">
        <v>20.9289883753538</v>
      </c>
      <c r="N5554">
        <v>55.362638700921501</v>
      </c>
      <c r="O5554">
        <v>54.334579248543903</v>
      </c>
      <c r="P5554">
        <v>-8.7484962467588398E-2</v>
      </c>
      <c r="Q5554">
        <v>9.1531955081213298E-2</v>
      </c>
      <c r="R5554">
        <v>0.98690737043490295</v>
      </c>
      <c r="S5554" t="s">
        <v>11839</v>
      </c>
      <c r="T5554" t="s">
        <v>12568</v>
      </c>
      <c r="U5554" t="s">
        <v>12568</v>
      </c>
      <c r="V5554" t="s">
        <v>12568</v>
      </c>
      <c r="W5554" t="s">
        <v>18070</v>
      </c>
      <c r="X5554">
        <v>4</v>
      </c>
      <c r="Y5554" t="s">
        <v>24160</v>
      </c>
      <c r="Z5554" t="s">
        <v>30424</v>
      </c>
      <c r="AA5554">
        <v>0.55187487323366435</v>
      </c>
      <c r="AB5554" t="str">
        <f>HYPERLINK("Melting_Curves/meltCurve_Q9NTM9_CUTC.pdf", "Melting_Curves/meltCurve_Q9NTM9_CUTC.pdf")</f>
        <v>Melting_Curves/meltCurve_Q9NTM9_CUTC.pdf</v>
      </c>
    </row>
    <row r="5555" spans="1:28" x14ac:dyDescent="0.25">
      <c r="A5555" t="s">
        <v>5559</v>
      </c>
      <c r="B5555">
        <v>0.99352677808782597</v>
      </c>
      <c r="C5555">
        <v>0.87578009601837403</v>
      </c>
      <c r="D5555">
        <v>0.921113917584505</v>
      </c>
      <c r="E5555">
        <v>0.88114035191998397</v>
      </c>
      <c r="F5555">
        <v>0.80786570577171202</v>
      </c>
      <c r="G5555">
        <v>0.71731962202973598</v>
      </c>
      <c r="H5555">
        <v>0.62716736122997196</v>
      </c>
      <c r="I5555">
        <v>0.64348610896696101</v>
      </c>
      <c r="J5555">
        <v>0.577492612640088</v>
      </c>
      <c r="K5555">
        <v>0.47683300068140599</v>
      </c>
      <c r="L5555">
        <v>303.80538093044999</v>
      </c>
      <c r="M5555">
        <v>4.3184539411154503</v>
      </c>
      <c r="O5555">
        <v>59.1066525048494</v>
      </c>
      <c r="P5555">
        <v>-1.8448579395349302E-2</v>
      </c>
      <c r="Q5555">
        <v>0</v>
      </c>
      <c r="R5555">
        <v>0.96017485545761305</v>
      </c>
      <c r="S5555" t="s">
        <v>11840</v>
      </c>
      <c r="T5555" t="s">
        <v>12568</v>
      </c>
      <c r="U5555" t="s">
        <v>12568</v>
      </c>
      <c r="V5555" t="s">
        <v>12568</v>
      </c>
      <c r="W5555" t="s">
        <v>18071</v>
      </c>
      <c r="X5555">
        <v>1</v>
      </c>
      <c r="Y5555" t="s">
        <v>24161</v>
      </c>
      <c r="Z5555" t="s">
        <v>30425</v>
      </c>
      <c r="AA5555">
        <v>0.75765051012199247</v>
      </c>
      <c r="AB5555" t="str">
        <f>HYPERLINK("Melting_Curves/meltCurve_Q9NTN9_SEMA4G.pdf", "Melting_Curves/meltCurve_Q9NTN9_SEMA4G.pdf")</f>
        <v>Melting_Curves/meltCurve_Q9NTN9_SEMA4G.pdf</v>
      </c>
    </row>
    <row r="5556" spans="1:28" x14ac:dyDescent="0.25">
      <c r="A5556" t="s">
        <v>5560</v>
      </c>
      <c r="B5556">
        <v>0.99352677808782597</v>
      </c>
      <c r="C5556">
        <v>0.960155960032402</v>
      </c>
      <c r="D5556">
        <v>0.90898244335391098</v>
      </c>
      <c r="E5556">
        <v>0.80530555845532203</v>
      </c>
      <c r="F5556">
        <v>0.69035350384985605</v>
      </c>
      <c r="G5556">
        <v>0.52927426685254997</v>
      </c>
      <c r="H5556">
        <v>0.61061101779443905</v>
      </c>
      <c r="I5556">
        <v>0.57959164037076705</v>
      </c>
      <c r="J5556">
        <v>0.73421045335249302</v>
      </c>
      <c r="K5556">
        <v>0.351455678806322</v>
      </c>
      <c r="L5556">
        <v>780.35570842965501</v>
      </c>
      <c r="M5556">
        <v>15.476446786445001</v>
      </c>
      <c r="O5556">
        <v>49.602807971171899</v>
      </c>
      <c r="P5556">
        <v>-3.5986290530122401E-2</v>
      </c>
      <c r="Q5556">
        <v>0.53868958142701195</v>
      </c>
      <c r="R5556">
        <v>0.78818705221458296</v>
      </c>
      <c r="S5556" t="s">
        <v>11841</v>
      </c>
      <c r="T5556" t="s">
        <v>12568</v>
      </c>
      <c r="U5556" t="s">
        <v>12568</v>
      </c>
      <c r="V5556" t="s">
        <v>12568</v>
      </c>
      <c r="W5556" t="s">
        <v>18072</v>
      </c>
      <c r="X5556">
        <v>10</v>
      </c>
      <c r="Y5556" t="s">
        <v>24162</v>
      </c>
      <c r="Z5556" t="s">
        <v>30426</v>
      </c>
      <c r="AA5556">
        <v>0.7092315363288717</v>
      </c>
      <c r="AB5556" t="str">
        <f>HYPERLINK("Melting_Curves/meltCurve_Q9NTX5_6_ECHDC1.pdf", "Melting_Curves/meltCurve_Q9NTX5_6_ECHDC1.pdf")</f>
        <v>Melting_Curves/meltCurve_Q9NTX5_6_ECHDC1.pdf</v>
      </c>
    </row>
    <row r="5557" spans="1:28" x14ac:dyDescent="0.25">
      <c r="A5557" t="s">
        <v>5561</v>
      </c>
      <c r="B5557">
        <v>0.99352677808782597</v>
      </c>
      <c r="C5557">
        <v>0.99802789248923895</v>
      </c>
      <c r="D5557">
        <v>1.04167844719561</v>
      </c>
      <c r="E5557">
        <v>0.85602291970616495</v>
      </c>
      <c r="F5557">
        <v>0.81554311950149205</v>
      </c>
      <c r="G5557">
        <v>0.61953957904405899</v>
      </c>
      <c r="H5557">
        <v>0.60733346463456805</v>
      </c>
      <c r="I5557">
        <v>0.71570545449255696</v>
      </c>
      <c r="J5557">
        <v>0.63850783955852897</v>
      </c>
      <c r="K5557">
        <v>0.63686989852078102</v>
      </c>
      <c r="L5557">
        <v>1388.2259218116501</v>
      </c>
      <c r="M5557">
        <v>26.808634235188599</v>
      </c>
      <c r="O5557">
        <v>51.497239896161901</v>
      </c>
      <c r="P5557">
        <v>-4.6713912729479397E-2</v>
      </c>
      <c r="Q5557">
        <v>0.64106894399502801</v>
      </c>
      <c r="R5557">
        <v>0.93787335899058599</v>
      </c>
      <c r="S5557" t="s">
        <v>11842</v>
      </c>
      <c r="T5557" t="s">
        <v>12568</v>
      </c>
      <c r="U5557" t="s">
        <v>12568</v>
      </c>
      <c r="V5557" t="s">
        <v>12568</v>
      </c>
      <c r="W5557" t="s">
        <v>18073</v>
      </c>
      <c r="X5557">
        <v>2</v>
      </c>
      <c r="Y5557" t="s">
        <v>24163</v>
      </c>
      <c r="Z5557" t="s">
        <v>30427</v>
      </c>
      <c r="AA5557">
        <v>0.78489642073882893</v>
      </c>
      <c r="AB5557" t="str">
        <f>HYPERLINK("Melting_Curves/meltCurve_Q9NTX7_2_RNF146.pdf", "Melting_Curves/meltCurve_Q9NTX7_2_RNF146.pdf")</f>
        <v>Melting_Curves/meltCurve_Q9NTX7_2_RNF146.pdf</v>
      </c>
    </row>
    <row r="5558" spans="1:28" x14ac:dyDescent="0.25">
      <c r="A5558" t="s">
        <v>5562</v>
      </c>
      <c r="B5558">
        <v>0.99352677808782597</v>
      </c>
      <c r="C5558">
        <v>0.81786973707194599</v>
      </c>
      <c r="D5558">
        <v>1.1263245608142101</v>
      </c>
      <c r="E5558">
        <v>0.54039936054523297</v>
      </c>
      <c r="F5558">
        <v>0.453624301662645</v>
      </c>
      <c r="G5558">
        <v>0.16944347863376</v>
      </c>
      <c r="H5558">
        <v>0.10920000724209</v>
      </c>
      <c r="I5558">
        <v>0.10606979576209501</v>
      </c>
      <c r="J5558">
        <v>7.7714637901201103E-2</v>
      </c>
      <c r="K5558">
        <v>6.04367190434901E-2</v>
      </c>
      <c r="L5558">
        <v>1098.2827801261301</v>
      </c>
      <c r="M5558">
        <v>21.434203459882301</v>
      </c>
      <c r="N5558">
        <v>51.654690377745702</v>
      </c>
      <c r="O5558">
        <v>50.799969721990102</v>
      </c>
      <c r="P5558">
        <v>-9.7142642572069199E-2</v>
      </c>
      <c r="Q5558">
        <v>7.9093974853620103E-2</v>
      </c>
      <c r="R5558">
        <v>0.94117357212506203</v>
      </c>
      <c r="S5558" t="s">
        <v>11843</v>
      </c>
      <c r="T5558" t="s">
        <v>12568</v>
      </c>
      <c r="U5558" t="s">
        <v>12568</v>
      </c>
      <c r="V5558" t="s">
        <v>12568</v>
      </c>
      <c r="W5558" t="s">
        <v>18074</v>
      </c>
      <c r="X5558">
        <v>24</v>
      </c>
      <c r="Y5558" t="s">
        <v>24164</v>
      </c>
      <c r="Z5558" t="s">
        <v>30428</v>
      </c>
      <c r="AA5558">
        <v>0.43533985382050622</v>
      </c>
      <c r="AB5558" t="str">
        <f>HYPERLINK("Melting_Curves/meltCurve_Q9NTZ6_RBM12.pdf", "Melting_Curves/meltCurve_Q9NTZ6_RBM12.pdf")</f>
        <v>Melting_Curves/meltCurve_Q9NTZ6_RBM12.pdf</v>
      </c>
    </row>
    <row r="5559" spans="1:28" x14ac:dyDescent="0.25">
      <c r="A5559" t="s">
        <v>5563</v>
      </c>
      <c r="B5559">
        <v>0.99352677808782597</v>
      </c>
      <c r="C5559">
        <v>0.94299735708178201</v>
      </c>
      <c r="D5559">
        <v>0.85857170005214001</v>
      </c>
      <c r="E5559">
        <v>0.43323763265084603</v>
      </c>
      <c r="F5559">
        <v>0.46457898460272201</v>
      </c>
      <c r="G5559">
        <v>0.25435579646436901</v>
      </c>
      <c r="H5559">
        <v>0.11653970581529099</v>
      </c>
      <c r="I5559">
        <v>0.13155834539702899</v>
      </c>
      <c r="J5559">
        <v>8.0716157012682602E-2</v>
      </c>
      <c r="K5559">
        <v>0.122620308719937</v>
      </c>
      <c r="L5559">
        <v>724.21560108449501</v>
      </c>
      <c r="M5559">
        <v>14.4336094063268</v>
      </c>
      <c r="N5559">
        <v>50.853024725173398</v>
      </c>
      <c r="O5559">
        <v>49.2419987200348</v>
      </c>
      <c r="P5559">
        <v>-6.6878254212691599E-2</v>
      </c>
      <c r="Q5559">
        <v>8.7454538407843799E-2</v>
      </c>
      <c r="R5559">
        <v>0.97543507931144302</v>
      </c>
      <c r="S5559" t="s">
        <v>11844</v>
      </c>
      <c r="T5559" t="s">
        <v>12568</v>
      </c>
      <c r="U5559" t="s">
        <v>12568</v>
      </c>
      <c r="V5559" t="s">
        <v>12568</v>
      </c>
      <c r="W5559" t="s">
        <v>18075</v>
      </c>
      <c r="X5559">
        <v>1</v>
      </c>
      <c r="Y5559" t="s">
        <v>24165</v>
      </c>
      <c r="Z5559" t="s">
        <v>30429</v>
      </c>
      <c r="AA5559">
        <v>0.42011187445514481</v>
      </c>
      <c r="AB5559" t="str">
        <f>HYPERLINK("Melting_Curves/meltCurve_Q9NU22_MDN1.pdf", "Melting_Curves/meltCurve_Q9NU22_MDN1.pdf")</f>
        <v>Melting_Curves/meltCurve_Q9NU22_MDN1.pdf</v>
      </c>
    </row>
    <row r="5560" spans="1:28" x14ac:dyDescent="0.25">
      <c r="A5560" t="s">
        <v>5564</v>
      </c>
      <c r="B5560">
        <v>0.99352677808782597</v>
      </c>
      <c r="C5560">
        <v>1.012086751147</v>
      </c>
      <c r="D5560">
        <v>0.96975152202352699</v>
      </c>
      <c r="E5560">
        <v>0.87611995318407399</v>
      </c>
      <c r="F5560">
        <v>0.73296504714278199</v>
      </c>
      <c r="G5560">
        <v>0.423889794735957</v>
      </c>
      <c r="H5560">
        <v>0.107668836813021</v>
      </c>
      <c r="I5560">
        <v>8.9209368108341097E-2</v>
      </c>
      <c r="J5560">
        <v>6.3976999130423998E-2</v>
      </c>
      <c r="K5560">
        <v>5.3233845797047902E-2</v>
      </c>
      <c r="L5560">
        <v>1109.2626930101001</v>
      </c>
      <c r="M5560">
        <v>19.9677689974495</v>
      </c>
      <c r="N5560">
        <v>55.677680639019101</v>
      </c>
      <c r="O5560">
        <v>55.0044852749078</v>
      </c>
      <c r="P5560">
        <v>-8.8768491129763205E-2</v>
      </c>
      <c r="Q5560">
        <v>2.1922796057602102E-2</v>
      </c>
      <c r="R5560">
        <v>0.99641777889114802</v>
      </c>
      <c r="S5560" t="s">
        <v>11845</v>
      </c>
      <c r="T5560" t="s">
        <v>12568</v>
      </c>
      <c r="U5560" t="s">
        <v>12568</v>
      </c>
      <c r="V5560" t="s">
        <v>12568</v>
      </c>
      <c r="W5560" t="s">
        <v>18076</v>
      </c>
      <c r="X5560">
        <v>3</v>
      </c>
      <c r="Y5560" t="s">
        <v>24166</v>
      </c>
      <c r="Z5560" t="s">
        <v>30430</v>
      </c>
      <c r="AA5560">
        <v>0.54181945108445173</v>
      </c>
      <c r="AB5560" t="str">
        <f>HYPERLINK("Melting_Curves/meltCurve_Q9NUB1_2_ACSS1.pdf", "Melting_Curves/meltCurve_Q9NUB1_2_ACSS1.pdf")</f>
        <v>Melting_Curves/meltCurve_Q9NUB1_2_ACSS1.pdf</v>
      </c>
    </row>
    <row r="5561" spans="1:28" x14ac:dyDescent="0.25">
      <c r="A5561" t="s">
        <v>5565</v>
      </c>
      <c r="B5561">
        <v>0.99352677808782597</v>
      </c>
      <c r="C5561">
        <v>1.0743970169114101</v>
      </c>
      <c r="D5561">
        <v>0.96797578273867202</v>
      </c>
      <c r="E5561">
        <v>1.32959715139699</v>
      </c>
      <c r="F5561">
        <v>1.10348958077232</v>
      </c>
      <c r="G5561">
        <v>0.87093769109533103</v>
      </c>
      <c r="H5561">
        <v>0.60148588102792999</v>
      </c>
      <c r="I5561">
        <v>0.55978793175742803</v>
      </c>
      <c r="J5561">
        <v>0.65512584120793105</v>
      </c>
      <c r="K5561">
        <v>0.630122181627642</v>
      </c>
      <c r="L5561">
        <v>14289.769941816499</v>
      </c>
      <c r="M5561">
        <v>250</v>
      </c>
      <c r="O5561">
        <v>57.1554415115124</v>
      </c>
      <c r="P5561">
        <v>-0.42468581815307799</v>
      </c>
      <c r="Q5561">
        <v>0.61163044551882095</v>
      </c>
      <c r="R5561">
        <v>0.78304563693253704</v>
      </c>
      <c r="S5561" t="s">
        <v>11846</v>
      </c>
      <c r="T5561" t="s">
        <v>12568</v>
      </c>
      <c r="U5561" t="s">
        <v>12568</v>
      </c>
      <c r="V5561" t="s">
        <v>12568</v>
      </c>
      <c r="W5561" t="s">
        <v>18077</v>
      </c>
      <c r="X5561">
        <v>4</v>
      </c>
      <c r="Y5561" t="s">
        <v>24167</v>
      </c>
      <c r="Z5561" t="s">
        <v>30431</v>
      </c>
      <c r="AA5561">
        <v>0.83380487629933442</v>
      </c>
      <c r="AB5561" t="str">
        <f>HYPERLINK("Melting_Curves/meltCurve_Q9NUG6_PDRG1.pdf", "Melting_Curves/meltCurve_Q9NUG6_PDRG1.pdf")</f>
        <v>Melting_Curves/meltCurve_Q9NUG6_PDRG1.pdf</v>
      </c>
    </row>
    <row r="5562" spans="1:28" x14ac:dyDescent="0.25">
      <c r="A5562" t="s">
        <v>5566</v>
      </c>
      <c r="B5562">
        <v>0.99352677808782597</v>
      </c>
      <c r="C5562">
        <v>0.96639572381074201</v>
      </c>
      <c r="D5562">
        <v>0.89449805573666996</v>
      </c>
      <c r="E5562">
        <v>1.1633804486185899</v>
      </c>
      <c r="F5562">
        <v>0.99202194290699297</v>
      </c>
      <c r="G5562">
        <v>0.91293211655647299</v>
      </c>
      <c r="H5562">
        <v>0.65335930063011105</v>
      </c>
      <c r="I5562">
        <v>0.414346132267019</v>
      </c>
      <c r="J5562">
        <v>0.15189217321016399</v>
      </c>
      <c r="K5562">
        <v>0.11768363645921601</v>
      </c>
      <c r="L5562">
        <v>1567.95838877199</v>
      </c>
      <c r="M5562">
        <v>25.075644100242201</v>
      </c>
      <c r="N5562">
        <v>62.724966988878897</v>
      </c>
      <c r="O5562">
        <v>62.135527956660603</v>
      </c>
      <c r="P5562">
        <v>-9.7093615542626105E-2</v>
      </c>
      <c r="Q5562">
        <v>3.7650576474020897E-2</v>
      </c>
      <c r="R5562">
        <v>0.96620259628711302</v>
      </c>
      <c r="S5562" t="s">
        <v>11847</v>
      </c>
      <c r="T5562" t="s">
        <v>12568</v>
      </c>
      <c r="U5562" t="s">
        <v>12568</v>
      </c>
      <c r="V5562" t="s">
        <v>12568</v>
      </c>
      <c r="W5562" t="s">
        <v>18078</v>
      </c>
      <c r="X5562">
        <v>8</v>
      </c>
      <c r="Y5562" t="s">
        <v>24168</v>
      </c>
      <c r="Z5562" t="s">
        <v>30432</v>
      </c>
      <c r="AA5562">
        <v>0.76370633432127222</v>
      </c>
      <c r="AB5562" t="str">
        <f>HYPERLINK("Melting_Curves/meltCurve_Q9NUJ1_ABHD10.pdf", "Melting_Curves/meltCurve_Q9NUJ1_ABHD10.pdf")</f>
        <v>Melting_Curves/meltCurve_Q9NUJ1_ABHD10.pdf</v>
      </c>
    </row>
    <row r="5563" spans="1:28" x14ac:dyDescent="0.25">
      <c r="A5563" t="s">
        <v>5567</v>
      </c>
      <c r="B5563">
        <v>0.99352677808782597</v>
      </c>
      <c r="C5563">
        <v>1.01000457088421</v>
      </c>
      <c r="D5563">
        <v>1.0261745217662901</v>
      </c>
      <c r="E5563">
        <v>0.55159412366286398</v>
      </c>
      <c r="F5563">
        <v>0.46757748109968</v>
      </c>
      <c r="G5563">
        <v>0.22642791652449101</v>
      </c>
      <c r="H5563">
        <v>0.15436792461702201</v>
      </c>
      <c r="I5563">
        <v>0.13228379678726501</v>
      </c>
      <c r="J5563">
        <v>0.113935177910053</v>
      </c>
      <c r="K5563">
        <v>9.0633455774407207E-2</v>
      </c>
      <c r="L5563">
        <v>1025.53344861036</v>
      </c>
      <c r="M5563">
        <v>20.049662195533799</v>
      </c>
      <c r="N5563">
        <v>51.812405887716601</v>
      </c>
      <c r="O5563">
        <v>50.648978225600402</v>
      </c>
      <c r="P5563">
        <v>-8.7773172994379298E-2</v>
      </c>
      <c r="Q5563">
        <v>0.113106591181047</v>
      </c>
      <c r="R5563">
        <v>0.979725823899813</v>
      </c>
      <c r="S5563" t="s">
        <v>11848</v>
      </c>
      <c r="T5563" t="s">
        <v>12568</v>
      </c>
      <c r="U5563" t="s">
        <v>12568</v>
      </c>
      <c r="V5563" t="s">
        <v>12568</v>
      </c>
      <c r="W5563" t="s">
        <v>18079</v>
      </c>
      <c r="X5563">
        <v>11</v>
      </c>
      <c r="Y5563" t="s">
        <v>24169</v>
      </c>
      <c r="Z5563" t="s">
        <v>30433</v>
      </c>
      <c r="AA5563">
        <v>0.45497552213676662</v>
      </c>
      <c r="AB5563" t="str">
        <f>HYPERLINK("Melting_Curves/meltCurve_Q9NUJ3_TCP11L1.pdf", "Melting_Curves/meltCurve_Q9NUJ3_TCP11L1.pdf")</f>
        <v>Melting_Curves/meltCurve_Q9NUJ3_TCP11L1.pdf</v>
      </c>
    </row>
    <row r="5564" spans="1:28" x14ac:dyDescent="0.25">
      <c r="A5564" t="s">
        <v>5568</v>
      </c>
      <c r="B5564">
        <v>0.99352677808782597</v>
      </c>
      <c r="C5564">
        <v>0.93444757964101499</v>
      </c>
      <c r="D5564">
        <v>0.93949814985503399</v>
      </c>
      <c r="E5564">
        <v>0.78202731051089103</v>
      </c>
      <c r="F5564">
        <v>0.68601174616897298</v>
      </c>
      <c r="G5564">
        <v>0.45675177943159601</v>
      </c>
      <c r="H5564">
        <v>0.27052043677134702</v>
      </c>
      <c r="I5564">
        <v>0.224637873174696</v>
      </c>
      <c r="J5564">
        <v>0.18336929190948001</v>
      </c>
      <c r="K5564">
        <v>0.149881341696674</v>
      </c>
      <c r="L5564">
        <v>683.85599540811995</v>
      </c>
      <c r="M5564">
        <v>12.384600015667001</v>
      </c>
      <c r="N5564">
        <v>56.026312529460498</v>
      </c>
      <c r="O5564">
        <v>53.837814872130899</v>
      </c>
      <c r="P5564">
        <v>-5.2816528417571403E-2</v>
      </c>
      <c r="Q5564">
        <v>8.1788599830739495E-2</v>
      </c>
      <c r="R5564">
        <v>0.996350508488967</v>
      </c>
      <c r="S5564" t="s">
        <v>11849</v>
      </c>
      <c r="T5564" t="s">
        <v>12568</v>
      </c>
      <c r="U5564" t="s">
        <v>12568</v>
      </c>
      <c r="V5564" t="s">
        <v>12568</v>
      </c>
      <c r="W5564" t="s">
        <v>18080</v>
      </c>
      <c r="X5564">
        <v>2</v>
      </c>
      <c r="Y5564" t="s">
        <v>24170</v>
      </c>
      <c r="Z5564" t="s">
        <v>30434</v>
      </c>
      <c r="AA5564">
        <v>0.56809607605901558</v>
      </c>
      <c r="AB5564" t="str">
        <f>HYPERLINK("Melting_Curves/meltCurve_Q9NUM4_TMEM106B.pdf", "Melting_Curves/meltCurve_Q9NUM4_TMEM106B.pdf")</f>
        <v>Melting_Curves/meltCurve_Q9NUM4_TMEM106B.pdf</v>
      </c>
    </row>
    <row r="5565" spans="1:28" x14ac:dyDescent="0.25">
      <c r="A5565" t="s">
        <v>5569</v>
      </c>
      <c r="B5565">
        <v>0.99352677808782597</v>
      </c>
      <c r="C5565">
        <v>0.99496728369015097</v>
      </c>
      <c r="D5565">
        <v>0.94150110080309402</v>
      </c>
      <c r="E5565">
        <v>0.81926271588715105</v>
      </c>
      <c r="F5565">
        <v>0.256594170328868</v>
      </c>
      <c r="G5565">
        <v>0.52845291395723704</v>
      </c>
      <c r="H5565">
        <v>0.36527009799535598</v>
      </c>
      <c r="I5565">
        <v>0.28621392751932301</v>
      </c>
      <c r="J5565">
        <v>0.30272661015522501</v>
      </c>
      <c r="K5565">
        <v>0.25949560655099302</v>
      </c>
      <c r="L5565">
        <v>12549.4720781868</v>
      </c>
      <c r="M5565">
        <v>250</v>
      </c>
      <c r="N5565">
        <v>50.419203932908303</v>
      </c>
      <c r="O5565">
        <v>50.194675998601099</v>
      </c>
      <c r="P5565">
        <v>-0.83036022038317603</v>
      </c>
      <c r="Q5565">
        <v>0.333125405429332</v>
      </c>
      <c r="R5565">
        <v>0.93992544940530298</v>
      </c>
      <c r="S5565" t="s">
        <v>11850</v>
      </c>
      <c r="T5565" t="s">
        <v>12568</v>
      </c>
      <c r="U5565" t="s">
        <v>12568</v>
      </c>
      <c r="V5565" t="s">
        <v>12568</v>
      </c>
      <c r="W5565" t="s">
        <v>18081</v>
      </c>
      <c r="X5565">
        <v>3</v>
      </c>
      <c r="Y5565" t="s">
        <v>24171</v>
      </c>
      <c r="Z5565" t="s">
        <v>30435</v>
      </c>
      <c r="AA5565">
        <v>0.55987457589022149</v>
      </c>
      <c r="AB5565" t="str">
        <f>HYPERLINK("Melting_Curves/meltCurve_Q9NUP1_BLOC1S4.pdf", "Melting_Curves/meltCurve_Q9NUP1_BLOC1S4.pdf")</f>
        <v>Melting_Curves/meltCurve_Q9NUP1_BLOC1S4.pdf</v>
      </c>
    </row>
    <row r="5566" spans="1:28" x14ac:dyDescent="0.25">
      <c r="A5566" t="s">
        <v>5570</v>
      </c>
      <c r="B5566">
        <v>0.99352677808782597</v>
      </c>
      <c r="C5566">
        <v>1.00064705430623</v>
      </c>
      <c r="D5566">
        <v>0.94292992149529298</v>
      </c>
      <c r="E5566">
        <v>0.60918578527071099</v>
      </c>
      <c r="F5566">
        <v>0.53410112655695696</v>
      </c>
      <c r="G5566">
        <v>0.22938301197326799</v>
      </c>
      <c r="H5566">
        <v>0.13416496877564399</v>
      </c>
      <c r="I5566">
        <v>0.121134534127097</v>
      </c>
      <c r="J5566">
        <v>0.11087067814669301</v>
      </c>
      <c r="K5566">
        <v>9.0947267033790996E-2</v>
      </c>
      <c r="L5566">
        <v>865.96893200985903</v>
      </c>
      <c r="M5566">
        <v>16.664869550442798</v>
      </c>
      <c r="N5566">
        <v>52.504474338795802</v>
      </c>
      <c r="O5566">
        <v>51.232783803223398</v>
      </c>
      <c r="P5566">
        <v>-7.4912018837739305E-2</v>
      </c>
      <c r="Q5566">
        <v>7.8853933634509599E-2</v>
      </c>
      <c r="R5566">
        <v>0.99008135626446103</v>
      </c>
      <c r="S5566" t="s">
        <v>11851</v>
      </c>
      <c r="T5566" t="s">
        <v>12568</v>
      </c>
      <c r="U5566" t="s">
        <v>12568</v>
      </c>
      <c r="V5566" t="s">
        <v>12568</v>
      </c>
      <c r="W5566" t="s">
        <v>18082</v>
      </c>
      <c r="X5566">
        <v>4</v>
      </c>
      <c r="Y5566" t="s">
        <v>24172</v>
      </c>
      <c r="Z5566" t="s">
        <v>30436</v>
      </c>
      <c r="AA5566">
        <v>0.46364779450313859</v>
      </c>
      <c r="AB5566" t="str">
        <f>HYPERLINK("Melting_Curves/meltCurve_Q9NUP7_TRMT13.pdf", "Melting_Curves/meltCurve_Q9NUP7_TRMT13.pdf")</f>
        <v>Melting_Curves/meltCurve_Q9NUP7_TRMT13.pdf</v>
      </c>
    </row>
    <row r="5567" spans="1:28" x14ac:dyDescent="0.25">
      <c r="A5567" t="s">
        <v>5571</v>
      </c>
      <c r="B5567">
        <v>0.99352677808782597</v>
      </c>
      <c r="C5567">
        <v>0.984242794743449</v>
      </c>
      <c r="D5567">
        <v>0.92753025171325598</v>
      </c>
      <c r="E5567">
        <v>0.96597703760270004</v>
      </c>
      <c r="F5567">
        <v>0.804422305634649</v>
      </c>
      <c r="G5567">
        <v>0.692876086036043</v>
      </c>
      <c r="H5567">
        <v>0.54086541935860299</v>
      </c>
      <c r="I5567">
        <v>0.46894507286910603</v>
      </c>
      <c r="J5567">
        <v>0.42490383057638897</v>
      </c>
      <c r="K5567">
        <v>0.30569911584757398</v>
      </c>
      <c r="L5567">
        <v>603.68753579438805</v>
      </c>
      <c r="M5567">
        <v>10.0316082628398</v>
      </c>
      <c r="N5567">
        <v>62.744221868637602</v>
      </c>
      <c r="O5567">
        <v>57.933823212293902</v>
      </c>
      <c r="P5567">
        <v>-3.6023322002831398E-2</v>
      </c>
      <c r="Q5567">
        <v>0.168242503953491</v>
      </c>
      <c r="R5567">
        <v>0.98677857024501903</v>
      </c>
      <c r="S5567" t="s">
        <v>11852</v>
      </c>
      <c r="T5567" t="s">
        <v>12568</v>
      </c>
      <c r="U5567" t="s">
        <v>12568</v>
      </c>
      <c r="V5567" t="s">
        <v>12568</v>
      </c>
      <c r="W5567" t="s">
        <v>18083</v>
      </c>
      <c r="X5567">
        <v>8</v>
      </c>
      <c r="Y5567" t="s">
        <v>24173</v>
      </c>
      <c r="Z5567" t="s">
        <v>30437</v>
      </c>
      <c r="AA5567">
        <v>0.72333207448130898</v>
      </c>
      <c r="AB5567" t="str">
        <f>HYPERLINK("Melting_Curves/meltCurve_Q9NUP9_LIN7C.pdf", "Melting_Curves/meltCurve_Q9NUP9_LIN7C.pdf")</f>
        <v>Melting_Curves/meltCurve_Q9NUP9_LIN7C.pdf</v>
      </c>
    </row>
    <row r="5568" spans="1:28" x14ac:dyDescent="0.25">
      <c r="A5568" t="s">
        <v>5572</v>
      </c>
      <c r="B5568">
        <v>0.99352677808782597</v>
      </c>
      <c r="C5568">
        <v>0.97115824123481398</v>
      </c>
      <c r="D5568">
        <v>0.98382925206750305</v>
      </c>
      <c r="E5568">
        <v>0.54398989074997395</v>
      </c>
      <c r="F5568">
        <v>0.447423409753617</v>
      </c>
      <c r="G5568">
        <v>0.30510705611382599</v>
      </c>
      <c r="H5568">
        <v>0.21431439695472501</v>
      </c>
      <c r="I5568">
        <v>0.207981985032093</v>
      </c>
      <c r="J5568">
        <v>0.19641171278568001</v>
      </c>
      <c r="K5568">
        <v>0.196603795469876</v>
      </c>
      <c r="L5568">
        <v>1074.52825874922</v>
      </c>
      <c r="M5568">
        <v>21.399268018271101</v>
      </c>
      <c r="N5568">
        <v>51.502404960846697</v>
      </c>
      <c r="O5568">
        <v>49.780985662111704</v>
      </c>
      <c r="P5568">
        <v>-8.5186368070540003E-2</v>
      </c>
      <c r="Q5568">
        <v>0.20734564083170501</v>
      </c>
      <c r="R5568">
        <v>0.984388608692917</v>
      </c>
      <c r="S5568" t="s">
        <v>11853</v>
      </c>
      <c r="T5568" t="s">
        <v>12568</v>
      </c>
      <c r="U5568" t="s">
        <v>12568</v>
      </c>
      <c r="V5568" t="s">
        <v>12568</v>
      </c>
      <c r="W5568" t="s">
        <v>18084</v>
      </c>
      <c r="X5568">
        <v>22</v>
      </c>
      <c r="Y5568" t="s">
        <v>24174</v>
      </c>
      <c r="Z5568" t="s">
        <v>30438</v>
      </c>
      <c r="AA5568">
        <v>0.48686568857505258</v>
      </c>
      <c r="AB5568" t="str">
        <f>HYPERLINK("Melting_Curves/meltCurve_Q9NUQ3_TXLNG.pdf", "Melting_Curves/meltCurve_Q9NUQ3_TXLNG.pdf")</f>
        <v>Melting_Curves/meltCurve_Q9NUQ3_TXLNG.pdf</v>
      </c>
    </row>
    <row r="5569" spans="1:28" x14ac:dyDescent="0.25">
      <c r="A5569" t="s">
        <v>5573</v>
      </c>
      <c r="B5569">
        <v>0.99352677808782597</v>
      </c>
      <c r="C5569">
        <v>0.90464639664766899</v>
      </c>
      <c r="D5569">
        <v>0.99940633650399602</v>
      </c>
      <c r="E5569">
        <v>0.71255887064304502</v>
      </c>
      <c r="F5569">
        <v>0.632086444692324</v>
      </c>
      <c r="G5569">
        <v>0.56405703302440302</v>
      </c>
      <c r="H5569">
        <v>0.55442505586909197</v>
      </c>
      <c r="I5569">
        <v>0.57646350182313599</v>
      </c>
      <c r="J5569">
        <v>0.44774635450053801</v>
      </c>
      <c r="K5569">
        <v>0.421471146835321</v>
      </c>
      <c r="L5569">
        <v>808.477386074636</v>
      </c>
      <c r="M5569">
        <v>16.030251739716</v>
      </c>
      <c r="N5569">
        <v>63.500949234761002</v>
      </c>
      <c r="O5569">
        <v>49.669188945641601</v>
      </c>
      <c r="P5569">
        <v>-4.1835974025576803E-2</v>
      </c>
      <c r="Q5569">
        <v>0.48153100514696501</v>
      </c>
      <c r="R5569">
        <v>0.92974126823971703</v>
      </c>
      <c r="S5569" t="s">
        <v>11854</v>
      </c>
      <c r="T5569" t="s">
        <v>12568</v>
      </c>
      <c r="U5569" t="s">
        <v>12568</v>
      </c>
      <c r="V5569" t="s">
        <v>12568</v>
      </c>
      <c r="W5569" t="s">
        <v>18085</v>
      </c>
      <c r="X5569">
        <v>10</v>
      </c>
      <c r="Y5569" t="s">
        <v>24175</v>
      </c>
      <c r="Z5569" t="s">
        <v>30439</v>
      </c>
      <c r="AA5569">
        <v>0.67271937174574448</v>
      </c>
      <c r="AB5569" t="str">
        <f>HYPERLINK("Melting_Curves/meltCurve_Q9NUQ6_2_SPATS2L.pdf", "Melting_Curves/meltCurve_Q9NUQ6_2_SPATS2L.pdf")</f>
        <v>Melting_Curves/meltCurve_Q9NUQ6_2_SPATS2L.pdf</v>
      </c>
    </row>
    <row r="5570" spans="1:28" x14ac:dyDescent="0.25">
      <c r="A5570" t="s">
        <v>5574</v>
      </c>
      <c r="B5570">
        <v>0.99352677808782597</v>
      </c>
      <c r="C5570">
        <v>0.63772664505218402</v>
      </c>
      <c r="D5570">
        <v>0.49645486662046401</v>
      </c>
      <c r="E5570">
        <v>0.31342297965200999</v>
      </c>
      <c r="F5570">
        <v>0.25952968573138102</v>
      </c>
      <c r="G5570">
        <v>0.18393420761620799</v>
      </c>
      <c r="H5570">
        <v>0.143149113014442</v>
      </c>
      <c r="I5570">
        <v>0.13499921909266199</v>
      </c>
      <c r="J5570">
        <v>0.119101438935814</v>
      </c>
      <c r="K5570">
        <v>8.82817473686381E-2</v>
      </c>
      <c r="L5570">
        <v>638.75122998831603</v>
      </c>
      <c r="M5570">
        <v>14.1324357004678</v>
      </c>
      <c r="N5570">
        <v>46.100429289132897</v>
      </c>
      <c r="O5570">
        <v>44.3214584178195</v>
      </c>
      <c r="P5570">
        <v>-7.0087449321521597E-2</v>
      </c>
      <c r="Q5570">
        <v>0.120893087817353</v>
      </c>
      <c r="R5570">
        <v>0.96912439483361001</v>
      </c>
      <c r="S5570" t="s">
        <v>11855</v>
      </c>
      <c r="T5570" t="s">
        <v>12568</v>
      </c>
      <c r="U5570" t="s">
        <v>12568</v>
      </c>
      <c r="V5570" t="s">
        <v>12568</v>
      </c>
      <c r="W5570" t="s">
        <v>18086</v>
      </c>
      <c r="X5570">
        <v>12</v>
      </c>
      <c r="Y5570" t="s">
        <v>24176</v>
      </c>
      <c r="Z5570" t="s">
        <v>30440</v>
      </c>
      <c r="AA5570">
        <v>0.30449503510683951</v>
      </c>
      <c r="AB5570" t="str">
        <f>HYPERLINK("Melting_Curves/meltCurve_Q9NUQ8_ABCF3.pdf", "Melting_Curves/meltCurve_Q9NUQ8_ABCF3.pdf")</f>
        <v>Melting_Curves/meltCurve_Q9NUQ8_ABCF3.pdf</v>
      </c>
    </row>
    <row r="5571" spans="1:28" x14ac:dyDescent="0.25">
      <c r="A5571" t="s">
        <v>5575</v>
      </c>
      <c r="B5571">
        <v>0.99352677808782597</v>
      </c>
      <c r="C5571">
        <v>0.97307273831461205</v>
      </c>
      <c r="D5571">
        <v>1.0281721651764899</v>
      </c>
      <c r="E5571">
        <v>0.96877203275868096</v>
      </c>
      <c r="F5571">
        <v>0.85801405749273696</v>
      </c>
      <c r="G5571">
        <v>0.78422550850783901</v>
      </c>
      <c r="H5571">
        <v>0.238177883458492</v>
      </c>
      <c r="I5571">
        <v>0.164615482085885</v>
      </c>
      <c r="J5571">
        <v>0.13234550000021</v>
      </c>
      <c r="K5571">
        <v>0.108916303117583</v>
      </c>
      <c r="L5571">
        <v>2200.59108358814</v>
      </c>
      <c r="M5571">
        <v>37.649740576451599</v>
      </c>
      <c r="N5571">
        <v>58.858308088706401</v>
      </c>
      <c r="O5571">
        <v>58.284877382598701</v>
      </c>
      <c r="P5571">
        <v>-0.14289231624972401</v>
      </c>
      <c r="Q5571">
        <v>0.115166428274459</v>
      </c>
      <c r="R5571">
        <v>0.98658239679704895</v>
      </c>
      <c r="S5571" t="s">
        <v>11856</v>
      </c>
      <c r="T5571" t="s">
        <v>12568</v>
      </c>
      <c r="U5571" t="s">
        <v>12568</v>
      </c>
      <c r="V5571" t="s">
        <v>12568</v>
      </c>
      <c r="W5571" t="s">
        <v>18087</v>
      </c>
      <c r="X5571">
        <v>16</v>
      </c>
      <c r="Y5571" t="s">
        <v>24177</v>
      </c>
      <c r="Z5571" t="s">
        <v>30441</v>
      </c>
      <c r="AA5571">
        <v>0.66321085215698683</v>
      </c>
      <c r="AB5571" t="str">
        <f>HYPERLINK("Melting_Curves/meltCurve_Q9NUQ9_FAM49B.pdf", "Melting_Curves/meltCurve_Q9NUQ9_FAM49B.pdf")</f>
        <v>Melting_Curves/meltCurve_Q9NUQ9_FAM49B.pdf</v>
      </c>
    </row>
    <row r="5572" spans="1:28" x14ac:dyDescent="0.25">
      <c r="A5572" t="s">
        <v>5576</v>
      </c>
      <c r="B5572">
        <v>0.99352677808782597</v>
      </c>
      <c r="C5572">
        <v>0.92845553414722704</v>
      </c>
      <c r="D5572">
        <v>0.90184373078761104</v>
      </c>
      <c r="E5572">
        <v>0.31089736310869298</v>
      </c>
      <c r="F5572">
        <v>0.25257830508336698</v>
      </c>
      <c r="G5572">
        <v>0.16501671606122501</v>
      </c>
      <c r="H5572">
        <v>0.124242169525503</v>
      </c>
      <c r="I5572">
        <v>0.121758084906682</v>
      </c>
      <c r="J5572">
        <v>0.10632237115108201</v>
      </c>
      <c r="K5572">
        <v>9.0899668813521101E-2</v>
      </c>
      <c r="L5572">
        <v>1614.1134442678999</v>
      </c>
      <c r="M5572">
        <v>33.3638231493413</v>
      </c>
      <c r="N5572">
        <v>48.819511229893301</v>
      </c>
      <c r="O5572">
        <v>48.206347974806398</v>
      </c>
      <c r="P5572">
        <v>-0.15054347785354399</v>
      </c>
      <c r="Q5572">
        <v>0.12994157228542799</v>
      </c>
      <c r="R5572">
        <v>0.98824088790796905</v>
      </c>
      <c r="S5572" t="s">
        <v>11857</v>
      </c>
      <c r="T5572" t="s">
        <v>12568</v>
      </c>
      <c r="U5572" t="s">
        <v>12568</v>
      </c>
      <c r="V5572" t="s">
        <v>12568</v>
      </c>
      <c r="W5572" t="s">
        <v>18088</v>
      </c>
      <c r="X5572">
        <v>26</v>
      </c>
      <c r="Y5572" t="s">
        <v>24178</v>
      </c>
      <c r="Z5572" t="s">
        <v>30442</v>
      </c>
      <c r="AA5572">
        <v>0.37717509181456682</v>
      </c>
      <c r="AB5572" t="str">
        <f>HYPERLINK("Melting_Curves/meltCurve_Q9NUU7_DDX19A.pdf", "Melting_Curves/meltCurve_Q9NUU7_DDX19A.pdf")</f>
        <v>Melting_Curves/meltCurve_Q9NUU7_DDX19A.pdf</v>
      </c>
    </row>
    <row r="5573" spans="1:28" x14ac:dyDescent="0.25">
      <c r="A5573" t="s">
        <v>5577</v>
      </c>
      <c r="B5573">
        <v>0.99352677808782597</v>
      </c>
      <c r="C5573">
        <v>0.92905363758873805</v>
      </c>
      <c r="D5573">
        <v>0.90637895549666303</v>
      </c>
      <c r="E5573">
        <v>0.29686520061957</v>
      </c>
      <c r="F5573">
        <v>0.25775936112016401</v>
      </c>
      <c r="G5573">
        <v>0.17989900151316701</v>
      </c>
      <c r="H5573">
        <v>0.14935115478241501</v>
      </c>
      <c r="I5573">
        <v>0.166899332660398</v>
      </c>
      <c r="J5573">
        <v>0.14383556662157501</v>
      </c>
      <c r="K5573">
        <v>0.112306951986133</v>
      </c>
      <c r="L5573">
        <v>1901.0726642754901</v>
      </c>
      <c r="M5573">
        <v>39.467299763844899</v>
      </c>
      <c r="N5573">
        <v>48.647387313356802</v>
      </c>
      <c r="O5573">
        <v>48.045127771122601</v>
      </c>
      <c r="P5573">
        <v>-0.17229713203331301</v>
      </c>
      <c r="Q5573">
        <v>0.16102491417096201</v>
      </c>
      <c r="R5573">
        <v>0.98878765691315695</v>
      </c>
      <c r="S5573" t="s">
        <v>11858</v>
      </c>
      <c r="T5573" t="s">
        <v>12568</v>
      </c>
      <c r="U5573" t="s">
        <v>12568</v>
      </c>
      <c r="V5573" t="s">
        <v>12568</v>
      </c>
      <c r="W5573" t="s">
        <v>18089</v>
      </c>
      <c r="X5573">
        <v>4</v>
      </c>
      <c r="Y5573" t="s">
        <v>24179</v>
      </c>
      <c r="Z5573" t="s">
        <v>30443</v>
      </c>
      <c r="AA5573">
        <v>0.39233582672211731</v>
      </c>
      <c r="AB5573" t="str">
        <f>HYPERLINK("Melting_Curves/meltCurve_Q9NUW8_TDP1.pdf", "Melting_Curves/meltCurve_Q9NUW8_TDP1.pdf")</f>
        <v>Melting_Curves/meltCurve_Q9NUW8_TDP1.pdf</v>
      </c>
    </row>
    <row r="5574" spans="1:28" x14ac:dyDescent="0.25">
      <c r="A5574" t="s">
        <v>5578</v>
      </c>
      <c r="B5574">
        <v>0.99352677808782597</v>
      </c>
      <c r="C5574">
        <v>0.93196000434176596</v>
      </c>
      <c r="D5574">
        <v>0.95070983619303495</v>
      </c>
      <c r="E5574">
        <v>0.42725945580553798</v>
      </c>
      <c r="F5574">
        <v>0.37301965716421198</v>
      </c>
      <c r="G5574">
        <v>0.17446208727372101</v>
      </c>
      <c r="H5574">
        <v>0.104831960383353</v>
      </c>
      <c r="I5574">
        <v>8.9425233859883296E-2</v>
      </c>
      <c r="J5574">
        <v>6.8220037341477094E-2</v>
      </c>
      <c r="K5574">
        <v>5.4305191851299499E-2</v>
      </c>
      <c r="L5574">
        <v>975.538545287734</v>
      </c>
      <c r="M5574">
        <v>19.533256739755799</v>
      </c>
      <c r="N5574">
        <v>50.367364842278299</v>
      </c>
      <c r="O5574">
        <v>49.427849458606602</v>
      </c>
      <c r="P5574">
        <v>-9.1295038835312495E-2</v>
      </c>
      <c r="Q5574">
        <v>7.5964694383935202E-2</v>
      </c>
      <c r="R5574">
        <v>0.98009836143723705</v>
      </c>
      <c r="S5574" t="s">
        <v>11859</v>
      </c>
      <c r="T5574" t="s">
        <v>12568</v>
      </c>
      <c r="U5574" t="s">
        <v>12568</v>
      </c>
      <c r="V5574" t="s">
        <v>12568</v>
      </c>
      <c r="W5574" t="s">
        <v>18090</v>
      </c>
      <c r="X5574">
        <v>7</v>
      </c>
      <c r="Y5574" t="s">
        <v>24180</v>
      </c>
      <c r="Z5574" t="s">
        <v>30444</v>
      </c>
      <c r="AA5574">
        <v>0.39567675721857232</v>
      </c>
      <c r="AB5574" t="str">
        <f>HYPERLINK("Melting_Curves/meltCurve_Q9NUY8_TBC1D23.pdf", "Melting_Curves/meltCurve_Q9NUY8_TBC1D23.pdf")</f>
        <v>Melting_Curves/meltCurve_Q9NUY8_TBC1D23.pdf</v>
      </c>
    </row>
    <row r="5575" spans="1:28" x14ac:dyDescent="0.25">
      <c r="A5575" t="s">
        <v>5579</v>
      </c>
      <c r="B5575">
        <v>0.99352677808782597</v>
      </c>
      <c r="C5575">
        <v>0.826519677422062</v>
      </c>
      <c r="D5575">
        <v>0.879631005902475</v>
      </c>
      <c r="E5575">
        <v>0.62500025491584099</v>
      </c>
      <c r="F5575">
        <v>0.57268542510478204</v>
      </c>
      <c r="G5575">
        <v>0.32504888631819001</v>
      </c>
      <c r="H5575">
        <v>0.24951465636383399</v>
      </c>
      <c r="I5575">
        <v>0.178424166878388</v>
      </c>
      <c r="J5575">
        <v>0.14641397138863799</v>
      </c>
      <c r="K5575">
        <v>9.3127646174401404E-2</v>
      </c>
      <c r="L5575">
        <v>498.72457748998897</v>
      </c>
      <c r="M5575">
        <v>9.3113333660388893</v>
      </c>
      <c r="N5575">
        <v>53.5610264828222</v>
      </c>
      <c r="O5575">
        <v>51.264604552457797</v>
      </c>
      <c r="P5575">
        <v>-4.5437203599677199E-2</v>
      </c>
      <c r="Q5575">
        <v>0</v>
      </c>
      <c r="R5575">
        <v>0.98331102192002295</v>
      </c>
      <c r="S5575" t="s">
        <v>11860</v>
      </c>
      <c r="T5575" t="s">
        <v>12568</v>
      </c>
      <c r="U5575" t="s">
        <v>12568</v>
      </c>
      <c r="V5575" t="s">
        <v>12568</v>
      </c>
      <c r="W5575" t="s">
        <v>18091</v>
      </c>
      <c r="X5575">
        <v>2</v>
      </c>
      <c r="Y5575" t="s">
        <v>24181</v>
      </c>
      <c r="Z5575" t="s">
        <v>30445</v>
      </c>
      <c r="AA5575">
        <v>0.48577036306031041</v>
      </c>
      <c r="AB5575" t="str">
        <f>HYPERLINK("Melting_Curves/meltCurve_Q9NV06_DCAF13.pdf", "Melting_Curves/meltCurve_Q9NV06_DCAF13.pdf")</f>
        <v>Melting_Curves/meltCurve_Q9NV06_DCAF13.pdf</v>
      </c>
    </row>
    <row r="5576" spans="1:28" x14ac:dyDescent="0.25">
      <c r="A5576" t="s">
        <v>5580</v>
      </c>
      <c r="B5576">
        <v>0.99352677808782597</v>
      </c>
      <c r="C5576">
        <v>0.87325126647853801</v>
      </c>
      <c r="D5576">
        <v>0.80065293362078205</v>
      </c>
      <c r="E5576">
        <v>0.35723603642993002</v>
      </c>
      <c r="F5576">
        <v>0.26231355064553102</v>
      </c>
      <c r="G5576">
        <v>0.13806827098157201</v>
      </c>
      <c r="H5576">
        <v>0.100784308736093</v>
      </c>
      <c r="I5576">
        <v>8.6337987486857407E-2</v>
      </c>
      <c r="J5576">
        <v>8.3051259816181999E-2</v>
      </c>
      <c r="K5576">
        <v>6.2323471054070302E-2</v>
      </c>
      <c r="L5576">
        <v>903.68227605054506</v>
      </c>
      <c r="M5576">
        <v>18.659175748918901</v>
      </c>
      <c r="N5576">
        <v>48.868226422414402</v>
      </c>
      <c r="O5576">
        <v>47.884996693032903</v>
      </c>
      <c r="P5576">
        <v>-8.9931165816960507E-2</v>
      </c>
      <c r="Q5576">
        <v>7.6879020897742401E-2</v>
      </c>
      <c r="R5576">
        <v>0.99248982771619898</v>
      </c>
      <c r="S5576" t="s">
        <v>11861</v>
      </c>
      <c r="T5576" t="s">
        <v>12568</v>
      </c>
      <c r="U5576" t="s">
        <v>12568</v>
      </c>
      <c r="V5576" t="s">
        <v>12568</v>
      </c>
      <c r="W5576" t="s">
        <v>18092</v>
      </c>
      <c r="X5576">
        <v>3</v>
      </c>
      <c r="Y5576" t="s">
        <v>24182</v>
      </c>
      <c r="Z5576" t="s">
        <v>30446</v>
      </c>
      <c r="AA5576">
        <v>0.35133955236161363</v>
      </c>
      <c r="AB5576" t="str">
        <f>HYPERLINK("Melting_Curves/meltCurve_Q9NV35_NUDT15.pdf", "Melting_Curves/meltCurve_Q9NV35_NUDT15.pdf")</f>
        <v>Melting_Curves/meltCurve_Q9NV35_NUDT15.pdf</v>
      </c>
    </row>
    <row r="5577" spans="1:28" x14ac:dyDescent="0.25">
      <c r="A5577" t="s">
        <v>5581</v>
      </c>
      <c r="B5577">
        <v>0.99352677808782597</v>
      </c>
      <c r="C5577">
        <v>0.921811486667377</v>
      </c>
      <c r="D5577">
        <v>1.01475023659487</v>
      </c>
      <c r="E5577">
        <v>0.91043327771208804</v>
      </c>
      <c r="F5577">
        <v>0.92221692496757002</v>
      </c>
      <c r="G5577">
        <v>0.58869917741466404</v>
      </c>
      <c r="H5577">
        <v>0.36717555684525199</v>
      </c>
      <c r="I5577">
        <v>0.346227768152507</v>
      </c>
      <c r="J5577">
        <v>0.371968242478314</v>
      </c>
      <c r="K5577">
        <v>0.343055542795209</v>
      </c>
      <c r="L5577">
        <v>1782.9591742980299</v>
      </c>
      <c r="M5577">
        <v>31.828274102570902</v>
      </c>
      <c r="N5577">
        <v>58.131747499950698</v>
      </c>
      <c r="O5577">
        <v>55.798348244768597</v>
      </c>
      <c r="P5577">
        <v>-9.3716120297449093E-2</v>
      </c>
      <c r="Q5577">
        <v>0.34282609800042102</v>
      </c>
      <c r="R5577">
        <v>0.98324023165471996</v>
      </c>
      <c r="S5577" t="s">
        <v>11862</v>
      </c>
      <c r="T5577" t="s">
        <v>12568</v>
      </c>
      <c r="U5577" t="s">
        <v>12568</v>
      </c>
      <c r="V5577" t="s">
        <v>12568</v>
      </c>
      <c r="W5577" t="s">
        <v>18093</v>
      </c>
      <c r="X5577">
        <v>5</v>
      </c>
      <c r="Y5577" t="s">
        <v>24183</v>
      </c>
      <c r="Z5577" t="s">
        <v>30447</v>
      </c>
      <c r="AA5577">
        <v>0.69764281087826618</v>
      </c>
      <c r="AB5577" t="str">
        <f>HYPERLINK("Melting_Curves/meltCurve_Q9NV56_MRGBP.pdf", "Melting_Curves/meltCurve_Q9NV56_MRGBP.pdf")</f>
        <v>Melting_Curves/meltCurve_Q9NV56_MRGBP.pdf</v>
      </c>
    </row>
    <row r="5578" spans="1:28" x14ac:dyDescent="0.25">
      <c r="A5578" t="s">
        <v>5582</v>
      </c>
      <c r="B5578">
        <v>0.99352677808782597</v>
      </c>
      <c r="C5578">
        <v>0.91185333485337705</v>
      </c>
      <c r="D5578">
        <v>0.84576278946090999</v>
      </c>
      <c r="E5578">
        <v>0.40514481630242899</v>
      </c>
      <c r="F5578">
        <v>0.32836378453725601</v>
      </c>
      <c r="G5578">
        <v>0.200324777655986</v>
      </c>
      <c r="H5578">
        <v>0.16244188931040701</v>
      </c>
      <c r="I5578">
        <v>0.161491368001075</v>
      </c>
      <c r="J5578">
        <v>0.14062413933858101</v>
      </c>
      <c r="K5578">
        <v>0.10122218408097799</v>
      </c>
      <c r="L5578">
        <v>963.82265884017602</v>
      </c>
      <c r="M5578">
        <v>19.778385956859498</v>
      </c>
      <c r="N5578">
        <v>49.551817553083801</v>
      </c>
      <c r="O5578">
        <v>48.241149799961299</v>
      </c>
      <c r="P5578">
        <v>-8.8184873761688903E-2</v>
      </c>
      <c r="Q5578">
        <v>0.139668023622605</v>
      </c>
      <c r="R5578">
        <v>0.99020042177747003</v>
      </c>
      <c r="S5578" t="s">
        <v>11863</v>
      </c>
      <c r="T5578" t="s">
        <v>12568</v>
      </c>
      <c r="U5578" t="s">
        <v>12568</v>
      </c>
      <c r="V5578" t="s">
        <v>12568</v>
      </c>
      <c r="W5578" t="s">
        <v>18094</v>
      </c>
      <c r="X5578">
        <v>6</v>
      </c>
      <c r="Y5578" t="s">
        <v>24184</v>
      </c>
      <c r="Z5578" t="s">
        <v>30448</v>
      </c>
      <c r="AA5578">
        <v>0.40242159396229782</v>
      </c>
      <c r="AB5578" t="str">
        <f>HYPERLINK("Melting_Curves/meltCurve_Q9NV70_2_EXOC1.pdf", "Melting_Curves/meltCurve_Q9NV70_2_EXOC1.pdf")</f>
        <v>Melting_Curves/meltCurve_Q9NV70_2_EXOC1.pdf</v>
      </c>
    </row>
    <row r="5579" spans="1:28" x14ac:dyDescent="0.25">
      <c r="A5579" t="s">
        <v>5583</v>
      </c>
      <c r="B5579">
        <v>0.99352677808782597</v>
      </c>
      <c r="C5579">
        <v>1.0152795567845401</v>
      </c>
      <c r="D5579">
        <v>0.96124202895060096</v>
      </c>
      <c r="E5579">
        <v>0.53953006556822203</v>
      </c>
      <c r="F5579">
        <v>0.451629552301272</v>
      </c>
      <c r="G5579">
        <v>0.30773994732751497</v>
      </c>
      <c r="H5579">
        <v>0.25755496897381502</v>
      </c>
      <c r="I5579">
        <v>0.24176429840108701</v>
      </c>
      <c r="J5579">
        <v>0.240647628906246</v>
      </c>
      <c r="K5579">
        <v>0.19580876385523599</v>
      </c>
      <c r="L5579">
        <v>1140.2634704560401</v>
      </c>
      <c r="M5579">
        <v>22.8572594141195</v>
      </c>
      <c r="N5579">
        <v>51.348888021676203</v>
      </c>
      <c r="O5579">
        <v>49.509137883826199</v>
      </c>
      <c r="P5579">
        <v>-8.7806472446991496E-2</v>
      </c>
      <c r="Q5579">
        <v>0.23925449691507999</v>
      </c>
      <c r="R5579">
        <v>0.98549934026972497</v>
      </c>
      <c r="S5579" t="s">
        <v>11864</v>
      </c>
      <c r="T5579" t="s">
        <v>12568</v>
      </c>
      <c r="U5579" t="s">
        <v>12568</v>
      </c>
      <c r="V5579" t="s">
        <v>12568</v>
      </c>
      <c r="W5579" t="s">
        <v>18095</v>
      </c>
      <c r="X5579">
        <v>8</v>
      </c>
      <c r="Y5579" t="s">
        <v>24185</v>
      </c>
      <c r="Z5579" t="s">
        <v>30449</v>
      </c>
      <c r="AA5579">
        <v>0.49808368956252941</v>
      </c>
      <c r="AB5579" t="str">
        <f>HYPERLINK("Melting_Curves/meltCurve_Q9NV88_3_INTS9.pdf", "Melting_Curves/meltCurve_Q9NV88_3_INTS9.pdf")</f>
        <v>Melting_Curves/meltCurve_Q9NV88_3_INTS9.pdf</v>
      </c>
    </row>
    <row r="5580" spans="1:28" x14ac:dyDescent="0.25">
      <c r="A5580" t="s">
        <v>5584</v>
      </c>
      <c r="B5580">
        <v>0.99352677808782597</v>
      </c>
      <c r="C5580">
        <v>0.96824062229060304</v>
      </c>
      <c r="D5580">
        <v>0.89093305677127599</v>
      </c>
      <c r="E5580">
        <v>0.81293794530610897</v>
      </c>
      <c r="F5580">
        <v>0.71033730616772095</v>
      </c>
      <c r="G5580">
        <v>0.59614798655324597</v>
      </c>
      <c r="H5580">
        <v>0.512834099714916</v>
      </c>
      <c r="I5580">
        <v>0.52858661176072397</v>
      </c>
      <c r="J5580">
        <v>0.50838623896903301</v>
      </c>
      <c r="K5580">
        <v>0.43048037575907899</v>
      </c>
      <c r="L5580">
        <v>588.21870464620099</v>
      </c>
      <c r="M5580">
        <v>11.1361501097313</v>
      </c>
      <c r="N5580">
        <v>64.068889181176303</v>
      </c>
      <c r="O5580">
        <v>51.203200664787801</v>
      </c>
      <c r="P5580">
        <v>-3.1044296558946999E-2</v>
      </c>
      <c r="Q5580">
        <v>0.42922589875525302</v>
      </c>
      <c r="R5580">
        <v>0.99005824297967504</v>
      </c>
      <c r="S5580" t="s">
        <v>11865</v>
      </c>
      <c r="T5580" t="s">
        <v>12568</v>
      </c>
      <c r="U5580" t="s">
        <v>12568</v>
      </c>
      <c r="V5580" t="s">
        <v>12568</v>
      </c>
      <c r="W5580" t="s">
        <v>18096</v>
      </c>
      <c r="X5580">
        <v>1</v>
      </c>
      <c r="Y5580" t="s">
        <v>24186</v>
      </c>
      <c r="Z5580" t="s">
        <v>30450</v>
      </c>
      <c r="AA5580">
        <v>0.69104173281074344</v>
      </c>
      <c r="AB5580" t="str">
        <f>HYPERLINK("Melting_Curves/meltCurve_Q9NVA4_TMEM184C.pdf", "Melting_Curves/meltCurve_Q9NVA4_TMEM184C.pdf")</f>
        <v>Melting_Curves/meltCurve_Q9NVA4_TMEM184C.pdf</v>
      </c>
    </row>
    <row r="5581" spans="1:28" x14ac:dyDescent="0.25">
      <c r="A5581" t="s">
        <v>5585</v>
      </c>
      <c r="B5581">
        <v>0.99352677808782597</v>
      </c>
      <c r="C5581">
        <v>0.94289188557791204</v>
      </c>
      <c r="D5581">
        <v>0.95754092293452597</v>
      </c>
      <c r="E5581">
        <v>0.62734026250467201</v>
      </c>
      <c r="F5581">
        <v>0.513691682189096</v>
      </c>
      <c r="G5581">
        <v>0.233961658738219</v>
      </c>
      <c r="H5581">
        <v>0.12506716151147201</v>
      </c>
      <c r="I5581">
        <v>0.10274505964373</v>
      </c>
      <c r="J5581">
        <v>8.9628122551203407E-2</v>
      </c>
      <c r="K5581">
        <v>7.1380374357700394E-2</v>
      </c>
      <c r="L5581">
        <v>845.33292103181702</v>
      </c>
      <c r="M5581">
        <v>16.210545138249799</v>
      </c>
      <c r="N5581">
        <v>52.533818380745601</v>
      </c>
      <c r="O5581">
        <v>51.372898664840903</v>
      </c>
      <c r="P5581">
        <v>-7.4455387510631105E-2</v>
      </c>
      <c r="Q5581">
        <v>5.6242975247050901E-2</v>
      </c>
      <c r="R5581">
        <v>0.99283278878467396</v>
      </c>
      <c r="S5581" t="s">
        <v>11866</v>
      </c>
      <c r="T5581" t="s">
        <v>12568</v>
      </c>
      <c r="U5581" t="s">
        <v>12568</v>
      </c>
      <c r="V5581" t="s">
        <v>12568</v>
      </c>
      <c r="W5581" t="s">
        <v>18097</v>
      </c>
      <c r="X5581">
        <v>12</v>
      </c>
      <c r="Y5581" t="s">
        <v>24187</v>
      </c>
      <c r="Z5581" t="s">
        <v>30451</v>
      </c>
      <c r="AA5581">
        <v>0.45698457368523271</v>
      </c>
      <c r="AB5581" t="str">
        <f>HYPERLINK("Melting_Curves/meltCurve_Q9NVD7_PARVA.pdf", "Melting_Curves/meltCurve_Q9NVD7_PARVA.pdf")</f>
        <v>Melting_Curves/meltCurve_Q9NVD7_PARVA.pdf</v>
      </c>
    </row>
    <row r="5582" spans="1:28" x14ac:dyDescent="0.25">
      <c r="A5582" t="s">
        <v>5586</v>
      </c>
      <c r="B5582">
        <v>0.99352677808782597</v>
      </c>
      <c r="C5582">
        <v>0.78534219624248702</v>
      </c>
      <c r="D5582">
        <v>0.51135319016775604</v>
      </c>
      <c r="E5582">
        <v>0.222816110440792</v>
      </c>
      <c r="F5582">
        <v>0.18438218104536699</v>
      </c>
      <c r="G5582">
        <v>0.10627333262796999</v>
      </c>
      <c r="H5582">
        <v>5.9855249466700601E-2</v>
      </c>
      <c r="I5582">
        <v>6.1355823129288001E-2</v>
      </c>
      <c r="J5582">
        <v>5.4368024158769901E-2</v>
      </c>
      <c r="K5582">
        <v>4.52308999643454E-2</v>
      </c>
      <c r="L5582">
        <v>833.91637870444595</v>
      </c>
      <c r="M5582">
        <v>18.1565836796761</v>
      </c>
      <c r="N5582">
        <v>46.261979110029301</v>
      </c>
      <c r="O5582">
        <v>45.382871092035501</v>
      </c>
      <c r="P5582">
        <v>-9.3899435164816594E-2</v>
      </c>
      <c r="Q5582">
        <v>6.1228073386764101E-2</v>
      </c>
      <c r="R5582">
        <v>0.993991299709446</v>
      </c>
      <c r="S5582" t="s">
        <v>11867</v>
      </c>
      <c r="T5582" t="s">
        <v>12568</v>
      </c>
      <c r="U5582" t="s">
        <v>12568</v>
      </c>
      <c r="V5582" t="s">
        <v>12568</v>
      </c>
      <c r="W5582" t="s">
        <v>18098</v>
      </c>
      <c r="X5582">
        <v>4</v>
      </c>
      <c r="Y5582" t="s">
        <v>24188</v>
      </c>
      <c r="Z5582" t="s">
        <v>30452</v>
      </c>
      <c r="AA5582">
        <v>0.26493993353885747</v>
      </c>
      <c r="AB5582" t="str">
        <f>HYPERLINK("Melting_Curves/meltCurve_Q9NVE5_USP40.pdf", "Melting_Curves/meltCurve_Q9NVE5_USP40.pdf")</f>
        <v>Melting_Curves/meltCurve_Q9NVE5_USP40.pdf</v>
      </c>
    </row>
    <row r="5583" spans="1:28" x14ac:dyDescent="0.25">
      <c r="A5583" t="s">
        <v>5587</v>
      </c>
      <c r="B5583">
        <v>0.99352677808782597</v>
      </c>
      <c r="C5583">
        <v>0.86780934056349202</v>
      </c>
      <c r="D5583">
        <v>0.59906979418736805</v>
      </c>
      <c r="E5583">
        <v>0.21545120439836299</v>
      </c>
      <c r="F5583">
        <v>0.14921857412394601</v>
      </c>
      <c r="G5583">
        <v>7.2782768066502801E-2</v>
      </c>
      <c r="H5583">
        <v>4.6600672893666303E-2</v>
      </c>
      <c r="I5583">
        <v>4.23261911411019E-2</v>
      </c>
      <c r="J5583">
        <v>3.3483320494639701E-2</v>
      </c>
      <c r="K5583">
        <v>2.9449886463049999E-2</v>
      </c>
      <c r="L5583">
        <v>971.12129924006899</v>
      </c>
      <c r="M5583">
        <v>20.786647428304899</v>
      </c>
      <c r="N5583">
        <v>46.910649323510299</v>
      </c>
      <c r="O5583">
        <v>46.292577277260897</v>
      </c>
      <c r="P5583">
        <v>-0.10767908285410301</v>
      </c>
      <c r="Q5583">
        <v>4.0806746086366703E-2</v>
      </c>
      <c r="R5583">
        <v>0.99812016370641099</v>
      </c>
      <c r="S5583" t="s">
        <v>11868</v>
      </c>
      <c r="T5583" t="s">
        <v>12568</v>
      </c>
      <c r="U5583" t="s">
        <v>12568</v>
      </c>
      <c r="V5583" t="s">
        <v>12568</v>
      </c>
      <c r="W5583" t="s">
        <v>18099</v>
      </c>
      <c r="X5583">
        <v>15</v>
      </c>
      <c r="Y5583" t="s">
        <v>24189</v>
      </c>
      <c r="Z5583" t="s">
        <v>30453</v>
      </c>
      <c r="AA5583">
        <v>0.26865879886252569</v>
      </c>
      <c r="AB5583" t="str">
        <f>HYPERLINK("Melting_Curves/meltCurve_Q9NVE7_PANK4.pdf", "Melting_Curves/meltCurve_Q9NVE7_PANK4.pdf")</f>
        <v>Melting_Curves/meltCurve_Q9NVE7_PANK4.pdf</v>
      </c>
    </row>
    <row r="5584" spans="1:28" x14ac:dyDescent="0.25">
      <c r="A5584" t="s">
        <v>5588</v>
      </c>
      <c r="B5584">
        <v>0.99352677808782597</v>
      </c>
      <c r="C5584">
        <v>0.99098830679899397</v>
      </c>
      <c r="D5584">
        <v>0.90473260437374703</v>
      </c>
      <c r="E5584">
        <v>0.41800825717700901</v>
      </c>
      <c r="F5584">
        <v>0.38476997093142801</v>
      </c>
      <c r="G5584">
        <v>0.53546589317869797</v>
      </c>
      <c r="H5584">
        <v>0.27956500026932402</v>
      </c>
      <c r="I5584">
        <v>0.14552829673065801</v>
      </c>
      <c r="J5584">
        <v>8.6612128056885798E-2</v>
      </c>
      <c r="K5584">
        <v>0.16586358644673099</v>
      </c>
      <c r="L5584">
        <v>651.38959920439095</v>
      </c>
      <c r="M5584">
        <v>12.9369961199718</v>
      </c>
      <c r="N5584">
        <v>51.759567601007397</v>
      </c>
      <c r="O5584">
        <v>49.193401210918601</v>
      </c>
      <c r="P5584">
        <v>-5.5999752129962298E-2</v>
      </c>
      <c r="Q5584">
        <v>0.148389280063251</v>
      </c>
      <c r="R5584">
        <v>0.89513557065150096</v>
      </c>
      <c r="S5584" t="s">
        <v>11869</v>
      </c>
      <c r="T5584" t="s">
        <v>12568</v>
      </c>
      <c r="U5584" t="s">
        <v>12568</v>
      </c>
      <c r="V5584" t="s">
        <v>12568</v>
      </c>
      <c r="W5584" t="s">
        <v>18100</v>
      </c>
      <c r="X5584">
        <v>2</v>
      </c>
      <c r="Y5584" t="s">
        <v>24190</v>
      </c>
      <c r="Z5584" t="s">
        <v>30454</v>
      </c>
      <c r="AA5584">
        <v>0.46790901410204638</v>
      </c>
      <c r="AB5584" t="str">
        <f>HYPERLINK("Melting_Curves/meltCurve_Q9NVF7_FBXO28.pdf", "Melting_Curves/meltCurve_Q9NVF7_FBXO28.pdf")</f>
        <v>Melting_Curves/meltCurve_Q9NVF7_FBXO28.pdf</v>
      </c>
    </row>
    <row r="5585" spans="1:28" x14ac:dyDescent="0.25">
      <c r="A5585" t="s">
        <v>5589</v>
      </c>
      <c r="B5585">
        <v>0.99352677808782597</v>
      </c>
      <c r="C5585">
        <v>0.847370176278326</v>
      </c>
      <c r="D5585">
        <v>0.89114994970144401</v>
      </c>
      <c r="E5585">
        <v>0.83135427694131703</v>
      </c>
      <c r="F5585">
        <v>0.714440480755546</v>
      </c>
      <c r="G5585">
        <v>0.43243133333625899</v>
      </c>
      <c r="H5585">
        <v>0.153815876776358</v>
      </c>
      <c r="I5585">
        <v>0.16956605170601599</v>
      </c>
      <c r="J5585">
        <v>8.8832965259281901E-2</v>
      </c>
      <c r="K5585">
        <v>6.6437819288540895E-2</v>
      </c>
      <c r="L5585">
        <v>763.56852653527096</v>
      </c>
      <c r="M5585">
        <v>13.7203933374022</v>
      </c>
      <c r="N5585">
        <v>55.652088872204402</v>
      </c>
      <c r="O5585">
        <v>54.509813517083899</v>
      </c>
      <c r="P5585">
        <v>-6.29352688923763E-2</v>
      </c>
      <c r="Q5585">
        <v>0</v>
      </c>
      <c r="R5585">
        <v>0.97542558048716799</v>
      </c>
      <c r="S5585" t="s">
        <v>11870</v>
      </c>
      <c r="T5585" t="s">
        <v>12568</v>
      </c>
      <c r="U5585" t="s">
        <v>12568</v>
      </c>
      <c r="V5585" t="s">
        <v>12568</v>
      </c>
      <c r="W5585" t="s">
        <v>18101</v>
      </c>
      <c r="X5585">
        <v>17</v>
      </c>
      <c r="Y5585" t="s">
        <v>24191</v>
      </c>
      <c r="Z5585" t="s">
        <v>30455</v>
      </c>
      <c r="AA5585">
        <v>0.54148832467716979</v>
      </c>
      <c r="AB5585" t="str">
        <f>HYPERLINK("Melting_Curves/meltCurve_Q9NVG8_TBC1D13.pdf", "Melting_Curves/meltCurve_Q9NVG8_TBC1D13.pdf")</f>
        <v>Melting_Curves/meltCurve_Q9NVG8_TBC1D13.pdf</v>
      </c>
    </row>
    <row r="5586" spans="1:28" x14ac:dyDescent="0.25">
      <c r="A5586" t="s">
        <v>5590</v>
      </c>
      <c r="B5586">
        <v>0.99352677808782597</v>
      </c>
      <c r="C5586">
        <v>1.0370612476607</v>
      </c>
      <c r="D5586">
        <v>0.86343695166145595</v>
      </c>
      <c r="E5586">
        <v>0.36532546412747802</v>
      </c>
      <c r="F5586">
        <v>0.28314144621524601</v>
      </c>
      <c r="G5586">
        <v>0.113999321850477</v>
      </c>
      <c r="H5586">
        <v>5.3256675232987702E-2</v>
      </c>
      <c r="I5586">
        <v>6.3477804816414796E-2</v>
      </c>
      <c r="J5586">
        <v>3.1746229007482703E-2</v>
      </c>
      <c r="K5586">
        <v>2.4712900409592599E-2</v>
      </c>
      <c r="L5586">
        <v>1127.64299754699</v>
      </c>
      <c r="M5586">
        <v>22.9331150665232</v>
      </c>
      <c r="N5586">
        <v>49.407019308960997</v>
      </c>
      <c r="O5586">
        <v>48.801644496665503</v>
      </c>
      <c r="P5586">
        <v>-0.11138689010491</v>
      </c>
      <c r="Q5586">
        <v>5.1893208827704297E-2</v>
      </c>
      <c r="R5586">
        <v>0.98807070942490705</v>
      </c>
      <c r="S5586" t="s">
        <v>11871</v>
      </c>
      <c r="T5586" t="s">
        <v>12568</v>
      </c>
      <c r="U5586" t="s">
        <v>12568</v>
      </c>
      <c r="V5586" t="s">
        <v>12568</v>
      </c>
      <c r="W5586" t="s">
        <v>18102</v>
      </c>
      <c r="X5586">
        <v>4</v>
      </c>
      <c r="Y5586" t="s">
        <v>24192</v>
      </c>
      <c r="Z5586" t="s">
        <v>30456</v>
      </c>
      <c r="AA5586">
        <v>0.3517663419387641</v>
      </c>
      <c r="AB5586" t="str">
        <f>HYPERLINK("Melting_Curves/meltCurve_Q9NVH2_3_INTS7.pdf", "Melting_Curves/meltCurve_Q9NVH2_3_INTS7.pdf")</f>
        <v>Melting_Curves/meltCurve_Q9NVH2_3_INTS7.pdf</v>
      </c>
    </row>
    <row r="5587" spans="1:28" x14ac:dyDescent="0.25">
      <c r="A5587" t="s">
        <v>5591</v>
      </c>
      <c r="B5587">
        <v>0.99352677808782597</v>
      </c>
      <c r="C5587">
        <v>0.907445964105003</v>
      </c>
      <c r="D5587">
        <v>0.95437022658427395</v>
      </c>
      <c r="E5587">
        <v>0.98463568388711897</v>
      </c>
      <c r="F5587">
        <v>0.87340154809648196</v>
      </c>
      <c r="G5587">
        <v>0.74599134695784597</v>
      </c>
      <c r="H5587">
        <v>0.54670202549690305</v>
      </c>
      <c r="I5587">
        <v>0.31828366022052201</v>
      </c>
      <c r="J5587">
        <v>0.224334918708365</v>
      </c>
      <c r="K5587">
        <v>0.18549168310175701</v>
      </c>
      <c r="L5587">
        <v>888.15745637871396</v>
      </c>
      <c r="M5587">
        <v>14.595653486037801</v>
      </c>
      <c r="N5587">
        <v>61.199263810052599</v>
      </c>
      <c r="O5587">
        <v>59.742771459346102</v>
      </c>
      <c r="P5587">
        <v>-5.8648434964308299E-2</v>
      </c>
      <c r="Q5587">
        <v>3.9871388615990398E-2</v>
      </c>
      <c r="R5587">
        <v>0.98522224021758897</v>
      </c>
      <c r="S5587" t="s">
        <v>11872</v>
      </c>
      <c r="T5587" t="s">
        <v>12568</v>
      </c>
      <c r="U5587" t="s">
        <v>12568</v>
      </c>
      <c r="V5587" t="s">
        <v>12568</v>
      </c>
      <c r="W5587" t="s">
        <v>18103</v>
      </c>
      <c r="X5587">
        <v>1</v>
      </c>
      <c r="Y5587" t="s">
        <v>24193</v>
      </c>
      <c r="Z5587" t="s">
        <v>30457</v>
      </c>
      <c r="AA5587">
        <v>0.70970475189653071</v>
      </c>
      <c r="AB5587" t="str">
        <f>HYPERLINK("Melting_Curves/meltCurve_Q9NVH6_7_TMLHE.pdf", "Melting_Curves/meltCurve_Q9NVH6_7_TMLHE.pdf")</f>
        <v>Melting_Curves/meltCurve_Q9NVH6_7_TMLHE.pdf</v>
      </c>
    </row>
    <row r="5588" spans="1:28" x14ac:dyDescent="0.25">
      <c r="A5588" t="s">
        <v>5592</v>
      </c>
      <c r="B5588">
        <v>0.99352677808782597</v>
      </c>
      <c r="C5588">
        <v>0.92570747887814098</v>
      </c>
      <c r="D5588">
        <v>0.65699378906405403</v>
      </c>
      <c r="E5588">
        <v>0.25310840570029203</v>
      </c>
      <c r="F5588">
        <v>0.19555446188277001</v>
      </c>
      <c r="G5588">
        <v>0.1137207710671</v>
      </c>
      <c r="H5588">
        <v>8.7865680470958593E-2</v>
      </c>
      <c r="I5588">
        <v>7.2984230721918494E-2</v>
      </c>
      <c r="J5588">
        <v>6.8554539826382294E-2</v>
      </c>
      <c r="K5588">
        <v>5.44077314119885E-2</v>
      </c>
      <c r="L5588">
        <v>1051.29889957823</v>
      </c>
      <c r="M5588">
        <v>22.3087870069945</v>
      </c>
      <c r="N5588">
        <v>47.486717446526796</v>
      </c>
      <c r="O5588">
        <v>46.751115543862099</v>
      </c>
      <c r="P5588">
        <v>-0.1099733608046</v>
      </c>
      <c r="Q5588">
        <v>7.8162465631594805E-2</v>
      </c>
      <c r="R5588">
        <v>0.99658147084390802</v>
      </c>
      <c r="S5588" t="s">
        <v>11873</v>
      </c>
      <c r="T5588" t="s">
        <v>12568</v>
      </c>
      <c r="U5588" t="s">
        <v>12568</v>
      </c>
      <c r="V5588" t="s">
        <v>12568</v>
      </c>
      <c r="W5588" t="s">
        <v>18104</v>
      </c>
      <c r="X5588">
        <v>25</v>
      </c>
      <c r="Y5588" t="s">
        <v>24194</v>
      </c>
      <c r="Z5588" t="s">
        <v>30458</v>
      </c>
      <c r="AA5588">
        <v>0.30764901984692988</v>
      </c>
      <c r="AB5588" t="str">
        <f>HYPERLINK("Melting_Curves/meltCurve_Q9NVI1_FANCI.pdf", "Melting_Curves/meltCurve_Q9NVI1_FANCI.pdf")</f>
        <v>Melting_Curves/meltCurve_Q9NVI1_FANCI.pdf</v>
      </c>
    </row>
    <row r="5589" spans="1:28" x14ac:dyDescent="0.25">
      <c r="A5589" t="s">
        <v>5593</v>
      </c>
      <c r="B5589">
        <v>0.99352677808782597</v>
      </c>
      <c r="C5589">
        <v>0.95657319190069001</v>
      </c>
      <c r="D5589">
        <v>0.89643799308654204</v>
      </c>
      <c r="E5589">
        <v>1.1545516794852799</v>
      </c>
      <c r="F5589">
        <v>0.83972401422551401</v>
      </c>
      <c r="G5589">
        <v>0.78368488600377195</v>
      </c>
      <c r="H5589">
        <v>0.424200423054852</v>
      </c>
      <c r="I5589">
        <v>0.68186126728233998</v>
      </c>
      <c r="J5589">
        <v>0.71684395297084702</v>
      </c>
      <c r="K5589">
        <v>0.86192104966499705</v>
      </c>
      <c r="L5589">
        <v>13245.0636378053</v>
      </c>
      <c r="M5589">
        <v>250</v>
      </c>
      <c r="O5589">
        <v>52.976865224476903</v>
      </c>
      <c r="P5589">
        <v>-0.36135785930529801</v>
      </c>
      <c r="Q5589">
        <v>0.69370230071145</v>
      </c>
      <c r="R5589">
        <v>0.58826604545495997</v>
      </c>
      <c r="S5589" t="s">
        <v>11874</v>
      </c>
      <c r="T5589" t="s">
        <v>12568</v>
      </c>
      <c r="U5589" t="s">
        <v>12568</v>
      </c>
      <c r="V5589" t="s">
        <v>12568</v>
      </c>
      <c r="W5589" t="s">
        <v>18105</v>
      </c>
      <c r="X5589">
        <v>4</v>
      </c>
      <c r="Y5589" t="s">
        <v>24195</v>
      </c>
      <c r="Z5589" t="s">
        <v>30459</v>
      </c>
      <c r="AA5589">
        <v>0.82625818363246839</v>
      </c>
      <c r="AB5589" t="str">
        <f>HYPERLINK("Melting_Curves/meltCurve_Q9NVJ2_ARL8B.pdf", "Melting_Curves/meltCurve_Q9NVJ2_ARL8B.pdf")</f>
        <v>Melting_Curves/meltCurve_Q9NVJ2_ARL8B.pdf</v>
      </c>
    </row>
    <row r="5590" spans="1:28" x14ac:dyDescent="0.25">
      <c r="A5590" t="s">
        <v>5594</v>
      </c>
      <c r="B5590">
        <v>0.99352677808782597</v>
      </c>
      <c r="C5590">
        <v>0.98044066814595798</v>
      </c>
      <c r="D5590">
        <v>0.88330849747894102</v>
      </c>
      <c r="E5590">
        <v>0.46700395406731599</v>
      </c>
      <c r="F5590">
        <v>0.40122824660444301</v>
      </c>
      <c r="G5590">
        <v>0.242711618639673</v>
      </c>
      <c r="H5590">
        <v>0.18538990702354999</v>
      </c>
      <c r="I5590">
        <v>0.17102635143199699</v>
      </c>
      <c r="J5590">
        <v>0.11624885842699299</v>
      </c>
      <c r="K5590">
        <v>0.101366098086194</v>
      </c>
      <c r="L5590">
        <v>889.13326337689796</v>
      </c>
      <c r="M5590">
        <v>17.868508741989601</v>
      </c>
      <c r="N5590">
        <v>50.653897225406801</v>
      </c>
      <c r="O5590">
        <v>49.149109382472702</v>
      </c>
      <c r="P5590">
        <v>-7.8600359628442099E-2</v>
      </c>
      <c r="Q5590">
        <v>0.13525151082188699</v>
      </c>
      <c r="R5590">
        <v>0.98677143470936701</v>
      </c>
      <c r="S5590" t="s">
        <v>11875</v>
      </c>
      <c r="T5590" t="s">
        <v>12568</v>
      </c>
      <c r="U5590" t="s">
        <v>12568</v>
      </c>
      <c r="V5590" t="s">
        <v>12568</v>
      </c>
      <c r="W5590" t="s">
        <v>18106</v>
      </c>
      <c r="X5590">
        <v>6</v>
      </c>
      <c r="Y5590" t="s">
        <v>24196</v>
      </c>
      <c r="Z5590" t="s">
        <v>30460</v>
      </c>
      <c r="AA5590">
        <v>0.43158171913757842</v>
      </c>
      <c r="AB5590" t="str">
        <f>HYPERLINK("Melting_Curves/meltCurve_Q9NVM4_3_PRMT7.pdf", "Melting_Curves/meltCurve_Q9NVM4_3_PRMT7.pdf")</f>
        <v>Melting_Curves/meltCurve_Q9NVM4_3_PRMT7.pdf</v>
      </c>
    </row>
    <row r="5591" spans="1:28" x14ac:dyDescent="0.25">
      <c r="A5591" t="s">
        <v>5595</v>
      </c>
      <c r="B5591">
        <v>0.99352677808782597</v>
      </c>
      <c r="C5591">
        <v>1.00529404832299</v>
      </c>
      <c r="D5591">
        <v>0.97604492895509498</v>
      </c>
      <c r="E5591">
        <v>0.758139598574322</v>
      </c>
      <c r="F5591">
        <v>0.67302290694376998</v>
      </c>
      <c r="G5591">
        <v>0.41711983667980601</v>
      </c>
      <c r="H5591">
        <v>0.30377109223174997</v>
      </c>
      <c r="I5591">
        <v>0.26472623170729798</v>
      </c>
      <c r="J5591">
        <v>0.21025471833199399</v>
      </c>
      <c r="K5591">
        <v>0.17968477240745701</v>
      </c>
      <c r="L5591">
        <v>786.65558475867203</v>
      </c>
      <c r="M5591">
        <v>14.547292641045701</v>
      </c>
      <c r="N5591">
        <v>55.604990536039402</v>
      </c>
      <c r="O5591">
        <v>53.084700928432497</v>
      </c>
      <c r="P5591">
        <v>-5.7221332624882403E-2</v>
      </c>
      <c r="Q5591">
        <v>0.16486690961814701</v>
      </c>
      <c r="R5591">
        <v>0.99443176200599803</v>
      </c>
      <c r="S5591" t="s">
        <v>11876</v>
      </c>
      <c r="T5591" t="s">
        <v>12568</v>
      </c>
      <c r="U5591" t="s">
        <v>12568</v>
      </c>
      <c r="V5591" t="s">
        <v>12568</v>
      </c>
      <c r="W5591" t="s">
        <v>18107</v>
      </c>
      <c r="X5591">
        <v>6</v>
      </c>
      <c r="Y5591" t="s">
        <v>24197</v>
      </c>
      <c r="Z5591" t="s">
        <v>30461</v>
      </c>
      <c r="AA5591">
        <v>0.57441054743981657</v>
      </c>
      <c r="AB5591" t="str">
        <f>HYPERLINK("Melting_Curves/meltCurve_Q9NVM6_DNAJC17.pdf", "Melting_Curves/meltCurve_Q9NVM6_DNAJC17.pdf")</f>
        <v>Melting_Curves/meltCurve_Q9NVM6_DNAJC17.pdf</v>
      </c>
    </row>
    <row r="5592" spans="1:28" x14ac:dyDescent="0.25">
      <c r="A5592" t="s">
        <v>5596</v>
      </c>
      <c r="B5592">
        <v>0.99352677808782597</v>
      </c>
      <c r="C5592">
        <v>0.974694371094315</v>
      </c>
      <c r="D5592">
        <v>0.88805992728846195</v>
      </c>
      <c r="E5592">
        <v>0.30600987432017901</v>
      </c>
      <c r="F5592">
        <v>0.219557016435559</v>
      </c>
      <c r="G5592">
        <v>0.13571653092838401</v>
      </c>
      <c r="H5592">
        <v>7.8534529482857801E-2</v>
      </c>
      <c r="I5592">
        <v>6.5509487177842496E-2</v>
      </c>
      <c r="J5592">
        <v>5.5194263218328099E-2</v>
      </c>
      <c r="K5592">
        <v>4.4457859352803102E-2</v>
      </c>
      <c r="L5592">
        <v>1480.6273513717299</v>
      </c>
      <c r="M5592">
        <v>30.4950767240319</v>
      </c>
      <c r="N5592">
        <v>48.8373837718405</v>
      </c>
      <c r="O5592">
        <v>48.345628024067203</v>
      </c>
      <c r="P5592">
        <v>-0.14486524538760601</v>
      </c>
      <c r="Q5592">
        <v>8.1352008785216201E-2</v>
      </c>
      <c r="R5592">
        <v>0.99155381996270897</v>
      </c>
      <c r="S5592" t="s">
        <v>11877</v>
      </c>
      <c r="T5592" t="s">
        <v>12568</v>
      </c>
      <c r="U5592" t="s">
        <v>12568</v>
      </c>
      <c r="V5592" t="s">
        <v>12568</v>
      </c>
      <c r="W5592" t="s">
        <v>18108</v>
      </c>
      <c r="X5592">
        <v>12</v>
      </c>
      <c r="Y5592" t="s">
        <v>24198</v>
      </c>
      <c r="Z5592" t="s">
        <v>30462</v>
      </c>
      <c r="AA5592">
        <v>0.348635517020913</v>
      </c>
      <c r="AB5592" t="str">
        <f>HYPERLINK("Melting_Curves/meltCurve_Q9NVM9_ASUN.pdf", "Melting_Curves/meltCurve_Q9NVM9_ASUN.pdf")</f>
        <v>Melting_Curves/meltCurve_Q9NVM9_ASUN.pdf</v>
      </c>
    </row>
    <row r="5593" spans="1:28" x14ac:dyDescent="0.25">
      <c r="A5593" t="s">
        <v>5597</v>
      </c>
      <c r="B5593">
        <v>0.99352677808782597</v>
      </c>
      <c r="C5593">
        <v>0.97617404986520395</v>
      </c>
      <c r="D5593">
        <v>0.72980763015625305</v>
      </c>
      <c r="E5593">
        <v>0.33056418014668398</v>
      </c>
      <c r="F5593">
        <v>0.25720093699500102</v>
      </c>
      <c r="G5593">
        <v>0.159000545834209</v>
      </c>
      <c r="H5593">
        <v>0.120731467663791</v>
      </c>
      <c r="I5593">
        <v>9.8879496548524307E-2</v>
      </c>
      <c r="J5593">
        <v>7.4302990326226004E-2</v>
      </c>
      <c r="K5593">
        <v>5.7220082997320301E-2</v>
      </c>
      <c r="L5593">
        <v>993.92254743366595</v>
      </c>
      <c r="M5593">
        <v>20.706219739178</v>
      </c>
      <c r="N5593">
        <v>48.493040395946103</v>
      </c>
      <c r="O5593">
        <v>47.560190182652399</v>
      </c>
      <c r="P5593">
        <v>-9.8535361695643794E-2</v>
      </c>
      <c r="Q5593">
        <v>9.47211131380679E-2</v>
      </c>
      <c r="R5593">
        <v>0.99235678140189099</v>
      </c>
      <c r="S5593" t="s">
        <v>11878</v>
      </c>
      <c r="T5593" t="s">
        <v>12568</v>
      </c>
      <c r="U5593" t="s">
        <v>12568</v>
      </c>
      <c r="V5593" t="s">
        <v>12568</v>
      </c>
      <c r="W5593" t="s">
        <v>18109</v>
      </c>
      <c r="X5593">
        <v>5</v>
      </c>
      <c r="Y5593" t="s">
        <v>24199</v>
      </c>
      <c r="Z5593" t="s">
        <v>30463</v>
      </c>
      <c r="AA5593">
        <v>0.34811483021376438</v>
      </c>
      <c r="AB5593" t="str">
        <f>HYPERLINK("Melting_Curves/meltCurve_Q9NVN3_RIC8B.pdf", "Melting_Curves/meltCurve_Q9NVN3_RIC8B.pdf")</f>
        <v>Melting_Curves/meltCurve_Q9NVN3_RIC8B.pdf</v>
      </c>
    </row>
    <row r="5594" spans="1:28" x14ac:dyDescent="0.25">
      <c r="A5594" t="s">
        <v>5598</v>
      </c>
      <c r="B5594">
        <v>0.99352677808782597</v>
      </c>
      <c r="C5594">
        <v>0.840849692420231</v>
      </c>
      <c r="D5594">
        <v>0.87737773430832999</v>
      </c>
      <c r="E5594">
        <v>0.58333347049419704</v>
      </c>
      <c r="F5594">
        <v>0.46903502737878899</v>
      </c>
      <c r="G5594">
        <v>0.32705375944220599</v>
      </c>
      <c r="H5594">
        <v>0.26806262120428298</v>
      </c>
      <c r="I5594">
        <v>0.233887386848905</v>
      </c>
      <c r="J5594">
        <v>0.19048868654078999</v>
      </c>
      <c r="K5594">
        <v>0.184975838345908</v>
      </c>
      <c r="L5594">
        <v>617.79306818997702</v>
      </c>
      <c r="M5594">
        <v>12.209028646092101</v>
      </c>
      <c r="N5594">
        <v>52.276646932090202</v>
      </c>
      <c r="O5594">
        <v>49.301227481147002</v>
      </c>
      <c r="P5594">
        <v>-5.1898842021357597E-2</v>
      </c>
      <c r="Q5594">
        <v>0.161899129477101</v>
      </c>
      <c r="R5594">
        <v>0.985813414555189</v>
      </c>
      <c r="S5594" t="s">
        <v>11879</v>
      </c>
      <c r="T5594" t="s">
        <v>12568</v>
      </c>
      <c r="U5594" t="s">
        <v>12568</v>
      </c>
      <c r="V5594" t="s">
        <v>12568</v>
      </c>
      <c r="W5594" t="s">
        <v>18110</v>
      </c>
      <c r="X5594">
        <v>1</v>
      </c>
      <c r="Y5594" t="s">
        <v>24200</v>
      </c>
      <c r="Z5594" t="s">
        <v>30464</v>
      </c>
      <c r="AA5594">
        <v>0.48535058582131269</v>
      </c>
      <c r="AB5594" t="str">
        <f>HYPERLINK("Melting_Curves/meltCurve_Q9NVN8_GNL3L.pdf", "Melting_Curves/meltCurve_Q9NVN8_GNL3L.pdf")</f>
        <v>Melting_Curves/meltCurve_Q9NVN8_GNL3L.pdf</v>
      </c>
    </row>
    <row r="5595" spans="1:28" x14ac:dyDescent="0.25">
      <c r="A5595" t="s">
        <v>5599</v>
      </c>
      <c r="B5595">
        <v>0.99352677808782597</v>
      </c>
      <c r="C5595">
        <v>1.0392269111074</v>
      </c>
      <c r="D5595">
        <v>1.0292017358951999</v>
      </c>
      <c r="E5595">
        <v>0.50580893583993203</v>
      </c>
      <c r="F5595">
        <v>0.41055718282088999</v>
      </c>
      <c r="G5595">
        <v>0.17029484690440699</v>
      </c>
      <c r="H5595">
        <v>0.102241726047794</v>
      </c>
      <c r="I5595">
        <v>9.7332968699314196E-2</v>
      </c>
      <c r="J5595">
        <v>8.0343778952137596E-2</v>
      </c>
      <c r="K5595">
        <v>5.1938002241089798E-2</v>
      </c>
      <c r="L5595">
        <v>1134.9173864166</v>
      </c>
      <c r="M5595">
        <v>22.379502977840701</v>
      </c>
      <c r="N5595">
        <v>51.126179022078702</v>
      </c>
      <c r="O5595">
        <v>50.312673044811</v>
      </c>
      <c r="P5595">
        <v>-0.101992142703717</v>
      </c>
      <c r="Q5595">
        <v>8.2841448593934094E-2</v>
      </c>
      <c r="R5595">
        <v>0.97843372530153205</v>
      </c>
      <c r="S5595" t="s">
        <v>11880</v>
      </c>
      <c r="T5595" t="s">
        <v>12568</v>
      </c>
      <c r="U5595" t="s">
        <v>12568</v>
      </c>
      <c r="V5595" t="s">
        <v>12568</v>
      </c>
      <c r="W5595" t="s">
        <v>18111</v>
      </c>
      <c r="X5595">
        <v>2</v>
      </c>
      <c r="Y5595" t="s">
        <v>24201</v>
      </c>
      <c r="Z5595" t="s">
        <v>30465</v>
      </c>
      <c r="AA5595">
        <v>0.42060497313272049</v>
      </c>
      <c r="AB5595" t="str">
        <f>HYPERLINK("Melting_Curves/meltCurve_Q9NVP2_ASF1B.pdf", "Melting_Curves/meltCurve_Q9NVP2_ASF1B.pdf")</f>
        <v>Melting_Curves/meltCurve_Q9NVP2_ASF1B.pdf</v>
      </c>
    </row>
    <row r="5596" spans="1:28" x14ac:dyDescent="0.25">
      <c r="A5596" t="s">
        <v>5600</v>
      </c>
      <c r="B5596">
        <v>0.99352677808782597</v>
      </c>
      <c r="C5596">
        <v>0.95931261298506798</v>
      </c>
      <c r="D5596">
        <v>1.0229673056466999</v>
      </c>
      <c r="E5596">
        <v>0.43985464938475999</v>
      </c>
      <c r="F5596">
        <v>0.36219934899777101</v>
      </c>
      <c r="G5596">
        <v>0.192159765946983</v>
      </c>
      <c r="H5596">
        <v>0.13626186334930199</v>
      </c>
      <c r="I5596">
        <v>0.139643058763322</v>
      </c>
      <c r="J5596">
        <v>0.123080352122624</v>
      </c>
      <c r="K5596">
        <v>8.73683114633476E-2</v>
      </c>
      <c r="L5596">
        <v>1377.8104014345599</v>
      </c>
      <c r="M5596">
        <v>27.741157219562499</v>
      </c>
      <c r="N5596">
        <v>50.251440991345497</v>
      </c>
      <c r="O5596">
        <v>49.4107144237678</v>
      </c>
      <c r="P5596">
        <v>-0.12099817495682599</v>
      </c>
      <c r="Q5596">
        <v>0.13795188767160699</v>
      </c>
      <c r="R5596">
        <v>0.97581040317446699</v>
      </c>
      <c r="S5596" t="s">
        <v>11881</v>
      </c>
      <c r="T5596" t="s">
        <v>12568</v>
      </c>
      <c r="U5596" t="s">
        <v>12568</v>
      </c>
      <c r="V5596" t="s">
        <v>12568</v>
      </c>
      <c r="W5596" t="s">
        <v>18112</v>
      </c>
      <c r="X5596">
        <v>6</v>
      </c>
      <c r="Y5596" t="s">
        <v>24202</v>
      </c>
      <c r="Z5596" t="s">
        <v>30466</v>
      </c>
      <c r="AA5596">
        <v>0.42194035820004261</v>
      </c>
      <c r="AB5596" t="str">
        <f>HYPERLINK("Melting_Curves/meltCurve_Q9NVQ4_FAIM.pdf", "Melting_Curves/meltCurve_Q9NVQ4_FAIM.pdf")</f>
        <v>Melting_Curves/meltCurve_Q9NVQ4_FAIM.pdf</v>
      </c>
    </row>
    <row r="5597" spans="1:28" x14ac:dyDescent="0.25">
      <c r="A5597" t="s">
        <v>5601</v>
      </c>
      <c r="B5597">
        <v>0.99352677808782597</v>
      </c>
      <c r="C5597">
        <v>0.92578163077322295</v>
      </c>
      <c r="D5597">
        <v>0.83879566542707595</v>
      </c>
      <c r="E5597">
        <v>0.38312205404350103</v>
      </c>
      <c r="F5597">
        <v>0.31102443028293902</v>
      </c>
      <c r="G5597">
        <v>0.168150398827313</v>
      </c>
      <c r="H5597">
        <v>0.10093764221015</v>
      </c>
      <c r="I5597">
        <v>0.106066568502288</v>
      </c>
      <c r="J5597">
        <v>7.2088507709495805E-2</v>
      </c>
      <c r="K5597">
        <v>7.2395296435721596E-2</v>
      </c>
      <c r="L5597">
        <v>933.63872655795103</v>
      </c>
      <c r="M5597">
        <v>19.076100281538199</v>
      </c>
      <c r="N5597">
        <v>49.435011064754697</v>
      </c>
      <c r="O5597">
        <v>48.414522285103601</v>
      </c>
      <c r="P5597">
        <v>-8.9988374312764199E-2</v>
      </c>
      <c r="Q5597">
        <v>8.6485647434108706E-2</v>
      </c>
      <c r="R5597">
        <v>0.99103682496922796</v>
      </c>
      <c r="S5597" t="s">
        <v>11882</v>
      </c>
      <c r="T5597" t="s">
        <v>12568</v>
      </c>
      <c r="U5597" t="s">
        <v>12568</v>
      </c>
      <c r="V5597" t="s">
        <v>12568</v>
      </c>
      <c r="W5597" t="s">
        <v>18113</v>
      </c>
      <c r="X5597">
        <v>4</v>
      </c>
      <c r="Y5597" t="s">
        <v>24203</v>
      </c>
      <c r="Z5597" t="s">
        <v>30467</v>
      </c>
      <c r="AA5597">
        <v>0.37289359111987602</v>
      </c>
      <c r="AB5597" t="str">
        <f>HYPERLINK("Melting_Curves/meltCurve_Q9NVR0_KLHL11.pdf", "Melting_Curves/meltCurve_Q9NVR0_KLHL11.pdf")</f>
        <v>Melting_Curves/meltCurve_Q9NVR0_KLHL11.pdf</v>
      </c>
    </row>
    <row r="5598" spans="1:28" x14ac:dyDescent="0.25">
      <c r="A5598" t="s">
        <v>5602</v>
      </c>
      <c r="B5598">
        <v>0.99352677808782597</v>
      </c>
      <c r="C5598">
        <v>0.97446014464153097</v>
      </c>
      <c r="D5598">
        <v>0.91290031905742197</v>
      </c>
      <c r="E5598">
        <v>0.31409375205254603</v>
      </c>
      <c r="F5598">
        <v>0.244087288555287</v>
      </c>
      <c r="G5598">
        <v>0.111710603692403</v>
      </c>
      <c r="H5598">
        <v>6.9261364678517803E-2</v>
      </c>
      <c r="I5598">
        <v>6.3711436789223003E-2</v>
      </c>
      <c r="J5598">
        <v>4.5945085612088599E-2</v>
      </c>
      <c r="K5598">
        <v>0.118578160122621</v>
      </c>
      <c r="L5598">
        <v>1566.14958227583</v>
      </c>
      <c r="M5598">
        <v>32.187106863474199</v>
      </c>
      <c r="N5598">
        <v>48.9645893874237</v>
      </c>
      <c r="O5598">
        <v>48.471018484805299</v>
      </c>
      <c r="P5598">
        <v>-0.15084719883317299</v>
      </c>
      <c r="Q5598">
        <v>9.1353060250947193E-2</v>
      </c>
      <c r="R5598">
        <v>0.98894588467447797</v>
      </c>
      <c r="S5598" t="s">
        <v>11883</v>
      </c>
      <c r="T5598" t="s">
        <v>12568</v>
      </c>
      <c r="U5598" t="s">
        <v>12568</v>
      </c>
      <c r="V5598" t="s">
        <v>12568</v>
      </c>
      <c r="W5598" t="s">
        <v>18114</v>
      </c>
      <c r="X5598">
        <v>1</v>
      </c>
      <c r="Y5598" t="s">
        <v>24204</v>
      </c>
      <c r="Z5598" t="s">
        <v>30468</v>
      </c>
      <c r="AA5598">
        <v>0.35834492860003281</v>
      </c>
      <c r="AB5598" t="str">
        <f>HYPERLINK("Melting_Curves/meltCurve_Q9NVR2_INTS10.pdf", "Melting_Curves/meltCurve_Q9NVR2_INTS10.pdf")</f>
        <v>Melting_Curves/meltCurve_Q9NVR2_INTS10.pdf</v>
      </c>
    </row>
    <row r="5599" spans="1:28" x14ac:dyDescent="0.25">
      <c r="A5599" t="s">
        <v>5603</v>
      </c>
      <c r="B5599">
        <v>0.99352677808782597</v>
      </c>
      <c r="C5599">
        <v>0.98572053842819096</v>
      </c>
      <c r="D5599">
        <v>0.99130204668022404</v>
      </c>
      <c r="E5599">
        <v>0.85295386064899203</v>
      </c>
      <c r="F5599">
        <v>0.77547792398552595</v>
      </c>
      <c r="G5599">
        <v>0.62034355222348803</v>
      </c>
      <c r="H5599">
        <v>0.39223971421512499</v>
      </c>
      <c r="I5599">
        <v>0.33033839139224003</v>
      </c>
      <c r="J5599">
        <v>0.29351631207302897</v>
      </c>
      <c r="K5599">
        <v>0.27113009283443201</v>
      </c>
      <c r="L5599">
        <v>770.45461415545003</v>
      </c>
      <c r="M5599">
        <v>13.610417402504799</v>
      </c>
      <c r="N5599">
        <v>58.878512358129697</v>
      </c>
      <c r="O5599">
        <v>55.427615906321797</v>
      </c>
      <c r="P5599">
        <v>-4.8860062811692903E-2</v>
      </c>
      <c r="Q5599">
        <v>0.20419876753816099</v>
      </c>
      <c r="R5599">
        <v>0.99495056340375299</v>
      </c>
      <c r="S5599" t="s">
        <v>11884</v>
      </c>
      <c r="T5599" t="s">
        <v>12568</v>
      </c>
      <c r="U5599" t="s">
        <v>12568</v>
      </c>
      <c r="V5599" t="s">
        <v>12568</v>
      </c>
      <c r="W5599" t="s">
        <v>18115</v>
      </c>
      <c r="X5599">
        <v>4</v>
      </c>
      <c r="Y5599" t="s">
        <v>24205</v>
      </c>
      <c r="Z5599" t="s">
        <v>30469</v>
      </c>
      <c r="AA5599">
        <v>0.6587420741709239</v>
      </c>
      <c r="AB5599" t="str">
        <f>HYPERLINK("Melting_Curves/meltCurve_Q9NVR5_DNAAF2.pdf", "Melting_Curves/meltCurve_Q9NVR5_DNAAF2.pdf")</f>
        <v>Melting_Curves/meltCurve_Q9NVR5_DNAAF2.pdf</v>
      </c>
    </row>
    <row r="5600" spans="1:28" x14ac:dyDescent="0.25">
      <c r="A5600" t="s">
        <v>5604</v>
      </c>
      <c r="B5600">
        <v>0.99352677808782597</v>
      </c>
      <c r="C5600">
        <v>0.97292159681587997</v>
      </c>
      <c r="D5600">
        <v>0.98589859920047995</v>
      </c>
      <c r="E5600">
        <v>0.49970491428054398</v>
      </c>
      <c r="F5600">
        <v>0.44017031977472798</v>
      </c>
      <c r="G5600">
        <v>0.29114251852338202</v>
      </c>
      <c r="H5600">
        <v>0.22283910632381301</v>
      </c>
      <c r="I5600">
        <v>0.19850777075109699</v>
      </c>
      <c r="J5600">
        <v>0.17205491234334699</v>
      </c>
      <c r="K5600">
        <v>0.129433464662882</v>
      </c>
      <c r="L5600">
        <v>1026.6094231340001</v>
      </c>
      <c r="M5600">
        <v>20.483847366029099</v>
      </c>
      <c r="N5600">
        <v>51.258315271360502</v>
      </c>
      <c r="O5600">
        <v>49.6476701099458</v>
      </c>
      <c r="P5600">
        <v>-8.4273249754135193E-2</v>
      </c>
      <c r="Q5600">
        <v>0.182995942747679</v>
      </c>
      <c r="R5600">
        <v>0.97516238856910697</v>
      </c>
      <c r="S5600" t="s">
        <v>11885</v>
      </c>
      <c r="T5600" t="s">
        <v>12568</v>
      </c>
      <c r="U5600" t="s">
        <v>12568</v>
      </c>
      <c r="V5600" t="s">
        <v>12568</v>
      </c>
      <c r="W5600" t="s">
        <v>18116</v>
      </c>
      <c r="X5600">
        <v>10</v>
      </c>
      <c r="Y5600" t="s">
        <v>24206</v>
      </c>
      <c r="Z5600" t="s">
        <v>30470</v>
      </c>
      <c r="AA5600">
        <v>0.46939615494396281</v>
      </c>
      <c r="AB5600" t="str">
        <f>HYPERLINK("Melting_Curves/meltCurve_Q9NVS9_PNPO.pdf", "Melting_Curves/meltCurve_Q9NVS9_PNPO.pdf")</f>
        <v>Melting_Curves/meltCurve_Q9NVS9_PNPO.pdf</v>
      </c>
    </row>
    <row r="5601" spans="1:28" x14ac:dyDescent="0.25">
      <c r="A5601" t="s">
        <v>5605</v>
      </c>
      <c r="B5601">
        <v>0.99352677808782597</v>
      </c>
      <c r="C5601">
        <v>0.98626932836446302</v>
      </c>
      <c r="D5601">
        <v>0.94902034357107901</v>
      </c>
      <c r="E5601">
        <v>0.59024545908915205</v>
      </c>
      <c r="F5601">
        <v>0.52772800669701703</v>
      </c>
      <c r="G5601">
        <v>0.34318331123423401</v>
      </c>
      <c r="H5601">
        <v>0.25367108368251901</v>
      </c>
      <c r="I5601">
        <v>0.27646759901718898</v>
      </c>
      <c r="J5601">
        <v>0.19283136192786199</v>
      </c>
      <c r="K5601">
        <v>0.19373864392624701</v>
      </c>
      <c r="L5601">
        <v>834.79539125680299</v>
      </c>
      <c r="M5601">
        <v>16.348413321769499</v>
      </c>
      <c r="N5601">
        <v>52.780460469199603</v>
      </c>
      <c r="O5601">
        <v>50.317100882477597</v>
      </c>
      <c r="P5601">
        <v>-6.4474647431567694E-2</v>
      </c>
      <c r="Q5601">
        <v>0.206297697903123</v>
      </c>
      <c r="R5601">
        <v>0.984342028081992</v>
      </c>
      <c r="S5601" t="s">
        <v>11886</v>
      </c>
      <c r="T5601" t="s">
        <v>12568</v>
      </c>
      <c r="U5601" t="s">
        <v>12568</v>
      </c>
      <c r="V5601" t="s">
        <v>12568</v>
      </c>
      <c r="W5601" t="s">
        <v>18117</v>
      </c>
      <c r="X5601">
        <v>4</v>
      </c>
      <c r="Y5601" t="s">
        <v>24207</v>
      </c>
      <c r="Z5601" t="s">
        <v>30471</v>
      </c>
      <c r="AA5601">
        <v>0.5148140870334158</v>
      </c>
      <c r="AB5601" t="str">
        <f>HYPERLINK("Melting_Curves/meltCurve_Q9NVT9_ARMC1.pdf", "Melting_Curves/meltCurve_Q9NVT9_ARMC1.pdf")</f>
        <v>Melting_Curves/meltCurve_Q9NVT9_ARMC1.pdf</v>
      </c>
    </row>
    <row r="5602" spans="1:28" x14ac:dyDescent="0.25">
      <c r="A5602" t="s">
        <v>5606</v>
      </c>
      <c r="B5602">
        <v>0.99352677808782597</v>
      </c>
      <c r="C5602">
        <v>0.95722500770029095</v>
      </c>
      <c r="D5602">
        <v>0.91082119511938198</v>
      </c>
      <c r="E5602">
        <v>0.48766380652055902</v>
      </c>
      <c r="F5602">
        <v>0.40888448110790399</v>
      </c>
      <c r="G5602">
        <v>0.29344324924470999</v>
      </c>
      <c r="H5602">
        <v>0.18158286233982401</v>
      </c>
      <c r="I5602">
        <v>0.180680055438491</v>
      </c>
      <c r="J5602">
        <v>0.15654662081614201</v>
      </c>
      <c r="K5602">
        <v>0.175869565677127</v>
      </c>
      <c r="L5602">
        <v>941.057662665061</v>
      </c>
      <c r="M5602">
        <v>18.937274848674001</v>
      </c>
      <c r="N5602">
        <v>50.847969722143702</v>
      </c>
      <c r="O5602">
        <v>49.149216184686601</v>
      </c>
      <c r="P5602">
        <v>-7.9496634477725606E-2</v>
      </c>
      <c r="Q5602">
        <v>0.17474086608352701</v>
      </c>
      <c r="R5602">
        <v>0.98676444126614105</v>
      </c>
      <c r="S5602" t="s">
        <v>11887</v>
      </c>
      <c r="T5602" t="s">
        <v>12568</v>
      </c>
      <c r="U5602" t="s">
        <v>12568</v>
      </c>
      <c r="V5602" t="s">
        <v>12568</v>
      </c>
      <c r="W5602" t="s">
        <v>18118</v>
      </c>
      <c r="X5602">
        <v>5</v>
      </c>
      <c r="Y5602" t="s">
        <v>24208</v>
      </c>
      <c r="Z5602" t="s">
        <v>30472</v>
      </c>
      <c r="AA5602">
        <v>0.45420001515559311</v>
      </c>
      <c r="AB5602" t="str">
        <f>HYPERLINK("Melting_Curves/meltCurve_Q9NVU0_5_POLR3E.pdf", "Melting_Curves/meltCurve_Q9NVU0_5_POLR3E.pdf")</f>
        <v>Melting_Curves/meltCurve_Q9NVU0_5_POLR3E.pdf</v>
      </c>
    </row>
    <row r="5603" spans="1:28" x14ac:dyDescent="0.25">
      <c r="A5603" t="s">
        <v>5607</v>
      </c>
      <c r="B5603">
        <v>0.99352677808782597</v>
      </c>
      <c r="C5603">
        <v>1.0153993611616301</v>
      </c>
      <c r="D5603">
        <v>0.92577003745544195</v>
      </c>
      <c r="E5603">
        <v>0.61283636930894003</v>
      </c>
      <c r="F5603">
        <v>0.57440531239223003</v>
      </c>
      <c r="G5603">
        <v>0.451439857473933</v>
      </c>
      <c r="H5603">
        <v>0.53702715335779405</v>
      </c>
      <c r="I5603">
        <v>0.61655600480082395</v>
      </c>
      <c r="J5603">
        <v>0.54860549402176695</v>
      </c>
      <c r="K5603">
        <v>0.53018337184531905</v>
      </c>
      <c r="L5603">
        <v>1909.29713433138</v>
      </c>
      <c r="M5603">
        <v>39.8327871271443</v>
      </c>
      <c r="O5603">
        <v>47.812468503844599</v>
      </c>
      <c r="P5603">
        <v>-9.5631902641980696E-2</v>
      </c>
      <c r="Q5603">
        <v>0.54084180539382998</v>
      </c>
      <c r="R5603">
        <v>0.96268628286493596</v>
      </c>
      <c r="S5603" t="s">
        <v>11888</v>
      </c>
      <c r="T5603" t="s">
        <v>12568</v>
      </c>
      <c r="U5603" t="s">
        <v>12568</v>
      </c>
      <c r="V5603" t="s">
        <v>12568</v>
      </c>
      <c r="W5603" t="s">
        <v>18119</v>
      </c>
      <c r="X5603">
        <v>1</v>
      </c>
      <c r="Y5603" t="s">
        <v>24209</v>
      </c>
      <c r="Z5603" t="s">
        <v>30473</v>
      </c>
      <c r="AA5603">
        <v>0.66379460308664118</v>
      </c>
      <c r="AB5603" t="str">
        <f>HYPERLINK("Melting_Curves/meltCurve_Q9NVU7_2_SDAD1.pdf", "Melting_Curves/meltCurve_Q9NVU7_2_SDAD1.pdf")</f>
        <v>Melting_Curves/meltCurve_Q9NVU7_2_SDAD1.pdf</v>
      </c>
    </row>
    <row r="5604" spans="1:28" x14ac:dyDescent="0.25">
      <c r="A5604" t="s">
        <v>5608</v>
      </c>
      <c r="B5604">
        <v>0.99352677808782597</v>
      </c>
      <c r="C5604">
        <v>0.96588766162987105</v>
      </c>
      <c r="D5604">
        <v>0.99376889543381597</v>
      </c>
      <c r="E5604">
        <v>0.98929381862742105</v>
      </c>
      <c r="F5604">
        <v>0.92479297776519098</v>
      </c>
      <c r="G5604">
        <v>0.93116781747808497</v>
      </c>
      <c r="H5604">
        <v>0.88440299914418896</v>
      </c>
      <c r="I5604">
        <v>0.95509045620281396</v>
      </c>
      <c r="J5604">
        <v>0.96899501487532802</v>
      </c>
      <c r="K5604">
        <v>0.80530330497254599</v>
      </c>
      <c r="L5604">
        <v>258.75215183880698</v>
      </c>
      <c r="M5604">
        <v>1.7590685111886399</v>
      </c>
      <c r="Q5604">
        <v>0</v>
      </c>
      <c r="R5604">
        <v>0.46594231754120602</v>
      </c>
      <c r="S5604" t="s">
        <v>11889</v>
      </c>
      <c r="T5604" t="s">
        <v>12568</v>
      </c>
      <c r="U5604" t="s">
        <v>12568</v>
      </c>
      <c r="V5604" t="s">
        <v>12568</v>
      </c>
      <c r="W5604" t="s">
        <v>18120</v>
      </c>
      <c r="X5604">
        <v>2</v>
      </c>
      <c r="Y5604" t="s">
        <v>24210</v>
      </c>
      <c r="Z5604" t="s">
        <v>30474</v>
      </c>
      <c r="AA5604">
        <v>0.94408213751110959</v>
      </c>
      <c r="AB5604" t="str">
        <f>HYPERLINK("Melting_Curves/meltCurve_Q9NVW2_RLIM.pdf", "Melting_Curves/meltCurve_Q9NVW2_RLIM.pdf")</f>
        <v>Melting_Curves/meltCurve_Q9NVW2_RLIM.pdf</v>
      </c>
    </row>
    <row r="5605" spans="1:28" x14ac:dyDescent="0.25">
      <c r="A5605" t="s">
        <v>5609</v>
      </c>
      <c r="B5605">
        <v>0.99352677808782597</v>
      </c>
      <c r="C5605">
        <v>0.88190307660953504</v>
      </c>
      <c r="D5605">
        <v>0.640457290251503</v>
      </c>
      <c r="E5605">
        <v>0.29206056414547099</v>
      </c>
      <c r="F5605">
        <v>0.24225452461504501</v>
      </c>
      <c r="G5605">
        <v>0.13845516796878399</v>
      </c>
      <c r="H5605">
        <v>9.6163540249229296E-2</v>
      </c>
      <c r="I5605">
        <v>9.6050972091716494E-2</v>
      </c>
      <c r="J5605">
        <v>8.5067590713305399E-2</v>
      </c>
      <c r="K5605">
        <v>7.3328982438148102E-2</v>
      </c>
      <c r="L5605">
        <v>869.15201180361498</v>
      </c>
      <c r="M5605">
        <v>18.442844708146499</v>
      </c>
      <c r="N5605">
        <v>47.634416995346498</v>
      </c>
      <c r="O5605">
        <v>46.583202757728202</v>
      </c>
      <c r="P5605">
        <v>-9.0151416382073302E-2</v>
      </c>
      <c r="Q5605">
        <v>8.9217848240449704E-2</v>
      </c>
      <c r="R5605">
        <v>0.99572253715005499</v>
      </c>
      <c r="S5605" t="s">
        <v>11890</v>
      </c>
      <c r="T5605" t="s">
        <v>12568</v>
      </c>
      <c r="U5605" t="s">
        <v>12568</v>
      </c>
      <c r="V5605" t="s">
        <v>12568</v>
      </c>
      <c r="W5605" t="s">
        <v>18121</v>
      </c>
      <c r="X5605">
        <v>4</v>
      </c>
      <c r="Y5605" t="s">
        <v>24211</v>
      </c>
      <c r="Z5605" t="s">
        <v>30475</v>
      </c>
      <c r="AA5605">
        <v>0.32142653115657382</v>
      </c>
      <c r="AB5605" t="str">
        <f>HYPERLINK("Melting_Curves/meltCurve_Q9NVX0_3_HAUS2.pdf", "Melting_Curves/meltCurve_Q9NVX0_3_HAUS2.pdf")</f>
        <v>Melting_Curves/meltCurve_Q9NVX0_3_HAUS2.pdf</v>
      </c>
    </row>
    <row r="5606" spans="1:28" x14ac:dyDescent="0.25">
      <c r="A5606" t="s">
        <v>5610</v>
      </c>
      <c r="B5606">
        <v>0.99352677808782597</v>
      </c>
      <c r="C5606">
        <v>0.98514701253660097</v>
      </c>
      <c r="D5606">
        <v>0.97153360844923298</v>
      </c>
      <c r="E5606">
        <v>0.95647409985258103</v>
      </c>
      <c r="F5606">
        <v>0.86779235447218706</v>
      </c>
      <c r="G5606">
        <v>0.73430949930396905</v>
      </c>
      <c r="H5606">
        <v>0.65821116756387499</v>
      </c>
      <c r="I5606">
        <v>0.67380097247089799</v>
      </c>
      <c r="J5606">
        <v>0.50180727031029004</v>
      </c>
      <c r="K5606">
        <v>0.24699473083256701</v>
      </c>
      <c r="L5606">
        <v>592.33121335757505</v>
      </c>
      <c r="M5606">
        <v>9.0249403659430207</v>
      </c>
      <c r="N5606">
        <v>65.632698365856996</v>
      </c>
      <c r="O5606">
        <v>62.650685010335998</v>
      </c>
      <c r="P5606">
        <v>-3.60388163908439E-2</v>
      </c>
      <c r="Q5606">
        <v>0</v>
      </c>
      <c r="R5606">
        <v>0.93749352771687899</v>
      </c>
      <c r="S5606" t="s">
        <v>11891</v>
      </c>
      <c r="T5606" t="s">
        <v>12568</v>
      </c>
      <c r="U5606" t="s">
        <v>12568</v>
      </c>
      <c r="V5606" t="s">
        <v>12568</v>
      </c>
      <c r="W5606" t="s">
        <v>18122</v>
      </c>
      <c r="X5606">
        <v>12</v>
      </c>
      <c r="Y5606" t="s">
        <v>24212</v>
      </c>
      <c r="Z5606" t="s">
        <v>30476</v>
      </c>
      <c r="AA5606">
        <v>0.78207241769943536</v>
      </c>
      <c r="AB5606" t="str">
        <f>HYPERLINK("Melting_Curves/meltCurve_Q9NVX2_NLE1.pdf", "Melting_Curves/meltCurve_Q9NVX2_NLE1.pdf")</f>
        <v>Melting_Curves/meltCurve_Q9NVX2_NLE1.pdf</v>
      </c>
    </row>
    <row r="5607" spans="1:28" x14ac:dyDescent="0.25">
      <c r="A5607" t="s">
        <v>5611</v>
      </c>
      <c r="B5607">
        <v>0.99352677808782597</v>
      </c>
      <c r="C5607">
        <v>0.99089905628382302</v>
      </c>
      <c r="D5607">
        <v>0.93969392311164701</v>
      </c>
      <c r="E5607">
        <v>0.75154387530409705</v>
      </c>
      <c r="F5607">
        <v>0.654450464316637</v>
      </c>
      <c r="G5607">
        <v>0.30929805547265798</v>
      </c>
      <c r="H5607">
        <v>0.18986568367759199</v>
      </c>
      <c r="I5607">
        <v>0.17367494617592499</v>
      </c>
      <c r="J5607">
        <v>0.147551779708817</v>
      </c>
      <c r="K5607">
        <v>7.8946249743004904E-2</v>
      </c>
      <c r="L5607">
        <v>860.37299299423398</v>
      </c>
      <c r="M5607">
        <v>15.9937390503783</v>
      </c>
      <c r="N5607">
        <v>54.412378950184603</v>
      </c>
      <c r="O5607">
        <v>52.974452685841598</v>
      </c>
      <c r="P5607">
        <v>-6.9215008160147098E-2</v>
      </c>
      <c r="Q5607">
        <v>8.3056398324141703E-2</v>
      </c>
      <c r="R5607">
        <v>0.99336939857265505</v>
      </c>
      <c r="S5607" t="s">
        <v>11892</v>
      </c>
      <c r="T5607" t="s">
        <v>12568</v>
      </c>
      <c r="U5607" t="s">
        <v>12568</v>
      </c>
      <c r="V5607" t="s">
        <v>12568</v>
      </c>
      <c r="W5607" t="s">
        <v>18123</v>
      </c>
      <c r="X5607">
        <v>3</v>
      </c>
      <c r="Y5607" t="s">
        <v>24213</v>
      </c>
      <c r="Z5607" t="s">
        <v>30477</v>
      </c>
      <c r="AA5607">
        <v>0.52215641627749021</v>
      </c>
      <c r="AB5607" t="str">
        <f>HYPERLINK("Melting_Curves/meltCurve_Q9NVX7_KBTBD4.pdf", "Melting_Curves/meltCurve_Q9NVX7_KBTBD4.pdf")</f>
        <v>Melting_Curves/meltCurve_Q9NVX7_KBTBD4.pdf</v>
      </c>
    </row>
    <row r="5608" spans="1:28" x14ac:dyDescent="0.25">
      <c r="A5608" t="s">
        <v>5612</v>
      </c>
      <c r="B5608">
        <v>0.99352677808782597</v>
      </c>
      <c r="C5608">
        <v>0.95759751296990303</v>
      </c>
      <c r="D5608">
        <v>1.0289312933199199</v>
      </c>
      <c r="E5608">
        <v>1.01278882398504</v>
      </c>
      <c r="F5608">
        <v>0.97451306590728604</v>
      </c>
      <c r="G5608">
        <v>0.83371804847610598</v>
      </c>
      <c r="H5608">
        <v>0.42880479936700999</v>
      </c>
      <c r="I5608">
        <v>0.22948187002853199</v>
      </c>
      <c r="J5608">
        <v>0.132774619748358</v>
      </c>
      <c r="K5608">
        <v>8.4673001423323999E-2</v>
      </c>
      <c r="L5608">
        <v>1659.2003473546499</v>
      </c>
      <c r="M5608">
        <v>27.637597077922401</v>
      </c>
      <c r="N5608">
        <v>60.401034546241704</v>
      </c>
      <c r="O5608">
        <v>59.722509720937701</v>
      </c>
      <c r="P5608">
        <v>-0.106753583133673</v>
      </c>
      <c r="Q5608">
        <v>7.7266474975146507E-2</v>
      </c>
      <c r="R5608">
        <v>0.99764940237315602</v>
      </c>
      <c r="S5608" t="s">
        <v>11893</v>
      </c>
      <c r="T5608" t="s">
        <v>12568</v>
      </c>
      <c r="U5608" t="s">
        <v>12568</v>
      </c>
      <c r="V5608" t="s">
        <v>12568</v>
      </c>
      <c r="W5608" t="s">
        <v>18124</v>
      </c>
      <c r="X5608">
        <v>7</v>
      </c>
      <c r="Y5608" t="s">
        <v>24214</v>
      </c>
      <c r="Z5608" t="s">
        <v>30478</v>
      </c>
      <c r="AA5608">
        <v>0.69964567220078877</v>
      </c>
      <c r="AB5608" t="str">
        <f>HYPERLINK("Melting_Curves/meltCurve_Q9NVZ3_NECAP2.pdf", "Melting_Curves/meltCurve_Q9NVZ3_NECAP2.pdf")</f>
        <v>Melting_Curves/meltCurve_Q9NVZ3_NECAP2.pdf</v>
      </c>
    </row>
    <row r="5609" spans="1:28" x14ac:dyDescent="0.25">
      <c r="A5609" t="s">
        <v>5613</v>
      </c>
      <c r="B5609">
        <v>0.99352677808782597</v>
      </c>
      <c r="C5609">
        <v>0.840156473431803</v>
      </c>
      <c r="D5609">
        <v>0.81331229775949199</v>
      </c>
      <c r="E5609">
        <v>0.67496700420834499</v>
      </c>
      <c r="F5609">
        <v>0.529496011203756</v>
      </c>
      <c r="G5609">
        <v>0.33353169021225298</v>
      </c>
      <c r="H5609">
        <v>0.210099837422556</v>
      </c>
      <c r="I5609">
        <v>0.253067101052115</v>
      </c>
      <c r="J5609">
        <v>0.13106290235297299</v>
      </c>
      <c r="K5609">
        <v>0.123390303614709</v>
      </c>
      <c r="L5609">
        <v>493.207944295262</v>
      </c>
      <c r="M5609">
        <v>9.3059782996457407</v>
      </c>
      <c r="N5609">
        <v>53.343958526966901</v>
      </c>
      <c r="O5609">
        <v>50.7242632520706</v>
      </c>
      <c r="P5609">
        <v>-4.4554794390036602E-2</v>
      </c>
      <c r="Q5609">
        <v>2.9198618236785899E-2</v>
      </c>
      <c r="R5609">
        <v>0.98629160094053103</v>
      </c>
      <c r="S5609" t="s">
        <v>11894</v>
      </c>
      <c r="T5609" t="s">
        <v>12568</v>
      </c>
      <c r="U5609" t="s">
        <v>12568</v>
      </c>
      <c r="V5609" t="s">
        <v>12568</v>
      </c>
      <c r="W5609" t="s">
        <v>18125</v>
      </c>
      <c r="X5609">
        <v>2</v>
      </c>
      <c r="Y5609" t="s">
        <v>24215</v>
      </c>
      <c r="Z5609" t="s">
        <v>30479</v>
      </c>
      <c r="AA5609">
        <v>0.48518323676315372</v>
      </c>
      <c r="AB5609" t="str">
        <f>HYPERLINK("Melting_Curves/meltCurve_Q9NW08_2_POLR3B.pdf", "Melting_Curves/meltCurve_Q9NW08_2_POLR3B.pdf")</f>
        <v>Melting_Curves/meltCurve_Q9NW08_2_POLR3B.pdf</v>
      </c>
    </row>
    <row r="5610" spans="1:28" x14ac:dyDescent="0.25">
      <c r="A5610" t="s">
        <v>5614</v>
      </c>
      <c r="B5610">
        <v>0.99352677808782597</v>
      </c>
      <c r="C5610">
        <v>0.94947181727491203</v>
      </c>
      <c r="D5610">
        <v>1.05711340844337</v>
      </c>
      <c r="E5610">
        <v>0.70767110430501201</v>
      </c>
      <c r="F5610">
        <v>0.58154399245043598</v>
      </c>
      <c r="G5610">
        <v>0.39491529909204398</v>
      </c>
      <c r="H5610">
        <v>0.27627546629907701</v>
      </c>
      <c r="I5610">
        <v>0.237019714174208</v>
      </c>
      <c r="J5610">
        <v>0.22841429615304101</v>
      </c>
      <c r="K5610">
        <v>0.182630802277916</v>
      </c>
      <c r="L5610">
        <v>905.46848472112902</v>
      </c>
      <c r="M5610">
        <v>17.191054152543401</v>
      </c>
      <c r="N5610">
        <v>54.278049746297803</v>
      </c>
      <c r="O5610">
        <v>51.973687070840398</v>
      </c>
      <c r="P5610">
        <v>-6.6201750981137397E-2</v>
      </c>
      <c r="Q5610">
        <v>0.199456688552936</v>
      </c>
      <c r="R5610">
        <v>0.98059031827766496</v>
      </c>
      <c r="S5610" t="s">
        <v>11895</v>
      </c>
      <c r="T5610" t="s">
        <v>12568</v>
      </c>
      <c r="U5610" t="s">
        <v>12568</v>
      </c>
      <c r="V5610" t="s">
        <v>12568</v>
      </c>
      <c r="W5610" t="s">
        <v>18126</v>
      </c>
      <c r="X5610">
        <v>10</v>
      </c>
      <c r="Y5610" t="s">
        <v>24216</v>
      </c>
      <c r="Z5610" t="s">
        <v>30480</v>
      </c>
      <c r="AA5610">
        <v>0.5517783195994781</v>
      </c>
      <c r="AB5610" t="str">
        <f>HYPERLINK("Melting_Curves/meltCurve_Q9NW64_RBM22.pdf", "Melting_Curves/meltCurve_Q9NW64_RBM22.pdf")</f>
        <v>Melting_Curves/meltCurve_Q9NW64_RBM22.pdf</v>
      </c>
    </row>
    <row r="5611" spans="1:28" x14ac:dyDescent="0.25">
      <c r="A5611" t="s">
        <v>5615</v>
      </c>
      <c r="B5611">
        <v>0.99352677808782597</v>
      </c>
      <c r="C5611">
        <v>0.98019714732414698</v>
      </c>
      <c r="D5611">
        <v>0.999420256389007</v>
      </c>
      <c r="E5611">
        <v>1.1064132344047699</v>
      </c>
      <c r="F5611">
        <v>1.06874790349643</v>
      </c>
      <c r="G5611">
        <v>0.97891099989996599</v>
      </c>
      <c r="H5611">
        <v>0.91948701042836201</v>
      </c>
      <c r="I5611">
        <v>1.09177965520065</v>
      </c>
      <c r="J5611">
        <v>0.94338742108421603</v>
      </c>
      <c r="K5611">
        <v>1.0338448473720301</v>
      </c>
      <c r="L5611">
        <v>15000</v>
      </c>
      <c r="M5611">
        <v>211.66284200487701</v>
      </c>
      <c r="Q5611">
        <v>1.5</v>
      </c>
      <c r="R5611">
        <v>-5.5617677206065697E-3</v>
      </c>
      <c r="S5611" t="s">
        <v>11896</v>
      </c>
      <c r="T5611" t="s">
        <v>12568</v>
      </c>
      <c r="U5611" t="s">
        <v>12568</v>
      </c>
      <c r="V5611" t="s">
        <v>12568</v>
      </c>
      <c r="W5611" t="s">
        <v>18127</v>
      </c>
      <c r="X5611">
        <v>5</v>
      </c>
      <c r="Y5611" t="s">
        <v>24217</v>
      </c>
      <c r="Z5611" t="s">
        <v>30481</v>
      </c>
      <c r="AA5611">
        <v>1.0003779732733931</v>
      </c>
      <c r="AB5611" t="str">
        <f>HYPERLINK("Melting_Curves/meltCurve_Q9NW75_GPATCH2.pdf", "Melting_Curves/meltCurve_Q9NW75_GPATCH2.pdf")</f>
        <v>Melting_Curves/meltCurve_Q9NW75_GPATCH2.pdf</v>
      </c>
    </row>
    <row r="5612" spans="1:28" x14ac:dyDescent="0.25">
      <c r="A5612" t="s">
        <v>5616</v>
      </c>
      <c r="B5612">
        <v>0.99352677808782597</v>
      </c>
      <c r="C5612">
        <v>0.97399095211982101</v>
      </c>
      <c r="D5612">
        <v>1.0117016912360499</v>
      </c>
      <c r="E5612">
        <v>0.85738648991195299</v>
      </c>
      <c r="F5612">
        <v>0.75796854558390103</v>
      </c>
      <c r="G5612">
        <v>0.435543006530066</v>
      </c>
      <c r="H5612">
        <v>0.21008979389468699</v>
      </c>
      <c r="I5612">
        <v>0.176261351499995</v>
      </c>
      <c r="J5612">
        <v>0.16436439680582901</v>
      </c>
      <c r="K5612">
        <v>0.134156799457536</v>
      </c>
      <c r="L5612">
        <v>1094.81450988045</v>
      </c>
      <c r="M5612">
        <v>19.824864770724801</v>
      </c>
      <c r="N5612">
        <v>56.00847526826</v>
      </c>
      <c r="O5612">
        <v>54.671635970660098</v>
      </c>
      <c r="P5612">
        <v>-7.9671036847132698E-2</v>
      </c>
      <c r="Q5612">
        <v>0.121184863979536</v>
      </c>
      <c r="R5612">
        <v>0.99618733078132604</v>
      </c>
      <c r="S5612" t="s">
        <v>11897</v>
      </c>
      <c r="T5612" t="s">
        <v>12568</v>
      </c>
      <c r="U5612" t="s">
        <v>12568</v>
      </c>
      <c r="V5612" t="s">
        <v>12568</v>
      </c>
      <c r="W5612" t="s">
        <v>18128</v>
      </c>
      <c r="X5612">
        <v>17</v>
      </c>
      <c r="Y5612" t="s">
        <v>24218</v>
      </c>
      <c r="Z5612" t="s">
        <v>30482</v>
      </c>
      <c r="AA5612">
        <v>0.57894303371012823</v>
      </c>
      <c r="AB5612" t="str">
        <f>HYPERLINK("Melting_Curves/meltCurve_Q9NW82_WDR70.pdf", "Melting_Curves/meltCurve_Q9NW82_WDR70.pdf")</f>
        <v>Melting_Curves/meltCurve_Q9NW82_WDR70.pdf</v>
      </c>
    </row>
    <row r="5613" spans="1:28" x14ac:dyDescent="0.25">
      <c r="A5613" t="s">
        <v>5617</v>
      </c>
      <c r="B5613">
        <v>0.99352677808782597</v>
      </c>
      <c r="C5613">
        <v>0.88226900732145797</v>
      </c>
      <c r="D5613">
        <v>0.99051493493589005</v>
      </c>
      <c r="E5613">
        <v>1.0212194447302601</v>
      </c>
      <c r="F5613">
        <v>0.95067569124653395</v>
      </c>
      <c r="G5613">
        <v>1.0849836340227501</v>
      </c>
      <c r="H5613">
        <v>1.0008296276761499</v>
      </c>
      <c r="I5613">
        <v>1.2062340230117701</v>
      </c>
      <c r="J5613">
        <v>1.0958198814596101</v>
      </c>
      <c r="K5613">
        <v>1.00527854080754</v>
      </c>
      <c r="L5613">
        <v>13790.0999116516</v>
      </c>
      <c r="M5613">
        <v>250</v>
      </c>
      <c r="O5613">
        <v>55.1568697568472</v>
      </c>
      <c r="P5613">
        <v>8.9101885540568707E-2</v>
      </c>
      <c r="Q5613">
        <v>1.0786332974272601</v>
      </c>
      <c r="R5613">
        <v>0.36261165512310001</v>
      </c>
      <c r="S5613" t="s">
        <v>11898</v>
      </c>
      <c r="T5613" t="s">
        <v>12568</v>
      </c>
      <c r="U5613" t="s">
        <v>12568</v>
      </c>
      <c r="V5613" t="s">
        <v>12568</v>
      </c>
      <c r="W5613" t="s">
        <v>18129</v>
      </c>
      <c r="X5613">
        <v>1</v>
      </c>
      <c r="Y5613" t="s">
        <v>24219</v>
      </c>
      <c r="Z5613" t="s">
        <v>30483</v>
      </c>
      <c r="AA5613">
        <v>1.038888611462752</v>
      </c>
      <c r="AB5613" t="str">
        <f>HYPERLINK("Melting_Curves/meltCurve_Q9NW97_TMEM51.pdf", "Melting_Curves/meltCurve_Q9NW97_TMEM51.pdf")</f>
        <v>Melting_Curves/meltCurve_Q9NW97_TMEM51.pdf</v>
      </c>
    </row>
    <row r="5614" spans="1:28" x14ac:dyDescent="0.25">
      <c r="A5614" t="s">
        <v>5618</v>
      </c>
      <c r="B5614">
        <v>0.99352677808782597</v>
      </c>
      <c r="C5614">
        <v>1.0428258663579999</v>
      </c>
      <c r="D5614">
        <v>1.01439151201751</v>
      </c>
      <c r="E5614">
        <v>0.78941009213645597</v>
      </c>
      <c r="F5614">
        <v>0.69532013232430401</v>
      </c>
      <c r="G5614">
        <v>0.56241128046367195</v>
      </c>
      <c r="H5614">
        <v>0.45054197725054201</v>
      </c>
      <c r="I5614">
        <v>0.48590355912368999</v>
      </c>
      <c r="J5614">
        <v>0.50246097175156901</v>
      </c>
      <c r="K5614">
        <v>0.46085731990152401</v>
      </c>
      <c r="L5614">
        <v>1094.151566493</v>
      </c>
      <c r="M5614">
        <v>21.110271908436999</v>
      </c>
      <c r="N5614">
        <v>59.974699773417697</v>
      </c>
      <c r="O5614">
        <v>51.371916718289803</v>
      </c>
      <c r="P5614">
        <v>-5.4289683799183003E-2</v>
      </c>
      <c r="Q5614">
        <v>0.47155738928611002</v>
      </c>
      <c r="R5614">
        <v>0.98067271772039799</v>
      </c>
      <c r="S5614" t="s">
        <v>11899</v>
      </c>
      <c r="T5614" t="s">
        <v>12568</v>
      </c>
      <c r="U5614" t="s">
        <v>12568</v>
      </c>
      <c r="V5614" t="s">
        <v>12568</v>
      </c>
      <c r="W5614" t="s">
        <v>18130</v>
      </c>
      <c r="X5614">
        <v>2</v>
      </c>
      <c r="Y5614" t="s">
        <v>24220</v>
      </c>
      <c r="Z5614" t="s">
        <v>30484</v>
      </c>
      <c r="AA5614">
        <v>0.68657593186010857</v>
      </c>
      <c r="AB5614" t="str">
        <f>HYPERLINK("Melting_Curves/meltCurve_Q9NWA0_MED9.pdf", "Melting_Curves/meltCurve_Q9NWA0_MED9.pdf")</f>
        <v>Melting_Curves/meltCurve_Q9NWA0_MED9.pdf</v>
      </c>
    </row>
    <row r="5615" spans="1:28" x14ac:dyDescent="0.25">
      <c r="A5615" t="s">
        <v>5619</v>
      </c>
      <c r="B5615">
        <v>0.99352677808782597</v>
      </c>
      <c r="C5615">
        <v>0.98626790388693797</v>
      </c>
      <c r="D5615">
        <v>0.97611753175697102</v>
      </c>
      <c r="E5615">
        <v>1.0890099351443101</v>
      </c>
      <c r="F5615">
        <v>1.0263901085401601</v>
      </c>
      <c r="G5615">
        <v>0.91048972062102995</v>
      </c>
      <c r="H5615">
        <v>0.98097332578005403</v>
      </c>
      <c r="I5615">
        <v>1.0804330696158599</v>
      </c>
      <c r="J5615">
        <v>1.05731430987307</v>
      </c>
      <c r="K5615">
        <v>0.89732786343628401</v>
      </c>
      <c r="L5615">
        <v>15000</v>
      </c>
      <c r="M5615">
        <v>212.117781145896</v>
      </c>
      <c r="Q5615">
        <v>0</v>
      </c>
      <c r="R5615">
        <v>0.27672102455124598</v>
      </c>
      <c r="S5615" t="s">
        <v>11900</v>
      </c>
      <c r="T5615" t="s">
        <v>12568</v>
      </c>
      <c r="U5615" t="s">
        <v>12568</v>
      </c>
      <c r="V5615" t="s">
        <v>12568</v>
      </c>
      <c r="W5615" t="s">
        <v>18131</v>
      </c>
      <c r="X5615">
        <v>8</v>
      </c>
      <c r="Y5615" t="s">
        <v>24221</v>
      </c>
      <c r="Z5615" t="s">
        <v>30485</v>
      </c>
      <c r="AA5615">
        <v>0.99883157576971471</v>
      </c>
      <c r="AB5615" t="str">
        <f>HYPERLINK("Melting_Curves/meltCurve_Q9NWB6_ARGLU1.pdf", "Melting_Curves/meltCurve_Q9NWB6_ARGLU1.pdf")</f>
        <v>Melting_Curves/meltCurve_Q9NWB6_ARGLU1.pdf</v>
      </c>
    </row>
    <row r="5616" spans="1:28" x14ac:dyDescent="0.25">
      <c r="A5616" t="s">
        <v>5620</v>
      </c>
      <c r="B5616">
        <v>0.99352677808782597</v>
      </c>
      <c r="C5616">
        <v>0.86704691010072699</v>
      </c>
      <c r="D5616">
        <v>0.78818508559274703</v>
      </c>
      <c r="E5616">
        <v>0.57515440120444195</v>
      </c>
      <c r="F5616">
        <v>0.48290464135445499</v>
      </c>
      <c r="G5616">
        <v>0.358667809688476</v>
      </c>
      <c r="H5616">
        <v>0.34683952625710002</v>
      </c>
      <c r="I5616">
        <v>0.350023965577278</v>
      </c>
      <c r="J5616">
        <v>0.34377283010888299</v>
      </c>
      <c r="K5616">
        <v>0.34826746245636497</v>
      </c>
      <c r="L5616">
        <v>704.32131521594101</v>
      </c>
      <c r="M5616">
        <v>14.631001688872001</v>
      </c>
      <c r="N5616">
        <v>51.914758015119098</v>
      </c>
      <c r="O5616">
        <v>47.266497756263199</v>
      </c>
      <c r="P5616">
        <v>-5.2048855810395901E-2</v>
      </c>
      <c r="Q5616">
        <v>0.327484694134282</v>
      </c>
      <c r="R5616">
        <v>0.99317812071487599</v>
      </c>
      <c r="S5616" t="s">
        <v>11901</v>
      </c>
      <c r="T5616" t="s">
        <v>12568</v>
      </c>
      <c r="U5616" t="s">
        <v>12568</v>
      </c>
      <c r="V5616" t="s">
        <v>12568</v>
      </c>
      <c r="W5616" t="s">
        <v>18132</v>
      </c>
      <c r="X5616">
        <v>2</v>
      </c>
      <c r="Y5616" t="s">
        <v>24222</v>
      </c>
      <c r="Z5616" t="s">
        <v>30486</v>
      </c>
      <c r="AA5616">
        <v>0.52799124446542067</v>
      </c>
      <c r="AB5616" t="str">
        <f>HYPERLINK("Melting_Curves/meltCurve_Q9NWF9_RNF216.pdf", "Melting_Curves/meltCurve_Q9NWF9_RNF216.pdf")</f>
        <v>Melting_Curves/meltCurve_Q9NWF9_RNF216.pdf</v>
      </c>
    </row>
    <row r="5617" spans="1:28" x14ac:dyDescent="0.25">
      <c r="A5617" t="s">
        <v>5621</v>
      </c>
      <c r="B5617">
        <v>0.99352677808782597</v>
      </c>
      <c r="C5617">
        <v>0.93402217467894599</v>
      </c>
      <c r="D5617">
        <v>0.98208748469109697</v>
      </c>
      <c r="E5617">
        <v>1.0078906794795801</v>
      </c>
      <c r="F5617">
        <v>0.90805924639219404</v>
      </c>
      <c r="G5617">
        <v>0.89134529842365395</v>
      </c>
      <c r="H5617">
        <v>0.76101877064685997</v>
      </c>
      <c r="I5617">
        <v>0.81909599878493999</v>
      </c>
      <c r="J5617">
        <v>0.78313452086087398</v>
      </c>
      <c r="K5617">
        <v>0.71111265557697401</v>
      </c>
      <c r="L5617">
        <v>651.72518912756095</v>
      </c>
      <c r="M5617">
        <v>11.078077920867999</v>
      </c>
      <c r="O5617">
        <v>57.010738355028501</v>
      </c>
      <c r="P5617">
        <v>-1.49471295136595E-2</v>
      </c>
      <c r="Q5617">
        <v>0.69241335348468003</v>
      </c>
      <c r="R5617">
        <v>0.87329282824086896</v>
      </c>
      <c r="S5617" t="s">
        <v>11902</v>
      </c>
      <c r="T5617" t="s">
        <v>12568</v>
      </c>
      <c r="U5617" t="s">
        <v>12568</v>
      </c>
      <c r="V5617" t="s">
        <v>12568</v>
      </c>
      <c r="W5617" t="s">
        <v>18133</v>
      </c>
      <c r="X5617">
        <v>17</v>
      </c>
      <c r="Y5617" t="s">
        <v>24223</v>
      </c>
      <c r="Z5617" t="s">
        <v>30487</v>
      </c>
      <c r="AA5617">
        <v>0.88768869905335224</v>
      </c>
      <c r="AB5617" t="str">
        <f>HYPERLINK("Melting_Curves/meltCurve_Q9NWH9_SLTM.pdf", "Melting_Curves/meltCurve_Q9NWH9_SLTM.pdf")</f>
        <v>Melting_Curves/meltCurve_Q9NWH9_SLTM.pdf</v>
      </c>
    </row>
    <row r="5618" spans="1:28" x14ac:dyDescent="0.25">
      <c r="A5618" t="s">
        <v>5622</v>
      </c>
      <c r="B5618">
        <v>0.99352677808782597</v>
      </c>
      <c r="C5618">
        <v>0.82472378385099498</v>
      </c>
      <c r="D5618">
        <v>0.99771380750197203</v>
      </c>
      <c r="E5618">
        <v>0.97703533297286105</v>
      </c>
      <c r="F5618">
        <v>0.96903424913077296</v>
      </c>
      <c r="G5618">
        <v>0.96741189479498202</v>
      </c>
      <c r="H5618">
        <v>0.880332015853734</v>
      </c>
      <c r="I5618">
        <v>1.1380877467750901</v>
      </c>
      <c r="J5618">
        <v>0.97139067285511105</v>
      </c>
      <c r="K5618">
        <v>1.0288066997209999</v>
      </c>
      <c r="L5618">
        <v>15000</v>
      </c>
      <c r="M5618">
        <v>240.006176570858</v>
      </c>
      <c r="O5618">
        <v>62.494052195640599</v>
      </c>
      <c r="P5618">
        <v>4.4098348865730302E-2</v>
      </c>
      <c r="Q5618">
        <v>1.0459302264186701</v>
      </c>
      <c r="R5618">
        <v>-5.4018355464435796E-4</v>
      </c>
      <c r="S5618" t="s">
        <v>11903</v>
      </c>
      <c r="T5618" t="s">
        <v>12568</v>
      </c>
      <c r="U5618" t="s">
        <v>12568</v>
      </c>
      <c r="V5618" t="s">
        <v>12568</v>
      </c>
      <c r="W5618" t="s">
        <v>18134</v>
      </c>
      <c r="X5618">
        <v>2</v>
      </c>
      <c r="Y5618" t="s">
        <v>24224</v>
      </c>
      <c r="Z5618" t="s">
        <v>30488</v>
      </c>
      <c r="AA5618">
        <v>1.011479552957891</v>
      </c>
      <c r="AB5618" t="str">
        <f>HYPERLINK("Melting_Curves/meltCurve_Q9NWK9_ZNHIT6.pdf", "Melting_Curves/meltCurve_Q9NWK9_ZNHIT6.pdf")</f>
        <v>Melting_Curves/meltCurve_Q9NWK9_ZNHIT6.pdf</v>
      </c>
    </row>
    <row r="5619" spans="1:28" x14ac:dyDescent="0.25">
      <c r="A5619" t="s">
        <v>5623</v>
      </c>
      <c r="B5619">
        <v>0.99352677808782597</v>
      </c>
      <c r="C5619">
        <v>0.92973825828484002</v>
      </c>
      <c r="D5619">
        <v>0.967302729738031</v>
      </c>
      <c r="E5619">
        <v>0.564077302386923</v>
      </c>
      <c r="F5619">
        <v>0.49928628108273199</v>
      </c>
      <c r="G5619">
        <v>0.36171365494208702</v>
      </c>
      <c r="H5619">
        <v>0.239662427390432</v>
      </c>
      <c r="I5619">
        <v>0.20949972179323201</v>
      </c>
      <c r="J5619">
        <v>0.16997481555875099</v>
      </c>
      <c r="K5619">
        <v>0.149192781833031</v>
      </c>
      <c r="L5619">
        <v>738.76071509841302</v>
      </c>
      <c r="M5619">
        <v>14.3851192658641</v>
      </c>
      <c r="N5619">
        <v>52.707519548006402</v>
      </c>
      <c r="O5619">
        <v>50.394049884642001</v>
      </c>
      <c r="P5619">
        <v>-6.03625882688512E-2</v>
      </c>
      <c r="Q5619">
        <v>0.15425050403689899</v>
      </c>
      <c r="R5619">
        <v>0.97854526635310501</v>
      </c>
      <c r="S5619" t="s">
        <v>11904</v>
      </c>
      <c r="T5619" t="s">
        <v>12568</v>
      </c>
      <c r="U5619" t="s">
        <v>12568</v>
      </c>
      <c r="V5619" t="s">
        <v>12568</v>
      </c>
      <c r="W5619" t="s">
        <v>18135</v>
      </c>
      <c r="X5619">
        <v>4</v>
      </c>
      <c r="Y5619" t="s">
        <v>24225</v>
      </c>
      <c r="Z5619" t="s">
        <v>30489</v>
      </c>
      <c r="AA5619">
        <v>0.49504139136509528</v>
      </c>
      <c r="AB5619" t="str">
        <f>HYPERLINK("Melting_Curves/meltCurve_Q9NWM0_2_SMOX.pdf", "Melting_Curves/meltCurve_Q9NWM0_2_SMOX.pdf")</f>
        <v>Melting_Curves/meltCurve_Q9NWM0_2_SMOX.pdf</v>
      </c>
    </row>
    <row r="5620" spans="1:28" x14ac:dyDescent="0.25">
      <c r="A5620" t="s">
        <v>5624</v>
      </c>
      <c r="B5620">
        <v>0.99352677808782597</v>
      </c>
      <c r="C5620">
        <v>1.0074704901932501</v>
      </c>
      <c r="D5620">
        <v>0.98546065732747701</v>
      </c>
      <c r="E5620">
        <v>0.92079575120787005</v>
      </c>
      <c r="F5620">
        <v>0.85711662062901794</v>
      </c>
      <c r="G5620">
        <v>0.65779903165092402</v>
      </c>
      <c r="H5620">
        <v>0.62498852599864796</v>
      </c>
      <c r="I5620">
        <v>0.62514261540125005</v>
      </c>
      <c r="J5620">
        <v>0.68501658370310803</v>
      </c>
      <c r="K5620">
        <v>0.64977803497230002</v>
      </c>
      <c r="L5620">
        <v>1607.4612717862001</v>
      </c>
      <c r="M5620">
        <v>30.2234000098967</v>
      </c>
      <c r="O5620">
        <v>52.954770126851798</v>
      </c>
      <c r="P5620">
        <v>-5.1303812189118801E-2</v>
      </c>
      <c r="Q5620">
        <v>0.640442260702625</v>
      </c>
      <c r="R5620">
        <v>0.97783854045403595</v>
      </c>
      <c r="S5620" t="s">
        <v>11905</v>
      </c>
      <c r="T5620" t="s">
        <v>12568</v>
      </c>
      <c r="U5620" t="s">
        <v>12568</v>
      </c>
      <c r="V5620" t="s">
        <v>12568</v>
      </c>
      <c r="W5620" t="s">
        <v>18136</v>
      </c>
      <c r="X5620">
        <v>9</v>
      </c>
      <c r="Y5620" t="s">
        <v>24226</v>
      </c>
      <c r="Z5620" t="s">
        <v>30490</v>
      </c>
      <c r="AA5620">
        <v>0.80078374352890569</v>
      </c>
      <c r="AB5620" t="str">
        <f>HYPERLINK("Melting_Curves/meltCurve_Q9NWM3_CUEDC1.pdf", "Melting_Curves/meltCurve_Q9NWM3_CUEDC1.pdf")</f>
        <v>Melting_Curves/meltCurve_Q9NWM3_CUEDC1.pdf</v>
      </c>
    </row>
    <row r="5621" spans="1:28" x14ac:dyDescent="0.25">
      <c r="A5621" t="s">
        <v>5625</v>
      </c>
      <c r="B5621">
        <v>0.99352677808782597</v>
      </c>
      <c r="C5621">
        <v>1.0097806938493901</v>
      </c>
      <c r="D5621">
        <v>0.97268911004660297</v>
      </c>
      <c r="E5621">
        <v>0.85543109750369095</v>
      </c>
      <c r="F5621">
        <v>0.74005469135025503</v>
      </c>
      <c r="G5621">
        <v>0.68112906954615304</v>
      </c>
      <c r="H5621">
        <v>0.55379467873440902</v>
      </c>
      <c r="I5621">
        <v>0.44160857834420397</v>
      </c>
      <c r="J5621">
        <v>0.47148910638191199</v>
      </c>
      <c r="K5621">
        <v>0.32874048786718402</v>
      </c>
      <c r="L5621">
        <v>535.49939946855295</v>
      </c>
      <c r="M5621">
        <v>9.1496474515840909</v>
      </c>
      <c r="N5621">
        <v>62.661193251466301</v>
      </c>
      <c r="O5621">
        <v>55.934420795885202</v>
      </c>
      <c r="P5621">
        <v>-3.1649121360176197E-2</v>
      </c>
      <c r="Q5621">
        <v>0.22660701986611201</v>
      </c>
      <c r="R5621">
        <v>0.98053137494093601</v>
      </c>
      <c r="S5621" t="s">
        <v>11906</v>
      </c>
      <c r="T5621" t="s">
        <v>12568</v>
      </c>
      <c r="U5621" t="s">
        <v>12568</v>
      </c>
      <c r="V5621" t="s">
        <v>12568</v>
      </c>
      <c r="W5621" t="s">
        <v>18137</v>
      </c>
      <c r="X5621">
        <v>3</v>
      </c>
      <c r="Y5621" t="s">
        <v>24227</v>
      </c>
      <c r="Z5621" t="s">
        <v>30491</v>
      </c>
      <c r="AA5621">
        <v>0.7072386432585771</v>
      </c>
      <c r="AB5621" t="str">
        <f>HYPERLINK("Melting_Curves/meltCurve_Q9NWM8_FKBP14.pdf", "Melting_Curves/meltCurve_Q9NWM8_FKBP14.pdf")</f>
        <v>Melting_Curves/meltCurve_Q9NWM8_FKBP14.pdf</v>
      </c>
    </row>
    <row r="5622" spans="1:28" x14ac:dyDescent="0.25">
      <c r="A5622" t="s">
        <v>5626</v>
      </c>
      <c r="B5622">
        <v>0.99352677808782597</v>
      </c>
      <c r="C5622">
        <v>0.93343320382504502</v>
      </c>
      <c r="D5622">
        <v>0.99064737437725903</v>
      </c>
      <c r="E5622">
        <v>0.758837827070722</v>
      </c>
      <c r="F5622">
        <v>0.71874545217741104</v>
      </c>
      <c r="G5622">
        <v>0.60038086578148198</v>
      </c>
      <c r="H5622">
        <v>0.56068616901012203</v>
      </c>
      <c r="I5622">
        <v>0.55451912851979501</v>
      </c>
      <c r="J5622">
        <v>0.63707523852425896</v>
      </c>
      <c r="K5622">
        <v>0.53262638227967396</v>
      </c>
      <c r="L5622">
        <v>981.06147176167804</v>
      </c>
      <c r="M5622">
        <v>19.481731492167999</v>
      </c>
      <c r="O5622">
        <v>49.8364300794114</v>
      </c>
      <c r="P5622">
        <v>-4.23995382892055E-2</v>
      </c>
      <c r="Q5622">
        <v>0.56616477617410199</v>
      </c>
      <c r="R5622">
        <v>0.95232934497438704</v>
      </c>
      <c r="S5622" t="s">
        <v>11907</v>
      </c>
      <c r="T5622" t="s">
        <v>12568</v>
      </c>
      <c r="U5622" t="s">
        <v>12568</v>
      </c>
      <c r="V5622" t="s">
        <v>12568</v>
      </c>
      <c r="W5622" t="s">
        <v>18138</v>
      </c>
      <c r="X5622">
        <v>1</v>
      </c>
      <c r="Y5622" t="s">
        <v>24228</v>
      </c>
      <c r="Z5622" t="s">
        <v>30492</v>
      </c>
      <c r="AA5622">
        <v>0.7222974643812321</v>
      </c>
      <c r="AB5622" t="str">
        <f>HYPERLINK("Melting_Curves/meltCurve_Q9NWQ4_4_GPATCH2L.pdf", "Melting_Curves/meltCurve_Q9NWQ4_4_GPATCH2L.pdf")</f>
        <v>Melting_Curves/meltCurve_Q9NWQ4_4_GPATCH2L.pdf</v>
      </c>
    </row>
    <row r="5623" spans="1:28" x14ac:dyDescent="0.25">
      <c r="A5623" t="s">
        <v>5627</v>
      </c>
      <c r="B5623">
        <v>0.99352677808782597</v>
      </c>
      <c r="C5623">
        <v>0.99745885615788599</v>
      </c>
      <c r="D5623">
        <v>1.0045192774522</v>
      </c>
      <c r="E5623">
        <v>0.72374135072406498</v>
      </c>
      <c r="F5623">
        <v>0.60381066051890697</v>
      </c>
      <c r="G5623">
        <v>0.428587047354753</v>
      </c>
      <c r="H5623">
        <v>0.29972004837348198</v>
      </c>
      <c r="I5623">
        <v>0.28775883271858899</v>
      </c>
      <c r="J5623">
        <v>0.28526305433473498</v>
      </c>
      <c r="K5623">
        <v>0.22097324826634099</v>
      </c>
      <c r="L5623">
        <v>878.22017079620105</v>
      </c>
      <c r="M5623">
        <v>16.700192549914401</v>
      </c>
      <c r="N5623">
        <v>54.761309985744901</v>
      </c>
      <c r="O5623">
        <v>51.850754261483601</v>
      </c>
      <c r="P5623">
        <v>-6.1011464865295302E-2</v>
      </c>
      <c r="Q5623">
        <v>0.24233670903660401</v>
      </c>
      <c r="R5623">
        <v>0.98956016868996199</v>
      </c>
      <c r="S5623" t="s">
        <v>11908</v>
      </c>
      <c r="T5623" t="s">
        <v>12568</v>
      </c>
      <c r="U5623" t="s">
        <v>12568</v>
      </c>
      <c r="V5623" t="s">
        <v>12568</v>
      </c>
      <c r="W5623" t="s">
        <v>18139</v>
      </c>
      <c r="X5623">
        <v>3</v>
      </c>
      <c r="Y5623" t="s">
        <v>24229</v>
      </c>
      <c r="Z5623" t="s">
        <v>30493</v>
      </c>
      <c r="AA5623">
        <v>0.57433489093119172</v>
      </c>
      <c r="AB5623" t="str">
        <f>HYPERLINK("Melting_Curves/meltCurve_Q9NWQ9_C14orf119.pdf", "Melting_Curves/meltCurve_Q9NWQ9_C14orf119.pdf")</f>
        <v>Melting_Curves/meltCurve_Q9NWQ9_C14orf119.pdf</v>
      </c>
    </row>
    <row r="5624" spans="1:28" x14ac:dyDescent="0.25">
      <c r="A5624" t="s">
        <v>5628</v>
      </c>
      <c r="B5624">
        <v>0.99352677808782597</v>
      </c>
      <c r="C5624">
        <v>0.96296153705937204</v>
      </c>
      <c r="D5624">
        <v>0.955260628476441</v>
      </c>
      <c r="E5624">
        <v>0.65021233403136003</v>
      </c>
      <c r="F5624">
        <v>0.52242349429674595</v>
      </c>
      <c r="G5624">
        <v>0.33529693827134099</v>
      </c>
      <c r="H5624">
        <v>0.226900080673722</v>
      </c>
      <c r="I5624">
        <v>0.212316875266886</v>
      </c>
      <c r="J5624">
        <v>0.22018421995361501</v>
      </c>
      <c r="K5624">
        <v>0.185738590456337</v>
      </c>
      <c r="L5624">
        <v>873.69653021954696</v>
      </c>
      <c r="M5624">
        <v>16.9550665090308</v>
      </c>
      <c r="N5624">
        <v>53.0022375807835</v>
      </c>
      <c r="O5624">
        <v>50.829306097900599</v>
      </c>
      <c r="P5624">
        <v>-6.7736447041286604E-2</v>
      </c>
      <c r="Q5624">
        <v>0.18778694031353799</v>
      </c>
      <c r="R5624">
        <v>0.99420421322904995</v>
      </c>
      <c r="S5624" t="s">
        <v>11909</v>
      </c>
      <c r="T5624" t="s">
        <v>12568</v>
      </c>
      <c r="U5624" t="s">
        <v>12568</v>
      </c>
      <c r="V5624" t="s">
        <v>12568</v>
      </c>
      <c r="W5624" t="s">
        <v>18140</v>
      </c>
      <c r="X5624">
        <v>7</v>
      </c>
      <c r="Y5624" t="s">
        <v>24230</v>
      </c>
      <c r="Z5624" t="s">
        <v>30494</v>
      </c>
      <c r="AA5624">
        <v>0.51502968495656642</v>
      </c>
      <c r="AB5624" t="str">
        <f>HYPERLINK("Melting_Curves/meltCurve_Q9NWS0_PIH1D1.pdf", "Melting_Curves/meltCurve_Q9NWS0_PIH1D1.pdf")</f>
        <v>Melting_Curves/meltCurve_Q9NWS0_PIH1D1.pdf</v>
      </c>
    </row>
    <row r="5625" spans="1:28" x14ac:dyDescent="0.25">
      <c r="A5625" t="s">
        <v>5629</v>
      </c>
      <c r="B5625">
        <v>0.99352677808782597</v>
      </c>
      <c r="C5625">
        <v>0.94987117889316997</v>
      </c>
      <c r="D5625">
        <v>0.82391880360701397</v>
      </c>
      <c r="E5625">
        <v>0.94313204301601705</v>
      </c>
      <c r="F5625">
        <v>0.64526143110410095</v>
      </c>
      <c r="G5625">
        <v>0.22008205613142601</v>
      </c>
      <c r="H5625">
        <v>0.37835837179072701</v>
      </c>
      <c r="I5625">
        <v>8.6095386626414902E-2</v>
      </c>
      <c r="J5625">
        <v>6.5036693351444297E-2</v>
      </c>
      <c r="K5625">
        <v>4.6850073813799999E-2</v>
      </c>
      <c r="L5625">
        <v>890.77356998386097</v>
      </c>
      <c r="M5625">
        <v>16.307041915992102</v>
      </c>
      <c r="N5625">
        <v>54.933006069545399</v>
      </c>
      <c r="O5625">
        <v>53.823429925600898</v>
      </c>
      <c r="P5625">
        <v>-7.2440276802578904E-2</v>
      </c>
      <c r="Q5625">
        <v>4.3676849687048901E-2</v>
      </c>
      <c r="R5625">
        <v>0.93569710743457002</v>
      </c>
      <c r="S5625" t="s">
        <v>11910</v>
      </c>
      <c r="T5625" t="s">
        <v>12568</v>
      </c>
      <c r="U5625" t="s">
        <v>12568</v>
      </c>
      <c r="V5625" t="s">
        <v>12568</v>
      </c>
      <c r="W5625" t="s">
        <v>18141</v>
      </c>
      <c r="X5625">
        <v>1</v>
      </c>
      <c r="Y5625" t="s">
        <v>24231</v>
      </c>
      <c r="Z5625" t="s">
        <v>30495</v>
      </c>
      <c r="AA5625">
        <v>0.52700147629216498</v>
      </c>
      <c r="AB5625" t="str">
        <f>HYPERLINK("Melting_Curves/meltCurve_Q9NWS1_5_PARPBP.pdf", "Melting_Curves/meltCurve_Q9NWS1_5_PARPBP.pdf")</f>
        <v>Melting_Curves/meltCurve_Q9NWS1_5_PARPBP.pdf</v>
      </c>
    </row>
    <row r="5626" spans="1:28" x14ac:dyDescent="0.25">
      <c r="A5626" t="s">
        <v>5630</v>
      </c>
      <c r="B5626">
        <v>0.99352677808782597</v>
      </c>
      <c r="C5626">
        <v>0.86900686117026205</v>
      </c>
      <c r="D5626">
        <v>0.79717819068915496</v>
      </c>
      <c r="E5626">
        <v>0.41412867116162599</v>
      </c>
      <c r="F5626">
        <v>0.38349798610818397</v>
      </c>
      <c r="G5626">
        <v>0.234956973712307</v>
      </c>
      <c r="H5626">
        <v>0.14880463945872899</v>
      </c>
      <c r="I5626">
        <v>0.16513134123789</v>
      </c>
      <c r="J5626">
        <v>0.12568312978690699</v>
      </c>
      <c r="K5626">
        <v>9.7637766020227501E-2</v>
      </c>
      <c r="L5626">
        <v>700.814991979105</v>
      </c>
      <c r="M5626">
        <v>14.310493462585899</v>
      </c>
      <c r="N5626">
        <v>49.854566993894103</v>
      </c>
      <c r="O5626">
        <v>48.045587031842999</v>
      </c>
      <c r="P5626">
        <v>-6.6139839211186505E-2</v>
      </c>
      <c r="Q5626">
        <v>0.11188482295768</v>
      </c>
      <c r="R5626">
        <v>0.98654906562765898</v>
      </c>
      <c r="S5626" t="s">
        <v>11911</v>
      </c>
      <c r="T5626" t="s">
        <v>12568</v>
      </c>
      <c r="U5626" t="s">
        <v>12568</v>
      </c>
      <c r="V5626" t="s">
        <v>12568</v>
      </c>
      <c r="W5626" t="s">
        <v>18142</v>
      </c>
      <c r="X5626">
        <v>2</v>
      </c>
      <c r="Y5626" t="s">
        <v>24232</v>
      </c>
      <c r="Z5626" t="s">
        <v>30496</v>
      </c>
      <c r="AA5626">
        <v>0.4014483289380702</v>
      </c>
      <c r="AB5626" t="str">
        <f>HYPERLINK("Melting_Curves/meltCurve_Q9NWS6_FAM118A.pdf", "Melting_Curves/meltCurve_Q9NWS6_FAM118A.pdf")</f>
        <v>Melting_Curves/meltCurve_Q9NWS6_FAM118A.pdf</v>
      </c>
    </row>
    <row r="5627" spans="1:28" x14ac:dyDescent="0.25">
      <c r="A5627" t="s">
        <v>5631</v>
      </c>
      <c r="B5627">
        <v>0.99352677808782597</v>
      </c>
      <c r="C5627">
        <v>0.92434635095359796</v>
      </c>
      <c r="D5627">
        <v>0.82885577097929697</v>
      </c>
      <c r="E5627">
        <v>0.53705637353312197</v>
      </c>
      <c r="F5627">
        <v>0.46664719850103098</v>
      </c>
      <c r="G5627">
        <v>0.31086819893906098</v>
      </c>
      <c r="H5627">
        <v>0.221504201091164</v>
      </c>
      <c r="I5627">
        <v>0.209280737473656</v>
      </c>
      <c r="J5627">
        <v>9.4409299454772194E-2</v>
      </c>
      <c r="K5627">
        <v>7.6120089467728594E-2</v>
      </c>
      <c r="L5627">
        <v>570.02219626541</v>
      </c>
      <c r="M5627">
        <v>11.0816884986746</v>
      </c>
      <c r="N5627">
        <v>52.048011785235197</v>
      </c>
      <c r="O5627">
        <v>49.848372131952402</v>
      </c>
      <c r="P5627">
        <v>-5.2210579710658303E-2</v>
      </c>
      <c r="Q5627">
        <v>6.0879845529640597E-2</v>
      </c>
      <c r="R5627">
        <v>0.98849902038656501</v>
      </c>
      <c r="S5627" t="s">
        <v>11912</v>
      </c>
      <c r="T5627" t="s">
        <v>12568</v>
      </c>
      <c r="U5627" t="s">
        <v>12568</v>
      </c>
      <c r="V5627" t="s">
        <v>12568</v>
      </c>
      <c r="W5627" t="s">
        <v>18143</v>
      </c>
      <c r="X5627">
        <v>3</v>
      </c>
      <c r="Y5627" t="s">
        <v>24233</v>
      </c>
      <c r="Z5627" t="s">
        <v>30497</v>
      </c>
      <c r="AA5627">
        <v>0.45206814428830627</v>
      </c>
      <c r="AB5627" t="str">
        <f>HYPERLINK("Melting_Curves/meltCurve_Q9NWT6_HIF1AN.pdf", "Melting_Curves/meltCurve_Q9NWT6_HIF1AN.pdf")</f>
        <v>Melting_Curves/meltCurve_Q9NWT6_HIF1AN.pdf</v>
      </c>
    </row>
    <row r="5628" spans="1:28" x14ac:dyDescent="0.25">
      <c r="A5628" t="s">
        <v>5632</v>
      </c>
      <c r="B5628">
        <v>0.99352677808782597</v>
      </c>
      <c r="C5628">
        <v>0.94043310725596196</v>
      </c>
      <c r="D5628">
        <v>0.777798347113422</v>
      </c>
      <c r="E5628">
        <v>0.67927535304499997</v>
      </c>
      <c r="F5628">
        <v>0.56121238949766705</v>
      </c>
      <c r="G5628">
        <v>0.44708085938234798</v>
      </c>
      <c r="H5628">
        <v>0.53182677764831798</v>
      </c>
      <c r="I5628">
        <v>0.54242948196205798</v>
      </c>
      <c r="J5628">
        <v>0.64646737158297896</v>
      </c>
      <c r="K5628">
        <v>0.31233343983814199</v>
      </c>
      <c r="L5628">
        <v>784.407902625936</v>
      </c>
      <c r="M5628">
        <v>16.5218918428831</v>
      </c>
      <c r="N5628">
        <v>61.189462436283399</v>
      </c>
      <c r="O5628">
        <v>46.797729699201803</v>
      </c>
      <c r="P5628">
        <v>-4.5222558938073802E-2</v>
      </c>
      <c r="Q5628">
        <v>0.48766986611051</v>
      </c>
      <c r="R5628">
        <v>0.83629777411545902</v>
      </c>
      <c r="S5628" t="s">
        <v>11913</v>
      </c>
      <c r="T5628" t="s">
        <v>12568</v>
      </c>
      <c r="U5628" t="s">
        <v>12568</v>
      </c>
      <c r="V5628" t="s">
        <v>12568</v>
      </c>
      <c r="W5628" t="s">
        <v>18144</v>
      </c>
      <c r="X5628">
        <v>6</v>
      </c>
      <c r="Y5628" t="s">
        <v>24234</v>
      </c>
      <c r="Z5628" t="s">
        <v>30498</v>
      </c>
      <c r="AA5628">
        <v>0.62645278911225233</v>
      </c>
      <c r="AB5628" t="str">
        <f>HYPERLINK("Melting_Curves/meltCurve_Q9NWU1_OXSM.pdf", "Melting_Curves/meltCurve_Q9NWU1_OXSM.pdf")</f>
        <v>Melting_Curves/meltCurve_Q9NWU1_OXSM.pdf</v>
      </c>
    </row>
    <row r="5629" spans="1:28" x14ac:dyDescent="0.25">
      <c r="A5629" t="s">
        <v>5633</v>
      </c>
      <c r="B5629">
        <v>0.99352677808782597</v>
      </c>
      <c r="C5629">
        <v>0.93863683473177595</v>
      </c>
      <c r="D5629">
        <v>0.80943474901526602</v>
      </c>
      <c r="E5629">
        <v>0.79963826257383597</v>
      </c>
      <c r="F5629">
        <v>0.71281906730271605</v>
      </c>
      <c r="G5629">
        <v>0.463746733186641</v>
      </c>
      <c r="H5629">
        <v>0.40209318546087203</v>
      </c>
      <c r="I5629">
        <v>0.34082662640877698</v>
      </c>
      <c r="J5629">
        <v>0.279278685591767</v>
      </c>
      <c r="K5629">
        <v>0.22740323723737499</v>
      </c>
      <c r="L5629">
        <v>463.307358134396</v>
      </c>
      <c r="M5629">
        <v>8.1829898764897404</v>
      </c>
      <c r="N5629">
        <v>57.667382558025899</v>
      </c>
      <c r="O5629">
        <v>53.538502610999103</v>
      </c>
      <c r="P5629">
        <v>-3.5605297636923001E-2</v>
      </c>
      <c r="Q5629">
        <v>6.9154254397156195E-2</v>
      </c>
      <c r="R5629">
        <v>0.98274416803922005</v>
      </c>
      <c r="S5629" t="s">
        <v>11914</v>
      </c>
      <c r="T5629" t="s">
        <v>12568</v>
      </c>
      <c r="U5629" t="s">
        <v>12568</v>
      </c>
      <c r="V5629" t="s">
        <v>12568</v>
      </c>
      <c r="W5629" t="s">
        <v>18145</v>
      </c>
      <c r="X5629">
        <v>3</v>
      </c>
      <c r="Y5629" t="s">
        <v>24235</v>
      </c>
      <c r="Z5629" t="s">
        <v>30499</v>
      </c>
      <c r="AA5629">
        <v>0.59916581423407089</v>
      </c>
      <c r="AB5629" t="str">
        <f>HYPERLINK("Melting_Curves/meltCurve_Q9NWU2_GID8.pdf", "Melting_Curves/meltCurve_Q9NWU2_GID8.pdf")</f>
        <v>Melting_Curves/meltCurve_Q9NWU2_GID8.pdf</v>
      </c>
    </row>
    <row r="5630" spans="1:28" x14ac:dyDescent="0.25">
      <c r="A5630" t="s">
        <v>5634</v>
      </c>
      <c r="B5630">
        <v>0.99352677808782597</v>
      </c>
      <c r="C5630">
        <v>0.96320687190603504</v>
      </c>
      <c r="D5630">
        <v>0.98473857752900396</v>
      </c>
      <c r="E5630">
        <v>0.91681329298497505</v>
      </c>
      <c r="F5630">
        <v>0.81760658086673899</v>
      </c>
      <c r="G5630">
        <v>0.69997140657145795</v>
      </c>
      <c r="H5630">
        <v>0.44508781458116098</v>
      </c>
      <c r="I5630">
        <v>0.412212527561998</v>
      </c>
      <c r="J5630">
        <v>0.39395110901617397</v>
      </c>
      <c r="K5630">
        <v>0.30982362620770398</v>
      </c>
      <c r="L5630">
        <v>818.31318439593304</v>
      </c>
      <c r="M5630">
        <v>14.2441720156265</v>
      </c>
      <c r="N5630">
        <v>60.833591711137601</v>
      </c>
      <c r="O5630">
        <v>56.352264461491302</v>
      </c>
      <c r="P5630">
        <v>-4.5905859208579501E-2</v>
      </c>
      <c r="Q5630">
        <v>0.27364561622692302</v>
      </c>
      <c r="R5630">
        <v>0.98978964500213595</v>
      </c>
      <c r="S5630" t="s">
        <v>11915</v>
      </c>
      <c r="T5630" t="s">
        <v>12568</v>
      </c>
      <c r="U5630" t="s">
        <v>12568</v>
      </c>
      <c r="V5630" t="s">
        <v>12568</v>
      </c>
      <c r="W5630" t="s">
        <v>18146</v>
      </c>
      <c r="X5630">
        <v>8</v>
      </c>
      <c r="Y5630" t="s">
        <v>24236</v>
      </c>
      <c r="Z5630" t="s">
        <v>30500</v>
      </c>
      <c r="AA5630">
        <v>0.70706536716140278</v>
      </c>
      <c r="AB5630" t="str">
        <f>HYPERLINK("Melting_Curves/meltCurve_Q9NWV4_C1orf123.pdf", "Melting_Curves/meltCurve_Q9NWV4_C1orf123.pdf")</f>
        <v>Melting_Curves/meltCurve_Q9NWV4_C1orf123.pdf</v>
      </c>
    </row>
    <row r="5631" spans="1:28" x14ac:dyDescent="0.25">
      <c r="A5631" t="s">
        <v>5635</v>
      </c>
      <c r="B5631">
        <v>0.99352677808782597</v>
      </c>
      <c r="C5631">
        <v>0.93810642962064805</v>
      </c>
      <c r="D5631">
        <v>0.83237693530603696</v>
      </c>
      <c r="E5631">
        <v>0.70402015046950805</v>
      </c>
      <c r="F5631">
        <v>0.39166985506169399</v>
      </c>
      <c r="G5631">
        <v>0.23557154994155899</v>
      </c>
      <c r="H5631">
        <v>0.15534807555492999</v>
      </c>
      <c r="I5631">
        <v>0.186299122270771</v>
      </c>
      <c r="J5631">
        <v>0.12337491360259401</v>
      </c>
      <c r="K5631">
        <v>6.6813162850166197E-2</v>
      </c>
      <c r="L5631">
        <v>794.10953680487501</v>
      </c>
      <c r="M5631">
        <v>15.476753701083799</v>
      </c>
      <c r="N5631">
        <v>51.980234226787097</v>
      </c>
      <c r="O5631">
        <v>50.476092677464599</v>
      </c>
      <c r="P5631">
        <v>-6.9724920069993396E-2</v>
      </c>
      <c r="Q5631">
        <v>9.0474119475804804E-2</v>
      </c>
      <c r="R5631">
        <v>0.98903950862572299</v>
      </c>
      <c r="S5631" t="s">
        <v>11916</v>
      </c>
      <c r="T5631" t="s">
        <v>12568</v>
      </c>
      <c r="U5631" t="s">
        <v>12568</v>
      </c>
      <c r="V5631" t="s">
        <v>12568</v>
      </c>
      <c r="W5631" t="s">
        <v>18147</v>
      </c>
      <c r="X5631">
        <v>1</v>
      </c>
      <c r="Y5631" t="s">
        <v>24237</v>
      </c>
      <c r="Z5631" t="s">
        <v>30501</v>
      </c>
      <c r="AA5631">
        <v>0.45313316812964333</v>
      </c>
      <c r="AB5631" t="str">
        <f>HYPERLINK("Melting_Curves/meltCurve_Q9NWW6_2_NMRK1.pdf", "Melting_Curves/meltCurve_Q9NWW6_2_NMRK1.pdf")</f>
        <v>Melting_Curves/meltCurve_Q9NWW6_2_NMRK1.pdf</v>
      </c>
    </row>
    <row r="5632" spans="1:28" x14ac:dyDescent="0.25">
      <c r="A5632" t="s">
        <v>5636</v>
      </c>
      <c r="B5632">
        <v>0.99352677808782597</v>
      </c>
      <c r="C5632">
        <v>0.87706604579906899</v>
      </c>
      <c r="D5632">
        <v>0.726016042500082</v>
      </c>
      <c r="E5632">
        <v>0.34869402060300098</v>
      </c>
      <c r="F5632">
        <v>0.30162113452118999</v>
      </c>
      <c r="G5632">
        <v>0.166582663959428</v>
      </c>
      <c r="H5632">
        <v>0.102010861399688</v>
      </c>
      <c r="I5632">
        <v>8.3605463443255396E-2</v>
      </c>
      <c r="J5632">
        <v>7.8334801804199397E-2</v>
      </c>
      <c r="K5632">
        <v>6.0215995159418501E-2</v>
      </c>
      <c r="L5632">
        <v>757.59913152502099</v>
      </c>
      <c r="M5632">
        <v>15.7079822290841</v>
      </c>
      <c r="N5632">
        <v>48.699513056440203</v>
      </c>
      <c r="O5632">
        <v>47.468812828898002</v>
      </c>
      <c r="P5632">
        <v>-7.6923917423265195E-2</v>
      </c>
      <c r="Q5632">
        <v>7.0235976280701495E-2</v>
      </c>
      <c r="R5632">
        <v>0.99288843450205799</v>
      </c>
      <c r="S5632" t="s">
        <v>11917</v>
      </c>
      <c r="T5632" t="s">
        <v>12568</v>
      </c>
      <c r="U5632" t="s">
        <v>12568</v>
      </c>
      <c r="V5632" t="s">
        <v>12568</v>
      </c>
      <c r="W5632" t="s">
        <v>18148</v>
      </c>
      <c r="X5632">
        <v>2</v>
      </c>
      <c r="Y5632" t="s">
        <v>24238</v>
      </c>
      <c r="Z5632" t="s">
        <v>30502</v>
      </c>
      <c r="AA5632">
        <v>0.34692154776178169</v>
      </c>
      <c r="AB5632" t="str">
        <f>HYPERLINK("Melting_Curves/meltCurve_Q9NWX5_ASB6.pdf", "Melting_Curves/meltCurve_Q9NWX5_ASB6.pdf")</f>
        <v>Melting_Curves/meltCurve_Q9NWX5_ASB6.pdf</v>
      </c>
    </row>
    <row r="5633" spans="1:28" x14ac:dyDescent="0.25">
      <c r="A5633" t="s">
        <v>5637</v>
      </c>
      <c r="B5633">
        <v>0.99352677808782597</v>
      </c>
      <c r="C5633">
        <v>0.96139461458298303</v>
      </c>
      <c r="D5633">
        <v>0.85668003228779899</v>
      </c>
      <c r="E5633">
        <v>0.38011400409284801</v>
      </c>
      <c r="F5633">
        <v>0.29747664711425498</v>
      </c>
      <c r="G5633">
        <v>0.13832418904812999</v>
      </c>
      <c r="H5633">
        <v>9.3680749585343295E-2</v>
      </c>
      <c r="I5633">
        <v>8.4146156973337494E-2</v>
      </c>
      <c r="J5633">
        <v>6.5357101414568297E-2</v>
      </c>
      <c r="K5633">
        <v>5.7078421439672102E-2</v>
      </c>
      <c r="L5633">
        <v>1037.8187691452099</v>
      </c>
      <c r="M5633">
        <v>21.161370877692701</v>
      </c>
      <c r="N5633">
        <v>49.435434923068598</v>
      </c>
      <c r="O5633">
        <v>48.6114190793406</v>
      </c>
      <c r="P5633">
        <v>-0.10041903386873299</v>
      </c>
      <c r="Q5633">
        <v>7.7302860106554794E-2</v>
      </c>
      <c r="R5633">
        <v>0.99214892230962903</v>
      </c>
      <c r="S5633" t="s">
        <v>11918</v>
      </c>
      <c r="T5633" t="s">
        <v>12568</v>
      </c>
      <c r="U5633" t="s">
        <v>12568</v>
      </c>
      <c r="V5633" t="s">
        <v>12568</v>
      </c>
      <c r="W5633" t="s">
        <v>18149</v>
      </c>
      <c r="X5633">
        <v>6</v>
      </c>
      <c r="Y5633" t="s">
        <v>24239</v>
      </c>
      <c r="Z5633" t="s">
        <v>30503</v>
      </c>
      <c r="AA5633">
        <v>0.36695379251529048</v>
      </c>
      <c r="AB5633" t="str">
        <f>HYPERLINK("Melting_Curves/meltCurve_Q9NWX6_THG1L.pdf", "Melting_Curves/meltCurve_Q9NWX6_THG1L.pdf")</f>
        <v>Melting_Curves/meltCurve_Q9NWX6_THG1L.pdf</v>
      </c>
    </row>
    <row r="5634" spans="1:28" x14ac:dyDescent="0.25">
      <c r="A5634" t="s">
        <v>5638</v>
      </c>
      <c r="B5634">
        <v>0.99352677808782597</v>
      </c>
      <c r="C5634">
        <v>0.86853530820759395</v>
      </c>
      <c r="D5634">
        <v>0.72646451485124397</v>
      </c>
      <c r="E5634">
        <v>0.243871355004321</v>
      </c>
      <c r="F5634">
        <v>0.196091033503662</v>
      </c>
      <c r="G5634">
        <v>0.13950740171772699</v>
      </c>
      <c r="H5634">
        <v>0.114621016461913</v>
      </c>
      <c r="I5634">
        <v>0.106783927363774</v>
      </c>
      <c r="J5634">
        <v>9.8152584569090498E-2</v>
      </c>
      <c r="K5634">
        <v>7.3778344519867603E-2</v>
      </c>
      <c r="L5634">
        <v>1109.6723989060399</v>
      </c>
      <c r="M5634">
        <v>23.512720631086701</v>
      </c>
      <c r="N5634">
        <v>47.657586598215502</v>
      </c>
      <c r="O5634">
        <v>46.857152186505097</v>
      </c>
      <c r="P5634">
        <v>-0.112640682003408</v>
      </c>
      <c r="Q5634">
        <v>0.10211479163348799</v>
      </c>
      <c r="R5634">
        <v>0.99195465371353697</v>
      </c>
      <c r="S5634" t="s">
        <v>11919</v>
      </c>
      <c r="T5634" t="s">
        <v>12568</v>
      </c>
      <c r="U5634" t="s">
        <v>12568</v>
      </c>
      <c r="V5634" t="s">
        <v>12568</v>
      </c>
      <c r="W5634" t="s">
        <v>18150</v>
      </c>
      <c r="X5634">
        <v>9</v>
      </c>
      <c r="Y5634" t="s">
        <v>24240</v>
      </c>
      <c r="Z5634" t="s">
        <v>30504</v>
      </c>
      <c r="AA5634">
        <v>0.32658422981094443</v>
      </c>
      <c r="AB5634" t="str">
        <f>HYPERLINK("Melting_Curves/meltCurve_Q9NWY4_C4orf27.pdf", "Melting_Curves/meltCurve_Q9NWY4_C4orf27.pdf")</f>
        <v>Melting_Curves/meltCurve_Q9NWY4_C4orf27.pdf</v>
      </c>
    </row>
    <row r="5635" spans="1:28" x14ac:dyDescent="0.25">
      <c r="A5635" t="s">
        <v>5639</v>
      </c>
      <c r="B5635">
        <v>0.99352677808782597</v>
      </c>
      <c r="C5635">
        <v>0.92196202840751995</v>
      </c>
      <c r="D5635">
        <v>0.84638270085804501</v>
      </c>
      <c r="E5635">
        <v>0.21353487804354099</v>
      </c>
      <c r="F5635">
        <v>0.148508218490185</v>
      </c>
      <c r="G5635">
        <v>8.3508730629809805E-2</v>
      </c>
      <c r="H5635">
        <v>4.9677940614068702E-2</v>
      </c>
      <c r="I5635">
        <v>3.97323019630582E-2</v>
      </c>
      <c r="J5635">
        <v>4.0728717140769699E-2</v>
      </c>
      <c r="K5635">
        <v>2.8620288500573299E-2</v>
      </c>
      <c r="L5635">
        <v>1647.59835981622</v>
      </c>
      <c r="M5635">
        <v>34.346086033586303</v>
      </c>
      <c r="N5635">
        <v>48.132987383701703</v>
      </c>
      <c r="O5635">
        <v>47.808737557848701</v>
      </c>
      <c r="P5635">
        <v>-0.169768769033667</v>
      </c>
      <c r="Q5635">
        <v>5.47511421550613E-2</v>
      </c>
      <c r="R5635">
        <v>0.99303693584039199</v>
      </c>
      <c r="S5635" t="s">
        <v>11920</v>
      </c>
      <c r="T5635" t="s">
        <v>12568</v>
      </c>
      <c r="U5635" t="s">
        <v>12568</v>
      </c>
      <c r="V5635" t="s">
        <v>12568</v>
      </c>
      <c r="W5635" t="s">
        <v>18151</v>
      </c>
      <c r="X5635">
        <v>4</v>
      </c>
      <c r="Y5635" t="s">
        <v>24241</v>
      </c>
      <c r="Z5635" t="s">
        <v>30505</v>
      </c>
      <c r="AA5635">
        <v>0.31018253146304109</v>
      </c>
      <c r="AB5635" t="str">
        <f>HYPERLINK("Melting_Curves/meltCurve_Q9NWZ3_IRAK4.pdf", "Melting_Curves/meltCurve_Q9NWZ3_IRAK4.pdf")</f>
        <v>Melting_Curves/meltCurve_Q9NWZ3_IRAK4.pdf</v>
      </c>
    </row>
    <row r="5636" spans="1:28" x14ac:dyDescent="0.25">
      <c r="A5636" t="s">
        <v>5640</v>
      </c>
      <c r="B5636">
        <v>0.99352677808782597</v>
      </c>
      <c r="C5636">
        <v>0.82234351498820502</v>
      </c>
      <c r="D5636">
        <v>0.59826350421005203</v>
      </c>
      <c r="E5636">
        <v>0.37278766021468701</v>
      </c>
      <c r="F5636">
        <v>0.29575517432536402</v>
      </c>
      <c r="G5636">
        <v>0.18639375391197499</v>
      </c>
      <c r="H5636">
        <v>9.5999006690842506E-2</v>
      </c>
      <c r="I5636">
        <v>8.2123881606509894E-2</v>
      </c>
      <c r="J5636">
        <v>6.9403033478648901E-2</v>
      </c>
      <c r="K5636">
        <v>6.3667399808033903E-2</v>
      </c>
      <c r="L5636">
        <v>618.67699006672797</v>
      </c>
      <c r="M5636">
        <v>12.9797193869358</v>
      </c>
      <c r="N5636">
        <v>48.110383799974798</v>
      </c>
      <c r="O5636">
        <v>46.576032078664298</v>
      </c>
      <c r="P5636">
        <v>-6.57361261567488E-2</v>
      </c>
      <c r="Q5636">
        <v>5.6625393177214899E-2</v>
      </c>
      <c r="R5636">
        <v>0.991402530467695</v>
      </c>
      <c r="S5636" t="s">
        <v>11921</v>
      </c>
      <c r="T5636" t="s">
        <v>12568</v>
      </c>
      <c r="U5636" t="s">
        <v>12568</v>
      </c>
      <c r="V5636" t="s">
        <v>12568</v>
      </c>
      <c r="W5636" t="s">
        <v>18152</v>
      </c>
      <c r="X5636">
        <v>4</v>
      </c>
      <c r="Y5636" t="s">
        <v>24242</v>
      </c>
      <c r="Z5636" t="s">
        <v>30506</v>
      </c>
      <c r="AA5636">
        <v>0.33035347998969927</v>
      </c>
      <c r="AB5636" t="str">
        <f>HYPERLINK("Melting_Curves/meltCurve_Q9NWZ5_UCKL1.pdf", "Melting_Curves/meltCurve_Q9NWZ5_UCKL1.pdf")</f>
        <v>Melting_Curves/meltCurve_Q9NWZ5_UCKL1.pdf</v>
      </c>
    </row>
    <row r="5637" spans="1:28" x14ac:dyDescent="0.25">
      <c r="A5637" t="s">
        <v>5641</v>
      </c>
      <c r="B5637">
        <v>0.99352677808782597</v>
      </c>
      <c r="C5637">
        <v>0.90579969237058899</v>
      </c>
      <c r="D5637">
        <v>0.94505625554129102</v>
      </c>
      <c r="E5637">
        <v>0.88960254979916498</v>
      </c>
      <c r="F5637">
        <v>1.33446622583943</v>
      </c>
      <c r="G5637">
        <v>0.69944396854927604</v>
      </c>
      <c r="H5637">
        <v>0.85557553549089504</v>
      </c>
      <c r="I5637">
        <v>0.71818719116905705</v>
      </c>
      <c r="J5637">
        <v>0.64937615283094596</v>
      </c>
      <c r="K5637">
        <v>0.65393994771931496</v>
      </c>
      <c r="L5637">
        <v>13817.324145276199</v>
      </c>
      <c r="M5637">
        <v>250</v>
      </c>
      <c r="O5637">
        <v>55.265778507450698</v>
      </c>
      <c r="P5637">
        <v>-0.32199081692060799</v>
      </c>
      <c r="Q5637">
        <v>0.71527892593756204</v>
      </c>
      <c r="R5637">
        <v>0.57466267707477203</v>
      </c>
      <c r="S5637" t="s">
        <v>11922</v>
      </c>
      <c r="T5637" t="s">
        <v>12568</v>
      </c>
      <c r="U5637" t="s">
        <v>12568</v>
      </c>
      <c r="V5637" t="s">
        <v>12568</v>
      </c>
      <c r="W5637" t="s">
        <v>18153</v>
      </c>
      <c r="X5637">
        <v>2</v>
      </c>
      <c r="Y5637" t="s">
        <v>24243</v>
      </c>
      <c r="Z5637" t="s">
        <v>30507</v>
      </c>
      <c r="AA5637">
        <v>0.86022289371625327</v>
      </c>
      <c r="AB5637" t="str">
        <f>HYPERLINK("Melting_Curves/meltCurve_Q9NWZ8_GEMIN8.pdf", "Melting_Curves/meltCurve_Q9NWZ8_GEMIN8.pdf")</f>
        <v>Melting_Curves/meltCurve_Q9NWZ8_GEMIN8.pdf</v>
      </c>
    </row>
    <row r="5638" spans="1:28" x14ac:dyDescent="0.25">
      <c r="A5638" t="s">
        <v>5642</v>
      </c>
      <c r="B5638">
        <v>0.99352677808782597</v>
      </c>
      <c r="C5638">
        <v>1.03697025701678</v>
      </c>
      <c r="D5638">
        <v>1.02763594679499</v>
      </c>
      <c r="E5638">
        <v>0.698199320444163</v>
      </c>
      <c r="F5638">
        <v>0.60725292606147496</v>
      </c>
      <c r="G5638">
        <v>0.31200209420347902</v>
      </c>
      <c r="H5638">
        <v>0.18081120284607299</v>
      </c>
      <c r="I5638">
        <v>0.192223582779943</v>
      </c>
      <c r="J5638">
        <v>0.13594170301426101</v>
      </c>
      <c r="K5638">
        <v>9.8711042790328093E-2</v>
      </c>
      <c r="L5638">
        <v>936.99066283592595</v>
      </c>
      <c r="M5638">
        <v>17.6384378236788</v>
      </c>
      <c r="N5638">
        <v>53.900525831749597</v>
      </c>
      <c r="O5638">
        <v>52.453382286829502</v>
      </c>
      <c r="P5638">
        <v>-7.4618731862229795E-2</v>
      </c>
      <c r="Q5638">
        <v>0.112439399437677</v>
      </c>
      <c r="R5638">
        <v>0.98564347339834102</v>
      </c>
      <c r="S5638" t="s">
        <v>11923</v>
      </c>
      <c r="T5638" t="s">
        <v>12568</v>
      </c>
      <c r="U5638" t="s">
        <v>12568</v>
      </c>
      <c r="V5638" t="s">
        <v>12568</v>
      </c>
      <c r="W5638" t="s">
        <v>18154</v>
      </c>
      <c r="X5638">
        <v>3</v>
      </c>
      <c r="Y5638" t="s">
        <v>24244</v>
      </c>
      <c r="Z5638" t="s">
        <v>30508</v>
      </c>
      <c r="AA5638">
        <v>0.51563056315375433</v>
      </c>
      <c r="AB5638" t="str">
        <f>HYPERLINK("Melting_Curves/meltCurve_Q9NX01_TXNL4B.pdf", "Melting_Curves/meltCurve_Q9NX01_TXNL4B.pdf")</f>
        <v>Melting_Curves/meltCurve_Q9NX01_TXNL4B.pdf</v>
      </c>
    </row>
    <row r="5639" spans="1:28" x14ac:dyDescent="0.25">
      <c r="A5639" t="s">
        <v>5643</v>
      </c>
      <c r="B5639">
        <v>0.99352677808782597</v>
      </c>
      <c r="C5639">
        <v>0.95545578970223499</v>
      </c>
      <c r="D5639">
        <v>0.863332399101715</v>
      </c>
      <c r="E5639">
        <v>0.38068092187571201</v>
      </c>
      <c r="F5639">
        <v>0.292190013408412</v>
      </c>
      <c r="G5639">
        <v>0.14963889963646801</v>
      </c>
      <c r="H5639">
        <v>9.0019232843118205E-2</v>
      </c>
      <c r="I5639">
        <v>7.9593807240852701E-2</v>
      </c>
      <c r="J5639">
        <v>6.6826073263934999E-2</v>
      </c>
      <c r="K5639">
        <v>5.0047735370797E-2</v>
      </c>
      <c r="L5639">
        <v>1037.3913637482401</v>
      </c>
      <c r="M5639">
        <v>21.1401128683951</v>
      </c>
      <c r="N5639">
        <v>49.455443719511898</v>
      </c>
      <c r="O5639">
        <v>48.639400770303403</v>
      </c>
      <c r="P5639">
        <v>-0.100450170521554</v>
      </c>
      <c r="Q5639">
        <v>7.5556817173830906E-2</v>
      </c>
      <c r="R5639">
        <v>0.99171107129579295</v>
      </c>
      <c r="S5639" t="s">
        <v>11924</v>
      </c>
      <c r="T5639" t="s">
        <v>12568</v>
      </c>
      <c r="U5639" t="s">
        <v>12568</v>
      </c>
      <c r="V5639" t="s">
        <v>12568</v>
      </c>
      <c r="W5639" t="s">
        <v>18155</v>
      </c>
      <c r="X5639">
        <v>30</v>
      </c>
      <c r="Y5639" t="s">
        <v>24245</v>
      </c>
      <c r="Z5639" t="s">
        <v>30509</v>
      </c>
      <c r="AA5639">
        <v>0.36667477633280571</v>
      </c>
      <c r="AB5639" t="str">
        <f>HYPERLINK("Melting_Curves/meltCurve_Q9NX02_5_NLRP2.pdf", "Melting_Curves/meltCurve_Q9NX02_5_NLRP2.pdf")</f>
        <v>Melting_Curves/meltCurve_Q9NX02_5_NLRP2.pdf</v>
      </c>
    </row>
    <row r="5640" spans="1:28" x14ac:dyDescent="0.25">
      <c r="A5640" t="s">
        <v>5644</v>
      </c>
      <c r="B5640">
        <v>0.99352677808782597</v>
      </c>
      <c r="C5640">
        <v>0.85662886563238005</v>
      </c>
      <c r="D5640">
        <v>0.93154183214894004</v>
      </c>
      <c r="E5640">
        <v>0.85853021404389995</v>
      </c>
      <c r="F5640">
        <v>0.92452732250254399</v>
      </c>
      <c r="G5640">
        <v>0.75506196082249299</v>
      </c>
      <c r="H5640">
        <v>0.60021556019323796</v>
      </c>
      <c r="I5640">
        <v>0.85549584439349602</v>
      </c>
      <c r="J5640">
        <v>0.76626958562154501</v>
      </c>
      <c r="K5640">
        <v>0.73295936455016997</v>
      </c>
      <c r="L5640">
        <v>368.52937244573599</v>
      </c>
      <c r="M5640">
        <v>7.2290081260605801</v>
      </c>
      <c r="O5640">
        <v>47.511686582258498</v>
      </c>
      <c r="P5640">
        <v>-1.1571223706997201E-2</v>
      </c>
      <c r="Q5640">
        <v>0.69629896907090605</v>
      </c>
      <c r="R5640">
        <v>0.51560774104804497</v>
      </c>
      <c r="S5640" t="s">
        <v>11925</v>
      </c>
      <c r="T5640" t="s">
        <v>12568</v>
      </c>
      <c r="U5640" t="s">
        <v>12568</v>
      </c>
      <c r="V5640" t="s">
        <v>12568</v>
      </c>
      <c r="W5640" t="s">
        <v>18156</v>
      </c>
      <c r="X5640">
        <v>1</v>
      </c>
      <c r="Y5640" t="s">
        <v>24246</v>
      </c>
      <c r="Z5640" t="s">
        <v>30510</v>
      </c>
      <c r="AA5640">
        <v>0.82535252799916514</v>
      </c>
      <c r="AB5640" t="str">
        <f>HYPERLINK("Melting_Curves/meltCurve_Q9NX05_FAM120C.pdf", "Melting_Curves/meltCurve_Q9NX05_FAM120C.pdf")</f>
        <v>Melting_Curves/meltCurve_Q9NX05_FAM120C.pdf</v>
      </c>
    </row>
    <row r="5641" spans="1:28" x14ac:dyDescent="0.25">
      <c r="A5641" t="s">
        <v>5645</v>
      </c>
      <c r="B5641">
        <v>0.99352677808782597</v>
      </c>
      <c r="C5641">
        <v>1.0104654767319501</v>
      </c>
      <c r="D5641">
        <v>0.89031170290036898</v>
      </c>
      <c r="E5641">
        <v>0.30905765114829598</v>
      </c>
      <c r="F5641">
        <v>0.21463733612357999</v>
      </c>
      <c r="G5641">
        <v>0.13193673947277601</v>
      </c>
      <c r="H5641">
        <v>9.8631353567859098E-2</v>
      </c>
      <c r="I5641">
        <v>9.4533731333051096E-2</v>
      </c>
      <c r="J5641">
        <v>9.2967561233691903E-2</v>
      </c>
      <c r="K5641">
        <v>5.1363352693074703E-2</v>
      </c>
      <c r="L5641">
        <v>1638.1517815928901</v>
      </c>
      <c r="M5641">
        <v>33.791932207187799</v>
      </c>
      <c r="N5641">
        <v>48.804159032571</v>
      </c>
      <c r="O5641">
        <v>48.308770090201698</v>
      </c>
      <c r="P5641">
        <v>-0.15718076345854701</v>
      </c>
      <c r="Q5641">
        <v>0.101184439430138</v>
      </c>
      <c r="R5641">
        <v>0.99381817134428097</v>
      </c>
      <c r="S5641" t="s">
        <v>11926</v>
      </c>
      <c r="T5641" t="s">
        <v>12568</v>
      </c>
      <c r="U5641" t="s">
        <v>12568</v>
      </c>
      <c r="V5641" t="s">
        <v>12568</v>
      </c>
      <c r="W5641" t="s">
        <v>18157</v>
      </c>
      <c r="X5641">
        <v>2</v>
      </c>
      <c r="Y5641" t="s">
        <v>24247</v>
      </c>
      <c r="Z5641" t="s">
        <v>30511</v>
      </c>
      <c r="AA5641">
        <v>0.35943295321099372</v>
      </c>
      <c r="AB5641" t="str">
        <f>HYPERLINK("Melting_Curves/meltCurve_Q9NX07_TRNAU1AP.pdf", "Melting_Curves/meltCurve_Q9NX07_TRNAU1AP.pdf")</f>
        <v>Melting_Curves/meltCurve_Q9NX07_TRNAU1AP.pdf</v>
      </c>
    </row>
    <row r="5642" spans="1:28" x14ac:dyDescent="0.25">
      <c r="A5642" t="s">
        <v>5646</v>
      </c>
      <c r="B5642">
        <v>0.99352677808782597</v>
      </c>
      <c r="C5642">
        <v>1.0546861470787401</v>
      </c>
      <c r="D5642">
        <v>0.95686785682197495</v>
      </c>
      <c r="E5642">
        <v>0.82585559824305499</v>
      </c>
      <c r="F5642">
        <v>0.69665067287216298</v>
      </c>
      <c r="G5642">
        <v>0.46084178289334798</v>
      </c>
      <c r="H5642">
        <v>0.22114018206757599</v>
      </c>
      <c r="I5642">
        <v>0.15955457545106999</v>
      </c>
      <c r="J5642">
        <v>0.144652177235882</v>
      </c>
      <c r="K5642">
        <v>9.5698181588286302E-2</v>
      </c>
      <c r="L5642">
        <v>848.57014048918904</v>
      </c>
      <c r="M5642">
        <v>15.294242829927301</v>
      </c>
      <c r="N5642">
        <v>55.953551323986702</v>
      </c>
      <c r="O5642">
        <v>54.560388279134997</v>
      </c>
      <c r="P5642">
        <v>-6.5856507621320406E-2</v>
      </c>
      <c r="Q5642">
        <v>6.0347068306354799E-2</v>
      </c>
      <c r="R5642">
        <v>0.99488681994329597</v>
      </c>
      <c r="S5642" t="s">
        <v>11927</v>
      </c>
      <c r="T5642" t="s">
        <v>12568</v>
      </c>
      <c r="U5642" t="s">
        <v>12568</v>
      </c>
      <c r="V5642" t="s">
        <v>12568</v>
      </c>
      <c r="W5642" t="s">
        <v>18158</v>
      </c>
      <c r="X5642">
        <v>6</v>
      </c>
      <c r="Y5642" t="s">
        <v>24248</v>
      </c>
      <c r="Z5642" t="s">
        <v>30512</v>
      </c>
      <c r="AA5642">
        <v>0.56243122455941541</v>
      </c>
      <c r="AB5642" t="str">
        <f>HYPERLINK("Melting_Curves/meltCurve_Q9NX08_COMMD8.pdf", "Melting_Curves/meltCurve_Q9NX08_COMMD8.pdf")</f>
        <v>Melting_Curves/meltCurve_Q9NX08_COMMD8.pdf</v>
      </c>
    </row>
    <row r="5643" spans="1:28" x14ac:dyDescent="0.25">
      <c r="A5643" t="s">
        <v>5647</v>
      </c>
      <c r="B5643">
        <v>0.99352677808782597</v>
      </c>
      <c r="C5643">
        <v>0.966051795176185</v>
      </c>
      <c r="D5643">
        <v>1.01310175149199</v>
      </c>
      <c r="E5643">
        <v>0.88629515953818605</v>
      </c>
      <c r="F5643">
        <v>0.66095318008458503</v>
      </c>
      <c r="G5643">
        <v>0.61650077701923101</v>
      </c>
      <c r="H5643">
        <v>0.57631633574034702</v>
      </c>
      <c r="I5643">
        <v>0.466968119233718</v>
      </c>
      <c r="J5643">
        <v>0.46212750889786702</v>
      </c>
      <c r="K5643">
        <v>0.32918056990995098</v>
      </c>
      <c r="L5643">
        <v>603.55283229243196</v>
      </c>
      <c r="M5643">
        <v>10.8143898943461</v>
      </c>
      <c r="N5643">
        <v>61.829270896859597</v>
      </c>
      <c r="O5643">
        <v>54.003454873526799</v>
      </c>
      <c r="P5643">
        <v>-3.3779020658930597E-2</v>
      </c>
      <c r="Q5643">
        <v>0.32551832919811802</v>
      </c>
      <c r="R5643">
        <v>0.95471321864998104</v>
      </c>
      <c r="S5643" t="s">
        <v>11928</v>
      </c>
      <c r="T5643" t="s">
        <v>12568</v>
      </c>
      <c r="U5643" t="s">
        <v>12568</v>
      </c>
      <c r="V5643" t="s">
        <v>12568</v>
      </c>
      <c r="W5643" t="s">
        <v>18159</v>
      </c>
      <c r="X5643">
        <v>3</v>
      </c>
      <c r="Y5643" t="s">
        <v>24249</v>
      </c>
      <c r="Z5643" t="s">
        <v>30513</v>
      </c>
      <c r="AA5643">
        <v>0.69565906858557691</v>
      </c>
      <c r="AB5643" t="str">
        <f>HYPERLINK("Melting_Curves/meltCurve_Q9NX24_NHP2.pdf", "Melting_Curves/meltCurve_Q9NX24_NHP2.pdf")</f>
        <v>Melting_Curves/meltCurve_Q9NX24_NHP2.pdf</v>
      </c>
    </row>
    <row r="5644" spans="1:28" x14ac:dyDescent="0.25">
      <c r="A5644" t="s">
        <v>5648</v>
      </c>
      <c r="B5644">
        <v>0.99352677808782597</v>
      </c>
      <c r="C5644">
        <v>1.0313763760505701</v>
      </c>
      <c r="D5644">
        <v>0.97808986289483302</v>
      </c>
      <c r="E5644">
        <v>0.68494811377777198</v>
      </c>
      <c r="F5644">
        <v>0.58529258367208703</v>
      </c>
      <c r="G5644">
        <v>0.264742553875152</v>
      </c>
      <c r="H5644">
        <v>0.173996477372031</v>
      </c>
      <c r="I5644">
        <v>0.18165929909189099</v>
      </c>
      <c r="J5644">
        <v>0.124443477245748</v>
      </c>
      <c r="K5644">
        <v>0.12040754751430401</v>
      </c>
      <c r="L5644">
        <v>950.74288220866799</v>
      </c>
      <c r="M5644">
        <v>18.075105966149899</v>
      </c>
      <c r="N5644">
        <v>53.380732544570897</v>
      </c>
      <c r="O5644">
        <v>51.9684062754108</v>
      </c>
      <c r="P5644">
        <v>-7.6851625985685096E-2</v>
      </c>
      <c r="Q5644">
        <v>0.116206809941338</v>
      </c>
      <c r="R5644">
        <v>0.99003745351481498</v>
      </c>
      <c r="S5644" t="s">
        <v>11929</v>
      </c>
      <c r="T5644" t="s">
        <v>12568</v>
      </c>
      <c r="U5644" t="s">
        <v>12568</v>
      </c>
      <c r="V5644" t="s">
        <v>12568</v>
      </c>
      <c r="W5644" t="s">
        <v>18160</v>
      </c>
      <c r="X5644">
        <v>3</v>
      </c>
      <c r="Y5644" t="s">
        <v>24250</v>
      </c>
      <c r="Z5644" t="s">
        <v>30514</v>
      </c>
      <c r="AA5644">
        <v>0.50186248746808348</v>
      </c>
      <c r="AB5644" t="str">
        <f>HYPERLINK("Melting_Curves/meltCurve_Q9NX38_FAM206A.pdf", "Melting_Curves/meltCurve_Q9NX38_FAM206A.pdf")</f>
        <v>Melting_Curves/meltCurve_Q9NX38_FAM206A.pdf</v>
      </c>
    </row>
    <row r="5645" spans="1:28" x14ac:dyDescent="0.25">
      <c r="A5645" t="s">
        <v>5649</v>
      </c>
      <c r="B5645">
        <v>0.99352677808782597</v>
      </c>
      <c r="C5645">
        <v>0.92750777320615796</v>
      </c>
      <c r="D5645">
        <v>0.835507312864466</v>
      </c>
      <c r="E5645">
        <v>0.343277246899582</v>
      </c>
      <c r="F5645">
        <v>0.28530523934289098</v>
      </c>
      <c r="G5645">
        <v>0.201877291789227</v>
      </c>
      <c r="H5645">
        <v>0.16133812403343001</v>
      </c>
      <c r="I5645">
        <v>0.15174786672732599</v>
      </c>
      <c r="J5645">
        <v>0.120878548231085</v>
      </c>
      <c r="K5645">
        <v>0.106810498152297</v>
      </c>
      <c r="L5645">
        <v>1171.6742338353399</v>
      </c>
      <c r="M5645">
        <v>24.308497318706301</v>
      </c>
      <c r="N5645">
        <v>48.896656601664802</v>
      </c>
      <c r="O5645">
        <v>47.8775445418595</v>
      </c>
      <c r="P5645">
        <v>-0.108359023618032</v>
      </c>
      <c r="Q5645">
        <v>0.14632551655569501</v>
      </c>
      <c r="R5645">
        <v>0.98955251414013101</v>
      </c>
      <c r="S5645" t="s">
        <v>11930</v>
      </c>
      <c r="T5645" t="s">
        <v>12568</v>
      </c>
      <c r="U5645" t="s">
        <v>12568</v>
      </c>
      <c r="V5645" t="s">
        <v>12568</v>
      </c>
      <c r="W5645" t="s">
        <v>18161</v>
      </c>
      <c r="X5645">
        <v>8</v>
      </c>
      <c r="Y5645" t="s">
        <v>24251</v>
      </c>
      <c r="Z5645" t="s">
        <v>30515</v>
      </c>
      <c r="AA5645">
        <v>0.38767239601324799</v>
      </c>
      <c r="AB5645" t="str">
        <f>HYPERLINK("Melting_Curves/meltCurve_Q9NX46_ADPRHL2.pdf", "Melting_Curves/meltCurve_Q9NX46_ADPRHL2.pdf")</f>
        <v>Melting_Curves/meltCurve_Q9NX46_ADPRHL2.pdf</v>
      </c>
    </row>
    <row r="5646" spans="1:28" x14ac:dyDescent="0.25">
      <c r="A5646" t="s">
        <v>5650</v>
      </c>
      <c r="B5646">
        <v>0.99352677808782597</v>
      </c>
      <c r="C5646">
        <v>1.06033494276385</v>
      </c>
      <c r="D5646">
        <v>0.96438331175109704</v>
      </c>
      <c r="E5646">
        <v>0.94110828279390502</v>
      </c>
      <c r="F5646">
        <v>0.84908906127267503</v>
      </c>
      <c r="G5646">
        <v>0.68175548876699699</v>
      </c>
      <c r="H5646">
        <v>0.608729672347462</v>
      </c>
      <c r="I5646">
        <v>0.56997067794578204</v>
      </c>
      <c r="J5646">
        <v>0.60638290461018995</v>
      </c>
      <c r="K5646">
        <v>0.48842788780392399</v>
      </c>
      <c r="L5646">
        <v>982.70930875538295</v>
      </c>
      <c r="M5646">
        <v>17.8448612257619</v>
      </c>
      <c r="O5646">
        <v>54.392006379827798</v>
      </c>
      <c r="P5646">
        <v>-3.8375117547515603E-2</v>
      </c>
      <c r="Q5646">
        <v>0.53214708195947502</v>
      </c>
      <c r="R5646">
        <v>0.97189425635764803</v>
      </c>
      <c r="S5646" t="s">
        <v>11931</v>
      </c>
      <c r="T5646" t="s">
        <v>12568</v>
      </c>
      <c r="U5646" t="s">
        <v>12568</v>
      </c>
      <c r="V5646" t="s">
        <v>12568</v>
      </c>
      <c r="W5646" t="s">
        <v>18162</v>
      </c>
      <c r="X5646">
        <v>7</v>
      </c>
      <c r="Y5646" t="s">
        <v>24252</v>
      </c>
      <c r="Z5646" t="s">
        <v>30516</v>
      </c>
      <c r="AA5646">
        <v>0.77445973238773125</v>
      </c>
      <c r="AB5646" t="str">
        <f>HYPERLINK("Melting_Curves/meltCurve_Q9NX55_HYPK.pdf", "Melting_Curves/meltCurve_Q9NX55_HYPK.pdf")</f>
        <v>Melting_Curves/meltCurve_Q9NX55_HYPK.pdf</v>
      </c>
    </row>
    <row r="5647" spans="1:28" x14ac:dyDescent="0.25">
      <c r="A5647" t="s">
        <v>5651</v>
      </c>
      <c r="B5647">
        <v>0.99352677808782597</v>
      </c>
      <c r="C5647">
        <v>1.05856348018272</v>
      </c>
      <c r="D5647">
        <v>1.31468514114775</v>
      </c>
      <c r="E5647">
        <v>0.93953392817752002</v>
      </c>
      <c r="F5647">
        <v>0.70809326648085802</v>
      </c>
      <c r="G5647">
        <v>0.46017477615072799</v>
      </c>
      <c r="H5647">
        <v>0.39883719628427799</v>
      </c>
      <c r="I5647">
        <v>0.31107657951483902</v>
      </c>
      <c r="J5647">
        <v>0.27954736481009501</v>
      </c>
      <c r="K5647">
        <v>0.211704348391659</v>
      </c>
      <c r="L5647">
        <v>1343.18275345495</v>
      </c>
      <c r="M5647">
        <v>24.6918405817574</v>
      </c>
      <c r="N5647">
        <v>56.2578495849205</v>
      </c>
      <c r="O5647">
        <v>54.0448058698043</v>
      </c>
      <c r="P5647">
        <v>-8.2355259585414703E-2</v>
      </c>
      <c r="Q5647">
        <v>0.278982736100789</v>
      </c>
      <c r="R5647">
        <v>0.91110403277375296</v>
      </c>
      <c r="S5647" t="s">
        <v>11932</v>
      </c>
      <c r="T5647" t="s">
        <v>12568</v>
      </c>
      <c r="U5647" t="s">
        <v>12568</v>
      </c>
      <c r="V5647" t="s">
        <v>12568</v>
      </c>
      <c r="W5647" t="s">
        <v>18163</v>
      </c>
      <c r="X5647">
        <v>1</v>
      </c>
      <c r="Y5647" t="s">
        <v>24253</v>
      </c>
      <c r="Z5647" t="s">
        <v>30517</v>
      </c>
      <c r="AA5647">
        <v>0.63184544779779395</v>
      </c>
      <c r="AB5647" t="str">
        <f>HYPERLINK("Melting_Curves/meltCurve_Q9NX58_LYAR.pdf", "Melting_Curves/meltCurve_Q9NX58_LYAR.pdf")</f>
        <v>Melting_Curves/meltCurve_Q9NX58_LYAR.pdf</v>
      </c>
    </row>
    <row r="5648" spans="1:28" x14ac:dyDescent="0.25">
      <c r="A5648" t="s">
        <v>5652</v>
      </c>
      <c r="B5648">
        <v>0.99352677808782597</v>
      </c>
      <c r="C5648">
        <v>0.97992185672070997</v>
      </c>
      <c r="D5648">
        <v>1.0135836343823801</v>
      </c>
      <c r="E5648">
        <v>0.824781495711704</v>
      </c>
      <c r="F5648">
        <v>0.72675684788915795</v>
      </c>
      <c r="G5648">
        <v>0.55416383920898205</v>
      </c>
      <c r="H5648">
        <v>0.38926710887133897</v>
      </c>
      <c r="I5648">
        <v>0.41396459672733599</v>
      </c>
      <c r="J5648">
        <v>0.42252466228034202</v>
      </c>
      <c r="K5648">
        <v>0.346803248353864</v>
      </c>
      <c r="L5648">
        <v>923.32790360131003</v>
      </c>
      <c r="M5648">
        <v>17.201801638145099</v>
      </c>
      <c r="N5648">
        <v>58.030762019331199</v>
      </c>
      <c r="O5648">
        <v>52.966573313362602</v>
      </c>
      <c r="P5648">
        <v>-5.1764952308939398E-2</v>
      </c>
      <c r="Q5648">
        <v>0.36247367249739398</v>
      </c>
      <c r="R5648">
        <v>0.98695229477269797</v>
      </c>
      <c r="S5648" t="s">
        <v>11933</v>
      </c>
      <c r="T5648" t="s">
        <v>12568</v>
      </c>
      <c r="U5648" t="s">
        <v>12568</v>
      </c>
      <c r="V5648" t="s">
        <v>12568</v>
      </c>
      <c r="W5648" t="s">
        <v>18164</v>
      </c>
      <c r="X5648">
        <v>7</v>
      </c>
      <c r="Y5648" t="s">
        <v>24254</v>
      </c>
      <c r="Z5648" t="s">
        <v>30518</v>
      </c>
      <c r="AA5648">
        <v>0.66411489226050224</v>
      </c>
      <c r="AB5648" t="str">
        <f>HYPERLINK("Melting_Curves/meltCurve_Q9NX70_MED29.pdf", "Melting_Curves/meltCurve_Q9NX70_MED29.pdf")</f>
        <v>Melting_Curves/meltCurve_Q9NX70_MED29.pdf</v>
      </c>
    </row>
    <row r="5649" spans="1:28" x14ac:dyDescent="0.25">
      <c r="A5649" t="s">
        <v>5653</v>
      </c>
      <c r="B5649">
        <v>0.99352677808782597</v>
      </c>
      <c r="C5649">
        <v>0.99016406054665096</v>
      </c>
      <c r="D5649">
        <v>0.91061516576885604</v>
      </c>
      <c r="E5649">
        <v>0.365520629250558</v>
      </c>
      <c r="F5649">
        <v>0.31140329074704998</v>
      </c>
      <c r="G5649">
        <v>0.23381194226702001</v>
      </c>
      <c r="H5649">
        <v>0.17885791914927399</v>
      </c>
      <c r="I5649">
        <v>0.18423655910012601</v>
      </c>
      <c r="J5649">
        <v>0.14443000428914199</v>
      </c>
      <c r="K5649">
        <v>0.13116664966539299</v>
      </c>
      <c r="L5649">
        <v>1595.04710270548</v>
      </c>
      <c r="M5649">
        <v>32.880215713166102</v>
      </c>
      <c r="N5649">
        <v>49.192876710403297</v>
      </c>
      <c r="O5649">
        <v>48.332459873843199</v>
      </c>
      <c r="P5649">
        <v>-0.13894186285268101</v>
      </c>
      <c r="Q5649">
        <v>0.18305016888393799</v>
      </c>
      <c r="R5649">
        <v>0.98747687534231599</v>
      </c>
      <c r="S5649" t="s">
        <v>11934</v>
      </c>
      <c r="T5649" t="s">
        <v>12568</v>
      </c>
      <c r="U5649" t="s">
        <v>12568</v>
      </c>
      <c r="V5649" t="s">
        <v>12568</v>
      </c>
      <c r="W5649" t="s">
        <v>18165</v>
      </c>
      <c r="X5649">
        <v>11</v>
      </c>
      <c r="Y5649" t="s">
        <v>24255</v>
      </c>
      <c r="Z5649" t="s">
        <v>30519</v>
      </c>
      <c r="AA5649">
        <v>0.41890759156285101</v>
      </c>
      <c r="AB5649" t="str">
        <f>HYPERLINK("Melting_Curves/meltCurve_Q9NX74_DUS2L.pdf", "Melting_Curves/meltCurve_Q9NX74_DUS2L.pdf")</f>
        <v>Melting_Curves/meltCurve_Q9NX74_DUS2L.pdf</v>
      </c>
    </row>
    <row r="5650" spans="1:28" x14ac:dyDescent="0.25">
      <c r="A5650" t="s">
        <v>5654</v>
      </c>
      <c r="B5650">
        <v>0.99352677808782597</v>
      </c>
      <c r="C5650">
        <v>0.93676546173223896</v>
      </c>
      <c r="D5650">
        <v>1.03971571386499</v>
      </c>
      <c r="E5650">
        <v>0.49467394086852801</v>
      </c>
      <c r="F5650">
        <v>0.42526248360582802</v>
      </c>
      <c r="G5650">
        <v>0.130472188234208</v>
      </c>
      <c r="H5650">
        <v>9.26325434710146E-2</v>
      </c>
      <c r="I5650">
        <v>8.0433172668102099E-2</v>
      </c>
      <c r="J5650">
        <v>6.5678589804268897E-2</v>
      </c>
      <c r="K5650">
        <v>5.48951389044708E-2</v>
      </c>
      <c r="L5650">
        <v>1084.1570966748</v>
      </c>
      <c r="M5650">
        <v>21.353287599854902</v>
      </c>
      <c r="N5650">
        <v>51.107025411697101</v>
      </c>
      <c r="O5650">
        <v>50.333383069596003</v>
      </c>
      <c r="P5650">
        <v>-9.9142082504661694E-2</v>
      </c>
      <c r="Q5650">
        <v>6.5243745676353299E-2</v>
      </c>
      <c r="R5650">
        <v>0.97357130761044597</v>
      </c>
      <c r="S5650" t="s">
        <v>11935</v>
      </c>
      <c r="T5650" t="s">
        <v>12568</v>
      </c>
      <c r="U5650" t="s">
        <v>12568</v>
      </c>
      <c r="V5650" t="s">
        <v>12568</v>
      </c>
      <c r="W5650" t="s">
        <v>18166</v>
      </c>
      <c r="X5650">
        <v>7</v>
      </c>
      <c r="Y5650" t="s">
        <v>24256</v>
      </c>
      <c r="Z5650" t="s">
        <v>30520</v>
      </c>
      <c r="AA5650">
        <v>0.4123548791099399</v>
      </c>
      <c r="AB5650" t="str">
        <f>HYPERLINK("Melting_Curves/meltCurve_Q9NXA8_SIRT5.pdf", "Melting_Curves/meltCurve_Q9NXA8_SIRT5.pdf")</f>
        <v>Melting_Curves/meltCurve_Q9NXA8_SIRT5.pdf</v>
      </c>
    </row>
    <row r="5651" spans="1:28" x14ac:dyDescent="0.25">
      <c r="A5651" t="s">
        <v>5655</v>
      </c>
      <c r="B5651">
        <v>0.99352677808782597</v>
      </c>
      <c r="C5651">
        <v>0.98594194429078696</v>
      </c>
      <c r="D5651">
        <v>0.91793449628623602</v>
      </c>
      <c r="E5651">
        <v>0.91599230917913799</v>
      </c>
      <c r="F5651">
        <v>0.78462432155964301</v>
      </c>
      <c r="G5651">
        <v>0.60501344071873198</v>
      </c>
      <c r="H5651">
        <v>0.27139728245332501</v>
      </c>
      <c r="I5651">
        <v>0.18965527637636601</v>
      </c>
      <c r="J5651">
        <v>0.15245103542984101</v>
      </c>
      <c r="K5651">
        <v>0.110715077569865</v>
      </c>
      <c r="L5651">
        <v>913.02084509904205</v>
      </c>
      <c r="M5651">
        <v>15.9014921829122</v>
      </c>
      <c r="N5651">
        <v>57.787320670956802</v>
      </c>
      <c r="O5651">
        <v>56.532253889076202</v>
      </c>
      <c r="P5651">
        <v>-6.6922100110059099E-2</v>
      </c>
      <c r="Q5651">
        <v>4.8402974923365198E-2</v>
      </c>
      <c r="R5651">
        <v>0.99210268770072996</v>
      </c>
      <c r="S5651" t="s">
        <v>11936</v>
      </c>
      <c r="T5651" t="s">
        <v>12568</v>
      </c>
      <c r="U5651" t="s">
        <v>12568</v>
      </c>
      <c r="V5651" t="s">
        <v>12568</v>
      </c>
      <c r="W5651" t="s">
        <v>18167</v>
      </c>
      <c r="X5651">
        <v>7</v>
      </c>
      <c r="Y5651" t="s">
        <v>24257</v>
      </c>
      <c r="Z5651" t="s">
        <v>30521</v>
      </c>
      <c r="AA5651">
        <v>0.61463335062885283</v>
      </c>
      <c r="AB5651" t="str">
        <f>HYPERLINK("Melting_Curves/meltCurve_Q9NXC5_MIOS.pdf", "Melting_Curves/meltCurve_Q9NXC5_MIOS.pdf")</f>
        <v>Melting_Curves/meltCurve_Q9NXC5_MIOS.pdf</v>
      </c>
    </row>
    <row r="5652" spans="1:28" x14ac:dyDescent="0.25">
      <c r="A5652" t="s">
        <v>5656</v>
      </c>
      <c r="B5652">
        <v>0.99352677808782597</v>
      </c>
      <c r="C5652">
        <v>0.87190884191973606</v>
      </c>
      <c r="D5652">
        <v>0.853964665845656</v>
      </c>
      <c r="E5652">
        <v>0.473765090808006</v>
      </c>
      <c r="F5652">
        <v>0.52694798816165</v>
      </c>
      <c r="G5652">
        <v>0.24026329609038999</v>
      </c>
      <c r="H5652">
        <v>0.16904509247740701</v>
      </c>
      <c r="I5652">
        <v>0.17690620984133201</v>
      </c>
      <c r="J5652">
        <v>0.17195210431351701</v>
      </c>
      <c r="K5652">
        <v>0.14301865961676599</v>
      </c>
      <c r="L5652">
        <v>649.82033227660099</v>
      </c>
      <c r="M5652">
        <v>12.9305728361607</v>
      </c>
      <c r="N5652">
        <v>51.339248992786104</v>
      </c>
      <c r="O5652">
        <v>49.098140299139899</v>
      </c>
      <c r="P5652">
        <v>-5.7981170682028599E-2</v>
      </c>
      <c r="Q5652">
        <v>0.119527258741703</v>
      </c>
      <c r="R5652">
        <v>0.96979914268459899</v>
      </c>
      <c r="S5652" t="s">
        <v>11937</v>
      </c>
      <c r="T5652" t="s">
        <v>12568</v>
      </c>
      <c r="U5652" t="s">
        <v>12568</v>
      </c>
      <c r="V5652" t="s">
        <v>12568</v>
      </c>
      <c r="W5652" t="s">
        <v>18168</v>
      </c>
      <c r="X5652">
        <v>3</v>
      </c>
      <c r="Y5652" t="s">
        <v>24258</v>
      </c>
      <c r="Z5652" t="s">
        <v>30522</v>
      </c>
      <c r="AA5652">
        <v>0.44719657857766199</v>
      </c>
      <c r="AB5652" t="str">
        <f>HYPERLINK("Melting_Curves/meltCurve_Q9NXD2_MTMR10.pdf", "Melting_Curves/meltCurve_Q9NXD2_MTMR10.pdf")</f>
        <v>Melting_Curves/meltCurve_Q9NXD2_MTMR10.pdf</v>
      </c>
    </row>
    <row r="5653" spans="1:28" x14ac:dyDescent="0.25">
      <c r="A5653" t="s">
        <v>5657</v>
      </c>
      <c r="B5653">
        <v>0.99352677808782597</v>
      </c>
      <c r="C5653">
        <v>0.90169165184069</v>
      </c>
      <c r="D5653">
        <v>1.04977576966429</v>
      </c>
      <c r="E5653">
        <v>1.0724947166071399</v>
      </c>
      <c r="F5653">
        <v>0.97792169930582196</v>
      </c>
      <c r="G5653">
        <v>1.06317339939036</v>
      </c>
      <c r="H5653">
        <v>0.94209426483105796</v>
      </c>
      <c r="I5653">
        <v>0.98706437614871401</v>
      </c>
      <c r="J5653">
        <v>0.98421771753758303</v>
      </c>
      <c r="K5653">
        <v>0.93022120398403096</v>
      </c>
      <c r="L5653">
        <v>1211.45980773876</v>
      </c>
      <c r="M5653">
        <v>14.644349269641401</v>
      </c>
      <c r="Q5653">
        <v>0</v>
      </c>
      <c r="R5653">
        <v>0.151933151725619</v>
      </c>
      <c r="S5653" t="s">
        <v>11938</v>
      </c>
      <c r="T5653" t="s">
        <v>12568</v>
      </c>
      <c r="U5653" t="s">
        <v>12568</v>
      </c>
      <c r="V5653" t="s">
        <v>12568</v>
      </c>
      <c r="W5653" t="s">
        <v>18169</v>
      </c>
      <c r="X5653">
        <v>2</v>
      </c>
      <c r="Y5653" t="s">
        <v>24259</v>
      </c>
      <c r="Z5653" t="s">
        <v>30523</v>
      </c>
      <c r="AA5653">
        <v>0.99182017723233251</v>
      </c>
      <c r="AB5653" t="str">
        <f>HYPERLINK("Melting_Curves/meltCurve_Q9NXE8_CWC25.pdf", "Melting_Curves/meltCurve_Q9NXE8_CWC25.pdf")</f>
        <v>Melting_Curves/meltCurve_Q9NXE8_CWC25.pdf</v>
      </c>
    </row>
    <row r="5654" spans="1:28" x14ac:dyDescent="0.25">
      <c r="A5654" t="s">
        <v>5658</v>
      </c>
      <c r="B5654">
        <v>0.99352677808782597</v>
      </c>
      <c r="C5654">
        <v>0.97810437080041901</v>
      </c>
      <c r="D5654">
        <v>0.88402210775227896</v>
      </c>
      <c r="E5654">
        <v>0.67922455556675299</v>
      </c>
      <c r="F5654">
        <v>0.71050968554697302</v>
      </c>
      <c r="G5654">
        <v>0.43780526792862001</v>
      </c>
      <c r="H5654">
        <v>0.423902805390452</v>
      </c>
      <c r="I5654">
        <v>0.76164128250192997</v>
      </c>
      <c r="J5654">
        <v>0.26081311192531298</v>
      </c>
      <c r="K5654">
        <v>0.24688225409359499</v>
      </c>
      <c r="L5654">
        <v>423.48441541763702</v>
      </c>
      <c r="M5654">
        <v>7.6562749607441596</v>
      </c>
      <c r="N5654">
        <v>59.458024872989299</v>
      </c>
      <c r="O5654">
        <v>51.917598757623203</v>
      </c>
      <c r="P5654">
        <v>-2.9280989292130102E-2</v>
      </c>
      <c r="Q5654">
        <v>0.20683287989344501</v>
      </c>
      <c r="R5654">
        <v>0.75819689079794705</v>
      </c>
      <c r="S5654" t="s">
        <v>11939</v>
      </c>
      <c r="T5654" t="s">
        <v>12568</v>
      </c>
      <c r="U5654" t="s">
        <v>12568</v>
      </c>
      <c r="V5654" t="s">
        <v>12568</v>
      </c>
      <c r="W5654" t="s">
        <v>18170</v>
      </c>
      <c r="X5654">
        <v>2</v>
      </c>
      <c r="Y5654" t="s">
        <v>24260</v>
      </c>
      <c r="Z5654" t="s">
        <v>30524</v>
      </c>
      <c r="AA5654">
        <v>0.63131327284605132</v>
      </c>
      <c r="AB5654" t="str">
        <f>HYPERLINK("Melting_Curves/meltCurve_Q9NXF7_DCAF16.pdf", "Melting_Curves/meltCurve_Q9NXF7_DCAF16.pdf")</f>
        <v>Melting_Curves/meltCurve_Q9NXF7_DCAF16.pdf</v>
      </c>
    </row>
    <row r="5655" spans="1:28" x14ac:dyDescent="0.25">
      <c r="A5655" t="s">
        <v>5659</v>
      </c>
      <c r="B5655">
        <v>0.99352677808782597</v>
      </c>
      <c r="C5655">
        <v>1.0170597187321899</v>
      </c>
      <c r="D5655">
        <v>0.97571062696505195</v>
      </c>
      <c r="E5655">
        <v>0.91903835559719704</v>
      </c>
      <c r="F5655">
        <v>0.84033722367998698</v>
      </c>
      <c r="G5655">
        <v>0.71590235417194903</v>
      </c>
      <c r="H5655">
        <v>0.63581297260854996</v>
      </c>
      <c r="I5655">
        <v>0.25176833788651798</v>
      </c>
      <c r="J5655">
        <v>0.15941384950666601</v>
      </c>
      <c r="K5655">
        <v>0.102713351045865</v>
      </c>
      <c r="L5655">
        <v>930.39189751752497</v>
      </c>
      <c r="M5655">
        <v>15.278416921761499</v>
      </c>
      <c r="N5655">
        <v>60.895831190644202</v>
      </c>
      <c r="O5655">
        <v>59.881184931990497</v>
      </c>
      <c r="P5655">
        <v>-6.3792374646143096E-2</v>
      </c>
      <c r="Q5655">
        <v>0</v>
      </c>
      <c r="R5655">
        <v>0.97005313267133297</v>
      </c>
      <c r="S5655" t="s">
        <v>11940</v>
      </c>
      <c r="T5655" t="s">
        <v>12568</v>
      </c>
      <c r="U5655" t="s">
        <v>12568</v>
      </c>
      <c r="V5655" t="s">
        <v>12568</v>
      </c>
      <c r="W5655" t="s">
        <v>18171</v>
      </c>
      <c r="X5655">
        <v>17</v>
      </c>
      <c r="Y5655" t="s">
        <v>24261</v>
      </c>
      <c r="Z5655" t="s">
        <v>30525</v>
      </c>
      <c r="AA5655">
        <v>0.69986728559051081</v>
      </c>
      <c r="AB5655" t="str">
        <f>HYPERLINK("Melting_Curves/meltCurve_Q9NXG2_THUMPD1.pdf", "Melting_Curves/meltCurve_Q9NXG2_THUMPD1.pdf")</f>
        <v>Melting_Curves/meltCurve_Q9NXG2_THUMPD1.pdf</v>
      </c>
    </row>
    <row r="5656" spans="1:28" x14ac:dyDescent="0.25">
      <c r="A5656" t="s">
        <v>5660</v>
      </c>
      <c r="B5656">
        <v>0.99352677808782597</v>
      </c>
      <c r="C5656">
        <v>1.10234760473223</v>
      </c>
      <c r="D5656">
        <v>0.91837985876249995</v>
      </c>
      <c r="E5656">
        <v>0.86363413235213804</v>
      </c>
      <c r="F5656">
        <v>0.71226636123060605</v>
      </c>
      <c r="G5656">
        <v>0.64763898697498701</v>
      </c>
      <c r="H5656">
        <v>1.04709764651215</v>
      </c>
      <c r="I5656">
        <v>1.05962699863553</v>
      </c>
      <c r="J5656">
        <v>1.2587529462159499</v>
      </c>
      <c r="K5656">
        <v>0.54659843742094905</v>
      </c>
      <c r="L5656">
        <v>11469.2874281485</v>
      </c>
      <c r="M5656">
        <v>250</v>
      </c>
      <c r="O5656">
        <v>45.874210317887801</v>
      </c>
      <c r="P5656">
        <v>-0.16823653368958499</v>
      </c>
      <c r="Q5656">
        <v>0.87651650047241803</v>
      </c>
      <c r="R5656">
        <v>9.1647567435815494E-2</v>
      </c>
      <c r="S5656" t="s">
        <v>11941</v>
      </c>
      <c r="T5656" t="s">
        <v>12568</v>
      </c>
      <c r="U5656" t="s">
        <v>12568</v>
      </c>
      <c r="V5656" t="s">
        <v>12568</v>
      </c>
      <c r="W5656" t="s">
        <v>18172</v>
      </c>
      <c r="X5656">
        <v>4</v>
      </c>
      <c r="Y5656" t="s">
        <v>24262</v>
      </c>
      <c r="Z5656" t="s">
        <v>30526</v>
      </c>
      <c r="AA5656">
        <v>0.9007174763757958</v>
      </c>
      <c r="AB5656" t="str">
        <f>HYPERLINK("Melting_Curves/meltCurve_Q9NXG6_P4HTM.pdf", "Melting_Curves/meltCurve_Q9NXG6_P4HTM.pdf")</f>
        <v>Melting_Curves/meltCurve_Q9NXG6_P4HTM.pdf</v>
      </c>
    </row>
    <row r="5657" spans="1:28" x14ac:dyDescent="0.25">
      <c r="A5657" t="s">
        <v>5661</v>
      </c>
      <c r="B5657">
        <v>0.99352677808782597</v>
      </c>
      <c r="C5657">
        <v>1.06519965815731</v>
      </c>
      <c r="D5657">
        <v>0.89175566530452699</v>
      </c>
      <c r="E5657">
        <v>0.807414606202568</v>
      </c>
      <c r="F5657">
        <v>0.71475791686629997</v>
      </c>
      <c r="G5657">
        <v>0.55217807130139696</v>
      </c>
      <c r="H5657">
        <v>0.21723378812261199</v>
      </c>
      <c r="I5657">
        <v>0.17768468832314699</v>
      </c>
      <c r="J5657">
        <v>0.12741588322820399</v>
      </c>
      <c r="K5657">
        <v>0.107160318705664</v>
      </c>
      <c r="L5657">
        <v>719.02759173272</v>
      </c>
      <c r="M5657">
        <v>12.6971753813754</v>
      </c>
      <c r="N5657">
        <v>56.638238972969802</v>
      </c>
      <c r="O5657">
        <v>55.279367253859299</v>
      </c>
      <c r="P5657">
        <v>-5.7374060407929701E-2</v>
      </c>
      <c r="Q5657">
        <v>1.0412548665441499E-3</v>
      </c>
      <c r="R5657">
        <v>0.98265607167828095</v>
      </c>
      <c r="S5657" t="s">
        <v>11942</v>
      </c>
      <c r="T5657" t="s">
        <v>12568</v>
      </c>
      <c r="U5657" t="s">
        <v>12568</v>
      </c>
      <c r="V5657" t="s">
        <v>12568</v>
      </c>
      <c r="W5657" t="s">
        <v>18173</v>
      </c>
      <c r="X5657">
        <v>13</v>
      </c>
      <c r="Y5657" t="s">
        <v>24263</v>
      </c>
      <c r="Z5657" t="s">
        <v>30527</v>
      </c>
      <c r="AA5657">
        <v>0.57273523203756482</v>
      </c>
      <c r="AB5657" t="str">
        <f>HYPERLINK("Melting_Curves/meltCurve_Q9NXH9_2_TRMT1.pdf", "Melting_Curves/meltCurve_Q9NXH9_2_TRMT1.pdf")</f>
        <v>Melting_Curves/meltCurve_Q9NXH9_2_TRMT1.pdf</v>
      </c>
    </row>
    <row r="5658" spans="1:28" x14ac:dyDescent="0.25">
      <c r="A5658" t="s">
        <v>5662</v>
      </c>
      <c r="B5658">
        <v>0.99352677808782597</v>
      </c>
      <c r="C5658">
        <v>0.98538716670666704</v>
      </c>
      <c r="D5658">
        <v>0.96490172782248695</v>
      </c>
      <c r="E5658">
        <v>0.89212615351093505</v>
      </c>
      <c r="F5658">
        <v>0.78018578638874503</v>
      </c>
      <c r="G5658">
        <v>0.62572173310434598</v>
      </c>
      <c r="H5658">
        <v>0.60382556279467803</v>
      </c>
      <c r="I5658">
        <v>0.61641907154457098</v>
      </c>
      <c r="J5658">
        <v>0.81393536415467604</v>
      </c>
      <c r="K5658">
        <v>0.70082506239814102</v>
      </c>
      <c r="L5658">
        <v>1668.2660833068601</v>
      </c>
      <c r="M5658">
        <v>32.556358111073003</v>
      </c>
      <c r="O5658">
        <v>51.050229847933799</v>
      </c>
      <c r="P5658">
        <v>-5.2156335312522298E-2</v>
      </c>
      <c r="Q5658">
        <v>0.672865084025843</v>
      </c>
      <c r="R5658">
        <v>0.84579628459211198</v>
      </c>
      <c r="S5658" t="s">
        <v>11943</v>
      </c>
      <c r="T5658" t="s">
        <v>12568</v>
      </c>
      <c r="U5658" t="s">
        <v>12568</v>
      </c>
      <c r="V5658" t="s">
        <v>12568</v>
      </c>
      <c r="W5658" t="s">
        <v>18174</v>
      </c>
      <c r="X5658">
        <v>18</v>
      </c>
      <c r="Y5658" t="s">
        <v>24264</v>
      </c>
      <c r="Z5658" t="s">
        <v>30528</v>
      </c>
      <c r="AA5658">
        <v>0.79721089041953452</v>
      </c>
      <c r="AB5658" t="str">
        <f>HYPERLINK("Melting_Curves/meltCurve_Q9NXR1_2_NDE1.pdf", "Melting_Curves/meltCurve_Q9NXR1_2_NDE1.pdf")</f>
        <v>Melting_Curves/meltCurve_Q9NXR1_2_NDE1.pdf</v>
      </c>
    </row>
    <row r="5659" spans="1:28" x14ac:dyDescent="0.25">
      <c r="A5659" t="s">
        <v>5663</v>
      </c>
      <c r="B5659">
        <v>0.99352677808782597</v>
      </c>
      <c r="C5659">
        <v>0.94411167089995596</v>
      </c>
      <c r="D5659">
        <v>0.86697341413858897</v>
      </c>
      <c r="E5659">
        <v>0.80389489755821897</v>
      </c>
      <c r="F5659">
        <v>0.718389248377165</v>
      </c>
      <c r="G5659">
        <v>0.54517996331263996</v>
      </c>
      <c r="H5659">
        <v>0.39984855588204399</v>
      </c>
      <c r="I5659">
        <v>0.24783449045272099</v>
      </c>
      <c r="J5659">
        <v>0.15845744687445801</v>
      </c>
      <c r="K5659">
        <v>0.10417141094392</v>
      </c>
      <c r="L5659">
        <v>582.09733655099899</v>
      </c>
      <c r="M5659">
        <v>10.128664795087699</v>
      </c>
      <c r="N5659">
        <v>57.470293282716099</v>
      </c>
      <c r="O5659">
        <v>55.365036529541797</v>
      </c>
      <c r="P5659">
        <v>-4.5757021672061401E-2</v>
      </c>
      <c r="Q5659">
        <v>0</v>
      </c>
      <c r="R5659">
        <v>0.99039504377516396</v>
      </c>
      <c r="S5659" t="s">
        <v>11944</v>
      </c>
      <c r="T5659" t="s">
        <v>12568</v>
      </c>
      <c r="U5659" t="s">
        <v>12568</v>
      </c>
      <c r="V5659" t="s">
        <v>12568</v>
      </c>
      <c r="W5659" t="s">
        <v>18175</v>
      </c>
      <c r="X5659">
        <v>10</v>
      </c>
      <c r="Y5659" t="s">
        <v>24265</v>
      </c>
      <c r="Z5659" t="s">
        <v>30529</v>
      </c>
      <c r="AA5659">
        <v>0.5956535757692728</v>
      </c>
      <c r="AB5659" t="str">
        <f>HYPERLINK("Melting_Curves/meltCurve_Q9NXR7_BRE.pdf", "Melting_Curves/meltCurve_Q9NXR7_BRE.pdf")</f>
        <v>Melting_Curves/meltCurve_Q9NXR7_BRE.pdf</v>
      </c>
    </row>
    <row r="5660" spans="1:28" x14ac:dyDescent="0.25">
      <c r="A5660" t="s">
        <v>5664</v>
      </c>
      <c r="B5660">
        <v>0.99352677808782597</v>
      </c>
      <c r="C5660">
        <v>1.0154407360189599</v>
      </c>
      <c r="D5660">
        <v>0.91169601372255804</v>
      </c>
      <c r="E5660">
        <v>0.94630186409987405</v>
      </c>
      <c r="F5660">
        <v>0.76714291050185601</v>
      </c>
      <c r="G5660">
        <v>0.625759650844388</v>
      </c>
      <c r="H5660">
        <v>0.72942377491617005</v>
      </c>
      <c r="I5660">
        <v>0.67269049723426699</v>
      </c>
      <c r="J5660">
        <v>0.91423924448323901</v>
      </c>
      <c r="K5660">
        <v>0.48881452437518602</v>
      </c>
      <c r="L5660">
        <v>2454.4805531471002</v>
      </c>
      <c r="M5660">
        <v>47.480666823214598</v>
      </c>
      <c r="O5660">
        <v>51.602867551015997</v>
      </c>
      <c r="P5660">
        <v>-7.2132812771779298E-2</v>
      </c>
      <c r="Q5660">
        <v>0.68641924278512001</v>
      </c>
      <c r="R5660">
        <v>0.62449606277605996</v>
      </c>
      <c r="S5660" t="s">
        <v>11945</v>
      </c>
      <c r="T5660" t="s">
        <v>12568</v>
      </c>
      <c r="U5660" t="s">
        <v>12568</v>
      </c>
      <c r="V5660" t="s">
        <v>12568</v>
      </c>
      <c r="W5660" t="s">
        <v>18176</v>
      </c>
      <c r="X5660">
        <v>2</v>
      </c>
      <c r="Y5660" t="s">
        <v>24266</v>
      </c>
      <c r="Z5660" t="s">
        <v>30530</v>
      </c>
      <c r="AA5660">
        <v>0.80944965945262293</v>
      </c>
      <c r="AB5660" t="str">
        <f>HYPERLINK("Melting_Curves/meltCurve_Q9NXV2_KCTD5.pdf", "Melting_Curves/meltCurve_Q9NXV2_KCTD5.pdf")</f>
        <v>Melting_Curves/meltCurve_Q9NXV2_KCTD5.pdf</v>
      </c>
    </row>
    <row r="5661" spans="1:28" x14ac:dyDescent="0.25">
      <c r="A5661" t="s">
        <v>5665</v>
      </c>
      <c r="B5661">
        <v>0.99352677808782597</v>
      </c>
      <c r="C5661">
        <v>0.96899857202363404</v>
      </c>
      <c r="D5661">
        <v>1.02240966290214</v>
      </c>
      <c r="E5661">
        <v>0.67781212240083899</v>
      </c>
      <c r="F5661">
        <v>0.56057589722777401</v>
      </c>
      <c r="G5661">
        <v>0.372515485434743</v>
      </c>
      <c r="H5661">
        <v>0.30319591883448799</v>
      </c>
      <c r="I5661">
        <v>0.30982543309830701</v>
      </c>
      <c r="J5661">
        <v>0.31039997474466002</v>
      </c>
      <c r="K5661">
        <v>0.25871603874239102</v>
      </c>
      <c r="L5661">
        <v>1074.4735239383999</v>
      </c>
      <c r="M5661">
        <v>20.953582166509701</v>
      </c>
      <c r="N5661">
        <v>53.468365343391604</v>
      </c>
      <c r="O5661">
        <v>50.818541692497298</v>
      </c>
      <c r="P5661">
        <v>-7.3393897679555994E-2</v>
      </c>
      <c r="Q5661">
        <v>0.28801286573392398</v>
      </c>
      <c r="R5661">
        <v>0.98526254439008898</v>
      </c>
      <c r="S5661" t="s">
        <v>11946</v>
      </c>
      <c r="T5661" t="s">
        <v>12568</v>
      </c>
      <c r="U5661" t="s">
        <v>12568</v>
      </c>
      <c r="V5661" t="s">
        <v>12568</v>
      </c>
      <c r="W5661" t="s">
        <v>18177</v>
      </c>
      <c r="X5661">
        <v>13</v>
      </c>
      <c r="Y5661" t="s">
        <v>24267</v>
      </c>
      <c r="Z5661" t="s">
        <v>30531</v>
      </c>
      <c r="AA5661">
        <v>0.56474559214944753</v>
      </c>
      <c r="AB5661" t="str">
        <f>HYPERLINK("Melting_Curves/meltCurve_Q9NXV6_CDKN2AIP.pdf", "Melting_Curves/meltCurve_Q9NXV6_CDKN2AIP.pdf")</f>
        <v>Melting_Curves/meltCurve_Q9NXV6_CDKN2AIP.pdf</v>
      </c>
    </row>
    <row r="5662" spans="1:28" x14ac:dyDescent="0.25">
      <c r="A5662" t="s">
        <v>5666</v>
      </c>
      <c r="B5662">
        <v>0.99352677808782597</v>
      </c>
      <c r="C5662">
        <v>0.84299352669933103</v>
      </c>
      <c r="D5662">
        <v>0.91117736897054102</v>
      </c>
      <c r="E5662">
        <v>0.70886713552201297</v>
      </c>
      <c r="F5662">
        <v>0.68133746855738997</v>
      </c>
      <c r="G5662">
        <v>0.60186973294120405</v>
      </c>
      <c r="H5662">
        <v>0.44558176335039701</v>
      </c>
      <c r="I5662">
        <v>0.51509072974998404</v>
      </c>
      <c r="J5662">
        <v>0.46920226546953803</v>
      </c>
      <c r="K5662">
        <v>0.41868493043624999</v>
      </c>
      <c r="L5662">
        <v>448.46135282761401</v>
      </c>
      <c r="M5662">
        <v>8.5789854303490891</v>
      </c>
      <c r="N5662">
        <v>61.920082149852</v>
      </c>
      <c r="O5662">
        <v>49.666540734666597</v>
      </c>
      <c r="P5662">
        <v>-2.7289196406971E-2</v>
      </c>
      <c r="Q5662">
        <v>0.36860527389346598</v>
      </c>
      <c r="R5662">
        <v>0.94987270651820199</v>
      </c>
      <c r="S5662" t="s">
        <v>11947</v>
      </c>
      <c r="T5662" t="s">
        <v>12568</v>
      </c>
      <c r="U5662" t="s">
        <v>12568</v>
      </c>
      <c r="V5662" t="s">
        <v>12568</v>
      </c>
      <c r="W5662" t="s">
        <v>18178</v>
      </c>
      <c r="X5662">
        <v>4</v>
      </c>
      <c r="Y5662" t="s">
        <v>24268</v>
      </c>
      <c r="Z5662" t="s">
        <v>30532</v>
      </c>
      <c r="AA5662">
        <v>0.65394933369891595</v>
      </c>
      <c r="AB5662" t="str">
        <f>HYPERLINK("Melting_Curves/meltCurve_Q9NXW2_DNAJB12.pdf", "Melting_Curves/meltCurve_Q9NXW2_DNAJB12.pdf")</f>
        <v>Melting_Curves/meltCurve_Q9NXW2_DNAJB12.pdf</v>
      </c>
    </row>
    <row r="5663" spans="1:28" x14ac:dyDescent="0.25">
      <c r="A5663" t="s">
        <v>5667</v>
      </c>
      <c r="B5663">
        <v>0.99352677808782597</v>
      </c>
      <c r="C5663">
        <v>0.80759235011280694</v>
      </c>
      <c r="D5663">
        <v>0.81335209385552298</v>
      </c>
      <c r="E5663">
        <v>0.459874570701376</v>
      </c>
      <c r="F5663">
        <v>0.38845544274184701</v>
      </c>
      <c r="G5663">
        <v>0.21389554722849199</v>
      </c>
      <c r="H5663">
        <v>9.3167907241835102E-2</v>
      </c>
      <c r="I5663">
        <v>7.2568160812041094E-2</v>
      </c>
      <c r="J5663">
        <v>7.0032755740399494E-2</v>
      </c>
      <c r="K5663">
        <v>4.6095557543026099E-2</v>
      </c>
      <c r="L5663">
        <v>589.97921630731901</v>
      </c>
      <c r="M5663">
        <v>11.7538075093664</v>
      </c>
      <c r="N5663">
        <v>50.261938180320698</v>
      </c>
      <c r="O5663">
        <v>48.807869136171497</v>
      </c>
      <c r="P5663">
        <v>-5.97506830585261E-2</v>
      </c>
      <c r="Q5663">
        <v>7.7967104970594701E-3</v>
      </c>
      <c r="R5663">
        <v>0.985610260303589</v>
      </c>
      <c r="S5663" t="s">
        <v>11948</v>
      </c>
      <c r="T5663" t="s">
        <v>12568</v>
      </c>
      <c r="U5663" t="s">
        <v>12568</v>
      </c>
      <c r="V5663" t="s">
        <v>12568</v>
      </c>
      <c r="W5663" t="s">
        <v>18179</v>
      </c>
      <c r="X5663">
        <v>3</v>
      </c>
      <c r="Y5663" t="s">
        <v>24269</v>
      </c>
      <c r="Z5663" t="s">
        <v>30533</v>
      </c>
      <c r="AA5663">
        <v>0.38001771626367642</v>
      </c>
      <c r="AB5663" t="str">
        <f>HYPERLINK("Melting_Curves/meltCurve_Q9NXW9_ALKBH4.pdf", "Melting_Curves/meltCurve_Q9NXW9_ALKBH4.pdf")</f>
        <v>Melting_Curves/meltCurve_Q9NXW9_ALKBH4.pdf</v>
      </c>
    </row>
    <row r="5664" spans="1:28" x14ac:dyDescent="0.25">
      <c r="A5664" t="s">
        <v>5668</v>
      </c>
      <c r="B5664">
        <v>0.99352677808782597</v>
      </c>
      <c r="C5664">
        <v>0.94694536606733104</v>
      </c>
      <c r="D5664">
        <v>0.82280664296390804</v>
      </c>
      <c r="E5664">
        <v>0.52417085142430797</v>
      </c>
      <c r="F5664">
        <v>0.46703576244756401</v>
      </c>
      <c r="G5664">
        <v>0.36308113393771302</v>
      </c>
      <c r="H5664">
        <v>0.23844175573401999</v>
      </c>
      <c r="I5664">
        <v>0.24400218411772701</v>
      </c>
      <c r="J5664">
        <v>0.19857367298923401</v>
      </c>
      <c r="K5664">
        <v>0.195875043781567</v>
      </c>
      <c r="L5664">
        <v>684.45717507997199</v>
      </c>
      <c r="M5664">
        <v>13.727544549914599</v>
      </c>
      <c r="N5664">
        <v>51.702353652866499</v>
      </c>
      <c r="O5664">
        <v>48.837764081050203</v>
      </c>
      <c r="P5664">
        <v>-5.66874498608212E-2</v>
      </c>
      <c r="Q5664">
        <v>0.19341939429264901</v>
      </c>
      <c r="R5664">
        <v>0.98945800737096801</v>
      </c>
      <c r="S5664" t="s">
        <v>11949</v>
      </c>
      <c r="T5664" t="s">
        <v>12568</v>
      </c>
      <c r="U5664" t="s">
        <v>12568</v>
      </c>
      <c r="V5664" t="s">
        <v>12568</v>
      </c>
      <c r="W5664" t="s">
        <v>18180</v>
      </c>
      <c r="X5664">
        <v>4</v>
      </c>
      <c r="Y5664" t="s">
        <v>24270</v>
      </c>
      <c r="Z5664" t="s">
        <v>30534</v>
      </c>
      <c r="AA5664">
        <v>0.4810817813948059</v>
      </c>
      <c r="AB5664" t="str">
        <f>HYPERLINK("Melting_Curves/meltCurve_Q9NXX6_NSMCE4A.pdf", "Melting_Curves/meltCurve_Q9NXX6_NSMCE4A.pdf")</f>
        <v>Melting_Curves/meltCurve_Q9NXX6_NSMCE4A.pdf</v>
      </c>
    </row>
    <row r="5665" spans="1:28" x14ac:dyDescent="0.25">
      <c r="A5665" t="s">
        <v>5669</v>
      </c>
      <c r="B5665">
        <v>0.99352677808782597</v>
      </c>
      <c r="C5665">
        <v>1.0049654133303201</v>
      </c>
      <c r="D5665">
        <v>0.99243679030314003</v>
      </c>
      <c r="E5665">
        <v>0.86496209172579397</v>
      </c>
      <c r="F5665">
        <v>0.76111685391755002</v>
      </c>
      <c r="G5665">
        <v>0.58908658929116897</v>
      </c>
      <c r="H5665">
        <v>0.41160894012067101</v>
      </c>
      <c r="I5665">
        <v>0.379632198012537</v>
      </c>
      <c r="J5665">
        <v>0.33489027089921197</v>
      </c>
      <c r="K5665">
        <v>0.302344174662383</v>
      </c>
      <c r="L5665">
        <v>813.91974462767701</v>
      </c>
      <c r="M5665">
        <v>14.630089604717901</v>
      </c>
      <c r="N5665">
        <v>58.829790306802501</v>
      </c>
      <c r="O5665">
        <v>54.624860559740199</v>
      </c>
      <c r="P5665">
        <v>-4.8603292877768801E-2</v>
      </c>
      <c r="Q5665">
        <v>0.27419392429607597</v>
      </c>
      <c r="R5665">
        <v>0.997435956630912</v>
      </c>
      <c r="S5665" t="s">
        <v>11950</v>
      </c>
      <c r="T5665" t="s">
        <v>12568</v>
      </c>
      <c r="U5665" t="s">
        <v>12568</v>
      </c>
      <c r="V5665" t="s">
        <v>12568</v>
      </c>
      <c r="W5665" t="s">
        <v>18181</v>
      </c>
      <c r="X5665">
        <v>20</v>
      </c>
      <c r="Y5665" t="s">
        <v>24271</v>
      </c>
      <c r="Z5665" t="s">
        <v>30535</v>
      </c>
      <c r="AA5665">
        <v>0.66604051488965932</v>
      </c>
      <c r="AB5665" t="str">
        <f>HYPERLINK("Melting_Curves/meltCurve_Q9NY27_PPP4R2.pdf", "Melting_Curves/meltCurve_Q9NY27_PPP4R2.pdf")</f>
        <v>Melting_Curves/meltCurve_Q9NY27_PPP4R2.pdf</v>
      </c>
    </row>
    <row r="5666" spans="1:28" x14ac:dyDescent="0.25">
      <c r="A5666" t="s">
        <v>5670</v>
      </c>
      <c r="B5666">
        <v>0.99352677808782597</v>
      </c>
      <c r="C5666">
        <v>0.86739921982900003</v>
      </c>
      <c r="D5666">
        <v>0.82488692338151104</v>
      </c>
      <c r="E5666">
        <v>0.376322000218272</v>
      </c>
      <c r="F5666">
        <v>0.300300793411376</v>
      </c>
      <c r="G5666">
        <v>0.125739173027831</v>
      </c>
      <c r="H5666">
        <v>7.8467721961127307E-2</v>
      </c>
      <c r="I5666">
        <v>6.6374657990957195E-2</v>
      </c>
      <c r="J5666">
        <v>5.4621612316185203E-2</v>
      </c>
      <c r="K5666">
        <v>4.20505775821884E-2</v>
      </c>
      <c r="L5666">
        <v>830.01203097112602</v>
      </c>
      <c r="M5666">
        <v>16.9436644234891</v>
      </c>
      <c r="N5666">
        <v>49.268164127752598</v>
      </c>
      <c r="O5666">
        <v>48.319475750952897</v>
      </c>
      <c r="P5666">
        <v>-8.3624270368948705E-2</v>
      </c>
      <c r="Q5666">
        <v>4.6150109963468501E-2</v>
      </c>
      <c r="R5666">
        <v>0.98939964172730199</v>
      </c>
      <c r="S5666" t="s">
        <v>11951</v>
      </c>
      <c r="T5666" t="s">
        <v>12568</v>
      </c>
      <c r="U5666" t="s">
        <v>12568</v>
      </c>
      <c r="V5666" t="s">
        <v>12568</v>
      </c>
      <c r="W5666" t="s">
        <v>18182</v>
      </c>
      <c r="X5666">
        <v>29</v>
      </c>
      <c r="Y5666" t="s">
        <v>24272</v>
      </c>
      <c r="Z5666" t="s">
        <v>30536</v>
      </c>
      <c r="AA5666">
        <v>0.35050625859436457</v>
      </c>
      <c r="AB5666" t="str">
        <f>HYPERLINK("Melting_Curves/meltCurve_Q9NY33_DPP3.pdf", "Melting_Curves/meltCurve_Q9NY33_DPP3.pdf")</f>
        <v>Melting_Curves/meltCurve_Q9NY33_DPP3.pdf</v>
      </c>
    </row>
    <row r="5667" spans="1:28" x14ac:dyDescent="0.25">
      <c r="A5667" t="s">
        <v>5671</v>
      </c>
      <c r="B5667">
        <v>0.99352677808782597</v>
      </c>
      <c r="C5667">
        <v>0.88048818905814696</v>
      </c>
      <c r="D5667">
        <v>0.896047593362432</v>
      </c>
      <c r="E5667">
        <v>0.87344723244544198</v>
      </c>
      <c r="F5667">
        <v>0.72095010052324904</v>
      </c>
      <c r="G5667">
        <v>0.65336308931073195</v>
      </c>
      <c r="H5667">
        <v>0.51686624133289505</v>
      </c>
      <c r="I5667">
        <v>0.552423876480717</v>
      </c>
      <c r="J5667">
        <v>0.57931429555232705</v>
      </c>
      <c r="K5667">
        <v>0.49257235582155001</v>
      </c>
      <c r="L5667">
        <v>501.51128971762898</v>
      </c>
      <c r="M5667">
        <v>9.4039314713503401</v>
      </c>
      <c r="O5667">
        <v>51.085152689913997</v>
      </c>
      <c r="P5667">
        <v>-2.5112742012604002E-2</v>
      </c>
      <c r="Q5667">
        <v>0.45465357561397501</v>
      </c>
      <c r="R5667">
        <v>0.94373319388379995</v>
      </c>
      <c r="S5667" t="s">
        <v>11952</v>
      </c>
      <c r="T5667" t="s">
        <v>12568</v>
      </c>
      <c r="U5667" t="s">
        <v>12568</v>
      </c>
      <c r="V5667" t="s">
        <v>12568</v>
      </c>
      <c r="W5667" t="s">
        <v>18183</v>
      </c>
      <c r="X5667">
        <v>1</v>
      </c>
      <c r="Y5667" t="s">
        <v>24273</v>
      </c>
      <c r="Z5667" t="s">
        <v>30537</v>
      </c>
      <c r="AA5667">
        <v>0.71582329348830853</v>
      </c>
      <c r="AB5667" t="str">
        <f>HYPERLINK("Melting_Curves/meltCurve_Q9NY61_AATF.pdf", "Melting_Curves/meltCurve_Q9NY61_AATF.pdf")</f>
        <v>Melting_Curves/meltCurve_Q9NY61_AATF.pdf</v>
      </c>
    </row>
    <row r="5668" spans="1:28" x14ac:dyDescent="0.25">
      <c r="A5668" t="s">
        <v>5672</v>
      </c>
      <c r="B5668">
        <v>0.99352677808782597</v>
      </c>
      <c r="C5668">
        <v>0.89377059367179601</v>
      </c>
      <c r="D5668">
        <v>0.949639758681872</v>
      </c>
      <c r="E5668">
        <v>0.365202345480794</v>
      </c>
      <c r="F5668">
        <v>0.332743135967144</v>
      </c>
      <c r="G5668">
        <v>0.20125205932501</v>
      </c>
      <c r="H5668">
        <v>0.14139886990169201</v>
      </c>
      <c r="I5668">
        <v>0.139802541353437</v>
      </c>
      <c r="J5668">
        <v>0.12202036275197201</v>
      </c>
      <c r="K5668">
        <v>0.11326642641316099</v>
      </c>
      <c r="L5668">
        <v>1358.3432100939001</v>
      </c>
      <c r="M5668">
        <v>27.8013929491064</v>
      </c>
      <c r="N5668">
        <v>49.4858076756068</v>
      </c>
      <c r="O5668">
        <v>48.608133656497401</v>
      </c>
      <c r="P5668">
        <v>-0.12176243464961101</v>
      </c>
      <c r="Q5668">
        <v>0.14844679416519399</v>
      </c>
      <c r="R5668">
        <v>0.97309784780318098</v>
      </c>
      <c r="S5668" t="s">
        <v>11953</v>
      </c>
      <c r="T5668" t="s">
        <v>12568</v>
      </c>
      <c r="U5668" t="s">
        <v>12568</v>
      </c>
      <c r="V5668" t="s">
        <v>12568</v>
      </c>
      <c r="W5668" t="s">
        <v>18184</v>
      </c>
      <c r="X5668">
        <v>5</v>
      </c>
      <c r="Y5668" t="s">
        <v>24274</v>
      </c>
      <c r="Z5668" t="s">
        <v>30538</v>
      </c>
      <c r="AA5668">
        <v>0.40595948389472353</v>
      </c>
      <c r="AB5668" t="str">
        <f>HYPERLINK("Melting_Curves/meltCurve_Q9NY93_DDX56.pdf", "Melting_Curves/meltCurve_Q9NY93_DDX56.pdf")</f>
        <v>Melting_Curves/meltCurve_Q9NY93_DDX56.pdf</v>
      </c>
    </row>
    <row r="5669" spans="1:28" x14ac:dyDescent="0.25">
      <c r="A5669" t="s">
        <v>5673</v>
      </c>
      <c r="B5669">
        <v>0.99352677808782597</v>
      </c>
      <c r="C5669">
        <v>0.97362709240015999</v>
      </c>
      <c r="D5669">
        <v>0.96953993287064999</v>
      </c>
      <c r="E5669">
        <v>0.96328792728943302</v>
      </c>
      <c r="F5669">
        <v>0.91315540291710895</v>
      </c>
      <c r="G5669">
        <v>0.763328277572766</v>
      </c>
      <c r="H5669">
        <v>0.65683334482878297</v>
      </c>
      <c r="I5669">
        <v>0.70715934284128001</v>
      </c>
      <c r="J5669">
        <v>0.784267014670331</v>
      </c>
      <c r="K5669">
        <v>0.626717073664393</v>
      </c>
      <c r="L5669">
        <v>1620.4497145216701</v>
      </c>
      <c r="M5669">
        <v>29.741602218842001</v>
      </c>
      <c r="O5669">
        <v>54.239741519363498</v>
      </c>
      <c r="P5669">
        <v>-4.2329942796805901E-2</v>
      </c>
      <c r="Q5669">
        <v>0.69121372742238596</v>
      </c>
      <c r="R5669">
        <v>0.90802927720915605</v>
      </c>
      <c r="S5669" t="s">
        <v>11954</v>
      </c>
      <c r="T5669" t="s">
        <v>12568</v>
      </c>
      <c r="U5669" t="s">
        <v>12568</v>
      </c>
      <c r="V5669" t="s">
        <v>12568</v>
      </c>
      <c r="W5669" t="s">
        <v>18185</v>
      </c>
      <c r="X5669">
        <v>14</v>
      </c>
      <c r="Y5669" t="s">
        <v>24275</v>
      </c>
      <c r="Z5669" t="s">
        <v>30539</v>
      </c>
      <c r="AA5669">
        <v>0.84237143576082285</v>
      </c>
      <c r="AB5669" t="str">
        <f>HYPERLINK("Melting_Curves/meltCurve_Q9NYB0_TERF2IP.pdf", "Melting_Curves/meltCurve_Q9NYB0_TERF2IP.pdf")</f>
        <v>Melting_Curves/meltCurve_Q9NYB0_TERF2IP.pdf</v>
      </c>
    </row>
    <row r="5670" spans="1:28" x14ac:dyDescent="0.25">
      <c r="A5670" t="s">
        <v>5674</v>
      </c>
      <c r="B5670">
        <v>0.99352677808782597</v>
      </c>
      <c r="C5670">
        <v>0.93410322939249202</v>
      </c>
      <c r="D5670">
        <v>0.87236835188655204</v>
      </c>
      <c r="E5670">
        <v>0.90519817850715401</v>
      </c>
      <c r="F5670">
        <v>0.75045522554806299</v>
      </c>
      <c r="G5670">
        <v>0.58223615762009195</v>
      </c>
      <c r="H5670">
        <v>0.41679194571747002</v>
      </c>
      <c r="I5670">
        <v>0.36299248043149301</v>
      </c>
      <c r="J5670">
        <v>0.33087124442689603</v>
      </c>
      <c r="K5670">
        <v>0.23601111336825101</v>
      </c>
      <c r="L5670">
        <v>562.22534334958698</v>
      </c>
      <c r="M5670">
        <v>9.7046326375751306</v>
      </c>
      <c r="N5670">
        <v>59.434266831893602</v>
      </c>
      <c r="O5670">
        <v>55.634261010050402</v>
      </c>
      <c r="P5670">
        <v>-3.8891981497701802E-2</v>
      </c>
      <c r="Q5670">
        <v>0.108653677638322</v>
      </c>
      <c r="R5670">
        <v>0.984508303752749</v>
      </c>
      <c r="S5670" t="s">
        <v>11955</v>
      </c>
      <c r="T5670" t="s">
        <v>12568</v>
      </c>
      <c r="U5670" t="s">
        <v>12568</v>
      </c>
      <c r="V5670" t="s">
        <v>12568</v>
      </c>
      <c r="W5670" t="s">
        <v>18186</v>
      </c>
      <c r="X5670">
        <v>7</v>
      </c>
      <c r="Y5670" t="s">
        <v>24276</v>
      </c>
      <c r="Z5670" t="s">
        <v>30540</v>
      </c>
      <c r="AA5670">
        <v>0.65011974777789661</v>
      </c>
      <c r="AB5670" t="str">
        <f>HYPERLINK("Melting_Curves/meltCurve_Q9NYB9_2_ABI2.pdf", "Melting_Curves/meltCurve_Q9NYB9_2_ABI2.pdf")</f>
        <v>Melting_Curves/meltCurve_Q9NYB9_2_ABI2.pdf</v>
      </c>
    </row>
    <row r="5671" spans="1:28" x14ac:dyDescent="0.25">
      <c r="A5671" t="s">
        <v>5675</v>
      </c>
      <c r="B5671">
        <v>0.99352677808782597</v>
      </c>
      <c r="C5671">
        <v>0.918259462154425</v>
      </c>
      <c r="D5671">
        <v>1.0187995836083601</v>
      </c>
      <c r="E5671">
        <v>0.91566624301989097</v>
      </c>
      <c r="F5671">
        <v>0.85905801800794401</v>
      </c>
      <c r="G5671">
        <v>0.72699440368604795</v>
      </c>
      <c r="H5671">
        <v>0.710959785000289</v>
      </c>
      <c r="I5671">
        <v>0.78543629055883302</v>
      </c>
      <c r="J5671">
        <v>0.83414414006464299</v>
      </c>
      <c r="K5671">
        <v>0.74208607159655404</v>
      </c>
      <c r="L5671">
        <v>1612.4009999342099</v>
      </c>
      <c r="M5671">
        <v>31.275766382529302</v>
      </c>
      <c r="O5671">
        <v>51.344943593642398</v>
      </c>
      <c r="P5671">
        <v>-3.6481741967905303E-2</v>
      </c>
      <c r="Q5671">
        <v>0.760435326664608</v>
      </c>
      <c r="R5671">
        <v>0.82228428092987405</v>
      </c>
      <c r="S5671" t="s">
        <v>11956</v>
      </c>
      <c r="T5671" t="s">
        <v>12568</v>
      </c>
      <c r="U5671" t="s">
        <v>12568</v>
      </c>
      <c r="V5671" t="s">
        <v>12568</v>
      </c>
      <c r="W5671" t="s">
        <v>18187</v>
      </c>
      <c r="X5671">
        <v>20</v>
      </c>
      <c r="Y5671" t="s">
        <v>24277</v>
      </c>
      <c r="Z5671" t="s">
        <v>30541</v>
      </c>
      <c r="AA5671">
        <v>0.85410095915824735</v>
      </c>
      <c r="AB5671" t="str">
        <f>HYPERLINK("Melting_Curves/meltCurve_Q9NYF8_2_BCLAF1.pdf", "Melting_Curves/meltCurve_Q9NYF8_2_BCLAF1.pdf")</f>
        <v>Melting_Curves/meltCurve_Q9NYF8_2_BCLAF1.pdf</v>
      </c>
    </row>
    <row r="5672" spans="1:28" x14ac:dyDescent="0.25">
      <c r="A5672" t="s">
        <v>5676</v>
      </c>
      <c r="B5672">
        <v>0.99352677808782597</v>
      </c>
      <c r="C5672">
        <v>0.85645053059320098</v>
      </c>
      <c r="D5672">
        <v>0.92280278907645297</v>
      </c>
      <c r="E5672">
        <v>0.87913535796471598</v>
      </c>
      <c r="F5672">
        <v>0.94294222929724603</v>
      </c>
      <c r="G5672">
        <v>0.896669587109997</v>
      </c>
      <c r="H5672">
        <v>0.51714375705701698</v>
      </c>
      <c r="I5672">
        <v>0.53866447029089404</v>
      </c>
      <c r="J5672">
        <v>0.44152477437121201</v>
      </c>
      <c r="K5672">
        <v>0.51079237076506501</v>
      </c>
      <c r="L5672">
        <v>3538.91337259899</v>
      </c>
      <c r="M5672">
        <v>60.7554203673795</v>
      </c>
      <c r="N5672">
        <v>62.810834376612</v>
      </c>
      <c r="O5672">
        <v>58.1855138765454</v>
      </c>
      <c r="P5672">
        <v>-0.132102707308805</v>
      </c>
      <c r="Q5672">
        <v>0.49394073388077597</v>
      </c>
      <c r="R5672">
        <v>0.88470278898190402</v>
      </c>
      <c r="S5672" t="s">
        <v>11957</v>
      </c>
      <c r="T5672" t="s">
        <v>12568</v>
      </c>
      <c r="U5672" t="s">
        <v>12568</v>
      </c>
      <c r="V5672" t="s">
        <v>12568</v>
      </c>
      <c r="W5672" t="s">
        <v>18188</v>
      </c>
      <c r="X5672">
        <v>1</v>
      </c>
      <c r="Y5672" t="s">
        <v>24278</v>
      </c>
      <c r="Z5672" t="s">
        <v>30542</v>
      </c>
      <c r="AA5672">
        <v>0.80264664126313301</v>
      </c>
      <c r="AB5672" t="str">
        <f>HYPERLINK("Melting_Curves/meltCurve_Q9NYG5_ANAPC11.pdf", "Melting_Curves/meltCurve_Q9NYG5_ANAPC11.pdf")</f>
        <v>Melting_Curves/meltCurve_Q9NYG5_ANAPC11.pdf</v>
      </c>
    </row>
    <row r="5673" spans="1:28" x14ac:dyDescent="0.25">
      <c r="A5673" t="s">
        <v>5677</v>
      </c>
      <c r="B5673">
        <v>0.99352677808782597</v>
      </c>
      <c r="C5673">
        <v>0.99700625118934605</v>
      </c>
      <c r="D5673">
        <v>1.00064029723545</v>
      </c>
      <c r="E5673">
        <v>0.98240537367681302</v>
      </c>
      <c r="F5673">
        <v>0.90024515857169496</v>
      </c>
      <c r="G5673">
        <v>0.90237648202812204</v>
      </c>
      <c r="H5673">
        <v>0.73616187049844395</v>
      </c>
      <c r="I5673">
        <v>0.84472435829923698</v>
      </c>
      <c r="J5673">
        <v>0.81271292516062599</v>
      </c>
      <c r="K5673">
        <v>0.73776523486455503</v>
      </c>
      <c r="L5673">
        <v>919.758909744584</v>
      </c>
      <c r="M5673">
        <v>16.546166146714999</v>
      </c>
      <c r="O5673">
        <v>54.794504447095598</v>
      </c>
      <c r="P5673">
        <v>-1.75470715498212E-2</v>
      </c>
      <c r="Q5673">
        <v>0.76757948382032104</v>
      </c>
      <c r="R5673">
        <v>0.85987452695945299</v>
      </c>
      <c r="S5673" t="s">
        <v>11958</v>
      </c>
      <c r="T5673" t="s">
        <v>12568</v>
      </c>
      <c r="U5673" t="s">
        <v>12568</v>
      </c>
      <c r="V5673" t="s">
        <v>12568</v>
      </c>
      <c r="W5673" t="s">
        <v>18189</v>
      </c>
      <c r="X5673">
        <v>6</v>
      </c>
      <c r="Y5673" t="s">
        <v>24279</v>
      </c>
      <c r="Z5673" t="s">
        <v>30543</v>
      </c>
      <c r="AA5673">
        <v>0.89221039215718723</v>
      </c>
      <c r="AB5673" t="str">
        <f>HYPERLINK("Melting_Curves/meltCurve_Q9NYJ1_COA4.pdf", "Melting_Curves/meltCurve_Q9NYJ1_COA4.pdf")</f>
        <v>Melting_Curves/meltCurve_Q9NYJ1_COA4.pdf</v>
      </c>
    </row>
    <row r="5674" spans="1:28" x14ac:dyDescent="0.25">
      <c r="A5674" t="s">
        <v>5678</v>
      </c>
      <c r="B5674">
        <v>0.99352677808782597</v>
      </c>
      <c r="C5674">
        <v>1.0473155042187301</v>
      </c>
      <c r="D5674">
        <v>1.0919544601240601</v>
      </c>
      <c r="E5674">
        <v>0.97401183255452295</v>
      </c>
      <c r="F5674">
        <v>0.82170715683529905</v>
      </c>
      <c r="G5674">
        <v>0.724221945812624</v>
      </c>
      <c r="H5674">
        <v>0.66660250590791703</v>
      </c>
      <c r="I5674">
        <v>0.73314369823655501</v>
      </c>
      <c r="J5674">
        <v>0.657841341837889</v>
      </c>
      <c r="K5674">
        <v>0.72353628273855597</v>
      </c>
      <c r="L5674">
        <v>2355.9179255897702</v>
      </c>
      <c r="M5674">
        <v>44.787131032767697</v>
      </c>
      <c r="O5674">
        <v>52.498014858667901</v>
      </c>
      <c r="P5674">
        <v>-6.4256099014086507E-2</v>
      </c>
      <c r="Q5674">
        <v>0.69872477948494605</v>
      </c>
      <c r="R5674">
        <v>0.93740975884669198</v>
      </c>
      <c r="S5674" t="s">
        <v>11959</v>
      </c>
      <c r="T5674" t="s">
        <v>12568</v>
      </c>
      <c r="U5674" t="s">
        <v>12568</v>
      </c>
      <c r="V5674" t="s">
        <v>12568</v>
      </c>
      <c r="W5674" t="s">
        <v>18190</v>
      </c>
      <c r="X5674">
        <v>8</v>
      </c>
      <c r="Y5674" t="s">
        <v>24280</v>
      </c>
      <c r="Z5674" t="s">
        <v>30544</v>
      </c>
      <c r="AA5674">
        <v>0.82615826887065813</v>
      </c>
      <c r="AB5674" t="str">
        <f>HYPERLINK("Melting_Curves/meltCurve_Q9NYJ8_TAB2.pdf", "Melting_Curves/meltCurve_Q9NYJ8_TAB2.pdf")</f>
        <v>Melting_Curves/meltCurve_Q9NYJ8_TAB2.pdf</v>
      </c>
    </row>
    <row r="5675" spans="1:28" x14ac:dyDescent="0.25">
      <c r="A5675" t="s">
        <v>5679</v>
      </c>
      <c r="B5675">
        <v>0.99352677808782597</v>
      </c>
      <c r="C5675">
        <v>0.88412955637214097</v>
      </c>
      <c r="D5675">
        <v>0.87410927284428297</v>
      </c>
      <c r="E5675">
        <v>0.63901635906709298</v>
      </c>
      <c r="F5675">
        <v>0.55980291382924796</v>
      </c>
      <c r="G5675">
        <v>0.49236113204781601</v>
      </c>
      <c r="H5675">
        <v>0.31694988196104901</v>
      </c>
      <c r="I5675">
        <v>0.29810164145958401</v>
      </c>
      <c r="J5675">
        <v>0.33796352647778599</v>
      </c>
      <c r="K5675">
        <v>0.30177535666885003</v>
      </c>
      <c r="L5675">
        <v>575.15329616735403</v>
      </c>
      <c r="M5675">
        <v>11.2576524964848</v>
      </c>
      <c r="N5675">
        <v>54.672537811881398</v>
      </c>
      <c r="O5675">
        <v>49.557483789267003</v>
      </c>
      <c r="P5675">
        <v>-4.1987650269441103E-2</v>
      </c>
      <c r="Q5675">
        <v>0.26089025079822198</v>
      </c>
      <c r="R5675">
        <v>0.98107832653465299</v>
      </c>
      <c r="S5675" t="s">
        <v>11960</v>
      </c>
      <c r="T5675" t="s">
        <v>12568</v>
      </c>
      <c r="U5675" t="s">
        <v>12568</v>
      </c>
      <c r="V5675" t="s">
        <v>12568</v>
      </c>
      <c r="W5675" t="s">
        <v>18191</v>
      </c>
      <c r="X5675">
        <v>1</v>
      </c>
      <c r="Y5675" t="s">
        <v>24281</v>
      </c>
      <c r="Z5675" t="s">
        <v>30545</v>
      </c>
      <c r="AA5675">
        <v>0.56030351803013567</v>
      </c>
      <c r="AB5675" t="str">
        <f>HYPERLINK("Melting_Curves/meltCurve_Q9NYK6_3_EURL.pdf", "Melting_Curves/meltCurve_Q9NYK6_3_EURL.pdf")</f>
        <v>Melting_Curves/meltCurve_Q9NYK6_3_EURL.pdf</v>
      </c>
    </row>
    <row r="5676" spans="1:28" x14ac:dyDescent="0.25">
      <c r="A5676" t="s">
        <v>5680</v>
      </c>
      <c r="B5676">
        <v>0.99352677808782597</v>
      </c>
      <c r="C5676">
        <v>0.94302136503621803</v>
      </c>
      <c r="D5676">
        <v>1.00168903836926</v>
      </c>
      <c r="E5676">
        <v>0.75481468656439499</v>
      </c>
      <c r="F5676">
        <v>0.68006830495536197</v>
      </c>
      <c r="G5676">
        <v>0.32053486999337</v>
      </c>
      <c r="H5676">
        <v>8.6264996796533697E-2</v>
      </c>
      <c r="I5676">
        <v>7.8700980049790301E-2</v>
      </c>
      <c r="J5676">
        <v>5.7452355085477601E-2</v>
      </c>
      <c r="K5676">
        <v>5.0096471091641601E-2</v>
      </c>
      <c r="L5676">
        <v>965.92346393555397</v>
      </c>
      <c r="M5676">
        <v>17.750294825815999</v>
      </c>
      <c r="N5676">
        <v>54.490487656048501</v>
      </c>
      <c r="O5676">
        <v>53.740711936959499</v>
      </c>
      <c r="P5676">
        <v>-8.1605577643194996E-2</v>
      </c>
      <c r="Q5676">
        <v>1.17763645702925E-2</v>
      </c>
      <c r="R5676">
        <v>0.98964442771116401</v>
      </c>
      <c r="S5676" t="s">
        <v>11961</v>
      </c>
      <c r="T5676" t="s">
        <v>12568</v>
      </c>
      <c r="U5676" t="s">
        <v>12568</v>
      </c>
      <c r="V5676" t="s">
        <v>12568</v>
      </c>
      <c r="W5676" t="s">
        <v>18192</v>
      </c>
      <c r="X5676">
        <v>11</v>
      </c>
      <c r="Y5676" t="s">
        <v>24282</v>
      </c>
      <c r="Z5676" t="s">
        <v>30546</v>
      </c>
      <c r="AA5676">
        <v>0.50262185222369882</v>
      </c>
      <c r="AB5676" t="str">
        <f>HYPERLINK("Melting_Curves/meltCurve_Q9NYL2_MLTK.pdf", "Melting_Curves/meltCurve_Q9NYL2_MLTK.pdf")</f>
        <v>Melting_Curves/meltCurve_Q9NYL2_MLTK.pdf</v>
      </c>
    </row>
    <row r="5677" spans="1:28" x14ac:dyDescent="0.25">
      <c r="A5677" t="s">
        <v>5681</v>
      </c>
      <c r="B5677">
        <v>0.99352677808782597</v>
      </c>
      <c r="C5677">
        <v>0.96673426017530395</v>
      </c>
      <c r="D5677">
        <v>1.00407023673762</v>
      </c>
      <c r="E5677">
        <v>0.86166620769265201</v>
      </c>
      <c r="F5677">
        <v>0.72950427610597501</v>
      </c>
      <c r="G5677">
        <v>0.39696142783101301</v>
      </c>
      <c r="H5677">
        <v>0.16200917496287301</v>
      </c>
      <c r="I5677">
        <v>0.16189356326204099</v>
      </c>
      <c r="J5677">
        <v>0.13751565310783301</v>
      </c>
      <c r="K5677">
        <v>0.106410536673991</v>
      </c>
      <c r="L5677">
        <v>1136.78292929074</v>
      </c>
      <c r="M5677">
        <v>20.701947117457699</v>
      </c>
      <c r="N5677">
        <v>55.514279629572499</v>
      </c>
      <c r="O5677">
        <v>54.407202416616698</v>
      </c>
      <c r="P5677">
        <v>-8.5558188756349504E-2</v>
      </c>
      <c r="Q5677">
        <v>0.100596735580568</v>
      </c>
      <c r="R5677">
        <v>0.99635310132242305</v>
      </c>
      <c r="S5677" t="s">
        <v>11962</v>
      </c>
      <c r="T5677" t="s">
        <v>12568</v>
      </c>
      <c r="U5677" t="s">
        <v>12568</v>
      </c>
      <c r="V5677" t="s">
        <v>12568</v>
      </c>
      <c r="W5677" t="s">
        <v>18193</v>
      </c>
      <c r="X5677">
        <v>11</v>
      </c>
      <c r="Y5677" t="s">
        <v>24282</v>
      </c>
      <c r="Z5677" t="s">
        <v>30547</v>
      </c>
      <c r="AA5677">
        <v>0.55904178645230274</v>
      </c>
      <c r="AB5677" t="str">
        <f>HYPERLINK("Melting_Curves/meltCurve_Q9NYL2_2_MLTK.pdf", "Melting_Curves/meltCurve_Q9NYL2_2_MLTK.pdf")</f>
        <v>Melting_Curves/meltCurve_Q9NYL2_2_MLTK.pdf</v>
      </c>
    </row>
    <row r="5678" spans="1:28" x14ac:dyDescent="0.25">
      <c r="A5678" t="s">
        <v>5682</v>
      </c>
      <c r="B5678">
        <v>0.99352677808782597</v>
      </c>
      <c r="C5678">
        <v>1.0063487052109199</v>
      </c>
      <c r="D5678">
        <v>0.94952313125120702</v>
      </c>
      <c r="E5678">
        <v>0.69120780846456598</v>
      </c>
      <c r="F5678">
        <v>0.58852472448511195</v>
      </c>
      <c r="G5678">
        <v>0.48823404136573501</v>
      </c>
      <c r="H5678">
        <v>0.43211851270267199</v>
      </c>
      <c r="I5678">
        <v>0.45583766202548198</v>
      </c>
      <c r="J5678">
        <v>0.52755083769194</v>
      </c>
      <c r="K5678">
        <v>0.40191499115968199</v>
      </c>
      <c r="L5678">
        <v>1173.3866054104101</v>
      </c>
      <c r="M5678">
        <v>23.550037827658901</v>
      </c>
      <c r="N5678">
        <v>55.527092541413801</v>
      </c>
      <c r="O5678">
        <v>49.470159174665802</v>
      </c>
      <c r="P5678">
        <v>-6.4807367531344001E-2</v>
      </c>
      <c r="Q5678">
        <v>0.45546142475274198</v>
      </c>
      <c r="R5678">
        <v>0.97937058926200904</v>
      </c>
      <c r="S5678" t="s">
        <v>11963</v>
      </c>
      <c r="T5678" t="s">
        <v>12568</v>
      </c>
      <c r="U5678" t="s">
        <v>12568</v>
      </c>
      <c r="V5678" t="s">
        <v>12568</v>
      </c>
      <c r="W5678" t="s">
        <v>18194</v>
      </c>
      <c r="X5678">
        <v>19</v>
      </c>
      <c r="Y5678" t="s">
        <v>24283</v>
      </c>
      <c r="Z5678" t="s">
        <v>30548</v>
      </c>
      <c r="AA5678">
        <v>0.63928245407021345</v>
      </c>
      <c r="AB5678" t="str">
        <f>HYPERLINK("Melting_Curves/meltCurve_Q9NYL9_TMOD3.pdf", "Melting_Curves/meltCurve_Q9NYL9_TMOD3.pdf")</f>
        <v>Melting_Curves/meltCurve_Q9NYL9_TMOD3.pdf</v>
      </c>
    </row>
    <row r="5679" spans="1:28" x14ac:dyDescent="0.25">
      <c r="A5679" t="s">
        <v>5683</v>
      </c>
      <c r="B5679">
        <v>0.99352677808782597</v>
      </c>
      <c r="C5679">
        <v>1.02340897123704</v>
      </c>
      <c r="D5679">
        <v>0.91747984586057396</v>
      </c>
      <c r="E5679">
        <v>0.76242900087596899</v>
      </c>
      <c r="F5679">
        <v>0.64081998738254897</v>
      </c>
      <c r="G5679">
        <v>0.43878713358942101</v>
      </c>
      <c r="H5679">
        <v>0.28257536440414899</v>
      </c>
      <c r="I5679">
        <v>0.24819993640085</v>
      </c>
      <c r="J5679">
        <v>0.23750043586575401</v>
      </c>
      <c r="K5679">
        <v>0.151837122665714</v>
      </c>
      <c r="L5679">
        <v>711.72305657361403</v>
      </c>
      <c r="M5679">
        <v>13.1445966749194</v>
      </c>
      <c r="N5679">
        <v>55.530848468111998</v>
      </c>
      <c r="O5679">
        <v>52.938450765453702</v>
      </c>
      <c r="P5679">
        <v>-5.3407340584233298E-2</v>
      </c>
      <c r="Q5679">
        <v>0.13977587855658999</v>
      </c>
      <c r="R5679">
        <v>0.99469850326631304</v>
      </c>
      <c r="S5679" t="s">
        <v>11964</v>
      </c>
      <c r="T5679" t="s">
        <v>12568</v>
      </c>
      <c r="U5679" t="s">
        <v>12568</v>
      </c>
      <c r="V5679" t="s">
        <v>12568</v>
      </c>
      <c r="W5679" t="s">
        <v>18195</v>
      </c>
      <c r="X5679">
        <v>3</v>
      </c>
      <c r="Y5679" t="s">
        <v>24284</v>
      </c>
      <c r="Z5679" t="s">
        <v>30549</v>
      </c>
      <c r="AA5679">
        <v>0.56569075294948967</v>
      </c>
      <c r="AB5679" t="str">
        <f>HYPERLINK("Melting_Curves/meltCurve_Q9NYP9_MIS18A.pdf", "Melting_Curves/meltCurve_Q9NYP9_MIS18A.pdf")</f>
        <v>Melting_Curves/meltCurve_Q9NYP9_MIS18A.pdf</v>
      </c>
    </row>
    <row r="5680" spans="1:28" x14ac:dyDescent="0.25">
      <c r="A5680" t="s">
        <v>5684</v>
      </c>
      <c r="B5680">
        <v>0.99352677808782597</v>
      </c>
      <c r="C5680">
        <v>0.97059038662115205</v>
      </c>
      <c r="D5680">
        <v>1.03660146266743</v>
      </c>
      <c r="E5680">
        <v>0.98224558622073899</v>
      </c>
      <c r="F5680">
        <v>0.97809708597868905</v>
      </c>
      <c r="G5680">
        <v>0.99067293388615396</v>
      </c>
      <c r="H5680">
        <v>0.83821729855622196</v>
      </c>
      <c r="I5680">
        <v>0.984714948202984</v>
      </c>
      <c r="J5680">
        <v>0.95660520005361005</v>
      </c>
      <c r="K5680">
        <v>0.85853565962215905</v>
      </c>
      <c r="L5680">
        <v>14373.313041518901</v>
      </c>
      <c r="M5680">
        <v>250</v>
      </c>
      <c r="O5680">
        <v>57.489568773656302</v>
      </c>
      <c r="P5680">
        <v>-9.8367528774802399E-2</v>
      </c>
      <c r="Q5680">
        <v>0.90951828450980099</v>
      </c>
      <c r="R5680">
        <v>0.46261716914700401</v>
      </c>
      <c r="S5680" t="s">
        <v>11965</v>
      </c>
      <c r="T5680" t="s">
        <v>12568</v>
      </c>
      <c r="U5680" t="s">
        <v>12568</v>
      </c>
      <c r="V5680" t="s">
        <v>12568</v>
      </c>
      <c r="W5680" t="s">
        <v>18196</v>
      </c>
      <c r="X5680">
        <v>5</v>
      </c>
      <c r="Y5680" t="s">
        <v>24285</v>
      </c>
      <c r="Z5680" t="s">
        <v>30550</v>
      </c>
      <c r="AA5680">
        <v>0.96228806294306635</v>
      </c>
      <c r="AB5680" t="str">
        <f>HYPERLINK("Melting_Curves/meltCurve_Q9NYQ6_CELSR1.pdf", "Melting_Curves/meltCurve_Q9NYQ6_CELSR1.pdf")</f>
        <v>Melting_Curves/meltCurve_Q9NYQ6_CELSR1.pdf</v>
      </c>
    </row>
    <row r="5681" spans="1:28" x14ac:dyDescent="0.25">
      <c r="A5681" t="s">
        <v>5685</v>
      </c>
      <c r="B5681">
        <v>0.99352677808782597</v>
      </c>
      <c r="C5681">
        <v>0.83500624140477797</v>
      </c>
      <c r="D5681">
        <v>0.71459308471088501</v>
      </c>
      <c r="E5681">
        <v>0.43731062046901398</v>
      </c>
      <c r="F5681">
        <v>0.36247295024884701</v>
      </c>
      <c r="G5681">
        <v>0.24754044811321199</v>
      </c>
      <c r="H5681">
        <v>0.21838500055783799</v>
      </c>
      <c r="I5681">
        <v>0.22971721721751301</v>
      </c>
      <c r="J5681">
        <v>0.14191846775153899</v>
      </c>
      <c r="K5681">
        <v>0.107460641135666</v>
      </c>
      <c r="L5681">
        <v>627.30378555135599</v>
      </c>
      <c r="M5681">
        <v>13.0141083551369</v>
      </c>
      <c r="N5681">
        <v>49.4831674974265</v>
      </c>
      <c r="O5681">
        <v>47.106298324881699</v>
      </c>
      <c r="P5681">
        <v>-5.91984997779266E-2</v>
      </c>
      <c r="Q5681">
        <v>0.14304334224863599</v>
      </c>
      <c r="R5681">
        <v>0.98725672707110002</v>
      </c>
      <c r="S5681" t="s">
        <v>11966</v>
      </c>
      <c r="T5681" t="s">
        <v>12568</v>
      </c>
      <c r="U5681" t="s">
        <v>12568</v>
      </c>
      <c r="V5681" t="s">
        <v>12568</v>
      </c>
      <c r="W5681" t="s">
        <v>18197</v>
      </c>
      <c r="X5681">
        <v>2</v>
      </c>
      <c r="Y5681" t="s">
        <v>24286</v>
      </c>
      <c r="Z5681" t="s">
        <v>30551</v>
      </c>
      <c r="AA5681">
        <v>0.40594663627650268</v>
      </c>
      <c r="AB5681" t="str">
        <f>HYPERLINK("Melting_Curves/meltCurve_Q9NYS0_NKIRAS1.pdf", "Melting_Curves/meltCurve_Q9NYS0_NKIRAS1.pdf")</f>
        <v>Melting_Curves/meltCurve_Q9NYS0_NKIRAS1.pdf</v>
      </c>
    </row>
    <row r="5682" spans="1:28" x14ac:dyDescent="0.25">
      <c r="A5682" t="s">
        <v>5686</v>
      </c>
      <c r="B5682">
        <v>0.99352677808782597</v>
      </c>
      <c r="C5682">
        <v>0.86949274173218705</v>
      </c>
      <c r="D5682">
        <v>0.83269923873035701</v>
      </c>
      <c r="E5682">
        <v>0.257598127157599</v>
      </c>
      <c r="F5682">
        <v>0.21969285871129901</v>
      </c>
      <c r="G5682">
        <v>0.131721624259933</v>
      </c>
      <c r="H5682">
        <v>0.10708449079684799</v>
      </c>
      <c r="I5682">
        <v>0.104991665310255</v>
      </c>
      <c r="J5682">
        <v>8.7930887987873699E-2</v>
      </c>
      <c r="K5682">
        <v>7.3924657567091906E-2</v>
      </c>
      <c r="L5682">
        <v>1345.77294840891</v>
      </c>
      <c r="M5682">
        <v>28.117245331434098</v>
      </c>
      <c r="N5682">
        <v>48.260934019507097</v>
      </c>
      <c r="O5682">
        <v>47.622755704404703</v>
      </c>
      <c r="P5682">
        <v>-0.13233017253452201</v>
      </c>
      <c r="Q5682">
        <v>0.103486195177587</v>
      </c>
      <c r="R5682">
        <v>0.98402199843073901</v>
      </c>
      <c r="S5682" t="s">
        <v>11967</v>
      </c>
      <c r="T5682" t="s">
        <v>12568</v>
      </c>
      <c r="U5682" t="s">
        <v>12568</v>
      </c>
      <c r="V5682" t="s">
        <v>12568</v>
      </c>
      <c r="W5682" t="s">
        <v>18198</v>
      </c>
      <c r="X5682">
        <v>4</v>
      </c>
      <c r="Y5682" t="s">
        <v>24287</v>
      </c>
      <c r="Z5682" t="s">
        <v>30552</v>
      </c>
      <c r="AA5682">
        <v>0.34463655069193427</v>
      </c>
      <c r="AB5682" t="str">
        <f>HYPERLINK("Melting_Curves/meltCurve_Q9NYT0_PLEK2.pdf", "Melting_Curves/meltCurve_Q9NYT0_PLEK2.pdf")</f>
        <v>Melting_Curves/meltCurve_Q9NYT0_PLEK2.pdf</v>
      </c>
    </row>
    <row r="5683" spans="1:28" x14ac:dyDescent="0.25">
      <c r="A5683" t="s">
        <v>5687</v>
      </c>
      <c r="B5683">
        <v>0.99352677808782597</v>
      </c>
      <c r="C5683">
        <v>1.0134505658967199</v>
      </c>
      <c r="D5683">
        <v>0.915698989304779</v>
      </c>
      <c r="E5683">
        <v>0.79909972690199804</v>
      </c>
      <c r="F5683">
        <v>0.62363517289006098</v>
      </c>
      <c r="G5683">
        <v>0.26150616290628398</v>
      </c>
      <c r="H5683">
        <v>0.15150106285324599</v>
      </c>
      <c r="I5683">
        <v>0.127147838102077</v>
      </c>
      <c r="J5683">
        <v>0.115863753535298</v>
      </c>
      <c r="K5683">
        <v>8.3609858890018096E-2</v>
      </c>
      <c r="L5683">
        <v>1041.97484158266</v>
      </c>
      <c r="M5683">
        <v>19.472461123433899</v>
      </c>
      <c r="N5683">
        <v>54.002387095492097</v>
      </c>
      <c r="O5683">
        <v>52.955392361163</v>
      </c>
      <c r="P5683">
        <v>-8.4456724149190698E-2</v>
      </c>
      <c r="Q5683">
        <v>8.1311966151084103E-2</v>
      </c>
      <c r="R5683">
        <v>0.99568381172311105</v>
      </c>
      <c r="S5683" t="s">
        <v>11968</v>
      </c>
      <c r="T5683" t="s">
        <v>12568</v>
      </c>
      <c r="U5683" t="s">
        <v>12568</v>
      </c>
      <c r="V5683" t="s">
        <v>12568</v>
      </c>
      <c r="W5683" t="s">
        <v>18199</v>
      </c>
      <c r="X5683">
        <v>28</v>
      </c>
      <c r="Y5683" t="s">
        <v>24288</v>
      </c>
      <c r="Z5683" t="s">
        <v>30553</v>
      </c>
      <c r="AA5683">
        <v>0.5081686996681205</v>
      </c>
      <c r="AB5683" t="str">
        <f>HYPERLINK("Melting_Curves/meltCurve_Q9NYU2_2_UGGT1.pdf", "Melting_Curves/meltCurve_Q9NYU2_2_UGGT1.pdf")</f>
        <v>Melting_Curves/meltCurve_Q9NYU2_2_UGGT1.pdf</v>
      </c>
    </row>
    <row r="5684" spans="1:28" x14ac:dyDescent="0.25">
      <c r="A5684" t="s">
        <v>5688</v>
      </c>
      <c r="B5684">
        <v>0.99352677808782597</v>
      </c>
      <c r="C5684">
        <v>0.92210514087441997</v>
      </c>
      <c r="D5684">
        <v>0.81064065535418695</v>
      </c>
      <c r="E5684">
        <v>0.39214332372295002</v>
      </c>
      <c r="F5684">
        <v>0.34532630344709597</v>
      </c>
      <c r="G5684">
        <v>0.18151971987996299</v>
      </c>
      <c r="H5684">
        <v>0.13651338236822799</v>
      </c>
      <c r="I5684">
        <v>0.117590184364159</v>
      </c>
      <c r="J5684">
        <v>0.111766680560793</v>
      </c>
      <c r="K5684">
        <v>9.5689232107490002E-2</v>
      </c>
      <c r="L5684">
        <v>864.02101741689796</v>
      </c>
      <c r="M5684">
        <v>17.7019889054896</v>
      </c>
      <c r="N5684">
        <v>49.494243920268801</v>
      </c>
      <c r="O5684">
        <v>48.199154985492299</v>
      </c>
      <c r="P5684">
        <v>-8.1845919404791606E-2</v>
      </c>
      <c r="Q5684">
        <v>0.10864332492765599</v>
      </c>
      <c r="R5684">
        <v>0.99111828184086204</v>
      </c>
      <c r="S5684" t="s">
        <v>11969</v>
      </c>
      <c r="T5684" t="s">
        <v>12568</v>
      </c>
      <c r="U5684" t="s">
        <v>12568</v>
      </c>
      <c r="V5684" t="s">
        <v>12568</v>
      </c>
      <c r="W5684" t="s">
        <v>18200</v>
      </c>
      <c r="X5684">
        <v>10</v>
      </c>
      <c r="Y5684" t="s">
        <v>24289</v>
      </c>
      <c r="Z5684" t="s">
        <v>30554</v>
      </c>
      <c r="AA5684">
        <v>0.38640864007773729</v>
      </c>
      <c r="AB5684" t="str">
        <f>HYPERLINK("Melting_Curves/meltCurve_Q9NYV4_2_CDK12.pdf", "Melting_Curves/meltCurve_Q9NYV4_2_CDK12.pdf")</f>
        <v>Melting_Curves/meltCurve_Q9NYV4_2_CDK12.pdf</v>
      </c>
    </row>
    <row r="5685" spans="1:28" x14ac:dyDescent="0.25">
      <c r="A5685" t="s">
        <v>5689</v>
      </c>
      <c r="B5685">
        <v>0.99352677808782597</v>
      </c>
      <c r="C5685">
        <v>0.93891477249619604</v>
      </c>
      <c r="D5685">
        <v>0.87833868894882505</v>
      </c>
      <c r="E5685">
        <v>0.35179289161653599</v>
      </c>
      <c r="F5685">
        <v>0.282871504486574</v>
      </c>
      <c r="G5685">
        <v>0.196565448920378</v>
      </c>
      <c r="H5685">
        <v>0.14642728848326</v>
      </c>
      <c r="I5685">
        <v>0.15272782856147499</v>
      </c>
      <c r="J5685">
        <v>0.11536409605499701</v>
      </c>
      <c r="K5685">
        <v>8.7452129049230998E-2</v>
      </c>
      <c r="L5685">
        <v>1301.7761596297401</v>
      </c>
      <c r="M5685">
        <v>26.848215078161001</v>
      </c>
      <c r="N5685">
        <v>49.091307035199598</v>
      </c>
      <c r="O5685">
        <v>48.219908311721497</v>
      </c>
      <c r="P5685">
        <v>-0.119597105959369</v>
      </c>
      <c r="Q5685">
        <v>0.14081393422959501</v>
      </c>
      <c r="R5685">
        <v>0.98775904473757903</v>
      </c>
      <c r="S5685" t="s">
        <v>11970</v>
      </c>
      <c r="T5685" t="s">
        <v>12568</v>
      </c>
      <c r="U5685" t="s">
        <v>12568</v>
      </c>
      <c r="V5685" t="s">
        <v>12568</v>
      </c>
      <c r="W5685" t="s">
        <v>18201</v>
      </c>
      <c r="X5685">
        <v>6</v>
      </c>
      <c r="Y5685" t="s">
        <v>24290</v>
      </c>
      <c r="Z5685" t="s">
        <v>30555</v>
      </c>
      <c r="AA5685">
        <v>0.39040810051143943</v>
      </c>
      <c r="AB5685" t="str">
        <f>HYPERLINK("Melting_Curves/meltCurve_Q9NYY8_FASTKD2.pdf", "Melting_Curves/meltCurve_Q9NYY8_FASTKD2.pdf")</f>
        <v>Melting_Curves/meltCurve_Q9NYY8_FASTKD2.pdf</v>
      </c>
    </row>
    <row r="5686" spans="1:28" x14ac:dyDescent="0.25">
      <c r="A5686" t="s">
        <v>5690</v>
      </c>
      <c r="B5686">
        <v>0.99352677808782597</v>
      </c>
      <c r="C5686">
        <v>1.0071279426627699</v>
      </c>
      <c r="D5686">
        <v>1.08336487067537</v>
      </c>
      <c r="E5686">
        <v>0.92205660088102603</v>
      </c>
      <c r="F5686">
        <v>0.73625050140199499</v>
      </c>
      <c r="G5686">
        <v>0.65948990163431698</v>
      </c>
      <c r="H5686">
        <v>0.58526302292729904</v>
      </c>
      <c r="I5686">
        <v>0.56502336778158802</v>
      </c>
      <c r="J5686">
        <v>0.58027339326999205</v>
      </c>
      <c r="K5686">
        <v>0.468176121482199</v>
      </c>
      <c r="L5686">
        <v>1206.27228482293</v>
      </c>
      <c r="M5686">
        <v>22.695449064499702</v>
      </c>
      <c r="O5686">
        <v>52.742917784446597</v>
      </c>
      <c r="P5686">
        <v>-4.9168883900710302E-2</v>
      </c>
      <c r="Q5686">
        <v>0.54294640742189804</v>
      </c>
      <c r="R5686">
        <v>0.95467120717550602</v>
      </c>
      <c r="S5686" t="s">
        <v>11971</v>
      </c>
      <c r="T5686" t="s">
        <v>12568</v>
      </c>
      <c r="U5686" t="s">
        <v>12568</v>
      </c>
      <c r="V5686" t="s">
        <v>12568</v>
      </c>
      <c r="W5686" t="s">
        <v>18202</v>
      </c>
      <c r="X5686">
        <v>7</v>
      </c>
      <c r="Y5686" t="s">
        <v>24291</v>
      </c>
      <c r="Z5686" t="s">
        <v>30556</v>
      </c>
      <c r="AA5686">
        <v>0.74832609683497842</v>
      </c>
      <c r="AB5686" t="str">
        <f>HYPERLINK("Melting_Curves/meltCurve_Q9NYZ3_GTSE1.pdf", "Melting_Curves/meltCurve_Q9NYZ3_GTSE1.pdf")</f>
        <v>Melting_Curves/meltCurve_Q9NYZ3_GTSE1.pdf</v>
      </c>
    </row>
    <row r="5687" spans="1:28" x14ac:dyDescent="0.25">
      <c r="A5687" t="s">
        <v>5691</v>
      </c>
      <c r="B5687">
        <v>0.99352677808782597</v>
      </c>
      <c r="C5687">
        <v>1.0339604836590699</v>
      </c>
      <c r="D5687">
        <v>0.97280353528699903</v>
      </c>
      <c r="E5687">
        <v>0.63305532409481202</v>
      </c>
      <c r="F5687">
        <v>0.51074754606708905</v>
      </c>
      <c r="G5687">
        <v>0.270670859876952</v>
      </c>
      <c r="H5687">
        <v>0.17660105940008899</v>
      </c>
      <c r="I5687">
        <v>0.14999594150186399</v>
      </c>
      <c r="J5687">
        <v>0.11426338704817</v>
      </c>
      <c r="K5687">
        <v>9.8792520086474003E-2</v>
      </c>
      <c r="L5687">
        <v>906.954442203658</v>
      </c>
      <c r="M5687">
        <v>17.446151142228601</v>
      </c>
      <c r="N5687">
        <v>52.704283835776799</v>
      </c>
      <c r="O5687">
        <v>51.317331542479401</v>
      </c>
      <c r="P5687">
        <v>-7.6002449164805502E-2</v>
      </c>
      <c r="Q5687">
        <v>0.105814182624426</v>
      </c>
      <c r="R5687">
        <v>0.99069700099657199</v>
      </c>
      <c r="S5687" t="s">
        <v>11972</v>
      </c>
      <c r="T5687" t="s">
        <v>12568</v>
      </c>
      <c r="U5687" t="s">
        <v>12568</v>
      </c>
      <c r="V5687" t="s">
        <v>12568</v>
      </c>
      <c r="W5687" t="s">
        <v>18203</v>
      </c>
      <c r="X5687">
        <v>9</v>
      </c>
      <c r="Y5687" t="s">
        <v>24292</v>
      </c>
      <c r="Z5687" t="s">
        <v>30557</v>
      </c>
      <c r="AA5687">
        <v>0.47876090472441107</v>
      </c>
      <c r="AB5687" t="str">
        <f>HYPERLINK("Melting_Curves/meltCurve_Q9NZ08_ERAP1.pdf", "Melting_Curves/meltCurve_Q9NZ08_ERAP1.pdf")</f>
        <v>Melting_Curves/meltCurve_Q9NZ08_ERAP1.pdf</v>
      </c>
    </row>
    <row r="5688" spans="1:28" x14ac:dyDescent="0.25">
      <c r="A5688" t="s">
        <v>5692</v>
      </c>
      <c r="B5688">
        <v>0.99352677808782597</v>
      </c>
      <c r="C5688">
        <v>1.0201567778032901</v>
      </c>
      <c r="D5688">
        <v>0.98817596817053699</v>
      </c>
      <c r="E5688">
        <v>0.93232719583578005</v>
      </c>
      <c r="F5688">
        <v>0.82443639074836905</v>
      </c>
      <c r="G5688">
        <v>0.73078244995620401</v>
      </c>
      <c r="H5688">
        <v>0.62371012876978005</v>
      </c>
      <c r="I5688">
        <v>0.60062983133044601</v>
      </c>
      <c r="J5688">
        <v>0.64884926562848999</v>
      </c>
      <c r="K5688">
        <v>0.58924889036459305</v>
      </c>
      <c r="L5688">
        <v>1020.86692831802</v>
      </c>
      <c r="M5688">
        <v>18.8800019279</v>
      </c>
      <c r="O5688">
        <v>53.475676311332201</v>
      </c>
      <c r="P5688">
        <v>-3.5362494815421502E-2</v>
      </c>
      <c r="Q5688">
        <v>0.59937375841117002</v>
      </c>
      <c r="R5688">
        <v>0.98701347263018302</v>
      </c>
      <c r="S5688" t="s">
        <v>11973</v>
      </c>
      <c r="T5688" t="s">
        <v>12568</v>
      </c>
      <c r="U5688" t="s">
        <v>12568</v>
      </c>
      <c r="V5688" t="s">
        <v>12568</v>
      </c>
      <c r="W5688" t="s">
        <v>18204</v>
      </c>
      <c r="X5688">
        <v>11</v>
      </c>
      <c r="Y5688" t="s">
        <v>24293</v>
      </c>
      <c r="Z5688" t="s">
        <v>30558</v>
      </c>
      <c r="AA5688">
        <v>0.79323893776519194</v>
      </c>
      <c r="AB5688" t="str">
        <f>HYPERLINK("Melting_Curves/meltCurve_Q9NZ09_UBAP1.pdf", "Melting_Curves/meltCurve_Q9NZ09_UBAP1.pdf")</f>
        <v>Melting_Curves/meltCurve_Q9NZ09_UBAP1.pdf</v>
      </c>
    </row>
    <row r="5689" spans="1:28" x14ac:dyDescent="0.25">
      <c r="A5689" t="s">
        <v>5693</v>
      </c>
      <c r="B5689">
        <v>0.99352677808782597</v>
      </c>
      <c r="C5689">
        <v>0.98530248126808395</v>
      </c>
      <c r="D5689">
        <v>0.90956598558242896</v>
      </c>
      <c r="E5689">
        <v>1.72186601237425</v>
      </c>
      <c r="F5689">
        <v>1.41466618873782</v>
      </c>
      <c r="G5689">
        <v>1.2520805672169699</v>
      </c>
      <c r="H5689">
        <v>0.98514090726268899</v>
      </c>
      <c r="I5689">
        <v>0.67235357858104605</v>
      </c>
      <c r="J5689">
        <v>0.25130944838041203</v>
      </c>
      <c r="K5689">
        <v>0.12912461121664401</v>
      </c>
      <c r="L5689">
        <v>3505.94332875092</v>
      </c>
      <c r="M5689">
        <v>54.220506748031298</v>
      </c>
      <c r="N5689">
        <v>65.002468921668395</v>
      </c>
      <c r="O5689">
        <v>64.573070249020205</v>
      </c>
      <c r="P5689">
        <v>-0.183893559956429</v>
      </c>
      <c r="Q5689">
        <v>0.123979995924885</v>
      </c>
      <c r="R5689">
        <v>0.64284672382222097</v>
      </c>
      <c r="S5689" t="s">
        <v>11974</v>
      </c>
      <c r="T5689" t="s">
        <v>12568</v>
      </c>
      <c r="U5689" t="s">
        <v>12568</v>
      </c>
      <c r="V5689" t="s">
        <v>12568</v>
      </c>
      <c r="W5689" t="s">
        <v>18205</v>
      </c>
      <c r="X5689">
        <v>18</v>
      </c>
      <c r="Y5689" t="s">
        <v>24294</v>
      </c>
      <c r="Z5689" t="s">
        <v>30559</v>
      </c>
      <c r="AA5689">
        <v>0.8455406447761471</v>
      </c>
      <c r="AB5689" t="str">
        <f>HYPERLINK("Melting_Curves/meltCurve_Q9NZ32_ACTR10.pdf", "Melting_Curves/meltCurve_Q9NZ32_ACTR10.pdf")</f>
        <v>Melting_Curves/meltCurve_Q9NZ32_ACTR10.pdf</v>
      </c>
    </row>
    <row r="5690" spans="1:28" x14ac:dyDescent="0.25">
      <c r="A5690" t="s">
        <v>5694</v>
      </c>
      <c r="B5690">
        <v>0.99352677808782597</v>
      </c>
      <c r="C5690">
        <v>0.947699866946207</v>
      </c>
      <c r="D5690">
        <v>0.90620872660437102</v>
      </c>
      <c r="E5690">
        <v>0.82555507613935597</v>
      </c>
      <c r="F5690">
        <v>0.79699722458744104</v>
      </c>
      <c r="G5690">
        <v>0.66550151785085399</v>
      </c>
      <c r="H5690">
        <v>0.60615072688619098</v>
      </c>
      <c r="I5690">
        <v>0.58123422077607101</v>
      </c>
      <c r="J5690">
        <v>0.52569691487355596</v>
      </c>
      <c r="K5690">
        <v>0.55578903840373595</v>
      </c>
      <c r="L5690">
        <v>503.52210113714398</v>
      </c>
      <c r="M5690">
        <v>9.2931577131295295</v>
      </c>
      <c r="O5690">
        <v>51.850494142470097</v>
      </c>
      <c r="P5690">
        <v>-2.35329294803528E-2</v>
      </c>
      <c r="Q5690">
        <v>0.47513646210992</v>
      </c>
      <c r="R5690">
        <v>0.98946947438330302</v>
      </c>
      <c r="S5690" t="s">
        <v>11975</v>
      </c>
      <c r="T5690" t="s">
        <v>12568</v>
      </c>
      <c r="U5690" t="s">
        <v>12568</v>
      </c>
      <c r="V5690" t="s">
        <v>12568</v>
      </c>
      <c r="W5690" t="s">
        <v>18206</v>
      </c>
      <c r="X5690">
        <v>3</v>
      </c>
      <c r="Y5690" t="s">
        <v>24295</v>
      </c>
      <c r="Z5690" t="s">
        <v>30560</v>
      </c>
      <c r="AA5690">
        <v>0.73938950764924338</v>
      </c>
      <c r="AB5690" t="str">
        <f>HYPERLINK("Melting_Curves/meltCurve_Q9NZ45_CISD1.pdf", "Melting_Curves/meltCurve_Q9NZ45_CISD1.pdf")</f>
        <v>Melting_Curves/meltCurve_Q9NZ45_CISD1.pdf</v>
      </c>
    </row>
    <row r="5691" spans="1:28" x14ac:dyDescent="0.25">
      <c r="A5691" t="s">
        <v>5695</v>
      </c>
      <c r="B5691">
        <v>0.99352677808782597</v>
      </c>
      <c r="C5691">
        <v>1.00105533030923</v>
      </c>
      <c r="D5691">
        <v>0.99505588601992001</v>
      </c>
      <c r="E5691">
        <v>0.74841713190987502</v>
      </c>
      <c r="F5691">
        <v>0.68113490513699504</v>
      </c>
      <c r="G5691">
        <v>0.43448243694153399</v>
      </c>
      <c r="H5691">
        <v>0.37128353592485702</v>
      </c>
      <c r="I5691">
        <v>0.37898723942582901</v>
      </c>
      <c r="J5691">
        <v>0.360827886346342</v>
      </c>
      <c r="K5691">
        <v>0.277168351924722</v>
      </c>
      <c r="L5691">
        <v>907.27347183947199</v>
      </c>
      <c r="M5691">
        <v>17.2343934062594</v>
      </c>
      <c r="N5691">
        <v>55.875388572972803</v>
      </c>
      <c r="O5691">
        <v>51.949770691233198</v>
      </c>
      <c r="P5691">
        <v>-5.6774376675786303E-2</v>
      </c>
      <c r="Q5691">
        <v>0.31549835513091001</v>
      </c>
      <c r="R5691">
        <v>0.984388996903652</v>
      </c>
      <c r="S5691" t="s">
        <v>11976</v>
      </c>
      <c r="T5691" t="s">
        <v>12568</v>
      </c>
      <c r="U5691" t="s">
        <v>12568</v>
      </c>
      <c r="V5691" t="s">
        <v>12568</v>
      </c>
      <c r="W5691" t="s">
        <v>18207</v>
      </c>
      <c r="X5691">
        <v>12</v>
      </c>
      <c r="Y5691" t="s">
        <v>24296</v>
      </c>
      <c r="Z5691" t="s">
        <v>30561</v>
      </c>
      <c r="AA5691">
        <v>0.61607595488562739</v>
      </c>
      <c r="AB5691" t="str">
        <f>HYPERLINK("Melting_Curves/meltCurve_Q9NZ52_GGA3.pdf", "Melting_Curves/meltCurve_Q9NZ52_GGA3.pdf")</f>
        <v>Melting_Curves/meltCurve_Q9NZ52_GGA3.pdf</v>
      </c>
    </row>
    <row r="5692" spans="1:28" x14ac:dyDescent="0.25">
      <c r="A5692" t="s">
        <v>5696</v>
      </c>
      <c r="B5692">
        <v>0.99352677808782597</v>
      </c>
      <c r="C5692">
        <v>0.98472158976526603</v>
      </c>
      <c r="D5692">
        <v>0.989167020631184</v>
      </c>
      <c r="E5692">
        <v>1.0118743213299599</v>
      </c>
      <c r="F5692">
        <v>0.90831413573349795</v>
      </c>
      <c r="G5692">
        <v>0.83094075365558495</v>
      </c>
      <c r="H5692">
        <v>0.74048214615024999</v>
      </c>
      <c r="I5692">
        <v>0.75573783849632903</v>
      </c>
      <c r="J5692">
        <v>0.80446663585491196</v>
      </c>
      <c r="K5692">
        <v>0.66688808462664495</v>
      </c>
      <c r="L5692">
        <v>1279.8057111230601</v>
      </c>
      <c r="M5692">
        <v>23.141961195975298</v>
      </c>
      <c r="O5692">
        <v>54.8944019381819</v>
      </c>
      <c r="P5692">
        <v>-2.8286622434254699E-2</v>
      </c>
      <c r="Q5692">
        <v>0.73161324425525798</v>
      </c>
      <c r="R5692">
        <v>0.91811019322852405</v>
      </c>
      <c r="S5692" t="s">
        <v>11977</v>
      </c>
      <c r="T5692" t="s">
        <v>12568</v>
      </c>
      <c r="U5692" t="s">
        <v>12568</v>
      </c>
      <c r="V5692" t="s">
        <v>12568</v>
      </c>
      <c r="W5692" t="s">
        <v>18208</v>
      </c>
      <c r="X5692">
        <v>13</v>
      </c>
      <c r="Y5692" t="s">
        <v>24297</v>
      </c>
      <c r="Z5692" t="s">
        <v>30562</v>
      </c>
      <c r="AA5692">
        <v>0.87133617947174424</v>
      </c>
      <c r="AB5692" t="str">
        <f>HYPERLINK("Melting_Curves/meltCurve_Q9NZ63_C9orf78.pdf", "Melting_Curves/meltCurve_Q9NZ63_C9orf78.pdf")</f>
        <v>Melting_Curves/meltCurve_Q9NZ63_C9orf78.pdf</v>
      </c>
    </row>
    <row r="5693" spans="1:28" x14ac:dyDescent="0.25">
      <c r="A5693" t="s">
        <v>5697</v>
      </c>
      <c r="B5693">
        <v>0.99352677808782597</v>
      </c>
      <c r="C5693">
        <v>0.92820283588436103</v>
      </c>
      <c r="D5693">
        <v>1.0056793120166401</v>
      </c>
      <c r="E5693">
        <v>0.95158729502594797</v>
      </c>
      <c r="F5693">
        <v>0.82348956909415105</v>
      </c>
      <c r="G5693">
        <v>0.75686523852911503</v>
      </c>
      <c r="H5693">
        <v>0.61754068534542095</v>
      </c>
      <c r="I5693">
        <v>0.61236228125815795</v>
      </c>
      <c r="J5693">
        <v>0.66037086451313298</v>
      </c>
      <c r="K5693">
        <v>0.593210678138678</v>
      </c>
      <c r="L5693">
        <v>1009.3105822403001</v>
      </c>
      <c r="M5693">
        <v>18.551481889325899</v>
      </c>
      <c r="O5693">
        <v>53.785572119767899</v>
      </c>
      <c r="P5693">
        <v>-3.4155999182918999E-2</v>
      </c>
      <c r="Q5693">
        <v>0.60390884155412505</v>
      </c>
      <c r="R5693">
        <v>0.95688098837106805</v>
      </c>
      <c r="S5693" t="s">
        <v>11978</v>
      </c>
      <c r="T5693" t="s">
        <v>12568</v>
      </c>
      <c r="U5693" t="s">
        <v>12568</v>
      </c>
      <c r="V5693" t="s">
        <v>12568</v>
      </c>
      <c r="W5693" t="s">
        <v>18209</v>
      </c>
      <c r="X5693">
        <v>11</v>
      </c>
      <c r="Y5693" t="s">
        <v>24298</v>
      </c>
      <c r="Z5693" t="s">
        <v>30563</v>
      </c>
      <c r="AA5693">
        <v>0.80010324120634813</v>
      </c>
      <c r="AB5693" t="str">
        <f>HYPERLINK("Melting_Curves/meltCurve_Q9NZB2_FAM120A.pdf", "Melting_Curves/meltCurve_Q9NZB2_FAM120A.pdf")</f>
        <v>Melting_Curves/meltCurve_Q9NZB2_FAM120A.pdf</v>
      </c>
    </row>
    <row r="5694" spans="1:28" x14ac:dyDescent="0.25">
      <c r="A5694" t="s">
        <v>5698</v>
      </c>
      <c r="B5694">
        <v>0.99352677808782597</v>
      </c>
      <c r="C5694">
        <v>0.87895178926028406</v>
      </c>
      <c r="D5694">
        <v>0.82082881834144705</v>
      </c>
      <c r="E5694">
        <v>0.63350015038359697</v>
      </c>
      <c r="F5694">
        <v>0.56289671617560599</v>
      </c>
      <c r="G5694">
        <v>0.53427864769483002</v>
      </c>
      <c r="H5694">
        <v>0.45533857429227198</v>
      </c>
      <c r="I5694">
        <v>0.50980525500892504</v>
      </c>
      <c r="J5694">
        <v>0.47896616959248001</v>
      </c>
      <c r="K5694">
        <v>0.42573363786951601</v>
      </c>
      <c r="L5694">
        <v>659.82652916033499</v>
      </c>
      <c r="M5694">
        <v>13.799476462022501</v>
      </c>
      <c r="N5694">
        <v>58.044631762708597</v>
      </c>
      <c r="O5694">
        <v>46.844745011322402</v>
      </c>
      <c r="P5694">
        <v>-4.0063526110454502E-2</v>
      </c>
      <c r="Q5694">
        <v>0.456065464975416</v>
      </c>
      <c r="R5694">
        <v>0.98146614893008</v>
      </c>
      <c r="S5694" t="s">
        <v>11979</v>
      </c>
      <c r="T5694" t="s">
        <v>12568</v>
      </c>
      <c r="U5694" t="s">
        <v>12568</v>
      </c>
      <c r="V5694" t="s">
        <v>12568</v>
      </c>
      <c r="W5694" t="s">
        <v>18210</v>
      </c>
      <c r="X5694">
        <v>6</v>
      </c>
      <c r="Y5694" t="s">
        <v>24299</v>
      </c>
      <c r="Z5694" t="s">
        <v>30564</v>
      </c>
      <c r="AA5694">
        <v>0.61439856979087126</v>
      </c>
      <c r="AB5694" t="str">
        <f>HYPERLINK("Melting_Curves/meltCurve_Q9NZC9_SMARCAL1.pdf", "Melting_Curves/meltCurve_Q9NZC9_SMARCAL1.pdf")</f>
        <v>Melting_Curves/meltCurve_Q9NZC9_SMARCAL1.pdf</v>
      </c>
    </row>
    <row r="5695" spans="1:28" x14ac:dyDescent="0.25">
      <c r="A5695" t="s">
        <v>5699</v>
      </c>
      <c r="B5695">
        <v>0.99352677808782597</v>
      </c>
      <c r="C5695">
        <v>0.942557958680315</v>
      </c>
      <c r="D5695">
        <v>0.97911481967705705</v>
      </c>
      <c r="E5695">
        <v>0.70606202541186902</v>
      </c>
      <c r="F5695">
        <v>0.60085162598061803</v>
      </c>
      <c r="G5695">
        <v>0.33814535671038898</v>
      </c>
      <c r="H5695">
        <v>0.116946840926476</v>
      </c>
      <c r="I5695">
        <v>0.11609369537848301</v>
      </c>
      <c r="J5695">
        <v>8.87827758536478E-2</v>
      </c>
      <c r="K5695">
        <v>7.3317559131876597E-2</v>
      </c>
      <c r="L5695">
        <v>813.36648188332504</v>
      </c>
      <c r="M5695">
        <v>15.145067214191499</v>
      </c>
      <c r="N5695">
        <v>53.951880825146503</v>
      </c>
      <c r="O5695">
        <v>52.794830667374399</v>
      </c>
      <c r="P5695">
        <v>-6.9322894235571406E-2</v>
      </c>
      <c r="Q5695">
        <v>3.3471606654751698E-2</v>
      </c>
      <c r="R5695">
        <v>0.99158209401337105</v>
      </c>
      <c r="S5695" t="s">
        <v>11980</v>
      </c>
      <c r="T5695" t="s">
        <v>12568</v>
      </c>
      <c r="U5695" t="s">
        <v>12568</v>
      </c>
      <c r="V5695" t="s">
        <v>12568</v>
      </c>
      <c r="W5695" t="s">
        <v>18211</v>
      </c>
      <c r="X5695">
        <v>6</v>
      </c>
      <c r="Y5695" t="s">
        <v>24300</v>
      </c>
      <c r="Z5695" t="s">
        <v>30565</v>
      </c>
      <c r="AA5695">
        <v>0.49490298193554222</v>
      </c>
      <c r="AB5695" t="str">
        <f>HYPERLINK("Melting_Curves/meltCurve_Q9NZD2_GLTP.pdf", "Melting_Curves/meltCurve_Q9NZD2_GLTP.pdf")</f>
        <v>Melting_Curves/meltCurve_Q9NZD2_GLTP.pdf</v>
      </c>
    </row>
    <row r="5696" spans="1:28" x14ac:dyDescent="0.25">
      <c r="A5696" t="s">
        <v>5700</v>
      </c>
      <c r="B5696">
        <v>0.99352677808782597</v>
      </c>
      <c r="C5696">
        <v>0.90752175279380998</v>
      </c>
      <c r="D5696">
        <v>0.85095035387878903</v>
      </c>
      <c r="E5696">
        <v>0.35152438420464599</v>
      </c>
      <c r="F5696">
        <v>0.33614061863745698</v>
      </c>
      <c r="G5696">
        <v>0.204451602236501</v>
      </c>
      <c r="H5696">
        <v>0.19690583019150801</v>
      </c>
      <c r="I5696">
        <v>0.12693721930378199</v>
      </c>
      <c r="J5696">
        <v>7.3239449196000395E-2</v>
      </c>
      <c r="K5696">
        <v>5.3513201511653702E-2</v>
      </c>
      <c r="L5696">
        <v>898.59970119818399</v>
      </c>
      <c r="M5696">
        <v>18.435012934223899</v>
      </c>
      <c r="N5696">
        <v>49.4173564096699</v>
      </c>
      <c r="O5696">
        <v>48.181474275263099</v>
      </c>
      <c r="P5696">
        <v>-8.5036711837248799E-2</v>
      </c>
      <c r="Q5696">
        <v>0.111037145622305</v>
      </c>
      <c r="R5696">
        <v>0.97385182041164697</v>
      </c>
      <c r="S5696" t="s">
        <v>11981</v>
      </c>
      <c r="T5696" t="s">
        <v>12568</v>
      </c>
      <c r="U5696" t="s">
        <v>12568</v>
      </c>
      <c r="V5696" t="s">
        <v>12568</v>
      </c>
      <c r="W5696" t="s">
        <v>18212</v>
      </c>
      <c r="X5696">
        <v>1</v>
      </c>
      <c r="Y5696" t="s">
        <v>24301</v>
      </c>
      <c r="Z5696" t="s">
        <v>30566</v>
      </c>
      <c r="AA5696">
        <v>0.38489216871230009</v>
      </c>
      <c r="AB5696" t="str">
        <f>HYPERLINK("Melting_Curves/meltCurve_Q9NZD8_2_SPG21.pdf", "Melting_Curves/meltCurve_Q9NZD8_2_SPG21.pdf")</f>
        <v>Melting_Curves/meltCurve_Q9NZD8_2_SPG21.pdf</v>
      </c>
    </row>
    <row r="5697" spans="1:28" x14ac:dyDescent="0.25">
      <c r="A5697" t="s">
        <v>5701</v>
      </c>
      <c r="B5697">
        <v>0.99352677808782597</v>
      </c>
      <c r="C5697">
        <v>0.90476516670115004</v>
      </c>
      <c r="D5697">
        <v>0.95061371376798698</v>
      </c>
      <c r="E5697">
        <v>0.55261193973885303</v>
      </c>
      <c r="F5697">
        <v>0.50301990492398096</v>
      </c>
      <c r="G5697">
        <v>0.33283610895336302</v>
      </c>
      <c r="H5697">
        <v>0.24912231750706501</v>
      </c>
      <c r="I5697">
        <v>0.21158622462927701</v>
      </c>
      <c r="J5697">
        <v>0.18295496675599901</v>
      </c>
      <c r="K5697">
        <v>0.15320569780087201</v>
      </c>
      <c r="L5697">
        <v>726.67819306768695</v>
      </c>
      <c r="M5697">
        <v>14.2337174562758</v>
      </c>
      <c r="N5697">
        <v>52.476512840088603</v>
      </c>
      <c r="O5697">
        <v>50.077286946533398</v>
      </c>
      <c r="P5697">
        <v>-5.9687853840440702E-2</v>
      </c>
      <c r="Q5697">
        <v>0.16012522267808399</v>
      </c>
      <c r="R5697">
        <v>0.97886843963001502</v>
      </c>
      <c r="S5697" t="s">
        <v>11982</v>
      </c>
      <c r="T5697" t="s">
        <v>12568</v>
      </c>
      <c r="U5697" t="s">
        <v>12568</v>
      </c>
      <c r="V5697" t="s">
        <v>12568</v>
      </c>
      <c r="W5697" t="s">
        <v>18213</v>
      </c>
      <c r="X5697">
        <v>15</v>
      </c>
      <c r="Y5697" t="s">
        <v>24302</v>
      </c>
      <c r="Z5697" t="s">
        <v>30567</v>
      </c>
      <c r="AA5697">
        <v>0.49066421738934263</v>
      </c>
      <c r="AB5697" t="str">
        <f>HYPERLINK("Melting_Curves/meltCurve_Q9NZI8_IGF2BP1.pdf", "Melting_Curves/meltCurve_Q9NZI8_IGF2BP1.pdf")</f>
        <v>Melting_Curves/meltCurve_Q9NZI8_IGF2BP1.pdf</v>
      </c>
    </row>
    <row r="5698" spans="1:28" x14ac:dyDescent="0.25">
      <c r="A5698" t="s">
        <v>5702</v>
      </c>
      <c r="B5698">
        <v>0.99352677808782597</v>
      </c>
      <c r="C5698">
        <v>0.99106635513405195</v>
      </c>
      <c r="D5698">
        <v>0.91842476516154203</v>
      </c>
      <c r="E5698">
        <v>0.52679320670946295</v>
      </c>
      <c r="F5698">
        <v>0.45004461402102702</v>
      </c>
      <c r="G5698">
        <v>0.247839697225919</v>
      </c>
      <c r="H5698">
        <v>0.17618421270207499</v>
      </c>
      <c r="I5698">
        <v>0.17380064583090599</v>
      </c>
      <c r="J5698">
        <v>0.14711574167097899</v>
      </c>
      <c r="K5698">
        <v>0.10712867364395801</v>
      </c>
      <c r="L5698">
        <v>885.69565779449294</v>
      </c>
      <c r="M5698">
        <v>17.536507598994</v>
      </c>
      <c r="N5698">
        <v>51.431714430451201</v>
      </c>
      <c r="O5698">
        <v>49.862788718857402</v>
      </c>
      <c r="P5698">
        <v>-7.6026611585702703E-2</v>
      </c>
      <c r="Q5698">
        <v>0.13535998534591001</v>
      </c>
      <c r="R5698">
        <v>0.98860862072796296</v>
      </c>
      <c r="S5698" t="s">
        <v>11983</v>
      </c>
      <c r="T5698" t="s">
        <v>12568</v>
      </c>
      <c r="U5698" t="s">
        <v>12568</v>
      </c>
      <c r="V5698" t="s">
        <v>12568</v>
      </c>
      <c r="W5698" t="s">
        <v>18214</v>
      </c>
      <c r="X5698">
        <v>6</v>
      </c>
      <c r="Y5698" t="s">
        <v>24303</v>
      </c>
      <c r="Z5698" t="s">
        <v>30568</v>
      </c>
      <c r="AA5698">
        <v>0.45352616793960432</v>
      </c>
      <c r="AB5698" t="str">
        <f>HYPERLINK("Melting_Curves/meltCurve_Q9NZJ9_NUDT4.pdf", "Melting_Curves/meltCurve_Q9NZJ9_NUDT4.pdf")</f>
        <v>Melting_Curves/meltCurve_Q9NZJ9_NUDT4.pdf</v>
      </c>
    </row>
    <row r="5699" spans="1:28" x14ac:dyDescent="0.25">
      <c r="A5699" t="s">
        <v>5703</v>
      </c>
      <c r="B5699">
        <v>0.99352677808782597</v>
      </c>
      <c r="C5699">
        <v>0.91062284691956796</v>
      </c>
      <c r="D5699">
        <v>0.84187172393170395</v>
      </c>
      <c r="E5699">
        <v>0.41658651369990901</v>
      </c>
      <c r="F5699">
        <v>0.468047940975168</v>
      </c>
      <c r="G5699">
        <v>0.19514921374532901</v>
      </c>
      <c r="H5699">
        <v>0.118454244671262</v>
      </c>
      <c r="I5699">
        <v>0.114754528966671</v>
      </c>
      <c r="J5699">
        <v>8.8142251737693106E-2</v>
      </c>
      <c r="K5699">
        <v>7.4081147333426897E-2</v>
      </c>
      <c r="L5699">
        <v>692.04535418236605</v>
      </c>
      <c r="M5699">
        <v>13.815153801175001</v>
      </c>
      <c r="N5699">
        <v>50.574638904511602</v>
      </c>
      <c r="O5699">
        <v>49.078612648117598</v>
      </c>
      <c r="P5699">
        <v>-6.6045799986669304E-2</v>
      </c>
      <c r="Q5699">
        <v>6.1614644094308703E-2</v>
      </c>
      <c r="R5699">
        <v>0.97536339369136105</v>
      </c>
      <c r="S5699" t="s">
        <v>11984</v>
      </c>
      <c r="T5699" t="s">
        <v>12568</v>
      </c>
      <c r="U5699" t="s">
        <v>12568</v>
      </c>
      <c r="V5699" t="s">
        <v>12568</v>
      </c>
      <c r="W5699" t="s">
        <v>18215</v>
      </c>
      <c r="X5699">
        <v>5</v>
      </c>
      <c r="Y5699" t="s">
        <v>24303</v>
      </c>
      <c r="Z5699" t="s">
        <v>30569</v>
      </c>
      <c r="AA5699">
        <v>0.40303799074691482</v>
      </c>
      <c r="AB5699" t="str">
        <f>HYPERLINK("Melting_Curves/meltCurve_Q9NZJ9_2_NUDT4.pdf", "Melting_Curves/meltCurve_Q9NZJ9_2_NUDT4.pdf")</f>
        <v>Melting_Curves/meltCurve_Q9NZJ9_2_NUDT4.pdf</v>
      </c>
    </row>
    <row r="5700" spans="1:28" x14ac:dyDescent="0.25">
      <c r="A5700" t="s">
        <v>5704</v>
      </c>
      <c r="B5700">
        <v>0.99352677808782597</v>
      </c>
      <c r="C5700">
        <v>1.02390785312954</v>
      </c>
      <c r="D5700">
        <v>0.93534976081089005</v>
      </c>
      <c r="E5700">
        <v>0.752347627871925</v>
      </c>
      <c r="F5700">
        <v>0.65910578923595098</v>
      </c>
      <c r="G5700">
        <v>0.28163761861747899</v>
      </c>
      <c r="H5700">
        <v>0.14254008909341701</v>
      </c>
      <c r="I5700">
        <v>0.12679885967034199</v>
      </c>
      <c r="J5700">
        <v>0.101885351052974</v>
      </c>
      <c r="K5700">
        <v>7.3272675199008E-2</v>
      </c>
      <c r="L5700">
        <v>940.35342991255095</v>
      </c>
      <c r="M5700">
        <v>17.476102972230201</v>
      </c>
      <c r="N5700">
        <v>54.191447898541199</v>
      </c>
      <c r="O5700">
        <v>53.1182375077206</v>
      </c>
      <c r="P5700">
        <v>-7.7471345751483595E-2</v>
      </c>
      <c r="Q5700">
        <v>5.8162166718922798E-2</v>
      </c>
      <c r="R5700">
        <v>0.99258168353653797</v>
      </c>
      <c r="S5700" t="s">
        <v>11985</v>
      </c>
      <c r="T5700" t="s">
        <v>12568</v>
      </c>
      <c r="U5700" t="s">
        <v>12568</v>
      </c>
      <c r="V5700" t="s">
        <v>12568</v>
      </c>
      <c r="W5700" t="s">
        <v>12798</v>
      </c>
      <c r="X5700">
        <v>13</v>
      </c>
      <c r="Y5700" t="s">
        <v>19028</v>
      </c>
      <c r="Z5700" t="s">
        <v>30570</v>
      </c>
      <c r="AA5700">
        <v>0.50748569915698105</v>
      </c>
      <c r="AB5700" t="str">
        <f>HYPERLINK("Melting_Curves/meltCurve_Q9NZL4_HSPBP1.pdf", "Melting_Curves/meltCurve_Q9NZL4_HSPBP1.pdf")</f>
        <v>Melting_Curves/meltCurve_Q9NZL4_HSPBP1.pdf</v>
      </c>
    </row>
    <row r="5701" spans="1:28" x14ac:dyDescent="0.25">
      <c r="A5701" t="s">
        <v>5705</v>
      </c>
      <c r="B5701">
        <v>0.99352677808782597</v>
      </c>
      <c r="C5701">
        <v>1.0342776376171301</v>
      </c>
      <c r="D5701">
        <v>0.87676693285298601</v>
      </c>
      <c r="E5701">
        <v>0.70181001237688501</v>
      </c>
      <c r="F5701">
        <v>0.58610113098705496</v>
      </c>
      <c r="G5701">
        <v>0.335694685021935</v>
      </c>
      <c r="H5701">
        <v>0.14011157597553101</v>
      </c>
      <c r="I5701">
        <v>0.113397553735721</v>
      </c>
      <c r="J5701">
        <v>8.6489588820946206E-2</v>
      </c>
      <c r="K5701">
        <v>6.6138087744284604E-2</v>
      </c>
      <c r="L5701">
        <v>728.95156433964496</v>
      </c>
      <c r="M5701">
        <v>13.5801004444327</v>
      </c>
      <c r="N5701">
        <v>53.808274554469797</v>
      </c>
      <c r="O5701">
        <v>52.554071298848399</v>
      </c>
      <c r="P5701">
        <v>-6.3564763485599807E-2</v>
      </c>
      <c r="Q5701">
        <v>1.6181257625220699E-2</v>
      </c>
      <c r="R5701">
        <v>0.99323143869713204</v>
      </c>
      <c r="S5701" t="s">
        <v>11986</v>
      </c>
      <c r="T5701" t="s">
        <v>12568</v>
      </c>
      <c r="U5701" t="s">
        <v>12568</v>
      </c>
      <c r="V5701" t="s">
        <v>12568</v>
      </c>
      <c r="W5701" t="s">
        <v>18216</v>
      </c>
      <c r="X5701">
        <v>16</v>
      </c>
      <c r="Y5701" t="s">
        <v>24304</v>
      </c>
      <c r="Z5701" t="s">
        <v>30571</v>
      </c>
      <c r="AA5701">
        <v>0.4879153186195801</v>
      </c>
      <c r="AB5701" t="str">
        <f>HYPERLINK("Melting_Curves/meltCurve_Q9NZL9_MAT2B.pdf", "Melting_Curves/meltCurve_Q9NZL9_MAT2B.pdf")</f>
        <v>Melting_Curves/meltCurve_Q9NZL9_MAT2B.pdf</v>
      </c>
    </row>
    <row r="5702" spans="1:28" x14ac:dyDescent="0.25">
      <c r="A5702" t="s">
        <v>5706</v>
      </c>
      <c r="B5702">
        <v>0.99352677808782597</v>
      </c>
      <c r="C5702">
        <v>0.93592294479204496</v>
      </c>
      <c r="D5702">
        <v>0.96052459567316895</v>
      </c>
      <c r="E5702">
        <v>0.72280198147880503</v>
      </c>
      <c r="F5702">
        <v>0.62631661713587095</v>
      </c>
      <c r="G5702">
        <v>0.47957671823825199</v>
      </c>
      <c r="H5702">
        <v>0.35954178117977098</v>
      </c>
      <c r="I5702">
        <v>0.33850330644694598</v>
      </c>
      <c r="J5702">
        <v>0.30771173487965298</v>
      </c>
      <c r="K5702">
        <v>0.22676206279008901</v>
      </c>
      <c r="L5702">
        <v>634.79203780429702</v>
      </c>
      <c r="M5702">
        <v>11.879635678814299</v>
      </c>
      <c r="N5702">
        <v>56.176204350907</v>
      </c>
      <c r="O5702">
        <v>51.988633273728198</v>
      </c>
      <c r="P5702">
        <v>-4.4572796919322699E-2</v>
      </c>
      <c r="Q5702">
        <v>0.219943057776571</v>
      </c>
      <c r="R5702">
        <v>0.98938979377534597</v>
      </c>
      <c r="S5702" t="s">
        <v>11987</v>
      </c>
      <c r="T5702" t="s">
        <v>12568</v>
      </c>
      <c r="U5702" t="s">
        <v>12568</v>
      </c>
      <c r="V5702" t="s">
        <v>12568</v>
      </c>
      <c r="W5702" t="s">
        <v>18217</v>
      </c>
      <c r="X5702">
        <v>4</v>
      </c>
      <c r="Y5702" t="s">
        <v>24305</v>
      </c>
      <c r="Z5702" t="s">
        <v>30572</v>
      </c>
      <c r="AA5702">
        <v>0.59094569836953958</v>
      </c>
      <c r="AB5702" t="str">
        <f>HYPERLINK("Melting_Curves/meltCurve_Q9NZM1_6_MYOF.pdf", "Melting_Curves/meltCurve_Q9NZM1_6_MYOF.pdf")</f>
        <v>Melting_Curves/meltCurve_Q9NZM1_6_MYOF.pdf</v>
      </c>
    </row>
    <row r="5703" spans="1:28" x14ac:dyDescent="0.25">
      <c r="A5703" t="s">
        <v>5707</v>
      </c>
      <c r="B5703">
        <v>0.99352677808782597</v>
      </c>
      <c r="C5703">
        <v>0.98332409809878196</v>
      </c>
      <c r="D5703">
        <v>0.97139226673862</v>
      </c>
      <c r="E5703">
        <v>0.57131872996336597</v>
      </c>
      <c r="F5703">
        <v>0.46472079585640202</v>
      </c>
      <c r="G5703">
        <v>0.29228846838371197</v>
      </c>
      <c r="H5703">
        <v>0.19291512298341501</v>
      </c>
      <c r="I5703">
        <v>0.154634752946747</v>
      </c>
      <c r="J5703">
        <v>0.14354306502476299</v>
      </c>
      <c r="K5703">
        <v>0.114323157022375</v>
      </c>
      <c r="L5703">
        <v>886.46123988891804</v>
      </c>
      <c r="M5703">
        <v>17.328850499507599</v>
      </c>
      <c r="N5703">
        <v>52.082236226491602</v>
      </c>
      <c r="O5703">
        <v>50.488563232305303</v>
      </c>
      <c r="P5703">
        <v>-7.4423481752122406E-2</v>
      </c>
      <c r="Q5703">
        <v>0.13270200919216099</v>
      </c>
      <c r="R5703">
        <v>0.98726370239886896</v>
      </c>
      <c r="S5703" t="s">
        <v>11988</v>
      </c>
      <c r="T5703" t="s">
        <v>12568</v>
      </c>
      <c r="U5703" t="s">
        <v>12568</v>
      </c>
      <c r="V5703" t="s">
        <v>12568</v>
      </c>
      <c r="W5703" t="s">
        <v>18218</v>
      </c>
      <c r="X5703">
        <v>16</v>
      </c>
      <c r="Y5703" t="s">
        <v>24306</v>
      </c>
      <c r="Z5703" t="s">
        <v>30573</v>
      </c>
      <c r="AA5703">
        <v>0.47080307678322247</v>
      </c>
      <c r="AB5703" t="str">
        <f>HYPERLINK("Melting_Curves/meltCurve_Q9NZM3_2_ITSN2.pdf", "Melting_Curves/meltCurve_Q9NZM3_2_ITSN2.pdf")</f>
        <v>Melting_Curves/meltCurve_Q9NZM3_2_ITSN2.pdf</v>
      </c>
    </row>
    <row r="5704" spans="1:28" x14ac:dyDescent="0.25">
      <c r="A5704" t="s">
        <v>5708</v>
      </c>
      <c r="B5704">
        <v>0.99352677808782597</v>
      </c>
      <c r="C5704">
        <v>0.99053660718195802</v>
      </c>
      <c r="D5704">
        <v>0.65052796604464003</v>
      </c>
      <c r="E5704">
        <v>0.42635828440353502</v>
      </c>
      <c r="F5704">
        <v>0.28738647999338901</v>
      </c>
      <c r="G5704">
        <v>0.20478110228731999</v>
      </c>
      <c r="H5704">
        <v>0.120852608617946</v>
      </c>
      <c r="I5704">
        <v>0.108598409781219</v>
      </c>
      <c r="J5704">
        <v>0.114738906290507</v>
      </c>
      <c r="K5704">
        <v>7.2892780494166795E-2</v>
      </c>
      <c r="L5704">
        <v>793.97698768427597</v>
      </c>
      <c r="M5704">
        <v>16.450969375028201</v>
      </c>
      <c r="N5704">
        <v>48.927155729122703</v>
      </c>
      <c r="O5704">
        <v>47.566995711359297</v>
      </c>
      <c r="P5704">
        <v>-7.7818284372695098E-2</v>
      </c>
      <c r="Q5704">
        <v>0.100035750455504</v>
      </c>
      <c r="R5704">
        <v>0.98516934462931804</v>
      </c>
      <c r="S5704" t="s">
        <v>11989</v>
      </c>
      <c r="T5704" t="s">
        <v>12568</v>
      </c>
      <c r="U5704" t="s">
        <v>12568</v>
      </c>
      <c r="V5704" t="s">
        <v>12568</v>
      </c>
      <c r="W5704" t="s">
        <v>18219</v>
      </c>
      <c r="X5704">
        <v>2</v>
      </c>
      <c r="Y5704" t="s">
        <v>24307</v>
      </c>
      <c r="Z5704" t="s">
        <v>30574</v>
      </c>
      <c r="AA5704">
        <v>0.3669688976096262</v>
      </c>
      <c r="AB5704" t="str">
        <f>HYPERLINK("Melting_Curves/meltCurve_Q9NZM4_2_GLTSCR1.pdf", "Melting_Curves/meltCurve_Q9NZM4_2_GLTSCR1.pdf")</f>
        <v>Melting_Curves/meltCurve_Q9NZM4_2_GLTSCR1.pdf</v>
      </c>
    </row>
    <row r="5705" spans="1:28" x14ac:dyDescent="0.25">
      <c r="A5705" t="s">
        <v>5709</v>
      </c>
      <c r="B5705">
        <v>0.99352677808782597</v>
      </c>
      <c r="C5705">
        <v>0.95970784404831899</v>
      </c>
      <c r="D5705">
        <v>0.86356693536193996</v>
      </c>
      <c r="E5705">
        <v>0.28398273480031599</v>
      </c>
      <c r="F5705">
        <v>0.217313004148568</v>
      </c>
      <c r="G5705">
        <v>0.14598143241553299</v>
      </c>
      <c r="H5705">
        <v>0.116392248986269</v>
      </c>
      <c r="I5705">
        <v>0.113962114872947</v>
      </c>
      <c r="J5705">
        <v>0.10155752638035601</v>
      </c>
      <c r="K5705">
        <v>6.9696925309194593E-2</v>
      </c>
      <c r="L5705">
        <v>1607.92352142703</v>
      </c>
      <c r="M5705">
        <v>33.4079605035882</v>
      </c>
      <c r="N5705">
        <v>48.513964111766597</v>
      </c>
      <c r="O5705">
        <v>47.958483878689997</v>
      </c>
      <c r="P5705">
        <v>-0.15391787593102901</v>
      </c>
      <c r="Q5705">
        <v>0.11618237403861</v>
      </c>
      <c r="R5705">
        <v>0.99354409296336299</v>
      </c>
      <c r="S5705" t="s">
        <v>11990</v>
      </c>
      <c r="T5705" t="s">
        <v>12568</v>
      </c>
      <c r="U5705" t="s">
        <v>12568</v>
      </c>
      <c r="V5705" t="s">
        <v>12568</v>
      </c>
      <c r="W5705" t="s">
        <v>18220</v>
      </c>
      <c r="X5705">
        <v>16</v>
      </c>
      <c r="Y5705" t="s">
        <v>24308</v>
      </c>
      <c r="Z5705" t="s">
        <v>30575</v>
      </c>
      <c r="AA5705">
        <v>0.3599569332122099</v>
      </c>
      <c r="AB5705" t="str">
        <f>HYPERLINK("Melting_Curves/meltCurve_Q9NZN3_EHD3.pdf", "Melting_Curves/meltCurve_Q9NZN3_EHD3.pdf")</f>
        <v>Melting_Curves/meltCurve_Q9NZN3_EHD3.pdf</v>
      </c>
    </row>
    <row r="5706" spans="1:28" x14ac:dyDescent="0.25">
      <c r="A5706" t="s">
        <v>5710</v>
      </c>
      <c r="B5706">
        <v>0.99352677808782597</v>
      </c>
      <c r="C5706">
        <v>0.83316537866937002</v>
      </c>
      <c r="D5706">
        <v>0.47857365520434902</v>
      </c>
      <c r="E5706">
        <v>0.21362413332687299</v>
      </c>
      <c r="F5706">
        <v>0.15714579638203</v>
      </c>
      <c r="G5706">
        <v>9.1914162975449201E-2</v>
      </c>
      <c r="H5706">
        <v>6.0462345950023602E-2</v>
      </c>
      <c r="I5706">
        <v>6.4972342615597103E-2</v>
      </c>
      <c r="J5706">
        <v>4.6409132995566899E-2</v>
      </c>
      <c r="K5706">
        <v>3.5708350963654899E-2</v>
      </c>
      <c r="L5706">
        <v>954.124934305897</v>
      </c>
      <c r="M5706">
        <v>20.827498686634598</v>
      </c>
      <c r="N5706">
        <v>46.1060009916391</v>
      </c>
      <c r="O5706">
        <v>45.394776929169403</v>
      </c>
      <c r="P5706">
        <v>-0.107546083514122</v>
      </c>
      <c r="Q5706">
        <v>6.2413556861290402E-2</v>
      </c>
      <c r="R5706">
        <v>0.99468612223227304</v>
      </c>
      <c r="S5706" t="s">
        <v>11991</v>
      </c>
      <c r="T5706" t="s">
        <v>12568</v>
      </c>
      <c r="U5706" t="s">
        <v>12568</v>
      </c>
      <c r="V5706" t="s">
        <v>12568</v>
      </c>
      <c r="W5706" t="s">
        <v>18221</v>
      </c>
      <c r="X5706">
        <v>23</v>
      </c>
      <c r="Y5706" t="s">
        <v>24309</v>
      </c>
      <c r="Z5706" t="s">
        <v>30576</v>
      </c>
      <c r="AA5706">
        <v>0.2574041027450864</v>
      </c>
      <c r="AB5706" t="str">
        <f>HYPERLINK("Melting_Curves/meltCurve_Q9NZN4_EHD2.pdf", "Melting_Curves/meltCurve_Q9NZN4_EHD2.pdf")</f>
        <v>Melting_Curves/meltCurve_Q9NZN4_EHD2.pdf</v>
      </c>
    </row>
    <row r="5707" spans="1:28" x14ac:dyDescent="0.25">
      <c r="A5707" t="s">
        <v>5711</v>
      </c>
      <c r="B5707">
        <v>0.99352677808782597</v>
      </c>
      <c r="C5707">
        <v>0.98549338205258796</v>
      </c>
      <c r="D5707">
        <v>0.86521931423085496</v>
      </c>
      <c r="E5707">
        <v>0.56608387560884299</v>
      </c>
      <c r="F5707">
        <v>0.475690775760025</v>
      </c>
      <c r="G5707">
        <v>0.347966126508225</v>
      </c>
      <c r="H5707">
        <v>0.276060515094118</v>
      </c>
      <c r="I5707">
        <v>0.28232127520110201</v>
      </c>
      <c r="J5707">
        <v>0.26295172478487</v>
      </c>
      <c r="K5707">
        <v>0.22654314538687101</v>
      </c>
      <c r="L5707">
        <v>849.31423635787405</v>
      </c>
      <c r="M5707">
        <v>17.065072875729101</v>
      </c>
      <c r="N5707">
        <v>51.895280118273703</v>
      </c>
      <c r="O5707">
        <v>49.100806678216003</v>
      </c>
      <c r="P5707">
        <v>-6.5039961825332407E-2</v>
      </c>
      <c r="Q5707">
        <v>0.25149580094717999</v>
      </c>
      <c r="R5707">
        <v>0.99352719517091304</v>
      </c>
      <c r="S5707" t="s">
        <v>11992</v>
      </c>
      <c r="T5707" t="s">
        <v>12568</v>
      </c>
      <c r="U5707" t="s">
        <v>12568</v>
      </c>
      <c r="V5707" t="s">
        <v>12568</v>
      </c>
      <c r="W5707" t="s">
        <v>18222</v>
      </c>
      <c r="X5707">
        <v>19</v>
      </c>
      <c r="Y5707" t="s">
        <v>24310</v>
      </c>
      <c r="Z5707" t="s">
        <v>30577</v>
      </c>
      <c r="AA5707">
        <v>0.50941196558797885</v>
      </c>
      <c r="AB5707" t="str">
        <f>HYPERLINK("Melting_Curves/meltCurve_Q9NZN5_ARHGEF12.pdf", "Melting_Curves/meltCurve_Q9NZN5_ARHGEF12.pdf")</f>
        <v>Melting_Curves/meltCurve_Q9NZN5_ARHGEF12.pdf</v>
      </c>
    </row>
    <row r="5708" spans="1:28" x14ac:dyDescent="0.25">
      <c r="A5708" t="s">
        <v>5712</v>
      </c>
      <c r="B5708">
        <v>0.99352677808782597</v>
      </c>
      <c r="C5708">
        <v>0.98799067020267295</v>
      </c>
      <c r="D5708">
        <v>0.91797614714796505</v>
      </c>
      <c r="E5708">
        <v>0.62515425756327003</v>
      </c>
      <c r="F5708">
        <v>0.53772512345086299</v>
      </c>
      <c r="G5708">
        <v>0.36348817922696802</v>
      </c>
      <c r="H5708">
        <v>0.27869433919102499</v>
      </c>
      <c r="I5708">
        <v>0.29813864871934698</v>
      </c>
      <c r="J5708">
        <v>0.25940475812638403</v>
      </c>
      <c r="K5708">
        <v>0.23411318524378399</v>
      </c>
      <c r="L5708">
        <v>836.60510641788096</v>
      </c>
      <c r="M5708">
        <v>16.4417079165305</v>
      </c>
      <c r="N5708">
        <v>53.080708860227602</v>
      </c>
      <c r="O5708">
        <v>50.1482541162136</v>
      </c>
      <c r="P5708">
        <v>-6.17349923767119E-2</v>
      </c>
      <c r="Q5708">
        <v>0.24687048003513701</v>
      </c>
      <c r="R5708">
        <v>0.992486120542174</v>
      </c>
      <c r="S5708" t="s">
        <v>11993</v>
      </c>
      <c r="T5708" t="s">
        <v>12568</v>
      </c>
      <c r="U5708" t="s">
        <v>12568</v>
      </c>
      <c r="V5708" t="s">
        <v>12568</v>
      </c>
      <c r="W5708" t="s">
        <v>18223</v>
      </c>
      <c r="X5708">
        <v>12</v>
      </c>
      <c r="Y5708" t="s">
        <v>24311</v>
      </c>
      <c r="Z5708" t="s">
        <v>30578</v>
      </c>
      <c r="AA5708">
        <v>0.53501483698013019</v>
      </c>
      <c r="AB5708" t="str">
        <f>HYPERLINK("Melting_Curves/meltCurve_Q9NZN8_CNOT2.pdf", "Melting_Curves/meltCurve_Q9NZN8_CNOT2.pdf")</f>
        <v>Melting_Curves/meltCurve_Q9NZN8_CNOT2.pdf</v>
      </c>
    </row>
    <row r="5709" spans="1:28" x14ac:dyDescent="0.25">
      <c r="A5709" t="s">
        <v>5713</v>
      </c>
      <c r="B5709">
        <v>0.99352677808782597</v>
      </c>
      <c r="C5709">
        <v>0.94954835793334902</v>
      </c>
      <c r="D5709">
        <v>0.84994007229795399</v>
      </c>
      <c r="E5709">
        <v>0.28722354585350701</v>
      </c>
      <c r="F5709">
        <v>0.20938645765331099</v>
      </c>
      <c r="G5709">
        <v>9.3946411813901898E-2</v>
      </c>
      <c r="H5709">
        <v>5.6949492173182903E-2</v>
      </c>
      <c r="I5709">
        <v>4.1062970085806803E-2</v>
      </c>
      <c r="J5709">
        <v>2.8567802620317401E-2</v>
      </c>
      <c r="K5709">
        <v>2.1237645463670698E-2</v>
      </c>
      <c r="L5709">
        <v>1280.3259233529</v>
      </c>
      <c r="M5709">
        <v>26.421961497465801</v>
      </c>
      <c r="N5709">
        <v>48.6503937746782</v>
      </c>
      <c r="O5709">
        <v>48.181864361644998</v>
      </c>
      <c r="P5709">
        <v>-0.13025800608007601</v>
      </c>
      <c r="Q5709">
        <v>4.98804054233523E-2</v>
      </c>
      <c r="R5709">
        <v>0.99222469704585503</v>
      </c>
      <c r="S5709" t="s">
        <v>11994</v>
      </c>
      <c r="T5709" t="s">
        <v>12568</v>
      </c>
      <c r="U5709" t="s">
        <v>12568</v>
      </c>
      <c r="V5709" t="s">
        <v>12568</v>
      </c>
      <c r="W5709" t="s">
        <v>18224</v>
      </c>
      <c r="X5709">
        <v>6</v>
      </c>
      <c r="Y5709" t="s">
        <v>24312</v>
      </c>
      <c r="Z5709" t="s">
        <v>30579</v>
      </c>
      <c r="AA5709">
        <v>0.32519687615436382</v>
      </c>
      <c r="AB5709" t="str">
        <f>HYPERLINK("Melting_Curves/meltCurve_Q9NZQ3_3_NCKIPSD.pdf", "Melting_Curves/meltCurve_Q9NZQ3_3_NCKIPSD.pdf")</f>
        <v>Melting_Curves/meltCurve_Q9NZQ3_3_NCKIPSD.pdf</v>
      </c>
    </row>
    <row r="5710" spans="1:28" x14ac:dyDescent="0.25">
      <c r="A5710" t="s">
        <v>5714</v>
      </c>
      <c r="B5710">
        <v>0.99352677808782597</v>
      </c>
      <c r="C5710">
        <v>0.89856418822903195</v>
      </c>
      <c r="D5710">
        <v>0.79301303814675295</v>
      </c>
      <c r="E5710">
        <v>0.47117665629844102</v>
      </c>
      <c r="F5710">
        <v>0.42486046276984002</v>
      </c>
      <c r="G5710">
        <v>0.36964978749637201</v>
      </c>
      <c r="H5710">
        <v>0.32210786852777701</v>
      </c>
      <c r="I5710">
        <v>0.33991389922472198</v>
      </c>
      <c r="J5710">
        <v>0.29307265662760001</v>
      </c>
      <c r="K5710">
        <v>0.27178113130549703</v>
      </c>
      <c r="L5710">
        <v>868.16020296474096</v>
      </c>
      <c r="M5710">
        <v>18.2142174094549</v>
      </c>
      <c r="N5710">
        <v>50.289288349756497</v>
      </c>
      <c r="O5710">
        <v>47.100482431612903</v>
      </c>
      <c r="P5710">
        <v>-6.7019728585636804E-2</v>
      </c>
      <c r="Q5710">
        <v>0.306802437643447</v>
      </c>
      <c r="R5710">
        <v>0.98926336935009496</v>
      </c>
      <c r="S5710" t="s">
        <v>11995</v>
      </c>
      <c r="T5710" t="s">
        <v>12568</v>
      </c>
      <c r="U5710" t="s">
        <v>12568</v>
      </c>
      <c r="V5710" t="s">
        <v>12568</v>
      </c>
      <c r="W5710" t="s">
        <v>18225</v>
      </c>
      <c r="X5710">
        <v>15</v>
      </c>
      <c r="Y5710" t="s">
        <v>24313</v>
      </c>
      <c r="Z5710" t="s">
        <v>30580</v>
      </c>
      <c r="AA5710">
        <v>0.49601638349582261</v>
      </c>
      <c r="AB5710" t="str">
        <f>HYPERLINK("Melting_Curves/meltCurve_Q9NZT2_2_OGFR.pdf", "Melting_Curves/meltCurve_Q9NZT2_2_OGFR.pdf")</f>
        <v>Melting_Curves/meltCurve_Q9NZT2_2_OGFR.pdf</v>
      </c>
    </row>
    <row r="5711" spans="1:28" x14ac:dyDescent="0.25">
      <c r="A5711" t="s">
        <v>5715</v>
      </c>
      <c r="B5711">
        <v>0.99352677808782597</v>
      </c>
      <c r="C5711">
        <v>1.1864553715758701</v>
      </c>
      <c r="D5711">
        <v>1.1625644553493399</v>
      </c>
      <c r="E5711">
        <v>0.86296735357611098</v>
      </c>
      <c r="F5711">
        <v>0.86369615331924399</v>
      </c>
      <c r="G5711">
        <v>0.67232359587547896</v>
      </c>
      <c r="H5711">
        <v>0.63586219174866998</v>
      </c>
      <c r="I5711">
        <v>0.76399240178611905</v>
      </c>
      <c r="J5711">
        <v>0.84704792170982501</v>
      </c>
      <c r="K5711">
        <v>0.61587659546143503</v>
      </c>
      <c r="L5711">
        <v>1631.11781865684</v>
      </c>
      <c r="M5711">
        <v>31.4277273145747</v>
      </c>
      <c r="O5711">
        <v>51.691822594809103</v>
      </c>
      <c r="P5711">
        <v>-4.43290147080386E-2</v>
      </c>
      <c r="Q5711">
        <v>0.70835499230907695</v>
      </c>
      <c r="R5711">
        <v>0.70279060089842504</v>
      </c>
      <c r="S5711" t="s">
        <v>11996</v>
      </c>
      <c r="T5711" t="s">
        <v>12568</v>
      </c>
      <c r="U5711" t="s">
        <v>12568</v>
      </c>
      <c r="V5711" t="s">
        <v>12568</v>
      </c>
      <c r="W5711" t="s">
        <v>18226</v>
      </c>
      <c r="X5711">
        <v>1</v>
      </c>
      <c r="Y5711" t="s">
        <v>24314</v>
      </c>
      <c r="Z5711" t="s">
        <v>30581</v>
      </c>
      <c r="AA5711">
        <v>0.82574282638065921</v>
      </c>
      <c r="AB5711" t="str">
        <f>HYPERLINK("Melting_Curves/meltCurve_Q9NZU0_FLRT3.pdf", "Melting_Curves/meltCurve_Q9NZU0_FLRT3.pdf")</f>
        <v>Melting_Curves/meltCurve_Q9NZU0_FLRT3.pdf</v>
      </c>
    </row>
    <row r="5712" spans="1:28" x14ac:dyDescent="0.25">
      <c r="A5712" t="s">
        <v>5716</v>
      </c>
      <c r="B5712">
        <v>0.99352677808782597</v>
      </c>
      <c r="C5712">
        <v>0.86385751254955001</v>
      </c>
      <c r="D5712">
        <v>0.96005954770496804</v>
      </c>
      <c r="E5712">
        <v>0.44657851679580202</v>
      </c>
      <c r="F5712">
        <v>0.36937887977550699</v>
      </c>
      <c r="G5712">
        <v>0.15550042388551499</v>
      </c>
      <c r="H5712">
        <v>0.116119771696286</v>
      </c>
      <c r="I5712">
        <v>0.110109377688622</v>
      </c>
      <c r="J5712">
        <v>0.106225052394314</v>
      </c>
      <c r="K5712">
        <v>9.52958779071027E-2</v>
      </c>
      <c r="L5712">
        <v>1017.9655871961101</v>
      </c>
      <c r="M5712">
        <v>20.450651915866999</v>
      </c>
      <c r="N5712">
        <v>50.332150699891599</v>
      </c>
      <c r="O5712">
        <v>49.308079498026302</v>
      </c>
      <c r="P5712">
        <v>-9.3216512477134195E-2</v>
      </c>
      <c r="Q5712">
        <v>0.101018654631008</v>
      </c>
      <c r="R5712">
        <v>0.97457289594277496</v>
      </c>
      <c r="S5712" t="s">
        <v>11997</v>
      </c>
      <c r="T5712" t="s">
        <v>12568</v>
      </c>
      <c r="U5712" t="s">
        <v>12568</v>
      </c>
      <c r="V5712" t="s">
        <v>12568</v>
      </c>
      <c r="W5712" t="s">
        <v>18227</v>
      </c>
      <c r="X5712">
        <v>26</v>
      </c>
      <c r="Y5712" t="s">
        <v>24315</v>
      </c>
      <c r="Z5712" t="s">
        <v>30582</v>
      </c>
      <c r="AA5712">
        <v>0.40597524183102668</v>
      </c>
      <c r="AB5712" t="str">
        <f>HYPERLINK("Melting_Curves/meltCurve_Q9NZU5_LMCD1.pdf", "Melting_Curves/meltCurve_Q9NZU5_LMCD1.pdf")</f>
        <v>Melting_Curves/meltCurve_Q9NZU5_LMCD1.pdf</v>
      </c>
    </row>
    <row r="5713" spans="1:28" x14ac:dyDescent="0.25">
      <c r="A5713" t="s">
        <v>5717</v>
      </c>
      <c r="B5713">
        <v>0.99352677808782597</v>
      </c>
      <c r="C5713">
        <v>0.98056850999302303</v>
      </c>
      <c r="D5713">
        <v>0.94020536283142497</v>
      </c>
      <c r="E5713">
        <v>0.92638005718551497</v>
      </c>
      <c r="F5713">
        <v>0.86418878705813096</v>
      </c>
      <c r="G5713">
        <v>0.70813195907002102</v>
      </c>
      <c r="H5713">
        <v>0.83814607126364205</v>
      </c>
      <c r="I5713">
        <v>0.84322734349158301</v>
      </c>
      <c r="J5713">
        <v>1.1088799471923201</v>
      </c>
      <c r="K5713">
        <v>0.83072512321111602</v>
      </c>
      <c r="L5713">
        <v>1142.5336307361599</v>
      </c>
      <c r="M5713">
        <v>24.4250198632574</v>
      </c>
      <c r="O5713">
        <v>46.4670114699477</v>
      </c>
      <c r="P5713">
        <v>-1.7259882926234899E-2</v>
      </c>
      <c r="Q5713">
        <v>0.86865872638669395</v>
      </c>
      <c r="R5713">
        <v>0.20274721170073701</v>
      </c>
      <c r="S5713" t="s">
        <v>11998</v>
      </c>
      <c r="T5713" t="s">
        <v>12568</v>
      </c>
      <c r="U5713" t="s">
        <v>12568</v>
      </c>
      <c r="V5713" t="s">
        <v>12568</v>
      </c>
      <c r="W5713" t="s">
        <v>18228</v>
      </c>
      <c r="X5713">
        <v>1</v>
      </c>
      <c r="Y5713" t="s">
        <v>24316</v>
      </c>
      <c r="Z5713" t="s">
        <v>30583</v>
      </c>
      <c r="AA5713">
        <v>0.89957081330013577</v>
      </c>
      <c r="AB5713" t="str">
        <f>HYPERLINK("Melting_Curves/meltCurve_Q9NZV1_CRIM1.pdf", "Melting_Curves/meltCurve_Q9NZV1_CRIM1.pdf")</f>
        <v>Melting_Curves/meltCurve_Q9NZV1_CRIM1.pdf</v>
      </c>
    </row>
    <row r="5714" spans="1:28" x14ac:dyDescent="0.25">
      <c r="A5714" t="s">
        <v>5718</v>
      </c>
      <c r="B5714">
        <v>0.99352677808782597</v>
      </c>
      <c r="C5714">
        <v>0.96168590872932702</v>
      </c>
      <c r="D5714">
        <v>0.81329500892835405</v>
      </c>
      <c r="E5714">
        <v>0.25998796004288199</v>
      </c>
      <c r="F5714">
        <v>0.18779481279610799</v>
      </c>
      <c r="G5714">
        <v>0.12097200342985499</v>
      </c>
      <c r="H5714">
        <v>8.9269128463132397E-2</v>
      </c>
      <c r="I5714">
        <v>9.4204356864793407E-2</v>
      </c>
      <c r="J5714">
        <v>6.0343695341459301E-2</v>
      </c>
      <c r="K5714">
        <v>4.8968552349911099E-2</v>
      </c>
      <c r="L5714">
        <v>1441.51920793056</v>
      </c>
      <c r="M5714">
        <v>30.0805248821299</v>
      </c>
      <c r="N5714">
        <v>48.227282012758998</v>
      </c>
      <c r="O5714">
        <v>47.711700043438</v>
      </c>
      <c r="P5714">
        <v>-0.143953541968243</v>
      </c>
      <c r="Q5714">
        <v>8.6688101790347499E-2</v>
      </c>
      <c r="R5714">
        <v>0.99499862767154801</v>
      </c>
      <c r="S5714" t="s">
        <v>11999</v>
      </c>
      <c r="T5714" t="s">
        <v>12568</v>
      </c>
      <c r="U5714" t="s">
        <v>12568</v>
      </c>
      <c r="V5714" t="s">
        <v>12568</v>
      </c>
      <c r="W5714" t="s">
        <v>18229</v>
      </c>
      <c r="X5714">
        <v>22</v>
      </c>
      <c r="Y5714" t="s">
        <v>24317</v>
      </c>
      <c r="Z5714" t="s">
        <v>30584</v>
      </c>
      <c r="AA5714">
        <v>0.33332613092531582</v>
      </c>
      <c r="AB5714" t="str">
        <f>HYPERLINK("Melting_Curves/meltCurve_Q9NZW5_MPP6.pdf", "Melting_Curves/meltCurve_Q9NZW5_MPP6.pdf")</f>
        <v>Melting_Curves/meltCurve_Q9NZW5_MPP6.pdf</v>
      </c>
    </row>
    <row r="5715" spans="1:28" x14ac:dyDescent="0.25">
      <c r="A5715" t="s">
        <v>5719</v>
      </c>
      <c r="B5715">
        <v>0.99352677808782597</v>
      </c>
      <c r="C5715">
        <v>0.96571221956126396</v>
      </c>
      <c r="D5715">
        <v>0.96378797954740303</v>
      </c>
      <c r="E5715">
        <v>0.98480179230388698</v>
      </c>
      <c r="F5715">
        <v>0.91951375446402905</v>
      </c>
      <c r="G5715">
        <v>0.89301337497614997</v>
      </c>
      <c r="H5715">
        <v>0.78867853389579101</v>
      </c>
      <c r="I5715">
        <v>0.84771447459900795</v>
      </c>
      <c r="J5715">
        <v>0.882748048646671</v>
      </c>
      <c r="K5715">
        <v>0.75442310699122805</v>
      </c>
      <c r="L5715">
        <v>517.40072621492197</v>
      </c>
      <c r="M5715">
        <v>9.0039149177324607</v>
      </c>
      <c r="O5715">
        <v>54.841803168149802</v>
      </c>
      <c r="P5715">
        <v>-9.8466682310621896E-3</v>
      </c>
      <c r="Q5715">
        <v>0.76027414750778</v>
      </c>
      <c r="R5715">
        <v>0.78629225795726099</v>
      </c>
      <c r="S5715" t="s">
        <v>12000</v>
      </c>
      <c r="T5715" t="s">
        <v>12568</v>
      </c>
      <c r="U5715" t="s">
        <v>12568</v>
      </c>
      <c r="V5715" t="s">
        <v>12568</v>
      </c>
      <c r="W5715" t="s">
        <v>18230</v>
      </c>
      <c r="X5715">
        <v>6</v>
      </c>
      <c r="Y5715" t="s">
        <v>24318</v>
      </c>
      <c r="Z5715" t="s">
        <v>30585</v>
      </c>
      <c r="AA5715">
        <v>0.9025052968412518</v>
      </c>
      <c r="AB5715" t="str">
        <f>HYPERLINK("Melting_Curves/meltCurve_Q9NZZ3_CHMP5.pdf", "Melting_Curves/meltCurve_Q9NZZ3_CHMP5.pdf")</f>
        <v>Melting_Curves/meltCurve_Q9NZZ3_CHMP5.pdf</v>
      </c>
    </row>
    <row r="5716" spans="1:28" x14ac:dyDescent="0.25">
      <c r="A5716" t="s">
        <v>5720</v>
      </c>
      <c r="B5716">
        <v>0.99352677808782597</v>
      </c>
      <c r="C5716">
        <v>1.0006491775347</v>
      </c>
      <c r="D5716">
        <v>0.94678490255351699</v>
      </c>
      <c r="E5716">
        <v>1.22169832509693</v>
      </c>
      <c r="F5716">
        <v>1.1305928934102401</v>
      </c>
      <c r="G5716">
        <v>0.953257857059298</v>
      </c>
      <c r="H5716">
        <v>0.58783552107056702</v>
      </c>
      <c r="I5716">
        <v>0.37136206588791698</v>
      </c>
      <c r="J5716">
        <v>0.32307879192455602</v>
      </c>
      <c r="K5716">
        <v>0.213353628504594</v>
      </c>
      <c r="L5716">
        <v>2264.5257002160902</v>
      </c>
      <c r="M5716">
        <v>37.251902479186398</v>
      </c>
      <c r="N5716">
        <v>61.987247764569901</v>
      </c>
      <c r="O5716">
        <v>60.615151924908602</v>
      </c>
      <c r="P5716">
        <v>-0.114221626492268</v>
      </c>
      <c r="Q5716">
        <v>0.25657043089172699</v>
      </c>
      <c r="R5716">
        <v>0.93775407965189606</v>
      </c>
      <c r="S5716" t="s">
        <v>12001</v>
      </c>
      <c r="T5716" t="s">
        <v>12568</v>
      </c>
      <c r="U5716" t="s">
        <v>12568</v>
      </c>
      <c r="V5716" t="s">
        <v>12568</v>
      </c>
      <c r="W5716" t="s">
        <v>18231</v>
      </c>
      <c r="X5716">
        <v>8</v>
      </c>
      <c r="Y5716" t="s">
        <v>24319</v>
      </c>
      <c r="Z5716" t="s">
        <v>30586</v>
      </c>
      <c r="AA5716">
        <v>0.77493879901268159</v>
      </c>
      <c r="AB5716" t="str">
        <f>HYPERLINK("Melting_Curves/meltCurve_Q9P000_COMMD9.pdf", "Melting_Curves/meltCurve_Q9P000_COMMD9.pdf")</f>
        <v>Melting_Curves/meltCurve_Q9P000_COMMD9.pdf</v>
      </c>
    </row>
    <row r="5717" spans="1:28" x14ac:dyDescent="0.25">
      <c r="A5717" t="s">
        <v>5721</v>
      </c>
      <c r="B5717">
        <v>0.99352677808782597</v>
      </c>
      <c r="C5717">
        <v>0.98070254425112702</v>
      </c>
      <c r="D5717">
        <v>1.13273174517178</v>
      </c>
      <c r="E5717">
        <v>1.17360256543577</v>
      </c>
      <c r="F5717">
        <v>1.1420786171749</v>
      </c>
      <c r="G5717">
        <v>1.1439539364973199</v>
      </c>
      <c r="H5717">
        <v>1.0498656579841099</v>
      </c>
      <c r="I5717">
        <v>1.0788318845618401</v>
      </c>
      <c r="J5717">
        <v>1.1927263730106601</v>
      </c>
      <c r="K5717">
        <v>1.1434320198949199</v>
      </c>
      <c r="L5717">
        <v>11174.926369029599</v>
      </c>
      <c r="M5717">
        <v>250</v>
      </c>
      <c r="O5717">
        <v>44.696845024354801</v>
      </c>
      <c r="P5717">
        <v>0.18481001014480999</v>
      </c>
      <c r="Q5717">
        <v>1.1321667898660699</v>
      </c>
      <c r="R5717">
        <v>0.67863010513734501</v>
      </c>
      <c r="S5717" t="s">
        <v>12002</v>
      </c>
      <c r="T5717" t="s">
        <v>12568</v>
      </c>
      <c r="U5717" t="s">
        <v>12568</v>
      </c>
      <c r="V5717" t="s">
        <v>12568</v>
      </c>
      <c r="W5717" t="s">
        <v>18232</v>
      </c>
      <c r="X5717">
        <v>9</v>
      </c>
      <c r="Y5717" t="s">
        <v>24320</v>
      </c>
      <c r="Z5717" t="s">
        <v>30587</v>
      </c>
      <c r="AA5717">
        <v>1.111451588870098</v>
      </c>
      <c r="AB5717" t="str">
        <f>HYPERLINK("Melting_Curves/meltCurve_Q9P013_CWC15.pdf", "Melting_Curves/meltCurve_Q9P013_CWC15.pdf")</f>
        <v>Melting_Curves/meltCurve_Q9P013_CWC15.pdf</v>
      </c>
    </row>
    <row r="5718" spans="1:28" x14ac:dyDescent="0.25">
      <c r="A5718" t="s">
        <v>5722</v>
      </c>
      <c r="B5718">
        <v>0.99352677808782597</v>
      </c>
      <c r="C5718">
        <v>0.83865883516909701</v>
      </c>
      <c r="D5718">
        <v>0.59033619781190405</v>
      </c>
      <c r="E5718">
        <v>0.25051005233059698</v>
      </c>
      <c r="F5718">
        <v>0.18243304179797101</v>
      </c>
      <c r="G5718">
        <v>0.10412675960580101</v>
      </c>
      <c r="H5718">
        <v>7.2279008423564994E-2</v>
      </c>
      <c r="I5718">
        <v>6.2012068166691699E-2</v>
      </c>
      <c r="J5718">
        <v>5.3971365962351601E-2</v>
      </c>
      <c r="K5718">
        <v>3.95979893609026E-2</v>
      </c>
      <c r="L5718">
        <v>862.02988990285803</v>
      </c>
      <c r="M5718">
        <v>18.471245189988402</v>
      </c>
      <c r="N5718">
        <v>46.980316975496898</v>
      </c>
      <c r="O5718">
        <v>46.132092771693401</v>
      </c>
      <c r="P5718">
        <v>-9.4333575329136901E-2</v>
      </c>
      <c r="Q5718">
        <v>5.7646816155968297E-2</v>
      </c>
      <c r="R5718">
        <v>0.99709574211448304</v>
      </c>
      <c r="S5718" t="s">
        <v>12003</v>
      </c>
      <c r="T5718" t="s">
        <v>12568</v>
      </c>
      <c r="U5718" t="s">
        <v>12568</v>
      </c>
      <c r="V5718" t="s">
        <v>12568</v>
      </c>
      <c r="W5718" t="s">
        <v>18233</v>
      </c>
      <c r="X5718">
        <v>5</v>
      </c>
      <c r="Y5718" t="s">
        <v>24321</v>
      </c>
      <c r="Z5718" t="s">
        <v>30588</v>
      </c>
      <c r="AA5718">
        <v>0.28383740098103688</v>
      </c>
      <c r="AB5718" t="str">
        <f>HYPERLINK("Melting_Curves/meltCurve_Q9P016_THYN1.pdf", "Melting_Curves/meltCurve_Q9P016_THYN1.pdf")</f>
        <v>Melting_Curves/meltCurve_Q9P016_THYN1.pdf</v>
      </c>
    </row>
    <row r="5719" spans="1:28" x14ac:dyDescent="0.25">
      <c r="A5719" t="s">
        <v>5723</v>
      </c>
      <c r="B5719">
        <v>0.99352677808782597</v>
      </c>
      <c r="C5719">
        <v>0.89223549010435099</v>
      </c>
      <c r="D5719">
        <v>0.93474382598408101</v>
      </c>
      <c r="E5719">
        <v>1.0874365800300101</v>
      </c>
      <c r="F5719">
        <v>1.2489741151098299</v>
      </c>
      <c r="G5719">
        <v>1.2430698419180499</v>
      </c>
      <c r="H5719">
        <v>0.97214878483454303</v>
      </c>
      <c r="I5719">
        <v>1.16312516418386</v>
      </c>
      <c r="J5719">
        <v>0.96407496425374295</v>
      </c>
      <c r="K5719">
        <v>0.87927216637987604</v>
      </c>
      <c r="L5719">
        <v>15000</v>
      </c>
      <c r="M5719">
        <v>223.021101802164</v>
      </c>
      <c r="O5719">
        <v>67.252806606664507</v>
      </c>
      <c r="P5719">
        <v>-0.10010499139137299</v>
      </c>
      <c r="Q5719">
        <v>0.87925194469628098</v>
      </c>
      <c r="R5719">
        <v>8.8216998498910106E-3</v>
      </c>
      <c r="S5719" t="s">
        <v>12004</v>
      </c>
      <c r="T5719" t="s">
        <v>12568</v>
      </c>
      <c r="U5719" t="s">
        <v>12568</v>
      </c>
      <c r="V5719" t="s">
        <v>12568</v>
      </c>
      <c r="W5719" t="s">
        <v>18234</v>
      </c>
      <c r="X5719">
        <v>2</v>
      </c>
      <c r="Y5719" t="s">
        <v>24322</v>
      </c>
      <c r="Z5719" t="s">
        <v>30589</v>
      </c>
      <c r="AA5719">
        <v>0.98898216844431663</v>
      </c>
      <c r="AB5719" t="str">
        <f>HYPERLINK("Melting_Curves/meltCurve_Q9P021_CRIPT.pdf", "Melting_Curves/meltCurve_Q9P021_CRIPT.pdf")</f>
        <v>Melting_Curves/meltCurve_Q9P021_CRIPT.pdf</v>
      </c>
    </row>
    <row r="5720" spans="1:28" x14ac:dyDescent="0.25">
      <c r="A5720" t="s">
        <v>5724</v>
      </c>
      <c r="B5720">
        <v>0.99352677808782597</v>
      </c>
      <c r="C5720">
        <v>0.872246977121372</v>
      </c>
      <c r="D5720">
        <v>0.78899961294558696</v>
      </c>
      <c r="E5720">
        <v>0.67304750261617596</v>
      </c>
      <c r="F5720">
        <v>0.66915694156961902</v>
      </c>
      <c r="G5720">
        <v>0.87748506592133202</v>
      </c>
      <c r="H5720">
        <v>0.57318346922547903</v>
      </c>
      <c r="I5720">
        <v>0.49759725422289097</v>
      </c>
      <c r="J5720">
        <v>0.58325308400607301</v>
      </c>
      <c r="K5720">
        <v>0.47911638521101901</v>
      </c>
      <c r="L5720">
        <v>219.220001019861</v>
      </c>
      <c r="M5720">
        <v>3.2472877645965101</v>
      </c>
      <c r="O5720">
        <v>51.402665470821297</v>
      </c>
      <c r="P5720">
        <v>-1.5258927229560499E-2</v>
      </c>
      <c r="Q5720">
        <v>5.6943533917607897E-2</v>
      </c>
      <c r="R5720">
        <v>0.72479989782351595</v>
      </c>
      <c r="S5720" t="s">
        <v>12005</v>
      </c>
      <c r="T5720" t="s">
        <v>12568</v>
      </c>
      <c r="U5720" t="s">
        <v>12568</v>
      </c>
      <c r="V5720" t="s">
        <v>12568</v>
      </c>
      <c r="W5720" t="s">
        <v>18235</v>
      </c>
      <c r="X5720">
        <v>1</v>
      </c>
      <c r="Y5720" t="s">
        <v>24323</v>
      </c>
      <c r="Z5720" t="s">
        <v>30590</v>
      </c>
      <c r="AA5720">
        <v>0.69940488723218153</v>
      </c>
      <c r="AB5720" t="str">
        <f>HYPERLINK("Melting_Curves/meltCurve_Q9P0J1_PDP1.pdf", "Melting_Curves/meltCurve_Q9P0J1_PDP1.pdf")</f>
        <v>Melting_Curves/meltCurve_Q9P0J1_PDP1.pdf</v>
      </c>
    </row>
    <row r="5721" spans="1:28" x14ac:dyDescent="0.25">
      <c r="A5721" t="s">
        <v>5725</v>
      </c>
      <c r="B5721">
        <v>0.99352677808782597</v>
      </c>
      <c r="C5721">
        <v>0.94193776816470198</v>
      </c>
      <c r="D5721">
        <v>0.86572660557583803</v>
      </c>
      <c r="E5721">
        <v>1.00881983416367</v>
      </c>
      <c r="F5721">
        <v>0.93219353397319304</v>
      </c>
      <c r="G5721">
        <v>0.76291923491851199</v>
      </c>
      <c r="H5721">
        <v>0.79990459073961695</v>
      </c>
      <c r="I5721">
        <v>0.68814112004078398</v>
      </c>
      <c r="J5721">
        <v>0.65550388326652997</v>
      </c>
      <c r="K5721">
        <v>0.59966879893883096</v>
      </c>
      <c r="L5721">
        <v>362.722326601899</v>
      </c>
      <c r="M5721">
        <v>4.7799743235412802</v>
      </c>
      <c r="O5721">
        <v>65.513762023276698</v>
      </c>
      <c r="P5721">
        <v>-1.83706252581897E-2</v>
      </c>
      <c r="Q5721">
        <v>0</v>
      </c>
      <c r="R5721">
        <v>0.86814076350944103</v>
      </c>
      <c r="S5721" t="s">
        <v>12006</v>
      </c>
      <c r="T5721" t="s">
        <v>12568</v>
      </c>
      <c r="U5721" t="s">
        <v>12568</v>
      </c>
      <c r="V5721" t="s">
        <v>12568</v>
      </c>
      <c r="W5721" t="s">
        <v>18236</v>
      </c>
      <c r="X5721">
        <v>4</v>
      </c>
      <c r="Y5721" t="s">
        <v>24324</v>
      </c>
      <c r="Z5721" t="s">
        <v>30591</v>
      </c>
      <c r="AA5721">
        <v>0.83583400624903348</v>
      </c>
      <c r="AB5721" t="str">
        <f>HYPERLINK("Melting_Curves/meltCurve_Q9P0J7_KCMF1.pdf", "Melting_Curves/meltCurve_Q9P0J7_KCMF1.pdf")</f>
        <v>Melting_Curves/meltCurve_Q9P0J7_KCMF1.pdf</v>
      </c>
    </row>
    <row r="5722" spans="1:28" x14ac:dyDescent="0.25">
      <c r="A5722" t="s">
        <v>5726</v>
      </c>
      <c r="B5722">
        <v>0.99352677808782597</v>
      </c>
      <c r="C5722">
        <v>1.0028610469333701</v>
      </c>
      <c r="D5722">
        <v>0.94216949995903498</v>
      </c>
      <c r="E5722">
        <v>0.54364928590411299</v>
      </c>
      <c r="F5722">
        <v>0.45509002951081301</v>
      </c>
      <c r="G5722">
        <v>0.320102915953619</v>
      </c>
      <c r="H5722">
        <v>0.24006654368097799</v>
      </c>
      <c r="I5722">
        <v>0.240155062240233</v>
      </c>
      <c r="J5722">
        <v>0.22505180480588899</v>
      </c>
      <c r="K5722">
        <v>0.16815118833624901</v>
      </c>
      <c r="L5722">
        <v>995.06322408823996</v>
      </c>
      <c r="M5722">
        <v>19.8600992122131</v>
      </c>
      <c r="N5722">
        <v>51.588322629643102</v>
      </c>
      <c r="O5722">
        <v>49.603966635139201</v>
      </c>
      <c r="P5722">
        <v>-7.8307759789117401E-2</v>
      </c>
      <c r="Q5722">
        <v>0.21767890829085301</v>
      </c>
      <c r="R5722">
        <v>0.98543271402983901</v>
      </c>
      <c r="S5722" t="s">
        <v>12007</v>
      </c>
      <c r="T5722" t="s">
        <v>12568</v>
      </c>
      <c r="U5722" t="s">
        <v>12568</v>
      </c>
      <c r="V5722" t="s">
        <v>12568</v>
      </c>
      <c r="W5722" t="s">
        <v>18237</v>
      </c>
      <c r="X5722">
        <v>33</v>
      </c>
      <c r="Y5722" t="s">
        <v>24325</v>
      </c>
      <c r="Z5722" t="s">
        <v>30592</v>
      </c>
      <c r="AA5722">
        <v>0.49219134085657162</v>
      </c>
      <c r="AB5722" t="str">
        <f>HYPERLINK("Melting_Curves/meltCurve_Q9P0K7_RAI14.pdf", "Melting_Curves/meltCurve_Q9P0K7_RAI14.pdf")</f>
        <v>Melting_Curves/meltCurve_Q9P0K7_RAI14.pdf</v>
      </c>
    </row>
    <row r="5723" spans="1:28" x14ac:dyDescent="0.25">
      <c r="A5723" t="s">
        <v>5727</v>
      </c>
      <c r="B5723">
        <v>0.99352677808782597</v>
      </c>
      <c r="C5723">
        <v>0.96506724279521106</v>
      </c>
      <c r="D5723">
        <v>1.05280783714361</v>
      </c>
      <c r="E5723">
        <v>1.0955507308391099</v>
      </c>
      <c r="F5723">
        <v>1.0191739066224299</v>
      </c>
      <c r="G5723">
        <v>1.01281039983773</v>
      </c>
      <c r="H5723">
        <v>0.81246514995892705</v>
      </c>
      <c r="I5723">
        <v>0.89132999249673905</v>
      </c>
      <c r="J5723">
        <v>0.71867391641733602</v>
      </c>
      <c r="K5723">
        <v>0.63455300006043303</v>
      </c>
      <c r="L5723">
        <v>1059.3080212935199</v>
      </c>
      <c r="M5723">
        <v>15.7205381784875</v>
      </c>
      <c r="O5723">
        <v>66.321602180016995</v>
      </c>
      <c r="P5723">
        <v>-3.3508835050592697E-2</v>
      </c>
      <c r="Q5723">
        <v>0.43458100044016501</v>
      </c>
      <c r="R5723">
        <v>0.85820294356182802</v>
      </c>
      <c r="S5723" t="s">
        <v>12008</v>
      </c>
      <c r="T5723" t="s">
        <v>12568</v>
      </c>
      <c r="U5723" t="s">
        <v>12568</v>
      </c>
      <c r="V5723" t="s">
        <v>12568</v>
      </c>
      <c r="W5723" t="s">
        <v>18238</v>
      </c>
      <c r="X5723">
        <v>5</v>
      </c>
      <c r="Y5723" t="s">
        <v>24326</v>
      </c>
      <c r="Z5723" t="s">
        <v>30593</v>
      </c>
      <c r="AA5723">
        <v>0.92277825693485727</v>
      </c>
      <c r="AB5723" t="str">
        <f>HYPERLINK("Melting_Curves/meltCurve_Q9P0L0_VAPA.pdf", "Melting_Curves/meltCurve_Q9P0L0_VAPA.pdf")</f>
        <v>Melting_Curves/meltCurve_Q9P0L0_VAPA.pdf</v>
      </c>
    </row>
    <row r="5724" spans="1:28" x14ac:dyDescent="0.25">
      <c r="A5724" t="s">
        <v>5728</v>
      </c>
      <c r="B5724">
        <v>0.99352677808782597</v>
      </c>
      <c r="C5724">
        <v>0.92323868567811795</v>
      </c>
      <c r="D5724">
        <v>0.85177863943857901</v>
      </c>
      <c r="E5724">
        <v>0.31687580242386099</v>
      </c>
      <c r="F5724">
        <v>0.24033816401563701</v>
      </c>
      <c r="G5724">
        <v>0.15406907875523801</v>
      </c>
      <c r="H5724">
        <v>9.5415620808724302E-2</v>
      </c>
      <c r="I5724">
        <v>9.7947343876830406E-2</v>
      </c>
      <c r="J5724">
        <v>8.5926274816429296E-2</v>
      </c>
      <c r="K5724">
        <v>5.22256823928441E-2</v>
      </c>
      <c r="L5724">
        <v>1233.51780520834</v>
      </c>
      <c r="M5724">
        <v>25.500318703191201</v>
      </c>
      <c r="N5724">
        <v>48.780206853689201</v>
      </c>
      <c r="O5724">
        <v>48.078111894215603</v>
      </c>
      <c r="P5724">
        <v>-0.119877688927961</v>
      </c>
      <c r="Q5724">
        <v>9.5945401439419306E-2</v>
      </c>
      <c r="R5724">
        <v>0.98986790255133505</v>
      </c>
      <c r="S5724" t="s">
        <v>12009</v>
      </c>
      <c r="T5724" t="s">
        <v>12568</v>
      </c>
      <c r="U5724" t="s">
        <v>12568</v>
      </c>
      <c r="V5724" t="s">
        <v>12568</v>
      </c>
      <c r="W5724" t="s">
        <v>18239</v>
      </c>
      <c r="X5724">
        <v>2</v>
      </c>
      <c r="Y5724" t="s">
        <v>24327</v>
      </c>
      <c r="Z5724" t="s">
        <v>30594</v>
      </c>
      <c r="AA5724">
        <v>0.3559209492842349</v>
      </c>
      <c r="AB5724" t="str">
        <f>HYPERLINK("Melting_Curves/meltCurve_Q9P0N9_3_TBC1D7.pdf", "Melting_Curves/meltCurve_Q9P0N9_3_TBC1D7.pdf")</f>
        <v>Melting_Curves/meltCurve_Q9P0N9_3_TBC1D7.pdf</v>
      </c>
    </row>
    <row r="5725" spans="1:28" x14ac:dyDescent="0.25">
      <c r="A5725" t="s">
        <v>5729</v>
      </c>
      <c r="B5725">
        <v>0.99352677808782597</v>
      </c>
      <c r="C5725">
        <v>0.99931594694743198</v>
      </c>
      <c r="D5725">
        <v>1.00016581955812</v>
      </c>
      <c r="E5725">
        <v>0.84583349157377796</v>
      </c>
      <c r="F5725">
        <v>0.800979531808102</v>
      </c>
      <c r="G5725">
        <v>0.67117971073584404</v>
      </c>
      <c r="H5725">
        <v>0.59651996834397802</v>
      </c>
      <c r="I5725">
        <v>0.62881458965860104</v>
      </c>
      <c r="J5725">
        <v>0.64458971424018496</v>
      </c>
      <c r="K5725">
        <v>0.53723386905387005</v>
      </c>
      <c r="L5725">
        <v>894.720402309576</v>
      </c>
      <c r="M5725">
        <v>16.995997586343499</v>
      </c>
      <c r="O5725">
        <v>51.930433973201197</v>
      </c>
      <c r="P5725">
        <v>-3.4021165327569401E-2</v>
      </c>
      <c r="Q5725">
        <v>0.58422577744564697</v>
      </c>
      <c r="R5725">
        <v>0.96818820291497398</v>
      </c>
      <c r="S5725" t="s">
        <v>12010</v>
      </c>
      <c r="T5725" t="s">
        <v>12568</v>
      </c>
      <c r="U5725" t="s">
        <v>12568</v>
      </c>
      <c r="V5725" t="s">
        <v>12568</v>
      </c>
      <c r="W5725" t="s">
        <v>18240</v>
      </c>
      <c r="X5725">
        <v>8</v>
      </c>
      <c r="Y5725" t="s">
        <v>24328</v>
      </c>
      <c r="Z5725" t="s">
        <v>30595</v>
      </c>
      <c r="AA5725">
        <v>0.76696192577512834</v>
      </c>
      <c r="AB5725" t="str">
        <f>HYPERLINK("Melting_Curves/meltCurve_Q9P0P0_RNF181.pdf", "Melting_Curves/meltCurve_Q9P0P0_RNF181.pdf")</f>
        <v>Melting_Curves/meltCurve_Q9P0P0_RNF181.pdf</v>
      </c>
    </row>
    <row r="5726" spans="1:28" x14ac:dyDescent="0.25">
      <c r="A5726" t="s">
        <v>5730</v>
      </c>
      <c r="B5726">
        <v>0.99352677808782597</v>
      </c>
      <c r="C5726">
        <v>0.96186629833052895</v>
      </c>
      <c r="D5726">
        <v>0.58387555050430995</v>
      </c>
      <c r="E5726">
        <v>0.310171523118623</v>
      </c>
      <c r="F5726">
        <v>0.26767303943444798</v>
      </c>
      <c r="G5726">
        <v>0.15560439706771101</v>
      </c>
      <c r="H5726">
        <v>0.12060000388219499</v>
      </c>
      <c r="I5726">
        <v>0.123847196090361</v>
      </c>
      <c r="J5726">
        <v>6.8135296694892794E-2</v>
      </c>
      <c r="K5726">
        <v>7.2066524789870107E-2</v>
      </c>
      <c r="L5726">
        <v>912.74267919144302</v>
      </c>
      <c r="M5726">
        <v>19.411971969182101</v>
      </c>
      <c r="N5726">
        <v>47.608455031562698</v>
      </c>
      <c r="O5726">
        <v>46.529115815947499</v>
      </c>
      <c r="P5726">
        <v>-9.3171619353974902E-2</v>
      </c>
      <c r="Q5726">
        <v>0.106729742850208</v>
      </c>
      <c r="R5726">
        <v>0.98255346736592797</v>
      </c>
      <c r="S5726" t="s">
        <v>12011</v>
      </c>
      <c r="T5726" t="s">
        <v>12568</v>
      </c>
      <c r="U5726" t="s">
        <v>12568</v>
      </c>
      <c r="V5726" t="s">
        <v>12568</v>
      </c>
      <c r="W5726" t="s">
        <v>18241</v>
      </c>
      <c r="X5726">
        <v>2</v>
      </c>
      <c r="Y5726" t="s">
        <v>24329</v>
      </c>
      <c r="Z5726" t="s">
        <v>30596</v>
      </c>
      <c r="AA5726">
        <v>0.32969796489082498</v>
      </c>
      <c r="AB5726" t="str">
        <f>HYPERLINK("Melting_Curves/meltCurve_Q9P0P8_C6orf203.pdf", "Melting_Curves/meltCurve_Q9P0P8_C6orf203.pdf")</f>
        <v>Melting_Curves/meltCurve_Q9P0P8_C6orf203.pdf</v>
      </c>
    </row>
    <row r="5727" spans="1:28" x14ac:dyDescent="0.25">
      <c r="A5727" t="s">
        <v>5731</v>
      </c>
      <c r="B5727">
        <v>0.99352677808782597</v>
      </c>
      <c r="C5727">
        <v>0.98506403981031299</v>
      </c>
      <c r="D5727">
        <v>0.99612158289114305</v>
      </c>
      <c r="E5727">
        <v>0.82698746910716903</v>
      </c>
      <c r="F5727">
        <v>0.70338612700888303</v>
      </c>
      <c r="G5727">
        <v>0.64777755205398801</v>
      </c>
      <c r="H5727">
        <v>0.49547156302006401</v>
      </c>
      <c r="I5727">
        <v>0.47388379764808602</v>
      </c>
      <c r="J5727">
        <v>0.48930470078206401</v>
      </c>
      <c r="K5727">
        <v>0.34701977177163901</v>
      </c>
      <c r="L5727">
        <v>633.13123078526803</v>
      </c>
      <c r="M5727">
        <v>11.513978139824401</v>
      </c>
      <c r="N5727">
        <v>61.667444318757802</v>
      </c>
      <c r="O5727">
        <v>53.407813786737798</v>
      </c>
      <c r="P5727">
        <v>-3.4701179569117599E-2</v>
      </c>
      <c r="Q5727">
        <v>0.356333673218865</v>
      </c>
      <c r="R5727">
        <v>0.97313715811706403</v>
      </c>
      <c r="S5727" t="s">
        <v>12012</v>
      </c>
      <c r="T5727" t="s">
        <v>12568</v>
      </c>
      <c r="U5727" t="s">
        <v>12568</v>
      </c>
      <c r="V5727" t="s">
        <v>12568</v>
      </c>
      <c r="W5727" t="s">
        <v>18242</v>
      </c>
      <c r="X5727">
        <v>5</v>
      </c>
      <c r="Y5727" t="s">
        <v>24330</v>
      </c>
      <c r="Z5727" t="s">
        <v>30597</v>
      </c>
      <c r="AA5727">
        <v>0.69344439742921871</v>
      </c>
      <c r="AB5727" t="str">
        <f>HYPERLINK("Melting_Curves/meltCurve_Q9P0R6_GSKIP.pdf", "Melting_Curves/meltCurve_Q9P0R6_GSKIP.pdf")</f>
        <v>Melting_Curves/meltCurve_Q9P0R6_GSKIP.pdf</v>
      </c>
    </row>
    <row r="5728" spans="1:28" x14ac:dyDescent="0.25">
      <c r="A5728" t="s">
        <v>5732</v>
      </c>
      <c r="B5728">
        <v>0.99352677808782597</v>
      </c>
      <c r="C5728">
        <v>0.89151547719923196</v>
      </c>
      <c r="D5728">
        <v>0.74323596883546506</v>
      </c>
      <c r="E5728">
        <v>0.53309596727816899</v>
      </c>
      <c r="F5728">
        <v>0.49354913881122398</v>
      </c>
      <c r="G5728">
        <v>0.384951923024343</v>
      </c>
      <c r="H5728">
        <v>0.34601167144545503</v>
      </c>
      <c r="I5728">
        <v>0.35673762077523502</v>
      </c>
      <c r="J5728">
        <v>0.31131495822148503</v>
      </c>
      <c r="K5728">
        <v>0.27984325028456303</v>
      </c>
      <c r="L5728">
        <v>646.48410952054303</v>
      </c>
      <c r="M5728">
        <v>13.4468465295671</v>
      </c>
      <c r="N5728">
        <v>51.682152269861</v>
      </c>
      <c r="O5728">
        <v>47.051074152017698</v>
      </c>
      <c r="P5728">
        <v>-4.9714529514056499E-2</v>
      </c>
      <c r="Q5728">
        <v>0.30429488500082102</v>
      </c>
      <c r="R5728">
        <v>0.99015819457454202</v>
      </c>
      <c r="S5728" t="s">
        <v>12013</v>
      </c>
      <c r="T5728" t="s">
        <v>12568</v>
      </c>
      <c r="U5728" t="s">
        <v>12568</v>
      </c>
      <c r="V5728" t="s">
        <v>12568</v>
      </c>
      <c r="W5728" t="s">
        <v>18243</v>
      </c>
      <c r="X5728">
        <v>6</v>
      </c>
      <c r="Y5728" t="s">
        <v>24331</v>
      </c>
      <c r="Z5728" t="s">
        <v>30598</v>
      </c>
      <c r="AA5728">
        <v>0.51362117872156288</v>
      </c>
      <c r="AB5728" t="str">
        <f>HYPERLINK("Melting_Curves/meltCurve_Q9P0U4_CXXC1.pdf", "Melting_Curves/meltCurve_Q9P0U4_CXXC1.pdf")</f>
        <v>Melting_Curves/meltCurve_Q9P0U4_CXXC1.pdf</v>
      </c>
    </row>
    <row r="5729" spans="1:28" x14ac:dyDescent="0.25">
      <c r="A5729" t="s">
        <v>5733</v>
      </c>
      <c r="B5729">
        <v>0.99352677808782597</v>
      </c>
      <c r="C5729">
        <v>0.90853667508223201</v>
      </c>
      <c r="D5729">
        <v>1.0638670764641001</v>
      </c>
      <c r="E5729">
        <v>0.84582659098784496</v>
      </c>
      <c r="F5729">
        <v>0.77890817456156003</v>
      </c>
      <c r="G5729">
        <v>0.70230041846505098</v>
      </c>
      <c r="H5729">
        <v>0.55169356066932196</v>
      </c>
      <c r="I5729">
        <v>0.58281243846278097</v>
      </c>
      <c r="J5729">
        <v>0.63237762704123102</v>
      </c>
      <c r="K5729">
        <v>0.47820925859756902</v>
      </c>
      <c r="L5729">
        <v>798.34449089162501</v>
      </c>
      <c r="M5729">
        <v>14.864383157883699</v>
      </c>
      <c r="O5729">
        <v>52.764604013784798</v>
      </c>
      <c r="P5729">
        <v>-3.3127726616739003E-2</v>
      </c>
      <c r="Q5729">
        <v>0.52967095682082999</v>
      </c>
      <c r="R5729">
        <v>0.90883691343318596</v>
      </c>
      <c r="S5729" t="s">
        <v>12014</v>
      </c>
      <c r="T5729" t="s">
        <v>12568</v>
      </c>
      <c r="U5729" t="s">
        <v>12568</v>
      </c>
      <c r="V5729" t="s">
        <v>12568</v>
      </c>
      <c r="W5729" t="s">
        <v>18244</v>
      </c>
      <c r="X5729">
        <v>2</v>
      </c>
      <c r="Y5729" t="s">
        <v>24332</v>
      </c>
      <c r="Z5729" t="s">
        <v>30599</v>
      </c>
      <c r="AA5729">
        <v>0.7545002968273522</v>
      </c>
      <c r="AB5729" t="str">
        <f>HYPERLINK("Melting_Curves/meltCurve_Q9P0V3_SH3BP4.pdf", "Melting_Curves/meltCurve_Q9P0V3_SH3BP4.pdf")</f>
        <v>Melting_Curves/meltCurve_Q9P0V3_SH3BP4.pdf</v>
      </c>
    </row>
    <row r="5730" spans="1:28" x14ac:dyDescent="0.25">
      <c r="A5730" t="s">
        <v>5734</v>
      </c>
      <c r="B5730">
        <v>0.99352677808782597</v>
      </c>
      <c r="C5730">
        <v>0.76472957872091596</v>
      </c>
      <c r="D5730">
        <v>0.72839102475735096</v>
      </c>
      <c r="E5730">
        <v>0.54332647296900205</v>
      </c>
      <c r="F5730">
        <v>0.49326402737698899</v>
      </c>
      <c r="G5730">
        <v>0.43819918112212197</v>
      </c>
      <c r="H5730">
        <v>0.32998861086766901</v>
      </c>
      <c r="I5730">
        <v>0.25118362105965403</v>
      </c>
      <c r="J5730">
        <v>0.212707351453579</v>
      </c>
      <c r="K5730">
        <v>0.23232811350895599</v>
      </c>
      <c r="L5730">
        <v>395.64779871960798</v>
      </c>
      <c r="M5730">
        <v>7.8360569852423296</v>
      </c>
      <c r="N5730">
        <v>52.579283311779598</v>
      </c>
      <c r="O5730">
        <v>47.519263618733397</v>
      </c>
      <c r="P5730">
        <v>-3.5755684046320901E-2</v>
      </c>
      <c r="Q5730">
        <v>0.13374269416068299</v>
      </c>
      <c r="R5730">
        <v>0.96977996812431699</v>
      </c>
      <c r="S5730" t="s">
        <v>12015</v>
      </c>
      <c r="T5730" t="s">
        <v>12568</v>
      </c>
      <c r="U5730" t="s">
        <v>12568</v>
      </c>
      <c r="V5730" t="s">
        <v>12568</v>
      </c>
      <c r="W5730" t="s">
        <v>18245</v>
      </c>
      <c r="X5730">
        <v>1</v>
      </c>
      <c r="Y5730" t="s">
        <v>24333</v>
      </c>
      <c r="Z5730" t="s">
        <v>30600</v>
      </c>
      <c r="AA5730">
        <v>0.48674443190001943</v>
      </c>
      <c r="AB5730" t="str">
        <f>HYPERLINK("Melting_Curves/meltCurve_Q9P0W2_2_HMG20B.pdf", "Melting_Curves/meltCurve_Q9P0W2_2_HMG20B.pdf")</f>
        <v>Melting_Curves/meltCurve_Q9P0W2_2_HMG20B.pdf</v>
      </c>
    </row>
    <row r="5731" spans="1:28" x14ac:dyDescent="0.25">
      <c r="A5731" t="s">
        <v>5735</v>
      </c>
      <c r="B5731">
        <v>0.99352677808782597</v>
      </c>
      <c r="C5731">
        <v>1.0108056559226</v>
      </c>
      <c r="D5731">
        <v>0.979635295677169</v>
      </c>
      <c r="E5731">
        <v>0.94752303693656803</v>
      </c>
      <c r="F5731">
        <v>0.82630915956596496</v>
      </c>
      <c r="G5731">
        <v>0.94924842046263702</v>
      </c>
      <c r="H5731">
        <v>0.72958593507157399</v>
      </c>
      <c r="I5731">
        <v>0.73392201263266899</v>
      </c>
      <c r="J5731">
        <v>0.61574688572504999</v>
      </c>
      <c r="K5731">
        <v>0.619054599034078</v>
      </c>
      <c r="L5731">
        <v>477.734733282202</v>
      </c>
      <c r="M5731">
        <v>7.0725862950722096</v>
      </c>
      <c r="O5731">
        <v>62.770784302417802</v>
      </c>
      <c r="P5731">
        <v>-2.0151451611180999E-2</v>
      </c>
      <c r="Q5731">
        <v>0.28588024387012401</v>
      </c>
      <c r="R5731">
        <v>0.89945771798484198</v>
      </c>
      <c r="S5731" t="s">
        <v>12016</v>
      </c>
      <c r="T5731" t="s">
        <v>12568</v>
      </c>
      <c r="U5731" t="s">
        <v>12568</v>
      </c>
      <c r="V5731" t="s">
        <v>12568</v>
      </c>
      <c r="W5731" t="s">
        <v>18246</v>
      </c>
      <c r="X5731">
        <v>6</v>
      </c>
      <c r="Y5731" t="s">
        <v>24334</v>
      </c>
      <c r="Z5731" t="s">
        <v>30601</v>
      </c>
      <c r="AA5731">
        <v>0.84894255496627491</v>
      </c>
      <c r="AB5731" t="str">
        <f>HYPERLINK("Melting_Curves/meltCurve_Q9P1F3_ABRACL.pdf", "Melting_Curves/meltCurve_Q9P1F3_ABRACL.pdf")</f>
        <v>Melting_Curves/meltCurve_Q9P1F3_ABRACL.pdf</v>
      </c>
    </row>
    <row r="5732" spans="1:28" x14ac:dyDescent="0.25">
      <c r="A5732" t="s">
        <v>5736</v>
      </c>
      <c r="B5732">
        <v>0.99352677808782597</v>
      </c>
      <c r="C5732">
        <v>1.1666571494887801</v>
      </c>
      <c r="D5732">
        <v>1.4134114605982899</v>
      </c>
      <c r="E5732">
        <v>2.6037631444815501</v>
      </c>
      <c r="F5732">
        <v>2.2015835728772601</v>
      </c>
      <c r="G5732">
        <v>2.6389697844850502</v>
      </c>
      <c r="H5732">
        <v>1.96018019967986</v>
      </c>
      <c r="I5732">
        <v>2.08043071210595</v>
      </c>
      <c r="J5732">
        <v>2.4145713033230898</v>
      </c>
      <c r="K5732">
        <v>2.2540716386023498</v>
      </c>
      <c r="L5732">
        <v>2260.3436922351302</v>
      </c>
      <c r="M5732">
        <v>51.917055514257598</v>
      </c>
      <c r="O5732">
        <v>43.473137722342798</v>
      </c>
      <c r="P5732">
        <v>0.149279216217229</v>
      </c>
      <c r="Q5732">
        <v>1.5</v>
      </c>
      <c r="R5732">
        <v>-0.60102552275374799</v>
      </c>
      <c r="S5732" t="s">
        <v>12017</v>
      </c>
      <c r="T5732" t="s">
        <v>12568</v>
      </c>
      <c r="U5732" t="s">
        <v>12568</v>
      </c>
      <c r="V5732" t="s">
        <v>12568</v>
      </c>
      <c r="W5732" t="s">
        <v>18247</v>
      </c>
      <c r="X5732">
        <v>1</v>
      </c>
      <c r="Y5732" t="s">
        <v>24335</v>
      </c>
      <c r="Z5732" t="s">
        <v>30602</v>
      </c>
      <c r="AA5732">
        <v>1.440034853338612</v>
      </c>
      <c r="AB5732" t="str">
        <f>HYPERLINK("Melting_Curves/meltCurve_Q9P1U0_ZNRD1.pdf", "Melting_Curves/meltCurve_Q9P1U0_ZNRD1.pdf")</f>
        <v>Melting_Curves/meltCurve_Q9P1U0_ZNRD1.pdf</v>
      </c>
    </row>
    <row r="5733" spans="1:28" x14ac:dyDescent="0.25">
      <c r="A5733" t="s">
        <v>5737</v>
      </c>
      <c r="B5733">
        <v>0.99352677808782597</v>
      </c>
      <c r="C5733">
        <v>1.01881463030397</v>
      </c>
      <c r="D5733">
        <v>0.92699181094849603</v>
      </c>
      <c r="E5733">
        <v>0.94335846038976301</v>
      </c>
      <c r="F5733">
        <v>0.79928063501159397</v>
      </c>
      <c r="G5733">
        <v>0.74833107364618201</v>
      </c>
      <c r="H5733">
        <v>0.42174262795399098</v>
      </c>
      <c r="I5733">
        <v>0.22078236142154301</v>
      </c>
      <c r="J5733">
        <v>0.15729586903223999</v>
      </c>
      <c r="K5733">
        <v>0.13386344213203899</v>
      </c>
      <c r="L5733">
        <v>884.16851775036298</v>
      </c>
      <c r="M5733">
        <v>14.8044194392583</v>
      </c>
      <c r="N5733">
        <v>59.723282278352798</v>
      </c>
      <c r="O5733">
        <v>58.665346966209398</v>
      </c>
      <c r="P5733">
        <v>-6.3095160883445203E-2</v>
      </c>
      <c r="Q5733">
        <v>0</v>
      </c>
      <c r="R5733">
        <v>0.98433262867363103</v>
      </c>
      <c r="S5733" t="s">
        <v>12018</v>
      </c>
      <c r="T5733" t="s">
        <v>12568</v>
      </c>
      <c r="U5733" t="s">
        <v>12568</v>
      </c>
      <c r="V5733" t="s">
        <v>12568</v>
      </c>
      <c r="W5733" t="s">
        <v>18248</v>
      </c>
      <c r="X5733">
        <v>6</v>
      </c>
      <c r="Y5733" t="s">
        <v>24336</v>
      </c>
      <c r="Z5733" t="s">
        <v>30603</v>
      </c>
      <c r="AA5733">
        <v>0.66524352695791789</v>
      </c>
      <c r="AB5733" t="str">
        <f>HYPERLINK("Melting_Curves/meltCurve_Q9P1U1_2_ACTR3B.pdf", "Melting_Curves/meltCurve_Q9P1U1_2_ACTR3B.pdf")</f>
        <v>Melting_Curves/meltCurve_Q9P1U1_2_ACTR3B.pdf</v>
      </c>
    </row>
    <row r="5734" spans="1:28" x14ac:dyDescent="0.25">
      <c r="A5734" t="s">
        <v>5738</v>
      </c>
      <c r="B5734">
        <v>0.99352677808782597</v>
      </c>
      <c r="C5734">
        <v>0.94920951436025103</v>
      </c>
      <c r="D5734">
        <v>0.91907873111323801</v>
      </c>
      <c r="E5734">
        <v>0.93320386405694999</v>
      </c>
      <c r="F5734">
        <v>0.90143631918526002</v>
      </c>
      <c r="G5734">
        <v>0.51349549306568398</v>
      </c>
      <c r="H5734">
        <v>0.45324268180655802</v>
      </c>
      <c r="I5734">
        <v>0.40574193138764397</v>
      </c>
      <c r="J5734">
        <v>0.43401971695041602</v>
      </c>
      <c r="K5734">
        <v>0.34670326784942901</v>
      </c>
      <c r="L5734">
        <v>2022.1690185120599</v>
      </c>
      <c r="M5734">
        <v>36.766722621477598</v>
      </c>
      <c r="N5734">
        <v>57.5498375424824</v>
      </c>
      <c r="O5734">
        <v>54.838056102085503</v>
      </c>
      <c r="P5734">
        <v>-0.100244273454573</v>
      </c>
      <c r="Q5734">
        <v>0.40193932997100301</v>
      </c>
      <c r="R5734">
        <v>0.97319540718978803</v>
      </c>
      <c r="S5734" t="s">
        <v>12019</v>
      </c>
      <c r="T5734" t="s">
        <v>12568</v>
      </c>
      <c r="U5734" t="s">
        <v>12568</v>
      </c>
      <c r="V5734" t="s">
        <v>12568</v>
      </c>
      <c r="W5734" t="s">
        <v>18249</v>
      </c>
      <c r="X5734">
        <v>3</v>
      </c>
      <c r="Y5734" t="s">
        <v>24337</v>
      </c>
      <c r="Z5734" t="s">
        <v>30604</v>
      </c>
      <c r="AA5734">
        <v>0.70364593337741721</v>
      </c>
      <c r="AB5734" t="str">
        <f>HYPERLINK("Melting_Curves/meltCurve_Q9P1V8_SAMD15.pdf", "Melting_Curves/meltCurve_Q9P1V8_SAMD15.pdf")</f>
        <v>Melting_Curves/meltCurve_Q9P1V8_SAMD15.pdf</v>
      </c>
    </row>
    <row r="5735" spans="1:28" x14ac:dyDescent="0.25">
      <c r="A5735" t="s">
        <v>5739</v>
      </c>
      <c r="B5735">
        <v>0.99352677808782597</v>
      </c>
      <c r="C5735">
        <v>0.99097112488532602</v>
      </c>
      <c r="D5735">
        <v>0.97143060237388901</v>
      </c>
      <c r="E5735">
        <v>0.847657008402393</v>
      </c>
      <c r="F5735">
        <v>0.78910121057099103</v>
      </c>
      <c r="G5735">
        <v>0.58237428869214602</v>
      </c>
      <c r="H5735">
        <v>0.385895299062538</v>
      </c>
      <c r="I5735">
        <v>0.326374055407187</v>
      </c>
      <c r="J5735">
        <v>0.31277566605484203</v>
      </c>
      <c r="K5735">
        <v>0.29142980117637102</v>
      </c>
      <c r="L5735">
        <v>827.91653132193903</v>
      </c>
      <c r="M5735">
        <v>14.8293549352395</v>
      </c>
      <c r="N5735">
        <v>58.460152586343497</v>
      </c>
      <c r="O5735">
        <v>54.843843300164103</v>
      </c>
      <c r="P5735">
        <v>-5.1146689945368702E-2</v>
      </c>
      <c r="Q5735">
        <v>0.24345096482119399</v>
      </c>
      <c r="R5735">
        <v>0.99561924089426801</v>
      </c>
      <c r="S5735" t="s">
        <v>12020</v>
      </c>
      <c r="T5735" t="s">
        <v>12568</v>
      </c>
      <c r="U5735" t="s">
        <v>12568</v>
      </c>
      <c r="V5735" t="s">
        <v>12568</v>
      </c>
      <c r="W5735" t="s">
        <v>18250</v>
      </c>
      <c r="X5735">
        <v>12</v>
      </c>
      <c r="Y5735" t="s">
        <v>24338</v>
      </c>
      <c r="Z5735" t="s">
        <v>30605</v>
      </c>
      <c r="AA5735">
        <v>0.65642369374806608</v>
      </c>
      <c r="AB5735" t="str">
        <f>HYPERLINK("Melting_Curves/meltCurve_Q9P1Y5_CAMSAP3.pdf", "Melting_Curves/meltCurve_Q9P1Y5_CAMSAP3.pdf")</f>
        <v>Melting_Curves/meltCurve_Q9P1Y5_CAMSAP3.pdf</v>
      </c>
    </row>
    <row r="5736" spans="1:28" x14ac:dyDescent="0.25">
      <c r="A5736" t="s">
        <v>5740</v>
      </c>
      <c r="B5736">
        <v>0.99352677808782597</v>
      </c>
      <c r="C5736">
        <v>1.01962545120082</v>
      </c>
      <c r="D5736">
        <v>0.98205046484746406</v>
      </c>
      <c r="E5736">
        <v>0.81263071266942999</v>
      </c>
      <c r="F5736">
        <v>0.74855074787930298</v>
      </c>
      <c r="G5736">
        <v>0.52772183741061396</v>
      </c>
      <c r="H5736">
        <v>0.451557138230053</v>
      </c>
      <c r="I5736">
        <v>0.42756814347974298</v>
      </c>
      <c r="J5736">
        <v>0.51383654220464103</v>
      </c>
      <c r="K5736">
        <v>0.40351994628730598</v>
      </c>
      <c r="L5736">
        <v>1002.44163760519</v>
      </c>
      <c r="M5736">
        <v>18.97658179015</v>
      </c>
      <c r="N5736">
        <v>58.933129594138499</v>
      </c>
      <c r="O5736">
        <v>52.249066314184802</v>
      </c>
      <c r="P5736">
        <v>-5.1753159452053499E-2</v>
      </c>
      <c r="Q5736">
        <v>0.43004574437062199</v>
      </c>
      <c r="R5736">
        <v>0.97873087005651105</v>
      </c>
      <c r="S5736" t="s">
        <v>12021</v>
      </c>
      <c r="T5736" t="s">
        <v>12568</v>
      </c>
      <c r="U5736" t="s">
        <v>12568</v>
      </c>
      <c r="V5736" t="s">
        <v>12568</v>
      </c>
      <c r="W5736" t="s">
        <v>18251</v>
      </c>
      <c r="X5736">
        <v>4</v>
      </c>
      <c r="Y5736" t="s">
        <v>24339</v>
      </c>
      <c r="Z5736" t="s">
        <v>30606</v>
      </c>
      <c r="AA5736">
        <v>0.6822873307712165</v>
      </c>
      <c r="AB5736" t="str">
        <f>HYPERLINK("Melting_Curves/meltCurve_Q9P1Z2_2_CALCOCO1.pdf", "Melting_Curves/meltCurve_Q9P1Z2_2_CALCOCO1.pdf")</f>
        <v>Melting_Curves/meltCurve_Q9P1Z2_2_CALCOCO1.pdf</v>
      </c>
    </row>
    <row r="5737" spans="1:28" x14ac:dyDescent="0.25">
      <c r="A5737" t="s">
        <v>5741</v>
      </c>
      <c r="B5737">
        <v>0.99352677808782597</v>
      </c>
      <c r="C5737">
        <v>0.95397123722020005</v>
      </c>
      <c r="D5737">
        <v>1.0016254787585199</v>
      </c>
      <c r="E5737">
        <v>0.98298928392628904</v>
      </c>
      <c r="F5737">
        <v>0.90026860673043596</v>
      </c>
      <c r="G5737">
        <v>0.83124091462606198</v>
      </c>
      <c r="H5737">
        <v>0.79825677520649296</v>
      </c>
      <c r="I5737">
        <v>0.86569838899811702</v>
      </c>
      <c r="J5737">
        <v>0.85242662002069303</v>
      </c>
      <c r="K5737">
        <v>0.74527389487128004</v>
      </c>
      <c r="L5737">
        <v>1991.2790602386301</v>
      </c>
      <c r="M5737">
        <v>37.699251551644103</v>
      </c>
      <c r="O5737">
        <v>52.672147555360901</v>
      </c>
      <c r="P5737">
        <v>-3.2938700035592801E-2</v>
      </c>
      <c r="Q5737">
        <v>0.815917005428071</v>
      </c>
      <c r="R5737">
        <v>0.84004032624243097</v>
      </c>
      <c r="S5737" t="s">
        <v>12022</v>
      </c>
      <c r="T5737" t="s">
        <v>12568</v>
      </c>
      <c r="U5737" t="s">
        <v>12568</v>
      </c>
      <c r="V5737" t="s">
        <v>12568</v>
      </c>
      <c r="W5737" t="s">
        <v>18252</v>
      </c>
      <c r="X5737">
        <v>19</v>
      </c>
      <c r="Y5737" t="s">
        <v>24340</v>
      </c>
      <c r="Z5737" t="s">
        <v>30607</v>
      </c>
      <c r="AA5737">
        <v>0.89533872662363778</v>
      </c>
      <c r="AB5737" t="str">
        <f>HYPERLINK("Melting_Curves/meltCurve_Q9P206_2_KIAA1522.pdf", "Melting_Curves/meltCurve_Q9P206_2_KIAA1522.pdf")</f>
        <v>Melting_Curves/meltCurve_Q9P206_2_KIAA1522.pdf</v>
      </c>
    </row>
    <row r="5738" spans="1:28" x14ac:dyDescent="0.25">
      <c r="A5738" t="s">
        <v>5742</v>
      </c>
      <c r="B5738">
        <v>0.99352677808782597</v>
      </c>
      <c r="C5738">
        <v>0.96798255861993499</v>
      </c>
      <c r="D5738">
        <v>0.96647138900180996</v>
      </c>
      <c r="E5738">
        <v>0.85248742836598801</v>
      </c>
      <c r="F5738">
        <v>0.79571336630554002</v>
      </c>
      <c r="G5738">
        <v>0.72932803815185199</v>
      </c>
      <c r="H5738">
        <v>0.64938433730813905</v>
      </c>
      <c r="I5738">
        <v>0.66855500900769305</v>
      </c>
      <c r="J5738">
        <v>0.69367861407528097</v>
      </c>
      <c r="K5738">
        <v>0.63659533309488003</v>
      </c>
      <c r="L5738">
        <v>766.092733122038</v>
      </c>
      <c r="M5738">
        <v>14.849109520435601</v>
      </c>
      <c r="O5738">
        <v>50.683241836565102</v>
      </c>
      <c r="P5738">
        <v>-2.5797844001600099E-2</v>
      </c>
      <c r="Q5738">
        <v>0.64782231158965198</v>
      </c>
      <c r="R5738">
        <v>0.98139031875287797</v>
      </c>
      <c r="S5738" t="s">
        <v>12023</v>
      </c>
      <c r="T5738" t="s">
        <v>12568</v>
      </c>
      <c r="U5738" t="s">
        <v>12568</v>
      </c>
      <c r="V5738" t="s">
        <v>12568</v>
      </c>
      <c r="W5738" t="s">
        <v>18253</v>
      </c>
      <c r="X5738">
        <v>1</v>
      </c>
      <c r="Y5738" t="s">
        <v>24341</v>
      </c>
      <c r="Z5738" t="s">
        <v>30608</v>
      </c>
      <c r="AA5738">
        <v>0.79201325388267918</v>
      </c>
      <c r="AB5738" t="str">
        <f>HYPERLINK("Melting_Curves/meltCurve_Q9P212_PLCE1.pdf", "Melting_Curves/meltCurve_Q9P212_PLCE1.pdf")</f>
        <v>Melting_Curves/meltCurve_Q9P212_PLCE1.pdf</v>
      </c>
    </row>
    <row r="5739" spans="1:28" x14ac:dyDescent="0.25">
      <c r="A5739" t="s">
        <v>5743</v>
      </c>
      <c r="B5739">
        <v>0.99352677808782597</v>
      </c>
      <c r="C5739">
        <v>0.92000066219253296</v>
      </c>
      <c r="D5739">
        <v>0.71670018276875003</v>
      </c>
      <c r="E5739">
        <v>0.47405329124983397</v>
      </c>
      <c r="F5739">
        <v>0.42370456452390898</v>
      </c>
      <c r="G5739">
        <v>0.32298125372741299</v>
      </c>
      <c r="H5739">
        <v>0.27798076159454399</v>
      </c>
      <c r="I5739">
        <v>0.33212140674702201</v>
      </c>
      <c r="J5739">
        <v>0.26938605207115801</v>
      </c>
      <c r="K5739">
        <v>0.22977326440661</v>
      </c>
      <c r="L5739">
        <v>787.10863063018996</v>
      </c>
      <c r="M5739">
        <v>16.550651249967501</v>
      </c>
      <c r="N5739">
        <v>49.937029265539103</v>
      </c>
      <c r="O5739">
        <v>46.879557681047899</v>
      </c>
      <c r="P5739">
        <v>-6.4191217948526003E-2</v>
      </c>
      <c r="Q5739">
        <v>0.27276621712705601</v>
      </c>
      <c r="R5739">
        <v>0.98816186639089798</v>
      </c>
      <c r="S5739" t="s">
        <v>12024</v>
      </c>
      <c r="T5739" t="s">
        <v>12568</v>
      </c>
      <c r="U5739" t="s">
        <v>12568</v>
      </c>
      <c r="V5739" t="s">
        <v>12568</v>
      </c>
      <c r="W5739" t="s">
        <v>18254</v>
      </c>
      <c r="X5739">
        <v>4</v>
      </c>
      <c r="Y5739" t="s">
        <v>24342</v>
      </c>
      <c r="Z5739" t="s">
        <v>30609</v>
      </c>
      <c r="AA5739">
        <v>0.47160429372903928</v>
      </c>
      <c r="AB5739" t="str">
        <f>HYPERLINK("Melting_Curves/meltCurve_Q9P215_POGK.pdf", "Melting_Curves/meltCurve_Q9P215_POGK.pdf")</f>
        <v>Melting_Curves/meltCurve_Q9P215_POGK.pdf</v>
      </c>
    </row>
    <row r="5740" spans="1:28" x14ac:dyDescent="0.25">
      <c r="A5740" t="s">
        <v>5744</v>
      </c>
      <c r="B5740">
        <v>0.99352677808782597</v>
      </c>
      <c r="C5740">
        <v>1.0957130575859799</v>
      </c>
      <c r="D5740">
        <v>1.0053981023920899</v>
      </c>
      <c r="E5740">
        <v>0.58282243673368805</v>
      </c>
      <c r="F5740">
        <v>0.367680930373388</v>
      </c>
      <c r="G5740">
        <v>0.30158388504448302</v>
      </c>
      <c r="H5740">
        <v>0.21869957236520801</v>
      </c>
      <c r="I5740">
        <v>0.20758025934298499</v>
      </c>
      <c r="J5740">
        <v>0.17937743432702399</v>
      </c>
      <c r="K5740">
        <v>0.174384938876606</v>
      </c>
      <c r="L5740">
        <v>1491.1376751272501</v>
      </c>
      <c r="M5740">
        <v>29.750635807940601</v>
      </c>
      <c r="N5740">
        <v>51.068297212198097</v>
      </c>
      <c r="O5740">
        <v>49.896378061455302</v>
      </c>
      <c r="P5740">
        <v>-0.117457724502522</v>
      </c>
      <c r="Q5740">
        <v>0.21202675214883601</v>
      </c>
      <c r="R5740">
        <v>0.98239232198676796</v>
      </c>
      <c r="S5740" t="s">
        <v>12025</v>
      </c>
      <c r="T5740" t="s">
        <v>12568</v>
      </c>
      <c r="U5740" t="s">
        <v>12568</v>
      </c>
      <c r="V5740" t="s">
        <v>12568</v>
      </c>
      <c r="W5740" t="s">
        <v>18255</v>
      </c>
      <c r="X5740">
        <v>7</v>
      </c>
      <c r="Y5740" t="s">
        <v>24343</v>
      </c>
      <c r="Z5740" t="s">
        <v>30610</v>
      </c>
      <c r="AA5740">
        <v>0.482834415002869</v>
      </c>
      <c r="AB5740" t="str">
        <f>HYPERLINK("Melting_Curves/meltCurve_Q9P219_CCDC88C.pdf", "Melting_Curves/meltCurve_Q9P219_CCDC88C.pdf")</f>
        <v>Melting_Curves/meltCurve_Q9P219_CCDC88C.pdf</v>
      </c>
    </row>
    <row r="5741" spans="1:28" x14ac:dyDescent="0.25">
      <c r="A5741" t="s">
        <v>5745</v>
      </c>
      <c r="B5741">
        <v>0.99352677808782597</v>
      </c>
      <c r="C5741">
        <v>1.10884348938181</v>
      </c>
      <c r="D5741">
        <v>0.90623109189866002</v>
      </c>
      <c r="E5741">
        <v>0.56314760063150404</v>
      </c>
      <c r="F5741">
        <v>0.31564115805126303</v>
      </c>
      <c r="G5741">
        <v>0.16091185720853499</v>
      </c>
      <c r="H5741">
        <v>0.108893951448278</v>
      </c>
      <c r="I5741">
        <v>0.12844919495397999</v>
      </c>
      <c r="J5741">
        <v>0.119514324663107</v>
      </c>
      <c r="K5741">
        <v>5.3341423977572099E-2</v>
      </c>
      <c r="L5741">
        <v>1225.8729892470801</v>
      </c>
      <c r="M5741">
        <v>24.386328604900601</v>
      </c>
      <c r="N5741">
        <v>50.741032294833801</v>
      </c>
      <c r="O5741">
        <v>49.934488335918701</v>
      </c>
      <c r="P5741">
        <v>-0.109699854852807</v>
      </c>
      <c r="Q5741">
        <v>0.101508905369762</v>
      </c>
      <c r="R5741">
        <v>0.98772195300701204</v>
      </c>
      <c r="S5741" t="s">
        <v>12026</v>
      </c>
      <c r="T5741" t="s">
        <v>12568</v>
      </c>
      <c r="U5741" t="s">
        <v>12568</v>
      </c>
      <c r="V5741" t="s">
        <v>12568</v>
      </c>
      <c r="W5741" t="s">
        <v>18256</v>
      </c>
      <c r="X5741">
        <v>2</v>
      </c>
      <c r="Y5741" t="s">
        <v>24344</v>
      </c>
      <c r="Z5741" t="s">
        <v>30611</v>
      </c>
      <c r="AA5741">
        <v>0.41752081921006612</v>
      </c>
      <c r="AB5741" t="str">
        <f>HYPERLINK("Melting_Curves/meltCurve_Q9P227_ARHGAP23.pdf", "Melting_Curves/meltCurve_Q9P227_ARHGAP23.pdf")</f>
        <v>Melting_Curves/meltCurve_Q9P227_ARHGAP23.pdf</v>
      </c>
    </row>
    <row r="5742" spans="1:28" x14ac:dyDescent="0.25">
      <c r="A5742" t="s">
        <v>5746</v>
      </c>
      <c r="B5742">
        <v>0.99352677808782597</v>
      </c>
      <c r="C5742">
        <v>0.90973303805922701</v>
      </c>
      <c r="D5742">
        <v>0.80066481101241205</v>
      </c>
      <c r="E5742">
        <v>0.459604440012851</v>
      </c>
      <c r="F5742">
        <v>0.37746523429818002</v>
      </c>
      <c r="G5742">
        <v>0.247823694473253</v>
      </c>
      <c r="H5742">
        <v>0.20365396258718901</v>
      </c>
      <c r="I5742">
        <v>0.134224012039591</v>
      </c>
      <c r="J5742">
        <v>0.125549190793563</v>
      </c>
      <c r="K5742">
        <v>0.11280358458064201</v>
      </c>
      <c r="L5742">
        <v>721.23651485117796</v>
      </c>
      <c r="M5742">
        <v>14.6272869178063</v>
      </c>
      <c r="N5742">
        <v>50.248178001737998</v>
      </c>
      <c r="O5742">
        <v>48.4135156540856</v>
      </c>
      <c r="P5742">
        <v>-6.6494780295271505E-2</v>
      </c>
      <c r="Q5742">
        <v>0.11975822094906</v>
      </c>
      <c r="R5742">
        <v>0.99308706352238996</v>
      </c>
      <c r="S5742" t="s">
        <v>12027</v>
      </c>
      <c r="T5742" t="s">
        <v>12568</v>
      </c>
      <c r="U5742" t="s">
        <v>12568</v>
      </c>
      <c r="V5742" t="s">
        <v>12568</v>
      </c>
      <c r="W5742" t="s">
        <v>18257</v>
      </c>
      <c r="X5742">
        <v>7</v>
      </c>
      <c r="Y5742" t="s">
        <v>24345</v>
      </c>
      <c r="Z5742" t="s">
        <v>30612</v>
      </c>
      <c r="AA5742">
        <v>0.41535747580913002</v>
      </c>
      <c r="AB5742" t="str">
        <f>HYPERLINK("Melting_Curves/meltCurve_Q9P253_VPS18.pdf", "Melting_Curves/meltCurve_Q9P253_VPS18.pdf")</f>
        <v>Melting_Curves/meltCurve_Q9P253_VPS18.pdf</v>
      </c>
    </row>
    <row r="5743" spans="1:28" x14ac:dyDescent="0.25">
      <c r="A5743" t="s">
        <v>5747</v>
      </c>
      <c r="B5743">
        <v>0.99352677808782597</v>
      </c>
      <c r="C5743">
        <v>0.956468349149732</v>
      </c>
      <c r="D5743">
        <v>0.96433131631108904</v>
      </c>
      <c r="E5743">
        <v>0.41192927197992202</v>
      </c>
      <c r="F5743">
        <v>0.34612562586760198</v>
      </c>
      <c r="G5743">
        <v>0.160168211593292</v>
      </c>
      <c r="H5743">
        <v>0.112652810257706</v>
      </c>
      <c r="I5743">
        <v>0.103209225619368</v>
      </c>
      <c r="J5743">
        <v>8.6622575696562898E-2</v>
      </c>
      <c r="K5743">
        <v>7.1442884819736499E-2</v>
      </c>
      <c r="L5743">
        <v>1184.4233559730999</v>
      </c>
      <c r="M5743">
        <v>23.896925294535301</v>
      </c>
      <c r="N5743">
        <v>50.041825096129202</v>
      </c>
      <c r="O5743">
        <v>49.220669175856102</v>
      </c>
      <c r="P5743">
        <v>-0.10899313481242499</v>
      </c>
      <c r="Q5743">
        <v>0.102038663534225</v>
      </c>
      <c r="R5743">
        <v>0.98181445084653995</v>
      </c>
      <c r="S5743" t="s">
        <v>12028</v>
      </c>
      <c r="T5743" t="s">
        <v>12568</v>
      </c>
      <c r="U5743" t="s">
        <v>12568</v>
      </c>
      <c r="V5743" t="s">
        <v>12568</v>
      </c>
      <c r="W5743" t="s">
        <v>18258</v>
      </c>
      <c r="X5743">
        <v>22</v>
      </c>
      <c r="Y5743" t="s">
        <v>24346</v>
      </c>
      <c r="Z5743" t="s">
        <v>30613</v>
      </c>
      <c r="AA5743">
        <v>0.39706258656787879</v>
      </c>
      <c r="AB5743" t="str">
        <f>HYPERLINK("Melting_Curves/meltCurve_Q9P258_RCC2.pdf", "Melting_Curves/meltCurve_Q9P258_RCC2.pdf")</f>
        <v>Melting_Curves/meltCurve_Q9P258_RCC2.pdf</v>
      </c>
    </row>
    <row r="5744" spans="1:28" x14ac:dyDescent="0.25">
      <c r="A5744" t="s">
        <v>5748</v>
      </c>
      <c r="B5744">
        <v>0.99352677808782597</v>
      </c>
      <c r="C5744">
        <v>1.05717190056191</v>
      </c>
      <c r="D5744">
        <v>0.84462922422872899</v>
      </c>
      <c r="E5744">
        <v>0.50595805480119105</v>
      </c>
      <c r="F5744">
        <v>0.45350571172418003</v>
      </c>
      <c r="G5744">
        <v>0.209911018328059</v>
      </c>
      <c r="H5744">
        <v>8.3169441699086299E-2</v>
      </c>
      <c r="I5744">
        <v>0.110291738537556</v>
      </c>
      <c r="J5744">
        <v>3.6711613667700101E-2</v>
      </c>
      <c r="K5744">
        <v>0</v>
      </c>
      <c r="L5744">
        <v>749.25725970886697</v>
      </c>
      <c r="M5744">
        <v>14.6159050855695</v>
      </c>
      <c r="N5744">
        <v>51.367618530120602</v>
      </c>
      <c r="O5744">
        <v>50.332175649913502</v>
      </c>
      <c r="P5744">
        <v>-7.1542056532341497E-2</v>
      </c>
      <c r="Q5744">
        <v>1.4644468882046501E-2</v>
      </c>
      <c r="R5744">
        <v>0.98112706872795297</v>
      </c>
      <c r="S5744" t="s">
        <v>12029</v>
      </c>
      <c r="T5744" t="s">
        <v>12568</v>
      </c>
      <c r="U5744" t="s">
        <v>12568</v>
      </c>
      <c r="V5744" t="s">
        <v>12568</v>
      </c>
      <c r="W5744" t="s">
        <v>18259</v>
      </c>
      <c r="X5744">
        <v>13</v>
      </c>
      <c r="Y5744" t="s">
        <v>24347</v>
      </c>
      <c r="Z5744" t="s">
        <v>30614</v>
      </c>
      <c r="AA5744">
        <v>0.40812345446145082</v>
      </c>
      <c r="AB5744" t="str">
        <f>HYPERLINK("Melting_Curves/meltCurve_Q9P260_KIAA1468.pdf", "Melting_Curves/meltCurve_Q9P260_KIAA1468.pdf")</f>
        <v>Melting_Curves/meltCurve_Q9P260_KIAA1468.pdf</v>
      </c>
    </row>
    <row r="5745" spans="1:28" x14ac:dyDescent="0.25">
      <c r="A5745" t="s">
        <v>5749</v>
      </c>
      <c r="B5745">
        <v>0.99352677808782597</v>
      </c>
      <c r="C5745">
        <v>1.0200469527396401</v>
      </c>
      <c r="D5745">
        <v>0.81186094880691695</v>
      </c>
      <c r="E5745">
        <v>0.45706671671406701</v>
      </c>
      <c r="F5745">
        <v>0.39298348951532602</v>
      </c>
      <c r="G5745">
        <v>0.227808300594004</v>
      </c>
      <c r="H5745">
        <v>0.152056576432026</v>
      </c>
      <c r="I5745">
        <v>0.192627290000732</v>
      </c>
      <c r="J5745">
        <v>0.117953173500272</v>
      </c>
      <c r="K5745">
        <v>0.105681986480247</v>
      </c>
      <c r="L5745">
        <v>874.40908889058403</v>
      </c>
      <c r="M5745">
        <v>17.706205424810499</v>
      </c>
      <c r="N5745">
        <v>50.282778791887999</v>
      </c>
      <c r="O5745">
        <v>48.767324941487097</v>
      </c>
      <c r="P5745">
        <v>-7.8464144603447902E-2</v>
      </c>
      <c r="Q5745">
        <v>0.13560587417284201</v>
      </c>
      <c r="R5745">
        <v>0.98535369548316099</v>
      </c>
      <c r="S5745" t="s">
        <v>12030</v>
      </c>
      <c r="T5745" t="s">
        <v>12568</v>
      </c>
      <c r="U5745" t="s">
        <v>12568</v>
      </c>
      <c r="V5745" t="s">
        <v>12568</v>
      </c>
      <c r="W5745" t="s">
        <v>18260</v>
      </c>
      <c r="X5745">
        <v>13</v>
      </c>
      <c r="Y5745" t="s">
        <v>24347</v>
      </c>
      <c r="Z5745" t="s">
        <v>30615</v>
      </c>
      <c r="AA5745">
        <v>0.42135597943582809</v>
      </c>
      <c r="AB5745" t="str">
        <f>HYPERLINK("Melting_Curves/meltCurve_Q9P260_2_KIAA1468.pdf", "Melting_Curves/meltCurve_Q9P260_2_KIAA1468.pdf")</f>
        <v>Melting_Curves/meltCurve_Q9P260_2_KIAA1468.pdf</v>
      </c>
    </row>
    <row r="5746" spans="1:28" x14ac:dyDescent="0.25">
      <c r="A5746" t="s">
        <v>5750</v>
      </c>
      <c r="B5746">
        <v>0.99352677808782597</v>
      </c>
      <c r="C5746">
        <v>0.99811210130144101</v>
      </c>
      <c r="D5746">
        <v>0.90723754428436398</v>
      </c>
      <c r="E5746">
        <v>0.90563101049053496</v>
      </c>
      <c r="F5746">
        <v>0.73680828079057203</v>
      </c>
      <c r="G5746">
        <v>0.48735519165819302</v>
      </c>
      <c r="H5746">
        <v>0.17445475714796599</v>
      </c>
      <c r="I5746">
        <v>0.14906942920611899</v>
      </c>
      <c r="J5746">
        <v>0.12838900065512701</v>
      </c>
      <c r="K5746">
        <v>0.107602300390147</v>
      </c>
      <c r="L5746">
        <v>1027.08343325746</v>
      </c>
      <c r="M5746">
        <v>18.411763752861098</v>
      </c>
      <c r="N5746">
        <v>56.260620512173197</v>
      </c>
      <c r="O5746">
        <v>55.1385128304468</v>
      </c>
      <c r="P5746">
        <v>-7.7455919527909298E-2</v>
      </c>
      <c r="Q5746">
        <v>7.2199375423876097E-2</v>
      </c>
      <c r="R5746">
        <v>0.99189176384523303</v>
      </c>
      <c r="S5746" t="s">
        <v>12031</v>
      </c>
      <c r="T5746" t="s">
        <v>12568</v>
      </c>
      <c r="U5746" t="s">
        <v>12568</v>
      </c>
      <c r="V5746" t="s">
        <v>12568</v>
      </c>
      <c r="W5746" t="s">
        <v>18261</v>
      </c>
      <c r="X5746">
        <v>32</v>
      </c>
      <c r="Y5746" t="s">
        <v>24348</v>
      </c>
      <c r="Z5746" t="s">
        <v>30616</v>
      </c>
      <c r="AA5746">
        <v>0.57380041491296985</v>
      </c>
      <c r="AB5746" t="str">
        <f>HYPERLINK("Melting_Curves/meltCurve_Q9P265_DIP2B.pdf", "Melting_Curves/meltCurve_Q9P265_DIP2B.pdf")</f>
        <v>Melting_Curves/meltCurve_Q9P265_DIP2B.pdf</v>
      </c>
    </row>
    <row r="5747" spans="1:28" x14ac:dyDescent="0.25">
      <c r="A5747" t="s">
        <v>5751</v>
      </c>
      <c r="B5747">
        <v>0.99352677808782597</v>
      </c>
      <c r="C5747">
        <v>1.0161853544691399</v>
      </c>
      <c r="D5747">
        <v>0.96474093966346597</v>
      </c>
      <c r="E5747">
        <v>0.98563118021180396</v>
      </c>
      <c r="F5747">
        <v>0.87289698907040303</v>
      </c>
      <c r="G5747">
        <v>0.76152509314365402</v>
      </c>
      <c r="H5747">
        <v>0.70716469867367804</v>
      </c>
      <c r="I5747">
        <v>0.71837898785321797</v>
      </c>
      <c r="J5747">
        <v>0.78939757067962801</v>
      </c>
      <c r="K5747">
        <v>0.671417505770465</v>
      </c>
      <c r="L5747">
        <v>1787.13674881209</v>
      </c>
      <c r="M5747">
        <v>33.4599627909123</v>
      </c>
      <c r="O5747">
        <v>53.221500426028697</v>
      </c>
      <c r="P5747">
        <v>-4.3710971122308998E-2</v>
      </c>
      <c r="Q5747">
        <v>0.72189405379926996</v>
      </c>
      <c r="R5747">
        <v>0.94316981797535204</v>
      </c>
      <c r="S5747" t="s">
        <v>12032</v>
      </c>
      <c r="T5747" t="s">
        <v>12568</v>
      </c>
      <c r="U5747" t="s">
        <v>12568</v>
      </c>
      <c r="V5747" t="s">
        <v>12568</v>
      </c>
      <c r="W5747" t="s">
        <v>18262</v>
      </c>
      <c r="X5747">
        <v>6</v>
      </c>
      <c r="Y5747" t="s">
        <v>24349</v>
      </c>
      <c r="Z5747" t="s">
        <v>30617</v>
      </c>
      <c r="AA5747">
        <v>0.84768211047494169</v>
      </c>
      <c r="AB5747" t="str">
        <f>HYPERLINK("Melting_Curves/meltCurve_Q9P266_KIAA1462.pdf", "Melting_Curves/meltCurve_Q9P266_KIAA1462.pdf")</f>
        <v>Melting_Curves/meltCurve_Q9P266_KIAA1462.pdf</v>
      </c>
    </row>
    <row r="5748" spans="1:28" x14ac:dyDescent="0.25">
      <c r="A5748" t="s">
        <v>5752</v>
      </c>
      <c r="B5748">
        <v>0.99352677808782597</v>
      </c>
      <c r="C5748">
        <v>0.98985427281586702</v>
      </c>
      <c r="D5748">
        <v>0.97631931571236896</v>
      </c>
      <c r="E5748">
        <v>0.90697633063285699</v>
      </c>
      <c r="F5748">
        <v>0.77382083664870605</v>
      </c>
      <c r="G5748">
        <v>0.66100421878304905</v>
      </c>
      <c r="H5748">
        <v>0.55017006099308996</v>
      </c>
      <c r="I5748">
        <v>0.57119248921072496</v>
      </c>
      <c r="J5748">
        <v>0.60507459536452302</v>
      </c>
      <c r="K5748">
        <v>0.52733774645338605</v>
      </c>
      <c r="L5748">
        <v>1065.0008948637201</v>
      </c>
      <c r="M5748">
        <v>20.044291141697201</v>
      </c>
      <c r="O5748">
        <v>52.612020343201799</v>
      </c>
      <c r="P5748">
        <v>-4.2622440394191698E-2</v>
      </c>
      <c r="Q5748">
        <v>0.55251496017816604</v>
      </c>
      <c r="R5748">
        <v>0.98674593278537404</v>
      </c>
      <c r="S5748" t="s">
        <v>12033</v>
      </c>
      <c r="T5748" t="s">
        <v>12568</v>
      </c>
      <c r="U5748" t="s">
        <v>12568</v>
      </c>
      <c r="V5748" t="s">
        <v>12568</v>
      </c>
      <c r="W5748" t="s">
        <v>18263</v>
      </c>
      <c r="X5748">
        <v>19</v>
      </c>
      <c r="Y5748" t="s">
        <v>24350</v>
      </c>
      <c r="Z5748" t="s">
        <v>30618</v>
      </c>
      <c r="AA5748">
        <v>0.75452407642887587</v>
      </c>
      <c r="AB5748" t="str">
        <f>HYPERLINK("Melting_Curves/meltCurve_Q9P270_SLAIN2.pdf", "Melting_Curves/meltCurve_Q9P270_SLAIN2.pdf")</f>
        <v>Melting_Curves/meltCurve_Q9P270_SLAIN2.pdf</v>
      </c>
    </row>
    <row r="5749" spans="1:28" x14ac:dyDescent="0.25">
      <c r="A5749" t="s">
        <v>5753</v>
      </c>
      <c r="B5749">
        <v>0.99352677808782597</v>
      </c>
      <c r="C5749">
        <v>0.94844753304130303</v>
      </c>
      <c r="D5749">
        <v>1.0524899591739001</v>
      </c>
      <c r="E5749">
        <v>0.80065352848001603</v>
      </c>
      <c r="F5749">
        <v>0.86867491764798799</v>
      </c>
      <c r="G5749">
        <v>0.76564289289593401</v>
      </c>
      <c r="H5749">
        <v>0.87512017779929197</v>
      </c>
      <c r="I5749">
        <v>0.90257647378591799</v>
      </c>
      <c r="J5749">
        <v>0.73527877831848298</v>
      </c>
      <c r="K5749">
        <v>0.69556764522737702</v>
      </c>
      <c r="L5749">
        <v>12034.677184194201</v>
      </c>
      <c r="M5749">
        <v>250</v>
      </c>
      <c r="O5749">
        <v>48.135628202849603</v>
      </c>
      <c r="P5749">
        <v>-0.251614601238352</v>
      </c>
      <c r="Q5749">
        <v>0.80621396999442496</v>
      </c>
      <c r="R5749">
        <v>0.64625621760721397</v>
      </c>
      <c r="S5749" t="s">
        <v>12034</v>
      </c>
      <c r="T5749" t="s">
        <v>12568</v>
      </c>
      <c r="U5749" t="s">
        <v>12568</v>
      </c>
      <c r="V5749" t="s">
        <v>12568</v>
      </c>
      <c r="W5749" t="s">
        <v>18264</v>
      </c>
      <c r="X5749">
        <v>4</v>
      </c>
      <c r="Y5749" t="s">
        <v>24351</v>
      </c>
      <c r="Z5749" t="s">
        <v>30619</v>
      </c>
      <c r="AA5749">
        <v>0.85880261007420566</v>
      </c>
      <c r="AB5749" t="str">
        <f>HYPERLINK("Melting_Curves/meltCurve_Q9P275_USP36.pdf", "Melting_Curves/meltCurve_Q9P275_USP36.pdf")</f>
        <v>Melting_Curves/meltCurve_Q9P275_USP36.pdf</v>
      </c>
    </row>
    <row r="5750" spans="1:28" x14ac:dyDescent="0.25">
      <c r="A5750" t="s">
        <v>5754</v>
      </c>
      <c r="B5750">
        <v>0.99352677808782597</v>
      </c>
      <c r="C5750">
        <v>0.96643093115655998</v>
      </c>
      <c r="D5750">
        <v>0.94755292537838398</v>
      </c>
      <c r="E5750">
        <v>0.65598022743001405</v>
      </c>
      <c r="F5750">
        <v>0.61106685804210004</v>
      </c>
      <c r="G5750">
        <v>0.32590716011901799</v>
      </c>
      <c r="H5750">
        <v>0.23463132760356001</v>
      </c>
      <c r="I5750">
        <v>0.19459382079544801</v>
      </c>
      <c r="J5750">
        <v>0.18941511308526601</v>
      </c>
      <c r="K5750">
        <v>0.135214860680578</v>
      </c>
      <c r="L5750">
        <v>751.95041580756504</v>
      </c>
      <c r="M5750">
        <v>14.253530950852699</v>
      </c>
      <c r="N5750">
        <v>53.859872471396301</v>
      </c>
      <c r="O5750">
        <v>51.749543364701097</v>
      </c>
      <c r="P5750">
        <v>-6.0139571444988597E-2</v>
      </c>
      <c r="Q5750">
        <v>0.12672545070256699</v>
      </c>
      <c r="R5750">
        <v>0.98909158166354505</v>
      </c>
      <c r="S5750" t="s">
        <v>12035</v>
      </c>
      <c r="T5750" t="s">
        <v>12568</v>
      </c>
      <c r="U5750" t="s">
        <v>12568</v>
      </c>
      <c r="V5750" t="s">
        <v>12568</v>
      </c>
      <c r="W5750" t="s">
        <v>18265</v>
      </c>
      <c r="X5750">
        <v>14</v>
      </c>
      <c r="Y5750" t="s">
        <v>24352</v>
      </c>
      <c r="Z5750" t="s">
        <v>30620</v>
      </c>
      <c r="AA5750">
        <v>0.51840761297360738</v>
      </c>
      <c r="AB5750" t="str">
        <f>HYPERLINK("Melting_Curves/meltCurve_Q9P287_BCCIP.pdf", "Melting_Curves/meltCurve_Q9P287_BCCIP.pdf")</f>
        <v>Melting_Curves/meltCurve_Q9P287_BCCIP.pdf</v>
      </c>
    </row>
    <row r="5751" spans="1:28" x14ac:dyDescent="0.25">
      <c r="A5751" t="s">
        <v>5755</v>
      </c>
      <c r="B5751">
        <v>0.99352677808782597</v>
      </c>
      <c r="C5751">
        <v>0.95880546347713502</v>
      </c>
      <c r="D5751">
        <v>0.90656645923747403</v>
      </c>
      <c r="E5751">
        <v>0.78821298860602096</v>
      </c>
      <c r="F5751">
        <v>1.1864929879639301</v>
      </c>
      <c r="G5751">
        <v>0.86808934032518703</v>
      </c>
      <c r="H5751">
        <v>0.33838769200083502</v>
      </c>
      <c r="I5751">
        <v>0.16597119814358099</v>
      </c>
      <c r="J5751">
        <v>0.154794998714365</v>
      </c>
      <c r="K5751">
        <v>0.109074830123667</v>
      </c>
      <c r="L5751">
        <v>2634.2728156834401</v>
      </c>
      <c r="M5751">
        <v>44.363150788321001</v>
      </c>
      <c r="N5751">
        <v>59.786393834090099</v>
      </c>
      <c r="O5751">
        <v>59.259472977240499</v>
      </c>
      <c r="P5751">
        <v>-0.16278224416520601</v>
      </c>
      <c r="Q5751">
        <v>0.13023520471937899</v>
      </c>
      <c r="R5751">
        <v>0.93835489510842995</v>
      </c>
      <c r="S5751" t="s">
        <v>12036</v>
      </c>
      <c r="T5751" t="s">
        <v>12568</v>
      </c>
      <c r="U5751" t="s">
        <v>12568</v>
      </c>
      <c r="V5751" t="s">
        <v>12568</v>
      </c>
      <c r="W5751" t="s">
        <v>18266</v>
      </c>
      <c r="X5751">
        <v>11</v>
      </c>
      <c r="Y5751" t="s">
        <v>24352</v>
      </c>
      <c r="Z5751" t="s">
        <v>30621</v>
      </c>
      <c r="AA5751">
        <v>0.69492624092083066</v>
      </c>
      <c r="AB5751" t="str">
        <f>HYPERLINK("Melting_Curves/meltCurve_Q9P287_2_BCCIP.pdf", "Melting_Curves/meltCurve_Q9P287_2_BCCIP.pdf")</f>
        <v>Melting_Curves/meltCurve_Q9P287_2_BCCIP.pdf</v>
      </c>
    </row>
    <row r="5752" spans="1:28" x14ac:dyDescent="0.25">
      <c r="A5752" t="s">
        <v>5756</v>
      </c>
      <c r="B5752">
        <v>0.99352677808782597</v>
      </c>
      <c r="C5752">
        <v>0.90399664865836304</v>
      </c>
      <c r="D5752">
        <v>0.69925992731999798</v>
      </c>
      <c r="E5752">
        <v>0.35402493608904301</v>
      </c>
      <c r="F5752">
        <v>0.27689192207276703</v>
      </c>
      <c r="G5752">
        <v>0.186247362015458</v>
      </c>
      <c r="H5752">
        <v>0.123273906642644</v>
      </c>
      <c r="I5752">
        <v>0.13087166059796199</v>
      </c>
      <c r="J5752">
        <v>0.10970950059415301</v>
      </c>
      <c r="K5752">
        <v>9.7388141382325405E-2</v>
      </c>
      <c r="L5752">
        <v>848.33091054868498</v>
      </c>
      <c r="M5752">
        <v>17.778385431701398</v>
      </c>
      <c r="N5752">
        <v>48.424996947185001</v>
      </c>
      <c r="O5752">
        <v>47.125541613357001</v>
      </c>
      <c r="P5752">
        <v>-8.3524132757355193E-2</v>
      </c>
      <c r="Q5752">
        <v>0.114449155110949</v>
      </c>
      <c r="R5752">
        <v>0.99625602039929695</v>
      </c>
      <c r="S5752" t="s">
        <v>12037</v>
      </c>
      <c r="T5752" t="s">
        <v>12568</v>
      </c>
      <c r="U5752" t="s">
        <v>12568</v>
      </c>
      <c r="V5752" t="s">
        <v>12568</v>
      </c>
      <c r="W5752" t="s">
        <v>18267</v>
      </c>
      <c r="X5752">
        <v>15</v>
      </c>
      <c r="Y5752" t="s">
        <v>24353</v>
      </c>
      <c r="Z5752" t="s">
        <v>30622</v>
      </c>
      <c r="AA5752">
        <v>0.35851949748774509</v>
      </c>
      <c r="AB5752" t="str">
        <f>HYPERLINK("Melting_Curves/meltCurve_Q9P289_MST4.pdf", "Melting_Curves/meltCurve_Q9P289_MST4.pdf")</f>
        <v>Melting_Curves/meltCurve_Q9P289_MST4.pdf</v>
      </c>
    </row>
    <row r="5753" spans="1:28" x14ac:dyDescent="0.25">
      <c r="A5753" t="s">
        <v>5757</v>
      </c>
      <c r="B5753">
        <v>0.99352677808782597</v>
      </c>
      <c r="C5753">
        <v>0.98892300973481495</v>
      </c>
      <c r="D5753">
        <v>0.99364390497464405</v>
      </c>
      <c r="E5753">
        <v>0.99490487364971802</v>
      </c>
      <c r="F5753">
        <v>0.89250036453771897</v>
      </c>
      <c r="G5753">
        <v>0.68331222988334595</v>
      </c>
      <c r="H5753">
        <v>0.37175723927717802</v>
      </c>
      <c r="I5753">
        <v>0.33961932233310099</v>
      </c>
      <c r="J5753">
        <v>0.171278732939569</v>
      </c>
      <c r="K5753">
        <v>0.13969860641465801</v>
      </c>
      <c r="L5753">
        <v>1072.0034152523499</v>
      </c>
      <c r="M5753">
        <v>18.216030115908399</v>
      </c>
      <c r="N5753">
        <v>59.614376994490598</v>
      </c>
      <c r="O5753">
        <v>58.153978765258501</v>
      </c>
      <c r="P5753">
        <v>-7.01519272031432E-2</v>
      </c>
      <c r="Q5753">
        <v>0.10421281228952101</v>
      </c>
      <c r="R5753">
        <v>0.99344756295012204</v>
      </c>
      <c r="S5753" t="s">
        <v>12038</v>
      </c>
      <c r="T5753" t="s">
        <v>12568</v>
      </c>
      <c r="U5753" t="s">
        <v>12568</v>
      </c>
      <c r="V5753" t="s">
        <v>12568</v>
      </c>
      <c r="W5753" t="s">
        <v>18268</v>
      </c>
      <c r="X5753">
        <v>4</v>
      </c>
      <c r="Y5753" t="s">
        <v>24354</v>
      </c>
      <c r="Z5753" t="s">
        <v>30623</v>
      </c>
      <c r="AA5753">
        <v>0.6767554612345712</v>
      </c>
      <c r="AB5753" t="str">
        <f>HYPERLINK("Melting_Curves/meltCurve_Q9P299_COPZ2.pdf", "Melting_Curves/meltCurve_Q9P299_COPZ2.pdf")</f>
        <v>Melting_Curves/meltCurve_Q9P299_COPZ2.pdf</v>
      </c>
    </row>
    <row r="5754" spans="1:28" x14ac:dyDescent="0.25">
      <c r="A5754" t="s">
        <v>5758</v>
      </c>
      <c r="B5754">
        <v>0.99352677808782597</v>
      </c>
      <c r="C5754">
        <v>0.88667627717341302</v>
      </c>
      <c r="D5754">
        <v>0.87986509611077701</v>
      </c>
      <c r="E5754">
        <v>0.48871267185740602</v>
      </c>
      <c r="F5754">
        <v>0.50464011288805599</v>
      </c>
      <c r="G5754">
        <v>0.44838591201008099</v>
      </c>
      <c r="H5754">
        <v>0.43707110941381</v>
      </c>
      <c r="I5754">
        <v>0.46417811484233101</v>
      </c>
      <c r="J5754">
        <v>0.48415226887977703</v>
      </c>
      <c r="K5754">
        <v>0.516127115621554</v>
      </c>
      <c r="L5754">
        <v>2054.2227234348802</v>
      </c>
      <c r="M5754">
        <v>43.587205644038598</v>
      </c>
      <c r="N5754">
        <v>50.458012625197902</v>
      </c>
      <c r="O5754">
        <v>47.030150020833702</v>
      </c>
      <c r="P5754">
        <v>-0.122380604403221</v>
      </c>
      <c r="Q5754">
        <v>0.47181108798397597</v>
      </c>
      <c r="R5754">
        <v>0.960304256250743</v>
      </c>
      <c r="S5754" t="s">
        <v>12039</v>
      </c>
      <c r="T5754" t="s">
        <v>12568</v>
      </c>
      <c r="U5754" t="s">
        <v>12568</v>
      </c>
      <c r="V5754" t="s">
        <v>12568</v>
      </c>
      <c r="W5754" t="s">
        <v>18269</v>
      </c>
      <c r="X5754">
        <v>4</v>
      </c>
      <c r="Y5754" t="s">
        <v>24355</v>
      </c>
      <c r="Z5754" t="s">
        <v>30624</v>
      </c>
      <c r="AA5754">
        <v>0.59877995910696247</v>
      </c>
      <c r="AB5754" t="str">
        <f>HYPERLINK("Melting_Curves/meltCurve_Q9P2B2_PTGFRN.pdf", "Melting_Curves/meltCurve_Q9P2B2_PTGFRN.pdf")</f>
        <v>Melting_Curves/meltCurve_Q9P2B2_PTGFRN.pdf</v>
      </c>
    </row>
    <row r="5755" spans="1:28" x14ac:dyDescent="0.25">
      <c r="A5755" t="s">
        <v>5759</v>
      </c>
      <c r="B5755">
        <v>0.99352677808782597</v>
      </c>
      <c r="C5755">
        <v>1.0125904000446799</v>
      </c>
      <c r="D5755">
        <v>0.87458642900249495</v>
      </c>
      <c r="E5755">
        <v>0.81680116873981201</v>
      </c>
      <c r="F5755">
        <v>0.69856170813968899</v>
      </c>
      <c r="G5755">
        <v>0.58733554847033598</v>
      </c>
      <c r="H5755">
        <v>0.469552105505326</v>
      </c>
      <c r="I5755">
        <v>0.48668672704593302</v>
      </c>
      <c r="J5755">
        <v>0.57648148057409698</v>
      </c>
      <c r="K5755">
        <v>0.51062801226594801</v>
      </c>
      <c r="L5755">
        <v>810.76473394999903</v>
      </c>
      <c r="M5755">
        <v>15.8233992596815</v>
      </c>
      <c r="O5755">
        <v>50.440920820356801</v>
      </c>
      <c r="P5755">
        <v>-3.9468387600337801E-2</v>
      </c>
      <c r="Q5755">
        <v>0.49678102243780597</v>
      </c>
      <c r="R5755">
        <v>0.96283613737519902</v>
      </c>
      <c r="S5755" t="s">
        <v>12040</v>
      </c>
      <c r="T5755" t="s">
        <v>12568</v>
      </c>
      <c r="U5755" t="s">
        <v>12568</v>
      </c>
      <c r="V5755" t="s">
        <v>12568</v>
      </c>
      <c r="W5755" t="s">
        <v>18270</v>
      </c>
      <c r="X5755">
        <v>21</v>
      </c>
      <c r="Y5755" t="s">
        <v>24356</v>
      </c>
      <c r="Z5755" t="s">
        <v>30625</v>
      </c>
      <c r="AA5755">
        <v>0.6958580621001127</v>
      </c>
      <c r="AB5755" t="str">
        <f>HYPERLINK("Melting_Curves/meltCurve_Q9P2B4_CTTNBP2NL.pdf", "Melting_Curves/meltCurve_Q9P2B4_CTTNBP2NL.pdf")</f>
        <v>Melting_Curves/meltCurve_Q9P2B4_CTTNBP2NL.pdf</v>
      </c>
    </row>
    <row r="5756" spans="1:28" x14ac:dyDescent="0.25">
      <c r="A5756" t="s">
        <v>5760</v>
      </c>
      <c r="B5756">
        <v>0.99352677808782597</v>
      </c>
      <c r="C5756">
        <v>0.97345358420771599</v>
      </c>
      <c r="D5756">
        <v>0.93238939044668001</v>
      </c>
      <c r="E5756">
        <v>1.04995856868572</v>
      </c>
      <c r="F5756">
        <v>0.89868798983352005</v>
      </c>
      <c r="G5756">
        <v>0.79487205423713003</v>
      </c>
      <c r="H5756">
        <v>0.76008772399254099</v>
      </c>
      <c r="I5756">
        <v>0.77737364708087997</v>
      </c>
      <c r="J5756">
        <v>0.77943667620101598</v>
      </c>
      <c r="K5756">
        <v>0.68624476320697902</v>
      </c>
      <c r="L5756">
        <v>2439.6739756585898</v>
      </c>
      <c r="M5756">
        <v>45.429929304130198</v>
      </c>
      <c r="O5756">
        <v>53.598165658825202</v>
      </c>
      <c r="P5756">
        <v>-5.1898776203942398E-2</v>
      </c>
      <c r="Q5756">
        <v>0.75507989861702096</v>
      </c>
      <c r="R5756">
        <v>0.88342795914185002</v>
      </c>
      <c r="S5756" t="s">
        <v>12041</v>
      </c>
      <c r="T5756" t="s">
        <v>12568</v>
      </c>
      <c r="U5756" t="s">
        <v>12568</v>
      </c>
      <c r="V5756" t="s">
        <v>12568</v>
      </c>
      <c r="W5756" t="s">
        <v>18271</v>
      </c>
      <c r="X5756">
        <v>1</v>
      </c>
      <c r="Y5756" t="s">
        <v>24357</v>
      </c>
      <c r="Z5756" t="s">
        <v>30626</v>
      </c>
      <c r="AA5756">
        <v>0.86764550192582601</v>
      </c>
      <c r="AB5756" t="str">
        <f>HYPERLINK("Melting_Curves/meltCurve_Q9P2B7_2_KIAA1430.pdf", "Melting_Curves/meltCurve_Q9P2B7_2_KIAA1430.pdf")</f>
        <v>Melting_Curves/meltCurve_Q9P2B7_2_KIAA1430.pdf</v>
      </c>
    </row>
    <row r="5757" spans="1:28" x14ac:dyDescent="0.25">
      <c r="A5757" t="s">
        <v>5761</v>
      </c>
      <c r="B5757">
        <v>0.99352677808782597</v>
      </c>
      <c r="C5757">
        <v>0.95711731867034799</v>
      </c>
      <c r="D5757">
        <v>1.06356573847872</v>
      </c>
      <c r="E5757">
        <v>0.96256099204623902</v>
      </c>
      <c r="F5757">
        <v>0.92213580346132795</v>
      </c>
      <c r="G5757">
        <v>0.87914487805701003</v>
      </c>
      <c r="H5757">
        <v>0.69210842154884999</v>
      </c>
      <c r="I5757">
        <v>0.83455178429007804</v>
      </c>
      <c r="J5757">
        <v>0.82786809241045101</v>
      </c>
      <c r="K5757">
        <v>0.59253202833154595</v>
      </c>
      <c r="L5757">
        <v>410.09145510878398</v>
      </c>
      <c r="M5757">
        <v>5.1863648271639597</v>
      </c>
      <c r="O5757">
        <v>69.587908672590601</v>
      </c>
      <c r="P5757">
        <v>-1.8733094860979502E-2</v>
      </c>
      <c r="Q5757">
        <v>0</v>
      </c>
      <c r="R5757">
        <v>0.74620773984897704</v>
      </c>
      <c r="S5757" t="s">
        <v>12042</v>
      </c>
      <c r="T5757" t="s">
        <v>12568</v>
      </c>
      <c r="U5757" t="s">
        <v>12568</v>
      </c>
      <c r="V5757" t="s">
        <v>12568</v>
      </c>
      <c r="W5757" t="s">
        <v>18272</v>
      </c>
      <c r="X5757">
        <v>6</v>
      </c>
      <c r="Y5757" t="s">
        <v>24358</v>
      </c>
      <c r="Z5757" t="s">
        <v>30627</v>
      </c>
      <c r="AA5757">
        <v>0.87808016706630865</v>
      </c>
      <c r="AB5757" t="str">
        <f>HYPERLINK("Melting_Curves/meltCurve_Q9P2D1_CHD7.pdf", "Melting_Curves/meltCurve_Q9P2D1_CHD7.pdf")</f>
        <v>Melting_Curves/meltCurve_Q9P2D1_CHD7.pdf</v>
      </c>
    </row>
    <row r="5758" spans="1:28" x14ac:dyDescent="0.25">
      <c r="A5758" t="s">
        <v>5762</v>
      </c>
      <c r="B5758">
        <v>0.99352677808782597</v>
      </c>
      <c r="C5758">
        <v>0.95873930122339901</v>
      </c>
      <c r="D5758">
        <v>0.82125128735210595</v>
      </c>
      <c r="E5758">
        <v>0.28452042668901301</v>
      </c>
      <c r="F5758">
        <v>0.22762537686134801</v>
      </c>
      <c r="G5758">
        <v>0.135115640374811</v>
      </c>
      <c r="H5758">
        <v>9.1815443134365196E-2</v>
      </c>
      <c r="I5758">
        <v>8.9351490724778507E-2</v>
      </c>
      <c r="J5758">
        <v>7.73209449177929E-2</v>
      </c>
      <c r="K5758">
        <v>7.7380995596930693E-2</v>
      </c>
      <c r="L5758">
        <v>1337.3101179176999</v>
      </c>
      <c r="M5758">
        <v>27.823004538524899</v>
      </c>
      <c r="N5758">
        <v>48.444987001240698</v>
      </c>
      <c r="O5758">
        <v>47.8186670667558</v>
      </c>
      <c r="P5758">
        <v>-0.13119973042352601</v>
      </c>
      <c r="Q5758">
        <v>9.8049836696882095E-2</v>
      </c>
      <c r="R5758">
        <v>0.993626379366642</v>
      </c>
      <c r="S5758" t="s">
        <v>12043</v>
      </c>
      <c r="T5758" t="s">
        <v>12568</v>
      </c>
      <c r="U5758" t="s">
        <v>12568</v>
      </c>
      <c r="V5758" t="s">
        <v>12568</v>
      </c>
      <c r="W5758" t="s">
        <v>18273</v>
      </c>
      <c r="X5758">
        <v>16</v>
      </c>
      <c r="Y5758" t="s">
        <v>24359</v>
      </c>
      <c r="Z5758" t="s">
        <v>30628</v>
      </c>
      <c r="AA5758">
        <v>0.34688096579510352</v>
      </c>
      <c r="AB5758" t="str">
        <f>HYPERLINK("Melting_Curves/meltCurve_Q9P2D3_3_HEATR5B.pdf", "Melting_Curves/meltCurve_Q9P2D3_3_HEATR5B.pdf")</f>
        <v>Melting_Curves/meltCurve_Q9P2D3_3_HEATR5B.pdf</v>
      </c>
    </row>
    <row r="5759" spans="1:28" x14ac:dyDescent="0.25">
      <c r="A5759" t="s">
        <v>5763</v>
      </c>
      <c r="B5759">
        <v>0.99352677808782597</v>
      </c>
      <c r="C5759">
        <v>1.0222989620921099</v>
      </c>
      <c r="D5759">
        <v>1.00460848806212</v>
      </c>
      <c r="E5759">
        <v>0.54843212546447995</v>
      </c>
      <c r="F5759">
        <v>0.49586179549376003</v>
      </c>
      <c r="G5759">
        <v>0.29062173367666999</v>
      </c>
      <c r="H5759">
        <v>0.22693912217196599</v>
      </c>
      <c r="I5759">
        <v>0.25387999191948901</v>
      </c>
      <c r="J5759">
        <v>0.28350022093188598</v>
      </c>
      <c r="K5759">
        <v>0.25147768200902199</v>
      </c>
      <c r="L5759">
        <v>1246.92296254037</v>
      </c>
      <c r="M5759">
        <v>24.917625253451501</v>
      </c>
      <c r="N5759">
        <v>51.555664205303898</v>
      </c>
      <c r="O5759">
        <v>49.7228362392935</v>
      </c>
      <c r="P5759">
        <v>-9.2779606895079803E-2</v>
      </c>
      <c r="Q5759">
        <v>0.25944750747075102</v>
      </c>
      <c r="R5759">
        <v>0.97620127709466398</v>
      </c>
      <c r="S5759" t="s">
        <v>12044</v>
      </c>
      <c r="T5759" t="s">
        <v>12568</v>
      </c>
      <c r="U5759" t="s">
        <v>12568</v>
      </c>
      <c r="V5759" t="s">
        <v>12568</v>
      </c>
      <c r="W5759" t="s">
        <v>18274</v>
      </c>
      <c r="X5759">
        <v>4</v>
      </c>
      <c r="Y5759" t="s">
        <v>24360</v>
      </c>
      <c r="Z5759" t="s">
        <v>30629</v>
      </c>
      <c r="AA5759">
        <v>0.51399604413366862</v>
      </c>
      <c r="AB5759" t="str">
        <f>HYPERLINK("Melting_Curves/meltCurve_Q9P2D6_3_FAM135A.pdf", "Melting_Curves/meltCurve_Q9P2D6_3_FAM135A.pdf")</f>
        <v>Melting_Curves/meltCurve_Q9P2D6_3_FAM135A.pdf</v>
      </c>
    </row>
    <row r="5760" spans="1:28" x14ac:dyDescent="0.25">
      <c r="A5760" t="s">
        <v>5764</v>
      </c>
      <c r="B5760">
        <v>0.99352677808782597</v>
      </c>
      <c r="C5760">
        <v>0.97166611383045198</v>
      </c>
      <c r="D5760">
        <v>0.85498138384282796</v>
      </c>
      <c r="E5760">
        <v>0.68198039268952204</v>
      </c>
      <c r="F5760">
        <v>0.63314599665094695</v>
      </c>
      <c r="G5760">
        <v>0.54169177593666795</v>
      </c>
      <c r="H5760">
        <v>0.51164189881604905</v>
      </c>
      <c r="I5760">
        <v>0.54369785010679705</v>
      </c>
      <c r="J5760">
        <v>0.64659758614353302</v>
      </c>
      <c r="K5760">
        <v>0.52103067537193404</v>
      </c>
      <c r="L5760">
        <v>973.35295123484696</v>
      </c>
      <c r="M5760">
        <v>20.332925764953899</v>
      </c>
      <c r="O5760">
        <v>47.414949799960901</v>
      </c>
      <c r="P5760">
        <v>-4.8054990171752202E-2</v>
      </c>
      <c r="Q5760">
        <v>0.55177026856246603</v>
      </c>
      <c r="R5760">
        <v>0.95600097787878802</v>
      </c>
      <c r="S5760" t="s">
        <v>12045</v>
      </c>
      <c r="T5760" t="s">
        <v>12568</v>
      </c>
      <c r="U5760" t="s">
        <v>12568</v>
      </c>
      <c r="V5760" t="s">
        <v>12568</v>
      </c>
      <c r="W5760" t="s">
        <v>18275</v>
      </c>
      <c r="X5760">
        <v>1</v>
      </c>
      <c r="Y5760" t="s">
        <v>24361</v>
      </c>
      <c r="Z5760" t="s">
        <v>30630</v>
      </c>
      <c r="AA5760">
        <v>0.67553420285208854</v>
      </c>
      <c r="AB5760" t="str">
        <f>HYPERLINK("Melting_Curves/meltCurve_Q9P2D7_5_DNAH1.pdf", "Melting_Curves/meltCurve_Q9P2D7_5_DNAH1.pdf")</f>
        <v>Melting_Curves/meltCurve_Q9P2D7_5_DNAH1.pdf</v>
      </c>
    </row>
    <row r="5761" spans="1:28" x14ac:dyDescent="0.25">
      <c r="A5761" t="s">
        <v>5765</v>
      </c>
      <c r="B5761">
        <v>0.99352677808782597</v>
      </c>
      <c r="C5761">
        <v>0.95489801603732705</v>
      </c>
      <c r="D5761">
        <v>0.78467816080712505</v>
      </c>
      <c r="E5761">
        <v>0.37905286326135901</v>
      </c>
      <c r="F5761">
        <v>0.16615900486236801</v>
      </c>
      <c r="G5761">
        <v>0.180707641475917</v>
      </c>
      <c r="H5761">
        <v>0.122819076079367</v>
      </c>
      <c r="I5761">
        <v>0.108605944736946</v>
      </c>
      <c r="J5761">
        <v>8.2764926722371304E-2</v>
      </c>
      <c r="K5761">
        <v>7.4901564991314798E-2</v>
      </c>
      <c r="L5761">
        <v>1144.6591331120601</v>
      </c>
      <c r="M5761">
        <v>23.735568863313201</v>
      </c>
      <c r="N5761">
        <v>48.695840117040198</v>
      </c>
      <c r="O5761">
        <v>47.887072152390203</v>
      </c>
      <c r="P5761">
        <v>-0.111222123412952</v>
      </c>
      <c r="Q5761">
        <v>0.10244176799814</v>
      </c>
      <c r="R5761">
        <v>0.99567104852786503</v>
      </c>
      <c r="S5761" t="s">
        <v>12046</v>
      </c>
      <c r="T5761" t="s">
        <v>12568</v>
      </c>
      <c r="U5761" t="s">
        <v>12568</v>
      </c>
      <c r="V5761" t="s">
        <v>12568</v>
      </c>
      <c r="W5761" t="s">
        <v>18276</v>
      </c>
      <c r="X5761">
        <v>5</v>
      </c>
      <c r="Y5761" t="s">
        <v>24362</v>
      </c>
      <c r="Z5761" t="s">
        <v>30631</v>
      </c>
      <c r="AA5761">
        <v>0.35738597714588172</v>
      </c>
      <c r="AB5761" t="str">
        <f>HYPERLINK("Melting_Curves/meltCurve_Q9P2E3_ZNFX1.pdf", "Melting_Curves/meltCurve_Q9P2E3_ZNFX1.pdf")</f>
        <v>Melting_Curves/meltCurve_Q9P2E3_ZNFX1.pdf</v>
      </c>
    </row>
    <row r="5762" spans="1:28" x14ac:dyDescent="0.25">
      <c r="A5762" t="s">
        <v>5766</v>
      </c>
      <c r="B5762">
        <v>0.99352677808782597</v>
      </c>
      <c r="C5762">
        <v>1.0039346623571701</v>
      </c>
      <c r="D5762">
        <v>0.95743894188504697</v>
      </c>
      <c r="E5762">
        <v>0.96109129690875394</v>
      </c>
      <c r="F5762">
        <v>0.90242183572922596</v>
      </c>
      <c r="G5762">
        <v>0.73529051895249398</v>
      </c>
      <c r="H5762">
        <v>0.992093964151605</v>
      </c>
      <c r="I5762">
        <v>0.95126131772998701</v>
      </c>
      <c r="J5762">
        <v>1.2433108614635699</v>
      </c>
      <c r="K5762">
        <v>0.75394577576633903</v>
      </c>
      <c r="L5762">
        <v>15000</v>
      </c>
      <c r="M5762">
        <v>213.16578869588301</v>
      </c>
      <c r="Q5762">
        <v>0</v>
      </c>
      <c r="R5762">
        <v>0.194672889447188</v>
      </c>
      <c r="S5762" t="s">
        <v>12047</v>
      </c>
      <c r="T5762" t="s">
        <v>12568</v>
      </c>
      <c r="U5762" t="s">
        <v>12568</v>
      </c>
      <c r="V5762" t="s">
        <v>12568</v>
      </c>
      <c r="W5762" t="s">
        <v>18277</v>
      </c>
      <c r="X5762">
        <v>95</v>
      </c>
      <c r="Y5762" t="s">
        <v>24363</v>
      </c>
      <c r="Z5762" t="s">
        <v>30632</v>
      </c>
      <c r="AA5762">
        <v>0.99695537023078229</v>
      </c>
      <c r="AB5762" t="str">
        <f>HYPERLINK("Melting_Curves/meltCurve_Q9P2E9_RRBP1.pdf", "Melting_Curves/meltCurve_Q9P2E9_RRBP1.pdf")</f>
        <v>Melting_Curves/meltCurve_Q9P2E9_RRBP1.pdf</v>
      </c>
    </row>
    <row r="5763" spans="1:28" x14ac:dyDescent="0.25">
      <c r="A5763" t="s">
        <v>5767</v>
      </c>
      <c r="B5763">
        <v>0.99352677808782597</v>
      </c>
      <c r="C5763">
        <v>0.69391923919865495</v>
      </c>
      <c r="D5763">
        <v>0.87995666527129501</v>
      </c>
      <c r="E5763">
        <v>0.37510923062541701</v>
      </c>
      <c r="F5763">
        <v>0.35797137328411699</v>
      </c>
      <c r="G5763">
        <v>0.112762088965031</v>
      </c>
      <c r="H5763">
        <v>6.36256755080023E-2</v>
      </c>
      <c r="I5763">
        <v>7.0569453982432598E-2</v>
      </c>
      <c r="J5763">
        <v>4.4031754114397401E-2</v>
      </c>
      <c r="K5763">
        <v>0.13179277723001001</v>
      </c>
      <c r="L5763">
        <v>673.40162704770296</v>
      </c>
      <c r="M5763">
        <v>13.744003699638</v>
      </c>
      <c r="N5763">
        <v>49.298305603938701</v>
      </c>
      <c r="O5763">
        <v>47.9937277107597</v>
      </c>
      <c r="P5763">
        <v>-6.8709491636995607E-2</v>
      </c>
      <c r="Q5763">
        <v>4.0409401060252301E-2</v>
      </c>
      <c r="R5763">
        <v>0.92973681055115398</v>
      </c>
      <c r="S5763" t="s">
        <v>12048</v>
      </c>
      <c r="T5763" t="s">
        <v>12568</v>
      </c>
      <c r="U5763" t="s">
        <v>12568</v>
      </c>
      <c r="V5763" t="s">
        <v>12568</v>
      </c>
      <c r="W5763" t="s">
        <v>18278</v>
      </c>
      <c r="X5763">
        <v>1</v>
      </c>
      <c r="Y5763" t="s">
        <v>24364</v>
      </c>
      <c r="Z5763" t="s">
        <v>30633</v>
      </c>
      <c r="AA5763">
        <v>0.35599483871880611</v>
      </c>
      <c r="AB5763" t="str">
        <f>HYPERLINK("Melting_Curves/meltCurve_Q9P2H3_IFT80.pdf", "Melting_Curves/meltCurve_Q9P2H3_IFT80.pdf")</f>
        <v>Melting_Curves/meltCurve_Q9P2H3_IFT80.pdf</v>
      </c>
    </row>
    <row r="5764" spans="1:28" x14ac:dyDescent="0.25">
      <c r="A5764" t="s">
        <v>5768</v>
      </c>
      <c r="B5764">
        <v>0.99352677808782597</v>
      </c>
      <c r="C5764">
        <v>1.04541124004718</v>
      </c>
      <c r="D5764">
        <v>1.0408069726464899</v>
      </c>
      <c r="E5764">
        <v>0.52576660756900295</v>
      </c>
      <c r="F5764">
        <v>0.44739573014610901</v>
      </c>
      <c r="G5764">
        <v>0.26724995615985703</v>
      </c>
      <c r="H5764">
        <v>0.202209618930179</v>
      </c>
      <c r="I5764">
        <v>0.17369276067994599</v>
      </c>
      <c r="J5764">
        <v>0.147799397222308</v>
      </c>
      <c r="K5764">
        <v>0.113357490839949</v>
      </c>
      <c r="L5764">
        <v>1142.8713411389399</v>
      </c>
      <c r="M5764">
        <v>22.601848479433801</v>
      </c>
      <c r="N5764">
        <v>51.475643837874799</v>
      </c>
      <c r="O5764">
        <v>50.174547054966503</v>
      </c>
      <c r="P5764">
        <v>-9.4066749454915194E-2</v>
      </c>
      <c r="Q5764">
        <v>0.16472993795576399</v>
      </c>
      <c r="R5764">
        <v>0.97073516648816205</v>
      </c>
      <c r="S5764" t="s">
        <v>12049</v>
      </c>
      <c r="T5764" t="s">
        <v>12568</v>
      </c>
      <c r="U5764" t="s">
        <v>12568</v>
      </c>
      <c r="V5764" t="s">
        <v>12568</v>
      </c>
      <c r="W5764" t="s">
        <v>18279</v>
      </c>
      <c r="X5764">
        <v>6</v>
      </c>
      <c r="Y5764" t="s">
        <v>24365</v>
      </c>
      <c r="Z5764" t="s">
        <v>30634</v>
      </c>
      <c r="AA5764">
        <v>0.46805829607301302</v>
      </c>
      <c r="AB5764" t="str">
        <f>HYPERLINK("Melting_Curves/meltCurve_Q9P2I0_CPSF2.pdf", "Melting_Curves/meltCurve_Q9P2I0_CPSF2.pdf")</f>
        <v>Melting_Curves/meltCurve_Q9P2I0_CPSF2.pdf</v>
      </c>
    </row>
    <row r="5765" spans="1:28" x14ac:dyDescent="0.25">
      <c r="A5765" t="s">
        <v>5769</v>
      </c>
      <c r="B5765">
        <v>0.99352677808782597</v>
      </c>
      <c r="C5765">
        <v>0.79479933743154096</v>
      </c>
      <c r="D5765">
        <v>0.73247522006641697</v>
      </c>
      <c r="E5765">
        <v>0.39468407629953001</v>
      </c>
      <c r="F5765">
        <v>0.34242851908237698</v>
      </c>
      <c r="G5765">
        <v>0.19618776475737401</v>
      </c>
      <c r="H5765">
        <v>0.125624101385403</v>
      </c>
      <c r="I5765">
        <v>0.117674403117682</v>
      </c>
      <c r="J5765">
        <v>8.7357544705946699E-2</v>
      </c>
      <c r="K5765">
        <v>6.4960613492700894E-2</v>
      </c>
      <c r="L5765">
        <v>604.54241776982497</v>
      </c>
      <c r="M5765">
        <v>12.4388469203071</v>
      </c>
      <c r="N5765">
        <v>49.106190423859601</v>
      </c>
      <c r="O5765">
        <v>47.396293892946701</v>
      </c>
      <c r="P5765">
        <v>-6.1684465562127103E-2</v>
      </c>
      <c r="Q5765">
        <v>6.00408351897583E-2</v>
      </c>
      <c r="R5765">
        <v>0.98786006955344896</v>
      </c>
      <c r="S5765" t="s">
        <v>12050</v>
      </c>
      <c r="T5765" t="s">
        <v>12568</v>
      </c>
      <c r="U5765" t="s">
        <v>12568</v>
      </c>
      <c r="V5765" t="s">
        <v>12568</v>
      </c>
      <c r="W5765" t="s">
        <v>18280</v>
      </c>
      <c r="X5765">
        <v>20</v>
      </c>
      <c r="Y5765" t="s">
        <v>24366</v>
      </c>
      <c r="Z5765" t="s">
        <v>30635</v>
      </c>
      <c r="AA5765">
        <v>0.36278745493397568</v>
      </c>
      <c r="AB5765" t="str">
        <f>HYPERLINK("Melting_Curves/meltCurve_Q9P2J5_LARS.pdf", "Melting_Curves/meltCurve_Q9P2J5_LARS.pdf")</f>
        <v>Melting_Curves/meltCurve_Q9P2J5_LARS.pdf</v>
      </c>
    </row>
    <row r="5766" spans="1:28" x14ac:dyDescent="0.25">
      <c r="A5766" t="s">
        <v>5770</v>
      </c>
      <c r="B5766">
        <v>0.99352677808782597</v>
      </c>
      <c r="C5766">
        <v>0.98948795218272101</v>
      </c>
      <c r="D5766">
        <v>0.92705095863590303</v>
      </c>
      <c r="E5766">
        <v>0.59817580273375803</v>
      </c>
      <c r="F5766">
        <v>0.460641783179215</v>
      </c>
      <c r="G5766">
        <v>0.31531987294694502</v>
      </c>
      <c r="H5766">
        <v>0.189830010390523</v>
      </c>
      <c r="I5766">
        <v>0.177271032459561</v>
      </c>
      <c r="J5766">
        <v>0.137065663922319</v>
      </c>
      <c r="K5766">
        <v>0.153174022281823</v>
      </c>
      <c r="L5766">
        <v>845.74692817417099</v>
      </c>
      <c r="M5766">
        <v>16.537934864387601</v>
      </c>
      <c r="N5766">
        <v>52.203222482231602</v>
      </c>
      <c r="O5766">
        <v>50.409627510701803</v>
      </c>
      <c r="P5766">
        <v>-7.0293690504070805E-2</v>
      </c>
      <c r="Q5766">
        <v>0.14300433657410599</v>
      </c>
      <c r="R5766">
        <v>0.993451557348214</v>
      </c>
      <c r="S5766" t="s">
        <v>12051</v>
      </c>
      <c r="T5766" t="s">
        <v>12568</v>
      </c>
      <c r="U5766" t="s">
        <v>12568</v>
      </c>
      <c r="V5766" t="s">
        <v>12568</v>
      </c>
      <c r="W5766" t="s">
        <v>18281</v>
      </c>
      <c r="X5766">
        <v>2</v>
      </c>
      <c r="Y5766" t="s">
        <v>24367</v>
      </c>
      <c r="Z5766" t="s">
        <v>30636</v>
      </c>
      <c r="AA5766">
        <v>0.47796064552862688</v>
      </c>
      <c r="AB5766" t="str">
        <f>HYPERLINK("Melting_Curves/meltCurve_Q9P2K3_4_RCOR3.pdf", "Melting_Curves/meltCurve_Q9P2K3_4_RCOR3.pdf")</f>
        <v>Melting_Curves/meltCurve_Q9P2K3_4_RCOR3.pdf</v>
      </c>
    </row>
    <row r="5767" spans="1:28" x14ac:dyDescent="0.25">
      <c r="A5767" t="s">
        <v>5771</v>
      </c>
      <c r="B5767">
        <v>0.99352677808782597</v>
      </c>
      <c r="C5767">
        <v>0.90566831821507998</v>
      </c>
      <c r="D5767">
        <v>1.04453519831806</v>
      </c>
      <c r="E5767">
        <v>0.901356985178834</v>
      </c>
      <c r="F5767">
        <v>0.81432670182341804</v>
      </c>
      <c r="G5767">
        <v>0.69170594275489805</v>
      </c>
      <c r="H5767">
        <v>0.52074071680267298</v>
      </c>
      <c r="I5767">
        <v>0.56028970843283799</v>
      </c>
      <c r="J5767">
        <v>0.45501079399600602</v>
      </c>
      <c r="K5767">
        <v>0.38577345455327999</v>
      </c>
      <c r="L5767">
        <v>672.590481690758</v>
      </c>
      <c r="M5767">
        <v>11.6820197225956</v>
      </c>
      <c r="N5767">
        <v>63.8273673572536</v>
      </c>
      <c r="O5767">
        <v>55.965356441548501</v>
      </c>
      <c r="P5767">
        <v>-3.4409671580963003E-2</v>
      </c>
      <c r="Q5767">
        <v>0.34078708196195501</v>
      </c>
      <c r="R5767">
        <v>0.96047422551546902</v>
      </c>
      <c r="S5767" t="s">
        <v>12052</v>
      </c>
      <c r="T5767" t="s">
        <v>12568</v>
      </c>
      <c r="U5767" t="s">
        <v>12568</v>
      </c>
      <c r="V5767" t="s">
        <v>12568</v>
      </c>
      <c r="W5767" t="s">
        <v>18282</v>
      </c>
      <c r="X5767">
        <v>2</v>
      </c>
      <c r="Y5767" t="s">
        <v>24368</v>
      </c>
      <c r="Z5767" t="s">
        <v>30637</v>
      </c>
      <c r="AA5767">
        <v>0.73643860841227182</v>
      </c>
      <c r="AB5767" t="str">
        <f>HYPERLINK("Melting_Curves/meltCurve_Q9P2K5_2_MYEF2.pdf", "Melting_Curves/meltCurve_Q9P2K5_2_MYEF2.pdf")</f>
        <v>Melting_Curves/meltCurve_Q9P2K5_2_MYEF2.pdf</v>
      </c>
    </row>
    <row r="5768" spans="1:28" x14ac:dyDescent="0.25">
      <c r="A5768" t="s">
        <v>5772</v>
      </c>
      <c r="B5768">
        <v>0.99352677808782597</v>
      </c>
      <c r="C5768">
        <v>1.03550143097208</v>
      </c>
      <c r="D5768">
        <v>0.90599460559890899</v>
      </c>
      <c r="E5768">
        <v>0.73972474727864101</v>
      </c>
      <c r="F5768">
        <v>0.66053666118646404</v>
      </c>
      <c r="G5768">
        <v>0.41677703451707598</v>
      </c>
      <c r="H5768">
        <v>0.17658023896114999</v>
      </c>
      <c r="I5768">
        <v>0.13897179919514799</v>
      </c>
      <c r="J5768">
        <v>0.12760376754119601</v>
      </c>
      <c r="K5768">
        <v>9.3934435388587506E-2</v>
      </c>
      <c r="L5768">
        <v>736.48696436703904</v>
      </c>
      <c r="M5768">
        <v>13.4589616967361</v>
      </c>
      <c r="N5768">
        <v>54.996798508222099</v>
      </c>
      <c r="O5768">
        <v>53.555258941522403</v>
      </c>
      <c r="P5768">
        <v>-6.0786090671612301E-2</v>
      </c>
      <c r="Q5768">
        <v>3.2640845802633003E-2</v>
      </c>
      <c r="R5768">
        <v>0.99093955089824104</v>
      </c>
      <c r="S5768" t="s">
        <v>12053</v>
      </c>
      <c r="T5768" t="s">
        <v>12568</v>
      </c>
      <c r="U5768" t="s">
        <v>12568</v>
      </c>
      <c r="V5768" t="s">
        <v>12568</v>
      </c>
      <c r="W5768" t="s">
        <v>18283</v>
      </c>
      <c r="X5768">
        <v>4</v>
      </c>
      <c r="Y5768" t="s">
        <v>24369</v>
      </c>
      <c r="Z5768" t="s">
        <v>30638</v>
      </c>
      <c r="AA5768">
        <v>0.52858041960528346</v>
      </c>
      <c r="AB5768" t="str">
        <f>HYPERLINK("Melting_Curves/meltCurve_Q9P2K6_KLHL42.pdf", "Melting_Curves/meltCurve_Q9P2K6_KLHL42.pdf")</f>
        <v>Melting_Curves/meltCurve_Q9P2K6_KLHL42.pdf</v>
      </c>
    </row>
    <row r="5769" spans="1:28" x14ac:dyDescent="0.25">
      <c r="A5769" t="s">
        <v>5773</v>
      </c>
      <c r="B5769">
        <v>0.99352677808782597</v>
      </c>
      <c r="C5769">
        <v>0.99923101314245</v>
      </c>
      <c r="D5769">
        <v>0.92625576243235197</v>
      </c>
      <c r="E5769">
        <v>0.70677783361364799</v>
      </c>
      <c r="F5769">
        <v>0.65127333639724705</v>
      </c>
      <c r="G5769">
        <v>0.47638458647089199</v>
      </c>
      <c r="H5769">
        <v>0.40971465537569002</v>
      </c>
      <c r="I5769">
        <v>0.41783893273427902</v>
      </c>
      <c r="J5769">
        <v>0.35464574853549402</v>
      </c>
      <c r="K5769">
        <v>0.26991368884287098</v>
      </c>
      <c r="L5769">
        <v>659.55594830122402</v>
      </c>
      <c r="M5769">
        <v>12.5450558464051</v>
      </c>
      <c r="N5769">
        <v>56.654849412333597</v>
      </c>
      <c r="O5769">
        <v>51.292670471274697</v>
      </c>
      <c r="P5769">
        <v>-4.2968439404725702E-2</v>
      </c>
      <c r="Q5769">
        <v>0.29740627495980798</v>
      </c>
      <c r="R5769">
        <v>0.98282890190978101</v>
      </c>
      <c r="S5769" t="s">
        <v>12054</v>
      </c>
      <c r="T5769" t="s">
        <v>12568</v>
      </c>
      <c r="U5769" t="s">
        <v>12568</v>
      </c>
      <c r="V5769" t="s">
        <v>12568</v>
      </c>
      <c r="W5769" t="s">
        <v>18284</v>
      </c>
      <c r="X5769">
        <v>8</v>
      </c>
      <c r="Y5769" t="s">
        <v>24370</v>
      </c>
      <c r="Z5769" t="s">
        <v>30639</v>
      </c>
      <c r="AA5769">
        <v>0.61147828264339377</v>
      </c>
      <c r="AB5769" t="str">
        <f>HYPERLINK("Melting_Curves/meltCurve_Q9P2K8_2_EIF2AK4.pdf", "Melting_Curves/meltCurve_Q9P2K8_2_EIF2AK4.pdf")</f>
        <v>Melting_Curves/meltCurve_Q9P2K8_2_EIF2AK4.pdf</v>
      </c>
    </row>
    <row r="5770" spans="1:28" x14ac:dyDescent="0.25">
      <c r="A5770" t="s">
        <v>5774</v>
      </c>
      <c r="B5770">
        <v>0.99352677808782597</v>
      </c>
      <c r="C5770">
        <v>1.1390722588553199</v>
      </c>
      <c r="D5770">
        <v>1.1583111221414299</v>
      </c>
      <c r="E5770">
        <v>0.62270171521409001</v>
      </c>
      <c r="F5770">
        <v>0.61084685183537002</v>
      </c>
      <c r="G5770">
        <v>0.49966719684755301</v>
      </c>
      <c r="H5770">
        <v>0.54146101309833095</v>
      </c>
      <c r="I5770">
        <v>0.45090376096337598</v>
      </c>
      <c r="J5770">
        <v>0.43795863188775702</v>
      </c>
      <c r="K5770">
        <v>0.41096931156238498</v>
      </c>
      <c r="L5770">
        <v>4612.8594438953396</v>
      </c>
      <c r="M5770">
        <v>93.294211894988706</v>
      </c>
      <c r="N5770">
        <v>51.706055989021102</v>
      </c>
      <c r="O5770">
        <v>49.421516537025497</v>
      </c>
      <c r="P5770">
        <v>-0.239950855658185</v>
      </c>
      <c r="Q5770">
        <v>0.491555441899867</v>
      </c>
      <c r="R5770">
        <v>0.90754371156315405</v>
      </c>
      <c r="S5770" t="s">
        <v>12055</v>
      </c>
      <c r="T5770" t="s">
        <v>12568</v>
      </c>
      <c r="U5770" t="s">
        <v>12568</v>
      </c>
      <c r="V5770" t="s">
        <v>12568</v>
      </c>
      <c r="W5770" t="s">
        <v>18285</v>
      </c>
      <c r="X5770">
        <v>1</v>
      </c>
      <c r="Y5770" t="s">
        <v>24371</v>
      </c>
      <c r="Z5770" t="s">
        <v>30640</v>
      </c>
      <c r="AA5770">
        <v>0.65193474795304551</v>
      </c>
      <c r="AB5770" t="str">
        <f>HYPERLINK("Melting_Curves/meltCurve_Q9P2M4_TBC1D14.pdf", "Melting_Curves/meltCurve_Q9P2M4_TBC1D14.pdf")</f>
        <v>Melting_Curves/meltCurve_Q9P2M4_TBC1D14.pdf</v>
      </c>
    </row>
    <row r="5771" spans="1:28" x14ac:dyDescent="0.25">
      <c r="A5771" t="s">
        <v>5775</v>
      </c>
      <c r="B5771">
        <v>0.99352677808782597</v>
      </c>
      <c r="C5771">
        <v>0.95683096189417904</v>
      </c>
      <c r="D5771">
        <v>0.93105157983016096</v>
      </c>
      <c r="E5771">
        <v>0.823942964650761</v>
      </c>
      <c r="F5771">
        <v>0.78850233515814805</v>
      </c>
      <c r="G5771">
        <v>0.54392494120368295</v>
      </c>
      <c r="H5771">
        <v>0.62641650595528797</v>
      </c>
      <c r="I5771">
        <v>0.64675333535248603</v>
      </c>
      <c r="J5771">
        <v>0.79958155081308901</v>
      </c>
      <c r="K5771">
        <v>0.59624677577177898</v>
      </c>
      <c r="L5771">
        <v>1042.57956437434</v>
      </c>
      <c r="M5771">
        <v>20.869263410444098</v>
      </c>
      <c r="O5771">
        <v>49.505735922567098</v>
      </c>
      <c r="P5771">
        <v>-3.7368097691416899E-2</v>
      </c>
      <c r="Q5771">
        <v>0.64543371789403303</v>
      </c>
      <c r="R5771">
        <v>0.79496180625851198</v>
      </c>
      <c r="S5771" t="s">
        <v>12056</v>
      </c>
      <c r="T5771" t="s">
        <v>12568</v>
      </c>
      <c r="U5771" t="s">
        <v>12568</v>
      </c>
      <c r="V5771" t="s">
        <v>12568</v>
      </c>
      <c r="W5771" t="s">
        <v>18286</v>
      </c>
      <c r="X5771">
        <v>12</v>
      </c>
      <c r="Y5771" t="s">
        <v>24372</v>
      </c>
      <c r="Z5771" t="s">
        <v>30641</v>
      </c>
      <c r="AA5771">
        <v>0.7676634783598637</v>
      </c>
      <c r="AB5771" t="str">
        <f>HYPERLINK("Melting_Curves/meltCurve_Q9P2M7_CGN.pdf", "Melting_Curves/meltCurve_Q9P2M7_CGN.pdf")</f>
        <v>Melting_Curves/meltCurve_Q9P2M7_CGN.pdf</v>
      </c>
    </row>
    <row r="5772" spans="1:28" x14ac:dyDescent="0.25">
      <c r="A5772" t="s">
        <v>5776</v>
      </c>
      <c r="B5772">
        <v>0.99352677808782597</v>
      </c>
      <c r="C5772">
        <v>0.95923508283877001</v>
      </c>
      <c r="D5772">
        <v>1.00852898257957</v>
      </c>
      <c r="E5772">
        <v>0.85515799548166704</v>
      </c>
      <c r="F5772">
        <v>0.75534366977788003</v>
      </c>
      <c r="G5772">
        <v>0.63746399828983302</v>
      </c>
      <c r="H5772">
        <v>0.588606475194282</v>
      </c>
      <c r="I5772">
        <v>0.59730012409220701</v>
      </c>
      <c r="J5772">
        <v>0.57252239687506501</v>
      </c>
      <c r="K5772">
        <v>0.474585640551277</v>
      </c>
      <c r="L5772">
        <v>819.08862996552398</v>
      </c>
      <c r="M5772">
        <v>15.447357256503301</v>
      </c>
      <c r="O5772">
        <v>52.159750803213399</v>
      </c>
      <c r="P5772">
        <v>-3.5107136619294002E-2</v>
      </c>
      <c r="Q5772">
        <v>0.52587002835604701</v>
      </c>
      <c r="R5772">
        <v>0.97172094654503005</v>
      </c>
      <c r="S5772" t="s">
        <v>12057</v>
      </c>
      <c r="T5772" t="s">
        <v>12568</v>
      </c>
      <c r="U5772" t="s">
        <v>12568</v>
      </c>
      <c r="V5772" t="s">
        <v>12568</v>
      </c>
      <c r="W5772" t="s">
        <v>18287</v>
      </c>
      <c r="X5772">
        <v>16</v>
      </c>
      <c r="Y5772" t="s">
        <v>24373</v>
      </c>
      <c r="Z5772" t="s">
        <v>30642</v>
      </c>
      <c r="AA5772">
        <v>0.74149331926574302</v>
      </c>
      <c r="AB5772" t="str">
        <f>HYPERLINK("Melting_Curves/meltCurve_Q9P2N5_RBM27.pdf", "Melting_Curves/meltCurve_Q9P2N5_RBM27.pdf")</f>
        <v>Melting_Curves/meltCurve_Q9P2N5_RBM27.pdf</v>
      </c>
    </row>
    <row r="5773" spans="1:28" x14ac:dyDescent="0.25">
      <c r="A5773" t="s">
        <v>5777</v>
      </c>
      <c r="B5773">
        <v>0.99352677808782597</v>
      </c>
      <c r="C5773">
        <v>1.0121569691258501</v>
      </c>
      <c r="D5773">
        <v>1.0491210668972299</v>
      </c>
      <c r="E5773">
        <v>0.85776299651925103</v>
      </c>
      <c r="F5773">
        <v>0.68576757814256395</v>
      </c>
      <c r="G5773">
        <v>0.55985284735986895</v>
      </c>
      <c r="H5773">
        <v>0.49176144992966703</v>
      </c>
      <c r="I5773">
        <v>0.44406202184583798</v>
      </c>
      <c r="J5773">
        <v>0.52997588325610001</v>
      </c>
      <c r="K5773">
        <v>0.49058556400631798</v>
      </c>
      <c r="L5773">
        <v>1402.1745758181401</v>
      </c>
      <c r="M5773">
        <v>26.9236026058399</v>
      </c>
      <c r="N5773">
        <v>61.001385377848798</v>
      </c>
      <c r="O5773">
        <v>51.7949846300206</v>
      </c>
      <c r="P5773">
        <v>-6.6243688857305694E-2</v>
      </c>
      <c r="Q5773">
        <v>0.49025299249218601</v>
      </c>
      <c r="R5773">
        <v>0.98285138151306695</v>
      </c>
      <c r="S5773" t="s">
        <v>12058</v>
      </c>
      <c r="T5773" t="s">
        <v>12568</v>
      </c>
      <c r="U5773" t="s">
        <v>12568</v>
      </c>
      <c r="V5773" t="s">
        <v>12568</v>
      </c>
      <c r="W5773" t="s">
        <v>18288</v>
      </c>
      <c r="X5773">
        <v>1</v>
      </c>
      <c r="Y5773" t="s">
        <v>24374</v>
      </c>
      <c r="Z5773" t="s">
        <v>30643</v>
      </c>
      <c r="AA5773">
        <v>0.69954124907564474</v>
      </c>
      <c r="AB5773" t="str">
        <f>HYPERLINK("Melting_Curves/meltCurve_Q9P2N6_3_KANSL3.pdf", "Melting_Curves/meltCurve_Q9P2N6_3_KANSL3.pdf")</f>
        <v>Melting_Curves/meltCurve_Q9P2N6_3_KANSL3.pdf</v>
      </c>
    </row>
    <row r="5774" spans="1:28" x14ac:dyDescent="0.25">
      <c r="A5774" t="s">
        <v>5778</v>
      </c>
      <c r="B5774">
        <v>0.99352677808782597</v>
      </c>
      <c r="C5774">
        <v>0.95467968208855203</v>
      </c>
      <c r="D5774">
        <v>0.648567488746842</v>
      </c>
      <c r="E5774">
        <v>0.20871599878595401</v>
      </c>
      <c r="F5774">
        <v>0.145350563644289</v>
      </c>
      <c r="G5774">
        <v>8.5879378718200797E-2</v>
      </c>
      <c r="H5774">
        <v>6.5514815158367101E-2</v>
      </c>
      <c r="I5774">
        <v>5.7361411272405703E-2</v>
      </c>
      <c r="J5774">
        <v>6.0505616733298601E-2</v>
      </c>
      <c r="K5774">
        <v>3.9275199544622497E-2</v>
      </c>
      <c r="L5774">
        <v>1250.1501909721401</v>
      </c>
      <c r="M5774">
        <v>26.6272744631476</v>
      </c>
      <c r="N5774">
        <v>47.195349320801398</v>
      </c>
      <c r="O5774">
        <v>46.687575266019202</v>
      </c>
      <c r="P5774">
        <v>-0.13336732998088699</v>
      </c>
      <c r="Q5774">
        <v>6.4638464521538597E-2</v>
      </c>
      <c r="R5774">
        <v>0.99765629824009405</v>
      </c>
      <c r="S5774" t="s">
        <v>12059</v>
      </c>
      <c r="T5774" t="s">
        <v>12568</v>
      </c>
      <c r="U5774" t="s">
        <v>12568</v>
      </c>
      <c r="V5774" t="s">
        <v>12568</v>
      </c>
      <c r="W5774" t="s">
        <v>18289</v>
      </c>
      <c r="X5774">
        <v>21</v>
      </c>
      <c r="Y5774" t="s">
        <v>24375</v>
      </c>
      <c r="Z5774" t="s">
        <v>30644</v>
      </c>
      <c r="AA5774">
        <v>0.28860551910745091</v>
      </c>
      <c r="AB5774" t="str">
        <f>HYPERLINK("Melting_Curves/meltCurve_Q9P2R3_ANKFY1.pdf", "Melting_Curves/meltCurve_Q9P2R3_ANKFY1.pdf")</f>
        <v>Melting_Curves/meltCurve_Q9P2R3_ANKFY1.pdf</v>
      </c>
    </row>
    <row r="5775" spans="1:28" x14ac:dyDescent="0.25">
      <c r="A5775" t="s">
        <v>5779</v>
      </c>
      <c r="B5775">
        <v>0.99352677808782597</v>
      </c>
      <c r="C5775">
        <v>0.97532111058577597</v>
      </c>
      <c r="D5775">
        <v>0.78829155750458402</v>
      </c>
      <c r="E5775">
        <v>0.43304349741963999</v>
      </c>
      <c r="F5775">
        <v>0.33987461083306297</v>
      </c>
      <c r="G5775">
        <v>0.22707980542798101</v>
      </c>
      <c r="H5775">
        <v>0.18741114121001301</v>
      </c>
      <c r="I5775">
        <v>0.18673183110841199</v>
      </c>
      <c r="J5775">
        <v>0.180682984988563</v>
      </c>
      <c r="K5775">
        <v>0.14933688287288799</v>
      </c>
      <c r="L5775">
        <v>972.25441571585498</v>
      </c>
      <c r="M5775">
        <v>20.062829156152802</v>
      </c>
      <c r="N5775">
        <v>49.533665425140498</v>
      </c>
      <c r="O5775">
        <v>47.986734555380799</v>
      </c>
      <c r="P5775">
        <v>-8.6102103124349502E-2</v>
      </c>
      <c r="Q5775">
        <v>0.17626251200217799</v>
      </c>
      <c r="R5775">
        <v>0.99567580995892102</v>
      </c>
      <c r="S5775" t="s">
        <v>12060</v>
      </c>
      <c r="T5775" t="s">
        <v>12568</v>
      </c>
      <c r="U5775" t="s">
        <v>12568</v>
      </c>
      <c r="V5775" t="s">
        <v>12568</v>
      </c>
      <c r="W5775" t="s">
        <v>18290</v>
      </c>
      <c r="X5775">
        <v>7</v>
      </c>
      <c r="Y5775" t="s">
        <v>24376</v>
      </c>
      <c r="Z5775" t="s">
        <v>30645</v>
      </c>
      <c r="AA5775">
        <v>0.42010672263940108</v>
      </c>
      <c r="AB5775" t="str">
        <f>HYPERLINK("Melting_Curves/meltCurve_Q9P2R6_RERE.pdf", "Melting_Curves/meltCurve_Q9P2R6_RERE.pdf")</f>
        <v>Melting_Curves/meltCurve_Q9P2R6_RERE.pdf</v>
      </c>
    </row>
    <row r="5776" spans="1:28" x14ac:dyDescent="0.25">
      <c r="A5776" t="s">
        <v>5780</v>
      </c>
      <c r="B5776">
        <v>0.99352677808782597</v>
      </c>
      <c r="C5776">
        <v>1.0352116946374199</v>
      </c>
      <c r="D5776">
        <v>1.02076661581157</v>
      </c>
      <c r="E5776">
        <v>0.87675976261986299</v>
      </c>
      <c r="F5776">
        <v>0.76250207845939799</v>
      </c>
      <c r="G5776">
        <v>0.65576314446006201</v>
      </c>
      <c r="H5776">
        <v>0.39077934732057001</v>
      </c>
      <c r="I5776">
        <v>0.22635741412020199</v>
      </c>
      <c r="J5776">
        <v>0.133929256687808</v>
      </c>
      <c r="K5776">
        <v>0.105663871233926</v>
      </c>
      <c r="L5776">
        <v>794.22251538362798</v>
      </c>
      <c r="M5776">
        <v>13.521455318138001</v>
      </c>
      <c r="N5776">
        <v>58.737946340662802</v>
      </c>
      <c r="O5776">
        <v>57.497831332639301</v>
      </c>
      <c r="P5776">
        <v>-5.8800059415081499E-2</v>
      </c>
      <c r="Q5776">
        <v>0</v>
      </c>
      <c r="R5776">
        <v>0.99073758018622105</v>
      </c>
      <c r="S5776" t="s">
        <v>12061</v>
      </c>
      <c r="T5776" t="s">
        <v>12568</v>
      </c>
      <c r="U5776" t="s">
        <v>12568</v>
      </c>
      <c r="V5776" t="s">
        <v>12568</v>
      </c>
      <c r="W5776" t="s">
        <v>18291</v>
      </c>
      <c r="X5776">
        <v>1</v>
      </c>
      <c r="Y5776" t="s">
        <v>24377</v>
      </c>
      <c r="Z5776" t="s">
        <v>30646</v>
      </c>
      <c r="AA5776">
        <v>0.63531783097239247</v>
      </c>
      <c r="AB5776" t="str">
        <f>HYPERLINK("Melting_Curves/meltCurve_Q9P2S5_WRAP73.pdf", "Melting_Curves/meltCurve_Q9P2S5_WRAP73.pdf")</f>
        <v>Melting_Curves/meltCurve_Q9P2S5_WRAP73.pdf</v>
      </c>
    </row>
    <row r="5777" spans="1:28" x14ac:dyDescent="0.25">
      <c r="A5777" t="s">
        <v>5781</v>
      </c>
      <c r="B5777">
        <v>0.99352677808782597</v>
      </c>
      <c r="C5777">
        <v>0.95630572576175299</v>
      </c>
      <c r="D5777">
        <v>0.88173016323947495</v>
      </c>
      <c r="E5777">
        <v>0.58505950799075201</v>
      </c>
      <c r="F5777">
        <v>0.49767774785307101</v>
      </c>
      <c r="G5777">
        <v>0.36905041736223698</v>
      </c>
      <c r="H5777">
        <v>0.29355160717911299</v>
      </c>
      <c r="I5777">
        <v>0.31596452481468801</v>
      </c>
      <c r="J5777">
        <v>0.29791805093923401</v>
      </c>
      <c r="K5777">
        <v>0.253030956562043</v>
      </c>
      <c r="L5777">
        <v>833.86543589836003</v>
      </c>
      <c r="M5777">
        <v>16.7406497813529</v>
      </c>
      <c r="N5777">
        <v>52.346367056218398</v>
      </c>
      <c r="O5777">
        <v>49.116333696285999</v>
      </c>
      <c r="P5777">
        <v>-6.1544910235602497E-2</v>
      </c>
      <c r="Q5777">
        <v>0.27776719971494901</v>
      </c>
      <c r="R5777">
        <v>0.99341415250829601</v>
      </c>
      <c r="S5777" t="s">
        <v>12062</v>
      </c>
      <c r="T5777" t="s">
        <v>12568</v>
      </c>
      <c r="U5777" t="s">
        <v>12568</v>
      </c>
      <c r="V5777" t="s">
        <v>12568</v>
      </c>
      <c r="W5777" t="s">
        <v>18292</v>
      </c>
      <c r="X5777">
        <v>6</v>
      </c>
      <c r="Y5777" t="s">
        <v>24378</v>
      </c>
      <c r="Z5777" t="s">
        <v>30647</v>
      </c>
      <c r="AA5777">
        <v>0.52812498556161103</v>
      </c>
      <c r="AB5777" t="str">
        <f>HYPERLINK("Melting_Curves/meltCurve_Q9P2W1_PSMC3IP.pdf", "Melting_Curves/meltCurve_Q9P2W1_PSMC3IP.pdf")</f>
        <v>Melting_Curves/meltCurve_Q9P2W1_PSMC3IP.pdf</v>
      </c>
    </row>
    <row r="5778" spans="1:28" x14ac:dyDescent="0.25">
      <c r="A5778" t="s">
        <v>5782</v>
      </c>
      <c r="B5778">
        <v>0.99352677808782597</v>
      </c>
      <c r="C5778">
        <v>0.85354800193159797</v>
      </c>
      <c r="D5778">
        <v>0.83474047254080497</v>
      </c>
      <c r="E5778">
        <v>0.36979898039713699</v>
      </c>
      <c r="F5778">
        <v>0.32656105543749903</v>
      </c>
      <c r="G5778">
        <v>0.19890489860051999</v>
      </c>
      <c r="H5778">
        <v>0.138402307466995</v>
      </c>
      <c r="I5778">
        <v>0.121055203481404</v>
      </c>
      <c r="J5778">
        <v>0.102933682413479</v>
      </c>
      <c r="K5778">
        <v>8.1714886394147798E-2</v>
      </c>
      <c r="L5778">
        <v>817.91398218964605</v>
      </c>
      <c r="M5778">
        <v>16.801947716552899</v>
      </c>
      <c r="N5778">
        <v>49.349984315207202</v>
      </c>
      <c r="O5778">
        <v>48.005824966565697</v>
      </c>
      <c r="P5778">
        <v>-7.8577985952319795E-2</v>
      </c>
      <c r="Q5778">
        <v>0.102019124935487</v>
      </c>
      <c r="R5778">
        <v>0.98169162691471001</v>
      </c>
      <c r="S5778" t="s">
        <v>12063</v>
      </c>
      <c r="T5778" t="s">
        <v>12568</v>
      </c>
      <c r="U5778" t="s">
        <v>12568</v>
      </c>
      <c r="V5778" t="s">
        <v>12568</v>
      </c>
      <c r="W5778" t="s">
        <v>18293</v>
      </c>
      <c r="X5778">
        <v>3</v>
      </c>
      <c r="Y5778" t="s">
        <v>24379</v>
      </c>
      <c r="Z5778" t="s">
        <v>30648</v>
      </c>
      <c r="AA5778">
        <v>0.37980340779847038</v>
      </c>
      <c r="AB5778" t="str">
        <f>HYPERLINK("Melting_Curves/meltCurve_Q9P2X3_IMPACT.pdf", "Melting_Curves/meltCurve_Q9P2X3_IMPACT.pdf")</f>
        <v>Melting_Curves/meltCurve_Q9P2X3_IMPACT.pdf</v>
      </c>
    </row>
    <row r="5779" spans="1:28" x14ac:dyDescent="0.25">
      <c r="A5779" t="s">
        <v>5783</v>
      </c>
      <c r="B5779">
        <v>0.99352677808782597</v>
      </c>
      <c r="C5779">
        <v>0.77146626552709097</v>
      </c>
      <c r="D5779">
        <v>0.93626007536628597</v>
      </c>
      <c r="E5779">
        <v>0.79181786849460001</v>
      </c>
      <c r="F5779">
        <v>0.88556458107304303</v>
      </c>
      <c r="G5779">
        <v>0.83079483296490397</v>
      </c>
      <c r="H5779">
        <v>0.697381458227051</v>
      </c>
      <c r="I5779">
        <v>0.78089905591300302</v>
      </c>
      <c r="J5779">
        <v>0.65475844526414395</v>
      </c>
      <c r="K5779">
        <v>0.40685576181677402</v>
      </c>
      <c r="L5779">
        <v>287.099408792818</v>
      </c>
      <c r="M5779">
        <v>3.8312727463566798</v>
      </c>
      <c r="O5779">
        <v>60.660204184829603</v>
      </c>
      <c r="P5779">
        <v>-1.6022727223974999E-2</v>
      </c>
      <c r="Q5779">
        <v>0</v>
      </c>
      <c r="R5779">
        <v>0.64401126127785402</v>
      </c>
      <c r="S5779" t="s">
        <v>12064</v>
      </c>
      <c r="T5779" t="s">
        <v>12568</v>
      </c>
      <c r="U5779" t="s">
        <v>12568</v>
      </c>
      <c r="V5779" t="s">
        <v>12568</v>
      </c>
      <c r="W5779" t="s">
        <v>18294</v>
      </c>
      <c r="X5779">
        <v>2</v>
      </c>
      <c r="Y5779" t="s">
        <v>24380</v>
      </c>
      <c r="Z5779" t="s">
        <v>30649</v>
      </c>
      <c r="AA5779">
        <v>0.78888315979658175</v>
      </c>
      <c r="AB5779" t="str">
        <f>HYPERLINK("Melting_Curves/meltCurve_Q9P2Y4_ZNF219.pdf", "Melting_Curves/meltCurve_Q9P2Y4_ZNF219.pdf")</f>
        <v>Melting_Curves/meltCurve_Q9P2Y4_ZNF219.pdf</v>
      </c>
    </row>
    <row r="5780" spans="1:28" x14ac:dyDescent="0.25">
      <c r="A5780" t="s">
        <v>5784</v>
      </c>
      <c r="B5780">
        <v>0.99352677808782597</v>
      </c>
      <c r="C5780">
        <v>1.1469414310644801</v>
      </c>
      <c r="D5780">
        <v>0.90796699046086704</v>
      </c>
      <c r="E5780">
        <v>0.64656999672098903</v>
      </c>
      <c r="F5780">
        <v>0.73498958791636404</v>
      </c>
      <c r="G5780">
        <v>0.43972451611436902</v>
      </c>
      <c r="H5780">
        <v>0.44416779579457899</v>
      </c>
      <c r="I5780">
        <v>0.59124781519156699</v>
      </c>
      <c r="J5780">
        <v>0.41771721986726701</v>
      </c>
      <c r="K5780">
        <v>0.28765912053158998</v>
      </c>
      <c r="L5780">
        <v>811.52996914809103</v>
      </c>
      <c r="M5780">
        <v>15.847040421913601</v>
      </c>
      <c r="N5780">
        <v>57.236694947600597</v>
      </c>
      <c r="O5780">
        <v>50.415524071629797</v>
      </c>
      <c r="P5780">
        <v>-4.6702032450471602E-2</v>
      </c>
      <c r="Q5780">
        <v>0.405739978833485</v>
      </c>
      <c r="R5780">
        <v>0.85811950072589804</v>
      </c>
      <c r="S5780" t="s">
        <v>12065</v>
      </c>
      <c r="T5780" t="s">
        <v>12568</v>
      </c>
      <c r="U5780" t="s">
        <v>12568</v>
      </c>
      <c r="V5780" t="s">
        <v>12568</v>
      </c>
      <c r="W5780" t="s">
        <v>18295</v>
      </c>
      <c r="X5780">
        <v>3</v>
      </c>
      <c r="Y5780" t="s">
        <v>24381</v>
      </c>
      <c r="Z5780" t="s">
        <v>30650</v>
      </c>
      <c r="AA5780">
        <v>0.64025364772092019</v>
      </c>
      <c r="AB5780" t="str">
        <f>HYPERLINK("Melting_Curves/meltCurve_Q9P2Y5_UVRAG.pdf", "Melting_Curves/meltCurve_Q9P2Y5_UVRAG.pdf")</f>
        <v>Melting_Curves/meltCurve_Q9P2Y5_UVRAG.pdf</v>
      </c>
    </row>
    <row r="5781" spans="1:28" x14ac:dyDescent="0.25">
      <c r="A5781" t="s">
        <v>5785</v>
      </c>
      <c r="B5781">
        <v>0.99352677808782597</v>
      </c>
      <c r="C5781">
        <v>0.96055881359947504</v>
      </c>
      <c r="D5781">
        <v>1.0130896174470001</v>
      </c>
      <c r="E5781">
        <v>0.57693349634867996</v>
      </c>
      <c r="F5781">
        <v>0.48182978445225999</v>
      </c>
      <c r="G5781">
        <v>0.18624109953185899</v>
      </c>
      <c r="H5781">
        <v>0.11166577037837</v>
      </c>
      <c r="I5781">
        <v>9.4399082407133406E-2</v>
      </c>
      <c r="J5781">
        <v>7.9266891202333101E-2</v>
      </c>
      <c r="K5781">
        <v>5.5814689884463899E-2</v>
      </c>
      <c r="L5781">
        <v>967.46678447414797</v>
      </c>
      <c r="M5781">
        <v>18.7426979445091</v>
      </c>
      <c r="N5781">
        <v>51.991167300914903</v>
      </c>
      <c r="O5781">
        <v>51.0414870561711</v>
      </c>
      <c r="P5781">
        <v>-8.6032225024461395E-2</v>
      </c>
      <c r="Q5781">
        <v>6.2882404635190403E-2</v>
      </c>
      <c r="R5781">
        <v>0.984508758486216</v>
      </c>
      <c r="S5781" t="s">
        <v>12066</v>
      </c>
      <c r="T5781" t="s">
        <v>12568</v>
      </c>
      <c r="U5781" t="s">
        <v>12568</v>
      </c>
      <c r="V5781" t="s">
        <v>12568</v>
      </c>
      <c r="W5781" t="s">
        <v>18296</v>
      </c>
      <c r="X5781">
        <v>22</v>
      </c>
      <c r="Y5781" t="s">
        <v>24382</v>
      </c>
      <c r="Z5781" t="s">
        <v>30651</v>
      </c>
      <c r="AA5781">
        <v>0.44040359766673282</v>
      </c>
      <c r="AB5781" t="str">
        <f>HYPERLINK("Melting_Curves/meltCurve_Q9UBB4_ATXN10.pdf", "Melting_Curves/meltCurve_Q9UBB4_ATXN10.pdf")</f>
        <v>Melting_Curves/meltCurve_Q9UBB4_ATXN10.pdf</v>
      </c>
    </row>
    <row r="5782" spans="1:28" x14ac:dyDescent="0.25">
      <c r="A5782" t="s">
        <v>5786</v>
      </c>
      <c r="B5782">
        <v>0.99352677808782597</v>
      </c>
      <c r="C5782">
        <v>0.99173124913546096</v>
      </c>
      <c r="D5782">
        <v>0.83457751486129905</v>
      </c>
      <c r="E5782">
        <v>0.47450172983883698</v>
      </c>
      <c r="F5782">
        <v>0.36511232333923999</v>
      </c>
      <c r="G5782">
        <v>0.26706717733195801</v>
      </c>
      <c r="H5782">
        <v>0.237585242203259</v>
      </c>
      <c r="I5782">
        <v>0.25262714124570801</v>
      </c>
      <c r="J5782">
        <v>0.31676129615169402</v>
      </c>
      <c r="K5782">
        <v>0.27403966422361697</v>
      </c>
      <c r="L5782">
        <v>1230.7080850857201</v>
      </c>
      <c r="M5782">
        <v>25.493489584134501</v>
      </c>
      <c r="N5782">
        <v>49.7862360277013</v>
      </c>
      <c r="O5782">
        <v>47.981282775798597</v>
      </c>
      <c r="P5782">
        <v>-9.7055711177518406E-2</v>
      </c>
      <c r="Q5782">
        <v>0.269335088325448</v>
      </c>
      <c r="R5782">
        <v>0.99395099075707205</v>
      </c>
      <c r="S5782" t="s">
        <v>12067</v>
      </c>
      <c r="T5782" t="s">
        <v>12568</v>
      </c>
      <c r="U5782" t="s">
        <v>12568</v>
      </c>
      <c r="V5782" t="s">
        <v>12568</v>
      </c>
      <c r="W5782" t="s">
        <v>18297</v>
      </c>
      <c r="X5782">
        <v>4</v>
      </c>
      <c r="Y5782" t="s">
        <v>24383</v>
      </c>
      <c r="Z5782" t="s">
        <v>30652</v>
      </c>
      <c r="AA5782">
        <v>0.47708289577766949</v>
      </c>
      <c r="AB5782" t="str">
        <f>HYPERLINK("Melting_Curves/meltCurve_Q9UBB5_MBD2.pdf", "Melting_Curves/meltCurve_Q9UBB5_MBD2.pdf")</f>
        <v>Melting_Curves/meltCurve_Q9UBB5_MBD2.pdf</v>
      </c>
    </row>
    <row r="5783" spans="1:28" x14ac:dyDescent="0.25">
      <c r="A5783" t="s">
        <v>5787</v>
      </c>
      <c r="B5783">
        <v>0.99352677808782597</v>
      </c>
      <c r="C5783">
        <v>0.96652713713114602</v>
      </c>
      <c r="D5783">
        <v>0.93764089867820499</v>
      </c>
      <c r="E5783">
        <v>0.39211247623475598</v>
      </c>
      <c r="F5783">
        <v>0.34660652263575098</v>
      </c>
      <c r="G5783">
        <v>0.19540443940952601</v>
      </c>
      <c r="H5783">
        <v>0.14024571699934801</v>
      </c>
      <c r="I5783">
        <v>0.11883400216111201</v>
      </c>
      <c r="J5783">
        <v>0.10684837513444601</v>
      </c>
      <c r="K5783">
        <v>7.1985365862364203E-2</v>
      </c>
      <c r="L5783">
        <v>1174.5101428790599</v>
      </c>
      <c r="M5783">
        <v>23.844487478745901</v>
      </c>
      <c r="N5783">
        <v>49.846264415657203</v>
      </c>
      <c r="O5783">
        <v>48.914567000067102</v>
      </c>
      <c r="P5783">
        <v>-0.106904396790791</v>
      </c>
      <c r="Q5783">
        <v>0.122799848303599</v>
      </c>
      <c r="R5783">
        <v>0.98037035029410502</v>
      </c>
      <c r="S5783" t="s">
        <v>12068</v>
      </c>
      <c r="T5783" t="s">
        <v>12568</v>
      </c>
      <c r="U5783" t="s">
        <v>12568</v>
      </c>
      <c r="V5783" t="s">
        <v>12568</v>
      </c>
      <c r="W5783" t="s">
        <v>18298</v>
      </c>
      <c r="X5783">
        <v>5</v>
      </c>
      <c r="Y5783" t="s">
        <v>24384</v>
      </c>
      <c r="Z5783" t="s">
        <v>30653</v>
      </c>
      <c r="AA5783">
        <v>0.40205630093691352</v>
      </c>
      <c r="AB5783" t="str">
        <f>HYPERLINK("Melting_Curves/meltCurve_Q9UBB6_NCDN.pdf", "Melting_Curves/meltCurve_Q9UBB6_NCDN.pdf")</f>
        <v>Melting_Curves/meltCurve_Q9UBB6_NCDN.pdf</v>
      </c>
    </row>
    <row r="5784" spans="1:28" x14ac:dyDescent="0.25">
      <c r="A5784" t="s">
        <v>5788</v>
      </c>
      <c r="B5784">
        <v>0.99352677808782597</v>
      </c>
      <c r="C5784">
        <v>0.85005929641664602</v>
      </c>
      <c r="D5784">
        <v>0.71960998697882295</v>
      </c>
      <c r="E5784">
        <v>0.42927253492370598</v>
      </c>
      <c r="F5784">
        <v>0.38454239849437499</v>
      </c>
      <c r="G5784">
        <v>0.28449206535552601</v>
      </c>
      <c r="H5784">
        <v>0.240120035844648</v>
      </c>
      <c r="I5784">
        <v>0.241224280327999</v>
      </c>
      <c r="J5784">
        <v>0.20131975751785799</v>
      </c>
      <c r="K5784">
        <v>0.15699635892093</v>
      </c>
      <c r="L5784">
        <v>676.54199043599897</v>
      </c>
      <c r="M5784">
        <v>14.156485132109101</v>
      </c>
      <c r="N5784">
        <v>49.501263734372401</v>
      </c>
      <c r="O5784">
        <v>46.866946534818702</v>
      </c>
      <c r="P5784">
        <v>-6.0911505582546301E-2</v>
      </c>
      <c r="Q5784">
        <v>0.193479291548324</v>
      </c>
      <c r="R5784">
        <v>0.98951202463594301</v>
      </c>
      <c r="S5784" t="s">
        <v>12069</v>
      </c>
      <c r="T5784" t="s">
        <v>12568</v>
      </c>
      <c r="U5784" t="s">
        <v>12568</v>
      </c>
      <c r="V5784" t="s">
        <v>12568</v>
      </c>
      <c r="W5784" t="s">
        <v>18299</v>
      </c>
      <c r="X5784">
        <v>4</v>
      </c>
      <c r="Y5784" t="s">
        <v>24385</v>
      </c>
      <c r="Z5784" t="s">
        <v>30654</v>
      </c>
      <c r="AA5784">
        <v>0.42641672695078048</v>
      </c>
      <c r="AB5784" t="str">
        <f>HYPERLINK("Melting_Curves/meltCurve_Q9UBB9_TFIP11.pdf", "Melting_Curves/meltCurve_Q9UBB9_TFIP11.pdf")</f>
        <v>Melting_Curves/meltCurve_Q9UBB9_TFIP11.pdf</v>
      </c>
    </row>
    <row r="5785" spans="1:28" x14ac:dyDescent="0.25">
      <c r="A5785" t="s">
        <v>5789</v>
      </c>
      <c r="B5785">
        <v>0.99352677808782597</v>
      </c>
      <c r="C5785">
        <v>1.02989448904541</v>
      </c>
      <c r="D5785">
        <v>1.0012784336756799</v>
      </c>
      <c r="E5785">
        <v>1.1966783089473001</v>
      </c>
      <c r="F5785">
        <v>1.05841766598499</v>
      </c>
      <c r="G5785">
        <v>0.970746145248225</v>
      </c>
      <c r="H5785">
        <v>0.80034578330675599</v>
      </c>
      <c r="I5785">
        <v>0.53074760965797596</v>
      </c>
      <c r="J5785">
        <v>0.36091869800093701</v>
      </c>
      <c r="K5785">
        <v>0.22232445166640499</v>
      </c>
      <c r="L5785">
        <v>1766.4710222562001</v>
      </c>
      <c r="M5785">
        <v>27.8218098226662</v>
      </c>
      <c r="N5785">
        <v>64.525588333690095</v>
      </c>
      <c r="O5785">
        <v>63.1670067137199</v>
      </c>
      <c r="P5785">
        <v>-9.0319644685443803E-2</v>
      </c>
      <c r="Q5785">
        <v>0.17975552613503201</v>
      </c>
      <c r="R5785">
        <v>0.95438089685147698</v>
      </c>
      <c r="S5785" t="s">
        <v>12070</v>
      </c>
      <c r="T5785" t="s">
        <v>12568</v>
      </c>
      <c r="U5785" t="s">
        <v>12568</v>
      </c>
      <c r="V5785" t="s">
        <v>12568</v>
      </c>
      <c r="W5785" t="s">
        <v>18300</v>
      </c>
      <c r="X5785">
        <v>23</v>
      </c>
      <c r="Y5785" t="s">
        <v>24386</v>
      </c>
      <c r="Z5785" t="s">
        <v>30655</v>
      </c>
      <c r="AA5785">
        <v>0.82357263713599083</v>
      </c>
      <c r="AB5785" t="str">
        <f>HYPERLINK("Melting_Curves/meltCurve_Q9UBC2_2_EPS15L1.pdf", "Melting_Curves/meltCurve_Q9UBC2_2_EPS15L1.pdf")</f>
        <v>Melting_Curves/meltCurve_Q9UBC2_2_EPS15L1.pdf</v>
      </c>
    </row>
    <row r="5786" spans="1:28" x14ac:dyDescent="0.25">
      <c r="A5786" t="s">
        <v>5790</v>
      </c>
      <c r="B5786">
        <v>0.99352677808782597</v>
      </c>
      <c r="C5786">
        <v>0.81067994455472103</v>
      </c>
      <c r="D5786">
        <v>0.65123869154073599</v>
      </c>
      <c r="E5786">
        <v>0.29740158996203703</v>
      </c>
      <c r="F5786">
        <v>0.238394948707782</v>
      </c>
      <c r="G5786">
        <v>0.12901401484118699</v>
      </c>
      <c r="H5786">
        <v>8.3234986631704602E-2</v>
      </c>
      <c r="I5786">
        <v>7.4993021216985006E-2</v>
      </c>
      <c r="J5786">
        <v>6.37785723031183E-2</v>
      </c>
      <c r="K5786">
        <v>5.3939469446463002E-2</v>
      </c>
      <c r="L5786">
        <v>747.77440464815095</v>
      </c>
      <c r="M5786">
        <v>15.828512788350601</v>
      </c>
      <c r="N5786">
        <v>47.626181270617401</v>
      </c>
      <c r="O5786">
        <v>46.507495026862003</v>
      </c>
      <c r="P5786">
        <v>-7.9995899448259897E-2</v>
      </c>
      <c r="Q5786">
        <v>5.9898350726938901E-2</v>
      </c>
      <c r="R5786">
        <v>0.99402397283737698</v>
      </c>
      <c r="S5786" t="s">
        <v>12071</v>
      </c>
      <c r="T5786" t="s">
        <v>12568</v>
      </c>
      <c r="U5786" t="s">
        <v>12568</v>
      </c>
      <c r="V5786" t="s">
        <v>12568</v>
      </c>
      <c r="W5786" t="s">
        <v>18301</v>
      </c>
      <c r="X5786">
        <v>3</v>
      </c>
      <c r="Y5786" t="s">
        <v>24387</v>
      </c>
      <c r="Z5786" t="s">
        <v>30656</v>
      </c>
      <c r="AA5786">
        <v>0.30937673485224981</v>
      </c>
      <c r="AB5786" t="str">
        <f>HYPERLINK("Melting_Curves/meltCurve_Q9UBD5_ORC3.pdf", "Melting_Curves/meltCurve_Q9UBD5_ORC3.pdf")</f>
        <v>Melting_Curves/meltCurve_Q9UBD5_ORC3.pdf</v>
      </c>
    </row>
    <row r="5787" spans="1:28" x14ac:dyDescent="0.25">
      <c r="A5787" t="s">
        <v>5791</v>
      </c>
      <c r="B5787">
        <v>0.99352677808782597</v>
      </c>
      <c r="C5787">
        <v>1.0279542888088999</v>
      </c>
      <c r="D5787">
        <v>0.989592869299325</v>
      </c>
      <c r="E5787">
        <v>0.76027428876512204</v>
      </c>
      <c r="F5787">
        <v>0.67092797871011001</v>
      </c>
      <c r="G5787">
        <v>0.35807775534842001</v>
      </c>
      <c r="H5787">
        <v>0.15677002603516399</v>
      </c>
      <c r="I5787">
        <v>0.12510841793409</v>
      </c>
      <c r="J5787">
        <v>0.110352401658785</v>
      </c>
      <c r="K5787">
        <v>8.1103632903091402E-2</v>
      </c>
      <c r="L5787">
        <v>915.57438338397196</v>
      </c>
      <c r="M5787">
        <v>16.8409966899377</v>
      </c>
      <c r="N5787">
        <v>54.758637158447797</v>
      </c>
      <c r="O5787">
        <v>53.616592849175099</v>
      </c>
      <c r="P5787">
        <v>-7.4061725013863502E-2</v>
      </c>
      <c r="Q5787">
        <v>5.6900435476000398E-2</v>
      </c>
      <c r="R5787">
        <v>0.99351090665323305</v>
      </c>
      <c r="S5787" t="s">
        <v>12072</v>
      </c>
      <c r="T5787" t="s">
        <v>12568</v>
      </c>
      <c r="U5787" t="s">
        <v>12568</v>
      </c>
      <c r="V5787" t="s">
        <v>12568</v>
      </c>
      <c r="W5787" t="s">
        <v>18302</v>
      </c>
      <c r="X5787">
        <v>30</v>
      </c>
      <c r="Y5787" t="s">
        <v>24388</v>
      </c>
      <c r="Z5787" t="s">
        <v>30657</v>
      </c>
      <c r="AA5787">
        <v>0.52488851238329504</v>
      </c>
      <c r="AB5787" t="str">
        <f>HYPERLINK("Melting_Curves/meltCurve_Q9UBE0_SAE1.pdf", "Melting_Curves/meltCurve_Q9UBE0_SAE1.pdf")</f>
        <v>Melting_Curves/meltCurve_Q9UBE0_SAE1.pdf</v>
      </c>
    </row>
    <row r="5788" spans="1:28" x14ac:dyDescent="0.25">
      <c r="A5788" t="s">
        <v>5792</v>
      </c>
      <c r="B5788">
        <v>0.99352677808782597</v>
      </c>
      <c r="C5788">
        <v>0.98542025128599997</v>
      </c>
      <c r="D5788">
        <v>0.92919102883976801</v>
      </c>
      <c r="E5788">
        <v>0.85809641838878203</v>
      </c>
      <c r="F5788">
        <v>0.65029959064146203</v>
      </c>
      <c r="G5788">
        <v>0.37700803422110901</v>
      </c>
      <c r="H5788">
        <v>0.17494287369769301</v>
      </c>
      <c r="I5788">
        <v>0.14580966393734501</v>
      </c>
      <c r="J5788">
        <v>0.13622082083565201</v>
      </c>
      <c r="K5788">
        <v>0.101375104117717</v>
      </c>
      <c r="L5788">
        <v>981.70861142270201</v>
      </c>
      <c r="M5788">
        <v>18.0434492531984</v>
      </c>
      <c r="N5788">
        <v>54.997928095327801</v>
      </c>
      <c r="O5788">
        <v>53.7529350404496</v>
      </c>
      <c r="P5788">
        <v>-7.6539481790525304E-2</v>
      </c>
      <c r="Q5788">
        <v>8.7974662955484506E-2</v>
      </c>
      <c r="R5788">
        <v>0.99785585956731004</v>
      </c>
      <c r="S5788" t="s">
        <v>12073</v>
      </c>
      <c r="T5788" t="s">
        <v>12568</v>
      </c>
      <c r="U5788" t="s">
        <v>12568</v>
      </c>
      <c r="V5788" t="s">
        <v>12568</v>
      </c>
      <c r="W5788" t="s">
        <v>18303</v>
      </c>
      <c r="X5788">
        <v>18</v>
      </c>
      <c r="Y5788" t="s">
        <v>24389</v>
      </c>
      <c r="Z5788" t="s">
        <v>30658</v>
      </c>
      <c r="AA5788">
        <v>0.54035628434872462</v>
      </c>
      <c r="AB5788" t="str">
        <f>HYPERLINK("Melting_Curves/meltCurve_Q9UBF2_COPG2.pdf", "Melting_Curves/meltCurve_Q9UBF2_COPG2.pdf")</f>
        <v>Melting_Curves/meltCurve_Q9UBF2_COPG2.pdf</v>
      </c>
    </row>
    <row r="5789" spans="1:28" x14ac:dyDescent="0.25">
      <c r="A5789" t="s">
        <v>5793</v>
      </c>
      <c r="B5789">
        <v>0.99352677808782597</v>
      </c>
      <c r="C5789">
        <v>0.976231025619682</v>
      </c>
      <c r="D5789">
        <v>0.91098048956387001</v>
      </c>
      <c r="E5789">
        <v>0.84123848561233705</v>
      </c>
      <c r="F5789">
        <v>0.75993602209990796</v>
      </c>
      <c r="G5789">
        <v>0.72314678628089202</v>
      </c>
      <c r="H5789">
        <v>0.51578048124392795</v>
      </c>
      <c r="I5789">
        <v>0.85051834282933703</v>
      </c>
      <c r="J5789">
        <v>0.83780483739335598</v>
      </c>
      <c r="K5789">
        <v>0.70375861308790799</v>
      </c>
      <c r="L5789">
        <v>1002.91231014007</v>
      </c>
      <c r="M5789">
        <v>20.7913375071128</v>
      </c>
      <c r="O5789">
        <v>47.797440228468098</v>
      </c>
      <c r="P5789">
        <v>-2.98513035455879E-2</v>
      </c>
      <c r="Q5789">
        <v>0.72550566866392496</v>
      </c>
      <c r="R5789">
        <v>0.59092051237066501</v>
      </c>
      <c r="S5789" t="s">
        <v>12074</v>
      </c>
      <c r="T5789" t="s">
        <v>12568</v>
      </c>
      <c r="U5789" t="s">
        <v>12568</v>
      </c>
      <c r="V5789" t="s">
        <v>12568</v>
      </c>
      <c r="W5789" t="s">
        <v>18304</v>
      </c>
      <c r="X5789">
        <v>3</v>
      </c>
      <c r="Y5789" t="s">
        <v>24390</v>
      </c>
      <c r="Z5789" t="s">
        <v>30659</v>
      </c>
      <c r="AA5789">
        <v>0.80445203033076784</v>
      </c>
      <c r="AB5789" t="str">
        <f>HYPERLINK("Melting_Curves/meltCurve_Q9UBF6_RNF7.pdf", "Melting_Curves/meltCurve_Q9UBF6_RNF7.pdf")</f>
        <v>Melting_Curves/meltCurve_Q9UBF6_RNF7.pdf</v>
      </c>
    </row>
    <row r="5790" spans="1:28" x14ac:dyDescent="0.25">
      <c r="A5790" t="s">
        <v>5794</v>
      </c>
      <c r="B5790">
        <v>0.99352677808782597</v>
      </c>
      <c r="C5790">
        <v>1.0021841705303201</v>
      </c>
      <c r="D5790">
        <v>0.926863301436196</v>
      </c>
      <c r="E5790">
        <v>0.59303100763267202</v>
      </c>
      <c r="F5790">
        <v>0.52272110727246202</v>
      </c>
      <c r="G5790">
        <v>0.21971442787231499</v>
      </c>
      <c r="H5790">
        <v>0.153077172694564</v>
      </c>
      <c r="I5790">
        <v>0.15973452649727499</v>
      </c>
      <c r="J5790">
        <v>0.112624326826454</v>
      </c>
      <c r="K5790">
        <v>7.9433766141144196E-2</v>
      </c>
      <c r="L5790">
        <v>842.52396131530804</v>
      </c>
      <c r="M5790">
        <v>16.300207540241601</v>
      </c>
      <c r="N5790">
        <v>52.315148212033698</v>
      </c>
      <c r="O5790">
        <v>50.928739443182302</v>
      </c>
      <c r="P5790">
        <v>-7.2918121261705798E-2</v>
      </c>
      <c r="Q5790">
        <v>8.8757979842721699E-2</v>
      </c>
      <c r="R5790">
        <v>0.98855670812819796</v>
      </c>
      <c r="S5790" t="s">
        <v>12075</v>
      </c>
      <c r="T5790" t="s">
        <v>12568</v>
      </c>
      <c r="U5790" t="s">
        <v>12568</v>
      </c>
      <c r="V5790" t="s">
        <v>12568</v>
      </c>
      <c r="W5790" t="s">
        <v>18305</v>
      </c>
      <c r="X5790">
        <v>6</v>
      </c>
      <c r="Y5790" t="s">
        <v>24391</v>
      </c>
      <c r="Z5790" t="s">
        <v>30660</v>
      </c>
      <c r="AA5790">
        <v>0.46178819261684351</v>
      </c>
      <c r="AB5790" t="str">
        <f>HYPERLINK("Melting_Curves/meltCurve_Q9UBF8_2_PI4KB.pdf", "Melting_Curves/meltCurve_Q9UBF8_2_PI4KB.pdf")</f>
        <v>Melting_Curves/meltCurve_Q9UBF8_2_PI4KB.pdf</v>
      </c>
    </row>
    <row r="5791" spans="1:28" x14ac:dyDescent="0.25">
      <c r="A5791" t="s">
        <v>5795</v>
      </c>
      <c r="B5791">
        <v>0.99352677808782597</v>
      </c>
      <c r="C5791">
        <v>0.94325692138589801</v>
      </c>
      <c r="D5791">
        <v>0.76912854411770804</v>
      </c>
      <c r="E5791">
        <v>0.61228607121171796</v>
      </c>
      <c r="F5791">
        <v>0.47205852559299899</v>
      </c>
      <c r="G5791">
        <v>0.38309128594758501</v>
      </c>
      <c r="H5791">
        <v>0.227521014035757</v>
      </c>
      <c r="I5791">
        <v>0.20711469572477201</v>
      </c>
      <c r="J5791">
        <v>0.27427869846921699</v>
      </c>
      <c r="K5791">
        <v>0.18264114732022799</v>
      </c>
      <c r="L5791">
        <v>611.68318645709905</v>
      </c>
      <c r="M5791">
        <v>12.1216871480467</v>
      </c>
      <c r="N5791">
        <v>52.3544134489333</v>
      </c>
      <c r="O5791">
        <v>49.147409993327202</v>
      </c>
      <c r="P5791">
        <v>-5.07334840394289E-2</v>
      </c>
      <c r="Q5791">
        <v>0.17739456311781901</v>
      </c>
      <c r="R5791">
        <v>0.98711689812321202</v>
      </c>
      <c r="S5791" t="s">
        <v>12076</v>
      </c>
      <c r="T5791" t="s">
        <v>12568</v>
      </c>
      <c r="U5791" t="s">
        <v>12568</v>
      </c>
      <c r="V5791" t="s">
        <v>12568</v>
      </c>
      <c r="W5791" t="s">
        <v>18306</v>
      </c>
      <c r="X5791">
        <v>3</v>
      </c>
      <c r="Y5791" t="s">
        <v>24392</v>
      </c>
      <c r="Z5791" t="s">
        <v>30661</v>
      </c>
      <c r="AA5791">
        <v>0.49155243423584533</v>
      </c>
      <c r="AB5791" t="str">
        <f>HYPERLINK("Melting_Curves/meltCurve_Q9UBG0_MRC2.pdf", "Melting_Curves/meltCurve_Q9UBG0_MRC2.pdf")</f>
        <v>Melting_Curves/meltCurve_Q9UBG0_MRC2.pdf</v>
      </c>
    </row>
    <row r="5792" spans="1:28" x14ac:dyDescent="0.25">
      <c r="A5792" t="s">
        <v>5796</v>
      </c>
      <c r="B5792">
        <v>0.99352677808782597</v>
      </c>
      <c r="C5792">
        <v>0.910661579256132</v>
      </c>
      <c r="D5792">
        <v>0.86042847819565005</v>
      </c>
      <c r="E5792">
        <v>0.50628912339102095</v>
      </c>
      <c r="F5792">
        <v>0.44031193000541002</v>
      </c>
      <c r="G5792">
        <v>0.18282704974459699</v>
      </c>
      <c r="H5792">
        <v>0.208978844411944</v>
      </c>
      <c r="I5792">
        <v>0.195837179354135</v>
      </c>
      <c r="J5792">
        <v>0.17514935303944901</v>
      </c>
      <c r="K5792">
        <v>5.6900314052605698E-2</v>
      </c>
      <c r="L5792">
        <v>763.86683555300601</v>
      </c>
      <c r="M5792">
        <v>15.2732684002239</v>
      </c>
      <c r="N5792">
        <v>50.955166212373499</v>
      </c>
      <c r="O5792">
        <v>49.179460801246599</v>
      </c>
      <c r="P5792">
        <v>-6.8098723555957294E-2</v>
      </c>
      <c r="Q5792">
        <v>0.122979378527696</v>
      </c>
      <c r="R5792">
        <v>0.97975335568481403</v>
      </c>
      <c r="S5792" t="s">
        <v>12077</v>
      </c>
      <c r="T5792" t="s">
        <v>12568</v>
      </c>
      <c r="U5792" t="s">
        <v>12568</v>
      </c>
      <c r="V5792" t="s">
        <v>12568</v>
      </c>
      <c r="W5792" t="s">
        <v>18307</v>
      </c>
      <c r="X5792">
        <v>9</v>
      </c>
      <c r="Y5792" t="s">
        <v>24393</v>
      </c>
      <c r="Z5792" t="s">
        <v>30662</v>
      </c>
      <c r="AA5792">
        <v>0.43595358780412308</v>
      </c>
      <c r="AB5792" t="str">
        <f>HYPERLINK("Melting_Curves/meltCurve_Q9UBI1_COMMD3.pdf", "Melting_Curves/meltCurve_Q9UBI1_COMMD3.pdf")</f>
        <v>Melting_Curves/meltCurve_Q9UBI1_COMMD3.pdf</v>
      </c>
    </row>
    <row r="5793" spans="1:28" x14ac:dyDescent="0.25">
      <c r="A5793" t="s">
        <v>5797</v>
      </c>
      <c r="B5793">
        <v>0.99352677808782597</v>
      </c>
      <c r="C5793">
        <v>0.93471326771647101</v>
      </c>
      <c r="D5793">
        <v>0.876481712827334</v>
      </c>
      <c r="E5793">
        <v>0.66680389844494803</v>
      </c>
      <c r="F5793">
        <v>0.61865964714215405</v>
      </c>
      <c r="G5793">
        <v>0.55332867545360098</v>
      </c>
      <c r="H5793">
        <v>0.42017231944959599</v>
      </c>
      <c r="I5793">
        <v>0.49361482155772402</v>
      </c>
      <c r="J5793">
        <v>0.41902617608553699</v>
      </c>
      <c r="K5793">
        <v>0.35355156547122302</v>
      </c>
      <c r="L5793">
        <v>570.56198450076602</v>
      </c>
      <c r="M5793">
        <v>11.227942466333101</v>
      </c>
      <c r="N5793">
        <v>57.927614670895302</v>
      </c>
      <c r="O5793">
        <v>49.284301015054297</v>
      </c>
      <c r="P5793">
        <v>-3.56645909845636E-2</v>
      </c>
      <c r="Q5793">
        <v>0.37400606956221399</v>
      </c>
      <c r="R5793">
        <v>0.97370180357438296</v>
      </c>
      <c r="S5793" t="s">
        <v>12078</v>
      </c>
      <c r="T5793" t="s">
        <v>12568</v>
      </c>
      <c r="U5793" t="s">
        <v>12568</v>
      </c>
      <c r="V5793" t="s">
        <v>12568</v>
      </c>
      <c r="W5793" t="s">
        <v>18308</v>
      </c>
      <c r="X5793">
        <v>4</v>
      </c>
      <c r="Y5793" t="s">
        <v>24394</v>
      </c>
      <c r="Z5793" t="s">
        <v>30663</v>
      </c>
      <c r="AA5793">
        <v>0.62239402667935129</v>
      </c>
      <c r="AB5793" t="str">
        <f>HYPERLINK("Melting_Curves/meltCurve_Q9UBI6_GNG12.pdf", "Melting_Curves/meltCurve_Q9UBI6_GNG12.pdf")</f>
        <v>Melting_Curves/meltCurve_Q9UBI6_GNG12.pdf</v>
      </c>
    </row>
    <row r="5794" spans="1:28" x14ac:dyDescent="0.25">
      <c r="A5794" t="s">
        <v>5798</v>
      </c>
      <c r="B5794">
        <v>0.99352677808782597</v>
      </c>
      <c r="C5794">
        <v>0.97918615813366205</v>
      </c>
      <c r="D5794">
        <v>0.91656429645102899</v>
      </c>
      <c r="E5794">
        <v>0.51079365974402602</v>
      </c>
      <c r="F5794">
        <v>0.42259366202123</v>
      </c>
      <c r="G5794">
        <v>0.199692677922648</v>
      </c>
      <c r="H5794">
        <v>0.130994806226677</v>
      </c>
      <c r="I5794">
        <v>0.124809709181603</v>
      </c>
      <c r="J5794">
        <v>8.8996906171154105E-2</v>
      </c>
      <c r="K5794">
        <v>6.6676260694534195E-2</v>
      </c>
      <c r="L5794">
        <v>881.88806907849096</v>
      </c>
      <c r="M5794">
        <v>17.430793705906201</v>
      </c>
      <c r="N5794">
        <v>51.132887787407</v>
      </c>
      <c r="O5794">
        <v>49.941866100768003</v>
      </c>
      <c r="P5794">
        <v>-7.9934532342448406E-2</v>
      </c>
      <c r="Q5794">
        <v>8.3953095046123305E-2</v>
      </c>
      <c r="R5794">
        <v>0.99026209454502701</v>
      </c>
      <c r="S5794" t="s">
        <v>12079</v>
      </c>
      <c r="T5794" t="s">
        <v>12568</v>
      </c>
      <c r="U5794" t="s">
        <v>12568</v>
      </c>
      <c r="V5794" t="s">
        <v>12568</v>
      </c>
      <c r="W5794" t="s">
        <v>18309</v>
      </c>
      <c r="X5794">
        <v>9</v>
      </c>
      <c r="Y5794" t="s">
        <v>24395</v>
      </c>
      <c r="Z5794" t="s">
        <v>30664</v>
      </c>
      <c r="AA5794">
        <v>0.42387849395315469</v>
      </c>
      <c r="AB5794" t="str">
        <f>HYPERLINK("Melting_Curves/meltCurve_Q9UBK8_2_MTRR.pdf", "Melting_Curves/meltCurve_Q9UBK8_2_MTRR.pdf")</f>
        <v>Melting_Curves/meltCurve_Q9UBK8_2_MTRR.pdf</v>
      </c>
    </row>
    <row r="5795" spans="1:28" x14ac:dyDescent="0.25">
      <c r="A5795" t="s">
        <v>5799</v>
      </c>
      <c r="B5795">
        <v>0.99352677808782597</v>
      </c>
      <c r="C5795">
        <v>1.00736985344634</v>
      </c>
      <c r="D5795">
        <v>0.91449626118019101</v>
      </c>
      <c r="E5795">
        <v>0.82745120033096198</v>
      </c>
      <c r="F5795">
        <v>0.711345518196007</v>
      </c>
      <c r="G5795">
        <v>0.33216539353227797</v>
      </c>
      <c r="H5795">
        <v>0.21313909492770899</v>
      </c>
      <c r="I5795">
        <v>0.20716433235767001</v>
      </c>
      <c r="J5795">
        <v>0.17720036573634099</v>
      </c>
      <c r="K5795">
        <v>0.15178245095245199</v>
      </c>
      <c r="L5795">
        <v>1075.9422912198199</v>
      </c>
      <c r="M5795">
        <v>19.915923517619799</v>
      </c>
      <c r="N5795">
        <v>54.998428376365702</v>
      </c>
      <c r="O5795">
        <v>53.488385315913497</v>
      </c>
      <c r="P5795">
        <v>-7.9252327869445999E-2</v>
      </c>
      <c r="Q5795">
        <v>0.148633130828113</v>
      </c>
      <c r="R5795">
        <v>0.99164548803322305</v>
      </c>
      <c r="S5795" t="s">
        <v>12080</v>
      </c>
      <c r="T5795" t="s">
        <v>12568</v>
      </c>
      <c r="U5795" t="s">
        <v>12568</v>
      </c>
      <c r="V5795" t="s">
        <v>12568</v>
      </c>
      <c r="W5795" t="s">
        <v>18310</v>
      </c>
      <c r="X5795">
        <v>4</v>
      </c>
      <c r="Y5795" t="s">
        <v>24396</v>
      </c>
      <c r="Z5795" t="s">
        <v>30665</v>
      </c>
      <c r="AA5795">
        <v>0.55827040569011843</v>
      </c>
      <c r="AB5795" t="str">
        <f>HYPERLINK("Melting_Curves/meltCurve_Q9UBK9_UXT.pdf", "Melting_Curves/meltCurve_Q9UBK9_UXT.pdf")</f>
        <v>Melting_Curves/meltCurve_Q9UBK9_UXT.pdf</v>
      </c>
    </row>
    <row r="5796" spans="1:28" x14ac:dyDescent="0.25">
      <c r="A5796" t="s">
        <v>5800</v>
      </c>
      <c r="B5796">
        <v>0.99352677808782597</v>
      </c>
      <c r="C5796">
        <v>1.00348928010691</v>
      </c>
      <c r="D5796">
        <v>0.93434866969016594</v>
      </c>
      <c r="E5796">
        <v>0.48941936312964901</v>
      </c>
      <c r="F5796">
        <v>0.36813315372858901</v>
      </c>
      <c r="G5796">
        <v>0.23014667772038999</v>
      </c>
      <c r="H5796">
        <v>0.15689650795398399</v>
      </c>
      <c r="I5796">
        <v>0.15684964999402101</v>
      </c>
      <c r="J5796">
        <v>0.16190443673732399</v>
      </c>
      <c r="K5796">
        <v>0.13439936180325099</v>
      </c>
      <c r="L5796">
        <v>1159.0203740541599</v>
      </c>
      <c r="M5796">
        <v>23.326262257189999</v>
      </c>
      <c r="N5796">
        <v>50.517361007061297</v>
      </c>
      <c r="O5796">
        <v>49.326501486627798</v>
      </c>
      <c r="P5796">
        <v>-9.94067071829043E-2</v>
      </c>
      <c r="Q5796">
        <v>0.159179776661663</v>
      </c>
      <c r="R5796">
        <v>0.99143601167511997</v>
      </c>
      <c r="S5796" t="s">
        <v>12081</v>
      </c>
      <c r="T5796" t="s">
        <v>12568</v>
      </c>
      <c r="U5796" t="s">
        <v>12568</v>
      </c>
      <c r="V5796" t="s">
        <v>12568</v>
      </c>
      <c r="W5796" t="s">
        <v>18311</v>
      </c>
      <c r="X5796">
        <v>8</v>
      </c>
      <c r="Y5796" t="s">
        <v>24397</v>
      </c>
      <c r="Z5796" t="s">
        <v>30666</v>
      </c>
      <c r="AA5796">
        <v>0.43930927763918831</v>
      </c>
      <c r="AB5796" t="str">
        <f>HYPERLINK("Melting_Curves/meltCurve_Q9UBL3_3_ASH2L.pdf", "Melting_Curves/meltCurve_Q9UBL3_3_ASH2L.pdf")</f>
        <v>Melting_Curves/meltCurve_Q9UBL3_3_ASH2L.pdf</v>
      </c>
    </row>
    <row r="5797" spans="1:28" x14ac:dyDescent="0.25">
      <c r="A5797" t="s">
        <v>5801</v>
      </c>
      <c r="B5797">
        <v>0.99352677808782597</v>
      </c>
      <c r="C5797">
        <v>0.96692807420284899</v>
      </c>
      <c r="D5797">
        <v>0.96585697836996898</v>
      </c>
      <c r="E5797">
        <v>0.626637266967072</v>
      </c>
      <c r="F5797">
        <v>0.55500455032103402</v>
      </c>
      <c r="G5797">
        <v>0.47646779750939799</v>
      </c>
      <c r="H5797">
        <v>0.415980988087087</v>
      </c>
      <c r="I5797">
        <v>0.47783374431079101</v>
      </c>
      <c r="J5797">
        <v>0.43392296631083099</v>
      </c>
      <c r="K5797">
        <v>0.36037483000687998</v>
      </c>
      <c r="L5797">
        <v>1236.3816286281799</v>
      </c>
      <c r="M5797">
        <v>25.044676189296801</v>
      </c>
      <c r="N5797">
        <v>53.570161024139203</v>
      </c>
      <c r="O5797">
        <v>49.0555319730665</v>
      </c>
      <c r="P5797">
        <v>-7.2762350285330402E-2</v>
      </c>
      <c r="Q5797">
        <v>0.42992311260634802</v>
      </c>
      <c r="R5797">
        <v>0.97554815284983798</v>
      </c>
      <c r="S5797" t="s">
        <v>12082</v>
      </c>
      <c r="T5797" t="s">
        <v>12568</v>
      </c>
      <c r="U5797" t="s">
        <v>12568</v>
      </c>
      <c r="V5797" t="s">
        <v>12568</v>
      </c>
      <c r="W5797" t="s">
        <v>18312</v>
      </c>
      <c r="X5797">
        <v>3</v>
      </c>
      <c r="Y5797" t="s">
        <v>24398</v>
      </c>
      <c r="Z5797" t="s">
        <v>30667</v>
      </c>
      <c r="AA5797">
        <v>0.61296787730814351</v>
      </c>
      <c r="AB5797" t="str">
        <f>HYPERLINK("Melting_Curves/meltCurve_Q9UBN6_TNFRSF10D.pdf", "Melting_Curves/meltCurve_Q9UBN6_TNFRSF10D.pdf")</f>
        <v>Melting_Curves/meltCurve_Q9UBN6_TNFRSF10D.pdf</v>
      </c>
    </row>
    <row r="5798" spans="1:28" x14ac:dyDescent="0.25">
      <c r="A5798" t="s">
        <v>5802</v>
      </c>
      <c r="B5798">
        <v>0.99352677808782597</v>
      </c>
      <c r="C5798">
        <v>0.93534558362905695</v>
      </c>
      <c r="D5798">
        <v>0.64544353279166</v>
      </c>
      <c r="E5798">
        <v>0.35417880287242298</v>
      </c>
      <c r="F5798">
        <v>0.29448395772590202</v>
      </c>
      <c r="G5798">
        <v>0.19276185271756599</v>
      </c>
      <c r="H5798">
        <v>0.14536991799847501</v>
      </c>
      <c r="I5798">
        <v>0.129676157081764</v>
      </c>
      <c r="J5798">
        <v>0.120686352468761</v>
      </c>
      <c r="K5798">
        <v>8.2760294147013802E-2</v>
      </c>
      <c r="L5798">
        <v>830.59732543374798</v>
      </c>
      <c r="M5798">
        <v>17.4850149404561</v>
      </c>
      <c r="N5798">
        <v>48.271707275578997</v>
      </c>
      <c r="O5798">
        <v>46.895110373859197</v>
      </c>
      <c r="P5798">
        <v>-8.1895680893543196E-2</v>
      </c>
      <c r="Q5798">
        <v>0.121466567833941</v>
      </c>
      <c r="R5798">
        <v>0.99025975745041395</v>
      </c>
      <c r="S5798" t="s">
        <v>12083</v>
      </c>
      <c r="T5798" t="s">
        <v>12568</v>
      </c>
      <c r="U5798" t="s">
        <v>12568</v>
      </c>
      <c r="V5798" t="s">
        <v>12568</v>
      </c>
      <c r="W5798" t="s">
        <v>18313</v>
      </c>
      <c r="X5798">
        <v>17</v>
      </c>
      <c r="Y5798" t="s">
        <v>24399</v>
      </c>
      <c r="Z5798" t="s">
        <v>30668</v>
      </c>
      <c r="AA5798">
        <v>0.35806440331425993</v>
      </c>
      <c r="AB5798" t="str">
        <f>HYPERLINK("Melting_Curves/meltCurve_Q9UBP0_3_SPAST.pdf", "Melting_Curves/meltCurve_Q9UBP0_3_SPAST.pdf")</f>
        <v>Melting_Curves/meltCurve_Q9UBP0_3_SPAST.pdf</v>
      </c>
    </row>
    <row r="5799" spans="1:28" x14ac:dyDescent="0.25">
      <c r="A5799" t="s">
        <v>5803</v>
      </c>
      <c r="B5799">
        <v>0.99352677808782597</v>
      </c>
      <c r="C5799">
        <v>0.91306463451231601</v>
      </c>
      <c r="D5799">
        <v>0.872914801047322</v>
      </c>
      <c r="E5799">
        <v>0.49133358632749502</v>
      </c>
      <c r="F5799">
        <v>0.38138259079063402</v>
      </c>
      <c r="G5799">
        <v>0.26595581594552797</v>
      </c>
      <c r="H5799">
        <v>0.22495463596576201</v>
      </c>
      <c r="I5799">
        <v>0.18255797198501</v>
      </c>
      <c r="J5799">
        <v>0.15211650883552799</v>
      </c>
      <c r="K5799">
        <v>0.147631853694905</v>
      </c>
      <c r="L5799">
        <v>849.86828647633399</v>
      </c>
      <c r="M5799">
        <v>17.186424778851801</v>
      </c>
      <c r="N5799">
        <v>50.6278626848352</v>
      </c>
      <c r="O5799">
        <v>48.795046810181702</v>
      </c>
      <c r="P5799">
        <v>-7.3548083968374006E-2</v>
      </c>
      <c r="Q5799">
        <v>0.164789701461862</v>
      </c>
      <c r="R5799">
        <v>0.99112434984365005</v>
      </c>
      <c r="S5799" t="s">
        <v>12084</v>
      </c>
      <c r="T5799" t="s">
        <v>12568</v>
      </c>
      <c r="U5799" t="s">
        <v>12568</v>
      </c>
      <c r="V5799" t="s">
        <v>12568</v>
      </c>
      <c r="W5799" t="s">
        <v>18314</v>
      </c>
      <c r="X5799">
        <v>16</v>
      </c>
      <c r="Y5799" t="s">
        <v>24399</v>
      </c>
      <c r="Z5799" t="s">
        <v>30669</v>
      </c>
      <c r="AA5799">
        <v>0.44358233968972283</v>
      </c>
      <c r="AB5799" t="str">
        <f>HYPERLINK("Melting_Curves/meltCurve_Q9UBP0_4_SPAST.pdf", "Melting_Curves/meltCurve_Q9UBP0_4_SPAST.pdf")</f>
        <v>Melting_Curves/meltCurve_Q9UBP0_4_SPAST.pdf</v>
      </c>
    </row>
    <row r="5800" spans="1:28" x14ac:dyDescent="0.25">
      <c r="A5800" t="s">
        <v>5804</v>
      </c>
      <c r="B5800">
        <v>0.99352677808782597</v>
      </c>
      <c r="C5800">
        <v>1.00991043746039</v>
      </c>
      <c r="D5800">
        <v>0.95433127549043995</v>
      </c>
      <c r="E5800">
        <v>0.47990291671606999</v>
      </c>
      <c r="F5800">
        <v>0.38611526770406301</v>
      </c>
      <c r="G5800">
        <v>0.163366909324871</v>
      </c>
      <c r="H5800">
        <v>0.111548101003363</v>
      </c>
      <c r="I5800">
        <v>0.103661063052937</v>
      </c>
      <c r="J5800">
        <v>8.6510299783065098E-2</v>
      </c>
      <c r="K5800">
        <v>6.5676087280475595E-2</v>
      </c>
      <c r="L5800">
        <v>1062.9326466484799</v>
      </c>
      <c r="M5800">
        <v>21.158470125741999</v>
      </c>
      <c r="N5800">
        <v>50.706204300035402</v>
      </c>
      <c r="O5800">
        <v>49.794453106442703</v>
      </c>
      <c r="P5800">
        <v>-9.6782481082741706E-2</v>
      </c>
      <c r="Q5800">
        <v>8.8950159260025904E-2</v>
      </c>
      <c r="R5800">
        <v>0.98695311731283797</v>
      </c>
      <c r="S5800" t="s">
        <v>12085</v>
      </c>
      <c r="T5800" t="s">
        <v>12568</v>
      </c>
      <c r="U5800" t="s">
        <v>12568</v>
      </c>
      <c r="V5800" t="s">
        <v>12568</v>
      </c>
      <c r="W5800" t="s">
        <v>18315</v>
      </c>
      <c r="X5800">
        <v>9</v>
      </c>
      <c r="Y5800" t="s">
        <v>24400</v>
      </c>
      <c r="Z5800" t="s">
        <v>30670</v>
      </c>
      <c r="AA5800">
        <v>0.41118162337731151</v>
      </c>
      <c r="AB5800" t="str">
        <f>HYPERLINK("Melting_Curves/meltCurve_Q9UBP6_METTL1.pdf", "Melting_Curves/meltCurve_Q9UBP6_METTL1.pdf")</f>
        <v>Melting_Curves/meltCurve_Q9UBP6_METTL1.pdf</v>
      </c>
    </row>
    <row r="5801" spans="1:28" x14ac:dyDescent="0.25">
      <c r="A5801" t="s">
        <v>5805</v>
      </c>
      <c r="B5801">
        <v>0.99352677808782597</v>
      </c>
      <c r="C5801">
        <v>0.87617848887580896</v>
      </c>
      <c r="D5801">
        <v>0.86435502531484298</v>
      </c>
      <c r="E5801">
        <v>0.29567581335997001</v>
      </c>
      <c r="F5801">
        <v>0.23164891132874499</v>
      </c>
      <c r="G5801">
        <v>0.142576938998768</v>
      </c>
      <c r="H5801">
        <v>0.105397191482025</v>
      </c>
      <c r="I5801">
        <v>8.5976301923248399E-2</v>
      </c>
      <c r="J5801">
        <v>7.5229837269051705E-2</v>
      </c>
      <c r="K5801">
        <v>6.08817239534159E-2</v>
      </c>
      <c r="L5801">
        <v>1270.71633694656</v>
      </c>
      <c r="M5801">
        <v>26.324302492483501</v>
      </c>
      <c r="N5801">
        <v>48.655746020853599</v>
      </c>
      <c r="O5801">
        <v>47.995620001367897</v>
      </c>
      <c r="P5801">
        <v>-0.12425402799233599</v>
      </c>
      <c r="Q5801">
        <v>9.3828407587738194E-2</v>
      </c>
      <c r="R5801">
        <v>0.98356990570596503</v>
      </c>
      <c r="S5801" t="s">
        <v>12086</v>
      </c>
      <c r="T5801" t="s">
        <v>12568</v>
      </c>
      <c r="U5801" t="s">
        <v>12568</v>
      </c>
      <c r="V5801" t="s">
        <v>12568</v>
      </c>
      <c r="W5801" t="s">
        <v>18316</v>
      </c>
      <c r="X5801">
        <v>3</v>
      </c>
      <c r="Y5801" t="s">
        <v>24401</v>
      </c>
      <c r="Z5801" t="s">
        <v>30671</v>
      </c>
      <c r="AA5801">
        <v>0.35086254345115742</v>
      </c>
      <c r="AB5801" t="str">
        <f>HYPERLINK("Melting_Curves/meltCurve_Q9UBP9_4_GULP1.pdf", "Melting_Curves/meltCurve_Q9UBP9_4_GULP1.pdf")</f>
        <v>Melting_Curves/meltCurve_Q9UBP9_4_GULP1.pdf</v>
      </c>
    </row>
    <row r="5802" spans="1:28" x14ac:dyDescent="0.25">
      <c r="A5802" t="s">
        <v>5806</v>
      </c>
      <c r="B5802">
        <v>0.99352677808782597</v>
      </c>
      <c r="C5802">
        <v>0.97483716589812797</v>
      </c>
      <c r="D5802">
        <v>0.94886774383431804</v>
      </c>
      <c r="E5802">
        <v>1.13684094825048</v>
      </c>
      <c r="F5802">
        <v>1.0425934632653799</v>
      </c>
      <c r="G5802">
        <v>0.73988539420330701</v>
      </c>
      <c r="H5802">
        <v>0.26471053371460002</v>
      </c>
      <c r="I5802">
        <v>0.12817984223718701</v>
      </c>
      <c r="J5802">
        <v>7.9692110890031601E-2</v>
      </c>
      <c r="K5802">
        <v>6.60115987092703E-2</v>
      </c>
      <c r="L5802">
        <v>2123.1995246681299</v>
      </c>
      <c r="M5802">
        <v>36.215426801143103</v>
      </c>
      <c r="N5802">
        <v>58.888274478057099</v>
      </c>
      <c r="O5802">
        <v>58.449039045485797</v>
      </c>
      <c r="P5802">
        <v>-0.14340368671932899</v>
      </c>
      <c r="Q5802">
        <v>7.4230777805784007E-2</v>
      </c>
      <c r="R5802">
        <v>0.98498604417984204</v>
      </c>
      <c r="S5802" t="s">
        <v>12087</v>
      </c>
      <c r="T5802" t="s">
        <v>12568</v>
      </c>
      <c r="U5802" t="s">
        <v>12568</v>
      </c>
      <c r="V5802" t="s">
        <v>12568</v>
      </c>
      <c r="W5802" t="s">
        <v>18317</v>
      </c>
      <c r="X5802">
        <v>9</v>
      </c>
      <c r="Y5802" t="s">
        <v>24402</v>
      </c>
      <c r="Z5802" t="s">
        <v>30672</v>
      </c>
      <c r="AA5802">
        <v>0.65341345656107686</v>
      </c>
      <c r="AB5802" t="str">
        <f>HYPERLINK("Melting_Curves/meltCurve_Q9UBQ0_VPS29.pdf", "Melting_Curves/meltCurve_Q9UBQ0_VPS29.pdf")</f>
        <v>Melting_Curves/meltCurve_Q9UBQ0_VPS29.pdf</v>
      </c>
    </row>
    <row r="5803" spans="1:28" x14ac:dyDescent="0.25">
      <c r="A5803" t="s">
        <v>5807</v>
      </c>
      <c r="B5803">
        <v>0.99352677808782597</v>
      </c>
      <c r="C5803">
        <v>0.98088254277283105</v>
      </c>
      <c r="D5803">
        <v>0.97996011143984296</v>
      </c>
      <c r="E5803">
        <v>0.28202541121040098</v>
      </c>
      <c r="F5803">
        <v>0.19501278088929799</v>
      </c>
      <c r="G5803">
        <v>0.106823396851374</v>
      </c>
      <c r="H5803">
        <v>7.1259698046923003E-2</v>
      </c>
      <c r="I5803">
        <v>6.7486950339514698E-2</v>
      </c>
      <c r="J5803">
        <v>5.5299019447453003E-2</v>
      </c>
      <c r="K5803">
        <v>4.2517551308754502E-2</v>
      </c>
      <c r="L5803">
        <v>2357.9190414684899</v>
      </c>
      <c r="M5803">
        <v>48.336641615842403</v>
      </c>
      <c r="N5803">
        <v>48.967615233550298</v>
      </c>
      <c r="O5803">
        <v>48.697918757864798</v>
      </c>
      <c r="P5803">
        <v>-0.22728967073676701</v>
      </c>
      <c r="Q5803">
        <v>8.4047029119185004E-2</v>
      </c>
      <c r="R5803">
        <v>0.99183645083362604</v>
      </c>
      <c r="S5803" t="s">
        <v>12088</v>
      </c>
      <c r="T5803" t="s">
        <v>12568</v>
      </c>
      <c r="U5803" t="s">
        <v>12568</v>
      </c>
      <c r="V5803" t="s">
        <v>12568</v>
      </c>
      <c r="W5803" t="s">
        <v>18318</v>
      </c>
      <c r="X5803">
        <v>12</v>
      </c>
      <c r="Y5803" t="s">
        <v>24403</v>
      </c>
      <c r="Z5803" t="s">
        <v>30673</v>
      </c>
      <c r="AA5803">
        <v>0.35426254371552562</v>
      </c>
      <c r="AB5803" t="str">
        <f>HYPERLINK("Melting_Curves/meltCurve_Q9UBQ7_GRHPR.pdf", "Melting_Curves/meltCurve_Q9UBQ7_GRHPR.pdf")</f>
        <v>Melting_Curves/meltCurve_Q9UBQ7_GRHPR.pdf</v>
      </c>
    </row>
    <row r="5804" spans="1:28" x14ac:dyDescent="0.25">
      <c r="A5804" t="s">
        <v>5808</v>
      </c>
      <c r="B5804">
        <v>0.99352677808782597</v>
      </c>
      <c r="C5804">
        <v>1.02492047644054</v>
      </c>
      <c r="D5804">
        <v>1.0199206555148701</v>
      </c>
      <c r="E5804">
        <v>0.97015244579320703</v>
      </c>
      <c r="F5804">
        <v>0.78070742024178397</v>
      </c>
      <c r="G5804">
        <v>0.69340191527230399</v>
      </c>
      <c r="H5804">
        <v>0.75887419141993095</v>
      </c>
      <c r="I5804">
        <v>0.78652562720216801</v>
      </c>
      <c r="J5804">
        <v>0.90466256465443096</v>
      </c>
      <c r="K5804">
        <v>0.57125456848495104</v>
      </c>
      <c r="L5804">
        <v>3435.3152079770398</v>
      </c>
      <c r="M5804">
        <v>66.632403894606497</v>
      </c>
      <c r="O5804">
        <v>51.509846315491799</v>
      </c>
      <c r="P5804">
        <v>-8.3072829411807603E-2</v>
      </c>
      <c r="Q5804">
        <v>0.743123929549938</v>
      </c>
      <c r="R5804">
        <v>0.717090975956165</v>
      </c>
      <c r="S5804" t="s">
        <v>12089</v>
      </c>
      <c r="T5804" t="s">
        <v>12568</v>
      </c>
      <c r="U5804" t="s">
        <v>12568</v>
      </c>
      <c r="V5804" t="s">
        <v>12568</v>
      </c>
      <c r="W5804" t="s">
        <v>18319</v>
      </c>
      <c r="X5804">
        <v>6</v>
      </c>
      <c r="Y5804" t="s">
        <v>24404</v>
      </c>
      <c r="Z5804" t="s">
        <v>30674</v>
      </c>
      <c r="AA5804">
        <v>0.84240265138727577</v>
      </c>
      <c r="AB5804" t="str">
        <f>HYPERLINK("Melting_Curves/meltCurve_Q9UBR2_CTSZ.pdf", "Melting_Curves/meltCurve_Q9UBR2_CTSZ.pdf")</f>
        <v>Melting_Curves/meltCurve_Q9UBR2_CTSZ.pdf</v>
      </c>
    </row>
    <row r="5805" spans="1:28" x14ac:dyDescent="0.25">
      <c r="A5805" t="s">
        <v>5809</v>
      </c>
      <c r="B5805">
        <v>0.99352677808782597</v>
      </c>
      <c r="C5805">
        <v>0.80851112103289402</v>
      </c>
      <c r="D5805">
        <v>0.58224504050717996</v>
      </c>
      <c r="E5805">
        <v>0.20230439991308299</v>
      </c>
      <c r="F5805">
        <v>0.145092563877324</v>
      </c>
      <c r="G5805">
        <v>0.12540800080496001</v>
      </c>
      <c r="H5805">
        <v>0.11172010276441</v>
      </c>
      <c r="I5805">
        <v>0.101633492421684</v>
      </c>
      <c r="J5805">
        <v>8.7236407929840304E-2</v>
      </c>
      <c r="K5805">
        <v>8.4548304815016698E-2</v>
      </c>
      <c r="L5805">
        <v>998.40574066197996</v>
      </c>
      <c r="M5805">
        <v>21.689073740919898</v>
      </c>
      <c r="N5805">
        <v>46.483307531669602</v>
      </c>
      <c r="O5805">
        <v>45.6466916795139</v>
      </c>
      <c r="P5805">
        <v>-0.10752665136482201</v>
      </c>
      <c r="Q5805">
        <v>9.4821558098042297E-2</v>
      </c>
      <c r="R5805">
        <v>0.99555858009199705</v>
      </c>
      <c r="S5805" t="s">
        <v>12090</v>
      </c>
      <c r="T5805" t="s">
        <v>12568</v>
      </c>
      <c r="U5805" t="s">
        <v>12568</v>
      </c>
      <c r="V5805" t="s">
        <v>12568</v>
      </c>
      <c r="W5805" t="s">
        <v>18320</v>
      </c>
      <c r="X5805">
        <v>3</v>
      </c>
      <c r="Y5805" t="s">
        <v>24405</v>
      </c>
      <c r="Z5805" t="s">
        <v>30675</v>
      </c>
      <c r="AA5805">
        <v>0.28843027719232228</v>
      </c>
      <c r="AB5805" t="str">
        <f>HYPERLINK("Melting_Curves/meltCurve_Q9UBS0_RPS6KB2.pdf", "Melting_Curves/meltCurve_Q9UBS0_RPS6KB2.pdf")</f>
        <v>Melting_Curves/meltCurve_Q9UBS0_RPS6KB2.pdf</v>
      </c>
    </row>
    <row r="5806" spans="1:28" x14ac:dyDescent="0.25">
      <c r="A5806" t="s">
        <v>5810</v>
      </c>
      <c r="B5806">
        <v>0.99352677808782597</v>
      </c>
      <c r="C5806">
        <v>0.95978002458077705</v>
      </c>
      <c r="D5806">
        <v>0.920996946427734</v>
      </c>
      <c r="E5806">
        <v>0.871017898288448</v>
      </c>
      <c r="F5806">
        <v>0.80859172650841504</v>
      </c>
      <c r="G5806">
        <v>0.51044120495008904</v>
      </c>
      <c r="H5806">
        <v>0.34810244926621398</v>
      </c>
      <c r="I5806">
        <v>0.31729569955338</v>
      </c>
      <c r="J5806">
        <v>0.199527695939059</v>
      </c>
      <c r="K5806">
        <v>0.16065538793783199</v>
      </c>
      <c r="L5806">
        <v>735.64114446401402</v>
      </c>
      <c r="M5806">
        <v>12.8892081258419</v>
      </c>
      <c r="N5806">
        <v>57.985581183228398</v>
      </c>
      <c r="O5806">
        <v>55.752716091152401</v>
      </c>
      <c r="P5806">
        <v>-5.2506455384085299E-2</v>
      </c>
      <c r="Q5806">
        <v>9.1691938129731004E-2</v>
      </c>
      <c r="R5806">
        <v>0.99062451633831194</v>
      </c>
      <c r="S5806" t="s">
        <v>12091</v>
      </c>
      <c r="T5806" t="s">
        <v>12568</v>
      </c>
      <c r="U5806" t="s">
        <v>12568</v>
      </c>
      <c r="V5806" t="s">
        <v>12568</v>
      </c>
      <c r="W5806" t="s">
        <v>18321</v>
      </c>
      <c r="X5806">
        <v>4</v>
      </c>
      <c r="Y5806" t="s">
        <v>24406</v>
      </c>
      <c r="Z5806" t="s">
        <v>30676</v>
      </c>
      <c r="AA5806">
        <v>0.62363998842209667</v>
      </c>
      <c r="AB5806" t="str">
        <f>HYPERLINK("Melting_Curves/meltCurve_Q9UBS4_DNAJB11.pdf", "Melting_Curves/meltCurve_Q9UBS4_DNAJB11.pdf")</f>
        <v>Melting_Curves/meltCurve_Q9UBS4_DNAJB11.pdf</v>
      </c>
    </row>
    <row r="5807" spans="1:28" x14ac:dyDescent="0.25">
      <c r="A5807" t="s">
        <v>5811</v>
      </c>
      <c r="B5807">
        <v>0.99352677808782597</v>
      </c>
      <c r="C5807">
        <v>0.97094779001083398</v>
      </c>
      <c r="D5807">
        <v>0.984535386435613</v>
      </c>
      <c r="E5807">
        <v>0.55838987182399102</v>
      </c>
      <c r="F5807">
        <v>0.48142202909906301</v>
      </c>
      <c r="G5807">
        <v>0.24172140854817101</v>
      </c>
      <c r="H5807">
        <v>0.124067010898245</v>
      </c>
      <c r="I5807">
        <v>9.1422295125581698E-2</v>
      </c>
      <c r="J5807">
        <v>8.3188773483585096E-2</v>
      </c>
      <c r="K5807">
        <v>6.7514818832840995E-2</v>
      </c>
      <c r="L5807">
        <v>861.69577926544798</v>
      </c>
      <c r="M5807">
        <v>16.686420156247799</v>
      </c>
      <c r="N5807">
        <v>52.058526924989998</v>
      </c>
      <c r="O5807">
        <v>50.915964355172399</v>
      </c>
      <c r="P5807">
        <v>-7.6799613346930001E-2</v>
      </c>
      <c r="Q5807">
        <v>6.2694973422408207E-2</v>
      </c>
      <c r="R5807">
        <v>0.98532515057595704</v>
      </c>
      <c r="S5807" t="s">
        <v>12092</v>
      </c>
      <c r="T5807" t="s">
        <v>12568</v>
      </c>
      <c r="U5807" t="s">
        <v>12568</v>
      </c>
      <c r="V5807" t="s">
        <v>12568</v>
      </c>
      <c r="W5807" t="s">
        <v>18322</v>
      </c>
      <c r="X5807">
        <v>10</v>
      </c>
      <c r="Y5807" t="s">
        <v>24407</v>
      </c>
      <c r="Z5807" t="s">
        <v>30677</v>
      </c>
      <c r="AA5807">
        <v>0.44422501831953431</v>
      </c>
      <c r="AB5807" t="str">
        <f>HYPERLINK("Melting_Curves/meltCurve_Q9UBS8_RNF14.pdf", "Melting_Curves/meltCurve_Q9UBS8_RNF14.pdf")</f>
        <v>Melting_Curves/meltCurve_Q9UBS8_RNF14.pdf</v>
      </c>
    </row>
    <row r="5808" spans="1:28" x14ac:dyDescent="0.25">
      <c r="A5808" t="s">
        <v>5812</v>
      </c>
      <c r="B5808">
        <v>0.99352677808782597</v>
      </c>
      <c r="C5808">
        <v>1.01623486824637</v>
      </c>
      <c r="D5808">
        <v>0.95559006345757302</v>
      </c>
      <c r="E5808">
        <v>0.72807802926349896</v>
      </c>
      <c r="F5808">
        <v>0.62641583942205703</v>
      </c>
      <c r="G5808">
        <v>0.35827558269146498</v>
      </c>
      <c r="H5808">
        <v>0.18811124655530601</v>
      </c>
      <c r="I5808">
        <v>0.17391191880373</v>
      </c>
      <c r="J5808">
        <v>0.12982072393824901</v>
      </c>
      <c r="K5808">
        <v>9.5810203432506402E-2</v>
      </c>
      <c r="L5808">
        <v>804.352196880777</v>
      </c>
      <c r="M5808">
        <v>14.936836083499101</v>
      </c>
      <c r="N5808">
        <v>54.451655871871601</v>
      </c>
      <c r="O5808">
        <v>52.912678218278401</v>
      </c>
      <c r="P5808">
        <v>-6.5212967165734201E-2</v>
      </c>
      <c r="Q5808">
        <v>7.6045727062786297E-2</v>
      </c>
      <c r="R5808">
        <v>0.99501524283495502</v>
      </c>
      <c r="S5808" t="s">
        <v>12093</v>
      </c>
      <c r="T5808" t="s">
        <v>12568</v>
      </c>
      <c r="U5808" t="s">
        <v>12568</v>
      </c>
      <c r="V5808" t="s">
        <v>12568</v>
      </c>
      <c r="W5808" t="s">
        <v>18323</v>
      </c>
      <c r="X5808">
        <v>30</v>
      </c>
      <c r="Y5808" t="s">
        <v>24408</v>
      </c>
      <c r="Z5808" t="s">
        <v>30678</v>
      </c>
      <c r="AA5808">
        <v>0.52182189446458949</v>
      </c>
      <c r="AB5808" t="str">
        <f>HYPERLINK("Melting_Curves/meltCurve_Q9UBT2_UBA2.pdf", "Melting_Curves/meltCurve_Q9UBT2_UBA2.pdf")</f>
        <v>Melting_Curves/meltCurve_Q9UBT2_UBA2.pdf</v>
      </c>
    </row>
    <row r="5809" spans="1:28" x14ac:dyDescent="0.25">
      <c r="A5809" t="s">
        <v>5813</v>
      </c>
      <c r="B5809">
        <v>0.99352677808782597</v>
      </c>
      <c r="C5809">
        <v>1.10957078645826</v>
      </c>
      <c r="D5809">
        <v>0.68057779946278996</v>
      </c>
      <c r="E5809">
        <v>0.44480894490503697</v>
      </c>
      <c r="F5809">
        <v>0.50727862271888402</v>
      </c>
      <c r="G5809">
        <v>0.18030753596680699</v>
      </c>
      <c r="H5809">
        <v>0.19232045444057899</v>
      </c>
      <c r="I5809">
        <v>0.21327333615528299</v>
      </c>
      <c r="J5809">
        <v>0.131508616207584</v>
      </c>
      <c r="K5809">
        <v>5.58950625728152E-2</v>
      </c>
      <c r="L5809">
        <v>716.73638054519301</v>
      </c>
      <c r="M5809">
        <v>14.4466908260852</v>
      </c>
      <c r="N5809">
        <v>50.544321562993403</v>
      </c>
      <c r="O5809">
        <v>48.690940848486697</v>
      </c>
      <c r="P5809">
        <v>-6.5511323858668993E-2</v>
      </c>
      <c r="Q5809">
        <v>0.116909323954022</v>
      </c>
      <c r="R5809">
        <v>0.928362213561575</v>
      </c>
      <c r="S5809" t="s">
        <v>12094</v>
      </c>
      <c r="T5809" t="s">
        <v>12568</v>
      </c>
      <c r="U5809" t="s">
        <v>12568</v>
      </c>
      <c r="V5809" t="s">
        <v>12568</v>
      </c>
      <c r="W5809" t="s">
        <v>18324</v>
      </c>
      <c r="X5809">
        <v>1</v>
      </c>
      <c r="Y5809" t="s">
        <v>24409</v>
      </c>
      <c r="Z5809" t="s">
        <v>30679</v>
      </c>
      <c r="AA5809">
        <v>0.42268725680581037</v>
      </c>
      <c r="AB5809" t="str">
        <f>HYPERLINK("Melting_Curves/meltCurve_Q9UBT7_2_CTNNAL1.pdf", "Melting_Curves/meltCurve_Q9UBT7_2_CTNNAL1.pdf")</f>
        <v>Melting_Curves/meltCurve_Q9UBT7_2_CTNNAL1.pdf</v>
      </c>
    </row>
    <row r="5810" spans="1:28" x14ac:dyDescent="0.25">
      <c r="A5810" t="s">
        <v>5814</v>
      </c>
      <c r="B5810">
        <v>0.99352677808782597</v>
      </c>
      <c r="C5810">
        <v>0.95424189691190198</v>
      </c>
      <c r="D5810">
        <v>0.81935444918988798</v>
      </c>
      <c r="E5810">
        <v>0.37809918646728102</v>
      </c>
      <c r="F5810">
        <v>0.32628216945525801</v>
      </c>
      <c r="G5810">
        <v>0.18862483731945101</v>
      </c>
      <c r="H5810">
        <v>0.10863093068621001</v>
      </c>
      <c r="I5810">
        <v>0.111781813567478</v>
      </c>
      <c r="J5810">
        <v>9.0305304810249301E-2</v>
      </c>
      <c r="K5810">
        <v>7.05037011005442E-2</v>
      </c>
      <c r="L5810">
        <v>920.54938251425995</v>
      </c>
      <c r="M5810">
        <v>18.838449077823999</v>
      </c>
      <c r="N5810">
        <v>49.4293753489317</v>
      </c>
      <c r="O5810">
        <v>48.324814543319398</v>
      </c>
      <c r="P5810">
        <v>-8.8037210135702496E-2</v>
      </c>
      <c r="Q5810">
        <v>9.6697165409056804E-2</v>
      </c>
      <c r="R5810">
        <v>0.98968581378190101</v>
      </c>
      <c r="S5810" t="s">
        <v>12095</v>
      </c>
      <c r="T5810" t="s">
        <v>12568</v>
      </c>
      <c r="U5810" t="s">
        <v>12568</v>
      </c>
      <c r="V5810" t="s">
        <v>12568</v>
      </c>
      <c r="W5810" t="s">
        <v>18325</v>
      </c>
      <c r="X5810">
        <v>7</v>
      </c>
      <c r="Y5810" t="s">
        <v>24410</v>
      </c>
      <c r="Z5810" t="s">
        <v>30680</v>
      </c>
      <c r="AA5810">
        <v>0.37794778437790189</v>
      </c>
      <c r="AB5810" t="str">
        <f>HYPERLINK("Melting_Curves/meltCurve_Q9UBU9_NXF1.pdf", "Melting_Curves/meltCurve_Q9UBU9_NXF1.pdf")</f>
        <v>Melting_Curves/meltCurve_Q9UBU9_NXF1.pdf</v>
      </c>
    </row>
    <row r="5811" spans="1:28" x14ac:dyDescent="0.25">
      <c r="A5811" t="s">
        <v>5815</v>
      </c>
      <c r="B5811">
        <v>0.99352677808782597</v>
      </c>
      <c r="C5811">
        <v>0.99788811200601901</v>
      </c>
      <c r="D5811">
        <v>0.97869722790715397</v>
      </c>
      <c r="E5811">
        <v>0.79865078562049696</v>
      </c>
      <c r="F5811">
        <v>0.77713015655121798</v>
      </c>
      <c r="G5811">
        <v>0.351139134537931</v>
      </c>
      <c r="H5811">
        <v>0.16104630511767001</v>
      </c>
      <c r="I5811">
        <v>0.12829896380865299</v>
      </c>
      <c r="J5811">
        <v>9.5985629806862705E-2</v>
      </c>
      <c r="K5811">
        <v>9.1872714815068299E-2</v>
      </c>
      <c r="L5811">
        <v>1093.6325379714101</v>
      </c>
      <c r="M5811">
        <v>19.887051890170099</v>
      </c>
      <c r="N5811">
        <v>55.393973706665697</v>
      </c>
      <c r="O5811">
        <v>54.445205546318</v>
      </c>
      <c r="P5811">
        <v>-8.5186641037920702E-2</v>
      </c>
      <c r="Q5811">
        <v>6.71620050570476E-2</v>
      </c>
      <c r="R5811">
        <v>0.98975045718213095</v>
      </c>
      <c r="S5811" t="s">
        <v>12096</v>
      </c>
      <c r="T5811" t="s">
        <v>12568</v>
      </c>
      <c r="U5811" t="s">
        <v>12568</v>
      </c>
      <c r="V5811" t="s">
        <v>12568</v>
      </c>
      <c r="W5811" t="s">
        <v>18326</v>
      </c>
      <c r="X5811">
        <v>3</v>
      </c>
      <c r="Y5811" t="s">
        <v>24411</v>
      </c>
      <c r="Z5811" t="s">
        <v>30681</v>
      </c>
      <c r="AA5811">
        <v>0.54586663918698608</v>
      </c>
      <c r="AB5811" t="str">
        <f>HYPERLINK("Melting_Curves/meltCurve_Q9UBV8_PEF1.pdf", "Melting_Curves/meltCurve_Q9UBV8_PEF1.pdf")</f>
        <v>Melting_Curves/meltCurve_Q9UBV8_PEF1.pdf</v>
      </c>
    </row>
    <row r="5812" spans="1:28" x14ac:dyDescent="0.25">
      <c r="A5812" t="s">
        <v>5816</v>
      </c>
      <c r="B5812">
        <v>0.99352677808782597</v>
      </c>
      <c r="C5812">
        <v>0.94277590033996195</v>
      </c>
      <c r="D5812">
        <v>0.98698082583733704</v>
      </c>
      <c r="E5812">
        <v>0.86010545564017704</v>
      </c>
      <c r="F5812">
        <v>0.75697327740444598</v>
      </c>
      <c r="G5812">
        <v>0.75901802740513702</v>
      </c>
      <c r="H5812">
        <v>0.65058420419523499</v>
      </c>
      <c r="I5812">
        <v>0.74458142510519598</v>
      </c>
      <c r="J5812">
        <v>0.73109572166054204</v>
      </c>
      <c r="K5812">
        <v>0.65313477495164696</v>
      </c>
      <c r="L5812">
        <v>1054.10541261669</v>
      </c>
      <c r="M5812">
        <v>20.9460318144674</v>
      </c>
      <c r="O5812">
        <v>49.872861724053699</v>
      </c>
      <c r="P5812">
        <v>-3.1767006789304802E-2</v>
      </c>
      <c r="Q5812">
        <v>0.69745704439836098</v>
      </c>
      <c r="R5812">
        <v>0.91568817676702996</v>
      </c>
      <c r="S5812" t="s">
        <v>12097</v>
      </c>
      <c r="T5812" t="s">
        <v>12568</v>
      </c>
      <c r="U5812" t="s">
        <v>12568</v>
      </c>
      <c r="V5812" t="s">
        <v>12568</v>
      </c>
      <c r="W5812" t="s">
        <v>18327</v>
      </c>
      <c r="X5812">
        <v>6</v>
      </c>
      <c r="Y5812" t="s">
        <v>24412</v>
      </c>
      <c r="Z5812" t="s">
        <v>30682</v>
      </c>
      <c r="AA5812">
        <v>0.8054277138476339</v>
      </c>
      <c r="AB5812" t="str">
        <f>HYPERLINK("Melting_Curves/meltCurve_Q9UBW7_ZMYM2.pdf", "Melting_Curves/meltCurve_Q9UBW7_ZMYM2.pdf")</f>
        <v>Melting_Curves/meltCurve_Q9UBW7_ZMYM2.pdf</v>
      </c>
    </row>
    <row r="5813" spans="1:28" x14ac:dyDescent="0.25">
      <c r="A5813" t="s">
        <v>5817</v>
      </c>
      <c r="B5813">
        <v>0.99352677808782597</v>
      </c>
      <c r="C5813">
        <v>1.0006817110588999</v>
      </c>
      <c r="D5813">
        <v>0.84266412218040398</v>
      </c>
      <c r="E5813">
        <v>1.0098847139509699</v>
      </c>
      <c r="F5813">
        <v>0.85568204177080998</v>
      </c>
      <c r="G5813">
        <v>0.50582726810071599</v>
      </c>
      <c r="H5813">
        <v>0.19032760766324699</v>
      </c>
      <c r="I5813">
        <v>0.140924634036002</v>
      </c>
      <c r="J5813">
        <v>0.113856165574374</v>
      </c>
      <c r="K5813">
        <v>8.8075133666903296E-2</v>
      </c>
      <c r="L5813">
        <v>1501.3656738433799</v>
      </c>
      <c r="M5813">
        <v>26.551072296903101</v>
      </c>
      <c r="N5813">
        <v>56.978007951459702</v>
      </c>
      <c r="O5813">
        <v>56.228458643082298</v>
      </c>
      <c r="P5813">
        <v>-0.107295761532454</v>
      </c>
      <c r="Q5813">
        <v>9.1108057012011204E-2</v>
      </c>
      <c r="R5813">
        <v>0.98234941789474794</v>
      </c>
      <c r="S5813" t="s">
        <v>12098</v>
      </c>
      <c r="T5813" t="s">
        <v>12568</v>
      </c>
      <c r="U5813" t="s">
        <v>12568</v>
      </c>
      <c r="V5813" t="s">
        <v>12568</v>
      </c>
      <c r="W5813" t="s">
        <v>18328</v>
      </c>
      <c r="X5813">
        <v>4</v>
      </c>
      <c r="Y5813" t="s">
        <v>24413</v>
      </c>
      <c r="Z5813" t="s">
        <v>30683</v>
      </c>
      <c r="AA5813">
        <v>0.59989692300812647</v>
      </c>
      <c r="AB5813" t="str">
        <f>HYPERLINK("Melting_Curves/meltCurve_Q9UBW8_COPS7A.pdf", "Melting_Curves/meltCurve_Q9UBW8_COPS7A.pdf")</f>
        <v>Melting_Curves/meltCurve_Q9UBW8_COPS7A.pdf</v>
      </c>
    </row>
    <row r="5814" spans="1:28" x14ac:dyDescent="0.25">
      <c r="A5814" t="s">
        <v>5818</v>
      </c>
      <c r="B5814">
        <v>0.99352677808782597</v>
      </c>
      <c r="C5814">
        <v>0.97668428580501099</v>
      </c>
      <c r="D5814">
        <v>1.0970905482370199</v>
      </c>
      <c r="E5814">
        <v>0.855741825481247</v>
      </c>
      <c r="F5814">
        <v>0.74234321167850603</v>
      </c>
      <c r="G5814">
        <v>0.55060959933282005</v>
      </c>
      <c r="H5814">
        <v>0.43379895528915002</v>
      </c>
      <c r="I5814">
        <v>0.42426833147605802</v>
      </c>
      <c r="J5814">
        <v>0.44174518779844402</v>
      </c>
      <c r="K5814">
        <v>0.35915040473506299</v>
      </c>
      <c r="L5814">
        <v>1107.73010617924</v>
      </c>
      <c r="M5814">
        <v>20.607702139025101</v>
      </c>
      <c r="N5814">
        <v>58.164731211025597</v>
      </c>
      <c r="O5814">
        <v>53.254708419388997</v>
      </c>
      <c r="P5814">
        <v>-5.8506291555352502E-2</v>
      </c>
      <c r="Q5814">
        <v>0.395246308747981</v>
      </c>
      <c r="R5814">
        <v>0.97345730819216902</v>
      </c>
      <c r="S5814" t="s">
        <v>12099</v>
      </c>
      <c r="T5814" t="s">
        <v>12568</v>
      </c>
      <c r="U5814" t="s">
        <v>12568</v>
      </c>
      <c r="V5814" t="s">
        <v>12568</v>
      </c>
      <c r="W5814" t="s">
        <v>18329</v>
      </c>
      <c r="X5814">
        <v>39</v>
      </c>
      <c r="Y5814" t="s">
        <v>24414</v>
      </c>
      <c r="Z5814" t="s">
        <v>30684</v>
      </c>
      <c r="AA5814">
        <v>0.68034114328615047</v>
      </c>
      <c r="AB5814" t="str">
        <f>HYPERLINK("Melting_Curves/meltCurve_Q9UDT6_CLIP2.pdf", "Melting_Curves/meltCurve_Q9UDT6_CLIP2.pdf")</f>
        <v>Melting_Curves/meltCurve_Q9UDT6_CLIP2.pdf</v>
      </c>
    </row>
    <row r="5815" spans="1:28" x14ac:dyDescent="0.25">
      <c r="A5815" t="s">
        <v>5819</v>
      </c>
      <c r="B5815">
        <v>0.99352677808782597</v>
      </c>
      <c r="C5815">
        <v>0.96165552465923498</v>
      </c>
      <c r="D5815">
        <v>0.93709051373836105</v>
      </c>
      <c r="E5815">
        <v>0.452598964026944</v>
      </c>
      <c r="F5815">
        <v>0.376280147661261</v>
      </c>
      <c r="G5815">
        <v>0.17606051828597899</v>
      </c>
      <c r="H5815">
        <v>0.130310232675489</v>
      </c>
      <c r="I5815">
        <v>0.128992434621268</v>
      </c>
      <c r="J5815">
        <v>9.0420762758676304E-2</v>
      </c>
      <c r="K5815">
        <v>7.0652741100933503E-2</v>
      </c>
      <c r="L5815">
        <v>1020.75600721999</v>
      </c>
      <c r="M5815">
        <v>20.4650639667231</v>
      </c>
      <c r="N5815">
        <v>50.441228294550598</v>
      </c>
      <c r="O5815">
        <v>49.409037634839301</v>
      </c>
      <c r="P5815">
        <v>-9.2974868892867102E-2</v>
      </c>
      <c r="Q5815">
        <v>0.1021451994823</v>
      </c>
      <c r="R5815">
        <v>0.98566959062327497</v>
      </c>
      <c r="S5815" t="s">
        <v>12100</v>
      </c>
      <c r="T5815" t="s">
        <v>12568</v>
      </c>
      <c r="U5815" t="s">
        <v>12568</v>
      </c>
      <c r="V5815" t="s">
        <v>12568</v>
      </c>
      <c r="W5815" t="s">
        <v>18330</v>
      </c>
      <c r="X5815">
        <v>4</v>
      </c>
      <c r="Y5815" t="s">
        <v>24415</v>
      </c>
      <c r="Z5815" t="s">
        <v>30685</v>
      </c>
      <c r="AA5815">
        <v>0.40973141381337508</v>
      </c>
      <c r="AB5815" t="str">
        <f>HYPERLINK("Melting_Curves/meltCurve_Q9UDX3_2_SEC14L4.pdf", "Melting_Curves/meltCurve_Q9UDX3_2_SEC14L4.pdf")</f>
        <v>Melting_Curves/meltCurve_Q9UDX3_2_SEC14L4.pdf</v>
      </c>
    </row>
    <row r="5816" spans="1:28" x14ac:dyDescent="0.25">
      <c r="A5816" t="s">
        <v>5820</v>
      </c>
      <c r="B5816">
        <v>0.99352677808782597</v>
      </c>
      <c r="C5816">
        <v>0.96507161737911096</v>
      </c>
      <c r="D5816">
        <v>0.91602701229496997</v>
      </c>
      <c r="E5816">
        <v>0.52137341815090799</v>
      </c>
      <c r="F5816">
        <v>0.44549567345997798</v>
      </c>
      <c r="G5816">
        <v>0.31203794859306</v>
      </c>
      <c r="H5816">
        <v>0.24056019267564199</v>
      </c>
      <c r="I5816">
        <v>0.24802006359064599</v>
      </c>
      <c r="J5816">
        <v>0.222330097046428</v>
      </c>
      <c r="K5816">
        <v>0.196621130652297</v>
      </c>
      <c r="L5816">
        <v>965.85225008685404</v>
      </c>
      <c r="M5816">
        <v>19.441535208736799</v>
      </c>
      <c r="N5816">
        <v>51.260126900014598</v>
      </c>
      <c r="O5816">
        <v>49.163162604669502</v>
      </c>
      <c r="P5816">
        <v>-7.6579664407610007E-2</v>
      </c>
      <c r="Q5816">
        <v>0.22541872831555301</v>
      </c>
      <c r="R5816">
        <v>0.98865599578394003</v>
      </c>
      <c r="S5816" t="s">
        <v>12101</v>
      </c>
      <c r="T5816" t="s">
        <v>12568</v>
      </c>
      <c r="U5816" t="s">
        <v>12568</v>
      </c>
      <c r="V5816" t="s">
        <v>12568</v>
      </c>
      <c r="W5816" t="s">
        <v>18331</v>
      </c>
      <c r="X5816">
        <v>14</v>
      </c>
      <c r="Y5816" t="s">
        <v>24416</v>
      </c>
      <c r="Z5816" t="s">
        <v>30686</v>
      </c>
      <c r="AA5816">
        <v>0.48676442674122711</v>
      </c>
      <c r="AB5816" t="str">
        <f>HYPERLINK("Melting_Curves/meltCurve_Q9UDY2_3_TJP2.pdf", "Melting_Curves/meltCurve_Q9UDY2_3_TJP2.pdf")</f>
        <v>Melting_Curves/meltCurve_Q9UDY2_3_TJP2.pdf</v>
      </c>
    </row>
    <row r="5817" spans="1:28" x14ac:dyDescent="0.25">
      <c r="A5817" t="s">
        <v>5821</v>
      </c>
      <c r="B5817">
        <v>0.99352677808782597</v>
      </c>
      <c r="C5817">
        <v>0.95330999613800405</v>
      </c>
      <c r="D5817">
        <v>0.95223268657304105</v>
      </c>
      <c r="E5817">
        <v>0.45927931653923398</v>
      </c>
      <c r="F5817">
        <v>0.34952367994901001</v>
      </c>
      <c r="G5817">
        <v>0.23235083797509201</v>
      </c>
      <c r="H5817">
        <v>0.16648837922661799</v>
      </c>
      <c r="I5817">
        <v>0.14120876751858999</v>
      </c>
      <c r="J5817">
        <v>0.14179038851564699</v>
      </c>
      <c r="K5817">
        <v>0.120388402669742</v>
      </c>
      <c r="L5817">
        <v>1188.43129711591</v>
      </c>
      <c r="M5817">
        <v>24.0044288990977</v>
      </c>
      <c r="N5817">
        <v>50.273860641718002</v>
      </c>
      <c r="O5817">
        <v>49.169074140461298</v>
      </c>
      <c r="P5817">
        <v>-0.103378170511591</v>
      </c>
      <c r="Q5817">
        <v>0.15300153354773899</v>
      </c>
      <c r="R5817">
        <v>0.98684132579234396</v>
      </c>
      <c r="S5817" t="s">
        <v>12102</v>
      </c>
      <c r="T5817" t="s">
        <v>12568</v>
      </c>
      <c r="U5817" t="s">
        <v>12568</v>
      </c>
      <c r="V5817" t="s">
        <v>12568</v>
      </c>
      <c r="W5817" t="s">
        <v>18332</v>
      </c>
      <c r="X5817">
        <v>10</v>
      </c>
      <c r="Y5817" t="s">
        <v>24417</v>
      </c>
      <c r="Z5817" t="s">
        <v>30687</v>
      </c>
      <c r="AA5817">
        <v>0.42965085518888507</v>
      </c>
      <c r="AB5817" t="str">
        <f>HYPERLINK("Melting_Curves/meltCurve_Q9UDY4_DNAJB4.pdf", "Melting_Curves/meltCurve_Q9UDY4_DNAJB4.pdf")</f>
        <v>Melting_Curves/meltCurve_Q9UDY4_DNAJB4.pdf</v>
      </c>
    </row>
    <row r="5818" spans="1:28" x14ac:dyDescent="0.25">
      <c r="A5818" t="s">
        <v>5822</v>
      </c>
      <c r="B5818">
        <v>0.99352677808782597</v>
      </c>
      <c r="C5818">
        <v>0.94022453399514105</v>
      </c>
      <c r="D5818">
        <v>0.86060618418205503</v>
      </c>
      <c r="E5818">
        <v>0.35831846263211198</v>
      </c>
      <c r="F5818">
        <v>0.26064930120234397</v>
      </c>
      <c r="G5818">
        <v>0.14591551056434501</v>
      </c>
      <c r="H5818">
        <v>8.6525367054563596E-2</v>
      </c>
      <c r="I5818">
        <v>7.3172503754620602E-2</v>
      </c>
      <c r="J5818">
        <v>6.32739226826005E-2</v>
      </c>
      <c r="K5818">
        <v>4.79080784169107E-2</v>
      </c>
      <c r="L5818">
        <v>1100.60656255904</v>
      </c>
      <c r="M5818">
        <v>22.540286989592101</v>
      </c>
      <c r="N5818">
        <v>49.185076992998397</v>
      </c>
      <c r="O5818">
        <v>48.448979643391198</v>
      </c>
      <c r="P5818">
        <v>-0.107542540895216</v>
      </c>
      <c r="Q5818">
        <v>7.5394436420296002E-2</v>
      </c>
      <c r="R5818">
        <v>0.99201581182071796</v>
      </c>
      <c r="S5818" t="s">
        <v>12103</v>
      </c>
      <c r="T5818" t="s">
        <v>12568</v>
      </c>
      <c r="U5818" t="s">
        <v>12568</v>
      </c>
      <c r="V5818" t="s">
        <v>12568</v>
      </c>
      <c r="W5818" t="s">
        <v>18333</v>
      </c>
      <c r="X5818">
        <v>9</v>
      </c>
      <c r="Y5818" t="s">
        <v>24418</v>
      </c>
      <c r="Z5818" t="s">
        <v>30688</v>
      </c>
      <c r="AA5818">
        <v>0.35763006579774798</v>
      </c>
      <c r="AB5818" t="str">
        <f>HYPERLINK("Melting_Curves/meltCurve_Q9UDY8_MALT1.pdf", "Melting_Curves/meltCurve_Q9UDY8_MALT1.pdf")</f>
        <v>Melting_Curves/meltCurve_Q9UDY8_MALT1.pdf</v>
      </c>
    </row>
    <row r="5819" spans="1:28" x14ac:dyDescent="0.25">
      <c r="A5819" t="s">
        <v>5823</v>
      </c>
      <c r="B5819">
        <v>0.99352677808782597</v>
      </c>
      <c r="C5819">
        <v>1.01657459835181</v>
      </c>
      <c r="D5819">
        <v>0.96018061216032702</v>
      </c>
      <c r="E5819">
        <v>0.80964632403235803</v>
      </c>
      <c r="F5819">
        <v>0.77442571901001001</v>
      </c>
      <c r="G5819">
        <v>0.66907082902938597</v>
      </c>
      <c r="H5819">
        <v>0.57350264071535695</v>
      </c>
      <c r="I5819">
        <v>0.55200873297346298</v>
      </c>
      <c r="J5819">
        <v>0.60140705617003298</v>
      </c>
      <c r="K5819">
        <v>0.47298915372601602</v>
      </c>
      <c r="L5819">
        <v>669.45990439263699</v>
      </c>
      <c r="M5819">
        <v>12.534182228876</v>
      </c>
      <c r="O5819">
        <v>52.105893137068101</v>
      </c>
      <c r="P5819">
        <v>-3.0026894754325201E-2</v>
      </c>
      <c r="Q5819">
        <v>0.50080199463974395</v>
      </c>
      <c r="R5819">
        <v>0.96915254052222999</v>
      </c>
      <c r="S5819" t="s">
        <v>12104</v>
      </c>
      <c r="T5819" t="s">
        <v>12568</v>
      </c>
      <c r="U5819" t="s">
        <v>12568</v>
      </c>
      <c r="V5819" t="s">
        <v>12568</v>
      </c>
      <c r="W5819" t="s">
        <v>18334</v>
      </c>
      <c r="X5819">
        <v>12</v>
      </c>
      <c r="Y5819" t="s">
        <v>24419</v>
      </c>
      <c r="Z5819" t="s">
        <v>30689</v>
      </c>
      <c r="AA5819">
        <v>0.73707637452935848</v>
      </c>
      <c r="AB5819" t="str">
        <f>HYPERLINK("Melting_Curves/meltCurve_Q9UEE9_CFDP1.pdf", "Melting_Curves/meltCurve_Q9UEE9_CFDP1.pdf")</f>
        <v>Melting_Curves/meltCurve_Q9UEE9_CFDP1.pdf</v>
      </c>
    </row>
    <row r="5820" spans="1:28" x14ac:dyDescent="0.25">
      <c r="A5820" t="s">
        <v>5824</v>
      </c>
      <c r="B5820">
        <v>0.99352677808782597</v>
      </c>
      <c r="C5820">
        <v>1.0256120970128699</v>
      </c>
      <c r="D5820">
        <v>0.97363989149652896</v>
      </c>
      <c r="E5820">
        <v>0.87233727007372996</v>
      </c>
      <c r="F5820">
        <v>0.822677952858345</v>
      </c>
      <c r="G5820">
        <v>0.50967963138305805</v>
      </c>
      <c r="H5820">
        <v>0.46540141974316501</v>
      </c>
      <c r="I5820">
        <v>0.39670568797271599</v>
      </c>
      <c r="J5820">
        <v>0.402068383387231</v>
      </c>
      <c r="K5820">
        <v>0.37906033532214101</v>
      </c>
      <c r="L5820">
        <v>1143.9997340580001</v>
      </c>
      <c r="M5820">
        <v>21.037803372122401</v>
      </c>
      <c r="N5820">
        <v>58.356532272827003</v>
      </c>
      <c r="O5820">
        <v>53.894108695782201</v>
      </c>
      <c r="P5820">
        <v>-6.0424258126263203E-2</v>
      </c>
      <c r="Q5820">
        <v>0.38084319945329498</v>
      </c>
      <c r="R5820">
        <v>0.98829449977262995</v>
      </c>
      <c r="S5820" t="s">
        <v>12105</v>
      </c>
      <c r="T5820" t="s">
        <v>12568</v>
      </c>
      <c r="U5820" t="s">
        <v>12568</v>
      </c>
      <c r="V5820" t="s">
        <v>12568</v>
      </c>
      <c r="W5820" t="s">
        <v>18335</v>
      </c>
      <c r="X5820">
        <v>4</v>
      </c>
      <c r="Y5820" t="s">
        <v>24420</v>
      </c>
      <c r="Z5820" t="s">
        <v>30690</v>
      </c>
      <c r="AA5820">
        <v>0.6853005528400391</v>
      </c>
      <c r="AB5820" t="str">
        <f>HYPERLINK("Melting_Curves/meltCurve_Q9UEG4_ZNF629.pdf", "Melting_Curves/meltCurve_Q9UEG4_ZNF629.pdf")</f>
        <v>Melting_Curves/meltCurve_Q9UEG4_ZNF629.pdf</v>
      </c>
    </row>
    <row r="5821" spans="1:28" x14ac:dyDescent="0.25">
      <c r="A5821" t="s">
        <v>5825</v>
      </c>
      <c r="B5821">
        <v>0.99352677808782597</v>
      </c>
      <c r="C5821">
        <v>0.98134770587694298</v>
      </c>
      <c r="D5821">
        <v>0.89395638317385295</v>
      </c>
      <c r="E5821">
        <v>0.619366046143216</v>
      </c>
      <c r="F5821">
        <v>0.55690619997400803</v>
      </c>
      <c r="G5821">
        <v>0.38700965719063202</v>
      </c>
      <c r="H5821">
        <v>0.29224759164677699</v>
      </c>
      <c r="I5821">
        <v>0.29654606145228302</v>
      </c>
      <c r="J5821">
        <v>0.309118478203942</v>
      </c>
      <c r="K5821">
        <v>0.245336962412256</v>
      </c>
      <c r="L5821">
        <v>773.29026661099704</v>
      </c>
      <c r="M5821">
        <v>15.2306025665688</v>
      </c>
      <c r="N5821">
        <v>53.364389117130997</v>
      </c>
      <c r="O5821">
        <v>49.921004902853902</v>
      </c>
      <c r="P5821">
        <v>-5.63404661633502E-2</v>
      </c>
      <c r="Q5821">
        <v>0.26140675270848901</v>
      </c>
      <c r="R5821">
        <v>0.99036478679088502</v>
      </c>
      <c r="S5821" t="s">
        <v>12106</v>
      </c>
      <c r="T5821" t="s">
        <v>12568</v>
      </c>
      <c r="U5821" t="s">
        <v>12568</v>
      </c>
      <c r="V5821" t="s">
        <v>12568</v>
      </c>
      <c r="W5821" t="s">
        <v>18336</v>
      </c>
      <c r="X5821">
        <v>5</v>
      </c>
      <c r="Y5821" t="s">
        <v>24421</v>
      </c>
      <c r="Z5821" t="s">
        <v>30691</v>
      </c>
      <c r="AA5821">
        <v>0.54336532157924444</v>
      </c>
      <c r="AB5821" t="str">
        <f>HYPERLINK("Melting_Curves/meltCurve_Q9UER7_3_DAXX.pdf", "Melting_Curves/meltCurve_Q9UER7_3_DAXX.pdf")</f>
        <v>Melting_Curves/meltCurve_Q9UER7_3_DAXX.pdf</v>
      </c>
    </row>
    <row r="5822" spans="1:28" x14ac:dyDescent="0.25">
      <c r="A5822" t="s">
        <v>5826</v>
      </c>
      <c r="B5822">
        <v>0.99352677808782597</v>
      </c>
      <c r="C5822">
        <v>0.89855091949842902</v>
      </c>
      <c r="D5822">
        <v>0.76662951506289101</v>
      </c>
      <c r="E5822">
        <v>0.39197816428652799</v>
      </c>
      <c r="F5822">
        <v>0.34461449806946298</v>
      </c>
      <c r="G5822">
        <v>0.236646026056193</v>
      </c>
      <c r="H5822">
        <v>0.19786265353791099</v>
      </c>
      <c r="I5822">
        <v>0.175996658496893</v>
      </c>
      <c r="J5822">
        <v>0.17467382067791501</v>
      </c>
      <c r="K5822">
        <v>0.14974632989095099</v>
      </c>
      <c r="L5822">
        <v>854.39201199438901</v>
      </c>
      <c r="M5822">
        <v>17.796088817978401</v>
      </c>
      <c r="N5822">
        <v>49.172112365937302</v>
      </c>
      <c r="O5822">
        <v>47.4161845545079</v>
      </c>
      <c r="P5822">
        <v>-7.7726782226568106E-2</v>
      </c>
      <c r="Q5822">
        <v>0.17165679554958199</v>
      </c>
      <c r="R5822">
        <v>0.99288616386713802</v>
      </c>
      <c r="S5822" t="s">
        <v>12107</v>
      </c>
      <c r="T5822" t="s">
        <v>12568</v>
      </c>
      <c r="U5822" t="s">
        <v>12568</v>
      </c>
      <c r="V5822" t="s">
        <v>12568</v>
      </c>
      <c r="W5822" t="s">
        <v>18337</v>
      </c>
      <c r="X5822">
        <v>3</v>
      </c>
      <c r="Y5822" t="s">
        <v>24422</v>
      </c>
      <c r="Z5822" t="s">
        <v>30692</v>
      </c>
      <c r="AA5822">
        <v>0.40787284025560833</v>
      </c>
      <c r="AB5822" t="str">
        <f>HYPERLINK("Melting_Curves/meltCurve_Q9UET6_2_FTSJ1.pdf", "Melting_Curves/meltCurve_Q9UET6_2_FTSJ1.pdf")</f>
        <v>Melting_Curves/meltCurve_Q9UET6_2_FTSJ1.pdf</v>
      </c>
    </row>
    <row r="5823" spans="1:28" x14ac:dyDescent="0.25">
      <c r="A5823" t="s">
        <v>5827</v>
      </c>
      <c r="B5823">
        <v>0.99352677808782597</v>
      </c>
      <c r="C5823">
        <v>0.90274177222534902</v>
      </c>
      <c r="D5823">
        <v>0.98067160712238399</v>
      </c>
      <c r="E5823">
        <v>0.98937063159028704</v>
      </c>
      <c r="F5823">
        <v>0.95120033482070698</v>
      </c>
      <c r="G5823">
        <v>0.94418578970009504</v>
      </c>
      <c r="H5823">
        <v>0.95351802239373695</v>
      </c>
      <c r="I5823">
        <v>1.1231654752214</v>
      </c>
      <c r="J5823">
        <v>1.00703785450253</v>
      </c>
      <c r="K5823">
        <v>0.89672534665836301</v>
      </c>
      <c r="L5823">
        <v>10047.936979453099</v>
      </c>
      <c r="M5823">
        <v>250</v>
      </c>
      <c r="O5823">
        <v>40.189187994457903</v>
      </c>
      <c r="P5823">
        <v>-4.3437474586986699E-2</v>
      </c>
      <c r="Q5823">
        <v>0.97206853907538204</v>
      </c>
      <c r="R5823">
        <v>1.12364773515244E-2</v>
      </c>
      <c r="S5823" t="s">
        <v>12108</v>
      </c>
      <c r="T5823" t="s">
        <v>12568</v>
      </c>
      <c r="U5823" t="s">
        <v>12568</v>
      </c>
      <c r="V5823" t="s">
        <v>12568</v>
      </c>
      <c r="W5823" t="s">
        <v>18338</v>
      </c>
      <c r="X5823">
        <v>4</v>
      </c>
      <c r="Y5823" t="s">
        <v>24423</v>
      </c>
      <c r="Z5823" t="s">
        <v>30693</v>
      </c>
      <c r="AA5823">
        <v>0.97228779520707909</v>
      </c>
      <c r="AB5823" t="str">
        <f>HYPERLINK("Melting_Curves/meltCurve_Q9UEU0_VTI1B.pdf", "Melting_Curves/meltCurve_Q9UEU0_VTI1B.pdf")</f>
        <v>Melting_Curves/meltCurve_Q9UEU0_VTI1B.pdf</v>
      </c>
    </row>
    <row r="5824" spans="1:28" x14ac:dyDescent="0.25">
      <c r="A5824" t="s">
        <v>5828</v>
      </c>
      <c r="B5824">
        <v>0.99352677808782597</v>
      </c>
      <c r="C5824">
        <v>0.75701975418921696</v>
      </c>
      <c r="D5824">
        <v>0.55349547962748302</v>
      </c>
      <c r="E5824">
        <v>0.31565355483223001</v>
      </c>
      <c r="F5824">
        <v>0.253397766883321</v>
      </c>
      <c r="G5824">
        <v>0.181692792307553</v>
      </c>
      <c r="H5824">
        <v>0.135208559279487</v>
      </c>
      <c r="I5824">
        <v>0.12831584206980001</v>
      </c>
      <c r="J5824">
        <v>0.112108239074306</v>
      </c>
      <c r="K5824">
        <v>9.1677999671296501E-2</v>
      </c>
      <c r="L5824">
        <v>702.81259245164699</v>
      </c>
      <c r="M5824">
        <v>15.235046490115799</v>
      </c>
      <c r="N5824">
        <v>46.929918053394601</v>
      </c>
      <c r="O5824">
        <v>45.358400766854402</v>
      </c>
      <c r="P5824">
        <v>-7.4389058665462401E-2</v>
      </c>
      <c r="Q5824">
        <v>0.11418750799874799</v>
      </c>
      <c r="R5824">
        <v>0.99030027266418597</v>
      </c>
      <c r="S5824" t="s">
        <v>12109</v>
      </c>
      <c r="T5824" t="s">
        <v>12568</v>
      </c>
      <c r="U5824" t="s">
        <v>12568</v>
      </c>
      <c r="V5824" t="s">
        <v>12568</v>
      </c>
      <c r="W5824" t="s">
        <v>18339</v>
      </c>
      <c r="X5824">
        <v>9</v>
      </c>
      <c r="Y5824" t="s">
        <v>24424</v>
      </c>
      <c r="Z5824" t="s">
        <v>30694</v>
      </c>
      <c r="AA5824">
        <v>0.31999730286272121</v>
      </c>
      <c r="AB5824" t="str">
        <f>HYPERLINK("Melting_Curves/meltCurve_Q9UEW8_STK39.pdf", "Melting_Curves/meltCurve_Q9UEW8_STK39.pdf")</f>
        <v>Melting_Curves/meltCurve_Q9UEW8_STK39.pdf</v>
      </c>
    </row>
    <row r="5825" spans="1:28" x14ac:dyDescent="0.25">
      <c r="A5825" t="s">
        <v>5829</v>
      </c>
      <c r="B5825">
        <v>0.99352677808782597</v>
      </c>
      <c r="C5825">
        <v>0.957656687782237</v>
      </c>
      <c r="D5825">
        <v>0.91013322901545801</v>
      </c>
      <c r="E5825">
        <v>0.76902474734927095</v>
      </c>
      <c r="F5825">
        <v>0.70358092890459201</v>
      </c>
      <c r="G5825">
        <v>0.562248116611194</v>
      </c>
      <c r="H5825">
        <v>0.54712166796976403</v>
      </c>
      <c r="I5825">
        <v>0.46282113188503898</v>
      </c>
      <c r="J5825">
        <v>0.43435233088501102</v>
      </c>
      <c r="K5825">
        <v>0.280492856254699</v>
      </c>
      <c r="L5825">
        <v>403.80941913335499</v>
      </c>
      <c r="M5825">
        <v>6.87513730313231</v>
      </c>
      <c r="N5825">
        <v>61.2555702752516</v>
      </c>
      <c r="O5825">
        <v>54.368236279046997</v>
      </c>
      <c r="P5825">
        <v>-2.77733875984859E-2</v>
      </c>
      <c r="Q5825">
        <v>0.123214175741872</v>
      </c>
      <c r="R5825">
        <v>0.97558830176993006</v>
      </c>
      <c r="S5825" t="s">
        <v>12110</v>
      </c>
      <c r="T5825" t="s">
        <v>12568</v>
      </c>
      <c r="U5825" t="s">
        <v>12568</v>
      </c>
      <c r="V5825" t="s">
        <v>12568</v>
      </c>
      <c r="W5825" t="s">
        <v>18340</v>
      </c>
      <c r="X5825">
        <v>15</v>
      </c>
      <c r="Y5825" t="s">
        <v>24425</v>
      </c>
      <c r="Z5825" t="s">
        <v>30695</v>
      </c>
      <c r="AA5825">
        <v>0.66180354313833478</v>
      </c>
      <c r="AB5825" t="str">
        <f>HYPERLINK("Melting_Curves/meltCurve_Q9UEY8_2_ADD3.pdf", "Melting_Curves/meltCurve_Q9UEY8_2_ADD3.pdf")</f>
        <v>Melting_Curves/meltCurve_Q9UEY8_2_ADD3.pdf</v>
      </c>
    </row>
    <row r="5826" spans="1:28" x14ac:dyDescent="0.25">
      <c r="A5826" t="s">
        <v>5830</v>
      </c>
      <c r="B5826">
        <v>0.99352677808782597</v>
      </c>
      <c r="C5826">
        <v>0.97614888985500003</v>
      </c>
      <c r="D5826">
        <v>0.74543009021659101</v>
      </c>
      <c r="E5826">
        <v>0.376947654984013</v>
      </c>
      <c r="F5826">
        <v>0.31576769575972602</v>
      </c>
      <c r="G5826">
        <v>0.19945680284515499</v>
      </c>
      <c r="H5826">
        <v>0.15692978765847901</v>
      </c>
      <c r="I5826">
        <v>0.110452890409584</v>
      </c>
      <c r="J5826">
        <v>0.12602307522079201</v>
      </c>
      <c r="K5826">
        <v>7.0481851985728095E-2</v>
      </c>
      <c r="L5826">
        <v>893.44394556589498</v>
      </c>
      <c r="M5826">
        <v>18.475179078223</v>
      </c>
      <c r="N5826">
        <v>49.070085272582702</v>
      </c>
      <c r="O5826">
        <v>47.8032644837728</v>
      </c>
      <c r="P5826">
        <v>-8.5279431298799599E-2</v>
      </c>
      <c r="Q5826">
        <v>0.117420475012388</v>
      </c>
      <c r="R5826">
        <v>0.98928073505216496</v>
      </c>
      <c r="S5826" t="s">
        <v>12111</v>
      </c>
      <c r="T5826" t="s">
        <v>12568</v>
      </c>
      <c r="U5826" t="s">
        <v>12568</v>
      </c>
      <c r="V5826" t="s">
        <v>12568</v>
      </c>
      <c r="W5826" t="s">
        <v>18341</v>
      </c>
      <c r="X5826">
        <v>5</v>
      </c>
      <c r="Y5826" t="s">
        <v>24426</v>
      </c>
      <c r="Z5826" t="s">
        <v>30696</v>
      </c>
      <c r="AA5826">
        <v>0.378034193301864</v>
      </c>
      <c r="AB5826" t="str">
        <f>HYPERLINK("Melting_Curves/meltCurve_Q9UF56_FBXL17.pdf", "Melting_Curves/meltCurve_Q9UF56_FBXL17.pdf")</f>
        <v>Melting_Curves/meltCurve_Q9UF56_FBXL17.pdf</v>
      </c>
    </row>
    <row r="5827" spans="1:28" x14ac:dyDescent="0.25">
      <c r="A5827" t="s">
        <v>5831</v>
      </c>
      <c r="B5827">
        <v>0.99352677808782597</v>
      </c>
      <c r="C5827">
        <v>0.81087227530064299</v>
      </c>
      <c r="D5827">
        <v>0.807142293830719</v>
      </c>
      <c r="E5827">
        <v>0.69229097833716702</v>
      </c>
      <c r="F5827">
        <v>0.77419362854837803</v>
      </c>
      <c r="G5827">
        <v>0.86080106482919905</v>
      </c>
      <c r="H5827">
        <v>0.58278783794848099</v>
      </c>
      <c r="I5827">
        <v>0.85655563796820999</v>
      </c>
      <c r="J5827">
        <v>0.73980993700996101</v>
      </c>
      <c r="K5827">
        <v>0.56772036867840203</v>
      </c>
      <c r="L5827">
        <v>1278.00758623618</v>
      </c>
      <c r="M5827">
        <v>30.117918817027402</v>
      </c>
      <c r="O5827">
        <v>42.247703809888598</v>
      </c>
      <c r="P5827">
        <v>-4.82311537637376E-2</v>
      </c>
      <c r="Q5827">
        <v>0.72937803525781897</v>
      </c>
      <c r="R5827">
        <v>0.409470753693224</v>
      </c>
      <c r="S5827" t="s">
        <v>12112</v>
      </c>
      <c r="T5827" t="s">
        <v>12568</v>
      </c>
      <c r="U5827" t="s">
        <v>12568</v>
      </c>
      <c r="V5827" t="s">
        <v>12568</v>
      </c>
      <c r="W5827" t="s">
        <v>18342</v>
      </c>
      <c r="X5827">
        <v>2</v>
      </c>
      <c r="Z5827" t="s">
        <v>30697</v>
      </c>
      <c r="AA5827">
        <v>0.75431661435023079</v>
      </c>
      <c r="AB5827" t="str">
        <f>HYPERLINK("Melting_Curves/meltCurve_Q9UF83_.pdf", "Melting_Curves/meltCurve_Q9UF83_.pdf")</f>
        <v>Melting_Curves/meltCurve_Q9UF83_.pdf</v>
      </c>
    </row>
    <row r="5828" spans="1:28" x14ac:dyDescent="0.25">
      <c r="A5828" t="s">
        <v>5832</v>
      </c>
      <c r="B5828">
        <v>0.99352677808782597</v>
      </c>
      <c r="C5828">
        <v>0.90150645844604005</v>
      </c>
      <c r="D5828">
        <v>0.80449199849735098</v>
      </c>
      <c r="E5828">
        <v>0.37283372125175901</v>
      </c>
      <c r="F5828">
        <v>0.31622261637090998</v>
      </c>
      <c r="G5828">
        <v>0.20198229138120199</v>
      </c>
      <c r="H5828">
        <v>0.14697887079727401</v>
      </c>
      <c r="I5828">
        <v>0.12617573758613701</v>
      </c>
      <c r="J5828">
        <v>0.113364208703206</v>
      </c>
      <c r="K5828">
        <v>6.9737237263965607E-2</v>
      </c>
      <c r="L5828">
        <v>860.89821387196298</v>
      </c>
      <c r="M5828">
        <v>17.732879343121802</v>
      </c>
      <c r="N5828">
        <v>49.2407477438434</v>
      </c>
      <c r="O5828">
        <v>47.9433631183134</v>
      </c>
      <c r="P5828">
        <v>-8.2265851292643202E-2</v>
      </c>
      <c r="Q5828">
        <v>0.110376814431965</v>
      </c>
      <c r="R5828">
        <v>0.98891715372170896</v>
      </c>
      <c r="S5828" t="s">
        <v>12113</v>
      </c>
      <c r="T5828" t="s">
        <v>12568</v>
      </c>
      <c r="U5828" t="s">
        <v>12568</v>
      </c>
      <c r="V5828" t="s">
        <v>12568</v>
      </c>
      <c r="W5828" t="s">
        <v>18343</v>
      </c>
      <c r="X5828">
        <v>6</v>
      </c>
      <c r="Y5828" t="s">
        <v>24427</v>
      </c>
      <c r="Z5828" t="s">
        <v>30698</v>
      </c>
      <c r="AA5828">
        <v>0.37989987005222942</v>
      </c>
      <c r="AB5828" t="str">
        <f>HYPERLINK("Melting_Curves/meltCurve_Q9UFC0_LRWD1.pdf", "Melting_Curves/meltCurve_Q9UFC0_LRWD1.pdf")</f>
        <v>Melting_Curves/meltCurve_Q9UFC0_LRWD1.pdf</v>
      </c>
    </row>
    <row r="5829" spans="1:28" x14ac:dyDescent="0.25">
      <c r="A5829" t="s">
        <v>5833</v>
      </c>
      <c r="B5829">
        <v>0.99352677808782597</v>
      </c>
      <c r="C5829">
        <v>0.97821270583460496</v>
      </c>
      <c r="D5829">
        <v>0.79062665643686902</v>
      </c>
      <c r="E5829">
        <v>0.46404772397284599</v>
      </c>
      <c r="F5829">
        <v>0.371635313622875</v>
      </c>
      <c r="G5829">
        <v>0.328167469731238</v>
      </c>
      <c r="H5829">
        <v>0.263655713194687</v>
      </c>
      <c r="I5829">
        <v>0.28832030158102001</v>
      </c>
      <c r="J5829">
        <v>0.30718176010627601</v>
      </c>
      <c r="K5829">
        <v>0.268424855314848</v>
      </c>
      <c r="L5829">
        <v>1124.8811874548801</v>
      </c>
      <c r="M5829">
        <v>23.535123313562899</v>
      </c>
      <c r="N5829">
        <v>49.607825269610203</v>
      </c>
      <c r="O5829">
        <v>47.4547885987974</v>
      </c>
      <c r="P5829">
        <v>-8.8237692957348304E-2</v>
      </c>
      <c r="Q5829">
        <v>0.288343730673011</v>
      </c>
      <c r="R5829">
        <v>0.99591865044151096</v>
      </c>
      <c r="S5829" t="s">
        <v>12114</v>
      </c>
      <c r="T5829" t="s">
        <v>12568</v>
      </c>
      <c r="U5829" t="s">
        <v>12568</v>
      </c>
      <c r="V5829" t="s">
        <v>12568</v>
      </c>
      <c r="W5829" t="s">
        <v>18344</v>
      </c>
      <c r="X5829">
        <v>2</v>
      </c>
      <c r="Y5829" t="s">
        <v>24428</v>
      </c>
      <c r="Z5829" t="s">
        <v>30699</v>
      </c>
      <c r="AA5829">
        <v>0.48044009510543889</v>
      </c>
      <c r="AB5829" t="str">
        <f>HYPERLINK("Melting_Curves/meltCurve_Q9UFM8_DKFZp566H1924.pdf", "Melting_Curves/meltCurve_Q9UFM8_DKFZp566H1924.pdf")</f>
        <v>Melting_Curves/meltCurve_Q9UFM8_DKFZp566H1924.pdf</v>
      </c>
    </row>
    <row r="5830" spans="1:28" x14ac:dyDescent="0.25">
      <c r="A5830" t="s">
        <v>5834</v>
      </c>
      <c r="B5830">
        <v>0.99352677808782597</v>
      </c>
      <c r="C5830">
        <v>1.0012803206137</v>
      </c>
      <c r="D5830">
        <v>0.89070245304974405</v>
      </c>
      <c r="E5830">
        <v>0.66887429071190396</v>
      </c>
      <c r="F5830">
        <v>0.58554807914431695</v>
      </c>
      <c r="G5830">
        <v>0.45226946666523099</v>
      </c>
      <c r="H5830">
        <v>0.59503636476913202</v>
      </c>
      <c r="I5830">
        <v>0.515004575952419</v>
      </c>
      <c r="J5830">
        <v>0.59515738592637202</v>
      </c>
      <c r="K5830">
        <v>0.38754370559140799</v>
      </c>
      <c r="L5830">
        <v>1181.51537081484</v>
      </c>
      <c r="M5830">
        <v>24.340170541652601</v>
      </c>
      <c r="O5830">
        <v>48.217697977946003</v>
      </c>
      <c r="P5830">
        <v>-6.1993059301040598E-2</v>
      </c>
      <c r="Q5830">
        <v>0.50877627306016504</v>
      </c>
      <c r="R5830">
        <v>0.919663854561239</v>
      </c>
      <c r="S5830" t="s">
        <v>12115</v>
      </c>
      <c r="T5830" t="s">
        <v>12568</v>
      </c>
      <c r="U5830" t="s">
        <v>12568</v>
      </c>
      <c r="V5830" t="s">
        <v>12568</v>
      </c>
      <c r="W5830" t="s">
        <v>18345</v>
      </c>
      <c r="X5830">
        <v>4</v>
      </c>
      <c r="Y5830" t="s">
        <v>24429</v>
      </c>
      <c r="Z5830" t="s">
        <v>30700</v>
      </c>
      <c r="AA5830">
        <v>0.65323322060656397</v>
      </c>
      <c r="AB5830" t="str">
        <f>HYPERLINK("Melting_Curves/meltCurve_Q9UFN0_NIPSNAP3A.pdf", "Melting_Curves/meltCurve_Q9UFN0_NIPSNAP3A.pdf")</f>
        <v>Melting_Curves/meltCurve_Q9UFN0_NIPSNAP3A.pdf</v>
      </c>
    </row>
    <row r="5831" spans="1:28" x14ac:dyDescent="0.25">
      <c r="A5831" t="s">
        <v>5835</v>
      </c>
      <c r="B5831">
        <v>0.99352677808782597</v>
      </c>
      <c r="C5831">
        <v>0.95172166185931795</v>
      </c>
      <c r="D5831">
        <v>0.96055356001474801</v>
      </c>
      <c r="E5831">
        <v>0.71881387735388802</v>
      </c>
      <c r="F5831">
        <v>0.61202756454679896</v>
      </c>
      <c r="G5831">
        <v>0.51650928510499705</v>
      </c>
      <c r="H5831">
        <v>0.44965275506663299</v>
      </c>
      <c r="I5831">
        <v>0.47289593959885501</v>
      </c>
      <c r="J5831">
        <v>0.43644396664650897</v>
      </c>
      <c r="K5831">
        <v>0.35601950235767499</v>
      </c>
      <c r="L5831">
        <v>817.69807262359996</v>
      </c>
      <c r="M5831">
        <v>16.044606028604299</v>
      </c>
      <c r="N5831">
        <v>57.028913627361497</v>
      </c>
      <c r="O5831">
        <v>50.192071315903398</v>
      </c>
      <c r="P5831">
        <v>-4.7215516496361999E-2</v>
      </c>
      <c r="Q5831">
        <v>0.40923180809552501</v>
      </c>
      <c r="R5831">
        <v>0.98166282250839898</v>
      </c>
      <c r="S5831" t="s">
        <v>12116</v>
      </c>
      <c r="T5831" t="s">
        <v>12568</v>
      </c>
      <c r="U5831" t="s">
        <v>12568</v>
      </c>
      <c r="V5831" t="s">
        <v>12568</v>
      </c>
      <c r="W5831" t="s">
        <v>18346</v>
      </c>
      <c r="X5831">
        <v>9</v>
      </c>
      <c r="Y5831" t="s">
        <v>24430</v>
      </c>
      <c r="Z5831" t="s">
        <v>30701</v>
      </c>
      <c r="AA5831">
        <v>0.63733597999418401</v>
      </c>
      <c r="AB5831" t="str">
        <f>HYPERLINK("Melting_Curves/meltCurve_Q9UFW8_CGGBP1.pdf", "Melting_Curves/meltCurve_Q9UFW8_CGGBP1.pdf")</f>
        <v>Melting_Curves/meltCurve_Q9UFW8_CGGBP1.pdf</v>
      </c>
    </row>
    <row r="5832" spans="1:28" x14ac:dyDescent="0.25">
      <c r="A5832" t="s">
        <v>5836</v>
      </c>
      <c r="B5832">
        <v>0.99352677808782597</v>
      </c>
      <c r="C5832">
        <v>0.82419238372975201</v>
      </c>
      <c r="D5832">
        <v>0.63518802147684295</v>
      </c>
      <c r="E5832">
        <v>0.29154608209820199</v>
      </c>
      <c r="F5832">
        <v>0.23465485471254199</v>
      </c>
      <c r="G5832">
        <v>0.13822426026669399</v>
      </c>
      <c r="H5832">
        <v>0.10151857400436901</v>
      </c>
      <c r="I5832">
        <v>9.3515612968391199E-2</v>
      </c>
      <c r="J5832">
        <v>7.8467756549085096E-2</v>
      </c>
      <c r="K5832">
        <v>6.20182303907248E-2</v>
      </c>
      <c r="L5832">
        <v>785.68868197745496</v>
      </c>
      <c r="M5832">
        <v>16.717636715780198</v>
      </c>
      <c r="N5832">
        <v>47.486892575886699</v>
      </c>
      <c r="O5832">
        <v>46.3405408480589</v>
      </c>
      <c r="P5832">
        <v>-8.3059071032433998E-2</v>
      </c>
      <c r="Q5832">
        <v>7.9116200694502703E-2</v>
      </c>
      <c r="R5832">
        <v>0.99501024793253401</v>
      </c>
      <c r="S5832" t="s">
        <v>12117</v>
      </c>
      <c r="T5832" t="s">
        <v>12568</v>
      </c>
      <c r="U5832" t="s">
        <v>12568</v>
      </c>
      <c r="V5832" t="s">
        <v>12568</v>
      </c>
      <c r="W5832" t="s">
        <v>18347</v>
      </c>
      <c r="X5832">
        <v>11</v>
      </c>
      <c r="Y5832" t="s">
        <v>24431</v>
      </c>
      <c r="Z5832" t="s">
        <v>30702</v>
      </c>
      <c r="AA5832">
        <v>0.31384487603177508</v>
      </c>
      <c r="AB5832" t="str">
        <f>HYPERLINK("Melting_Curves/meltCurve_Q9UG63_ABCF2.pdf", "Melting_Curves/meltCurve_Q9UG63_ABCF2.pdf")</f>
        <v>Melting_Curves/meltCurve_Q9UG63_ABCF2.pdf</v>
      </c>
    </row>
    <row r="5833" spans="1:28" x14ac:dyDescent="0.25">
      <c r="A5833" t="s">
        <v>5837</v>
      </c>
      <c r="B5833">
        <v>0.99352677808782597</v>
      </c>
      <c r="C5833">
        <v>0.94305964804145104</v>
      </c>
      <c r="D5833">
        <v>1.0076927354124201</v>
      </c>
      <c r="E5833">
        <v>0.86409539236435995</v>
      </c>
      <c r="F5833">
        <v>0.79721731701822396</v>
      </c>
      <c r="G5833">
        <v>0.44710933305463502</v>
      </c>
      <c r="H5833">
        <v>0.148970408352053</v>
      </c>
      <c r="I5833">
        <v>0.126052758344111</v>
      </c>
      <c r="J5833">
        <v>0.100228596592929</v>
      </c>
      <c r="K5833">
        <v>7.8709157020579401E-2</v>
      </c>
      <c r="L5833">
        <v>1179.7282254423901</v>
      </c>
      <c r="M5833">
        <v>21.128023059900102</v>
      </c>
      <c r="N5833">
        <v>56.1731265168386</v>
      </c>
      <c r="O5833">
        <v>55.344151160764497</v>
      </c>
      <c r="P5833">
        <v>-8.9776627101159495E-2</v>
      </c>
      <c r="Q5833">
        <v>5.9357348012280702E-2</v>
      </c>
      <c r="R5833">
        <v>0.99288898849745599</v>
      </c>
      <c r="S5833" t="s">
        <v>12118</v>
      </c>
      <c r="T5833" t="s">
        <v>12568</v>
      </c>
      <c r="U5833" t="s">
        <v>12568</v>
      </c>
      <c r="V5833" t="s">
        <v>12568</v>
      </c>
      <c r="W5833" t="s">
        <v>18348</v>
      </c>
      <c r="X5833">
        <v>34</v>
      </c>
      <c r="Y5833" t="s">
        <v>24432</v>
      </c>
      <c r="Z5833" t="s">
        <v>30703</v>
      </c>
      <c r="AA5833">
        <v>0.56720505326305626</v>
      </c>
      <c r="AB5833" t="str">
        <f>HYPERLINK("Melting_Curves/meltCurve_Q9UGI8_TES.pdf", "Melting_Curves/meltCurve_Q9UGI8_TES.pdf")</f>
        <v>Melting_Curves/meltCurve_Q9UGI8_TES.pdf</v>
      </c>
    </row>
    <row r="5834" spans="1:28" x14ac:dyDescent="0.25">
      <c r="A5834" t="s">
        <v>5838</v>
      </c>
      <c r="B5834">
        <v>0.99352677808782597</v>
      </c>
      <c r="C5834">
        <v>0.99355340914674095</v>
      </c>
      <c r="D5834">
        <v>0.99788003784174195</v>
      </c>
      <c r="E5834">
        <v>0.80989449652593004</v>
      </c>
      <c r="F5834">
        <v>0.82079009463402297</v>
      </c>
      <c r="G5834">
        <v>0.41260428716798098</v>
      </c>
      <c r="H5834">
        <v>0.130082211601426</v>
      </c>
      <c r="I5834">
        <v>0.11377662792788</v>
      </c>
      <c r="J5834">
        <v>8.98619310026081E-2</v>
      </c>
      <c r="K5834">
        <v>9.2711845930598502E-2</v>
      </c>
      <c r="L5834">
        <v>1206.2543337818499</v>
      </c>
      <c r="M5834">
        <v>21.698024565177501</v>
      </c>
      <c r="N5834">
        <v>55.919221360208098</v>
      </c>
      <c r="O5834">
        <v>55.127074361984803</v>
      </c>
      <c r="P5834">
        <v>-9.2549329442833894E-2</v>
      </c>
      <c r="Q5834">
        <v>5.9480518226391797E-2</v>
      </c>
      <c r="R5834">
        <v>0.98700517073772498</v>
      </c>
      <c r="S5834" t="s">
        <v>12119</v>
      </c>
      <c r="T5834" t="s">
        <v>12568</v>
      </c>
      <c r="U5834" t="s">
        <v>12568</v>
      </c>
      <c r="V5834" t="s">
        <v>12568</v>
      </c>
      <c r="W5834" t="s">
        <v>18349</v>
      </c>
      <c r="X5834">
        <v>34</v>
      </c>
      <c r="Y5834" t="s">
        <v>24432</v>
      </c>
      <c r="Z5834" t="s">
        <v>30704</v>
      </c>
      <c r="AA5834">
        <v>0.55923265386649901</v>
      </c>
      <c r="AB5834" t="str">
        <f>HYPERLINK("Melting_Curves/meltCurve_Q9UGI8_2_TES.pdf", "Melting_Curves/meltCurve_Q9UGI8_2_TES.pdf")</f>
        <v>Melting_Curves/meltCurve_Q9UGI8_2_TES.pdf</v>
      </c>
    </row>
    <row r="5835" spans="1:28" x14ac:dyDescent="0.25">
      <c r="A5835" t="s">
        <v>5839</v>
      </c>
      <c r="B5835">
        <v>0.99352677808782597</v>
      </c>
      <c r="C5835">
        <v>0.94164197624012802</v>
      </c>
      <c r="D5835">
        <v>0.90721339217743302</v>
      </c>
      <c r="E5835">
        <v>0.49504526772213098</v>
      </c>
      <c r="F5835">
        <v>0.34235027696053599</v>
      </c>
      <c r="G5835">
        <v>0.225425143959359</v>
      </c>
      <c r="H5835">
        <v>0.154507555470071</v>
      </c>
      <c r="I5835">
        <v>0.15957461007631901</v>
      </c>
      <c r="J5835">
        <v>0.122496333029495</v>
      </c>
      <c r="K5835">
        <v>0.10713358537632101</v>
      </c>
      <c r="L5835">
        <v>1010.93460140894</v>
      </c>
      <c r="M5835">
        <v>20.346245184854901</v>
      </c>
      <c r="N5835">
        <v>50.460753680009098</v>
      </c>
      <c r="O5835">
        <v>49.214029862478199</v>
      </c>
      <c r="P5835">
        <v>-8.9501755961211599E-2</v>
      </c>
      <c r="Q5835">
        <v>0.13406947314950399</v>
      </c>
      <c r="R5835">
        <v>0.99356098743449095</v>
      </c>
      <c r="S5835" t="s">
        <v>12120</v>
      </c>
      <c r="T5835" t="s">
        <v>12568</v>
      </c>
      <c r="U5835" t="s">
        <v>12568</v>
      </c>
      <c r="V5835" t="s">
        <v>12568</v>
      </c>
      <c r="W5835" t="s">
        <v>18350</v>
      </c>
      <c r="X5835">
        <v>2</v>
      </c>
      <c r="Y5835" t="s">
        <v>24433</v>
      </c>
      <c r="Z5835" t="s">
        <v>30705</v>
      </c>
      <c r="AA5835">
        <v>0.4253336842085686</v>
      </c>
      <c r="AB5835" t="str">
        <f>HYPERLINK("Melting_Curves/meltCurve_Q9UGJ0_2_PRKAG2.pdf", "Melting_Curves/meltCurve_Q9UGJ0_2_PRKAG2.pdf")</f>
        <v>Melting_Curves/meltCurve_Q9UGJ0_2_PRKAG2.pdf</v>
      </c>
    </row>
    <row r="5836" spans="1:28" x14ac:dyDescent="0.25">
      <c r="A5836" t="s">
        <v>5840</v>
      </c>
      <c r="B5836">
        <v>0.99352677808782597</v>
      </c>
      <c r="C5836">
        <v>1.0007452346002399</v>
      </c>
      <c r="D5836">
        <v>0.94108184934061601</v>
      </c>
      <c r="E5836">
        <v>0.31584303344771902</v>
      </c>
      <c r="F5836">
        <v>0.25758135968731599</v>
      </c>
      <c r="G5836">
        <v>0.18705351293456701</v>
      </c>
      <c r="H5836">
        <v>0.14944176205016599</v>
      </c>
      <c r="I5836">
        <v>0.146436441481234</v>
      </c>
      <c r="J5836">
        <v>0.130440006361524</v>
      </c>
      <c r="K5836">
        <v>9.2256724364529197E-2</v>
      </c>
      <c r="L5836">
        <v>2074.9425874992698</v>
      </c>
      <c r="M5836">
        <v>42.789019706182401</v>
      </c>
      <c r="N5836">
        <v>48.912806584229799</v>
      </c>
      <c r="O5836">
        <v>48.386866747200798</v>
      </c>
      <c r="P5836">
        <v>-0.187063219930308</v>
      </c>
      <c r="Q5836">
        <v>0.15385903903727199</v>
      </c>
      <c r="R5836">
        <v>0.99055108186896601</v>
      </c>
      <c r="S5836" t="s">
        <v>12121</v>
      </c>
      <c r="T5836" t="s">
        <v>12568</v>
      </c>
      <c r="U5836" t="s">
        <v>12568</v>
      </c>
      <c r="V5836" t="s">
        <v>12568</v>
      </c>
      <c r="W5836" t="s">
        <v>18351</v>
      </c>
      <c r="X5836">
        <v>2</v>
      </c>
      <c r="Y5836" t="s">
        <v>24434</v>
      </c>
      <c r="Z5836" t="s">
        <v>30706</v>
      </c>
      <c r="AA5836">
        <v>0.39586353641429378</v>
      </c>
      <c r="AB5836" t="str">
        <f>HYPERLINK("Melting_Curves/meltCurve_Q9UGK8_SERGEF.pdf", "Melting_Curves/meltCurve_Q9UGK8_SERGEF.pdf")</f>
        <v>Melting_Curves/meltCurve_Q9UGK8_SERGEF.pdf</v>
      </c>
    </row>
    <row r="5837" spans="1:28" x14ac:dyDescent="0.25">
      <c r="A5837" t="s">
        <v>5841</v>
      </c>
      <c r="B5837">
        <v>0.99352677808782597</v>
      </c>
      <c r="C5837">
        <v>1.0008449710148499</v>
      </c>
      <c r="D5837">
        <v>0.99099738511032298</v>
      </c>
      <c r="E5837">
        <v>0.90944259594517696</v>
      </c>
      <c r="F5837">
        <v>0.79210742889700803</v>
      </c>
      <c r="G5837">
        <v>0.68523265776516395</v>
      </c>
      <c r="H5837">
        <v>0.61582308140878805</v>
      </c>
      <c r="I5837">
        <v>0.65008060920385302</v>
      </c>
      <c r="J5837">
        <v>0.66634576450607197</v>
      </c>
      <c r="K5837">
        <v>0.55472626474082898</v>
      </c>
      <c r="L5837">
        <v>1111.1526045851599</v>
      </c>
      <c r="M5837">
        <v>21.060818765831399</v>
      </c>
      <c r="O5837">
        <v>52.2904785714341</v>
      </c>
      <c r="P5837">
        <v>-3.89574717609266E-2</v>
      </c>
      <c r="Q5837">
        <v>0.613110806983028</v>
      </c>
      <c r="R5837">
        <v>0.97304197531119596</v>
      </c>
      <c r="S5837" t="s">
        <v>12122</v>
      </c>
      <c r="T5837" t="s">
        <v>12568</v>
      </c>
      <c r="U5837" t="s">
        <v>12568</v>
      </c>
      <c r="V5837" t="s">
        <v>12568</v>
      </c>
      <c r="W5837" t="s">
        <v>18352</v>
      </c>
      <c r="X5837">
        <v>20</v>
      </c>
      <c r="Y5837" t="s">
        <v>24435</v>
      </c>
      <c r="Z5837" t="s">
        <v>30707</v>
      </c>
      <c r="AA5837">
        <v>0.78252798514566835</v>
      </c>
      <c r="AB5837" t="str">
        <f>HYPERLINK("Melting_Curves/meltCurve_Q9UGP4_LIMD1.pdf", "Melting_Curves/meltCurve_Q9UGP4_LIMD1.pdf")</f>
        <v>Melting_Curves/meltCurve_Q9UGP4_LIMD1.pdf</v>
      </c>
    </row>
    <row r="5838" spans="1:28" x14ac:dyDescent="0.25">
      <c r="A5838" t="s">
        <v>5842</v>
      </c>
      <c r="B5838">
        <v>0.99352677808782597</v>
      </c>
      <c r="C5838">
        <v>0.97766185494737001</v>
      </c>
      <c r="D5838">
        <v>0.84881864663061701</v>
      </c>
      <c r="E5838">
        <v>0.76529822772330602</v>
      </c>
      <c r="F5838">
        <v>0.59353800810212698</v>
      </c>
      <c r="G5838">
        <v>0.483704529874108</v>
      </c>
      <c r="H5838">
        <v>0.37884902425418798</v>
      </c>
      <c r="I5838">
        <v>0.28694486174448097</v>
      </c>
      <c r="J5838">
        <v>0.20351764765746899</v>
      </c>
      <c r="K5838">
        <v>0.184961203416562</v>
      </c>
      <c r="L5838">
        <v>501.61354568932398</v>
      </c>
      <c r="M5838">
        <v>9.0234374190286992</v>
      </c>
      <c r="N5838">
        <v>56.369969026777603</v>
      </c>
      <c r="O5838">
        <v>53.063569554964999</v>
      </c>
      <c r="P5838">
        <v>-4.0046468982383697E-2</v>
      </c>
      <c r="Q5838">
        <v>5.8681847600026898E-2</v>
      </c>
      <c r="R5838">
        <v>0.99338439074100504</v>
      </c>
      <c r="S5838" t="s">
        <v>12123</v>
      </c>
      <c r="T5838" t="s">
        <v>12568</v>
      </c>
      <c r="U5838" t="s">
        <v>12568</v>
      </c>
      <c r="V5838" t="s">
        <v>12568</v>
      </c>
      <c r="W5838" t="s">
        <v>18353</v>
      </c>
      <c r="X5838">
        <v>1</v>
      </c>
      <c r="Y5838" t="s">
        <v>24436</v>
      </c>
      <c r="Z5838" t="s">
        <v>30708</v>
      </c>
      <c r="AA5838">
        <v>0.56977234546434319</v>
      </c>
      <c r="AB5838" t="str">
        <f>HYPERLINK("Melting_Curves/meltCurve_Q9UGT4_SUSD2.pdf", "Melting_Curves/meltCurve_Q9UGT4_SUSD2.pdf")</f>
        <v>Melting_Curves/meltCurve_Q9UGT4_SUSD2.pdf</v>
      </c>
    </row>
    <row r="5839" spans="1:28" x14ac:dyDescent="0.25">
      <c r="A5839" t="s">
        <v>5843</v>
      </c>
      <c r="B5839">
        <v>0.99352677808782597</v>
      </c>
      <c r="C5839">
        <v>0.96760008582092405</v>
      </c>
      <c r="D5839">
        <v>0.99343463065425197</v>
      </c>
      <c r="E5839">
        <v>1.0084083376861499</v>
      </c>
      <c r="F5839">
        <v>0.87102090888461703</v>
      </c>
      <c r="G5839">
        <v>0.84707422096190399</v>
      </c>
      <c r="H5839">
        <v>0.79153481358474598</v>
      </c>
      <c r="I5839">
        <v>0.80439864777836001</v>
      </c>
      <c r="J5839">
        <v>0.81841784309288901</v>
      </c>
      <c r="K5839">
        <v>0.75353874275903798</v>
      </c>
      <c r="L5839">
        <v>13216.0943376545</v>
      </c>
      <c r="M5839">
        <v>250</v>
      </c>
      <c r="O5839">
        <v>52.860989405719799</v>
      </c>
      <c r="P5839">
        <v>-0.23293067018712299</v>
      </c>
      <c r="Q5839">
        <v>0.80299285063634096</v>
      </c>
      <c r="R5839">
        <v>0.92912499177167496</v>
      </c>
      <c r="S5839" t="s">
        <v>12124</v>
      </c>
      <c r="T5839" t="s">
        <v>12568</v>
      </c>
      <c r="U5839" t="s">
        <v>12568</v>
      </c>
      <c r="V5839" t="s">
        <v>12568</v>
      </c>
      <c r="W5839" t="s">
        <v>18354</v>
      </c>
      <c r="X5839">
        <v>9</v>
      </c>
      <c r="Y5839" t="s">
        <v>24437</v>
      </c>
      <c r="Z5839" t="s">
        <v>30709</v>
      </c>
      <c r="AA5839">
        <v>0.88749027187584129</v>
      </c>
      <c r="AB5839" t="str">
        <f>HYPERLINK("Melting_Curves/meltCurve_Q9UGU0_2_TCF20.pdf", "Melting_Curves/meltCurve_Q9UGU0_2_TCF20.pdf")</f>
        <v>Melting_Curves/meltCurve_Q9UGU0_2_TCF20.pdf</v>
      </c>
    </row>
    <row r="5840" spans="1:28" x14ac:dyDescent="0.25">
      <c r="A5840" t="s">
        <v>5844</v>
      </c>
      <c r="B5840">
        <v>0.99352677808782597</v>
      </c>
      <c r="C5840">
        <v>0.98494228676071305</v>
      </c>
      <c r="D5840">
        <v>1.0069502710170499</v>
      </c>
      <c r="E5840">
        <v>0.69490259441385804</v>
      </c>
      <c r="F5840">
        <v>0.61337441050146502</v>
      </c>
      <c r="G5840">
        <v>0.221553026843236</v>
      </c>
      <c r="H5840">
        <v>0.13044788122030301</v>
      </c>
      <c r="I5840">
        <v>0.10312169869427699</v>
      </c>
      <c r="J5840">
        <v>8.8813123803058502E-2</v>
      </c>
      <c r="K5840">
        <v>6.3782587355454806E-2</v>
      </c>
      <c r="L5840">
        <v>989.987968561706</v>
      </c>
      <c r="M5840">
        <v>18.638324367197601</v>
      </c>
      <c r="N5840">
        <v>53.463069266623897</v>
      </c>
      <c r="O5840">
        <v>52.515597947327898</v>
      </c>
      <c r="P5840">
        <v>-8.3671513446688703E-2</v>
      </c>
      <c r="Q5840">
        <v>5.70245353868871E-2</v>
      </c>
      <c r="R5840">
        <v>0.98851413669712396</v>
      </c>
      <c r="S5840" t="s">
        <v>12125</v>
      </c>
      <c r="T5840" t="s">
        <v>12568</v>
      </c>
      <c r="U5840" t="s">
        <v>12568</v>
      </c>
      <c r="V5840" t="s">
        <v>12568</v>
      </c>
      <c r="W5840" t="s">
        <v>18355</v>
      </c>
      <c r="X5840">
        <v>8</v>
      </c>
      <c r="Y5840" t="s">
        <v>24438</v>
      </c>
      <c r="Z5840" t="s">
        <v>30710</v>
      </c>
      <c r="AA5840">
        <v>0.48385094526670031</v>
      </c>
      <c r="AB5840" t="str">
        <f>HYPERLINK("Melting_Curves/meltCurve_Q9UGV2_NDRG3.pdf", "Melting_Curves/meltCurve_Q9UGV2_NDRG3.pdf")</f>
        <v>Melting_Curves/meltCurve_Q9UGV2_NDRG3.pdf</v>
      </c>
    </row>
    <row r="5841" spans="1:28" x14ac:dyDescent="0.25">
      <c r="A5841" t="s">
        <v>5845</v>
      </c>
      <c r="B5841">
        <v>0.99352677808782597</v>
      </c>
      <c r="C5841">
        <v>1.04813379647442</v>
      </c>
      <c r="D5841">
        <v>0.84479260159510905</v>
      </c>
      <c r="E5841">
        <v>0.23436622298972301</v>
      </c>
      <c r="F5841">
        <v>0.15272479725413701</v>
      </c>
      <c r="G5841">
        <v>7.8155727978715103E-2</v>
      </c>
      <c r="H5841">
        <v>4.1614130073730098E-2</v>
      </c>
      <c r="I5841">
        <v>3.55721954741616E-2</v>
      </c>
      <c r="J5841">
        <v>3.4543955307308201E-2</v>
      </c>
      <c r="K5841">
        <v>2.20120982280173E-2</v>
      </c>
      <c r="L5841">
        <v>1678.2408444288401</v>
      </c>
      <c r="M5841">
        <v>34.858118890656897</v>
      </c>
      <c r="N5841">
        <v>48.293054659782698</v>
      </c>
      <c r="O5841">
        <v>47.9872795002766</v>
      </c>
      <c r="P5841">
        <v>-0.17239287309197099</v>
      </c>
      <c r="Q5841">
        <v>5.07077714588293E-2</v>
      </c>
      <c r="R5841">
        <v>0.99381412807192404</v>
      </c>
      <c r="S5841" t="s">
        <v>12126</v>
      </c>
      <c r="T5841" t="s">
        <v>12568</v>
      </c>
      <c r="U5841" t="s">
        <v>12568</v>
      </c>
      <c r="V5841" t="s">
        <v>12568</v>
      </c>
      <c r="W5841" t="s">
        <v>18356</v>
      </c>
      <c r="X5841">
        <v>3</v>
      </c>
      <c r="Y5841" t="s">
        <v>24439</v>
      </c>
      <c r="Z5841" t="s">
        <v>30711</v>
      </c>
      <c r="AA5841">
        <v>0.3126324869648654</v>
      </c>
      <c r="AB5841" t="str">
        <f>HYPERLINK("Melting_Curves/meltCurve_Q9UH62_ARMCX3.pdf", "Melting_Curves/meltCurve_Q9UH62_ARMCX3.pdf")</f>
        <v>Melting_Curves/meltCurve_Q9UH62_ARMCX3.pdf</v>
      </c>
    </row>
    <row r="5842" spans="1:28" x14ac:dyDescent="0.25">
      <c r="A5842" t="s">
        <v>5846</v>
      </c>
      <c r="B5842">
        <v>0.99352677808782597</v>
      </c>
      <c r="C5842">
        <v>0.74336977787097203</v>
      </c>
      <c r="D5842">
        <v>1.03838733222207</v>
      </c>
      <c r="E5842">
        <v>0.71004619665260904</v>
      </c>
      <c r="F5842">
        <v>0.65506032774102296</v>
      </c>
      <c r="G5842">
        <v>0.29202785856108399</v>
      </c>
      <c r="H5842">
        <v>0.14341816726800599</v>
      </c>
      <c r="I5842">
        <v>0.140249436184189</v>
      </c>
      <c r="J5842">
        <v>0.121586360356031</v>
      </c>
      <c r="K5842">
        <v>9.3002020103196095E-2</v>
      </c>
      <c r="L5842">
        <v>845.12292932209198</v>
      </c>
      <c r="M5842">
        <v>15.7552515193203</v>
      </c>
      <c r="N5842">
        <v>54.094158764361701</v>
      </c>
      <c r="O5842">
        <v>52.798853650806798</v>
      </c>
      <c r="P5842">
        <v>-6.9991229154458004E-2</v>
      </c>
      <c r="Q5842">
        <v>6.1862311614400201E-2</v>
      </c>
      <c r="R5842">
        <v>0.93584922881772503</v>
      </c>
      <c r="S5842" t="s">
        <v>12127</v>
      </c>
      <c r="T5842" t="s">
        <v>12568</v>
      </c>
      <c r="U5842" t="s">
        <v>12568</v>
      </c>
      <c r="V5842" t="s">
        <v>12568</v>
      </c>
      <c r="W5842" t="s">
        <v>18357</v>
      </c>
      <c r="X5842">
        <v>29</v>
      </c>
      <c r="Y5842" t="s">
        <v>24440</v>
      </c>
      <c r="Z5842" t="s">
        <v>30712</v>
      </c>
      <c r="AA5842">
        <v>0.50679288620495977</v>
      </c>
      <c r="AB5842" t="str">
        <f>HYPERLINK("Melting_Curves/meltCurve_Q9UH65_SWAP70.pdf", "Melting_Curves/meltCurve_Q9UH65_SWAP70.pdf")</f>
        <v>Melting_Curves/meltCurve_Q9UH65_SWAP70.pdf</v>
      </c>
    </row>
    <row r="5843" spans="1:28" x14ac:dyDescent="0.25">
      <c r="A5843" t="s">
        <v>5847</v>
      </c>
      <c r="B5843">
        <v>0.99352677808782597</v>
      </c>
      <c r="C5843">
        <v>0.88504028416904801</v>
      </c>
      <c r="D5843">
        <v>0.83177161824511903</v>
      </c>
      <c r="E5843">
        <v>0.61784304046857197</v>
      </c>
      <c r="F5843">
        <v>0.57753546218357898</v>
      </c>
      <c r="G5843">
        <v>0.39139346410064002</v>
      </c>
      <c r="H5843">
        <v>0.28489524858096499</v>
      </c>
      <c r="I5843">
        <v>0.33876473775578297</v>
      </c>
      <c r="J5843">
        <v>0.282322061137461</v>
      </c>
      <c r="K5843">
        <v>0.222255704757814</v>
      </c>
      <c r="L5843">
        <v>544.44455345895506</v>
      </c>
      <c r="M5843">
        <v>10.633200839693499</v>
      </c>
      <c r="N5843">
        <v>53.886248569370998</v>
      </c>
      <c r="O5843">
        <v>49.490936519976401</v>
      </c>
      <c r="P5843">
        <v>-4.26868948998309E-2</v>
      </c>
      <c r="Q5843">
        <v>0.205581653092203</v>
      </c>
      <c r="R5843">
        <v>0.98510217811129697</v>
      </c>
      <c r="S5843" t="s">
        <v>12128</v>
      </c>
      <c r="T5843" t="s">
        <v>12568</v>
      </c>
      <c r="U5843" t="s">
        <v>12568</v>
      </c>
      <c r="V5843" t="s">
        <v>12568</v>
      </c>
      <c r="W5843" t="s">
        <v>18358</v>
      </c>
      <c r="X5843">
        <v>1</v>
      </c>
      <c r="Y5843" t="s">
        <v>24441</v>
      </c>
      <c r="Z5843" t="s">
        <v>30713</v>
      </c>
      <c r="AA5843">
        <v>0.53230909042773256</v>
      </c>
      <c r="AB5843" t="str">
        <f>HYPERLINK("Melting_Curves/meltCurve_Q9UH92_2_MLX.pdf", "Melting_Curves/meltCurve_Q9UH92_2_MLX.pdf")</f>
        <v>Melting_Curves/meltCurve_Q9UH92_2_MLX.pdf</v>
      </c>
    </row>
    <row r="5844" spans="1:28" x14ac:dyDescent="0.25">
      <c r="A5844" t="s">
        <v>5848</v>
      </c>
      <c r="B5844">
        <v>0.99352677808782597</v>
      </c>
      <c r="C5844">
        <v>1.10510251445054</v>
      </c>
      <c r="D5844">
        <v>1.08047273792869</v>
      </c>
      <c r="E5844">
        <v>0.98281289792302895</v>
      </c>
      <c r="F5844">
        <v>0.93082074814947002</v>
      </c>
      <c r="G5844">
        <v>0.846968378928317</v>
      </c>
      <c r="H5844">
        <v>0.570528357738882</v>
      </c>
      <c r="I5844">
        <v>0.589047044379018</v>
      </c>
      <c r="J5844">
        <v>0.62283938740538702</v>
      </c>
      <c r="K5844">
        <v>0.53185004179903494</v>
      </c>
      <c r="L5844">
        <v>3580.2349672774499</v>
      </c>
      <c r="M5844">
        <v>62.272043330114201</v>
      </c>
      <c r="O5844">
        <v>57.4342521844275</v>
      </c>
      <c r="P5844">
        <v>-0.114981814078947</v>
      </c>
      <c r="Q5844">
        <v>0.57580372575138705</v>
      </c>
      <c r="R5844">
        <v>0.94091710941934703</v>
      </c>
      <c r="S5844" t="s">
        <v>12129</v>
      </c>
      <c r="T5844" t="s">
        <v>12568</v>
      </c>
      <c r="U5844" t="s">
        <v>12568</v>
      </c>
      <c r="V5844" t="s">
        <v>12568</v>
      </c>
      <c r="W5844" t="s">
        <v>18359</v>
      </c>
      <c r="X5844">
        <v>1</v>
      </c>
      <c r="Y5844" t="s">
        <v>24442</v>
      </c>
      <c r="Z5844" t="s">
        <v>30714</v>
      </c>
      <c r="AA5844">
        <v>0.8238508918918811</v>
      </c>
      <c r="AB5844" t="str">
        <f>HYPERLINK("Melting_Curves/meltCurve_Q9UHA3_RSL24D1.pdf", "Melting_Curves/meltCurve_Q9UHA3_RSL24D1.pdf")</f>
        <v>Melting_Curves/meltCurve_Q9UHA3_RSL24D1.pdf</v>
      </c>
    </row>
    <row r="5845" spans="1:28" x14ac:dyDescent="0.25">
      <c r="A5845" t="s">
        <v>5849</v>
      </c>
      <c r="B5845">
        <v>0.99352677808782597</v>
      </c>
      <c r="C5845">
        <v>0.95787000062771199</v>
      </c>
      <c r="D5845">
        <v>0.98191827841204804</v>
      </c>
      <c r="E5845">
        <v>0.86587250436742103</v>
      </c>
      <c r="F5845">
        <v>0.80274851814312997</v>
      </c>
      <c r="G5845">
        <v>0.73233525394621302</v>
      </c>
      <c r="H5845">
        <v>0.65061674457554497</v>
      </c>
      <c r="I5845">
        <v>0.73509753592529603</v>
      </c>
      <c r="J5845">
        <v>0.648658861061717</v>
      </c>
      <c r="K5845">
        <v>0.58740330271465502</v>
      </c>
      <c r="L5845">
        <v>613.48585484344403</v>
      </c>
      <c r="M5845">
        <v>11.5004351780512</v>
      </c>
      <c r="O5845">
        <v>51.808127162375598</v>
      </c>
      <c r="P5845">
        <v>-2.1765002057460001E-2</v>
      </c>
      <c r="Q5845">
        <v>0.60791617750003801</v>
      </c>
      <c r="R5845">
        <v>0.945682951809519</v>
      </c>
      <c r="S5845" t="s">
        <v>12130</v>
      </c>
      <c r="T5845" t="s">
        <v>12568</v>
      </c>
      <c r="U5845" t="s">
        <v>12568</v>
      </c>
      <c r="V5845" t="s">
        <v>12568</v>
      </c>
      <c r="W5845" t="s">
        <v>18360</v>
      </c>
      <c r="X5845">
        <v>12</v>
      </c>
      <c r="Y5845" t="s">
        <v>24443</v>
      </c>
      <c r="Z5845" t="s">
        <v>30715</v>
      </c>
      <c r="AA5845">
        <v>0.79366370220513482</v>
      </c>
      <c r="AB5845" t="str">
        <f>HYPERLINK("Melting_Curves/meltCurve_Q9UHB6_LIMA1.pdf", "Melting_Curves/meltCurve_Q9UHB6_LIMA1.pdf")</f>
        <v>Melting_Curves/meltCurve_Q9UHB6_LIMA1.pdf</v>
      </c>
    </row>
    <row r="5846" spans="1:28" x14ac:dyDescent="0.25">
      <c r="A5846" t="s">
        <v>5850</v>
      </c>
      <c r="B5846">
        <v>0.99352677808782597</v>
      </c>
      <c r="C5846">
        <v>0.949150221683424</v>
      </c>
      <c r="D5846">
        <v>0.88121948052254295</v>
      </c>
      <c r="E5846">
        <v>0.84664982871743699</v>
      </c>
      <c r="F5846">
        <v>0.76562774553616397</v>
      </c>
      <c r="G5846">
        <v>0.69487944442789795</v>
      </c>
      <c r="H5846">
        <v>0.66529010955120504</v>
      </c>
      <c r="I5846">
        <v>0.69955639067621</v>
      </c>
      <c r="J5846">
        <v>0.74567263739852596</v>
      </c>
      <c r="K5846">
        <v>0.61717320199863901</v>
      </c>
      <c r="L5846">
        <v>593.65387683106701</v>
      </c>
      <c r="M5846">
        <v>12.0107315413519</v>
      </c>
      <c r="O5846">
        <v>48.116584035034599</v>
      </c>
      <c r="P5846">
        <v>-2.1185608394152199E-2</v>
      </c>
      <c r="Q5846">
        <v>0.66059212416528401</v>
      </c>
      <c r="R5846">
        <v>0.92447104530738</v>
      </c>
      <c r="S5846" t="s">
        <v>12131</v>
      </c>
      <c r="T5846" t="s">
        <v>12568</v>
      </c>
      <c r="U5846" t="s">
        <v>12568</v>
      </c>
      <c r="V5846" t="s">
        <v>12568</v>
      </c>
      <c r="W5846" t="s">
        <v>18361</v>
      </c>
      <c r="X5846">
        <v>13</v>
      </c>
      <c r="Y5846" t="s">
        <v>24444</v>
      </c>
      <c r="Z5846" t="s">
        <v>30716</v>
      </c>
      <c r="AA5846">
        <v>0.77938078996078697</v>
      </c>
      <c r="AB5846" t="str">
        <f>HYPERLINK("Melting_Curves/meltCurve_Q9UHB7_AFF4.pdf", "Melting_Curves/meltCurve_Q9UHB7_AFF4.pdf")</f>
        <v>Melting_Curves/meltCurve_Q9UHB7_AFF4.pdf</v>
      </c>
    </row>
    <row r="5847" spans="1:28" x14ac:dyDescent="0.25">
      <c r="A5847" t="s">
        <v>5851</v>
      </c>
      <c r="B5847">
        <v>0.99352677808782597</v>
      </c>
      <c r="C5847">
        <v>0.95622218049897101</v>
      </c>
      <c r="D5847">
        <v>0.55220436293765196</v>
      </c>
      <c r="E5847">
        <v>0.34436094981644599</v>
      </c>
      <c r="F5847">
        <v>0.28043315715233302</v>
      </c>
      <c r="G5847">
        <v>0.15087962034691399</v>
      </c>
      <c r="H5847">
        <v>0.107239030758564</v>
      </c>
      <c r="I5847">
        <v>0.10629467201713701</v>
      </c>
      <c r="J5847">
        <v>8.1876516395295404E-2</v>
      </c>
      <c r="K5847">
        <v>7.42837546509061E-2</v>
      </c>
      <c r="L5847">
        <v>820.96035227987102</v>
      </c>
      <c r="M5847">
        <v>17.417557441610001</v>
      </c>
      <c r="N5847">
        <v>47.726649175715401</v>
      </c>
      <c r="O5847">
        <v>46.5259161160213</v>
      </c>
      <c r="P5847">
        <v>-8.4495228214293797E-2</v>
      </c>
      <c r="Q5847">
        <v>9.7233387243340103E-2</v>
      </c>
      <c r="R5847">
        <v>0.978609308453118</v>
      </c>
      <c r="S5847" t="s">
        <v>12132</v>
      </c>
      <c r="T5847" t="s">
        <v>12568</v>
      </c>
      <c r="U5847" t="s">
        <v>12568</v>
      </c>
      <c r="V5847" t="s">
        <v>12568</v>
      </c>
      <c r="W5847" t="s">
        <v>18362</v>
      </c>
      <c r="X5847">
        <v>20</v>
      </c>
      <c r="Y5847" t="s">
        <v>24445</v>
      </c>
      <c r="Z5847" t="s">
        <v>30717</v>
      </c>
      <c r="AA5847">
        <v>0.32968015136149342</v>
      </c>
      <c r="AB5847" t="str">
        <f>HYPERLINK("Melting_Curves/meltCurve_Q9UHB9_SRP68.pdf", "Melting_Curves/meltCurve_Q9UHB9_SRP68.pdf")</f>
        <v>Melting_Curves/meltCurve_Q9UHB9_SRP68.pdf</v>
      </c>
    </row>
    <row r="5848" spans="1:28" x14ac:dyDescent="0.25">
      <c r="A5848" t="s">
        <v>5852</v>
      </c>
      <c r="B5848">
        <v>0.99352677808782597</v>
      </c>
      <c r="C5848">
        <v>1.03886087473675</v>
      </c>
      <c r="D5848">
        <v>0.96568246934890001</v>
      </c>
      <c r="E5848">
        <v>0.82925875253491199</v>
      </c>
      <c r="F5848">
        <v>0.72590268004584002</v>
      </c>
      <c r="G5848">
        <v>0.30908082867342102</v>
      </c>
      <c r="H5848">
        <v>0.176089560483391</v>
      </c>
      <c r="I5848">
        <v>0.15438493145186899</v>
      </c>
      <c r="J5848">
        <v>0.14045977191580999</v>
      </c>
      <c r="K5848">
        <v>0.100154183186246</v>
      </c>
      <c r="L5848">
        <v>1191.9672553754799</v>
      </c>
      <c r="M5848">
        <v>21.948197079567102</v>
      </c>
      <c r="N5848">
        <v>54.920833827136804</v>
      </c>
      <c r="O5848">
        <v>53.863385995994101</v>
      </c>
      <c r="P5848">
        <v>-9.0810796901665894E-2</v>
      </c>
      <c r="Q5848">
        <v>0.108579496976143</v>
      </c>
      <c r="R5848">
        <v>0.99323590167587295</v>
      </c>
      <c r="S5848" t="s">
        <v>12133</v>
      </c>
      <c r="T5848" t="s">
        <v>12568</v>
      </c>
      <c r="U5848" t="s">
        <v>12568</v>
      </c>
      <c r="V5848" t="s">
        <v>12568</v>
      </c>
      <c r="W5848" t="s">
        <v>18363</v>
      </c>
      <c r="X5848">
        <v>15</v>
      </c>
      <c r="Y5848" t="s">
        <v>24446</v>
      </c>
      <c r="Z5848" t="s">
        <v>30718</v>
      </c>
      <c r="AA5848">
        <v>0.54409107686382618</v>
      </c>
      <c r="AB5848" t="str">
        <f>HYPERLINK("Melting_Curves/meltCurve_Q9UHD1_CHORDC1.pdf", "Melting_Curves/meltCurve_Q9UHD1_CHORDC1.pdf")</f>
        <v>Melting_Curves/meltCurve_Q9UHD1_CHORDC1.pdf</v>
      </c>
    </row>
    <row r="5849" spans="1:28" x14ac:dyDescent="0.25">
      <c r="A5849" t="s">
        <v>5853</v>
      </c>
      <c r="B5849">
        <v>0.99352677808782597</v>
      </c>
      <c r="C5849">
        <v>0.86349847604559704</v>
      </c>
      <c r="D5849">
        <v>0.70968549161487504</v>
      </c>
      <c r="E5849">
        <v>0.27202056871761898</v>
      </c>
      <c r="F5849">
        <v>0.252566587795924</v>
      </c>
      <c r="G5849">
        <v>0.12809659740889701</v>
      </c>
      <c r="H5849">
        <v>0.106862952636367</v>
      </c>
      <c r="I5849">
        <v>8.6565971533612299E-2</v>
      </c>
      <c r="J5849">
        <v>6.9374683676317397E-2</v>
      </c>
      <c r="K5849">
        <v>5.4575770235995802E-2</v>
      </c>
      <c r="L5849">
        <v>885.71278579309603</v>
      </c>
      <c r="M5849">
        <v>18.655339517218898</v>
      </c>
      <c r="N5849">
        <v>47.916390957041003</v>
      </c>
      <c r="O5849">
        <v>46.942230887343598</v>
      </c>
      <c r="P5849">
        <v>-9.1556842496034296E-2</v>
      </c>
      <c r="Q5849">
        <v>7.8505100097736105E-2</v>
      </c>
      <c r="R5849">
        <v>0.99034214931741904</v>
      </c>
      <c r="S5849" t="s">
        <v>12134</v>
      </c>
      <c r="T5849" t="s">
        <v>12568</v>
      </c>
      <c r="U5849" t="s">
        <v>12568</v>
      </c>
      <c r="V5849" t="s">
        <v>12568</v>
      </c>
      <c r="W5849" t="s">
        <v>18364</v>
      </c>
      <c r="X5849">
        <v>10</v>
      </c>
      <c r="Y5849" t="s">
        <v>24447</v>
      </c>
      <c r="Z5849" t="s">
        <v>30719</v>
      </c>
      <c r="AA5849">
        <v>0.32361364870047121</v>
      </c>
      <c r="AB5849" t="str">
        <f>HYPERLINK("Melting_Curves/meltCurve_Q9UHD2_TBK1.pdf", "Melting_Curves/meltCurve_Q9UHD2_TBK1.pdf")</f>
        <v>Melting_Curves/meltCurve_Q9UHD2_TBK1.pdf</v>
      </c>
    </row>
    <row r="5850" spans="1:28" x14ac:dyDescent="0.25">
      <c r="A5850" t="s">
        <v>5854</v>
      </c>
      <c r="B5850">
        <v>0.99352677808782597</v>
      </c>
      <c r="C5850">
        <v>0.95858860530426404</v>
      </c>
      <c r="D5850">
        <v>0.90280948938112004</v>
      </c>
      <c r="E5850">
        <v>1.03401642256461</v>
      </c>
      <c r="F5850">
        <v>0.92668085207241901</v>
      </c>
      <c r="G5850">
        <v>0.43234330793973602</v>
      </c>
      <c r="H5850">
        <v>0.32488315707849802</v>
      </c>
      <c r="I5850">
        <v>0.32512347675955899</v>
      </c>
      <c r="J5850">
        <v>0.29280086235855901</v>
      </c>
      <c r="K5850">
        <v>0.246360259209009</v>
      </c>
      <c r="L5850">
        <v>2690.6273251364801</v>
      </c>
      <c r="M5850">
        <v>48.597110848361098</v>
      </c>
      <c r="N5850">
        <v>56.397820198486002</v>
      </c>
      <c r="O5850">
        <v>55.272504215912903</v>
      </c>
      <c r="P5850">
        <v>-0.15507579697739901</v>
      </c>
      <c r="Q5850">
        <v>0.294491700509036</v>
      </c>
      <c r="R5850">
        <v>0.98443383730142697</v>
      </c>
      <c r="S5850" t="s">
        <v>12135</v>
      </c>
      <c r="T5850" t="s">
        <v>12568</v>
      </c>
      <c r="U5850" t="s">
        <v>12568</v>
      </c>
      <c r="V5850" t="s">
        <v>12568</v>
      </c>
      <c r="W5850" t="s">
        <v>18365</v>
      </c>
      <c r="X5850">
        <v>32</v>
      </c>
      <c r="Y5850" t="s">
        <v>24448</v>
      </c>
      <c r="Z5850" t="s">
        <v>30720</v>
      </c>
      <c r="AA5850">
        <v>0.65767567111180159</v>
      </c>
      <c r="AB5850" t="str">
        <f>HYPERLINK("Melting_Curves/meltCurve_Q9UHD8_SEPT9.pdf", "Melting_Curves/meltCurve_Q9UHD8_SEPT9.pdf")</f>
        <v>Melting_Curves/meltCurve_Q9UHD8_SEPT9.pdf</v>
      </c>
    </row>
    <row r="5851" spans="1:28" x14ac:dyDescent="0.25">
      <c r="A5851" t="s">
        <v>5855</v>
      </c>
      <c r="B5851">
        <v>0.99352677808782597</v>
      </c>
      <c r="C5851">
        <v>1.04615822858659</v>
      </c>
      <c r="D5851">
        <v>1.03260474241666</v>
      </c>
      <c r="E5851">
        <v>1.00952935722098</v>
      </c>
      <c r="F5851">
        <v>0.88747792654903002</v>
      </c>
      <c r="G5851">
        <v>0.72826272961748595</v>
      </c>
      <c r="H5851">
        <v>0.71588097875494205</v>
      </c>
      <c r="I5851">
        <v>0.73753432207633596</v>
      </c>
      <c r="J5851">
        <v>0.89299436050219905</v>
      </c>
      <c r="K5851">
        <v>0.67852393605111805</v>
      </c>
      <c r="L5851">
        <v>13260.369624962899</v>
      </c>
      <c r="M5851">
        <v>250</v>
      </c>
      <c r="O5851">
        <v>53.038085479924398</v>
      </c>
      <c r="P5851">
        <v>-0.29384632308792302</v>
      </c>
      <c r="Q5851">
        <v>0.75063926389117497</v>
      </c>
      <c r="R5851">
        <v>0.83944044787425498</v>
      </c>
      <c r="S5851" t="s">
        <v>12136</v>
      </c>
      <c r="T5851" t="s">
        <v>12568</v>
      </c>
      <c r="U5851" t="s">
        <v>12568</v>
      </c>
      <c r="V5851" t="s">
        <v>12568</v>
      </c>
      <c r="W5851" t="s">
        <v>18366</v>
      </c>
      <c r="X5851">
        <v>11</v>
      </c>
      <c r="Y5851" t="s">
        <v>24449</v>
      </c>
      <c r="Z5851" t="s">
        <v>30721</v>
      </c>
      <c r="AA5851">
        <v>0.85906356541536522</v>
      </c>
      <c r="AB5851" t="str">
        <f>HYPERLINK("Melting_Curves/meltCurve_Q9UHD9_UBQLN2.pdf", "Melting_Curves/meltCurve_Q9UHD9_UBQLN2.pdf")</f>
        <v>Melting_Curves/meltCurve_Q9UHD9_UBQLN2.pdf</v>
      </c>
    </row>
    <row r="5852" spans="1:28" x14ac:dyDescent="0.25">
      <c r="A5852" t="s">
        <v>5856</v>
      </c>
      <c r="B5852">
        <v>0.99352677808782597</v>
      </c>
      <c r="C5852">
        <v>0.87189151951794897</v>
      </c>
      <c r="D5852">
        <v>0.95464661477171298</v>
      </c>
      <c r="E5852">
        <v>0.78705373769324705</v>
      </c>
      <c r="F5852">
        <v>0.69146364110723402</v>
      </c>
      <c r="G5852">
        <v>0.63196712127500898</v>
      </c>
      <c r="H5852">
        <v>0.50228844830202302</v>
      </c>
      <c r="I5852">
        <v>0.58471272574483302</v>
      </c>
      <c r="J5852">
        <v>0.57051782048881905</v>
      </c>
      <c r="K5852">
        <v>0.499370194446285</v>
      </c>
      <c r="L5852">
        <v>615.00528942422102</v>
      </c>
      <c r="M5852">
        <v>12.027202576186699</v>
      </c>
      <c r="O5852">
        <v>49.782433448310897</v>
      </c>
      <c r="P5852">
        <v>-2.9853203958335298E-2</v>
      </c>
      <c r="Q5852">
        <v>0.50585017017772005</v>
      </c>
      <c r="R5852">
        <v>0.93886141745058305</v>
      </c>
      <c r="S5852" t="s">
        <v>12137</v>
      </c>
      <c r="T5852" t="s">
        <v>12568</v>
      </c>
      <c r="U5852" t="s">
        <v>12568</v>
      </c>
      <c r="V5852" t="s">
        <v>12568</v>
      </c>
      <c r="W5852" t="s">
        <v>18367</v>
      </c>
      <c r="X5852">
        <v>6</v>
      </c>
      <c r="Y5852" t="s">
        <v>24450</v>
      </c>
      <c r="Z5852" t="s">
        <v>30722</v>
      </c>
      <c r="AA5852">
        <v>0.7051875820131952</v>
      </c>
      <c r="AB5852" t="str">
        <f>HYPERLINK("Melting_Curves/meltCurve_Q9UHG0_DCDC2.pdf", "Melting_Curves/meltCurve_Q9UHG0_DCDC2.pdf")</f>
        <v>Melting_Curves/meltCurve_Q9UHG0_DCDC2.pdf</v>
      </c>
    </row>
    <row r="5853" spans="1:28" x14ac:dyDescent="0.25">
      <c r="A5853" t="s">
        <v>5857</v>
      </c>
      <c r="B5853">
        <v>0.99352677808782597</v>
      </c>
      <c r="C5853">
        <v>0.94522324033125604</v>
      </c>
      <c r="D5853">
        <v>1.05899898481626</v>
      </c>
      <c r="E5853">
        <v>0.416116258897262</v>
      </c>
      <c r="F5853">
        <v>0.36572913074570301</v>
      </c>
      <c r="G5853">
        <v>0.21740943233716101</v>
      </c>
      <c r="H5853">
        <v>0.16824584528174</v>
      </c>
      <c r="I5853">
        <v>0.189261052081517</v>
      </c>
      <c r="J5853">
        <v>0.18550586395431601</v>
      </c>
      <c r="K5853">
        <v>0.17344756434435599</v>
      </c>
      <c r="L5853">
        <v>2691.0149619397298</v>
      </c>
      <c r="M5853">
        <v>54.735698030623901</v>
      </c>
      <c r="N5853">
        <v>49.662590732156602</v>
      </c>
      <c r="O5853">
        <v>49.098307797094101</v>
      </c>
      <c r="P5853">
        <v>-0.219772446344869</v>
      </c>
      <c r="Q5853">
        <v>0.21145072758929501</v>
      </c>
      <c r="R5853">
        <v>0.97360828437578595</v>
      </c>
      <c r="S5853" t="s">
        <v>12138</v>
      </c>
      <c r="T5853" t="s">
        <v>12568</v>
      </c>
      <c r="U5853" t="s">
        <v>12568</v>
      </c>
      <c r="V5853" t="s">
        <v>12568</v>
      </c>
      <c r="W5853" t="s">
        <v>18368</v>
      </c>
      <c r="X5853">
        <v>10</v>
      </c>
      <c r="Y5853" t="s">
        <v>24451</v>
      </c>
      <c r="Z5853" t="s">
        <v>30723</v>
      </c>
      <c r="AA5853">
        <v>0.45374670254804639</v>
      </c>
      <c r="AB5853" t="str">
        <f>HYPERLINK("Melting_Curves/meltCurve_Q9UHI6_DDX20.pdf", "Melting_Curves/meltCurve_Q9UHI6_DDX20.pdf")</f>
        <v>Melting_Curves/meltCurve_Q9UHI6_DDX20.pdf</v>
      </c>
    </row>
    <row r="5854" spans="1:28" x14ac:dyDescent="0.25">
      <c r="A5854" t="s">
        <v>5858</v>
      </c>
      <c r="B5854">
        <v>0.99352677808782597</v>
      </c>
      <c r="C5854">
        <v>0.86220329514492899</v>
      </c>
      <c r="D5854">
        <v>0.84766728964865101</v>
      </c>
      <c r="E5854">
        <v>0.39066921151089201</v>
      </c>
      <c r="F5854">
        <v>0.30217331642461198</v>
      </c>
      <c r="G5854">
        <v>0.13945168677681199</v>
      </c>
      <c r="H5854">
        <v>0</v>
      </c>
      <c r="I5854">
        <v>0</v>
      </c>
      <c r="J5854">
        <v>0</v>
      </c>
      <c r="K5854">
        <v>0</v>
      </c>
      <c r="L5854">
        <v>810.75731322756701</v>
      </c>
      <c r="M5854">
        <v>16.370845440470699</v>
      </c>
      <c r="N5854">
        <v>49.524458518567798</v>
      </c>
      <c r="O5854">
        <v>48.803179212632799</v>
      </c>
      <c r="P5854">
        <v>-8.3867584180737295E-2</v>
      </c>
      <c r="Q5854">
        <v>0</v>
      </c>
      <c r="R5854">
        <v>0.98611195532004803</v>
      </c>
      <c r="S5854" t="s">
        <v>12139</v>
      </c>
      <c r="T5854" t="s">
        <v>12568</v>
      </c>
      <c r="U5854" t="s">
        <v>12568</v>
      </c>
      <c r="V5854" t="s">
        <v>12568</v>
      </c>
      <c r="W5854" t="s">
        <v>18369</v>
      </c>
      <c r="X5854">
        <v>1</v>
      </c>
      <c r="Y5854" t="s">
        <v>24452</v>
      </c>
      <c r="Z5854" t="s">
        <v>30724</v>
      </c>
      <c r="AA5854">
        <v>0.33807474115958619</v>
      </c>
      <c r="AB5854" t="str">
        <f>HYPERLINK("Melting_Curves/meltCurve_Q9UHJ3_2_SFMBT1.pdf", "Melting_Curves/meltCurve_Q9UHJ3_2_SFMBT1.pdf")</f>
        <v>Melting_Curves/meltCurve_Q9UHJ3_2_SFMBT1.pdf</v>
      </c>
    </row>
    <row r="5855" spans="1:28" x14ac:dyDescent="0.25">
      <c r="A5855" t="s">
        <v>5859</v>
      </c>
      <c r="B5855">
        <v>0.99352677808782597</v>
      </c>
      <c r="C5855">
        <v>0.97905419406760996</v>
      </c>
      <c r="D5855">
        <v>0.96867792523811203</v>
      </c>
      <c r="E5855">
        <v>0.27239623986981998</v>
      </c>
      <c r="F5855">
        <v>0.219245531968771</v>
      </c>
      <c r="G5855">
        <v>0.14002435479889999</v>
      </c>
      <c r="H5855">
        <v>0.102347170173927</v>
      </c>
      <c r="I5855">
        <v>0.11336051592002799</v>
      </c>
      <c r="J5855">
        <v>7.9896025170397497E-2</v>
      </c>
      <c r="K5855">
        <v>7.6771599244743E-2</v>
      </c>
      <c r="L5855">
        <v>2471.76169553105</v>
      </c>
      <c r="M5855">
        <v>50.881678213247703</v>
      </c>
      <c r="N5855">
        <v>48.836693191259897</v>
      </c>
      <c r="O5855">
        <v>48.503756969617399</v>
      </c>
      <c r="P5855">
        <v>-0.23134090507485</v>
      </c>
      <c r="Q5855">
        <v>0.117883330308983</v>
      </c>
      <c r="R5855">
        <v>0.99158005028255303</v>
      </c>
      <c r="S5855" t="s">
        <v>12140</v>
      </c>
      <c r="T5855" t="s">
        <v>12568</v>
      </c>
      <c r="U5855" t="s">
        <v>12568</v>
      </c>
      <c r="V5855" t="s">
        <v>12568</v>
      </c>
      <c r="W5855" t="s">
        <v>18370</v>
      </c>
      <c r="X5855">
        <v>11</v>
      </c>
      <c r="Y5855" t="s">
        <v>24453</v>
      </c>
      <c r="Z5855" t="s">
        <v>30725</v>
      </c>
      <c r="AA5855">
        <v>0.37195336513014537</v>
      </c>
      <c r="AB5855" t="str">
        <f>HYPERLINK("Melting_Curves/meltCurve_Q9UHJ6_SHPK.pdf", "Melting_Curves/meltCurve_Q9UHJ6_SHPK.pdf")</f>
        <v>Melting_Curves/meltCurve_Q9UHJ6_SHPK.pdf</v>
      </c>
    </row>
    <row r="5856" spans="1:28" x14ac:dyDescent="0.25">
      <c r="A5856" t="s">
        <v>5860</v>
      </c>
      <c r="B5856">
        <v>0.99352677808782597</v>
      </c>
      <c r="C5856">
        <v>1.04711348863636</v>
      </c>
      <c r="D5856">
        <v>0.94301150290968605</v>
      </c>
      <c r="E5856">
        <v>0.88934223831998604</v>
      </c>
      <c r="F5856">
        <v>0.786295054676587</v>
      </c>
      <c r="G5856">
        <v>0.679022033317216</v>
      </c>
      <c r="H5856">
        <v>0.76203327966227896</v>
      </c>
      <c r="I5856">
        <v>0.63366285479881901</v>
      </c>
      <c r="J5856">
        <v>0.272361640424642</v>
      </c>
      <c r="K5856">
        <v>0.14579813064984101</v>
      </c>
      <c r="L5856">
        <v>667.96537987464706</v>
      </c>
      <c r="M5856">
        <v>10.5218495943809</v>
      </c>
      <c r="N5856">
        <v>63.483662235056102</v>
      </c>
      <c r="O5856">
        <v>61.319136474070397</v>
      </c>
      <c r="P5856">
        <v>-4.2915070735026303E-2</v>
      </c>
      <c r="Q5856">
        <v>0</v>
      </c>
      <c r="R5856">
        <v>0.87676612030728396</v>
      </c>
      <c r="S5856" t="s">
        <v>12141</v>
      </c>
      <c r="T5856" t="s">
        <v>12568</v>
      </c>
      <c r="U5856" t="s">
        <v>12568</v>
      </c>
      <c r="V5856" t="s">
        <v>12568</v>
      </c>
      <c r="W5856" t="s">
        <v>18371</v>
      </c>
      <c r="X5856">
        <v>8</v>
      </c>
      <c r="Y5856" t="s">
        <v>24454</v>
      </c>
      <c r="Z5856" t="s">
        <v>30726</v>
      </c>
      <c r="AA5856">
        <v>0.7500390614817054</v>
      </c>
      <c r="AB5856" t="str">
        <f>HYPERLINK("Melting_Curves/meltCurve_Q9UHL4_DPP7.pdf", "Melting_Curves/meltCurve_Q9UHL4_DPP7.pdf")</f>
        <v>Melting_Curves/meltCurve_Q9UHL4_DPP7.pdf</v>
      </c>
    </row>
    <row r="5857" spans="1:28" x14ac:dyDescent="0.25">
      <c r="A5857" t="s">
        <v>5861</v>
      </c>
      <c r="B5857">
        <v>0.99352677808782597</v>
      </c>
      <c r="C5857">
        <v>0.96521323433135198</v>
      </c>
      <c r="D5857">
        <v>1.00971451079592</v>
      </c>
      <c r="E5857">
        <v>0.80210457435177496</v>
      </c>
      <c r="F5857">
        <v>0.69984199371132905</v>
      </c>
      <c r="G5857">
        <v>0.63195781248685401</v>
      </c>
      <c r="H5857">
        <v>0.52880264893838702</v>
      </c>
      <c r="I5857">
        <v>0.58831802937782096</v>
      </c>
      <c r="J5857">
        <v>0.61873315251207095</v>
      </c>
      <c r="K5857">
        <v>0.51133696906259696</v>
      </c>
      <c r="L5857">
        <v>1128.2554753757199</v>
      </c>
      <c r="M5857">
        <v>22.141878296614799</v>
      </c>
      <c r="O5857">
        <v>50.545547892795497</v>
      </c>
      <c r="P5857">
        <v>-4.77956713553594E-2</v>
      </c>
      <c r="Q5857">
        <v>0.56357705967581495</v>
      </c>
      <c r="R5857">
        <v>0.96249925933295599</v>
      </c>
      <c r="S5857" t="s">
        <v>12142</v>
      </c>
      <c r="T5857" t="s">
        <v>12568</v>
      </c>
      <c r="U5857" t="s">
        <v>12568</v>
      </c>
      <c r="V5857" t="s">
        <v>12568</v>
      </c>
      <c r="W5857" t="s">
        <v>18372</v>
      </c>
      <c r="X5857">
        <v>1</v>
      </c>
      <c r="Y5857" t="s">
        <v>24455</v>
      </c>
      <c r="Z5857" t="s">
        <v>30727</v>
      </c>
      <c r="AA5857">
        <v>0.72794767006940775</v>
      </c>
      <c r="AB5857" t="str">
        <f>HYPERLINK("Melting_Curves/meltCurve_Q9UHN6_2_TMEM2.pdf", "Melting_Curves/meltCurve_Q9UHN6_2_TMEM2.pdf")</f>
        <v>Melting_Curves/meltCurve_Q9UHN6_2_TMEM2.pdf</v>
      </c>
    </row>
    <row r="5858" spans="1:28" x14ac:dyDescent="0.25">
      <c r="A5858" t="s">
        <v>5862</v>
      </c>
      <c r="B5858">
        <v>0.99352677808782597</v>
      </c>
      <c r="C5858">
        <v>1.0207571542004701</v>
      </c>
      <c r="D5858">
        <v>0.90777199414883702</v>
      </c>
      <c r="E5858">
        <v>0.64866088440833003</v>
      </c>
      <c r="F5858">
        <v>0.551825764300788</v>
      </c>
      <c r="G5858">
        <v>0.38099021821365397</v>
      </c>
      <c r="H5858">
        <v>0.32032531738095499</v>
      </c>
      <c r="I5858">
        <v>0.28738803202914698</v>
      </c>
      <c r="J5858">
        <v>0.32352780358540101</v>
      </c>
      <c r="K5858">
        <v>0.22005070405691801</v>
      </c>
      <c r="L5858">
        <v>832.920447555588</v>
      </c>
      <c r="M5858">
        <v>16.3191457824867</v>
      </c>
      <c r="N5858">
        <v>53.511373438175603</v>
      </c>
      <c r="O5858">
        <v>50.2915174266329</v>
      </c>
      <c r="P5858">
        <v>-5.9651964143743602E-2</v>
      </c>
      <c r="Q5858">
        <v>0.26472381578483201</v>
      </c>
      <c r="R5858">
        <v>0.98770977632789303</v>
      </c>
      <c r="S5858" t="s">
        <v>12143</v>
      </c>
      <c r="T5858" t="s">
        <v>12568</v>
      </c>
      <c r="U5858" t="s">
        <v>12568</v>
      </c>
      <c r="V5858" t="s">
        <v>12568</v>
      </c>
      <c r="W5858" t="s">
        <v>18373</v>
      </c>
      <c r="X5858">
        <v>9</v>
      </c>
      <c r="Y5858" t="s">
        <v>24456</v>
      </c>
      <c r="Z5858" t="s">
        <v>30728</v>
      </c>
      <c r="AA5858">
        <v>0.55001105433599207</v>
      </c>
      <c r="AB5858" t="str">
        <f>HYPERLINK("Melting_Curves/meltCurve_Q9UHP3_USP25.pdf", "Melting_Curves/meltCurve_Q9UHP3_USP25.pdf")</f>
        <v>Melting_Curves/meltCurve_Q9UHP3_USP25.pdf</v>
      </c>
    </row>
    <row r="5859" spans="1:28" x14ac:dyDescent="0.25">
      <c r="A5859" t="s">
        <v>5863</v>
      </c>
      <c r="B5859">
        <v>0.99352677808782597</v>
      </c>
      <c r="C5859">
        <v>0.97327090358286605</v>
      </c>
      <c r="D5859">
        <v>0.87095988090698695</v>
      </c>
      <c r="E5859">
        <v>0.410242274194006</v>
      </c>
      <c r="F5859">
        <v>0.34216272954326798</v>
      </c>
      <c r="G5859">
        <v>0.17322537586175801</v>
      </c>
      <c r="H5859">
        <v>9.8659009542563597E-2</v>
      </c>
      <c r="I5859">
        <v>9.4821851998889803E-2</v>
      </c>
      <c r="J5859">
        <v>7.1516206105283406E-2</v>
      </c>
      <c r="K5859">
        <v>5.4554509650551503E-2</v>
      </c>
      <c r="L5859">
        <v>949.481236850355</v>
      </c>
      <c r="M5859">
        <v>19.191753337396701</v>
      </c>
      <c r="N5859">
        <v>49.916810410523198</v>
      </c>
      <c r="O5859">
        <v>48.945648669261701</v>
      </c>
      <c r="P5859">
        <v>-9.0346992154370406E-2</v>
      </c>
      <c r="Q5859">
        <v>7.8370381590404506E-2</v>
      </c>
      <c r="R5859">
        <v>0.98906809806464802</v>
      </c>
      <c r="S5859" t="s">
        <v>12144</v>
      </c>
      <c r="T5859" t="s">
        <v>12568</v>
      </c>
      <c r="U5859" t="s">
        <v>12568</v>
      </c>
      <c r="V5859" t="s">
        <v>12568</v>
      </c>
      <c r="W5859" t="s">
        <v>18374</v>
      </c>
      <c r="X5859">
        <v>7</v>
      </c>
      <c r="Y5859" t="s">
        <v>24457</v>
      </c>
      <c r="Z5859" t="s">
        <v>30729</v>
      </c>
      <c r="AA5859">
        <v>0.38336398984936498</v>
      </c>
      <c r="AB5859" t="str">
        <f>HYPERLINK("Melting_Curves/meltCurve_Q9UHQ1_4_NARF.pdf", "Melting_Curves/meltCurve_Q9UHQ1_4_NARF.pdf")</f>
        <v>Melting_Curves/meltCurve_Q9UHQ1_4_NARF.pdf</v>
      </c>
    </row>
    <row r="5860" spans="1:28" x14ac:dyDescent="0.25">
      <c r="A5860" t="s">
        <v>5864</v>
      </c>
      <c r="B5860">
        <v>0.99352677808782597</v>
      </c>
      <c r="C5860">
        <v>0.94727638148601501</v>
      </c>
      <c r="D5860">
        <v>0.95211273774298499</v>
      </c>
      <c r="E5860">
        <v>0.93859508976678896</v>
      </c>
      <c r="F5860">
        <v>0.80211783258334601</v>
      </c>
      <c r="G5860">
        <v>0.63670066649191304</v>
      </c>
      <c r="H5860">
        <v>0.44524384604496198</v>
      </c>
      <c r="I5860">
        <v>0.31990304434601002</v>
      </c>
      <c r="J5860">
        <v>0.21472906652753401</v>
      </c>
      <c r="K5860">
        <v>0.15558550352682399</v>
      </c>
      <c r="L5860">
        <v>694.514336638229</v>
      </c>
      <c r="M5860">
        <v>11.6198656949728</v>
      </c>
      <c r="N5860">
        <v>59.769566640960797</v>
      </c>
      <c r="O5860">
        <v>58.081633913884303</v>
      </c>
      <c r="P5860">
        <v>-5.0028889243266698E-2</v>
      </c>
      <c r="Q5860">
        <v>0</v>
      </c>
      <c r="R5860">
        <v>0.99653862767531898</v>
      </c>
      <c r="S5860" t="s">
        <v>12145</v>
      </c>
      <c r="T5860" t="s">
        <v>12568</v>
      </c>
      <c r="U5860" t="s">
        <v>12568</v>
      </c>
      <c r="V5860" t="s">
        <v>12568</v>
      </c>
      <c r="W5860" t="s">
        <v>18375</v>
      </c>
      <c r="X5860">
        <v>21</v>
      </c>
      <c r="Y5860" t="s">
        <v>24458</v>
      </c>
      <c r="Z5860" t="s">
        <v>30730</v>
      </c>
      <c r="AA5860">
        <v>0.66183397426701307</v>
      </c>
      <c r="AB5860" t="str">
        <f>HYPERLINK("Melting_Curves/meltCurve_Q9UHR4_BAIAP2L1.pdf", "Melting_Curves/meltCurve_Q9UHR4_BAIAP2L1.pdf")</f>
        <v>Melting_Curves/meltCurve_Q9UHR4_BAIAP2L1.pdf</v>
      </c>
    </row>
    <row r="5861" spans="1:28" x14ac:dyDescent="0.25">
      <c r="A5861" t="s">
        <v>5865</v>
      </c>
      <c r="B5861">
        <v>0.99352677808782597</v>
      </c>
      <c r="C5861">
        <v>0.69295957733155999</v>
      </c>
      <c r="D5861">
        <v>0.63376844475444205</v>
      </c>
      <c r="E5861">
        <v>0.39047428908947102</v>
      </c>
      <c r="F5861">
        <v>0.35990738211263301</v>
      </c>
      <c r="G5861">
        <v>0.220531739072577</v>
      </c>
      <c r="H5861">
        <v>0.15950609389422801</v>
      </c>
      <c r="I5861">
        <v>0.188250975166949</v>
      </c>
      <c r="J5861">
        <v>0.143901305486069</v>
      </c>
      <c r="K5861">
        <v>0.130332425647948</v>
      </c>
      <c r="L5861">
        <v>539.78742552262304</v>
      </c>
      <c r="M5861">
        <v>11.4907062949626</v>
      </c>
      <c r="N5861">
        <v>48.164779169527002</v>
      </c>
      <c r="O5861">
        <v>45.620782631191702</v>
      </c>
      <c r="P5861">
        <v>-5.52096413049551E-2</v>
      </c>
      <c r="Q5861">
        <v>0.12346904666443401</v>
      </c>
      <c r="R5861">
        <v>0.97147097480415101</v>
      </c>
      <c r="S5861" t="s">
        <v>12146</v>
      </c>
      <c r="T5861" t="s">
        <v>12568</v>
      </c>
      <c r="U5861" t="s">
        <v>12568</v>
      </c>
      <c r="V5861" t="s">
        <v>12568</v>
      </c>
      <c r="W5861" t="s">
        <v>18376</v>
      </c>
      <c r="X5861">
        <v>3</v>
      </c>
      <c r="Y5861" t="s">
        <v>24459</v>
      </c>
      <c r="Z5861" t="s">
        <v>30731</v>
      </c>
      <c r="AA5861">
        <v>0.36715998566135688</v>
      </c>
      <c r="AB5861" t="str">
        <f>HYPERLINK("Melting_Curves/meltCurve_Q9UHR6_ZNHIT2.pdf", "Melting_Curves/meltCurve_Q9UHR6_ZNHIT2.pdf")</f>
        <v>Melting_Curves/meltCurve_Q9UHR6_ZNHIT2.pdf</v>
      </c>
    </row>
    <row r="5862" spans="1:28" x14ac:dyDescent="0.25">
      <c r="A5862" t="s">
        <v>5866</v>
      </c>
      <c r="B5862">
        <v>0.99352677808782597</v>
      </c>
      <c r="C5862">
        <v>0.961238107323234</v>
      </c>
      <c r="D5862">
        <v>0.95714137957268497</v>
      </c>
      <c r="E5862">
        <v>1.0718444132948399</v>
      </c>
      <c r="F5862">
        <v>0.998562423938405</v>
      </c>
      <c r="G5862">
        <v>0.96703635078515704</v>
      </c>
      <c r="H5862">
        <v>1.0509337990446801</v>
      </c>
      <c r="I5862">
        <v>1.15589443454525</v>
      </c>
      <c r="J5862">
        <v>1.25921942817614</v>
      </c>
      <c r="K5862">
        <v>1.1240261141582899</v>
      </c>
      <c r="L5862">
        <v>4087.3433934324398</v>
      </c>
      <c r="M5862">
        <v>65.918311399890598</v>
      </c>
      <c r="O5862">
        <v>61.949215679551898</v>
      </c>
      <c r="P5862">
        <v>4.99644209674883E-2</v>
      </c>
      <c r="Q5862">
        <v>1.1878236797816799</v>
      </c>
      <c r="R5862">
        <v>0.787281553991803</v>
      </c>
      <c r="S5862" t="s">
        <v>12147</v>
      </c>
      <c r="T5862" t="s">
        <v>12568</v>
      </c>
      <c r="U5862" t="s">
        <v>12568</v>
      </c>
      <c r="V5862" t="s">
        <v>12568</v>
      </c>
      <c r="W5862" t="s">
        <v>18377</v>
      </c>
      <c r="X5862">
        <v>16</v>
      </c>
      <c r="Y5862" t="s">
        <v>24460</v>
      </c>
      <c r="Z5862" t="s">
        <v>30732</v>
      </c>
      <c r="AA5862">
        <v>1.0497568756753479</v>
      </c>
      <c r="AB5862" t="str">
        <f>HYPERLINK("Melting_Curves/meltCurve_Q9UHV9_PFDN2.pdf", "Melting_Curves/meltCurve_Q9UHV9_PFDN2.pdf")</f>
        <v>Melting_Curves/meltCurve_Q9UHV9_PFDN2.pdf</v>
      </c>
    </row>
    <row r="5863" spans="1:28" x14ac:dyDescent="0.25">
      <c r="A5863" t="s">
        <v>5867</v>
      </c>
      <c r="B5863">
        <v>0.99352677808782597</v>
      </c>
      <c r="C5863">
        <v>1.01532562147518</v>
      </c>
      <c r="D5863">
        <v>0.97432565333684895</v>
      </c>
      <c r="E5863">
        <v>0.91245957171806302</v>
      </c>
      <c r="F5863">
        <v>0.89306670267243105</v>
      </c>
      <c r="G5863">
        <v>0.67168129804870402</v>
      </c>
      <c r="H5863">
        <v>0.35613563236955398</v>
      </c>
      <c r="I5863">
        <v>0.278762107791581</v>
      </c>
      <c r="J5863">
        <v>0.190867537456516</v>
      </c>
      <c r="K5863">
        <v>0.117343702150371</v>
      </c>
      <c r="L5863">
        <v>1002.24909799714</v>
      </c>
      <c r="M5863">
        <v>17.073697199412599</v>
      </c>
      <c r="N5863">
        <v>59.276025960080403</v>
      </c>
      <c r="O5863">
        <v>57.913823574655702</v>
      </c>
      <c r="P5863">
        <v>-6.8085362182009695E-2</v>
      </c>
      <c r="Q5863">
        <v>7.6276439907768195E-2</v>
      </c>
      <c r="R5863">
        <v>0.99538583462367902</v>
      </c>
      <c r="S5863" t="s">
        <v>12148</v>
      </c>
      <c r="T5863" t="s">
        <v>12568</v>
      </c>
      <c r="U5863" t="s">
        <v>12568</v>
      </c>
      <c r="V5863" t="s">
        <v>12568</v>
      </c>
      <c r="W5863" t="s">
        <v>18378</v>
      </c>
      <c r="X5863">
        <v>3</v>
      </c>
      <c r="Y5863" t="s">
        <v>24461</v>
      </c>
      <c r="Z5863" t="s">
        <v>30733</v>
      </c>
      <c r="AA5863">
        <v>0.66262118105694523</v>
      </c>
      <c r="AB5863" t="str">
        <f>HYPERLINK("Melting_Curves/meltCurve_Q9UHW5_GPN3.pdf", "Melting_Curves/meltCurve_Q9UHW5_GPN3.pdf")</f>
        <v>Melting_Curves/meltCurve_Q9UHW5_GPN3.pdf</v>
      </c>
    </row>
    <row r="5864" spans="1:28" x14ac:dyDescent="0.25">
      <c r="A5864" t="s">
        <v>5868</v>
      </c>
      <c r="B5864">
        <v>0.99352677808782597</v>
      </c>
      <c r="C5864">
        <v>1.00245163090972</v>
      </c>
      <c r="D5864">
        <v>1.0428364835219901</v>
      </c>
      <c r="E5864">
        <v>0.83749077686562101</v>
      </c>
      <c r="F5864">
        <v>0.72519748884942103</v>
      </c>
      <c r="G5864">
        <v>0.29350676523615898</v>
      </c>
      <c r="H5864">
        <v>0.169954623861549</v>
      </c>
      <c r="I5864">
        <v>0.15105759801399701</v>
      </c>
      <c r="J5864">
        <v>0.116990428853691</v>
      </c>
      <c r="K5864">
        <v>8.5725901658623593E-2</v>
      </c>
      <c r="L5864">
        <v>1290.7113810728099</v>
      </c>
      <c r="M5864">
        <v>23.757131545838199</v>
      </c>
      <c r="N5864">
        <v>54.8570657379842</v>
      </c>
      <c r="O5864">
        <v>53.948876088764202</v>
      </c>
      <c r="P5864">
        <v>-9.8847989196794897E-2</v>
      </c>
      <c r="Q5864">
        <v>0.102139083372288</v>
      </c>
      <c r="R5864">
        <v>0.992971475664156</v>
      </c>
      <c r="S5864" t="s">
        <v>12149</v>
      </c>
      <c r="T5864" t="s">
        <v>12568</v>
      </c>
      <c r="U5864" t="s">
        <v>12568</v>
      </c>
      <c r="V5864" t="s">
        <v>12568</v>
      </c>
      <c r="W5864" t="s">
        <v>18379</v>
      </c>
      <c r="X5864">
        <v>21</v>
      </c>
      <c r="Y5864" t="s">
        <v>24462</v>
      </c>
      <c r="Z5864" t="s">
        <v>30734</v>
      </c>
      <c r="AA5864">
        <v>0.54010299889439894</v>
      </c>
      <c r="AB5864" t="str">
        <f>HYPERLINK("Melting_Curves/meltCurve_Q9UHX1_4_PUF60.pdf", "Melting_Curves/meltCurve_Q9UHX1_4_PUF60.pdf")</f>
        <v>Melting_Curves/meltCurve_Q9UHX1_4_PUF60.pdf</v>
      </c>
    </row>
    <row r="5865" spans="1:28" x14ac:dyDescent="0.25">
      <c r="A5865" t="s">
        <v>5869</v>
      </c>
      <c r="B5865">
        <v>0.99352677808782597</v>
      </c>
      <c r="C5865">
        <v>0.95272197014677695</v>
      </c>
      <c r="D5865">
        <v>0.94093379941997601</v>
      </c>
      <c r="E5865">
        <v>0.68949726818021495</v>
      </c>
      <c r="F5865">
        <v>0.59068922963128201</v>
      </c>
      <c r="G5865">
        <v>0.33004912644608397</v>
      </c>
      <c r="H5865">
        <v>0.24553605704379999</v>
      </c>
      <c r="I5865">
        <v>0.22352251881163501</v>
      </c>
      <c r="J5865">
        <v>0.22499370067619401</v>
      </c>
      <c r="K5865">
        <v>0.189134275178165</v>
      </c>
      <c r="L5865">
        <v>824.59379814335603</v>
      </c>
      <c r="M5865">
        <v>15.782017466091601</v>
      </c>
      <c r="N5865">
        <v>53.770622025864398</v>
      </c>
      <c r="O5865">
        <v>51.431637823822101</v>
      </c>
      <c r="P5865">
        <v>-6.2902130564258404E-2</v>
      </c>
      <c r="Q5865">
        <v>0.18010688209934</v>
      </c>
      <c r="R5865">
        <v>0.99399277914139805</v>
      </c>
      <c r="S5865" t="s">
        <v>12150</v>
      </c>
      <c r="T5865" t="s">
        <v>12568</v>
      </c>
      <c r="U5865" t="s">
        <v>12568</v>
      </c>
      <c r="V5865" t="s">
        <v>12568</v>
      </c>
      <c r="W5865" t="s">
        <v>18380</v>
      </c>
      <c r="X5865">
        <v>8</v>
      </c>
      <c r="Y5865" t="s">
        <v>24463</v>
      </c>
      <c r="Z5865" t="s">
        <v>30735</v>
      </c>
      <c r="AA5865">
        <v>0.53168318193562492</v>
      </c>
      <c r="AB5865" t="str">
        <f>HYPERLINK("Melting_Curves/meltCurve_Q9UHY1_NRBP1.pdf", "Melting_Curves/meltCurve_Q9UHY1_NRBP1.pdf")</f>
        <v>Melting_Curves/meltCurve_Q9UHY1_NRBP1.pdf</v>
      </c>
    </row>
    <row r="5866" spans="1:28" x14ac:dyDescent="0.25">
      <c r="A5866" t="s">
        <v>5870</v>
      </c>
      <c r="B5866">
        <v>0.99352677808782597</v>
      </c>
      <c r="C5866">
        <v>0.96450698779852695</v>
      </c>
      <c r="D5866">
        <v>0.98632271886496303</v>
      </c>
      <c r="E5866">
        <v>0.36773690392103597</v>
      </c>
      <c r="F5866">
        <v>0.29223564945186498</v>
      </c>
      <c r="G5866">
        <v>0.177200086475333</v>
      </c>
      <c r="H5866">
        <v>0.125419047385122</v>
      </c>
      <c r="I5866">
        <v>0.11846553346415301</v>
      </c>
      <c r="J5866">
        <v>8.8583566278698095E-2</v>
      </c>
      <c r="K5866">
        <v>7.3629327222419799E-2</v>
      </c>
      <c r="L5866">
        <v>1754.7222760776499</v>
      </c>
      <c r="M5866">
        <v>35.790834710997203</v>
      </c>
      <c r="N5866">
        <v>49.441081996166801</v>
      </c>
      <c r="O5866">
        <v>48.874842081575103</v>
      </c>
      <c r="P5866">
        <v>-0.159372266860869</v>
      </c>
      <c r="Q5866">
        <v>0.12946775252110099</v>
      </c>
      <c r="R5866">
        <v>0.98214325164780303</v>
      </c>
      <c r="S5866" t="s">
        <v>12151</v>
      </c>
      <c r="T5866" t="s">
        <v>12568</v>
      </c>
      <c r="U5866" t="s">
        <v>12568</v>
      </c>
      <c r="V5866" t="s">
        <v>12568</v>
      </c>
      <c r="W5866" t="s">
        <v>18381</v>
      </c>
      <c r="X5866">
        <v>8</v>
      </c>
      <c r="Y5866" t="s">
        <v>24464</v>
      </c>
      <c r="Z5866" t="s">
        <v>30736</v>
      </c>
      <c r="AA5866">
        <v>0.39511502992268549</v>
      </c>
      <c r="AB5866" t="str">
        <f>HYPERLINK("Melting_Curves/meltCurve_Q9UHY7_ENOPH1.pdf", "Melting_Curves/meltCurve_Q9UHY7_ENOPH1.pdf")</f>
        <v>Melting_Curves/meltCurve_Q9UHY7_ENOPH1.pdf</v>
      </c>
    </row>
    <row r="5867" spans="1:28" x14ac:dyDescent="0.25">
      <c r="A5867" t="s">
        <v>5871</v>
      </c>
      <c r="B5867">
        <v>0.99352677808782597</v>
      </c>
      <c r="C5867">
        <v>0.98665954664616695</v>
      </c>
      <c r="D5867">
        <v>0.94412334950319798</v>
      </c>
      <c r="E5867">
        <v>0.90927531254236105</v>
      </c>
      <c r="F5867">
        <v>0.81624941810167795</v>
      </c>
      <c r="G5867">
        <v>0.76552699069994501</v>
      </c>
      <c r="H5867">
        <v>0.56161580386356902</v>
      </c>
      <c r="I5867">
        <v>0.63370452804144295</v>
      </c>
      <c r="J5867">
        <v>0.62300373308826495</v>
      </c>
      <c r="K5867">
        <v>0.57558312370327203</v>
      </c>
      <c r="L5867">
        <v>747.75184221368795</v>
      </c>
      <c r="M5867">
        <v>13.7167162424632</v>
      </c>
      <c r="O5867">
        <v>53.394413765106997</v>
      </c>
      <c r="P5867">
        <v>-2.8126916233168799E-2</v>
      </c>
      <c r="Q5867">
        <v>0.56210948771436497</v>
      </c>
      <c r="R5867">
        <v>0.95813091352629298</v>
      </c>
      <c r="S5867" t="s">
        <v>12152</v>
      </c>
      <c r="T5867" t="s">
        <v>12568</v>
      </c>
      <c r="U5867" t="s">
        <v>12568</v>
      </c>
      <c r="V5867" t="s">
        <v>12568</v>
      </c>
      <c r="W5867" t="s">
        <v>18382</v>
      </c>
      <c r="X5867">
        <v>3</v>
      </c>
      <c r="Y5867" t="s">
        <v>24465</v>
      </c>
      <c r="Z5867" t="s">
        <v>30737</v>
      </c>
      <c r="AA5867">
        <v>0.78356893454310328</v>
      </c>
      <c r="AB5867" t="str">
        <f>HYPERLINK("Melting_Curves/meltCurve_Q9UHY8_FEZ2.pdf", "Melting_Curves/meltCurve_Q9UHY8_FEZ2.pdf")</f>
        <v>Melting_Curves/meltCurve_Q9UHY8_FEZ2.pdf</v>
      </c>
    </row>
    <row r="5868" spans="1:28" x14ac:dyDescent="0.25">
      <c r="A5868" t="s">
        <v>5872</v>
      </c>
      <c r="B5868">
        <v>0.99352677808782597</v>
      </c>
      <c r="C5868">
        <v>1.0042275629008</v>
      </c>
      <c r="D5868">
        <v>0.95491681112953997</v>
      </c>
      <c r="E5868">
        <v>0.83671733731800702</v>
      </c>
      <c r="F5868">
        <v>0.66232373306820802</v>
      </c>
      <c r="G5868">
        <v>0.39379527130870501</v>
      </c>
      <c r="H5868">
        <v>0.308329680960645</v>
      </c>
      <c r="I5868">
        <v>0.25670419005690898</v>
      </c>
      <c r="J5868">
        <v>0.211680935831043</v>
      </c>
      <c r="K5868">
        <v>0.17024377195481399</v>
      </c>
      <c r="L5868">
        <v>908.03864177866296</v>
      </c>
      <c r="M5868">
        <v>16.804371930557298</v>
      </c>
      <c r="N5868">
        <v>55.505289076278601</v>
      </c>
      <c r="O5868">
        <v>53.288031837111099</v>
      </c>
      <c r="P5868">
        <v>-6.4686604964839897E-2</v>
      </c>
      <c r="Q5868">
        <v>0.179547066489675</v>
      </c>
      <c r="R5868">
        <v>0.99742899148559405</v>
      </c>
      <c r="S5868" t="s">
        <v>12153</v>
      </c>
      <c r="T5868" t="s">
        <v>12568</v>
      </c>
      <c r="U5868" t="s">
        <v>12568</v>
      </c>
      <c r="V5868" t="s">
        <v>12568</v>
      </c>
      <c r="W5868" t="s">
        <v>18383</v>
      </c>
      <c r="X5868">
        <v>5</v>
      </c>
      <c r="Y5868" t="s">
        <v>24466</v>
      </c>
      <c r="Z5868" t="s">
        <v>30738</v>
      </c>
      <c r="AA5868">
        <v>0.57787950987475611</v>
      </c>
      <c r="AB5868" t="str">
        <f>HYPERLINK("Melting_Curves/meltCurve_Q9UI08_EVL.pdf", "Melting_Curves/meltCurve_Q9UI08_EVL.pdf")</f>
        <v>Melting_Curves/meltCurve_Q9UI08_EVL.pdf</v>
      </c>
    </row>
    <row r="5869" spans="1:28" x14ac:dyDescent="0.25">
      <c r="A5869" t="s">
        <v>5873</v>
      </c>
      <c r="B5869">
        <v>0.99352677808782597</v>
      </c>
      <c r="C5869">
        <v>0.90576059621673</v>
      </c>
      <c r="D5869">
        <v>0.86803132135769401</v>
      </c>
      <c r="E5869">
        <v>0.49108121366058799</v>
      </c>
      <c r="F5869">
        <v>0.42208123991992502</v>
      </c>
      <c r="G5869">
        <v>0.27081899015826</v>
      </c>
      <c r="H5869">
        <v>0.19493221976893199</v>
      </c>
      <c r="I5869">
        <v>0.196897475710093</v>
      </c>
      <c r="J5869">
        <v>0.18258872432259701</v>
      </c>
      <c r="K5869">
        <v>0.15198304417188499</v>
      </c>
      <c r="L5869">
        <v>795.09476480013598</v>
      </c>
      <c r="M5869">
        <v>16.036408652419201</v>
      </c>
      <c r="N5869">
        <v>50.852898941528103</v>
      </c>
      <c r="O5869">
        <v>48.828830337345003</v>
      </c>
      <c r="P5869">
        <v>-6.8542886021523503E-2</v>
      </c>
      <c r="Q5869">
        <v>0.16524731602304199</v>
      </c>
      <c r="R5869">
        <v>0.98967373004024795</v>
      </c>
      <c r="S5869" t="s">
        <v>12154</v>
      </c>
      <c r="T5869" t="s">
        <v>12568</v>
      </c>
      <c r="U5869" t="s">
        <v>12568</v>
      </c>
      <c r="V5869" t="s">
        <v>12568</v>
      </c>
      <c r="W5869" t="s">
        <v>18384</v>
      </c>
      <c r="X5869">
        <v>10</v>
      </c>
      <c r="Y5869" t="s">
        <v>24467</v>
      </c>
      <c r="Z5869" t="s">
        <v>30739</v>
      </c>
      <c r="AA5869">
        <v>0.4496720090996823</v>
      </c>
      <c r="AB5869" t="str">
        <f>HYPERLINK("Melting_Curves/meltCurve_Q9UI10_EIF2B4.pdf", "Melting_Curves/meltCurve_Q9UI10_EIF2B4.pdf")</f>
        <v>Melting_Curves/meltCurve_Q9UI10_EIF2B4.pdf</v>
      </c>
    </row>
    <row r="5870" spans="1:28" x14ac:dyDescent="0.25">
      <c r="A5870" t="s">
        <v>5874</v>
      </c>
      <c r="B5870">
        <v>0.99352677808782597</v>
      </c>
      <c r="C5870">
        <v>0.85628750101030904</v>
      </c>
      <c r="D5870">
        <v>0.87192450637191798</v>
      </c>
      <c r="E5870">
        <v>0.63556180754868696</v>
      </c>
      <c r="F5870">
        <v>0.56007043428778902</v>
      </c>
      <c r="G5870">
        <v>0.44477718836744501</v>
      </c>
      <c r="H5870">
        <v>0.43467530358871298</v>
      </c>
      <c r="I5870">
        <v>0.46696356001265399</v>
      </c>
      <c r="J5870">
        <v>0.41972631740973998</v>
      </c>
      <c r="K5870">
        <v>0.37814987152648799</v>
      </c>
      <c r="L5870">
        <v>666.37722174850899</v>
      </c>
      <c r="M5870">
        <v>13.637443194845799</v>
      </c>
      <c r="N5870">
        <v>55.314805007619199</v>
      </c>
      <c r="O5870">
        <v>47.849050292209697</v>
      </c>
      <c r="P5870">
        <v>-4.2894399641856901E-2</v>
      </c>
      <c r="Q5870">
        <v>0.39808232872321397</v>
      </c>
      <c r="R5870">
        <v>0.97402981512013098</v>
      </c>
      <c r="S5870" t="s">
        <v>12155</v>
      </c>
      <c r="T5870" t="s">
        <v>12568</v>
      </c>
      <c r="U5870" t="s">
        <v>12568</v>
      </c>
      <c r="V5870" t="s">
        <v>12568</v>
      </c>
      <c r="W5870" t="s">
        <v>18385</v>
      </c>
      <c r="X5870">
        <v>9</v>
      </c>
      <c r="Y5870" t="s">
        <v>24467</v>
      </c>
      <c r="Z5870" t="s">
        <v>30740</v>
      </c>
      <c r="AA5870">
        <v>0.59374399652697996</v>
      </c>
      <c r="AB5870" t="str">
        <f>HYPERLINK("Melting_Curves/meltCurve_Q9UI10_3_EIF2B4.pdf", "Melting_Curves/meltCurve_Q9UI10_3_EIF2B4.pdf")</f>
        <v>Melting_Curves/meltCurve_Q9UI10_3_EIF2B4.pdf</v>
      </c>
    </row>
    <row r="5871" spans="1:28" x14ac:dyDescent="0.25">
      <c r="A5871" t="s">
        <v>5875</v>
      </c>
      <c r="B5871">
        <v>0.99352677808782597</v>
      </c>
      <c r="C5871">
        <v>0.959571039735719</v>
      </c>
      <c r="D5871">
        <v>0.92328351374009798</v>
      </c>
      <c r="E5871">
        <v>0.54389446014159804</v>
      </c>
      <c r="F5871">
        <v>0.45804302552149101</v>
      </c>
      <c r="G5871">
        <v>0.18944120727148001</v>
      </c>
      <c r="H5871">
        <v>0.11700480396997601</v>
      </c>
      <c r="I5871">
        <v>0.110210433665009</v>
      </c>
      <c r="J5871">
        <v>9.8414628495859205E-2</v>
      </c>
      <c r="K5871">
        <v>7.8469853860966193E-2</v>
      </c>
      <c r="L5871">
        <v>866.15016749861104</v>
      </c>
      <c r="M5871">
        <v>16.9821532982258</v>
      </c>
      <c r="N5871">
        <v>51.496352567167001</v>
      </c>
      <c r="O5871">
        <v>50.312072846126597</v>
      </c>
      <c r="P5871">
        <v>-7.8060374994095696E-2</v>
      </c>
      <c r="Q5871">
        <v>7.4997130342869298E-2</v>
      </c>
      <c r="R5871">
        <v>0.99088486426814404</v>
      </c>
      <c r="S5871" t="s">
        <v>12156</v>
      </c>
      <c r="T5871" t="s">
        <v>12568</v>
      </c>
      <c r="U5871" t="s">
        <v>12568</v>
      </c>
      <c r="V5871" t="s">
        <v>12568</v>
      </c>
      <c r="W5871" t="s">
        <v>18386</v>
      </c>
      <c r="X5871">
        <v>11</v>
      </c>
      <c r="Y5871" t="s">
        <v>24468</v>
      </c>
      <c r="Z5871" t="s">
        <v>30741</v>
      </c>
      <c r="AA5871">
        <v>0.43156263016655211</v>
      </c>
      <c r="AB5871" t="str">
        <f>HYPERLINK("Melting_Curves/meltCurve_Q9UI12_2_ATP6V1H.pdf", "Melting_Curves/meltCurve_Q9UI12_2_ATP6V1H.pdf")</f>
        <v>Melting_Curves/meltCurve_Q9UI12_2_ATP6V1H.pdf</v>
      </c>
    </row>
    <row r="5872" spans="1:28" x14ac:dyDescent="0.25">
      <c r="A5872" t="s">
        <v>5876</v>
      </c>
      <c r="B5872">
        <v>0.99352677808782597</v>
      </c>
      <c r="C5872">
        <v>1.0594531262358799</v>
      </c>
      <c r="D5872">
        <v>0.88155951376422703</v>
      </c>
      <c r="E5872">
        <v>0.69327666333234705</v>
      </c>
      <c r="F5872">
        <v>0.55258895875413006</v>
      </c>
      <c r="G5872">
        <v>0.27782712067166199</v>
      </c>
      <c r="H5872">
        <v>0.16464594730455201</v>
      </c>
      <c r="I5872">
        <v>0.137523508157536</v>
      </c>
      <c r="J5872">
        <v>0.12611404824219599</v>
      </c>
      <c r="K5872">
        <v>8.0183280685669905E-2</v>
      </c>
      <c r="L5872">
        <v>818.30537165635894</v>
      </c>
      <c r="M5872">
        <v>15.530752825138499</v>
      </c>
      <c r="N5872">
        <v>53.246512348958099</v>
      </c>
      <c r="O5872">
        <v>51.838991842394897</v>
      </c>
      <c r="P5872">
        <v>-6.9287984829632401E-2</v>
      </c>
      <c r="Q5872">
        <v>7.4995862460642396E-2</v>
      </c>
      <c r="R5872">
        <v>0.99169714709269396</v>
      </c>
      <c r="S5872" t="s">
        <v>12157</v>
      </c>
      <c r="T5872" t="s">
        <v>12568</v>
      </c>
      <c r="U5872" t="s">
        <v>12568</v>
      </c>
      <c r="V5872" t="s">
        <v>12568</v>
      </c>
      <c r="W5872" t="s">
        <v>18387</v>
      </c>
      <c r="X5872">
        <v>14</v>
      </c>
      <c r="Y5872" t="s">
        <v>24469</v>
      </c>
      <c r="Z5872" t="s">
        <v>30742</v>
      </c>
      <c r="AA5872">
        <v>0.48541660692540162</v>
      </c>
      <c r="AB5872" t="str">
        <f>HYPERLINK("Melting_Curves/meltCurve_Q9UI26_IPO11.pdf", "Melting_Curves/meltCurve_Q9UI26_IPO11.pdf")</f>
        <v>Melting_Curves/meltCurve_Q9UI26_IPO11.pdf</v>
      </c>
    </row>
    <row r="5873" spans="1:28" x14ac:dyDescent="0.25">
      <c r="A5873" t="s">
        <v>5877</v>
      </c>
      <c r="B5873">
        <v>0.99352677808782597</v>
      </c>
      <c r="C5873">
        <v>1.02164681154512</v>
      </c>
      <c r="D5873">
        <v>0.98100555589721306</v>
      </c>
      <c r="E5873">
        <v>0.72578313570181596</v>
      </c>
      <c r="F5873">
        <v>0.60952710947825794</v>
      </c>
      <c r="G5873">
        <v>0.47938261868177201</v>
      </c>
      <c r="H5873">
        <v>0.31486100836667802</v>
      </c>
      <c r="I5873">
        <v>0.281496639241544</v>
      </c>
      <c r="J5873">
        <v>0.270536593238971</v>
      </c>
      <c r="K5873">
        <v>0.20377288817300801</v>
      </c>
      <c r="L5873">
        <v>745.74086414286899</v>
      </c>
      <c r="M5873">
        <v>13.9678534360177</v>
      </c>
      <c r="N5873">
        <v>55.504035885336101</v>
      </c>
      <c r="O5873">
        <v>52.331179702366498</v>
      </c>
      <c r="P5873">
        <v>-5.2968944411963703E-2</v>
      </c>
      <c r="Q5873">
        <v>0.206304035489527</v>
      </c>
      <c r="R5873">
        <v>0.98791979245467099</v>
      </c>
      <c r="S5873" t="s">
        <v>12158</v>
      </c>
      <c r="T5873" t="s">
        <v>12568</v>
      </c>
      <c r="U5873" t="s">
        <v>12568</v>
      </c>
      <c r="V5873" t="s">
        <v>12568</v>
      </c>
      <c r="W5873" t="s">
        <v>18388</v>
      </c>
      <c r="X5873">
        <v>5</v>
      </c>
      <c r="Y5873" t="s">
        <v>24470</v>
      </c>
      <c r="Z5873" t="s">
        <v>30743</v>
      </c>
      <c r="AA5873">
        <v>0.57895534731172993</v>
      </c>
      <c r="AB5873" t="str">
        <f>HYPERLINK("Melting_Curves/meltCurve_Q9UI30_TRMT112.pdf", "Melting_Curves/meltCurve_Q9UI30_TRMT112.pdf")</f>
        <v>Melting_Curves/meltCurve_Q9UI30_TRMT112.pdf</v>
      </c>
    </row>
    <row r="5874" spans="1:28" x14ac:dyDescent="0.25">
      <c r="A5874" t="s">
        <v>5878</v>
      </c>
      <c r="B5874">
        <v>0.99352677808782597</v>
      </c>
      <c r="C5874">
        <v>1.07577084594747</v>
      </c>
      <c r="D5874">
        <v>0.87974172420968699</v>
      </c>
      <c r="E5874">
        <v>0.90505407226976897</v>
      </c>
      <c r="F5874">
        <v>0.74363593970009101</v>
      </c>
      <c r="G5874">
        <v>0.21470627895163699</v>
      </c>
      <c r="H5874">
        <v>0.12630804538635401</v>
      </c>
      <c r="I5874">
        <v>0.113435610021694</v>
      </c>
      <c r="J5874">
        <v>8.6418636078998995E-2</v>
      </c>
      <c r="K5874">
        <v>6.7326043246035999E-2</v>
      </c>
      <c r="L5874">
        <v>1810.0004246646399</v>
      </c>
      <c r="M5874">
        <v>33.3503582617981</v>
      </c>
      <c r="N5874">
        <v>54.583780235710599</v>
      </c>
      <c r="O5874">
        <v>54.078274976158703</v>
      </c>
      <c r="P5874">
        <v>-0.14081719384292901</v>
      </c>
      <c r="Q5874">
        <v>8.6652295677539001E-2</v>
      </c>
      <c r="R5874">
        <v>0.98544470394731198</v>
      </c>
      <c r="S5874" t="s">
        <v>12159</v>
      </c>
      <c r="T5874" t="s">
        <v>12568</v>
      </c>
      <c r="U5874" t="s">
        <v>12568</v>
      </c>
      <c r="V5874" t="s">
        <v>12568</v>
      </c>
      <c r="W5874" t="s">
        <v>18389</v>
      </c>
      <c r="X5874">
        <v>32</v>
      </c>
      <c r="Y5874" t="s">
        <v>24471</v>
      </c>
      <c r="Z5874" t="s">
        <v>30744</v>
      </c>
      <c r="AA5874">
        <v>0.52607125497964835</v>
      </c>
      <c r="AB5874" t="str">
        <f>HYPERLINK("Melting_Curves/meltCurve_Q9UIA9_XPO7.pdf", "Melting_Curves/meltCurve_Q9UIA9_XPO7.pdf")</f>
        <v>Melting_Curves/meltCurve_Q9UIA9_XPO7.pdf</v>
      </c>
    </row>
    <row r="5875" spans="1:28" x14ac:dyDescent="0.25">
      <c r="A5875" t="s">
        <v>5879</v>
      </c>
      <c r="B5875">
        <v>0.99352677808782597</v>
      </c>
      <c r="C5875">
        <v>0.90971149979893895</v>
      </c>
      <c r="D5875">
        <v>0.99432612493014905</v>
      </c>
      <c r="E5875">
        <v>0.53375272888601</v>
      </c>
      <c r="F5875">
        <v>0.54426159763348703</v>
      </c>
      <c r="G5875">
        <v>0.20889187032741299</v>
      </c>
      <c r="H5875">
        <v>0.16671281512657399</v>
      </c>
      <c r="I5875">
        <v>0.106626352147113</v>
      </c>
      <c r="J5875">
        <v>9.5609130284859706E-2</v>
      </c>
      <c r="K5875">
        <v>6.7921651786552795E-2</v>
      </c>
      <c r="L5875">
        <v>792.61047653209698</v>
      </c>
      <c r="M5875">
        <v>15.302028203016601</v>
      </c>
      <c r="N5875">
        <v>52.2493849007042</v>
      </c>
      <c r="O5875">
        <v>50.937279315520399</v>
      </c>
      <c r="P5875">
        <v>-7.0456435219384606E-2</v>
      </c>
      <c r="Q5875">
        <v>6.1948205387596898E-2</v>
      </c>
      <c r="R5875">
        <v>0.96900860417104995</v>
      </c>
      <c r="S5875" t="s">
        <v>12160</v>
      </c>
      <c r="T5875" t="s">
        <v>12568</v>
      </c>
      <c r="U5875" t="s">
        <v>12568</v>
      </c>
      <c r="V5875" t="s">
        <v>12568</v>
      </c>
      <c r="W5875" t="s">
        <v>18390</v>
      </c>
      <c r="X5875">
        <v>8</v>
      </c>
      <c r="Y5875" t="s">
        <v>24472</v>
      </c>
      <c r="Z5875" t="s">
        <v>30745</v>
      </c>
      <c r="AA5875">
        <v>0.45131418750733499</v>
      </c>
      <c r="AB5875" t="str">
        <f>HYPERLINK("Melting_Curves/meltCurve_Q9UIC8_LCMT1.pdf", "Melting_Curves/meltCurve_Q9UIC8_LCMT1.pdf")</f>
        <v>Melting_Curves/meltCurve_Q9UIC8_LCMT1.pdf</v>
      </c>
    </row>
    <row r="5876" spans="1:28" x14ac:dyDescent="0.25">
      <c r="A5876" t="s">
        <v>5880</v>
      </c>
      <c r="B5876">
        <v>0.99352677808782597</v>
      </c>
      <c r="C5876">
        <v>0.970177621493722</v>
      </c>
      <c r="D5876">
        <v>0.82596816027924203</v>
      </c>
      <c r="E5876">
        <v>0.30470242280152299</v>
      </c>
      <c r="F5876">
        <v>0.230253948355329</v>
      </c>
      <c r="G5876">
        <v>0.118138688274621</v>
      </c>
      <c r="H5876">
        <v>7.3452540631725793E-2</v>
      </c>
      <c r="I5876">
        <v>6.5629435475122497E-2</v>
      </c>
      <c r="J5876">
        <v>4.80933318257145E-2</v>
      </c>
      <c r="K5876">
        <v>3.6849716025764201E-2</v>
      </c>
      <c r="L5876">
        <v>1207.02794992904</v>
      </c>
      <c r="M5876">
        <v>24.939310439507398</v>
      </c>
      <c r="N5876">
        <v>48.684410764089897</v>
      </c>
      <c r="O5876">
        <v>48.090661360133097</v>
      </c>
      <c r="P5876">
        <v>-0.120820522639009</v>
      </c>
      <c r="Q5876">
        <v>6.8096455729944202E-2</v>
      </c>
      <c r="R5876">
        <v>0.99295024155957801</v>
      </c>
      <c r="S5876" t="s">
        <v>12161</v>
      </c>
      <c r="T5876" t="s">
        <v>12568</v>
      </c>
      <c r="U5876" t="s">
        <v>12568</v>
      </c>
      <c r="V5876" t="s">
        <v>12568</v>
      </c>
      <c r="W5876" t="s">
        <v>18391</v>
      </c>
      <c r="X5876">
        <v>8</v>
      </c>
      <c r="Y5876" t="s">
        <v>24473</v>
      </c>
      <c r="Z5876" t="s">
        <v>30746</v>
      </c>
      <c r="AA5876">
        <v>0.33726476085852852</v>
      </c>
      <c r="AB5876" t="str">
        <f>HYPERLINK("Melting_Curves/meltCurve_Q9UID3_VPS51.pdf", "Melting_Curves/meltCurve_Q9UID3_VPS51.pdf")</f>
        <v>Melting_Curves/meltCurve_Q9UID3_VPS51.pdf</v>
      </c>
    </row>
    <row r="5877" spans="1:28" x14ac:dyDescent="0.25">
      <c r="A5877" t="s">
        <v>5881</v>
      </c>
      <c r="B5877">
        <v>0.99352677808782597</v>
      </c>
      <c r="C5877">
        <v>0.98751912607209602</v>
      </c>
      <c r="D5877">
        <v>1.0424252438005399</v>
      </c>
      <c r="E5877">
        <v>0.98485932390705</v>
      </c>
      <c r="F5877">
        <v>0.86641055101765097</v>
      </c>
      <c r="G5877">
        <v>0.60789317733858095</v>
      </c>
      <c r="H5877">
        <v>0.63333141940725701</v>
      </c>
      <c r="I5877">
        <v>0.67851030175508797</v>
      </c>
      <c r="J5877">
        <v>0.61176185434564001</v>
      </c>
      <c r="K5877">
        <v>0.50263105662349095</v>
      </c>
      <c r="L5877">
        <v>3350.59100904976</v>
      </c>
      <c r="M5877">
        <v>62.559510392326096</v>
      </c>
      <c r="O5877">
        <v>53.503813172605497</v>
      </c>
      <c r="P5877">
        <v>-0.115438155596168</v>
      </c>
      <c r="Q5877">
        <v>0.60508774350019101</v>
      </c>
      <c r="R5877">
        <v>0.949345466889707</v>
      </c>
      <c r="S5877" t="s">
        <v>12162</v>
      </c>
      <c r="T5877" t="s">
        <v>12568</v>
      </c>
      <c r="U5877" t="s">
        <v>12568</v>
      </c>
      <c r="V5877" t="s">
        <v>12568</v>
      </c>
      <c r="W5877" t="s">
        <v>18392</v>
      </c>
      <c r="X5877">
        <v>2</v>
      </c>
      <c r="Y5877" t="s">
        <v>24474</v>
      </c>
      <c r="Z5877" t="s">
        <v>30747</v>
      </c>
      <c r="AA5877">
        <v>0.78416255809207935</v>
      </c>
      <c r="AB5877" t="str">
        <f>HYPERLINK("Melting_Curves/meltCurve_Q9UID6_ZNF639.pdf", "Melting_Curves/meltCurve_Q9UID6_ZNF639.pdf")</f>
        <v>Melting_Curves/meltCurve_Q9UID6_ZNF639.pdf</v>
      </c>
    </row>
    <row r="5878" spans="1:28" x14ac:dyDescent="0.25">
      <c r="A5878" t="s">
        <v>5882</v>
      </c>
      <c r="B5878">
        <v>0.99352677808782597</v>
      </c>
      <c r="C5878">
        <v>0.96163397852601695</v>
      </c>
      <c r="D5878">
        <v>1.02147508937076</v>
      </c>
      <c r="E5878">
        <v>0.92138308672373803</v>
      </c>
      <c r="F5878">
        <v>0.78834497199896802</v>
      </c>
      <c r="G5878">
        <v>0.707912485250907</v>
      </c>
      <c r="H5878">
        <v>0.71118033564744498</v>
      </c>
      <c r="I5878">
        <v>0.655999515479466</v>
      </c>
      <c r="J5878">
        <v>0.66706715942620998</v>
      </c>
      <c r="K5878">
        <v>0.59927589060136799</v>
      </c>
      <c r="L5878">
        <v>1122.8692722409401</v>
      </c>
      <c r="M5878">
        <v>21.352746711178298</v>
      </c>
      <c r="O5878">
        <v>52.131916402032303</v>
      </c>
      <c r="P5878">
        <v>-3.5963452441729701E-2</v>
      </c>
      <c r="Q5878">
        <v>0.64879514456206699</v>
      </c>
      <c r="R5878">
        <v>0.96365091638377498</v>
      </c>
      <c r="S5878" t="s">
        <v>12163</v>
      </c>
      <c r="T5878" t="s">
        <v>12568</v>
      </c>
      <c r="U5878" t="s">
        <v>12568</v>
      </c>
      <c r="V5878" t="s">
        <v>12568</v>
      </c>
      <c r="W5878" t="s">
        <v>18393</v>
      </c>
      <c r="X5878">
        <v>2</v>
      </c>
      <c r="Y5878" t="s">
        <v>24475</v>
      </c>
      <c r="Z5878" t="s">
        <v>30748</v>
      </c>
      <c r="AA5878">
        <v>0.80046012773757458</v>
      </c>
      <c r="AB5878" t="str">
        <f>HYPERLINK("Melting_Curves/meltCurve_Q9UIF8_4_BAZ2B.pdf", "Melting_Curves/meltCurve_Q9UIF8_4_BAZ2B.pdf")</f>
        <v>Melting_Curves/meltCurve_Q9UIF8_4_BAZ2B.pdf</v>
      </c>
    </row>
    <row r="5879" spans="1:28" x14ac:dyDescent="0.25">
      <c r="A5879" t="s">
        <v>5883</v>
      </c>
      <c r="B5879">
        <v>0.99352677808782597</v>
      </c>
      <c r="C5879">
        <v>0.81516079321010704</v>
      </c>
      <c r="D5879">
        <v>0.71872236774526399</v>
      </c>
      <c r="E5879">
        <v>0.28259460736181602</v>
      </c>
      <c r="F5879">
        <v>0.25005272108375398</v>
      </c>
      <c r="G5879">
        <v>0.14485923416198099</v>
      </c>
      <c r="H5879">
        <v>0.112886752718978</v>
      </c>
      <c r="I5879">
        <v>0.102754583254343</v>
      </c>
      <c r="J5879">
        <v>0.104966539834426</v>
      </c>
      <c r="K5879">
        <v>7.20680020907081E-2</v>
      </c>
      <c r="L5879">
        <v>837.26889597565003</v>
      </c>
      <c r="M5879">
        <v>17.693245921903799</v>
      </c>
      <c r="N5879">
        <v>47.8765188498813</v>
      </c>
      <c r="O5879">
        <v>46.729298670204201</v>
      </c>
      <c r="P5879">
        <v>-8.5884194763213795E-2</v>
      </c>
      <c r="Q5879">
        <v>9.2739249866503101E-2</v>
      </c>
      <c r="R5879">
        <v>0.98698620679555404</v>
      </c>
      <c r="S5879" t="s">
        <v>12164</v>
      </c>
      <c r="T5879" t="s">
        <v>12568</v>
      </c>
      <c r="U5879" t="s">
        <v>12568</v>
      </c>
      <c r="V5879" t="s">
        <v>12568</v>
      </c>
      <c r="W5879" t="s">
        <v>18394</v>
      </c>
      <c r="X5879">
        <v>5</v>
      </c>
      <c r="Y5879" t="s">
        <v>24476</v>
      </c>
      <c r="Z5879" t="s">
        <v>30749</v>
      </c>
      <c r="AA5879">
        <v>0.33126739685416612</v>
      </c>
      <c r="AB5879" t="str">
        <f>HYPERLINK("Melting_Curves/meltCurve_Q9UIG0_2_BAZ1B.pdf", "Melting_Curves/meltCurve_Q9UIG0_2_BAZ1B.pdf")</f>
        <v>Melting_Curves/meltCurve_Q9UIG0_2_BAZ1B.pdf</v>
      </c>
    </row>
    <row r="5880" spans="1:28" x14ac:dyDescent="0.25">
      <c r="A5880" t="s">
        <v>5884</v>
      </c>
      <c r="B5880">
        <v>0.99352677808782597</v>
      </c>
      <c r="C5880">
        <v>0.90131218303245197</v>
      </c>
      <c r="D5880">
        <v>1.0289479754247901</v>
      </c>
      <c r="E5880">
        <v>0.94410736953432794</v>
      </c>
      <c r="F5880">
        <v>0.973786007697519</v>
      </c>
      <c r="G5880">
        <v>0.95035856312431499</v>
      </c>
      <c r="H5880">
        <v>0.91125560640154302</v>
      </c>
      <c r="I5880">
        <v>1.02701748257166</v>
      </c>
      <c r="J5880">
        <v>1.0138129229856601</v>
      </c>
      <c r="K5880">
        <v>0.91968828974801997</v>
      </c>
      <c r="L5880">
        <v>10061.555280258601</v>
      </c>
      <c r="M5880">
        <v>250</v>
      </c>
      <c r="O5880">
        <v>40.243648846821898</v>
      </c>
      <c r="P5880">
        <v>-5.6895383428427898E-2</v>
      </c>
      <c r="Q5880">
        <v>0.96336515766062902</v>
      </c>
      <c r="R5880">
        <v>3.9289841116873697E-2</v>
      </c>
      <c r="S5880" t="s">
        <v>12165</v>
      </c>
      <c r="T5880" t="s">
        <v>12568</v>
      </c>
      <c r="U5880" t="s">
        <v>12568</v>
      </c>
      <c r="V5880" t="s">
        <v>12568</v>
      </c>
      <c r="W5880" t="s">
        <v>18395</v>
      </c>
      <c r="X5880">
        <v>6</v>
      </c>
      <c r="Y5880" t="s">
        <v>24477</v>
      </c>
      <c r="Z5880" t="s">
        <v>30750</v>
      </c>
      <c r="AA5880">
        <v>0.96370586649074452</v>
      </c>
      <c r="AB5880" t="str">
        <f>HYPERLINK("Melting_Curves/meltCurve_Q9UII2_ATPIF1.pdf", "Melting_Curves/meltCurve_Q9UII2_ATPIF1.pdf")</f>
        <v>Melting_Curves/meltCurve_Q9UII2_ATPIF1.pdf</v>
      </c>
    </row>
    <row r="5881" spans="1:28" x14ac:dyDescent="0.25">
      <c r="A5881" t="s">
        <v>5885</v>
      </c>
      <c r="B5881">
        <v>0.99352677808782597</v>
      </c>
      <c r="C5881">
        <v>0.66556129829925903</v>
      </c>
      <c r="D5881">
        <v>1.23603191083356</v>
      </c>
      <c r="E5881">
        <v>0.745245874729072</v>
      </c>
      <c r="F5881">
        <v>0.63222583270990496</v>
      </c>
      <c r="G5881">
        <v>0.29278516278003702</v>
      </c>
      <c r="H5881">
        <v>8.5615435253989E-2</v>
      </c>
      <c r="I5881">
        <v>7.2877032381403695E-2</v>
      </c>
      <c r="J5881">
        <v>6.0129884451978803E-2</v>
      </c>
      <c r="K5881">
        <v>4.59973308556215E-2</v>
      </c>
      <c r="L5881">
        <v>1096.61822197284</v>
      </c>
      <c r="M5881">
        <v>20.321016103299499</v>
      </c>
      <c r="N5881">
        <v>54.1433509484323</v>
      </c>
      <c r="O5881">
        <v>53.450266552288802</v>
      </c>
      <c r="P5881">
        <v>-9.1967732147168496E-2</v>
      </c>
      <c r="Q5881">
        <v>3.2420152834878202E-2</v>
      </c>
      <c r="R5881">
        <v>0.88775854542271304</v>
      </c>
      <c r="S5881" t="s">
        <v>12166</v>
      </c>
      <c r="T5881" t="s">
        <v>12568</v>
      </c>
      <c r="U5881" t="s">
        <v>12568</v>
      </c>
      <c r="V5881" t="s">
        <v>12568</v>
      </c>
      <c r="W5881" t="s">
        <v>18396</v>
      </c>
      <c r="X5881">
        <v>17</v>
      </c>
      <c r="Y5881" t="s">
        <v>24478</v>
      </c>
      <c r="Z5881" t="s">
        <v>30751</v>
      </c>
      <c r="AA5881">
        <v>0.49564228578465003</v>
      </c>
      <c r="AB5881" t="str">
        <f>HYPERLINK("Melting_Curves/meltCurve_Q9UIJ7_AK3.pdf", "Melting_Curves/meltCurve_Q9UIJ7_AK3.pdf")</f>
        <v>Melting_Curves/meltCurve_Q9UIJ7_AK3.pdf</v>
      </c>
    </row>
    <row r="5882" spans="1:28" x14ac:dyDescent="0.25">
      <c r="A5882" t="s">
        <v>5886</v>
      </c>
      <c r="B5882">
        <v>0.99352677808782597</v>
      </c>
      <c r="C5882">
        <v>0.95059813871781995</v>
      </c>
      <c r="D5882">
        <v>1.0194752480171101</v>
      </c>
      <c r="E5882">
        <v>1.02059441915233</v>
      </c>
      <c r="F5882">
        <v>1.04490789339834</v>
      </c>
      <c r="G5882">
        <v>0.86647313150389405</v>
      </c>
      <c r="H5882">
        <v>0.86699472070025696</v>
      </c>
      <c r="I5882">
        <v>0.97560735341663696</v>
      </c>
      <c r="J5882">
        <v>0.80980895730138702</v>
      </c>
      <c r="K5882">
        <v>0.82870199135281397</v>
      </c>
      <c r="L5882">
        <v>13807.6367260795</v>
      </c>
      <c r="M5882">
        <v>250</v>
      </c>
      <c r="O5882">
        <v>55.227013573049703</v>
      </c>
      <c r="P5882">
        <v>-0.14767839003563701</v>
      </c>
      <c r="Q5882">
        <v>0.86950661943559104</v>
      </c>
      <c r="R5882">
        <v>0.67972220748065304</v>
      </c>
      <c r="S5882" t="s">
        <v>12167</v>
      </c>
      <c r="T5882" t="s">
        <v>12568</v>
      </c>
      <c r="U5882" t="s">
        <v>12568</v>
      </c>
      <c r="V5882" t="s">
        <v>12568</v>
      </c>
      <c r="W5882" t="s">
        <v>18397</v>
      </c>
      <c r="X5882">
        <v>2</v>
      </c>
      <c r="Y5882" t="s">
        <v>24479</v>
      </c>
      <c r="Z5882" t="s">
        <v>30752</v>
      </c>
      <c r="AA5882">
        <v>0.93576878644219152</v>
      </c>
      <c r="AB5882" t="str">
        <f>HYPERLINK("Melting_Curves/meltCurve_Q9UIL1_3_SCOC.pdf", "Melting_Curves/meltCurve_Q9UIL1_3_SCOC.pdf")</f>
        <v>Melting_Curves/meltCurve_Q9UIL1_3_SCOC.pdf</v>
      </c>
    </row>
    <row r="5883" spans="1:28" x14ac:dyDescent="0.25">
      <c r="A5883" t="s">
        <v>5887</v>
      </c>
      <c r="B5883">
        <v>0.99352677808782597</v>
      </c>
      <c r="C5883">
        <v>0.95648126715216997</v>
      </c>
      <c r="D5883">
        <v>0.90567589099593504</v>
      </c>
      <c r="E5883">
        <v>0.71258389626879404</v>
      </c>
      <c r="F5883">
        <v>0.62236927948066301</v>
      </c>
      <c r="G5883">
        <v>0.40220029441111399</v>
      </c>
      <c r="H5883">
        <v>0.281894428657742</v>
      </c>
      <c r="I5883">
        <v>0.30413398204571701</v>
      </c>
      <c r="J5883">
        <v>0.31186662666510301</v>
      </c>
      <c r="K5883">
        <v>0.278032826922057</v>
      </c>
      <c r="L5883">
        <v>776.19697753929904</v>
      </c>
      <c r="M5883">
        <v>14.9287755700083</v>
      </c>
      <c r="N5883">
        <v>54.639186442490598</v>
      </c>
      <c r="O5883">
        <v>51.087163888185302</v>
      </c>
      <c r="P5883">
        <v>-5.4261582586145801E-2</v>
      </c>
      <c r="Q5883">
        <v>0.25733090279115001</v>
      </c>
      <c r="R5883">
        <v>0.99205832525366799</v>
      </c>
      <c r="S5883" t="s">
        <v>12168</v>
      </c>
      <c r="T5883" t="s">
        <v>12568</v>
      </c>
      <c r="U5883" t="s">
        <v>12568</v>
      </c>
      <c r="V5883" t="s">
        <v>12568</v>
      </c>
      <c r="W5883" t="s">
        <v>18398</v>
      </c>
      <c r="X5883">
        <v>7</v>
      </c>
      <c r="Y5883" t="s">
        <v>24480</v>
      </c>
      <c r="Z5883" t="s">
        <v>30753</v>
      </c>
      <c r="AA5883">
        <v>0.57096228839049623</v>
      </c>
      <c r="AB5883" t="str">
        <f>HYPERLINK("Melting_Curves/meltCurve_Q9UIM3_FKBPL.pdf", "Melting_Curves/meltCurve_Q9UIM3_FKBPL.pdf")</f>
        <v>Melting_Curves/meltCurve_Q9UIM3_FKBPL.pdf</v>
      </c>
    </row>
    <row r="5884" spans="1:28" x14ac:dyDescent="0.25">
      <c r="A5884" t="s">
        <v>5888</v>
      </c>
      <c r="B5884">
        <v>0.99352677808782597</v>
      </c>
      <c r="C5884">
        <v>0.90470934754896604</v>
      </c>
      <c r="D5884">
        <v>0.78462584589876505</v>
      </c>
      <c r="E5884">
        <v>0.50651897108399302</v>
      </c>
      <c r="F5884">
        <v>0.43540704844931999</v>
      </c>
      <c r="G5884">
        <v>0.24001678731325701</v>
      </c>
      <c r="H5884">
        <v>0.119520151586711</v>
      </c>
      <c r="I5884">
        <v>0.116595097943229</v>
      </c>
      <c r="J5884">
        <v>0.10808777357306799</v>
      </c>
      <c r="K5884">
        <v>9.3597364831724594E-2</v>
      </c>
      <c r="L5884">
        <v>635.57132708790596</v>
      </c>
      <c r="M5884">
        <v>12.625014629901299</v>
      </c>
      <c r="N5884">
        <v>50.856657203005099</v>
      </c>
      <c r="O5884">
        <v>49.129280373103803</v>
      </c>
      <c r="P5884">
        <v>-6.0404759390696297E-2</v>
      </c>
      <c r="Q5884">
        <v>5.9944062572294898E-2</v>
      </c>
      <c r="R5884">
        <v>0.99423462349200298</v>
      </c>
      <c r="S5884" t="s">
        <v>12169</v>
      </c>
      <c r="T5884" t="s">
        <v>12568</v>
      </c>
      <c r="U5884" t="s">
        <v>12568</v>
      </c>
      <c r="V5884" t="s">
        <v>12568</v>
      </c>
      <c r="W5884" t="s">
        <v>18399</v>
      </c>
      <c r="X5884">
        <v>1</v>
      </c>
      <c r="Y5884" t="s">
        <v>24481</v>
      </c>
      <c r="Z5884" t="s">
        <v>30754</v>
      </c>
      <c r="AA5884">
        <v>0.41350533633210951</v>
      </c>
      <c r="AB5884" t="str">
        <f>HYPERLINK("Melting_Curves/meltCurve_Q9UIV1_2_CNOT7.pdf", "Melting_Curves/meltCurve_Q9UIV1_2_CNOT7.pdf")</f>
        <v>Melting_Curves/meltCurve_Q9UIV1_2_CNOT7.pdf</v>
      </c>
    </row>
    <row r="5885" spans="1:28" x14ac:dyDescent="0.25">
      <c r="A5885" t="s">
        <v>5889</v>
      </c>
      <c r="B5885">
        <v>0.99352677808782597</v>
      </c>
      <c r="C5885">
        <v>1.06012850530247</v>
      </c>
      <c r="D5885">
        <v>0.95573668807624801</v>
      </c>
      <c r="E5885">
        <v>0.73943491661118899</v>
      </c>
      <c r="F5885">
        <v>0.60878512528030204</v>
      </c>
      <c r="G5885">
        <v>0.445768497990085</v>
      </c>
      <c r="H5885">
        <v>0.228400157779624</v>
      </c>
      <c r="I5885">
        <v>0.17067953295521501</v>
      </c>
      <c r="J5885">
        <v>0.13213478161121001</v>
      </c>
      <c r="K5885">
        <v>0.10420296276139999</v>
      </c>
      <c r="L5885">
        <v>725.64969817287897</v>
      </c>
      <c r="M5885">
        <v>13.2864966558069</v>
      </c>
      <c r="N5885">
        <v>55.116861508067899</v>
      </c>
      <c r="O5885">
        <v>53.4228417610463</v>
      </c>
      <c r="P5885">
        <v>-5.8647064992931298E-2</v>
      </c>
      <c r="Q5885">
        <v>5.6911835007529402E-2</v>
      </c>
      <c r="R5885">
        <v>0.99022975138650304</v>
      </c>
      <c r="S5885" t="s">
        <v>12170</v>
      </c>
      <c r="T5885" t="s">
        <v>12568</v>
      </c>
      <c r="U5885" t="s">
        <v>12568</v>
      </c>
      <c r="V5885" t="s">
        <v>12568</v>
      </c>
      <c r="W5885" t="s">
        <v>18400</v>
      </c>
      <c r="X5885">
        <v>16</v>
      </c>
      <c r="Y5885" t="s">
        <v>24482</v>
      </c>
      <c r="Z5885" t="s">
        <v>30755</v>
      </c>
      <c r="AA5885">
        <v>0.5375440927247962</v>
      </c>
      <c r="AB5885" t="str">
        <f>HYPERLINK("Melting_Curves/meltCurve_Q9UJ41_RABGEF1.pdf", "Melting_Curves/meltCurve_Q9UJ41_RABGEF1.pdf")</f>
        <v>Melting_Curves/meltCurve_Q9UJ41_RABGEF1.pdf</v>
      </c>
    </row>
    <row r="5886" spans="1:28" x14ac:dyDescent="0.25">
      <c r="A5886" t="s">
        <v>5890</v>
      </c>
      <c r="B5886">
        <v>0.99352677808782597</v>
      </c>
      <c r="C5886">
        <v>0.81470428754651503</v>
      </c>
      <c r="D5886">
        <v>0.61236483116683604</v>
      </c>
      <c r="E5886">
        <v>0.23806077585725899</v>
      </c>
      <c r="F5886">
        <v>0.19697892262640701</v>
      </c>
      <c r="G5886">
        <v>0.109071269440408</v>
      </c>
      <c r="H5886">
        <v>7.4764713742700897E-2</v>
      </c>
      <c r="I5886">
        <v>6.8088198995785401E-2</v>
      </c>
      <c r="J5886">
        <v>5.7282128622446499E-2</v>
      </c>
      <c r="K5886">
        <v>4.2784642678919502E-2</v>
      </c>
      <c r="L5886">
        <v>841.66913139407302</v>
      </c>
      <c r="M5886">
        <v>18.031435166806499</v>
      </c>
      <c r="N5886">
        <v>47.011773866349301</v>
      </c>
      <c r="O5886">
        <v>46.1151335830723</v>
      </c>
      <c r="P5886">
        <v>-9.1881645939203199E-2</v>
      </c>
      <c r="Q5886">
        <v>6.0102451754177999E-2</v>
      </c>
      <c r="R5886">
        <v>0.99442458292047797</v>
      </c>
      <c r="S5886" t="s">
        <v>12171</v>
      </c>
      <c r="T5886" t="s">
        <v>12568</v>
      </c>
      <c r="U5886" t="s">
        <v>12568</v>
      </c>
      <c r="V5886" t="s">
        <v>12568</v>
      </c>
      <c r="W5886" t="s">
        <v>18401</v>
      </c>
      <c r="X5886">
        <v>5</v>
      </c>
      <c r="Y5886" t="s">
        <v>24483</v>
      </c>
      <c r="Z5886" t="s">
        <v>30756</v>
      </c>
      <c r="AA5886">
        <v>0.28689148396905201</v>
      </c>
      <c r="AB5886" t="str">
        <f>HYPERLINK("Melting_Curves/meltCurve_Q9UJ68_2_MSRA.pdf", "Melting_Curves/meltCurve_Q9UJ68_2_MSRA.pdf")</f>
        <v>Melting_Curves/meltCurve_Q9UJ68_2_MSRA.pdf</v>
      </c>
    </row>
    <row r="5887" spans="1:28" x14ac:dyDescent="0.25">
      <c r="A5887" t="s">
        <v>5891</v>
      </c>
      <c r="B5887">
        <v>0.99352677808782597</v>
      </c>
      <c r="C5887">
        <v>0.98764633536672397</v>
      </c>
      <c r="D5887">
        <v>0.97056524609386996</v>
      </c>
      <c r="E5887">
        <v>0.86501932449775298</v>
      </c>
      <c r="F5887">
        <v>0.77236078320679502</v>
      </c>
      <c r="G5887">
        <v>0.52616516784102596</v>
      </c>
      <c r="H5887">
        <v>0.22827284478479901</v>
      </c>
      <c r="I5887">
        <v>0.14058602866261199</v>
      </c>
      <c r="J5887">
        <v>0.106496301023282</v>
      </c>
      <c r="K5887">
        <v>7.9944968898112395E-2</v>
      </c>
      <c r="L5887">
        <v>918.00198075425999</v>
      </c>
      <c r="M5887">
        <v>16.179407146122099</v>
      </c>
      <c r="N5887">
        <v>56.895250255521603</v>
      </c>
      <c r="O5887">
        <v>55.893357337350103</v>
      </c>
      <c r="P5887">
        <v>-7.0799192681829506E-2</v>
      </c>
      <c r="Q5887">
        <v>2.1742015907081899E-2</v>
      </c>
      <c r="R5887">
        <v>0.99700487196925303</v>
      </c>
      <c r="S5887" t="s">
        <v>12172</v>
      </c>
      <c r="T5887" t="s">
        <v>12568</v>
      </c>
      <c r="U5887" t="s">
        <v>12568</v>
      </c>
      <c r="V5887" t="s">
        <v>12568</v>
      </c>
      <c r="W5887" t="s">
        <v>18402</v>
      </c>
      <c r="X5887">
        <v>16</v>
      </c>
      <c r="Y5887" t="s">
        <v>24484</v>
      </c>
      <c r="Z5887" t="s">
        <v>30757</v>
      </c>
      <c r="AA5887">
        <v>0.58271491786365059</v>
      </c>
      <c r="AB5887" t="str">
        <f>HYPERLINK("Melting_Curves/meltCurve_Q9UJ70_2_NAGK.pdf", "Melting_Curves/meltCurve_Q9UJ70_2_NAGK.pdf")</f>
        <v>Melting_Curves/meltCurve_Q9UJ70_2_NAGK.pdf</v>
      </c>
    </row>
    <row r="5888" spans="1:28" x14ac:dyDescent="0.25">
      <c r="A5888" t="s">
        <v>5892</v>
      </c>
      <c r="B5888">
        <v>0.99352677808782597</v>
      </c>
      <c r="C5888">
        <v>0.92861516814925404</v>
      </c>
      <c r="D5888">
        <v>0.938579541986716</v>
      </c>
      <c r="E5888">
        <v>0.40297433370018598</v>
      </c>
      <c r="F5888">
        <v>0.362127483954507</v>
      </c>
      <c r="G5888">
        <v>0.209403601530708</v>
      </c>
      <c r="H5888">
        <v>0.13180300756441801</v>
      </c>
      <c r="I5888">
        <v>0.108754931191882</v>
      </c>
      <c r="J5888">
        <v>8.78632533520253E-2</v>
      </c>
      <c r="K5888">
        <v>7.6540678052813102E-2</v>
      </c>
      <c r="L5888">
        <v>1009.19106027981</v>
      </c>
      <c r="M5888">
        <v>20.3809737789555</v>
      </c>
      <c r="N5888">
        <v>50.104469170290599</v>
      </c>
      <c r="O5888">
        <v>49.047010029403097</v>
      </c>
      <c r="P5888">
        <v>-9.2835875005872898E-2</v>
      </c>
      <c r="Q5888">
        <v>0.10638507657416001</v>
      </c>
      <c r="R5888">
        <v>0.97716745842172703</v>
      </c>
      <c r="S5888" t="s">
        <v>12173</v>
      </c>
      <c r="T5888" t="s">
        <v>12568</v>
      </c>
      <c r="U5888" t="s">
        <v>12568</v>
      </c>
      <c r="V5888" t="s">
        <v>12568</v>
      </c>
      <c r="W5888" t="s">
        <v>18403</v>
      </c>
      <c r="X5888">
        <v>1</v>
      </c>
      <c r="Y5888" t="s">
        <v>24485</v>
      </c>
      <c r="Z5888" t="s">
        <v>30758</v>
      </c>
      <c r="AA5888">
        <v>0.40185850689699543</v>
      </c>
      <c r="AB5888" t="str">
        <f>HYPERLINK("Melting_Curves/meltCurve_Q9UJA3_2_MCM8.pdf", "Melting_Curves/meltCurve_Q9UJA3_2_MCM8.pdf")</f>
        <v>Melting_Curves/meltCurve_Q9UJA3_2_MCM8.pdf</v>
      </c>
    </row>
    <row r="5889" spans="1:28" x14ac:dyDescent="0.25">
      <c r="A5889" t="s">
        <v>5893</v>
      </c>
      <c r="B5889">
        <v>0.99352677808782597</v>
      </c>
      <c r="C5889">
        <v>1.02681974461645</v>
      </c>
      <c r="D5889">
        <v>0.86880132633890195</v>
      </c>
      <c r="E5889">
        <v>0.86750608375365701</v>
      </c>
      <c r="F5889">
        <v>0.77182001058389904</v>
      </c>
      <c r="G5889">
        <v>0.555844586408209</v>
      </c>
      <c r="H5889">
        <v>0.24088407081420901</v>
      </c>
      <c r="I5889">
        <v>0.21147184818764</v>
      </c>
      <c r="J5889">
        <v>0.14483722229239601</v>
      </c>
      <c r="K5889">
        <v>9.2537393899252696E-2</v>
      </c>
      <c r="L5889">
        <v>774.74667405807998</v>
      </c>
      <c r="M5889">
        <v>13.548022697475201</v>
      </c>
      <c r="N5889">
        <v>57.282665113186603</v>
      </c>
      <c r="O5889">
        <v>55.982460419700601</v>
      </c>
      <c r="P5889">
        <v>-5.9821138890836699E-2</v>
      </c>
      <c r="Q5889">
        <v>1.1389066044110999E-2</v>
      </c>
      <c r="R5889">
        <v>0.98588538627217404</v>
      </c>
      <c r="S5889" t="s">
        <v>12174</v>
      </c>
      <c r="T5889" t="s">
        <v>12568</v>
      </c>
      <c r="U5889" t="s">
        <v>12568</v>
      </c>
      <c r="V5889" t="s">
        <v>12568</v>
      </c>
      <c r="W5889" t="s">
        <v>18404</v>
      </c>
      <c r="X5889">
        <v>11</v>
      </c>
      <c r="Y5889" t="s">
        <v>24486</v>
      </c>
      <c r="Z5889" t="s">
        <v>30759</v>
      </c>
      <c r="AA5889">
        <v>0.59353549197321487</v>
      </c>
      <c r="AB5889" t="str">
        <f>HYPERLINK("Melting_Curves/meltCurve_Q9UJA5_TRMT6.pdf", "Melting_Curves/meltCurve_Q9UJA5_TRMT6.pdf")</f>
        <v>Melting_Curves/meltCurve_Q9UJA5_TRMT6.pdf</v>
      </c>
    </row>
    <row r="5890" spans="1:28" x14ac:dyDescent="0.25">
      <c r="A5890" t="s">
        <v>5894</v>
      </c>
      <c r="B5890">
        <v>0.99352677808782597</v>
      </c>
      <c r="C5890">
        <v>1.01067503600237</v>
      </c>
      <c r="D5890">
        <v>1.0068812239410001</v>
      </c>
      <c r="E5890">
        <v>0.89658998310269999</v>
      </c>
      <c r="F5890">
        <v>0.74428004246136903</v>
      </c>
      <c r="G5890">
        <v>0.59600887713507</v>
      </c>
      <c r="H5890">
        <v>0.32886164764873799</v>
      </c>
      <c r="I5890">
        <v>0.20998610164338399</v>
      </c>
      <c r="J5890">
        <v>9.9758176998379203E-2</v>
      </c>
      <c r="K5890">
        <v>0.13013149536030399</v>
      </c>
      <c r="L5890">
        <v>816.563191571895</v>
      </c>
      <c r="M5890">
        <v>14.1367910383102</v>
      </c>
      <c r="N5890">
        <v>57.911952717833799</v>
      </c>
      <c r="O5890">
        <v>56.642603522463702</v>
      </c>
      <c r="P5890">
        <v>-6.1277991039287202E-2</v>
      </c>
      <c r="Q5890">
        <v>1.8022461695034901E-2</v>
      </c>
      <c r="R5890">
        <v>0.99405052087362</v>
      </c>
      <c r="S5890" t="s">
        <v>12175</v>
      </c>
      <c r="T5890" t="s">
        <v>12568</v>
      </c>
      <c r="U5890" t="s">
        <v>12568</v>
      </c>
      <c r="V5890" t="s">
        <v>12568</v>
      </c>
      <c r="W5890" t="s">
        <v>18405</v>
      </c>
      <c r="X5890">
        <v>1</v>
      </c>
      <c r="Y5890" t="s">
        <v>24487</v>
      </c>
      <c r="Z5890" t="s">
        <v>30760</v>
      </c>
      <c r="AA5890">
        <v>0.61335772342643957</v>
      </c>
      <c r="AB5890" t="str">
        <f>HYPERLINK("Melting_Curves/meltCurve_Q9UJC5_SH3BGRL2.pdf", "Melting_Curves/meltCurve_Q9UJC5_SH3BGRL2.pdf")</f>
        <v>Melting_Curves/meltCurve_Q9UJC5_SH3BGRL2.pdf</v>
      </c>
    </row>
    <row r="5891" spans="1:28" x14ac:dyDescent="0.25">
      <c r="A5891" t="s">
        <v>5895</v>
      </c>
      <c r="B5891">
        <v>0.99352677808782597</v>
      </c>
      <c r="C5891">
        <v>0.96324327126424603</v>
      </c>
      <c r="D5891">
        <v>1.0655522001194599</v>
      </c>
      <c r="E5891">
        <v>0.97029649862918999</v>
      </c>
      <c r="F5891">
        <v>0.90780400002767303</v>
      </c>
      <c r="G5891">
        <v>0.86429160557785401</v>
      </c>
      <c r="H5891">
        <v>0.79050989473412303</v>
      </c>
      <c r="I5891">
        <v>0.77303178592220401</v>
      </c>
      <c r="J5891">
        <v>0.90794175801057697</v>
      </c>
      <c r="K5891">
        <v>0.74329140394071902</v>
      </c>
      <c r="L5891">
        <v>1338.94217934888</v>
      </c>
      <c r="M5891">
        <v>24.8956972254677</v>
      </c>
      <c r="O5891">
        <v>53.438676736890798</v>
      </c>
      <c r="P5891">
        <v>-2.2890206932259901E-2</v>
      </c>
      <c r="Q5891">
        <v>0.80346718567328002</v>
      </c>
      <c r="R5891">
        <v>0.77117716593861396</v>
      </c>
      <c r="S5891" t="s">
        <v>12176</v>
      </c>
      <c r="T5891" t="s">
        <v>12568</v>
      </c>
      <c r="U5891" t="s">
        <v>12568</v>
      </c>
      <c r="V5891" t="s">
        <v>12568</v>
      </c>
      <c r="W5891" t="s">
        <v>18406</v>
      </c>
      <c r="X5891">
        <v>3</v>
      </c>
      <c r="Y5891" t="s">
        <v>24488</v>
      </c>
      <c r="Z5891" t="s">
        <v>30761</v>
      </c>
      <c r="AA5891">
        <v>0.8955861670261912</v>
      </c>
      <c r="AB5891" t="str">
        <f>HYPERLINK("Melting_Curves/meltCurve_Q9UJJ2_ZNF280C.pdf", "Melting_Curves/meltCurve_Q9UJJ2_ZNF280C.pdf")</f>
        <v>Melting_Curves/meltCurve_Q9UJJ2_ZNF280C.pdf</v>
      </c>
    </row>
    <row r="5892" spans="1:28" x14ac:dyDescent="0.25">
      <c r="A5892" t="s">
        <v>5896</v>
      </c>
      <c r="B5892">
        <v>0.99352677808782597</v>
      </c>
      <c r="C5892">
        <v>0.97037840389196095</v>
      </c>
      <c r="D5892">
        <v>0.95369838196308199</v>
      </c>
      <c r="E5892">
        <v>0.87450032586742699</v>
      </c>
      <c r="F5892">
        <v>0.79686358681804603</v>
      </c>
      <c r="G5892">
        <v>0.61697664502754002</v>
      </c>
      <c r="H5892">
        <v>0.35976775233136499</v>
      </c>
      <c r="I5892">
        <v>0.25412182167664799</v>
      </c>
      <c r="J5892">
        <v>0.16913263425663899</v>
      </c>
      <c r="K5892">
        <v>0.10155069421186901</v>
      </c>
      <c r="L5892">
        <v>745.13997958318896</v>
      </c>
      <c r="M5892">
        <v>12.718587041253899</v>
      </c>
      <c r="N5892">
        <v>58.586695026326602</v>
      </c>
      <c r="O5892">
        <v>57.1949782608189</v>
      </c>
      <c r="P5892">
        <v>-5.5603790570404203E-2</v>
      </c>
      <c r="Q5892">
        <v>0</v>
      </c>
      <c r="R5892">
        <v>0.99776218654777005</v>
      </c>
      <c r="S5892" t="s">
        <v>12177</v>
      </c>
      <c r="T5892" t="s">
        <v>12568</v>
      </c>
      <c r="U5892" t="s">
        <v>12568</v>
      </c>
      <c r="V5892" t="s">
        <v>12568</v>
      </c>
      <c r="W5892" t="s">
        <v>18407</v>
      </c>
      <c r="X5892">
        <v>4</v>
      </c>
      <c r="Y5892" t="s">
        <v>24489</v>
      </c>
      <c r="Z5892" t="s">
        <v>30762</v>
      </c>
      <c r="AA5892">
        <v>0.63029171670173745</v>
      </c>
      <c r="AB5892" t="str">
        <f>HYPERLINK("Melting_Curves/meltCurve_Q9UJK0_TSR3.pdf", "Melting_Curves/meltCurve_Q9UJK0_TSR3.pdf")</f>
        <v>Melting_Curves/meltCurve_Q9UJK0_TSR3.pdf</v>
      </c>
    </row>
    <row r="5893" spans="1:28" x14ac:dyDescent="0.25">
      <c r="A5893" t="s">
        <v>5897</v>
      </c>
      <c r="B5893">
        <v>0.99352677808782597</v>
      </c>
      <c r="C5893">
        <v>0.97975041143417496</v>
      </c>
      <c r="D5893">
        <v>0.97238721891674396</v>
      </c>
      <c r="E5893">
        <v>0.94176490518154699</v>
      </c>
      <c r="F5893">
        <v>0.90266637226606095</v>
      </c>
      <c r="G5893">
        <v>0.85111669418723501</v>
      </c>
      <c r="H5893">
        <v>0.83553594134670695</v>
      </c>
      <c r="I5893">
        <v>0.89014127779780805</v>
      </c>
      <c r="J5893">
        <v>0.88115089941007696</v>
      </c>
      <c r="K5893">
        <v>0.831189874557694</v>
      </c>
      <c r="L5893">
        <v>905.48812302936403</v>
      </c>
      <c r="M5893">
        <v>17.952361368316001</v>
      </c>
      <c r="O5893">
        <v>49.825029278930302</v>
      </c>
      <c r="P5893">
        <v>-1.31595883970449E-2</v>
      </c>
      <c r="Q5893">
        <v>0.85391466590026799</v>
      </c>
      <c r="R5893">
        <v>0.88990727711361195</v>
      </c>
      <c r="S5893" t="s">
        <v>12178</v>
      </c>
      <c r="T5893" t="s">
        <v>12568</v>
      </c>
      <c r="U5893" t="s">
        <v>12568</v>
      </c>
      <c r="V5893" t="s">
        <v>12568</v>
      </c>
      <c r="W5893" t="s">
        <v>18408</v>
      </c>
      <c r="X5893">
        <v>7</v>
      </c>
      <c r="Y5893" t="s">
        <v>24490</v>
      </c>
      <c r="Z5893" t="s">
        <v>30763</v>
      </c>
      <c r="AA5893">
        <v>0.90723442385798791</v>
      </c>
      <c r="AB5893" t="str">
        <f>HYPERLINK("Melting_Curves/meltCurve_Q9UJM3_ERRFI1.pdf", "Melting_Curves/meltCurve_Q9UJM3_ERRFI1.pdf")</f>
        <v>Melting_Curves/meltCurve_Q9UJM3_ERRFI1.pdf</v>
      </c>
    </row>
    <row r="5894" spans="1:28" x14ac:dyDescent="0.25">
      <c r="A5894" t="s">
        <v>5898</v>
      </c>
      <c r="B5894">
        <v>0.99352677808782597</v>
      </c>
      <c r="C5894">
        <v>0.96376602453312099</v>
      </c>
      <c r="D5894">
        <v>1.0192936574818801</v>
      </c>
      <c r="E5894">
        <v>0.88812370398825302</v>
      </c>
      <c r="F5894">
        <v>0.81440418628533895</v>
      </c>
      <c r="G5894">
        <v>0.73931279819677098</v>
      </c>
      <c r="H5894">
        <v>0.68646748847526995</v>
      </c>
      <c r="I5894">
        <v>0.82821854945575901</v>
      </c>
      <c r="J5894">
        <v>0.88071017623399195</v>
      </c>
      <c r="K5894">
        <v>0.77239499610705598</v>
      </c>
      <c r="L5894">
        <v>2286.2635357013601</v>
      </c>
      <c r="M5894">
        <v>45.704607033348204</v>
      </c>
      <c r="O5894">
        <v>49.927129407553601</v>
      </c>
      <c r="P5894">
        <v>-4.9496928454401699E-2</v>
      </c>
      <c r="Q5894">
        <v>0.78372103780649405</v>
      </c>
      <c r="R5894">
        <v>0.77246214582130701</v>
      </c>
      <c r="S5894" t="s">
        <v>12179</v>
      </c>
      <c r="T5894" t="s">
        <v>12568</v>
      </c>
      <c r="U5894" t="s">
        <v>12568</v>
      </c>
      <c r="V5894" t="s">
        <v>12568</v>
      </c>
      <c r="W5894" t="s">
        <v>18409</v>
      </c>
      <c r="X5894">
        <v>21</v>
      </c>
      <c r="Y5894" t="s">
        <v>24491</v>
      </c>
      <c r="Z5894" t="s">
        <v>30764</v>
      </c>
      <c r="AA5894">
        <v>0.85654878725497952</v>
      </c>
      <c r="AB5894" t="str">
        <f>HYPERLINK("Melting_Curves/meltCurve_Q9UJU6_DBNL.pdf", "Melting_Curves/meltCurve_Q9UJU6_DBNL.pdf")</f>
        <v>Melting_Curves/meltCurve_Q9UJU6_DBNL.pdf</v>
      </c>
    </row>
    <row r="5895" spans="1:28" x14ac:dyDescent="0.25">
      <c r="A5895" t="s">
        <v>5899</v>
      </c>
      <c r="B5895">
        <v>0.99352677808782597</v>
      </c>
      <c r="C5895">
        <v>0.84065600059754197</v>
      </c>
      <c r="D5895">
        <v>0.83949438811612298</v>
      </c>
      <c r="E5895">
        <v>1.0557203422485499</v>
      </c>
      <c r="F5895">
        <v>1.1322666744826699</v>
      </c>
      <c r="G5895">
        <v>1.1966853072048</v>
      </c>
      <c r="H5895">
        <v>1.3427959944730901</v>
      </c>
      <c r="I5895">
        <v>1.25018879166957</v>
      </c>
      <c r="J5895">
        <v>1.1182684435313399</v>
      </c>
      <c r="K5895">
        <v>1.01548216526519</v>
      </c>
      <c r="L5895">
        <v>2308.53082426638</v>
      </c>
      <c r="M5895">
        <v>44.896792211086101</v>
      </c>
      <c r="O5895">
        <v>51.316914748981802</v>
      </c>
      <c r="P5895">
        <v>4.0142668002184301E-2</v>
      </c>
      <c r="Q5895">
        <v>1.18353161438762</v>
      </c>
      <c r="R5895">
        <v>0.52908561317913905</v>
      </c>
      <c r="S5895" t="s">
        <v>12180</v>
      </c>
      <c r="T5895" t="s">
        <v>12568</v>
      </c>
      <c r="U5895" t="s">
        <v>12568</v>
      </c>
      <c r="V5895" t="s">
        <v>12568</v>
      </c>
      <c r="W5895" t="s">
        <v>18410</v>
      </c>
      <c r="X5895">
        <v>21</v>
      </c>
      <c r="Y5895" t="s">
        <v>24491</v>
      </c>
      <c r="Z5895" t="s">
        <v>30765</v>
      </c>
      <c r="AA5895">
        <v>1.1131588297774699</v>
      </c>
      <c r="AB5895" t="str">
        <f>HYPERLINK("Melting_Curves/meltCurve_Q9UJU6_2_DBNL.pdf", "Melting_Curves/meltCurve_Q9UJU6_2_DBNL.pdf")</f>
        <v>Melting_Curves/meltCurve_Q9UJU6_2_DBNL.pdf</v>
      </c>
    </row>
    <row r="5896" spans="1:28" x14ac:dyDescent="0.25">
      <c r="A5896" t="s">
        <v>5900</v>
      </c>
      <c r="B5896">
        <v>0.99352677808782597</v>
      </c>
      <c r="C5896">
        <v>0.78578506915845903</v>
      </c>
      <c r="D5896">
        <v>0.70617530062420097</v>
      </c>
      <c r="E5896">
        <v>0.43148093888696398</v>
      </c>
      <c r="F5896">
        <v>0.33893910366503799</v>
      </c>
      <c r="G5896">
        <v>0.24609260867385099</v>
      </c>
      <c r="H5896">
        <v>0.20772030403358299</v>
      </c>
      <c r="I5896">
        <v>0.19251280416288699</v>
      </c>
      <c r="J5896">
        <v>0.17720586303805999</v>
      </c>
      <c r="K5896">
        <v>0.15151123813869</v>
      </c>
      <c r="L5896">
        <v>632.27147928738202</v>
      </c>
      <c r="M5896">
        <v>13.2746851234503</v>
      </c>
      <c r="N5896">
        <v>49.026188272425401</v>
      </c>
      <c r="O5896">
        <v>46.587903638524303</v>
      </c>
      <c r="P5896">
        <v>-6.0031191081203E-2</v>
      </c>
      <c r="Q5896">
        <v>0.15741219582716101</v>
      </c>
      <c r="R5896">
        <v>0.99015057760149106</v>
      </c>
      <c r="S5896" t="s">
        <v>12181</v>
      </c>
      <c r="T5896" t="s">
        <v>12568</v>
      </c>
      <c r="U5896" t="s">
        <v>12568</v>
      </c>
      <c r="V5896" t="s">
        <v>12568</v>
      </c>
      <c r="W5896" t="s">
        <v>18411</v>
      </c>
      <c r="X5896">
        <v>8</v>
      </c>
      <c r="Y5896" t="s">
        <v>24492</v>
      </c>
      <c r="Z5896" t="s">
        <v>30766</v>
      </c>
      <c r="AA5896">
        <v>0.3997603328971131</v>
      </c>
      <c r="AB5896" t="str">
        <f>HYPERLINK("Melting_Curves/meltCurve_Q9UJV9_DDX41.pdf", "Melting_Curves/meltCurve_Q9UJV9_DDX41.pdf")</f>
        <v>Melting_Curves/meltCurve_Q9UJV9_DDX41.pdf</v>
      </c>
    </row>
    <row r="5897" spans="1:28" x14ac:dyDescent="0.25">
      <c r="A5897" t="s">
        <v>5901</v>
      </c>
      <c r="B5897">
        <v>0.99352677808782597</v>
      </c>
      <c r="C5897">
        <v>0.98099205330205796</v>
      </c>
      <c r="D5897">
        <v>0.91449804249768696</v>
      </c>
      <c r="E5897">
        <v>1.5924928499520199</v>
      </c>
      <c r="F5897">
        <v>1.2718141927219899</v>
      </c>
      <c r="G5897">
        <v>1.15083418120398</v>
      </c>
      <c r="H5897">
        <v>0.899596790689704</v>
      </c>
      <c r="I5897">
        <v>0.62170829422906404</v>
      </c>
      <c r="J5897">
        <v>0.233468965059388</v>
      </c>
      <c r="K5897">
        <v>0.122048178868819</v>
      </c>
      <c r="L5897">
        <v>2773.06980398408</v>
      </c>
      <c r="M5897">
        <v>43.027717145677997</v>
      </c>
      <c r="N5897">
        <v>64.749494878579696</v>
      </c>
      <c r="O5897">
        <v>64.309710387871803</v>
      </c>
      <c r="P5897">
        <v>-0.15210501579523</v>
      </c>
      <c r="Q5897">
        <v>9.0649959504925007E-2</v>
      </c>
      <c r="R5897">
        <v>0.74852249906160895</v>
      </c>
      <c r="S5897" t="s">
        <v>12182</v>
      </c>
      <c r="T5897" t="s">
        <v>12568</v>
      </c>
      <c r="U5897" t="s">
        <v>12568</v>
      </c>
      <c r="V5897" t="s">
        <v>12568</v>
      </c>
      <c r="W5897" t="s">
        <v>18412</v>
      </c>
      <c r="X5897">
        <v>10</v>
      </c>
      <c r="Y5897" t="s">
        <v>24493</v>
      </c>
      <c r="Z5897" t="s">
        <v>30767</v>
      </c>
      <c r="AA5897">
        <v>0.83338826502507546</v>
      </c>
      <c r="AB5897" t="str">
        <f>HYPERLINK("Melting_Curves/meltCurve_Q9UJW0_DCTN4.pdf", "Melting_Curves/meltCurve_Q9UJW0_DCTN4.pdf")</f>
        <v>Melting_Curves/meltCurve_Q9UJW0_DCTN4.pdf</v>
      </c>
    </row>
    <row r="5898" spans="1:28" x14ac:dyDescent="0.25">
      <c r="A5898" t="s">
        <v>5902</v>
      </c>
      <c r="B5898">
        <v>0.99352677808782597</v>
      </c>
      <c r="C5898">
        <v>0.67323301720104001</v>
      </c>
      <c r="D5898">
        <v>0.58048057406832998</v>
      </c>
      <c r="E5898">
        <v>0.352367658146366</v>
      </c>
      <c r="F5898">
        <v>0.36234483572473603</v>
      </c>
      <c r="G5898">
        <v>0.31670009867516202</v>
      </c>
      <c r="H5898">
        <v>0.149232937028378</v>
      </c>
      <c r="I5898">
        <v>0.25193043875414101</v>
      </c>
      <c r="J5898">
        <v>0.14086286566308401</v>
      </c>
      <c r="K5898">
        <v>0.15061980108348999</v>
      </c>
      <c r="L5898">
        <v>555.48614279834896</v>
      </c>
      <c r="M5898">
        <v>12.0927438518078</v>
      </c>
      <c r="N5898">
        <v>47.552447239905</v>
      </c>
      <c r="O5898">
        <v>44.7334507865272</v>
      </c>
      <c r="P5898">
        <v>-5.6202928681230002E-2</v>
      </c>
      <c r="Q5898">
        <v>0.16857181504011701</v>
      </c>
      <c r="R5898">
        <v>0.942765659671846</v>
      </c>
      <c r="S5898" t="s">
        <v>12183</v>
      </c>
      <c r="T5898" t="s">
        <v>12568</v>
      </c>
      <c r="U5898" t="s">
        <v>12568</v>
      </c>
      <c r="V5898" t="s">
        <v>12568</v>
      </c>
      <c r="W5898" t="s">
        <v>18413</v>
      </c>
      <c r="X5898">
        <v>1</v>
      </c>
      <c r="Y5898" t="s">
        <v>24494</v>
      </c>
      <c r="Z5898" t="s">
        <v>30768</v>
      </c>
      <c r="AA5898">
        <v>0.37057220205808039</v>
      </c>
      <c r="AB5898" t="str">
        <f>HYPERLINK("Melting_Curves/meltCurve_Q9UJX0_2_OSGIN1.pdf", "Melting_Curves/meltCurve_Q9UJX0_2_OSGIN1.pdf")</f>
        <v>Melting_Curves/meltCurve_Q9UJX0_2_OSGIN1.pdf</v>
      </c>
    </row>
    <row r="5899" spans="1:28" x14ac:dyDescent="0.25">
      <c r="A5899" t="s">
        <v>5903</v>
      </c>
      <c r="B5899">
        <v>0.99352677808782597</v>
      </c>
      <c r="C5899">
        <v>0.90291477154836097</v>
      </c>
      <c r="D5899">
        <v>0.87232217078845198</v>
      </c>
      <c r="E5899">
        <v>1.12453072408888</v>
      </c>
      <c r="F5899">
        <v>0.93606927241364102</v>
      </c>
      <c r="G5899">
        <v>0.46538504849272699</v>
      </c>
      <c r="H5899">
        <v>0.228311707692302</v>
      </c>
      <c r="I5899">
        <v>0.16889873420513399</v>
      </c>
      <c r="J5899">
        <v>0.140046187108957</v>
      </c>
      <c r="K5899">
        <v>0.105636829876865</v>
      </c>
      <c r="L5899">
        <v>2208.0706957915199</v>
      </c>
      <c r="M5899">
        <v>39.188979005418901</v>
      </c>
      <c r="N5899">
        <v>56.8443416942944</v>
      </c>
      <c r="O5899">
        <v>56.198058855924302</v>
      </c>
      <c r="P5899">
        <v>-0.14891238726672101</v>
      </c>
      <c r="Q5899">
        <v>0.14582432323778399</v>
      </c>
      <c r="R5899">
        <v>0.96907933442488503</v>
      </c>
      <c r="S5899" t="s">
        <v>12184</v>
      </c>
      <c r="T5899" t="s">
        <v>12568</v>
      </c>
      <c r="U5899" t="s">
        <v>12568</v>
      </c>
      <c r="V5899" t="s">
        <v>12568</v>
      </c>
      <c r="W5899" t="s">
        <v>18414</v>
      </c>
      <c r="X5899">
        <v>5</v>
      </c>
      <c r="Y5899" t="s">
        <v>24495</v>
      </c>
      <c r="Z5899" t="s">
        <v>30769</v>
      </c>
      <c r="AA5899">
        <v>0.61462002053078169</v>
      </c>
      <c r="AB5899" t="str">
        <f>HYPERLINK("Melting_Curves/meltCurve_Q9UJX2_3_CDC23.pdf", "Melting_Curves/meltCurve_Q9UJX2_3_CDC23.pdf")</f>
        <v>Melting_Curves/meltCurve_Q9UJX2_3_CDC23.pdf</v>
      </c>
    </row>
    <row r="5900" spans="1:28" x14ac:dyDescent="0.25">
      <c r="A5900" t="s">
        <v>5904</v>
      </c>
      <c r="B5900">
        <v>0.99352677808782597</v>
      </c>
      <c r="C5900">
        <v>0.84182757885012105</v>
      </c>
      <c r="D5900">
        <v>0.80432380473333698</v>
      </c>
      <c r="E5900">
        <v>0.86833707618550604</v>
      </c>
      <c r="F5900">
        <v>0.70007536276215498</v>
      </c>
      <c r="G5900">
        <v>0.28042577439381799</v>
      </c>
      <c r="H5900">
        <v>0.17517485120569101</v>
      </c>
      <c r="I5900">
        <v>0.13387679793091201</v>
      </c>
      <c r="J5900">
        <v>0.130997044309862</v>
      </c>
      <c r="K5900">
        <v>0.102257486174616</v>
      </c>
      <c r="L5900">
        <v>1005.7441284691899</v>
      </c>
      <c r="M5900">
        <v>18.563611896970801</v>
      </c>
      <c r="N5900">
        <v>54.708946171020202</v>
      </c>
      <c r="O5900">
        <v>53.561284391445</v>
      </c>
      <c r="P5900">
        <v>-7.9510543232573797E-2</v>
      </c>
      <c r="Q5900">
        <v>8.2398159434096299E-2</v>
      </c>
      <c r="R5900">
        <v>0.95100086085777502</v>
      </c>
      <c r="S5900" t="s">
        <v>12185</v>
      </c>
      <c r="T5900" t="s">
        <v>12568</v>
      </c>
      <c r="U5900" t="s">
        <v>12568</v>
      </c>
      <c r="V5900" t="s">
        <v>12568</v>
      </c>
      <c r="W5900" t="s">
        <v>18415</v>
      </c>
      <c r="X5900">
        <v>5</v>
      </c>
      <c r="Y5900" t="s">
        <v>24496</v>
      </c>
      <c r="Z5900" t="s">
        <v>30770</v>
      </c>
      <c r="AA5900">
        <v>0.53001912680324548</v>
      </c>
      <c r="AB5900" t="str">
        <f>HYPERLINK("Melting_Curves/meltCurve_Q9UJX3_2_ANAPC7.pdf", "Melting_Curves/meltCurve_Q9UJX3_2_ANAPC7.pdf")</f>
        <v>Melting_Curves/meltCurve_Q9UJX3_2_ANAPC7.pdf</v>
      </c>
    </row>
    <row r="5901" spans="1:28" x14ac:dyDescent="0.25">
      <c r="A5901" t="s">
        <v>5905</v>
      </c>
      <c r="B5901">
        <v>0.99352677808782597</v>
      </c>
      <c r="C5901">
        <v>0.83574781766663098</v>
      </c>
      <c r="D5901">
        <v>0.73266486212757698</v>
      </c>
      <c r="E5901">
        <v>0.94002989245880897</v>
      </c>
      <c r="F5901">
        <v>0.78935830652302696</v>
      </c>
      <c r="G5901">
        <v>0.36858510220577601</v>
      </c>
      <c r="H5901">
        <v>0.21198186965106799</v>
      </c>
      <c r="I5901">
        <v>0.176097794808599</v>
      </c>
      <c r="J5901">
        <v>0.13592888366991901</v>
      </c>
      <c r="K5901">
        <v>0.137121999100902</v>
      </c>
      <c r="L5901">
        <v>1304.19842499941</v>
      </c>
      <c r="M5901">
        <v>23.684617696414801</v>
      </c>
      <c r="N5901">
        <v>55.774884086050399</v>
      </c>
      <c r="O5901">
        <v>54.677162281703801</v>
      </c>
      <c r="P5901">
        <v>-9.4205958403227694E-2</v>
      </c>
      <c r="Q5901">
        <v>0.130097209421902</v>
      </c>
      <c r="R5901">
        <v>0.91576828589999604</v>
      </c>
      <c r="S5901" t="s">
        <v>12186</v>
      </c>
      <c r="T5901" t="s">
        <v>12568</v>
      </c>
      <c r="U5901" t="s">
        <v>12568</v>
      </c>
      <c r="V5901" t="s">
        <v>12568</v>
      </c>
      <c r="W5901" t="s">
        <v>18416</v>
      </c>
      <c r="X5901">
        <v>4</v>
      </c>
      <c r="Y5901" t="s">
        <v>24497</v>
      </c>
      <c r="Z5901" t="s">
        <v>30771</v>
      </c>
      <c r="AA5901">
        <v>0.57576917819850804</v>
      </c>
      <c r="AB5901" t="str">
        <f>HYPERLINK("Melting_Curves/meltCurve_Q9UJX6_ANAPC2.pdf", "Melting_Curves/meltCurve_Q9UJX6_ANAPC2.pdf")</f>
        <v>Melting_Curves/meltCurve_Q9UJX6_ANAPC2.pdf</v>
      </c>
    </row>
    <row r="5902" spans="1:28" x14ac:dyDescent="0.25">
      <c r="A5902" t="s">
        <v>5906</v>
      </c>
      <c r="B5902">
        <v>0.99352677808782597</v>
      </c>
      <c r="C5902">
        <v>0.96596168874680999</v>
      </c>
      <c r="D5902">
        <v>0.91702691755392096</v>
      </c>
      <c r="E5902">
        <v>0.63055287744346999</v>
      </c>
      <c r="F5902">
        <v>0.58022875756877301</v>
      </c>
      <c r="G5902">
        <v>0.41233325249131503</v>
      </c>
      <c r="H5902">
        <v>0.37054322682022001</v>
      </c>
      <c r="I5902">
        <v>0.389298284490883</v>
      </c>
      <c r="J5902">
        <v>0.42025446855814202</v>
      </c>
      <c r="K5902">
        <v>0.39151777847438202</v>
      </c>
      <c r="L5902">
        <v>967.59343988471096</v>
      </c>
      <c r="M5902">
        <v>19.483018336622301</v>
      </c>
      <c r="N5902">
        <v>53.759900441899198</v>
      </c>
      <c r="O5902">
        <v>49.149084357966501</v>
      </c>
      <c r="P5902">
        <v>-6.0780991095531499E-2</v>
      </c>
      <c r="Q5902">
        <v>0.38670224138134002</v>
      </c>
      <c r="R5902">
        <v>0.98697396038888197</v>
      </c>
      <c r="S5902" t="s">
        <v>12187</v>
      </c>
      <c r="T5902" t="s">
        <v>12568</v>
      </c>
      <c r="U5902" t="s">
        <v>12568</v>
      </c>
      <c r="V5902" t="s">
        <v>12568</v>
      </c>
      <c r="W5902" t="s">
        <v>18417</v>
      </c>
      <c r="X5902">
        <v>8</v>
      </c>
      <c r="Y5902" t="s">
        <v>24498</v>
      </c>
      <c r="Z5902" t="s">
        <v>30772</v>
      </c>
      <c r="AA5902">
        <v>0.59325830409400948</v>
      </c>
      <c r="AB5902" t="str">
        <f>HYPERLINK("Melting_Curves/meltCurve_Q9UJY1_HSPB8.pdf", "Melting_Curves/meltCurve_Q9UJY1_HSPB8.pdf")</f>
        <v>Melting_Curves/meltCurve_Q9UJY1_HSPB8.pdf</v>
      </c>
    </row>
    <row r="5903" spans="1:28" x14ac:dyDescent="0.25">
      <c r="A5903" t="s">
        <v>5907</v>
      </c>
      <c r="B5903">
        <v>0.99352677808782597</v>
      </c>
      <c r="C5903">
        <v>0.95186411831041295</v>
      </c>
      <c r="D5903">
        <v>1.0059062267252099</v>
      </c>
      <c r="E5903">
        <v>0.44901826927581301</v>
      </c>
      <c r="F5903">
        <v>0.43941395889024698</v>
      </c>
      <c r="G5903">
        <v>0.24732528471878501</v>
      </c>
      <c r="H5903">
        <v>0.29093801349638998</v>
      </c>
      <c r="I5903">
        <v>0.29841991687335501</v>
      </c>
      <c r="J5903">
        <v>0.24543711448143199</v>
      </c>
      <c r="K5903">
        <v>0.18526452375922001</v>
      </c>
      <c r="L5903">
        <v>1919.4583213030301</v>
      </c>
      <c r="M5903">
        <v>39.205307993180497</v>
      </c>
      <c r="N5903">
        <v>49.962185822930302</v>
      </c>
      <c r="O5903">
        <v>48.832283799611602</v>
      </c>
      <c r="P5903">
        <v>-0.14603724901376</v>
      </c>
      <c r="Q5903">
        <v>0.27241317583443703</v>
      </c>
      <c r="R5903">
        <v>0.96530579522156001</v>
      </c>
      <c r="S5903" t="s">
        <v>12188</v>
      </c>
      <c r="T5903" t="s">
        <v>12568</v>
      </c>
      <c r="U5903" t="s">
        <v>12568</v>
      </c>
      <c r="V5903" t="s">
        <v>12568</v>
      </c>
      <c r="W5903" t="s">
        <v>18418</v>
      </c>
      <c r="X5903">
        <v>5</v>
      </c>
      <c r="Y5903" t="s">
        <v>24499</v>
      </c>
      <c r="Z5903" t="s">
        <v>30773</v>
      </c>
      <c r="AA5903">
        <v>0.49226562594686513</v>
      </c>
      <c r="AB5903" t="str">
        <f>HYPERLINK("Melting_Curves/meltCurve_Q9UJY4_GGA2.pdf", "Melting_Curves/meltCurve_Q9UJY4_GGA2.pdf")</f>
        <v>Melting_Curves/meltCurve_Q9UJY4_GGA2.pdf</v>
      </c>
    </row>
    <row r="5904" spans="1:28" x14ac:dyDescent="0.25">
      <c r="A5904" t="s">
        <v>5908</v>
      </c>
      <c r="B5904">
        <v>0.99352677808782597</v>
      </c>
      <c r="C5904">
        <v>0.97013628653940298</v>
      </c>
      <c r="D5904">
        <v>0.97619939486247798</v>
      </c>
      <c r="E5904">
        <v>0.81942290905704096</v>
      </c>
      <c r="F5904">
        <v>0.75046902265597804</v>
      </c>
      <c r="G5904">
        <v>0.44110276399831899</v>
      </c>
      <c r="H5904">
        <v>0.31475748142952997</v>
      </c>
      <c r="I5904">
        <v>0.313994800712249</v>
      </c>
      <c r="J5904">
        <v>0.336168933053684</v>
      </c>
      <c r="K5904">
        <v>0.250807091537598</v>
      </c>
      <c r="L5904">
        <v>1013.9984850447401</v>
      </c>
      <c r="M5904">
        <v>18.788718346078099</v>
      </c>
      <c r="N5904">
        <v>56.273378660380999</v>
      </c>
      <c r="O5904">
        <v>53.368277310498499</v>
      </c>
      <c r="P5904">
        <v>-6.4394652934556595E-2</v>
      </c>
      <c r="Q5904">
        <v>0.268393367837365</v>
      </c>
      <c r="R5904">
        <v>0.98824367717885098</v>
      </c>
      <c r="S5904" t="s">
        <v>12189</v>
      </c>
      <c r="T5904" t="s">
        <v>12568</v>
      </c>
      <c r="U5904" t="s">
        <v>12568</v>
      </c>
      <c r="V5904" t="s">
        <v>12568</v>
      </c>
      <c r="W5904" t="s">
        <v>18419</v>
      </c>
      <c r="X5904">
        <v>9</v>
      </c>
      <c r="Y5904" t="s">
        <v>24500</v>
      </c>
      <c r="Z5904" t="s">
        <v>30774</v>
      </c>
      <c r="AA5904">
        <v>0.62001996044788632</v>
      </c>
      <c r="AB5904" t="str">
        <f>HYPERLINK("Melting_Curves/meltCurve_Q9UJY5_4_GGA1.pdf", "Melting_Curves/meltCurve_Q9UJY5_4_GGA1.pdf")</f>
        <v>Melting_Curves/meltCurve_Q9UJY5_4_GGA1.pdf</v>
      </c>
    </row>
    <row r="5905" spans="1:28" x14ac:dyDescent="0.25">
      <c r="A5905" t="s">
        <v>5909</v>
      </c>
      <c r="B5905">
        <v>0.99352677808782597</v>
      </c>
      <c r="C5905">
        <v>0.95482645621338202</v>
      </c>
      <c r="D5905">
        <v>0.97067682528502297</v>
      </c>
      <c r="E5905">
        <v>0.44039506648425902</v>
      </c>
      <c r="F5905">
        <v>0.59454361887712903</v>
      </c>
      <c r="G5905">
        <v>0.32040534965809597</v>
      </c>
      <c r="H5905">
        <v>0.18719779057042099</v>
      </c>
      <c r="I5905">
        <v>0.13080340001672999</v>
      </c>
      <c r="J5905">
        <v>0.139670126023374</v>
      </c>
      <c r="K5905">
        <v>0.13175186436636799</v>
      </c>
      <c r="L5905">
        <v>688.31483619240601</v>
      </c>
      <c r="M5905">
        <v>13.341831258116001</v>
      </c>
      <c r="N5905">
        <v>52.451871394269801</v>
      </c>
      <c r="O5905">
        <v>50.473045939726703</v>
      </c>
      <c r="P5905">
        <v>-5.9593707527529197E-2</v>
      </c>
      <c r="Q5905">
        <v>9.83559351597382E-2</v>
      </c>
      <c r="R5905">
        <v>0.93988542484424198</v>
      </c>
      <c r="S5905" t="s">
        <v>12190</v>
      </c>
      <c r="T5905" t="s">
        <v>12568</v>
      </c>
      <c r="U5905" t="s">
        <v>12568</v>
      </c>
      <c r="V5905" t="s">
        <v>12568</v>
      </c>
      <c r="W5905" t="s">
        <v>18420</v>
      </c>
      <c r="X5905">
        <v>2</v>
      </c>
      <c r="Y5905" t="s">
        <v>24501</v>
      </c>
      <c r="Z5905" t="s">
        <v>30775</v>
      </c>
      <c r="AA5905">
        <v>0.47113907053147569</v>
      </c>
      <c r="AB5905" t="str">
        <f>HYPERLINK("Melting_Curves/meltCurve_Q9UK22_FBXO2.pdf", "Melting_Curves/meltCurve_Q9UK22_FBXO2.pdf")</f>
        <v>Melting_Curves/meltCurve_Q9UK22_FBXO2.pdf</v>
      </c>
    </row>
    <row r="5906" spans="1:28" x14ac:dyDescent="0.25">
      <c r="A5906" t="s">
        <v>5910</v>
      </c>
      <c r="B5906">
        <v>0.99352677808782597</v>
      </c>
      <c r="C5906">
        <v>0.93037042120103197</v>
      </c>
      <c r="D5906">
        <v>0.89781499598838699</v>
      </c>
      <c r="E5906">
        <v>0.84472382900725596</v>
      </c>
      <c r="F5906">
        <v>0.79575268551348999</v>
      </c>
      <c r="G5906">
        <v>0.65921356939998799</v>
      </c>
      <c r="H5906">
        <v>0.58822755198203203</v>
      </c>
      <c r="I5906">
        <v>0.61697764120217302</v>
      </c>
      <c r="J5906">
        <v>0.49774796663402299</v>
      </c>
      <c r="K5906">
        <v>0.49043056339570001</v>
      </c>
      <c r="L5906">
        <v>410.065224518197</v>
      </c>
      <c r="M5906">
        <v>7.1005064485775504</v>
      </c>
      <c r="N5906">
        <v>69.042096376773003</v>
      </c>
      <c r="O5906">
        <v>53.6960865318744</v>
      </c>
      <c r="P5906">
        <v>-2.1743323406958798E-2</v>
      </c>
      <c r="Q5906">
        <v>0.34343795721964099</v>
      </c>
      <c r="R5906">
        <v>0.97924760911359998</v>
      </c>
      <c r="S5906" t="s">
        <v>12191</v>
      </c>
      <c r="T5906" t="s">
        <v>12568</v>
      </c>
      <c r="U5906" t="s">
        <v>12568</v>
      </c>
      <c r="V5906" t="s">
        <v>12568</v>
      </c>
      <c r="W5906" t="s">
        <v>18421</v>
      </c>
      <c r="X5906">
        <v>4</v>
      </c>
      <c r="Y5906" t="s">
        <v>24502</v>
      </c>
      <c r="Z5906" t="s">
        <v>30776</v>
      </c>
      <c r="AA5906">
        <v>0.73292819195965675</v>
      </c>
      <c r="AB5906" t="str">
        <f>HYPERLINK("Melting_Curves/meltCurve_Q9UK33_ZNF580.pdf", "Melting_Curves/meltCurve_Q9UK33_ZNF580.pdf")</f>
        <v>Melting_Curves/meltCurve_Q9UK33_ZNF580.pdf</v>
      </c>
    </row>
    <row r="5907" spans="1:28" x14ac:dyDescent="0.25">
      <c r="A5907" t="s">
        <v>5911</v>
      </c>
      <c r="B5907">
        <v>0.99352677808782597</v>
      </c>
      <c r="C5907">
        <v>0.995549218828371</v>
      </c>
      <c r="D5907">
        <v>1.01614642034682</v>
      </c>
      <c r="E5907">
        <v>0.57252599063393805</v>
      </c>
      <c r="F5907">
        <v>0.47231828909276102</v>
      </c>
      <c r="G5907">
        <v>0.217041784011091</v>
      </c>
      <c r="H5907">
        <v>0.135841217308455</v>
      </c>
      <c r="I5907">
        <v>0.121861379785038</v>
      </c>
      <c r="J5907">
        <v>0.116459506372559</v>
      </c>
      <c r="K5907">
        <v>8.4026595654154795E-2</v>
      </c>
      <c r="L5907">
        <v>1011.74192364651</v>
      </c>
      <c r="M5907">
        <v>19.7089577315101</v>
      </c>
      <c r="N5907">
        <v>51.929868124705301</v>
      </c>
      <c r="O5907">
        <v>50.814396759687298</v>
      </c>
      <c r="P5907">
        <v>-8.7156976176820902E-2</v>
      </c>
      <c r="Q5907">
        <v>0.101185027701754</v>
      </c>
      <c r="R5907">
        <v>0.98422564464992601</v>
      </c>
      <c r="S5907" t="s">
        <v>12192</v>
      </c>
      <c r="T5907" t="s">
        <v>12568</v>
      </c>
      <c r="U5907" t="s">
        <v>12568</v>
      </c>
      <c r="V5907" t="s">
        <v>12568</v>
      </c>
      <c r="W5907" t="s">
        <v>18422</v>
      </c>
      <c r="X5907">
        <v>11</v>
      </c>
      <c r="Y5907" t="s">
        <v>24503</v>
      </c>
      <c r="Z5907" t="s">
        <v>30777</v>
      </c>
      <c r="AA5907">
        <v>0.45356803869261819</v>
      </c>
      <c r="AB5907" t="str">
        <f>HYPERLINK("Melting_Curves/meltCurve_Q9UK41_VPS28.pdf", "Melting_Curves/meltCurve_Q9UK41_VPS28.pdf")</f>
        <v>Melting_Curves/meltCurve_Q9UK41_VPS28.pdf</v>
      </c>
    </row>
    <row r="5908" spans="1:28" x14ac:dyDescent="0.25">
      <c r="A5908" t="s">
        <v>5912</v>
      </c>
      <c r="B5908">
        <v>0.99352677808782597</v>
      </c>
      <c r="C5908">
        <v>1.01923529280104</v>
      </c>
      <c r="D5908">
        <v>1.0232727467549301</v>
      </c>
      <c r="E5908">
        <v>1.0251147596285699</v>
      </c>
      <c r="F5908">
        <v>0.92049039775123098</v>
      </c>
      <c r="G5908">
        <v>0.74100736354957697</v>
      </c>
      <c r="H5908">
        <v>0.77151495838254702</v>
      </c>
      <c r="I5908">
        <v>0.85260661227889301</v>
      </c>
      <c r="J5908">
        <v>0.82669370366821104</v>
      </c>
      <c r="K5908">
        <v>0.61756027382272205</v>
      </c>
      <c r="L5908">
        <v>13286.601529019399</v>
      </c>
      <c r="M5908">
        <v>250</v>
      </c>
      <c r="O5908">
        <v>53.142996036760699</v>
      </c>
      <c r="P5908">
        <v>-0.28005028546610999</v>
      </c>
      <c r="Q5908">
        <v>0.76187658019644</v>
      </c>
      <c r="R5908">
        <v>0.80243586174200099</v>
      </c>
      <c r="S5908" t="s">
        <v>12193</v>
      </c>
      <c r="T5908" t="s">
        <v>12568</v>
      </c>
      <c r="U5908" t="s">
        <v>12568</v>
      </c>
      <c r="V5908" t="s">
        <v>12568</v>
      </c>
      <c r="W5908" t="s">
        <v>18423</v>
      </c>
      <c r="X5908">
        <v>3</v>
      </c>
      <c r="Y5908" t="s">
        <v>24504</v>
      </c>
      <c r="Z5908" t="s">
        <v>30778</v>
      </c>
      <c r="AA5908">
        <v>0.86624769631634835</v>
      </c>
      <c r="AB5908" t="str">
        <f>HYPERLINK("Melting_Curves/meltCurve_Q9UK45_LSM7.pdf", "Melting_Curves/meltCurve_Q9UK45_LSM7.pdf")</f>
        <v>Melting_Curves/meltCurve_Q9UK45_LSM7.pdf</v>
      </c>
    </row>
    <row r="5909" spans="1:28" x14ac:dyDescent="0.25">
      <c r="A5909" t="s">
        <v>5913</v>
      </c>
      <c r="B5909">
        <v>0.99352677808782597</v>
      </c>
      <c r="C5909">
        <v>1.01084942609152</v>
      </c>
      <c r="D5909">
        <v>0.923079091022876</v>
      </c>
      <c r="E5909">
        <v>0.67459888580507299</v>
      </c>
      <c r="F5909">
        <v>0.57673928262657204</v>
      </c>
      <c r="G5909">
        <v>0.32690393936088902</v>
      </c>
      <c r="H5909">
        <v>0.16326340068869399</v>
      </c>
      <c r="I5909">
        <v>0.13121072204165901</v>
      </c>
      <c r="J5909">
        <v>0.107629465826137</v>
      </c>
      <c r="K5909">
        <v>9.2106623286225306E-2</v>
      </c>
      <c r="L5909">
        <v>760.18247901773395</v>
      </c>
      <c r="M5909">
        <v>14.2949048829182</v>
      </c>
      <c r="N5909">
        <v>53.6265671894487</v>
      </c>
      <c r="O5909">
        <v>52.170355892464201</v>
      </c>
      <c r="P5909">
        <v>-6.4653521087776597E-2</v>
      </c>
      <c r="Q5909">
        <v>5.6283473206208898E-2</v>
      </c>
      <c r="R5909">
        <v>0.99478237091580102</v>
      </c>
      <c r="S5909" t="s">
        <v>12194</v>
      </c>
      <c r="T5909" t="s">
        <v>12568</v>
      </c>
      <c r="U5909" t="s">
        <v>12568</v>
      </c>
      <c r="V5909" t="s">
        <v>12568</v>
      </c>
      <c r="W5909" t="s">
        <v>18424</v>
      </c>
      <c r="X5909">
        <v>8</v>
      </c>
      <c r="Y5909" t="s">
        <v>24505</v>
      </c>
      <c r="Z5909" t="s">
        <v>30779</v>
      </c>
      <c r="AA5909">
        <v>0.49233529630208822</v>
      </c>
      <c r="AB5909" t="str">
        <f>HYPERLINK("Melting_Curves/meltCurve_Q9UK59_DBR1.pdf", "Melting_Curves/meltCurve_Q9UK59_DBR1.pdf")</f>
        <v>Melting_Curves/meltCurve_Q9UK59_DBR1.pdf</v>
      </c>
    </row>
    <row r="5910" spans="1:28" x14ac:dyDescent="0.25">
      <c r="A5910" t="s">
        <v>5914</v>
      </c>
      <c r="B5910">
        <v>0.99352677808782597</v>
      </c>
      <c r="C5910">
        <v>1.05069572260413</v>
      </c>
      <c r="D5910">
        <v>0.93109003311790095</v>
      </c>
      <c r="E5910">
        <v>0.80589946030304704</v>
      </c>
      <c r="F5910">
        <v>0.80995843202607998</v>
      </c>
      <c r="G5910">
        <v>0.43150711590024698</v>
      </c>
      <c r="H5910">
        <v>0.31041315188137703</v>
      </c>
      <c r="I5910">
        <v>0.25612645306985998</v>
      </c>
      <c r="J5910">
        <v>0.22700824266320799</v>
      </c>
      <c r="K5910">
        <v>0.151043128286003</v>
      </c>
      <c r="L5910">
        <v>861.65478652421098</v>
      </c>
      <c r="M5910">
        <v>15.531724332442201</v>
      </c>
      <c r="N5910">
        <v>56.7188752226444</v>
      </c>
      <c r="O5910">
        <v>54.581852731381296</v>
      </c>
      <c r="P5910">
        <v>-6.0891539108321298E-2</v>
      </c>
      <c r="Q5910">
        <v>0.14413129979183401</v>
      </c>
      <c r="R5910">
        <v>0.98124409971442095</v>
      </c>
      <c r="S5910" t="s">
        <v>12195</v>
      </c>
      <c r="T5910" t="s">
        <v>12568</v>
      </c>
      <c r="U5910" t="s">
        <v>12568</v>
      </c>
      <c r="V5910" t="s">
        <v>12568</v>
      </c>
      <c r="W5910" t="s">
        <v>18425</v>
      </c>
      <c r="X5910">
        <v>2</v>
      </c>
      <c r="Y5910" t="s">
        <v>24506</v>
      </c>
      <c r="Z5910" t="s">
        <v>30780</v>
      </c>
      <c r="AA5910">
        <v>0.60104409756606503</v>
      </c>
      <c r="AB5910" t="str">
        <f>HYPERLINK("Melting_Curves/meltCurve_Q9UK61_3_FAM208A.pdf", "Melting_Curves/meltCurve_Q9UK61_3_FAM208A.pdf")</f>
        <v>Melting_Curves/meltCurve_Q9UK61_3_FAM208A.pdf</v>
      </c>
    </row>
    <row r="5911" spans="1:28" x14ac:dyDescent="0.25">
      <c r="A5911" t="s">
        <v>5915</v>
      </c>
      <c r="B5911">
        <v>0.99352677808782597</v>
      </c>
      <c r="C5911">
        <v>0.92211450385160698</v>
      </c>
      <c r="D5911">
        <v>0.77696405757012099</v>
      </c>
      <c r="E5911">
        <v>0.65366256357248498</v>
      </c>
      <c r="F5911">
        <v>0.49297037730062099</v>
      </c>
      <c r="G5911">
        <v>0.24380426721307799</v>
      </c>
      <c r="H5911">
        <v>0.144831920191515</v>
      </c>
      <c r="I5911">
        <v>0.137213127413463</v>
      </c>
      <c r="J5911">
        <v>9.6540451630897695E-2</v>
      </c>
      <c r="K5911">
        <v>7.7805029714063403E-2</v>
      </c>
      <c r="L5911">
        <v>608.68210062486401</v>
      </c>
      <c r="M5911">
        <v>11.7020858293873</v>
      </c>
      <c r="N5911">
        <v>52.228304585335103</v>
      </c>
      <c r="O5911">
        <v>50.565531782782202</v>
      </c>
      <c r="P5911">
        <v>-5.6520036308499402E-2</v>
      </c>
      <c r="Q5911">
        <v>2.33513745119001E-2</v>
      </c>
      <c r="R5911">
        <v>0.99365675464568803</v>
      </c>
      <c r="S5911" t="s">
        <v>12196</v>
      </c>
      <c r="T5911" t="s">
        <v>12568</v>
      </c>
      <c r="U5911" t="s">
        <v>12568</v>
      </c>
      <c r="V5911" t="s">
        <v>12568</v>
      </c>
      <c r="W5911" t="s">
        <v>18426</v>
      </c>
      <c r="X5911">
        <v>10</v>
      </c>
      <c r="Y5911" t="s">
        <v>24507</v>
      </c>
      <c r="Z5911" t="s">
        <v>30781</v>
      </c>
      <c r="AA5911">
        <v>0.44531943589111628</v>
      </c>
      <c r="AB5911" t="str">
        <f>HYPERLINK("Melting_Curves/meltCurve_Q9UK73_FEM1B.pdf", "Melting_Curves/meltCurve_Q9UK73_FEM1B.pdf")</f>
        <v>Melting_Curves/meltCurve_Q9UK73_FEM1B.pdf</v>
      </c>
    </row>
    <row r="5912" spans="1:28" x14ac:dyDescent="0.25">
      <c r="A5912" t="s">
        <v>5916</v>
      </c>
      <c r="B5912">
        <v>0.99352677808782597</v>
      </c>
      <c r="C5912">
        <v>1.0032239276847601</v>
      </c>
      <c r="D5912">
        <v>1.02320394406001</v>
      </c>
      <c r="E5912">
        <v>0.96149843510036503</v>
      </c>
      <c r="F5912">
        <v>0.89744062330003105</v>
      </c>
      <c r="G5912">
        <v>0.87053419810254296</v>
      </c>
      <c r="H5912">
        <v>0.80675817128715399</v>
      </c>
      <c r="I5912">
        <v>0.83198664662995303</v>
      </c>
      <c r="J5912">
        <v>0.83150370039174104</v>
      </c>
      <c r="K5912">
        <v>0.74110476406133996</v>
      </c>
      <c r="L5912">
        <v>803.82441396930801</v>
      </c>
      <c r="M5912">
        <v>14.616804991346299</v>
      </c>
      <c r="O5912">
        <v>53.9945939365535</v>
      </c>
      <c r="P5912">
        <v>-1.4905301547187401E-2</v>
      </c>
      <c r="Q5912">
        <v>0.77978341087997005</v>
      </c>
      <c r="R5912">
        <v>0.92115917966765004</v>
      </c>
      <c r="S5912" t="s">
        <v>12197</v>
      </c>
      <c r="T5912" t="s">
        <v>12568</v>
      </c>
      <c r="U5912" t="s">
        <v>12568</v>
      </c>
      <c r="V5912" t="s">
        <v>12568</v>
      </c>
      <c r="W5912" t="s">
        <v>18427</v>
      </c>
      <c r="X5912">
        <v>10</v>
      </c>
      <c r="Y5912" t="s">
        <v>24508</v>
      </c>
      <c r="Z5912" t="s">
        <v>30782</v>
      </c>
      <c r="AA5912">
        <v>0.89420620329466582</v>
      </c>
      <c r="AB5912" t="str">
        <f>HYPERLINK("Melting_Curves/meltCurve_Q9UK76_HN1.pdf", "Melting_Curves/meltCurve_Q9UK76_HN1.pdf")</f>
        <v>Melting_Curves/meltCurve_Q9UK76_HN1.pdf</v>
      </c>
    </row>
    <row r="5913" spans="1:28" x14ac:dyDescent="0.25">
      <c r="A5913" t="s">
        <v>5917</v>
      </c>
      <c r="B5913">
        <v>0.99352677808782597</v>
      </c>
      <c r="C5913">
        <v>0.88159506934474796</v>
      </c>
      <c r="D5913">
        <v>0.82677166672381197</v>
      </c>
      <c r="E5913">
        <v>0.29053989907115702</v>
      </c>
      <c r="F5913">
        <v>0.21809316315114899</v>
      </c>
      <c r="G5913">
        <v>0.13615368880353401</v>
      </c>
      <c r="H5913">
        <v>9.2163464508728907E-2</v>
      </c>
      <c r="I5913">
        <v>8.9670208887235703E-2</v>
      </c>
      <c r="J5913">
        <v>6.55983570495587E-2</v>
      </c>
      <c r="K5913">
        <v>4.8297880796425503E-2</v>
      </c>
      <c r="L5913">
        <v>1156.5037936830799</v>
      </c>
      <c r="M5913">
        <v>24.034191588199601</v>
      </c>
      <c r="N5913">
        <v>48.481594329506798</v>
      </c>
      <c r="O5913">
        <v>47.789693197221403</v>
      </c>
      <c r="P5913">
        <v>-0.11539088437096801</v>
      </c>
      <c r="Q5913">
        <v>8.22395033282253E-2</v>
      </c>
      <c r="R5913">
        <v>0.98767519299216699</v>
      </c>
      <c r="S5913" t="s">
        <v>12198</v>
      </c>
      <c r="T5913" t="s">
        <v>12568</v>
      </c>
      <c r="U5913" t="s">
        <v>12568</v>
      </c>
      <c r="V5913" t="s">
        <v>12568</v>
      </c>
      <c r="W5913" t="s">
        <v>18428</v>
      </c>
      <c r="X5913">
        <v>3</v>
      </c>
      <c r="Y5913" t="s">
        <v>24509</v>
      </c>
      <c r="Z5913" t="s">
        <v>30783</v>
      </c>
      <c r="AA5913">
        <v>0.33943502777327328</v>
      </c>
      <c r="AB5913" t="str">
        <f>HYPERLINK("Melting_Curves/meltCurve_Q9UK97_3_FBXO9.pdf", "Melting_Curves/meltCurve_Q9UK97_3_FBXO9.pdf")</f>
        <v>Melting_Curves/meltCurve_Q9UK97_3_FBXO9.pdf</v>
      </c>
    </row>
    <row r="5914" spans="1:28" x14ac:dyDescent="0.25">
      <c r="A5914" t="s">
        <v>5918</v>
      </c>
      <c r="B5914">
        <v>0.99352677808782597</v>
      </c>
      <c r="C5914">
        <v>0.950477128915581</v>
      </c>
      <c r="D5914">
        <v>0.88391136172766305</v>
      </c>
      <c r="E5914">
        <v>0.594333480735877</v>
      </c>
      <c r="F5914">
        <v>0.501364411295252</v>
      </c>
      <c r="G5914">
        <v>0.24702896005029101</v>
      </c>
      <c r="H5914">
        <v>0.12369954376682001</v>
      </c>
      <c r="I5914">
        <v>0.106125979729155</v>
      </c>
      <c r="J5914">
        <v>8.2454764053962196E-2</v>
      </c>
      <c r="K5914">
        <v>6.4664702565596699E-2</v>
      </c>
      <c r="L5914">
        <v>718.00170279017402</v>
      </c>
      <c r="M5914">
        <v>13.817317751232901</v>
      </c>
      <c r="N5914">
        <v>52.237263284164897</v>
      </c>
      <c r="O5914">
        <v>50.911734233120399</v>
      </c>
      <c r="P5914">
        <v>-6.5492065424752097E-2</v>
      </c>
      <c r="Q5914">
        <v>3.4877737090977398E-2</v>
      </c>
      <c r="R5914">
        <v>0.99532560122932801</v>
      </c>
      <c r="S5914" t="s">
        <v>12199</v>
      </c>
      <c r="T5914" t="s">
        <v>12568</v>
      </c>
      <c r="U5914" t="s">
        <v>12568</v>
      </c>
      <c r="V5914" t="s">
        <v>12568</v>
      </c>
      <c r="W5914" t="s">
        <v>18429</v>
      </c>
      <c r="X5914">
        <v>9</v>
      </c>
      <c r="Y5914" t="s">
        <v>24510</v>
      </c>
      <c r="Z5914" t="s">
        <v>30784</v>
      </c>
      <c r="AA5914">
        <v>0.44417998126766539</v>
      </c>
      <c r="AB5914" t="str">
        <f>HYPERLINK("Melting_Curves/meltCurve_Q9UK99_FBXO3.pdf", "Melting_Curves/meltCurve_Q9UK99_FBXO3.pdf")</f>
        <v>Melting_Curves/meltCurve_Q9UK99_FBXO3.pdf</v>
      </c>
    </row>
    <row r="5915" spans="1:28" x14ac:dyDescent="0.25">
      <c r="A5915" t="s">
        <v>5919</v>
      </c>
      <c r="B5915">
        <v>0.99352677808782597</v>
      </c>
      <c r="C5915">
        <v>0.93199035298435995</v>
      </c>
      <c r="D5915">
        <v>0.75863175120742099</v>
      </c>
      <c r="E5915">
        <v>0.35674808889217302</v>
      </c>
      <c r="F5915">
        <v>0.26562757506218299</v>
      </c>
      <c r="G5915">
        <v>0.12609707741019399</v>
      </c>
      <c r="H5915">
        <v>7.4352641783528406E-2</v>
      </c>
      <c r="I5915">
        <v>5.9587304612833999E-2</v>
      </c>
      <c r="J5915">
        <v>4.8341342383058802E-2</v>
      </c>
      <c r="K5915">
        <v>5.7036235861485499E-2</v>
      </c>
      <c r="L5915">
        <v>889.95048357475605</v>
      </c>
      <c r="M5915">
        <v>18.345757413997902</v>
      </c>
      <c r="N5915">
        <v>48.824183727284399</v>
      </c>
      <c r="O5915">
        <v>47.9445318734466</v>
      </c>
      <c r="P5915">
        <v>-9.0337520988501896E-2</v>
      </c>
      <c r="Q5915">
        <v>5.5696498462313199E-2</v>
      </c>
      <c r="R5915">
        <v>0.99626612047694096</v>
      </c>
      <c r="S5915" t="s">
        <v>12200</v>
      </c>
      <c r="T5915" t="s">
        <v>12568</v>
      </c>
      <c r="U5915" t="s">
        <v>12568</v>
      </c>
      <c r="V5915" t="s">
        <v>12568</v>
      </c>
      <c r="W5915" t="s">
        <v>18430</v>
      </c>
      <c r="X5915">
        <v>3</v>
      </c>
      <c r="Y5915" t="s">
        <v>24511</v>
      </c>
      <c r="Z5915" t="s">
        <v>30785</v>
      </c>
      <c r="AA5915">
        <v>0.33945607327631538</v>
      </c>
      <c r="AB5915" t="str">
        <f>HYPERLINK("Melting_Curves/meltCurve_Q9UKA4_AKAP11.pdf", "Melting_Curves/meltCurve_Q9UKA4_AKAP11.pdf")</f>
        <v>Melting_Curves/meltCurve_Q9UKA4_AKAP11.pdf</v>
      </c>
    </row>
    <row r="5916" spans="1:28" x14ac:dyDescent="0.25">
      <c r="A5916" t="s">
        <v>5920</v>
      </c>
      <c r="B5916">
        <v>0.99352677808782597</v>
      </c>
      <c r="C5916">
        <v>1.05488309857129</v>
      </c>
      <c r="D5916">
        <v>1.0395444054307901</v>
      </c>
      <c r="E5916">
        <v>0.91326914291338901</v>
      </c>
      <c r="F5916">
        <v>0.86326992368998201</v>
      </c>
      <c r="G5916">
        <v>0.60998180281368397</v>
      </c>
      <c r="H5916">
        <v>0.318709436957342</v>
      </c>
      <c r="I5916">
        <v>0.20146724528746801</v>
      </c>
      <c r="J5916">
        <v>0.12051057766602501</v>
      </c>
      <c r="K5916">
        <v>6.0779927200272602E-2</v>
      </c>
      <c r="L5916">
        <v>1010.10634960605</v>
      </c>
      <c r="M5916">
        <v>17.320009526731202</v>
      </c>
      <c r="N5916">
        <v>58.445427499346003</v>
      </c>
      <c r="O5916">
        <v>57.559399963925401</v>
      </c>
      <c r="P5916">
        <v>-7.38606220855791E-2</v>
      </c>
      <c r="Q5916">
        <v>1.8215559288279001E-2</v>
      </c>
      <c r="R5916">
        <v>0.99501675655969402</v>
      </c>
      <c r="S5916" t="s">
        <v>12201</v>
      </c>
      <c r="T5916" t="s">
        <v>12568</v>
      </c>
      <c r="U5916" t="s">
        <v>12568</v>
      </c>
      <c r="V5916" t="s">
        <v>12568</v>
      </c>
      <c r="W5916" t="s">
        <v>18431</v>
      </c>
      <c r="X5916">
        <v>2</v>
      </c>
      <c r="Y5916" t="s">
        <v>24512</v>
      </c>
      <c r="Z5916" t="s">
        <v>30786</v>
      </c>
      <c r="AA5916">
        <v>0.62964388486108047</v>
      </c>
      <c r="AB5916" t="str">
        <f>HYPERLINK("Melting_Curves/meltCurve_Q9UKA8_RCAN3.pdf", "Melting_Curves/meltCurve_Q9UKA8_RCAN3.pdf")</f>
        <v>Melting_Curves/meltCurve_Q9UKA8_RCAN3.pdf</v>
      </c>
    </row>
    <row r="5917" spans="1:28" x14ac:dyDescent="0.25">
      <c r="A5917" t="s">
        <v>5921</v>
      </c>
      <c r="B5917">
        <v>0.99352677808782597</v>
      </c>
      <c r="C5917">
        <v>0.95516998203049697</v>
      </c>
      <c r="D5917">
        <v>0.95782671236516204</v>
      </c>
      <c r="E5917">
        <v>0.28564078048245001</v>
      </c>
      <c r="F5917">
        <v>0.223016403296739</v>
      </c>
      <c r="G5917">
        <v>0.110618982464294</v>
      </c>
      <c r="H5917">
        <v>6.5102456481972298E-2</v>
      </c>
      <c r="I5917">
        <v>5.2686563628604001E-2</v>
      </c>
      <c r="J5917">
        <v>4.76184300059306E-2</v>
      </c>
      <c r="K5917">
        <v>3.1452756927799599E-2</v>
      </c>
      <c r="L5917">
        <v>1924.1290879359899</v>
      </c>
      <c r="M5917">
        <v>39.496863947198101</v>
      </c>
      <c r="N5917">
        <v>48.923340516474802</v>
      </c>
      <c r="O5917">
        <v>48.5916199103983</v>
      </c>
      <c r="P5917">
        <v>-0.187547846980542</v>
      </c>
      <c r="Q5917">
        <v>7.7067692256021197E-2</v>
      </c>
      <c r="R5917">
        <v>0.98659368943943704</v>
      </c>
      <c r="S5917" t="s">
        <v>12202</v>
      </c>
      <c r="T5917" t="s">
        <v>12568</v>
      </c>
      <c r="U5917" t="s">
        <v>12568</v>
      </c>
      <c r="V5917" t="s">
        <v>12568</v>
      </c>
      <c r="W5917" t="s">
        <v>18432</v>
      </c>
      <c r="X5917">
        <v>5</v>
      </c>
      <c r="Y5917" t="s">
        <v>24513</v>
      </c>
      <c r="Z5917" t="s">
        <v>30787</v>
      </c>
      <c r="AA5917">
        <v>0.3484033711673693</v>
      </c>
      <c r="AB5917" t="str">
        <f>HYPERLINK("Melting_Curves/meltCurve_Q9UKA9_PTBP2.pdf", "Melting_Curves/meltCurve_Q9UKA9_PTBP2.pdf")</f>
        <v>Melting_Curves/meltCurve_Q9UKA9_PTBP2.pdf</v>
      </c>
    </row>
    <row r="5918" spans="1:28" x14ac:dyDescent="0.25">
      <c r="A5918" t="s">
        <v>5922</v>
      </c>
      <c r="B5918">
        <v>0.99352677808782597</v>
      </c>
      <c r="C5918">
        <v>0.93638019503855696</v>
      </c>
      <c r="D5918">
        <v>0.84013195226691195</v>
      </c>
      <c r="E5918">
        <v>0.57441151335917495</v>
      </c>
      <c r="F5918">
        <v>0.48686324348937199</v>
      </c>
      <c r="G5918">
        <v>0.30442738510976403</v>
      </c>
      <c r="H5918">
        <v>0.23111618142322499</v>
      </c>
      <c r="I5918">
        <v>0.23760656685687001</v>
      </c>
      <c r="J5918">
        <v>0.22741166742258401</v>
      </c>
      <c r="K5918">
        <v>0.21917614275134101</v>
      </c>
      <c r="L5918">
        <v>743.87167127596001</v>
      </c>
      <c r="M5918">
        <v>14.854578331019001</v>
      </c>
      <c r="N5918">
        <v>51.889281949767302</v>
      </c>
      <c r="O5918">
        <v>49.195645842963401</v>
      </c>
      <c r="P5918">
        <v>-6.0215406398348298E-2</v>
      </c>
      <c r="Q5918">
        <v>0.202393802039324</v>
      </c>
      <c r="R5918">
        <v>0.99593777030073305</v>
      </c>
      <c r="S5918" t="s">
        <v>12203</v>
      </c>
      <c r="T5918" t="s">
        <v>12568</v>
      </c>
      <c r="U5918" t="s">
        <v>12568</v>
      </c>
      <c r="V5918" t="s">
        <v>12568</v>
      </c>
      <c r="W5918" t="s">
        <v>18433</v>
      </c>
      <c r="X5918">
        <v>4</v>
      </c>
      <c r="Y5918" t="s">
        <v>24514</v>
      </c>
      <c r="Z5918" t="s">
        <v>30788</v>
      </c>
      <c r="AA5918">
        <v>0.48960860121754912</v>
      </c>
      <c r="AB5918" t="str">
        <f>HYPERLINK("Melting_Curves/meltCurve_Q9UKB1_2_FBXW11.pdf", "Melting_Curves/meltCurve_Q9UKB1_2_FBXW11.pdf")</f>
        <v>Melting_Curves/meltCurve_Q9UKB1_2_FBXW11.pdf</v>
      </c>
    </row>
    <row r="5919" spans="1:28" x14ac:dyDescent="0.25">
      <c r="A5919" t="s">
        <v>5923</v>
      </c>
      <c r="B5919">
        <v>0.99352677808782597</v>
      </c>
      <c r="C5919">
        <v>0.92457597936492697</v>
      </c>
      <c r="D5919">
        <v>1.01822907555121</v>
      </c>
      <c r="E5919">
        <v>1.03494727583921</v>
      </c>
      <c r="F5919">
        <v>1.05870853098025</v>
      </c>
      <c r="G5919">
        <v>0.99012388765869497</v>
      </c>
      <c r="H5919">
        <v>0.92246006542118897</v>
      </c>
      <c r="I5919">
        <v>1.0016313464670199</v>
      </c>
      <c r="J5919">
        <v>0.99274684344017206</v>
      </c>
      <c r="K5919">
        <v>0.95694702000325205</v>
      </c>
      <c r="L5919">
        <v>14294.8108010082</v>
      </c>
      <c r="M5919">
        <v>250</v>
      </c>
      <c r="O5919">
        <v>57.175585317695301</v>
      </c>
      <c r="P5919">
        <v>-3.4492081235894201E-2</v>
      </c>
      <c r="Q5919">
        <v>0.96844632176650602</v>
      </c>
      <c r="R5919">
        <v>0.16762858863782601</v>
      </c>
      <c r="S5919" t="s">
        <v>12204</v>
      </c>
      <c r="T5919" t="s">
        <v>12568</v>
      </c>
      <c r="U5919" t="s">
        <v>12568</v>
      </c>
      <c r="V5919" t="s">
        <v>12568</v>
      </c>
      <c r="W5919" t="s">
        <v>18434</v>
      </c>
      <c r="X5919">
        <v>7</v>
      </c>
      <c r="Y5919" t="s">
        <v>24515</v>
      </c>
      <c r="Z5919" t="s">
        <v>30789</v>
      </c>
      <c r="AA5919">
        <v>0.98651843188169275</v>
      </c>
      <c r="AB5919" t="str">
        <f>HYPERLINK("Melting_Curves/meltCurve_Q9UKB3_DNAJC12.pdf", "Melting_Curves/meltCurve_Q9UKB3_DNAJC12.pdf")</f>
        <v>Melting_Curves/meltCurve_Q9UKB3_DNAJC12.pdf</v>
      </c>
    </row>
    <row r="5920" spans="1:28" x14ac:dyDescent="0.25">
      <c r="A5920" t="s">
        <v>5924</v>
      </c>
      <c r="B5920">
        <v>0.99352677808782597</v>
      </c>
      <c r="C5920">
        <v>0.95047827782926397</v>
      </c>
      <c r="D5920">
        <v>1.0831235527815499</v>
      </c>
      <c r="E5920">
        <v>0.21843566577243101</v>
      </c>
      <c r="F5920">
        <v>0.14102815844317701</v>
      </c>
      <c r="G5920">
        <v>8.5352531817238994E-2</v>
      </c>
      <c r="H5920">
        <v>4.7975736398211101E-2</v>
      </c>
      <c r="I5920">
        <v>4.5668609494351503E-2</v>
      </c>
      <c r="J5920">
        <v>3.1286297172781398E-2</v>
      </c>
      <c r="K5920">
        <v>2.3925946019749199E-2</v>
      </c>
      <c r="L5920">
        <v>6111.7227550866701</v>
      </c>
      <c r="M5920">
        <v>123.84477942773201</v>
      </c>
      <c r="N5920">
        <v>49.403121122567597</v>
      </c>
      <c r="O5920">
        <v>49.337001199635502</v>
      </c>
      <c r="P5920">
        <v>-0.58833479766590102</v>
      </c>
      <c r="Q5920">
        <v>6.2482191881882997E-2</v>
      </c>
      <c r="R5920">
        <v>0.98961579125980403</v>
      </c>
      <c r="S5920" t="s">
        <v>12205</v>
      </c>
      <c r="T5920" t="s">
        <v>12568</v>
      </c>
      <c r="U5920" t="s">
        <v>12568</v>
      </c>
      <c r="V5920" t="s">
        <v>12568</v>
      </c>
      <c r="W5920" t="s">
        <v>18435</v>
      </c>
      <c r="X5920">
        <v>7</v>
      </c>
      <c r="Y5920" t="s">
        <v>24516</v>
      </c>
      <c r="Z5920" t="s">
        <v>30790</v>
      </c>
      <c r="AA5920">
        <v>0.35500202467063868</v>
      </c>
      <c r="AB5920" t="str">
        <f>HYPERLINK("Melting_Curves/meltCurve_Q9UKD2_MRTO4.pdf", "Melting_Curves/meltCurve_Q9UKD2_MRTO4.pdf")</f>
        <v>Melting_Curves/meltCurve_Q9UKD2_MRTO4.pdf</v>
      </c>
    </row>
    <row r="5921" spans="1:28" x14ac:dyDescent="0.25">
      <c r="A5921" t="s">
        <v>5925</v>
      </c>
      <c r="B5921">
        <v>0.99352677808782597</v>
      </c>
      <c r="C5921">
        <v>1.03829503853227</v>
      </c>
      <c r="D5921">
        <v>1.01991248533956</v>
      </c>
      <c r="E5921">
        <v>0.84552468135839098</v>
      </c>
      <c r="F5921">
        <v>0.73776396779370301</v>
      </c>
      <c r="G5921">
        <v>0.50560600254180799</v>
      </c>
      <c r="H5921">
        <v>0.28726639209182497</v>
      </c>
      <c r="I5921">
        <v>0.18813442665747701</v>
      </c>
      <c r="J5921">
        <v>0.13733445783279899</v>
      </c>
      <c r="K5921">
        <v>0.100204978494952</v>
      </c>
      <c r="L5921">
        <v>838.31064692228495</v>
      </c>
      <c r="M5921">
        <v>14.8381050707816</v>
      </c>
      <c r="N5921">
        <v>56.9033521632782</v>
      </c>
      <c r="O5921">
        <v>55.500754090742497</v>
      </c>
      <c r="P5921">
        <v>-6.3485361975024607E-2</v>
      </c>
      <c r="Q5921">
        <v>5.0252292654758599E-2</v>
      </c>
      <c r="R5921">
        <v>0.99542834373817002</v>
      </c>
      <c r="S5921" t="s">
        <v>12206</v>
      </c>
      <c r="T5921" t="s">
        <v>12568</v>
      </c>
      <c r="U5921" t="s">
        <v>12568</v>
      </c>
      <c r="V5921" t="s">
        <v>12568</v>
      </c>
      <c r="W5921" t="s">
        <v>18436</v>
      </c>
      <c r="X5921">
        <v>18</v>
      </c>
      <c r="Y5921" t="s">
        <v>24517</v>
      </c>
      <c r="Z5921" t="s">
        <v>30791</v>
      </c>
      <c r="AA5921">
        <v>0.58863970206604133</v>
      </c>
      <c r="AB5921" t="str">
        <f>HYPERLINK("Melting_Curves/meltCurve_Q9UKF6_CPSF3.pdf", "Melting_Curves/meltCurve_Q9UKF6_CPSF3.pdf")</f>
        <v>Melting_Curves/meltCurve_Q9UKF6_CPSF3.pdf</v>
      </c>
    </row>
    <row r="5922" spans="1:28" x14ac:dyDescent="0.25">
      <c r="A5922" t="s">
        <v>5926</v>
      </c>
      <c r="B5922">
        <v>0.99352677808782597</v>
      </c>
      <c r="C5922">
        <v>0.98782425574766997</v>
      </c>
      <c r="D5922">
        <v>0.95633735370187101</v>
      </c>
      <c r="E5922">
        <v>0.77261822398837898</v>
      </c>
      <c r="F5922">
        <v>0.70415574020896499</v>
      </c>
      <c r="G5922">
        <v>0.40644908808866398</v>
      </c>
      <c r="H5922">
        <v>0.21437200090010899</v>
      </c>
      <c r="I5922">
        <v>0.201967758810674</v>
      </c>
      <c r="J5922">
        <v>0.16232380548741601</v>
      </c>
      <c r="K5922">
        <v>0.124936270732201</v>
      </c>
      <c r="L5922">
        <v>824.38695919067504</v>
      </c>
      <c r="M5922">
        <v>15.0806491686055</v>
      </c>
      <c r="N5922">
        <v>55.445850222724303</v>
      </c>
      <c r="O5922">
        <v>53.731007782990297</v>
      </c>
      <c r="P5922">
        <v>-6.34622663365806E-2</v>
      </c>
      <c r="Q5922">
        <v>9.56476389482043E-2</v>
      </c>
      <c r="R5922">
        <v>0.99421138399757603</v>
      </c>
      <c r="S5922" t="s">
        <v>12207</v>
      </c>
      <c r="T5922" t="s">
        <v>12568</v>
      </c>
      <c r="U5922" t="s">
        <v>12568</v>
      </c>
      <c r="V5922" t="s">
        <v>12568</v>
      </c>
      <c r="W5922" t="s">
        <v>18437</v>
      </c>
      <c r="X5922">
        <v>19</v>
      </c>
      <c r="Y5922" t="s">
        <v>24518</v>
      </c>
      <c r="Z5922" t="s">
        <v>30792</v>
      </c>
      <c r="AA5922">
        <v>0.55546366852440665</v>
      </c>
      <c r="AB5922" t="str">
        <f>HYPERLINK("Melting_Curves/meltCurve_Q9UKG1_APPL1.pdf", "Melting_Curves/meltCurve_Q9UKG1_APPL1.pdf")</f>
        <v>Melting_Curves/meltCurve_Q9UKG1_APPL1.pdf</v>
      </c>
    </row>
    <row r="5923" spans="1:28" x14ac:dyDescent="0.25">
      <c r="A5923" t="s">
        <v>5927</v>
      </c>
      <c r="B5923">
        <v>0.99352677808782597</v>
      </c>
      <c r="C5923">
        <v>1.1454014066978</v>
      </c>
      <c r="D5923">
        <v>0.95844078257674803</v>
      </c>
      <c r="E5923">
        <v>0.43339856455460801</v>
      </c>
      <c r="F5923">
        <v>0.401305746780868</v>
      </c>
      <c r="G5923">
        <v>0.25952471538466398</v>
      </c>
      <c r="H5923">
        <v>0.20155226476513499</v>
      </c>
      <c r="I5923">
        <v>0.188433297167759</v>
      </c>
      <c r="J5923">
        <v>0.158819334939857</v>
      </c>
      <c r="K5923">
        <v>0.15362659698971401</v>
      </c>
      <c r="L5923">
        <v>1471.75549850006</v>
      </c>
      <c r="M5923">
        <v>29.9022132789074</v>
      </c>
      <c r="N5923">
        <v>50.083125486689497</v>
      </c>
      <c r="O5923">
        <v>49.000392386177403</v>
      </c>
      <c r="P5923">
        <v>-0.121815022910815</v>
      </c>
      <c r="Q5923">
        <v>0.20153809790253199</v>
      </c>
      <c r="R5923">
        <v>0.96218244321334201</v>
      </c>
      <c r="S5923" t="s">
        <v>12208</v>
      </c>
      <c r="T5923" t="s">
        <v>12568</v>
      </c>
      <c r="U5923" t="s">
        <v>12568</v>
      </c>
      <c r="V5923" t="s">
        <v>12568</v>
      </c>
      <c r="W5923" t="s">
        <v>18438</v>
      </c>
      <c r="X5923">
        <v>2</v>
      </c>
      <c r="Y5923" t="s">
        <v>24519</v>
      </c>
      <c r="Z5923" t="s">
        <v>30793</v>
      </c>
      <c r="AA5923">
        <v>0.45181538772990593</v>
      </c>
      <c r="AB5923" t="str">
        <f>HYPERLINK("Melting_Curves/meltCurve_Q9UKG9_CROT.pdf", "Melting_Curves/meltCurve_Q9UKG9_CROT.pdf")</f>
        <v>Melting_Curves/meltCurve_Q9UKG9_CROT.pdf</v>
      </c>
    </row>
    <row r="5924" spans="1:28" x14ac:dyDescent="0.25">
      <c r="A5924" t="s">
        <v>5928</v>
      </c>
      <c r="B5924">
        <v>0.99352677808782597</v>
      </c>
      <c r="C5924">
        <v>0.91221153304751101</v>
      </c>
      <c r="D5924">
        <v>0.76719712383939098</v>
      </c>
      <c r="E5924">
        <v>0.47803572321960203</v>
      </c>
      <c r="F5924">
        <v>0.42149651532271998</v>
      </c>
      <c r="G5924">
        <v>0.30854152733329498</v>
      </c>
      <c r="H5924">
        <v>0.23680312672075499</v>
      </c>
      <c r="I5924">
        <v>0.25160534852166699</v>
      </c>
      <c r="J5924">
        <v>0.22200722053493399</v>
      </c>
      <c r="K5924">
        <v>0.163537592707443</v>
      </c>
      <c r="L5924">
        <v>705.77979321082296</v>
      </c>
      <c r="M5924">
        <v>14.493518614817701</v>
      </c>
      <c r="N5924">
        <v>50.4872005082862</v>
      </c>
      <c r="O5924">
        <v>47.797364243217601</v>
      </c>
      <c r="P5924">
        <v>-6.0577496884458001E-2</v>
      </c>
      <c r="Q5924">
        <v>0.20099194100082299</v>
      </c>
      <c r="R5924">
        <v>0.99097875763337695</v>
      </c>
      <c r="S5924" t="s">
        <v>12209</v>
      </c>
      <c r="T5924" t="s">
        <v>12568</v>
      </c>
      <c r="U5924" t="s">
        <v>12568</v>
      </c>
      <c r="V5924" t="s">
        <v>12568</v>
      </c>
      <c r="W5924" t="s">
        <v>18439</v>
      </c>
      <c r="X5924">
        <v>5</v>
      </c>
      <c r="Y5924" t="s">
        <v>24520</v>
      </c>
      <c r="Z5924" t="s">
        <v>30794</v>
      </c>
      <c r="AA5924">
        <v>0.45390022254765972</v>
      </c>
      <c r="AB5924" t="str">
        <f>HYPERLINK("Melting_Curves/meltCurve_Q9UKI8_TLK1.pdf", "Melting_Curves/meltCurve_Q9UKI8_TLK1.pdf")</f>
        <v>Melting_Curves/meltCurve_Q9UKI8_TLK1.pdf</v>
      </c>
    </row>
    <row r="5925" spans="1:28" x14ac:dyDescent="0.25">
      <c r="A5925" t="s">
        <v>5929</v>
      </c>
      <c r="B5925">
        <v>0.99352677808782597</v>
      </c>
      <c r="C5925">
        <v>1.04251889057417</v>
      </c>
      <c r="D5925">
        <v>1.07120104352715</v>
      </c>
      <c r="E5925">
        <v>1.0174002501806101</v>
      </c>
      <c r="F5925">
        <v>0.87896944265941701</v>
      </c>
      <c r="G5925">
        <v>0.80564977827186202</v>
      </c>
      <c r="H5925">
        <v>0.71928060449826703</v>
      </c>
      <c r="I5925">
        <v>0.70321391309173698</v>
      </c>
      <c r="J5925">
        <v>0.79265281857178704</v>
      </c>
      <c r="K5925">
        <v>0.70109026199309699</v>
      </c>
      <c r="L5925">
        <v>1679.3128662593999</v>
      </c>
      <c r="M5925">
        <v>31.050822876651001</v>
      </c>
      <c r="O5925">
        <v>53.859883028955998</v>
      </c>
      <c r="P5925">
        <v>-3.8781258409571598E-2</v>
      </c>
      <c r="Q5925">
        <v>0.73092601673443602</v>
      </c>
      <c r="R5925">
        <v>0.91859566084865196</v>
      </c>
      <c r="S5925" t="s">
        <v>12210</v>
      </c>
      <c r="T5925" t="s">
        <v>12568</v>
      </c>
      <c r="U5925" t="s">
        <v>12568</v>
      </c>
      <c r="V5925" t="s">
        <v>12568</v>
      </c>
      <c r="W5925" t="s">
        <v>18440</v>
      </c>
      <c r="X5925">
        <v>21</v>
      </c>
      <c r="Y5925" t="s">
        <v>24521</v>
      </c>
      <c r="Z5925" t="s">
        <v>30795</v>
      </c>
      <c r="AA5925">
        <v>0.85889101745135932</v>
      </c>
      <c r="AB5925" t="str">
        <f>HYPERLINK("Melting_Curves/meltCurve_Q9UKJ3_GPATCH8.pdf", "Melting_Curves/meltCurve_Q9UKJ3_GPATCH8.pdf")</f>
        <v>Melting_Curves/meltCurve_Q9UKJ3_GPATCH8.pdf</v>
      </c>
    </row>
    <row r="5926" spans="1:28" x14ac:dyDescent="0.25">
      <c r="A5926" t="s">
        <v>5930</v>
      </c>
      <c r="B5926">
        <v>0.99352677808782597</v>
      </c>
      <c r="C5926">
        <v>0.92387486754984105</v>
      </c>
      <c r="D5926">
        <v>0.79525661492035904</v>
      </c>
      <c r="E5926">
        <v>0.58652874129949595</v>
      </c>
      <c r="F5926">
        <v>0.45251612386992701</v>
      </c>
      <c r="G5926">
        <v>0.40862190438909501</v>
      </c>
      <c r="H5926">
        <v>0.23384423150106001</v>
      </c>
      <c r="I5926">
        <v>0.22375219202744301</v>
      </c>
      <c r="J5926">
        <v>0.16500290612196</v>
      </c>
      <c r="K5926">
        <v>0.11840149093803599</v>
      </c>
      <c r="L5926">
        <v>525.45707245082201</v>
      </c>
      <c r="M5926">
        <v>10.173308161186201</v>
      </c>
      <c r="N5926">
        <v>52.653022792593198</v>
      </c>
      <c r="O5926">
        <v>49.774074961432099</v>
      </c>
      <c r="P5926">
        <v>-4.6619864146345502E-2</v>
      </c>
      <c r="Q5926">
        <v>8.8043254869168905E-2</v>
      </c>
      <c r="R5926">
        <v>0.98887395931012201</v>
      </c>
      <c r="S5926" t="s">
        <v>12211</v>
      </c>
      <c r="T5926" t="s">
        <v>12568</v>
      </c>
      <c r="U5926" t="s">
        <v>12568</v>
      </c>
      <c r="V5926" t="s">
        <v>12568</v>
      </c>
      <c r="W5926" t="s">
        <v>18441</v>
      </c>
      <c r="X5926">
        <v>4</v>
      </c>
      <c r="Y5926" t="s">
        <v>24522</v>
      </c>
      <c r="Z5926" t="s">
        <v>30796</v>
      </c>
      <c r="AA5926">
        <v>0.47729159611983152</v>
      </c>
      <c r="AB5926" t="str">
        <f>HYPERLINK("Melting_Curves/meltCurve_Q9UKK3_PARP4.pdf", "Melting_Curves/meltCurve_Q9UKK3_PARP4.pdf")</f>
        <v>Melting_Curves/meltCurve_Q9UKK3_PARP4.pdf</v>
      </c>
    </row>
    <row r="5927" spans="1:28" x14ac:dyDescent="0.25">
      <c r="A5927" t="s">
        <v>5931</v>
      </c>
      <c r="B5927">
        <v>0.99352677808782597</v>
      </c>
      <c r="C5927">
        <v>0.95364397800157896</v>
      </c>
      <c r="D5927">
        <v>0.85384154920317001</v>
      </c>
      <c r="E5927">
        <v>0.40290765429791298</v>
      </c>
      <c r="F5927">
        <v>0.30219206993229802</v>
      </c>
      <c r="G5927">
        <v>0.20648797041676201</v>
      </c>
      <c r="H5927">
        <v>0.15167144499150201</v>
      </c>
      <c r="I5927">
        <v>0.12979248597287299</v>
      </c>
      <c r="J5927">
        <v>0.12645555702826899</v>
      </c>
      <c r="K5927">
        <v>9.2171544718506304E-2</v>
      </c>
      <c r="L5927">
        <v>1064.7496118087699</v>
      </c>
      <c r="M5927">
        <v>21.815502906236699</v>
      </c>
      <c r="N5927">
        <v>49.4992116561966</v>
      </c>
      <c r="O5927">
        <v>48.402465747825197</v>
      </c>
      <c r="P5927">
        <v>-9.7866994104059593E-2</v>
      </c>
      <c r="Q5927">
        <v>0.131462866173019</v>
      </c>
      <c r="R5927">
        <v>0.99265584484505298</v>
      </c>
      <c r="S5927" t="s">
        <v>12212</v>
      </c>
      <c r="T5927" t="s">
        <v>12568</v>
      </c>
      <c r="U5927" t="s">
        <v>12568</v>
      </c>
      <c r="V5927" t="s">
        <v>12568</v>
      </c>
      <c r="W5927" t="s">
        <v>18442</v>
      </c>
      <c r="X5927">
        <v>1</v>
      </c>
      <c r="Y5927" t="s">
        <v>24523</v>
      </c>
      <c r="Z5927" t="s">
        <v>30797</v>
      </c>
      <c r="AA5927">
        <v>0.39663042673332788</v>
      </c>
      <c r="AB5927" t="str">
        <f>HYPERLINK("Melting_Curves/meltCurve_Q9UKK6_NXT1.pdf", "Melting_Curves/meltCurve_Q9UKK6_NXT1.pdf")</f>
        <v>Melting_Curves/meltCurve_Q9UKK6_NXT1.pdf</v>
      </c>
    </row>
    <row r="5928" spans="1:28" x14ac:dyDescent="0.25">
      <c r="A5928" t="s">
        <v>5932</v>
      </c>
      <c r="B5928">
        <v>0.99352677808782597</v>
      </c>
      <c r="C5928">
        <v>0.96808264996560101</v>
      </c>
      <c r="D5928">
        <v>0.95931109484299604</v>
      </c>
      <c r="E5928">
        <v>0.98216216360704001</v>
      </c>
      <c r="F5928">
        <v>0.91552932296687395</v>
      </c>
      <c r="G5928">
        <v>0.84661547742072396</v>
      </c>
      <c r="H5928">
        <v>0.85854987473375699</v>
      </c>
      <c r="I5928">
        <v>0.98339291638906301</v>
      </c>
      <c r="J5928">
        <v>1.1344266673382399</v>
      </c>
      <c r="K5928">
        <v>0.87722576839480004</v>
      </c>
      <c r="L5928">
        <v>863.86679294486396</v>
      </c>
      <c r="M5928">
        <v>19.864739828095999</v>
      </c>
      <c r="O5928">
        <v>43.053934361676298</v>
      </c>
      <c r="P5928">
        <v>-6.7532207348831802E-3</v>
      </c>
      <c r="Q5928">
        <v>0.94145546284940296</v>
      </c>
      <c r="R5928">
        <v>4.2486952827985598E-2</v>
      </c>
      <c r="S5928" t="s">
        <v>12213</v>
      </c>
      <c r="T5928" t="s">
        <v>12568</v>
      </c>
      <c r="U5928" t="s">
        <v>12568</v>
      </c>
      <c r="V5928" t="s">
        <v>12568</v>
      </c>
      <c r="W5928" t="s">
        <v>18443</v>
      </c>
      <c r="X5928">
        <v>13</v>
      </c>
      <c r="Y5928" t="s">
        <v>19045</v>
      </c>
      <c r="Z5928" t="s">
        <v>30798</v>
      </c>
      <c r="AA5928">
        <v>0.94952736908812208</v>
      </c>
      <c r="AB5928" t="str">
        <f>HYPERLINK("Melting_Curves/meltCurve_Q9UKK9_NUDT5.pdf", "Melting_Curves/meltCurve_Q9UKK9_NUDT5.pdf")</f>
        <v>Melting_Curves/meltCurve_Q9UKK9_NUDT5.pdf</v>
      </c>
    </row>
    <row r="5929" spans="1:28" x14ac:dyDescent="0.25">
      <c r="A5929" t="s">
        <v>5933</v>
      </c>
      <c r="B5929">
        <v>0.99352677808782597</v>
      </c>
      <c r="C5929">
        <v>0.86513531985108305</v>
      </c>
      <c r="D5929">
        <v>0.91773306096084095</v>
      </c>
      <c r="E5929">
        <v>1.01931667970133</v>
      </c>
      <c r="F5929">
        <v>1.0194066680720799</v>
      </c>
      <c r="G5929">
        <v>0.99464816143398505</v>
      </c>
      <c r="H5929">
        <v>1.3788561091822999</v>
      </c>
      <c r="I5929">
        <v>1.63313404011671</v>
      </c>
      <c r="J5929">
        <v>1.4555242075110499</v>
      </c>
      <c r="K5929">
        <v>1.40518091045436</v>
      </c>
      <c r="L5929">
        <v>15000</v>
      </c>
      <c r="M5929">
        <v>247.05894112708299</v>
      </c>
      <c r="O5929">
        <v>60.710291407148297</v>
      </c>
      <c r="P5929">
        <v>0.50659484052660197</v>
      </c>
      <c r="Q5929">
        <v>1.49794617718949</v>
      </c>
      <c r="R5929">
        <v>0.91733450767295899</v>
      </c>
      <c r="S5929" t="s">
        <v>12214</v>
      </c>
      <c r="T5929" t="s">
        <v>12568</v>
      </c>
      <c r="U5929" t="s">
        <v>12568</v>
      </c>
      <c r="V5929" t="s">
        <v>12568</v>
      </c>
      <c r="W5929" t="s">
        <v>18444</v>
      </c>
      <c r="X5929">
        <v>3</v>
      </c>
      <c r="Y5929" t="s">
        <v>24524</v>
      </c>
      <c r="Z5929" t="s">
        <v>30799</v>
      </c>
      <c r="AA5929">
        <v>1.154072348903932</v>
      </c>
      <c r="AB5929" t="str">
        <f>HYPERLINK("Melting_Curves/meltCurve_Q9UKL3_CASP8AP2.pdf", "Melting_Curves/meltCurve_Q9UKL3_CASP8AP2.pdf")</f>
        <v>Melting_Curves/meltCurve_Q9UKL3_CASP8AP2.pdf</v>
      </c>
    </row>
    <row r="5930" spans="1:28" x14ac:dyDescent="0.25">
      <c r="A5930" t="s">
        <v>5934</v>
      </c>
      <c r="B5930">
        <v>0.99352677808782597</v>
      </c>
      <c r="C5930">
        <v>0.89624038036118303</v>
      </c>
      <c r="D5930">
        <v>0.92645599340082696</v>
      </c>
      <c r="E5930">
        <v>0.85999061550719202</v>
      </c>
      <c r="F5930">
        <v>0.79439227332200102</v>
      </c>
      <c r="G5930">
        <v>0.76453679286925802</v>
      </c>
      <c r="H5930">
        <v>0.447632155186795</v>
      </c>
      <c r="I5930">
        <v>0.242433608376737</v>
      </c>
      <c r="J5930">
        <v>0.13237256730684599</v>
      </c>
      <c r="K5930">
        <v>8.6884618990594201E-2</v>
      </c>
      <c r="L5930">
        <v>863.33634533083</v>
      </c>
      <c r="M5930">
        <v>14.457853829466501</v>
      </c>
      <c r="N5930">
        <v>59.714004486261501</v>
      </c>
      <c r="O5930">
        <v>58.606492660578397</v>
      </c>
      <c r="P5930">
        <v>-6.1680651258846801E-2</v>
      </c>
      <c r="Q5930">
        <v>0</v>
      </c>
      <c r="R5930">
        <v>0.96533509030486597</v>
      </c>
      <c r="S5930" t="s">
        <v>12215</v>
      </c>
      <c r="T5930" t="s">
        <v>12568</v>
      </c>
      <c r="U5930" t="s">
        <v>12568</v>
      </c>
      <c r="V5930" t="s">
        <v>12568</v>
      </c>
      <c r="W5930" t="s">
        <v>18445</v>
      </c>
      <c r="X5930">
        <v>7</v>
      </c>
      <c r="Y5930" t="s">
        <v>24525</v>
      </c>
      <c r="Z5930" t="s">
        <v>30800</v>
      </c>
      <c r="AA5930">
        <v>0.66468666823388556</v>
      </c>
      <c r="AB5930" t="str">
        <f>HYPERLINK("Melting_Curves/meltCurve_Q9UKL6_PCTP.pdf", "Melting_Curves/meltCurve_Q9UKL6_PCTP.pdf")</f>
        <v>Melting_Curves/meltCurve_Q9UKL6_PCTP.pdf</v>
      </c>
    </row>
    <row r="5931" spans="1:28" x14ac:dyDescent="0.25">
      <c r="A5931" t="s">
        <v>5935</v>
      </c>
      <c r="B5931">
        <v>0.99352677808782597</v>
      </c>
      <c r="C5931">
        <v>0.97914926472172104</v>
      </c>
      <c r="D5931">
        <v>0.93968580683351399</v>
      </c>
      <c r="E5931">
        <v>0.52050792300186899</v>
      </c>
      <c r="F5931">
        <v>0.45119890633256698</v>
      </c>
      <c r="G5931">
        <v>0.26449023749950901</v>
      </c>
      <c r="H5931">
        <v>0.20908810154021901</v>
      </c>
      <c r="I5931">
        <v>0.25066654464775501</v>
      </c>
      <c r="J5931">
        <v>0.164668367572496</v>
      </c>
      <c r="K5931">
        <v>0.13358379531588399</v>
      </c>
      <c r="L5931">
        <v>960.89913989376305</v>
      </c>
      <c r="M5931">
        <v>19.164615232046099</v>
      </c>
      <c r="N5931">
        <v>51.350339771978398</v>
      </c>
      <c r="O5931">
        <v>49.602865856361099</v>
      </c>
      <c r="P5931">
        <v>-7.9030943814405896E-2</v>
      </c>
      <c r="Q5931">
        <v>0.18182297681214199</v>
      </c>
      <c r="R5931">
        <v>0.981903209229947</v>
      </c>
      <c r="S5931" t="s">
        <v>12216</v>
      </c>
      <c r="T5931" t="s">
        <v>12568</v>
      </c>
      <c r="U5931" t="s">
        <v>12568</v>
      </c>
      <c r="V5931" t="s">
        <v>12568</v>
      </c>
      <c r="W5931" t="s">
        <v>18446</v>
      </c>
      <c r="X5931">
        <v>10</v>
      </c>
      <c r="Y5931" t="s">
        <v>24526</v>
      </c>
      <c r="Z5931" t="s">
        <v>30801</v>
      </c>
      <c r="AA5931">
        <v>0.47070734557568911</v>
      </c>
      <c r="AB5931" t="str">
        <f>HYPERLINK("Melting_Curves/meltCurve_Q9UKN8_GTF3C4.pdf", "Melting_Curves/meltCurve_Q9UKN8_GTF3C4.pdf")</f>
        <v>Melting_Curves/meltCurve_Q9UKN8_GTF3C4.pdf</v>
      </c>
    </row>
    <row r="5932" spans="1:28" x14ac:dyDescent="0.25">
      <c r="A5932" t="s">
        <v>5936</v>
      </c>
      <c r="B5932">
        <v>0.99352677808782597</v>
      </c>
      <c r="C5932">
        <v>0.78529413157335204</v>
      </c>
      <c r="D5932">
        <v>0.46466473692423998</v>
      </c>
      <c r="E5932">
        <v>0.28914901666552001</v>
      </c>
      <c r="F5932">
        <v>0.22316941540197299</v>
      </c>
      <c r="G5932">
        <v>0.15863625075476001</v>
      </c>
      <c r="H5932">
        <v>0.111619710758004</v>
      </c>
      <c r="I5932">
        <v>9.6876776983925203E-2</v>
      </c>
      <c r="J5932">
        <v>8.3448814909391697E-2</v>
      </c>
      <c r="K5932">
        <v>6.8182351067658395E-2</v>
      </c>
      <c r="L5932">
        <v>786.13200916924995</v>
      </c>
      <c r="M5932">
        <v>17.217440603976002</v>
      </c>
      <c r="N5932">
        <v>46.264693269134398</v>
      </c>
      <c r="O5932">
        <v>45.056459947058997</v>
      </c>
      <c r="P5932">
        <v>-8.5898584081054205E-2</v>
      </c>
      <c r="Q5932">
        <v>0.10089804754939399</v>
      </c>
      <c r="R5932">
        <v>0.98612361442226604</v>
      </c>
      <c r="S5932" t="s">
        <v>12217</v>
      </c>
      <c r="T5932" t="s">
        <v>12568</v>
      </c>
      <c r="U5932" t="s">
        <v>12568</v>
      </c>
      <c r="V5932" t="s">
        <v>12568</v>
      </c>
      <c r="W5932" t="s">
        <v>18447</v>
      </c>
      <c r="X5932">
        <v>4</v>
      </c>
      <c r="Y5932" t="s">
        <v>24527</v>
      </c>
      <c r="Z5932" t="s">
        <v>30802</v>
      </c>
      <c r="AA5932">
        <v>0.2905550198855506</v>
      </c>
      <c r="AB5932" t="str">
        <f>HYPERLINK("Melting_Curves/meltCurve_Q9UKS6_PACSIN3.pdf", "Melting_Curves/meltCurve_Q9UKS6_PACSIN3.pdf")</f>
        <v>Melting_Curves/meltCurve_Q9UKS6_PACSIN3.pdf</v>
      </c>
    </row>
    <row r="5933" spans="1:28" x14ac:dyDescent="0.25">
      <c r="A5933" t="s">
        <v>5937</v>
      </c>
      <c r="B5933">
        <v>0.99352677808782597</v>
      </c>
      <c r="C5933">
        <v>1.00053296503879</v>
      </c>
      <c r="D5933">
        <v>0.87115174306155096</v>
      </c>
      <c r="E5933">
        <v>0.71364365413444597</v>
      </c>
      <c r="F5933">
        <v>0.62991707171600597</v>
      </c>
      <c r="G5933">
        <v>0.465545834237657</v>
      </c>
      <c r="H5933">
        <v>0.30567978006098401</v>
      </c>
      <c r="I5933">
        <v>0.28341810715673699</v>
      </c>
      <c r="J5933">
        <v>0.23406747600352401</v>
      </c>
      <c r="K5933">
        <v>0.152475394763112</v>
      </c>
      <c r="L5933">
        <v>555.96778143131098</v>
      </c>
      <c r="M5933">
        <v>10.1668250672226</v>
      </c>
      <c r="N5933">
        <v>55.8000931620968</v>
      </c>
      <c r="O5933">
        <v>52.695409152281499</v>
      </c>
      <c r="P5933">
        <v>-4.3817959014688601E-2</v>
      </c>
      <c r="Q5933">
        <v>9.1967623869343595E-2</v>
      </c>
      <c r="R5933">
        <v>0.99270666443934696</v>
      </c>
      <c r="S5933" t="s">
        <v>12218</v>
      </c>
      <c r="T5933" t="s">
        <v>12568</v>
      </c>
      <c r="U5933" t="s">
        <v>12568</v>
      </c>
      <c r="V5933" t="s">
        <v>12568</v>
      </c>
      <c r="W5933" t="s">
        <v>18448</v>
      </c>
      <c r="X5933">
        <v>2</v>
      </c>
      <c r="Y5933" t="s">
        <v>24528</v>
      </c>
      <c r="Z5933" t="s">
        <v>30803</v>
      </c>
      <c r="AA5933">
        <v>0.56100337789476584</v>
      </c>
      <c r="AB5933" t="str">
        <f>HYPERLINK("Melting_Curves/meltCurve_Q9UKT4_2_FBXO5.pdf", "Melting_Curves/meltCurve_Q9UKT4_2_FBXO5.pdf")</f>
        <v>Melting_Curves/meltCurve_Q9UKT4_2_FBXO5.pdf</v>
      </c>
    </row>
    <row r="5934" spans="1:28" x14ac:dyDescent="0.25">
      <c r="A5934" t="s">
        <v>5938</v>
      </c>
      <c r="B5934">
        <v>0.99352677808782597</v>
      </c>
      <c r="C5934">
        <v>0.96952462173407306</v>
      </c>
      <c r="D5934">
        <v>0.92125551848046905</v>
      </c>
      <c r="E5934">
        <v>0.47641757017363601</v>
      </c>
      <c r="F5934">
        <v>0.38626761343727301</v>
      </c>
      <c r="G5934">
        <v>0.20636212278130101</v>
      </c>
      <c r="H5934">
        <v>0.171505400607606</v>
      </c>
      <c r="I5934">
        <v>0.15696690728474799</v>
      </c>
      <c r="J5934">
        <v>0.159691084838986</v>
      </c>
      <c r="K5934">
        <v>0.127327461099801</v>
      </c>
      <c r="L5934">
        <v>1066.7228069519699</v>
      </c>
      <c r="M5934">
        <v>21.489271914028301</v>
      </c>
      <c r="N5934">
        <v>50.498212666229001</v>
      </c>
      <c r="O5934">
        <v>49.2159294662492</v>
      </c>
      <c r="P5934">
        <v>-9.2458927757266093E-2</v>
      </c>
      <c r="Q5934">
        <v>0.153002684113038</v>
      </c>
      <c r="R5934">
        <v>0.99025721135673195</v>
      </c>
      <c r="S5934" t="s">
        <v>12219</v>
      </c>
      <c r="T5934" t="s">
        <v>12568</v>
      </c>
      <c r="U5934" t="s">
        <v>12568</v>
      </c>
      <c r="V5934" t="s">
        <v>12568</v>
      </c>
      <c r="W5934" t="s">
        <v>18449</v>
      </c>
      <c r="X5934">
        <v>3</v>
      </c>
      <c r="Y5934" t="s">
        <v>24529</v>
      </c>
      <c r="Z5934" t="s">
        <v>30804</v>
      </c>
      <c r="AA5934">
        <v>0.43540148629273279</v>
      </c>
      <c r="AB5934" t="str">
        <f>HYPERLINK("Melting_Curves/meltCurve_Q9UKT5_FBXO4.pdf", "Melting_Curves/meltCurve_Q9UKT5_FBXO4.pdf")</f>
        <v>Melting_Curves/meltCurve_Q9UKT5_FBXO4.pdf</v>
      </c>
    </row>
    <row r="5935" spans="1:28" x14ac:dyDescent="0.25">
      <c r="A5935" t="s">
        <v>5939</v>
      </c>
      <c r="B5935">
        <v>0.99352677808782597</v>
      </c>
      <c r="C5935">
        <v>0.95763576028789699</v>
      </c>
      <c r="D5935">
        <v>0.83462115331933495</v>
      </c>
      <c r="E5935">
        <v>0.56110221909906499</v>
      </c>
      <c r="F5935">
        <v>0.55662627414274701</v>
      </c>
      <c r="G5935">
        <v>0.30981330838196702</v>
      </c>
      <c r="H5935">
        <v>0.26535471408363998</v>
      </c>
      <c r="I5935">
        <v>0.27851155453989901</v>
      </c>
      <c r="J5935">
        <v>0.123808631368167</v>
      </c>
      <c r="K5935">
        <v>9.1420969877840597E-2</v>
      </c>
      <c r="L5935">
        <v>549.60291826756998</v>
      </c>
      <c r="M5935">
        <v>10.5194130137474</v>
      </c>
      <c r="N5935">
        <v>53.068135621842004</v>
      </c>
      <c r="O5935">
        <v>50.464402366412401</v>
      </c>
      <c r="P5935">
        <v>-4.82163113657482E-2</v>
      </c>
      <c r="Q5935">
        <v>7.5145249730803498E-2</v>
      </c>
      <c r="R5935">
        <v>0.97535207984898797</v>
      </c>
      <c r="S5935" t="s">
        <v>12220</v>
      </c>
      <c r="T5935" t="s">
        <v>12568</v>
      </c>
      <c r="U5935" t="s">
        <v>12568</v>
      </c>
      <c r="V5935" t="s">
        <v>12568</v>
      </c>
      <c r="W5935" t="s">
        <v>18450</v>
      </c>
      <c r="X5935">
        <v>5</v>
      </c>
      <c r="Y5935" t="s">
        <v>24530</v>
      </c>
      <c r="Z5935" t="s">
        <v>30805</v>
      </c>
      <c r="AA5935">
        <v>0.48515500786686688</v>
      </c>
      <c r="AB5935" t="str">
        <f>HYPERLINK("Melting_Curves/meltCurve_Q9UKU7_ACAD8.pdf", "Melting_Curves/meltCurve_Q9UKU7_ACAD8.pdf")</f>
        <v>Melting_Curves/meltCurve_Q9UKU7_ACAD8.pdf</v>
      </c>
    </row>
    <row r="5936" spans="1:28" x14ac:dyDescent="0.25">
      <c r="A5936" t="s">
        <v>5940</v>
      </c>
      <c r="B5936">
        <v>0.99352677808782597</v>
      </c>
      <c r="C5936">
        <v>0.98408913132128495</v>
      </c>
      <c r="D5936">
        <v>0.93619734366334195</v>
      </c>
      <c r="E5936">
        <v>1.07811504909387</v>
      </c>
      <c r="F5936">
        <v>0.93850994756984996</v>
      </c>
      <c r="G5936">
        <v>0.80204133205544204</v>
      </c>
      <c r="H5936">
        <v>0.88889920915697695</v>
      </c>
      <c r="I5936">
        <v>0.84096406327108197</v>
      </c>
      <c r="J5936">
        <v>0.90450395001628403</v>
      </c>
      <c r="K5936">
        <v>0.247447059131332</v>
      </c>
      <c r="L5936">
        <v>5011.86713622962</v>
      </c>
      <c r="M5936">
        <v>72.692374722976894</v>
      </c>
      <c r="N5936">
        <v>68.946255366637999</v>
      </c>
      <c r="O5936">
        <v>68.894132067149897</v>
      </c>
      <c r="P5936">
        <v>-0.26378294709035</v>
      </c>
      <c r="Q5936">
        <v>0</v>
      </c>
      <c r="R5936">
        <v>0.81015306469484705</v>
      </c>
      <c r="S5936" t="s">
        <v>12221</v>
      </c>
      <c r="T5936" t="s">
        <v>12568</v>
      </c>
      <c r="U5936" t="s">
        <v>12568</v>
      </c>
      <c r="V5936" t="s">
        <v>12568</v>
      </c>
      <c r="W5936" t="s">
        <v>18451</v>
      </c>
      <c r="X5936">
        <v>15</v>
      </c>
      <c r="Y5936" t="s">
        <v>24531</v>
      </c>
      <c r="Z5936" t="s">
        <v>30806</v>
      </c>
      <c r="AA5936">
        <v>0.95660355321690227</v>
      </c>
      <c r="AB5936" t="str">
        <f>HYPERLINK("Melting_Curves/meltCurve_Q9UKV8_AGO2.pdf", "Melting_Curves/meltCurve_Q9UKV8_AGO2.pdf")</f>
        <v>Melting_Curves/meltCurve_Q9UKV8_AGO2.pdf</v>
      </c>
    </row>
    <row r="5937" spans="1:28" x14ac:dyDescent="0.25">
      <c r="A5937" t="s">
        <v>5941</v>
      </c>
      <c r="B5937">
        <v>0.99352677808782597</v>
      </c>
      <c r="C5937">
        <v>1.00802216157922</v>
      </c>
      <c r="D5937">
        <v>0.84896215609577796</v>
      </c>
      <c r="E5937">
        <v>1.1491226122001399</v>
      </c>
      <c r="F5937">
        <v>0.99012586529810198</v>
      </c>
      <c r="G5937">
        <v>0.79614177445644996</v>
      </c>
      <c r="H5937">
        <v>0.55273824876281996</v>
      </c>
      <c r="I5937">
        <v>0.45758654177243002</v>
      </c>
      <c r="J5937">
        <v>0.40028946573065</v>
      </c>
      <c r="K5937">
        <v>0.31886919588681001</v>
      </c>
      <c r="L5937">
        <v>1467.54207924917</v>
      </c>
      <c r="M5937">
        <v>24.768756701768201</v>
      </c>
      <c r="N5937">
        <v>62.133600546976098</v>
      </c>
      <c r="O5937">
        <v>58.8675418042342</v>
      </c>
      <c r="P5937">
        <v>-6.9254825907843806E-2</v>
      </c>
      <c r="Q5937">
        <v>0.34162123671556199</v>
      </c>
      <c r="R5937">
        <v>0.935513473666719</v>
      </c>
      <c r="S5937" t="s">
        <v>12222</v>
      </c>
      <c r="T5937" t="s">
        <v>12568</v>
      </c>
      <c r="U5937" t="s">
        <v>12568</v>
      </c>
      <c r="V5937" t="s">
        <v>12568</v>
      </c>
      <c r="W5937" t="s">
        <v>18452</v>
      </c>
      <c r="X5937">
        <v>13</v>
      </c>
      <c r="Y5937" t="s">
        <v>24532</v>
      </c>
      <c r="Z5937" t="s">
        <v>30807</v>
      </c>
      <c r="AA5937">
        <v>0.76941605205366581</v>
      </c>
      <c r="AB5937" t="str">
        <f>HYPERLINK("Melting_Curves/meltCurve_Q9UKX7_NUP50.pdf", "Melting_Curves/meltCurve_Q9UKX7_NUP50.pdf")</f>
        <v>Melting_Curves/meltCurve_Q9UKX7_NUP50.pdf</v>
      </c>
    </row>
    <row r="5938" spans="1:28" x14ac:dyDescent="0.25">
      <c r="A5938" t="s">
        <v>5942</v>
      </c>
      <c r="B5938">
        <v>0.99352677808782597</v>
      </c>
      <c r="C5938">
        <v>0.97914889549976403</v>
      </c>
      <c r="D5938">
        <v>1.0522509100642401</v>
      </c>
      <c r="E5938">
        <v>0.98700523425156905</v>
      </c>
      <c r="F5938">
        <v>0.90003649995028501</v>
      </c>
      <c r="G5938">
        <v>0.907942821836351</v>
      </c>
      <c r="H5938">
        <v>0.75197811128591296</v>
      </c>
      <c r="I5938">
        <v>0.85522671349153201</v>
      </c>
      <c r="J5938">
        <v>0.94202571171934502</v>
      </c>
      <c r="K5938">
        <v>0.81961931345106398</v>
      </c>
      <c r="L5938">
        <v>1969.59983868257</v>
      </c>
      <c r="M5938">
        <v>37.553869382843502</v>
      </c>
      <c r="O5938">
        <v>52.299265354480603</v>
      </c>
      <c r="P5938">
        <v>-2.6524747789520201E-2</v>
      </c>
      <c r="Q5938">
        <v>0.85224200561820596</v>
      </c>
      <c r="R5938">
        <v>0.66156882782504101</v>
      </c>
      <c r="S5938" t="s">
        <v>12223</v>
      </c>
      <c r="T5938" t="s">
        <v>12568</v>
      </c>
      <c r="U5938" t="s">
        <v>12568</v>
      </c>
      <c r="V5938" t="s">
        <v>12568</v>
      </c>
      <c r="W5938" t="s">
        <v>18453</v>
      </c>
      <c r="X5938">
        <v>11</v>
      </c>
      <c r="Y5938" t="s">
        <v>24533</v>
      </c>
      <c r="Z5938" t="s">
        <v>30808</v>
      </c>
      <c r="AA5938">
        <v>0.91415596443225433</v>
      </c>
      <c r="AB5938" t="str">
        <f>HYPERLINK("Melting_Curves/meltCurve_Q9UKY7_CDV3.pdf", "Melting_Curves/meltCurve_Q9UKY7_CDV3.pdf")</f>
        <v>Melting_Curves/meltCurve_Q9UKY7_CDV3.pdf</v>
      </c>
    </row>
    <row r="5939" spans="1:28" x14ac:dyDescent="0.25">
      <c r="A5939" t="s">
        <v>5943</v>
      </c>
      <c r="B5939">
        <v>0.99352677808782597</v>
      </c>
      <c r="C5939">
        <v>0.89501166037634405</v>
      </c>
      <c r="D5939">
        <v>0.84482828614627303</v>
      </c>
      <c r="E5939">
        <v>0.36431786277515399</v>
      </c>
      <c r="F5939">
        <v>0.29615816292670999</v>
      </c>
      <c r="G5939">
        <v>0.14084198762952699</v>
      </c>
      <c r="H5939">
        <v>7.67416076962852E-2</v>
      </c>
      <c r="I5939">
        <v>5.8974968360881598E-2</v>
      </c>
      <c r="J5939">
        <v>5.2542652321877201E-2</v>
      </c>
      <c r="K5939">
        <v>3.9274179517211502E-2</v>
      </c>
      <c r="L5939">
        <v>896.527309538125</v>
      </c>
      <c r="M5939">
        <v>18.2893713022439</v>
      </c>
      <c r="N5939">
        <v>49.313594250259001</v>
      </c>
      <c r="O5939">
        <v>48.444285269129097</v>
      </c>
      <c r="P5939">
        <v>-8.9503798582210997E-2</v>
      </c>
      <c r="Q5939">
        <v>5.1745171757588297E-2</v>
      </c>
      <c r="R5939">
        <v>0.98853396749154798</v>
      </c>
      <c r="S5939" t="s">
        <v>12224</v>
      </c>
      <c r="T5939" t="s">
        <v>12568</v>
      </c>
      <c r="U5939" t="s">
        <v>12568</v>
      </c>
      <c r="V5939" t="s">
        <v>12568</v>
      </c>
      <c r="W5939" t="s">
        <v>18454</v>
      </c>
      <c r="X5939">
        <v>3</v>
      </c>
      <c r="Y5939" t="s">
        <v>24534</v>
      </c>
      <c r="Z5939" t="s">
        <v>30809</v>
      </c>
      <c r="AA5939">
        <v>0.35272756040446401</v>
      </c>
      <c r="AB5939" t="str">
        <f>HYPERLINK("Melting_Curves/meltCurve_Q9UKZ1_CNOT11.pdf", "Melting_Curves/meltCurve_Q9UKZ1_CNOT11.pdf")</f>
        <v>Melting_Curves/meltCurve_Q9UKZ1_CNOT11.pdf</v>
      </c>
    </row>
    <row r="5940" spans="1:28" x14ac:dyDescent="0.25">
      <c r="A5940" t="s">
        <v>5944</v>
      </c>
      <c r="B5940">
        <v>0.99352677808782597</v>
      </c>
      <c r="C5940">
        <v>0.94672623274537904</v>
      </c>
      <c r="D5940">
        <v>0.99348556579453295</v>
      </c>
      <c r="E5940">
        <v>0.63903539661919995</v>
      </c>
      <c r="F5940">
        <v>0.55711928651446696</v>
      </c>
      <c r="G5940">
        <v>0.198462503426585</v>
      </c>
      <c r="H5940">
        <v>0.113703081604381</v>
      </c>
      <c r="I5940">
        <v>0.107309034692087</v>
      </c>
      <c r="J5940">
        <v>7.9003122241742899E-2</v>
      </c>
      <c r="K5940">
        <v>6.3267819184534696E-2</v>
      </c>
      <c r="L5940">
        <v>927.201716717556</v>
      </c>
      <c r="M5940">
        <v>17.6854692889838</v>
      </c>
      <c r="N5940">
        <v>52.763907855559502</v>
      </c>
      <c r="O5940">
        <v>51.770788460120897</v>
      </c>
      <c r="P5940">
        <v>-8.0851321082507199E-2</v>
      </c>
      <c r="Q5940">
        <v>5.3343686269756302E-2</v>
      </c>
      <c r="R5940">
        <v>0.98649060496364205</v>
      </c>
      <c r="S5940" t="s">
        <v>12225</v>
      </c>
      <c r="T5940" t="s">
        <v>12568</v>
      </c>
      <c r="U5940" t="s">
        <v>12568</v>
      </c>
      <c r="V5940" t="s">
        <v>12568</v>
      </c>
      <c r="W5940" t="s">
        <v>18455</v>
      </c>
      <c r="X5940">
        <v>11</v>
      </c>
      <c r="Y5940" t="s">
        <v>24535</v>
      </c>
      <c r="Z5940" t="s">
        <v>30810</v>
      </c>
      <c r="AA5940">
        <v>0.46160807218436151</v>
      </c>
      <c r="AB5940" t="str">
        <f>HYPERLINK("Melting_Curves/meltCurve_Q9UL15_BAG5.pdf", "Melting_Curves/meltCurve_Q9UL15_BAG5.pdf")</f>
        <v>Melting_Curves/meltCurve_Q9UL15_BAG5.pdf</v>
      </c>
    </row>
    <row r="5941" spans="1:28" x14ac:dyDescent="0.25">
      <c r="A5941" t="s">
        <v>5945</v>
      </c>
      <c r="B5941">
        <v>0.99352677808782597</v>
      </c>
      <c r="C5941">
        <v>1.0072502164821</v>
      </c>
      <c r="D5941">
        <v>1.00312915443452</v>
      </c>
      <c r="E5941">
        <v>0.93908737259782804</v>
      </c>
      <c r="F5941">
        <v>0.85145769212803302</v>
      </c>
      <c r="G5941">
        <v>0.73291975317109803</v>
      </c>
      <c r="H5941">
        <v>0.43329272288299298</v>
      </c>
      <c r="I5941">
        <v>0.24490995885814601</v>
      </c>
      <c r="J5941">
        <v>0.12601259559788999</v>
      </c>
      <c r="K5941">
        <v>9.6674085916029995E-2</v>
      </c>
      <c r="L5941">
        <v>986.20951908223606</v>
      </c>
      <c r="M5941">
        <v>16.466176250489301</v>
      </c>
      <c r="N5941">
        <v>59.893050198744099</v>
      </c>
      <c r="O5941">
        <v>59.030586444495</v>
      </c>
      <c r="P5941">
        <v>-6.9740664955597303E-2</v>
      </c>
      <c r="Q5941">
        <v>0</v>
      </c>
      <c r="R5941">
        <v>0.99629626276678396</v>
      </c>
      <c r="S5941" t="s">
        <v>12226</v>
      </c>
      <c r="T5941" t="s">
        <v>12568</v>
      </c>
      <c r="U5941" t="s">
        <v>12568</v>
      </c>
      <c r="V5941" t="s">
        <v>12568</v>
      </c>
      <c r="W5941" t="s">
        <v>18456</v>
      </c>
      <c r="X5941">
        <v>9</v>
      </c>
      <c r="Y5941" t="s">
        <v>24536</v>
      </c>
      <c r="Z5941" t="s">
        <v>30811</v>
      </c>
      <c r="AA5941">
        <v>0.67125339814395579</v>
      </c>
      <c r="AB5941" t="str">
        <f>HYPERLINK("Melting_Curves/meltCurve_Q9UL25_RAB21.pdf", "Melting_Curves/meltCurve_Q9UL25_RAB21.pdf")</f>
        <v>Melting_Curves/meltCurve_Q9UL25_RAB21.pdf</v>
      </c>
    </row>
    <row r="5942" spans="1:28" x14ac:dyDescent="0.25">
      <c r="A5942" t="s">
        <v>5946</v>
      </c>
      <c r="B5942">
        <v>0.99352677808782597</v>
      </c>
      <c r="C5942">
        <v>0.97585921996549096</v>
      </c>
      <c r="D5942">
        <v>0.92214822539541896</v>
      </c>
      <c r="E5942">
        <v>0.771384024249405</v>
      </c>
      <c r="F5942">
        <v>0.67552098126012505</v>
      </c>
      <c r="G5942">
        <v>0.44187940522871599</v>
      </c>
      <c r="H5942">
        <v>0.24697493909559401</v>
      </c>
      <c r="I5942">
        <v>0.18459020740217999</v>
      </c>
      <c r="J5942">
        <v>0.18583284372898801</v>
      </c>
      <c r="K5942">
        <v>0.142658679665987</v>
      </c>
      <c r="L5942">
        <v>720.11704513090694</v>
      </c>
      <c r="M5942">
        <v>13.1384234215431</v>
      </c>
      <c r="N5942">
        <v>55.603759800895801</v>
      </c>
      <c r="O5942">
        <v>53.586904730952597</v>
      </c>
      <c r="P5942">
        <v>-5.6063278796355497E-2</v>
      </c>
      <c r="Q5942">
        <v>8.5507531810394694E-2</v>
      </c>
      <c r="R5942">
        <v>0.99649533075629804</v>
      </c>
      <c r="S5942" t="s">
        <v>12227</v>
      </c>
      <c r="T5942" t="s">
        <v>12568</v>
      </c>
      <c r="U5942" t="s">
        <v>12568</v>
      </c>
      <c r="V5942" t="s">
        <v>12568</v>
      </c>
      <c r="W5942" t="s">
        <v>18457</v>
      </c>
      <c r="X5942">
        <v>5</v>
      </c>
      <c r="Y5942" t="s">
        <v>24537</v>
      </c>
      <c r="Z5942" t="s">
        <v>30812</v>
      </c>
      <c r="AA5942">
        <v>0.55734134926197709</v>
      </c>
      <c r="AB5942" t="str">
        <f>HYPERLINK("Melting_Curves/meltCurve_Q9UL26_RAB22A.pdf", "Melting_Curves/meltCurve_Q9UL26_RAB22A.pdf")</f>
        <v>Melting_Curves/meltCurve_Q9UL26_RAB22A.pdf</v>
      </c>
    </row>
    <row r="5943" spans="1:28" x14ac:dyDescent="0.25">
      <c r="A5943" t="s">
        <v>5947</v>
      </c>
      <c r="B5943">
        <v>0.99352677808782597</v>
      </c>
      <c r="C5943">
        <v>0.83424422077151705</v>
      </c>
      <c r="D5943">
        <v>0.93317567139214996</v>
      </c>
      <c r="E5943">
        <v>1.0353179212638599</v>
      </c>
      <c r="F5943">
        <v>1.0547104298483601</v>
      </c>
      <c r="G5943">
        <v>0.51676545435098997</v>
      </c>
      <c r="H5943">
        <v>0.17112792063436899</v>
      </c>
      <c r="I5943">
        <v>0.14096429934867799</v>
      </c>
      <c r="J5943">
        <v>0.10361905891440901</v>
      </c>
      <c r="K5943">
        <v>0.104383920212595</v>
      </c>
      <c r="L5943">
        <v>5234.0649425952397</v>
      </c>
      <c r="M5943">
        <v>92.0443684263021</v>
      </c>
      <c r="N5943">
        <v>57.050410929740302</v>
      </c>
      <c r="O5943">
        <v>56.837767126812999</v>
      </c>
      <c r="P5943">
        <v>-0.35242365304087397</v>
      </c>
      <c r="Q5943">
        <v>0.12950809280792899</v>
      </c>
      <c r="R5943">
        <v>0.97553883443068701</v>
      </c>
      <c r="S5943" t="s">
        <v>12228</v>
      </c>
      <c r="T5943" t="s">
        <v>12568</v>
      </c>
      <c r="U5943" t="s">
        <v>12568</v>
      </c>
      <c r="V5943" t="s">
        <v>12568</v>
      </c>
      <c r="W5943" t="s">
        <v>18458</v>
      </c>
      <c r="X5943">
        <v>4</v>
      </c>
      <c r="Y5943" t="s">
        <v>24538</v>
      </c>
      <c r="Z5943" t="s">
        <v>30813</v>
      </c>
      <c r="AA5943">
        <v>0.61949939558835143</v>
      </c>
      <c r="AB5943" t="str">
        <f>HYPERLINK("Melting_Curves/meltCurve_Q9UL33_2_TRAPPC2L.pdf", "Melting_Curves/meltCurve_Q9UL33_2_TRAPPC2L.pdf")</f>
        <v>Melting_Curves/meltCurve_Q9UL33_2_TRAPPC2L.pdf</v>
      </c>
    </row>
    <row r="5944" spans="1:28" x14ac:dyDescent="0.25">
      <c r="A5944" t="s">
        <v>5948</v>
      </c>
      <c r="B5944">
        <v>0.99352677808782597</v>
      </c>
      <c r="C5944">
        <v>0.95433009962785798</v>
      </c>
      <c r="D5944">
        <v>0.95774248153929797</v>
      </c>
      <c r="E5944">
        <v>0.21854456340337</v>
      </c>
      <c r="F5944">
        <v>0.16235449484732001</v>
      </c>
      <c r="G5944">
        <v>8.8187372170061507E-2</v>
      </c>
      <c r="H5944">
        <v>5.76306656495401E-2</v>
      </c>
      <c r="I5944">
        <v>5.3083441070236402E-2</v>
      </c>
      <c r="J5944">
        <v>4.7497800748133798E-2</v>
      </c>
      <c r="K5944">
        <v>3.7331600067116999E-2</v>
      </c>
      <c r="L5944">
        <v>2488.7246193309002</v>
      </c>
      <c r="M5944">
        <v>51.347970664120098</v>
      </c>
      <c r="N5944">
        <v>48.612182564906099</v>
      </c>
      <c r="O5944">
        <v>48.394483257571501</v>
      </c>
      <c r="P5944">
        <v>-0.24650035566345299</v>
      </c>
      <c r="Q5944">
        <v>7.0713172492482601E-2</v>
      </c>
      <c r="R5944">
        <v>0.99313409733890601</v>
      </c>
      <c r="S5944" t="s">
        <v>12229</v>
      </c>
      <c r="T5944" t="s">
        <v>12568</v>
      </c>
      <c r="U5944" t="s">
        <v>12568</v>
      </c>
      <c r="V5944" t="s">
        <v>12568</v>
      </c>
      <c r="W5944" t="s">
        <v>18459</v>
      </c>
      <c r="X5944">
        <v>5</v>
      </c>
      <c r="Y5944" t="s">
        <v>24539</v>
      </c>
      <c r="Z5944" t="s">
        <v>30814</v>
      </c>
      <c r="AA5944">
        <v>0.33489816836093778</v>
      </c>
      <c r="AB5944" t="str">
        <f>HYPERLINK("Melting_Curves/meltCurve_Q9UL42_PNMA2.pdf", "Melting_Curves/meltCurve_Q9UL42_PNMA2.pdf")</f>
        <v>Melting_Curves/meltCurve_Q9UL42_PNMA2.pdf</v>
      </c>
    </row>
    <row r="5945" spans="1:28" x14ac:dyDescent="0.25">
      <c r="A5945" t="s">
        <v>5949</v>
      </c>
      <c r="B5945">
        <v>0.99352677808782597</v>
      </c>
      <c r="C5945">
        <v>1.0762203597364199</v>
      </c>
      <c r="D5945">
        <v>1.05069546132295</v>
      </c>
      <c r="E5945">
        <v>1.1056132016440801</v>
      </c>
      <c r="F5945">
        <v>1.02224641912813</v>
      </c>
      <c r="G5945">
        <v>0.92826511139443801</v>
      </c>
      <c r="H5945">
        <v>0.69888999771175198</v>
      </c>
      <c r="I5945">
        <v>0.47172373804564899</v>
      </c>
      <c r="J5945">
        <v>0.24162914576668601</v>
      </c>
      <c r="K5945">
        <v>0.13012912739982399</v>
      </c>
      <c r="L5945">
        <v>1464.02277770967</v>
      </c>
      <c r="M5945">
        <v>23.132732971098601</v>
      </c>
      <c r="N5945">
        <v>63.496270283240001</v>
      </c>
      <c r="O5945">
        <v>62.820666604958703</v>
      </c>
      <c r="P5945">
        <v>-8.8696085056187202E-2</v>
      </c>
      <c r="Q5945">
        <v>3.6543516142105097E-2</v>
      </c>
      <c r="R5945">
        <v>0.98207076089029399</v>
      </c>
      <c r="S5945" t="s">
        <v>12230</v>
      </c>
      <c r="T5945" t="s">
        <v>12568</v>
      </c>
      <c r="U5945" t="s">
        <v>12568</v>
      </c>
      <c r="V5945" t="s">
        <v>12568</v>
      </c>
      <c r="W5945" t="s">
        <v>18460</v>
      </c>
      <c r="X5945">
        <v>16</v>
      </c>
      <c r="Y5945" t="s">
        <v>24540</v>
      </c>
      <c r="Z5945" t="s">
        <v>30815</v>
      </c>
      <c r="AA5945">
        <v>0.78488866918584621</v>
      </c>
      <c r="AB5945" t="str">
        <f>HYPERLINK("Melting_Curves/meltCurve_Q9UL46_PSME2.pdf", "Melting_Curves/meltCurve_Q9UL46_PSME2.pdf")</f>
        <v>Melting_Curves/meltCurve_Q9UL46_PSME2.pdf</v>
      </c>
    </row>
    <row r="5946" spans="1:28" x14ac:dyDescent="0.25">
      <c r="A5946" t="s">
        <v>5950</v>
      </c>
      <c r="B5946">
        <v>0.99352677808782597</v>
      </c>
      <c r="C5946">
        <v>0.69745762857218097</v>
      </c>
      <c r="D5946">
        <v>0.74583644050346798</v>
      </c>
      <c r="E5946">
        <v>1.1098943236819301</v>
      </c>
      <c r="F5946">
        <v>0.90584401766757905</v>
      </c>
      <c r="G5946">
        <v>1.1690426684253401</v>
      </c>
      <c r="H5946">
        <v>1.04891592637954</v>
      </c>
      <c r="I5946">
        <v>1.2635839193454199</v>
      </c>
      <c r="J5946">
        <v>1.0914852576848799</v>
      </c>
      <c r="K5946">
        <v>1.1159856647872499</v>
      </c>
      <c r="L5946">
        <v>4164.2515738412803</v>
      </c>
      <c r="M5946">
        <v>75.328027649609396</v>
      </c>
      <c r="O5946">
        <v>55.242645568260997</v>
      </c>
      <c r="P5946">
        <v>4.7354952299628703E-2</v>
      </c>
      <c r="Q5946">
        <v>1.13891309667618</v>
      </c>
      <c r="R5946">
        <v>0.30602769991213002</v>
      </c>
      <c r="S5946" t="s">
        <v>12231</v>
      </c>
      <c r="T5946" t="s">
        <v>12568</v>
      </c>
      <c r="U5946" t="s">
        <v>12568</v>
      </c>
      <c r="V5946" t="s">
        <v>12568</v>
      </c>
      <c r="W5946" t="s">
        <v>18461</v>
      </c>
      <c r="X5946">
        <v>2</v>
      </c>
      <c r="Y5946" t="s">
        <v>24541</v>
      </c>
      <c r="Z5946" t="s">
        <v>30816</v>
      </c>
      <c r="AA5946">
        <v>1.068003985810027</v>
      </c>
      <c r="AB5946" t="str">
        <f>HYPERLINK("Melting_Curves/meltCurve_Q9UL51_HCN2.pdf", "Melting_Curves/meltCurve_Q9UL51_HCN2.pdf")</f>
        <v>Melting_Curves/meltCurve_Q9UL51_HCN2.pdf</v>
      </c>
    </row>
    <row r="5947" spans="1:28" x14ac:dyDescent="0.25">
      <c r="A5947" t="s">
        <v>5951</v>
      </c>
      <c r="B5947">
        <v>0.99352677808782597</v>
      </c>
      <c r="C5947">
        <v>0.76993420614855201</v>
      </c>
      <c r="D5947">
        <v>0.51929163865569805</v>
      </c>
      <c r="E5947">
        <v>0.23079411467021599</v>
      </c>
      <c r="F5947">
        <v>0.18456225925259501</v>
      </c>
      <c r="G5947">
        <v>8.9821477680565295E-2</v>
      </c>
      <c r="H5947">
        <v>6.6010982968386603E-2</v>
      </c>
      <c r="I5947">
        <v>6.4618470328747499E-2</v>
      </c>
      <c r="J5947">
        <v>4.3461148788449998E-2</v>
      </c>
      <c r="K5947">
        <v>3.33216801632224E-2</v>
      </c>
      <c r="L5947">
        <v>794.24289910028597</v>
      </c>
      <c r="M5947">
        <v>17.259253204002899</v>
      </c>
      <c r="N5947">
        <v>46.314914443368998</v>
      </c>
      <c r="O5947">
        <v>45.413923395027702</v>
      </c>
      <c r="P5947">
        <v>-9.0046194681955502E-2</v>
      </c>
      <c r="Q5947">
        <v>5.2308279364745497E-2</v>
      </c>
      <c r="R5947">
        <v>0.99363969865299895</v>
      </c>
      <c r="S5947" t="s">
        <v>12232</v>
      </c>
      <c r="T5947" t="s">
        <v>12568</v>
      </c>
      <c r="U5947" t="s">
        <v>12568</v>
      </c>
      <c r="V5947" t="s">
        <v>12568</v>
      </c>
      <c r="W5947" t="s">
        <v>18462</v>
      </c>
      <c r="X5947">
        <v>6</v>
      </c>
      <c r="Y5947" t="s">
        <v>24542</v>
      </c>
      <c r="Z5947" t="s">
        <v>30817</v>
      </c>
      <c r="AA5947">
        <v>0.26283088803046628</v>
      </c>
      <c r="AB5947" t="str">
        <f>HYPERLINK("Melting_Curves/meltCurve_Q9UL54_2_TAOK2.pdf", "Melting_Curves/meltCurve_Q9UL54_2_TAOK2.pdf")</f>
        <v>Melting_Curves/meltCurve_Q9UL54_2_TAOK2.pdf</v>
      </c>
    </row>
    <row r="5948" spans="1:28" x14ac:dyDescent="0.25">
      <c r="A5948" t="s">
        <v>5952</v>
      </c>
      <c r="B5948">
        <v>0.99352677808782597</v>
      </c>
      <c r="C5948">
        <v>1.0601975970766899</v>
      </c>
      <c r="D5948">
        <v>0.82773297235677201</v>
      </c>
      <c r="E5948">
        <v>1.26268611659531</v>
      </c>
      <c r="F5948">
        <v>0.98961379717062203</v>
      </c>
      <c r="G5948">
        <v>0.435108263671735</v>
      </c>
      <c r="H5948">
        <v>0.169569696674055</v>
      </c>
      <c r="I5948">
        <v>0.16597404355793499</v>
      </c>
      <c r="J5948">
        <v>0.126843625887439</v>
      </c>
      <c r="K5948">
        <v>0.106093663029698</v>
      </c>
      <c r="L5948">
        <v>3613.7213176454302</v>
      </c>
      <c r="M5948">
        <v>64.040795830533796</v>
      </c>
      <c r="N5948">
        <v>56.719391243066902</v>
      </c>
      <c r="O5948">
        <v>56.373480217606499</v>
      </c>
      <c r="P5948">
        <v>-0.24424241914078601</v>
      </c>
      <c r="Q5948">
        <v>0.13999877530987501</v>
      </c>
      <c r="R5948">
        <v>0.94405759882546303</v>
      </c>
      <c r="S5948" t="s">
        <v>12233</v>
      </c>
      <c r="T5948" t="s">
        <v>12568</v>
      </c>
      <c r="U5948" t="s">
        <v>12568</v>
      </c>
      <c r="V5948" t="s">
        <v>12568</v>
      </c>
      <c r="W5948" t="s">
        <v>18463</v>
      </c>
      <c r="X5948">
        <v>5</v>
      </c>
      <c r="Y5948" t="s">
        <v>24543</v>
      </c>
      <c r="Z5948" t="s">
        <v>30818</v>
      </c>
      <c r="AA5948">
        <v>0.61224950344967299</v>
      </c>
      <c r="AB5948" t="str">
        <f>HYPERLINK("Melting_Curves/meltCurve_Q9UL63_MKLN1.pdf", "Melting_Curves/meltCurve_Q9UL63_MKLN1.pdf")</f>
        <v>Melting_Curves/meltCurve_Q9UL63_MKLN1.pdf</v>
      </c>
    </row>
    <row r="5949" spans="1:28" x14ac:dyDescent="0.25">
      <c r="A5949" t="s">
        <v>5953</v>
      </c>
      <c r="B5949">
        <v>0.99352677808782597</v>
      </c>
      <c r="C5949">
        <v>0.98554747438891799</v>
      </c>
      <c r="D5949">
        <v>0.84783597733854599</v>
      </c>
      <c r="E5949">
        <v>1.0077936133521499</v>
      </c>
      <c r="F5949">
        <v>0.77456396888554102</v>
      </c>
      <c r="G5949">
        <v>0.71822934910201697</v>
      </c>
      <c r="H5949">
        <v>0.717726436252071</v>
      </c>
      <c r="I5949">
        <v>0.59674276829728601</v>
      </c>
      <c r="J5949">
        <v>0.54763108648467895</v>
      </c>
      <c r="K5949">
        <v>0.33371639487217297</v>
      </c>
      <c r="L5949">
        <v>444.385263262781</v>
      </c>
      <c r="M5949">
        <v>6.6547338890051702</v>
      </c>
      <c r="N5949">
        <v>66.777315298398705</v>
      </c>
      <c r="O5949">
        <v>61.5207922948033</v>
      </c>
      <c r="P5949">
        <v>-2.7102924914525199E-2</v>
      </c>
      <c r="Q5949">
        <v>0</v>
      </c>
      <c r="R5949">
        <v>0.89535336492977502</v>
      </c>
      <c r="S5949" t="s">
        <v>12234</v>
      </c>
      <c r="T5949" t="s">
        <v>12568</v>
      </c>
      <c r="U5949" t="s">
        <v>12568</v>
      </c>
      <c r="V5949" t="s">
        <v>12568</v>
      </c>
      <c r="W5949" t="s">
        <v>18464</v>
      </c>
      <c r="X5949">
        <v>12</v>
      </c>
      <c r="Y5949" t="s">
        <v>24544</v>
      </c>
      <c r="Z5949" t="s">
        <v>30819</v>
      </c>
      <c r="AA5949">
        <v>0.76833292535957398</v>
      </c>
      <c r="AB5949" t="str">
        <f>HYPERLINK("Melting_Curves/meltCurve_Q9ULA0_DNPEP.pdf", "Melting_Curves/meltCurve_Q9ULA0_DNPEP.pdf")</f>
        <v>Melting_Curves/meltCurve_Q9ULA0_DNPEP.pdf</v>
      </c>
    </row>
    <row r="5950" spans="1:28" x14ac:dyDescent="0.25">
      <c r="A5950" t="s">
        <v>5954</v>
      </c>
      <c r="B5950">
        <v>0.99352677808782597</v>
      </c>
      <c r="C5950">
        <v>0.95231626997748497</v>
      </c>
      <c r="D5950">
        <v>0.94630482014987405</v>
      </c>
      <c r="E5950">
        <v>0.46374647982005501</v>
      </c>
      <c r="F5950">
        <v>0.41715966887674899</v>
      </c>
      <c r="G5950">
        <v>0.23142353664556101</v>
      </c>
      <c r="H5950">
        <v>0.15528855822232099</v>
      </c>
      <c r="I5950">
        <v>0.14464680431653301</v>
      </c>
      <c r="J5950">
        <v>0.129172328027647</v>
      </c>
      <c r="K5950">
        <v>0.105384923112922</v>
      </c>
      <c r="L5950">
        <v>955.26761013385897</v>
      </c>
      <c r="M5950">
        <v>19.104003329203302</v>
      </c>
      <c r="N5950">
        <v>50.803381973115201</v>
      </c>
      <c r="O5950">
        <v>49.465308318426501</v>
      </c>
      <c r="P5950">
        <v>-8.4015920468216904E-2</v>
      </c>
      <c r="Q5950">
        <v>0.12987657146708501</v>
      </c>
      <c r="R5950">
        <v>0.98101406328333496</v>
      </c>
      <c r="S5950" t="s">
        <v>12235</v>
      </c>
      <c r="T5950" t="s">
        <v>12568</v>
      </c>
      <c r="U5950" t="s">
        <v>12568</v>
      </c>
      <c r="V5950" t="s">
        <v>12568</v>
      </c>
      <c r="W5950" t="s">
        <v>18465</v>
      </c>
      <c r="X5950">
        <v>5</v>
      </c>
      <c r="Y5950" t="s">
        <v>24545</v>
      </c>
      <c r="Z5950" t="s">
        <v>30820</v>
      </c>
      <c r="AA5950">
        <v>0.43325985467255901</v>
      </c>
      <c r="AB5950" t="str">
        <f>HYPERLINK("Melting_Curves/meltCurve_Q9ULC3_RAB23.pdf", "Melting_Curves/meltCurve_Q9ULC3_RAB23.pdf")</f>
        <v>Melting_Curves/meltCurve_Q9ULC3_RAB23.pdf</v>
      </c>
    </row>
    <row r="5951" spans="1:28" x14ac:dyDescent="0.25">
      <c r="A5951" t="s">
        <v>5955</v>
      </c>
      <c r="B5951">
        <v>0.99352677808782597</v>
      </c>
      <c r="C5951">
        <v>0.87850280112551005</v>
      </c>
      <c r="D5951">
        <v>0.92882757287607898</v>
      </c>
      <c r="E5951">
        <v>0.71249984383090403</v>
      </c>
      <c r="F5951">
        <v>0.58697885624379198</v>
      </c>
      <c r="G5951">
        <v>0.31865541167151001</v>
      </c>
      <c r="H5951">
        <v>0.121293085968839</v>
      </c>
      <c r="I5951">
        <v>0.10412602393467001</v>
      </c>
      <c r="J5951">
        <v>7.88972685848007E-2</v>
      </c>
      <c r="K5951">
        <v>6.0448927173101297E-2</v>
      </c>
      <c r="L5951">
        <v>718.73436024729097</v>
      </c>
      <c r="M5951">
        <v>13.3711575535531</v>
      </c>
      <c r="N5951">
        <v>53.752591830845503</v>
      </c>
      <c r="O5951">
        <v>52.592991051502999</v>
      </c>
      <c r="P5951">
        <v>-6.3569661044692596E-2</v>
      </c>
      <c r="Q5951">
        <v>0</v>
      </c>
      <c r="R5951">
        <v>0.99003281532059595</v>
      </c>
      <c r="S5951" t="s">
        <v>12236</v>
      </c>
      <c r="T5951" t="s">
        <v>12568</v>
      </c>
      <c r="U5951" t="s">
        <v>12568</v>
      </c>
      <c r="V5951" t="s">
        <v>12568</v>
      </c>
      <c r="W5951" t="s">
        <v>18466</v>
      </c>
      <c r="X5951">
        <v>10</v>
      </c>
      <c r="Y5951" t="s">
        <v>24546</v>
      </c>
      <c r="Z5951" t="s">
        <v>30821</v>
      </c>
      <c r="AA5951">
        <v>0.48228037797592888</v>
      </c>
      <c r="AB5951" t="str">
        <f>HYPERLINK("Melting_Curves/meltCurve_Q9ULC4_MCTS1.pdf", "Melting_Curves/meltCurve_Q9ULC4_MCTS1.pdf")</f>
        <v>Melting_Curves/meltCurve_Q9ULC4_MCTS1.pdf</v>
      </c>
    </row>
    <row r="5952" spans="1:28" x14ac:dyDescent="0.25">
      <c r="A5952" t="s">
        <v>5956</v>
      </c>
      <c r="B5952">
        <v>0.99352677808782597</v>
      </c>
      <c r="C5952">
        <v>0.955594580833805</v>
      </c>
      <c r="D5952">
        <v>0.97570117901297504</v>
      </c>
      <c r="E5952">
        <v>0.78909951490268804</v>
      </c>
      <c r="F5952">
        <v>0.65450216562622399</v>
      </c>
      <c r="G5952">
        <v>0.52588372796153404</v>
      </c>
      <c r="H5952">
        <v>0.44918556814705302</v>
      </c>
      <c r="I5952">
        <v>0.45812322167514702</v>
      </c>
      <c r="J5952">
        <v>0.48533614481155102</v>
      </c>
      <c r="K5952">
        <v>0.413350781082019</v>
      </c>
      <c r="L5952">
        <v>977.519616920575</v>
      </c>
      <c r="M5952">
        <v>18.9516094218367</v>
      </c>
      <c r="N5952">
        <v>58.066669242471498</v>
      </c>
      <c r="O5952">
        <v>51.015763925087498</v>
      </c>
      <c r="P5952">
        <v>-5.20272514228724E-2</v>
      </c>
      <c r="Q5952">
        <v>0.43981472605585797</v>
      </c>
      <c r="R5952">
        <v>0.99058057702406699</v>
      </c>
      <c r="S5952" t="s">
        <v>12237</v>
      </c>
      <c r="T5952" t="s">
        <v>12568</v>
      </c>
      <c r="U5952" t="s">
        <v>12568</v>
      </c>
      <c r="V5952" t="s">
        <v>12568</v>
      </c>
      <c r="W5952" t="s">
        <v>18467</v>
      </c>
      <c r="X5952">
        <v>44</v>
      </c>
      <c r="Y5952" t="s">
        <v>24547</v>
      </c>
      <c r="Z5952" t="s">
        <v>30822</v>
      </c>
      <c r="AA5952">
        <v>0.6645993760675043</v>
      </c>
      <c r="AB5952" t="str">
        <f>HYPERLINK("Melting_Curves/meltCurve_Q9ULD2_MTUS1.pdf", "Melting_Curves/meltCurve_Q9ULD2_MTUS1.pdf")</f>
        <v>Melting_Curves/meltCurve_Q9ULD2_MTUS1.pdf</v>
      </c>
    </row>
    <row r="5953" spans="1:28" x14ac:dyDescent="0.25">
      <c r="A5953" t="s">
        <v>5957</v>
      </c>
      <c r="B5953">
        <v>0.99352677808782597</v>
      </c>
      <c r="C5953">
        <v>0.94596296149836501</v>
      </c>
      <c r="D5953">
        <v>0.99319762376767595</v>
      </c>
      <c r="E5953">
        <v>0.93688332903745997</v>
      </c>
      <c r="F5953">
        <v>0.98217381621992905</v>
      </c>
      <c r="G5953">
        <v>0.74931069917454596</v>
      </c>
      <c r="H5953">
        <v>0.20291038222288801</v>
      </c>
      <c r="I5953">
        <v>0.113062685031557</v>
      </c>
      <c r="J5953">
        <v>9.4332477022049305E-2</v>
      </c>
      <c r="K5953">
        <v>5.46209410586821E-2</v>
      </c>
      <c r="L5953">
        <v>2384.6743133510799</v>
      </c>
      <c r="M5953">
        <v>40.863697392852103</v>
      </c>
      <c r="N5953">
        <v>58.591057744422798</v>
      </c>
      <c r="O5953">
        <v>58.217564877830299</v>
      </c>
      <c r="P5953">
        <v>-0.16225331948385199</v>
      </c>
      <c r="Q5953">
        <v>7.5367653990632902E-2</v>
      </c>
      <c r="R5953">
        <v>0.99530612108177197</v>
      </c>
      <c r="S5953" t="s">
        <v>12238</v>
      </c>
      <c r="T5953" t="s">
        <v>12568</v>
      </c>
      <c r="U5953" t="s">
        <v>12568</v>
      </c>
      <c r="V5953" t="s">
        <v>12568</v>
      </c>
      <c r="W5953" t="s">
        <v>18468</v>
      </c>
      <c r="X5953">
        <v>1</v>
      </c>
      <c r="Y5953" t="s">
        <v>24548</v>
      </c>
      <c r="Z5953" t="s">
        <v>30823</v>
      </c>
      <c r="AA5953">
        <v>0.64464198223326685</v>
      </c>
      <c r="AB5953" t="str">
        <f>HYPERLINK("Melting_Curves/meltCurve_Q9ULD5_ZNF777.pdf", "Melting_Curves/meltCurve_Q9ULD5_ZNF777.pdf")</f>
        <v>Melting_Curves/meltCurve_Q9ULD5_ZNF777.pdf</v>
      </c>
    </row>
    <row r="5954" spans="1:28" x14ac:dyDescent="0.25">
      <c r="A5954" t="s">
        <v>5958</v>
      </c>
      <c r="B5954">
        <v>0.99352677808782597</v>
      </c>
      <c r="C5954">
        <v>0.97612571149408101</v>
      </c>
      <c r="D5954">
        <v>0.965383831340485</v>
      </c>
      <c r="E5954">
        <v>0.56836980504668699</v>
      </c>
      <c r="F5954">
        <v>0.489351076584634</v>
      </c>
      <c r="G5954">
        <v>0.32955028244266998</v>
      </c>
      <c r="H5954">
        <v>0.22285705064870601</v>
      </c>
      <c r="I5954">
        <v>0.21726789357196799</v>
      </c>
      <c r="J5954">
        <v>0.17648427633288299</v>
      </c>
      <c r="K5954">
        <v>0.147722203127542</v>
      </c>
      <c r="L5954">
        <v>852.70578891595403</v>
      </c>
      <c r="M5954">
        <v>16.714770503208999</v>
      </c>
      <c r="N5954">
        <v>52.334003095006203</v>
      </c>
      <c r="O5954">
        <v>50.3016793963724</v>
      </c>
      <c r="P5954">
        <v>-6.87981965506861E-2</v>
      </c>
      <c r="Q5954">
        <v>0.17188551721426601</v>
      </c>
      <c r="R5954">
        <v>0.98386647979595498</v>
      </c>
      <c r="S5954" t="s">
        <v>12239</v>
      </c>
      <c r="T5954" t="s">
        <v>12568</v>
      </c>
      <c r="U5954" t="s">
        <v>12568</v>
      </c>
      <c r="V5954" t="s">
        <v>12568</v>
      </c>
      <c r="W5954" t="s">
        <v>18469</v>
      </c>
      <c r="X5954">
        <v>6</v>
      </c>
      <c r="Y5954" t="s">
        <v>24549</v>
      </c>
      <c r="Z5954" t="s">
        <v>30824</v>
      </c>
      <c r="AA5954">
        <v>0.4918549959691188</v>
      </c>
      <c r="AB5954" t="str">
        <f>HYPERLINK("Melting_Curves/meltCurve_Q9ULE0_WWC3.pdf", "Melting_Curves/meltCurve_Q9ULE0_WWC3.pdf")</f>
        <v>Melting_Curves/meltCurve_Q9ULE0_WWC3.pdf</v>
      </c>
    </row>
    <row r="5955" spans="1:28" x14ac:dyDescent="0.25">
      <c r="A5955" t="s">
        <v>5959</v>
      </c>
      <c r="B5955">
        <v>0.99352677808782597</v>
      </c>
      <c r="C5955">
        <v>0.84447660865640695</v>
      </c>
      <c r="D5955">
        <v>0.71628252427662498</v>
      </c>
      <c r="E5955">
        <v>0.55693636451704498</v>
      </c>
      <c r="F5955">
        <v>0.46444678623243302</v>
      </c>
      <c r="G5955">
        <v>0.25250634253468002</v>
      </c>
      <c r="H5955">
        <v>0.147497572785485</v>
      </c>
      <c r="I5955">
        <v>0.13568163585328399</v>
      </c>
      <c r="J5955">
        <v>9.04323361672182E-2</v>
      </c>
      <c r="K5955">
        <v>7.3059312764404097E-2</v>
      </c>
      <c r="L5955">
        <v>496.85043321136402</v>
      </c>
      <c r="M5955">
        <v>9.7079437664792891</v>
      </c>
      <c r="N5955">
        <v>51.179763672598497</v>
      </c>
      <c r="O5955">
        <v>49.149703880502898</v>
      </c>
      <c r="P5955">
        <v>-4.9406363121438299E-2</v>
      </c>
      <c r="Q5955">
        <v>0</v>
      </c>
      <c r="R5955">
        <v>0.99221375338055395</v>
      </c>
      <c r="S5955" t="s">
        <v>12240</v>
      </c>
      <c r="T5955" t="s">
        <v>12568</v>
      </c>
      <c r="U5955" t="s">
        <v>12568</v>
      </c>
      <c r="V5955" t="s">
        <v>12568</v>
      </c>
      <c r="W5955" t="s">
        <v>18470</v>
      </c>
      <c r="X5955">
        <v>3</v>
      </c>
      <c r="Y5955" t="s">
        <v>24550</v>
      </c>
      <c r="Z5955" t="s">
        <v>30825</v>
      </c>
      <c r="AA5955">
        <v>0.41507903200039498</v>
      </c>
      <c r="AB5955" t="str">
        <f>HYPERLINK("Melting_Curves/meltCurve_Q9ULE6_PALD1.pdf", "Melting_Curves/meltCurve_Q9ULE6_PALD1.pdf")</f>
        <v>Melting_Curves/meltCurve_Q9ULE6_PALD1.pdf</v>
      </c>
    </row>
    <row r="5956" spans="1:28" x14ac:dyDescent="0.25">
      <c r="A5956" t="s">
        <v>5960</v>
      </c>
      <c r="B5956">
        <v>0.99352677808782597</v>
      </c>
      <c r="C5956">
        <v>0.94725323674012496</v>
      </c>
      <c r="D5956">
        <v>0.92512729322228504</v>
      </c>
      <c r="E5956">
        <v>0.66082712341017402</v>
      </c>
      <c r="F5956">
        <v>0.52324700053676099</v>
      </c>
      <c r="G5956">
        <v>0.474762249726909</v>
      </c>
      <c r="H5956">
        <v>0.34736320089605099</v>
      </c>
      <c r="I5956">
        <v>0.36239761356880301</v>
      </c>
      <c r="J5956">
        <v>0.36827049345028101</v>
      </c>
      <c r="K5956">
        <v>0.35295531200874802</v>
      </c>
      <c r="L5956">
        <v>887.72186008389701</v>
      </c>
      <c r="M5956">
        <v>17.711506549119299</v>
      </c>
      <c r="N5956">
        <v>53.859951459344899</v>
      </c>
      <c r="O5956">
        <v>49.495350537796597</v>
      </c>
      <c r="P5956">
        <v>-5.7814472174609603E-2</v>
      </c>
      <c r="Q5956">
        <v>0.353776696219397</v>
      </c>
      <c r="R5956">
        <v>0.99024436915267799</v>
      </c>
      <c r="S5956" t="s">
        <v>12241</v>
      </c>
      <c r="T5956" t="s">
        <v>12568</v>
      </c>
      <c r="U5956" t="s">
        <v>12568</v>
      </c>
      <c r="V5956" t="s">
        <v>12568</v>
      </c>
      <c r="W5956" t="s">
        <v>18471</v>
      </c>
      <c r="X5956">
        <v>3</v>
      </c>
      <c r="Y5956" t="s">
        <v>24551</v>
      </c>
      <c r="Z5956" t="s">
        <v>30826</v>
      </c>
      <c r="AA5956">
        <v>0.58313812187876879</v>
      </c>
      <c r="AB5956" t="str">
        <f>HYPERLINK("Melting_Curves/meltCurve_Q9ULF5_SLC39A10.pdf", "Melting_Curves/meltCurve_Q9ULF5_SLC39A10.pdf")</f>
        <v>Melting_Curves/meltCurve_Q9ULF5_SLC39A10.pdf</v>
      </c>
    </row>
    <row r="5957" spans="1:28" x14ac:dyDescent="0.25">
      <c r="A5957" t="s">
        <v>5961</v>
      </c>
      <c r="B5957">
        <v>0.99352677808782597</v>
      </c>
      <c r="C5957">
        <v>0.92956491487937598</v>
      </c>
      <c r="D5957">
        <v>0.93522514595859096</v>
      </c>
      <c r="E5957">
        <v>0.86387809277626304</v>
      </c>
      <c r="F5957">
        <v>0.84217623807939501</v>
      </c>
      <c r="G5957">
        <v>0.59102433082236805</v>
      </c>
      <c r="H5957">
        <v>0.55714982540728397</v>
      </c>
      <c r="I5957">
        <v>0.60786328230795506</v>
      </c>
      <c r="J5957">
        <v>0.61135749256744298</v>
      </c>
      <c r="K5957">
        <v>0.53953640112665702</v>
      </c>
      <c r="L5957">
        <v>895.61023552992594</v>
      </c>
      <c r="M5957">
        <v>16.9500171194315</v>
      </c>
      <c r="O5957">
        <v>52.119312259724197</v>
      </c>
      <c r="P5957">
        <v>-3.6291098467880999E-2</v>
      </c>
      <c r="Q5957">
        <v>0.55366463422305401</v>
      </c>
      <c r="R5957">
        <v>0.93506768251745997</v>
      </c>
      <c r="S5957" t="s">
        <v>12242</v>
      </c>
      <c r="T5957" t="s">
        <v>12568</v>
      </c>
      <c r="U5957" t="s">
        <v>12568</v>
      </c>
      <c r="V5957" t="s">
        <v>12568</v>
      </c>
      <c r="W5957" t="s">
        <v>18472</v>
      </c>
      <c r="X5957">
        <v>6</v>
      </c>
      <c r="Y5957" t="s">
        <v>24552</v>
      </c>
      <c r="Z5957" t="s">
        <v>30827</v>
      </c>
      <c r="AA5957">
        <v>0.75273476778913861</v>
      </c>
      <c r="AB5957" t="str">
        <f>HYPERLINK("Melting_Curves/meltCurve_Q9ULH0_5_KIDINS220.pdf", "Melting_Curves/meltCurve_Q9ULH0_5_KIDINS220.pdf")</f>
        <v>Melting_Curves/meltCurve_Q9ULH0_5_KIDINS220.pdf</v>
      </c>
    </row>
    <row r="5958" spans="1:28" x14ac:dyDescent="0.25">
      <c r="A5958" t="s">
        <v>5962</v>
      </c>
      <c r="B5958">
        <v>0.99352677808782597</v>
      </c>
      <c r="C5958">
        <v>1.0109317016342401</v>
      </c>
      <c r="D5958">
        <v>0.93072941253202701</v>
      </c>
      <c r="E5958">
        <v>0.498858863249246</v>
      </c>
      <c r="F5958">
        <v>0.40670168478628599</v>
      </c>
      <c r="G5958">
        <v>0.32421913409110398</v>
      </c>
      <c r="H5958">
        <v>0.25463752870623002</v>
      </c>
      <c r="I5958">
        <v>0.26995320629196801</v>
      </c>
      <c r="J5958">
        <v>0.274407701995177</v>
      </c>
      <c r="K5958">
        <v>0.23124684604371301</v>
      </c>
      <c r="L5958">
        <v>1369.4850008492999</v>
      </c>
      <c r="M5958">
        <v>27.923115266844</v>
      </c>
      <c r="N5958">
        <v>50.464791542963503</v>
      </c>
      <c r="O5958">
        <v>48.795372004486403</v>
      </c>
      <c r="P5958">
        <v>-0.10413664270585</v>
      </c>
      <c r="Q5958">
        <v>0.27209523675195502</v>
      </c>
      <c r="R5958">
        <v>0.98987854332317404</v>
      </c>
      <c r="S5958" t="s">
        <v>12243</v>
      </c>
      <c r="T5958" t="s">
        <v>12568</v>
      </c>
      <c r="U5958" t="s">
        <v>12568</v>
      </c>
      <c r="V5958" t="s">
        <v>12568</v>
      </c>
      <c r="W5958" t="s">
        <v>18473</v>
      </c>
      <c r="X5958">
        <v>15</v>
      </c>
      <c r="Y5958" t="s">
        <v>24553</v>
      </c>
      <c r="Z5958" t="s">
        <v>30828</v>
      </c>
      <c r="AA5958">
        <v>0.49669450677680949</v>
      </c>
      <c r="AB5958" t="str">
        <f>HYPERLINK("Melting_Curves/meltCurve_Q9ULH1_ASAP1.pdf", "Melting_Curves/meltCurve_Q9ULH1_ASAP1.pdf")</f>
        <v>Melting_Curves/meltCurve_Q9ULH1_ASAP1.pdf</v>
      </c>
    </row>
    <row r="5959" spans="1:28" x14ac:dyDescent="0.25">
      <c r="A5959" t="s">
        <v>5963</v>
      </c>
      <c r="B5959">
        <v>0.99352677808782597</v>
      </c>
      <c r="C5959">
        <v>1.01648357383357</v>
      </c>
      <c r="D5959">
        <v>0.958071444671029</v>
      </c>
      <c r="E5959">
        <v>0.89213190927076702</v>
      </c>
      <c r="F5959">
        <v>0.79929218431750004</v>
      </c>
      <c r="G5959">
        <v>0.67887533315908699</v>
      </c>
      <c r="H5959">
        <v>0.61577693325070004</v>
      </c>
      <c r="I5959">
        <v>0.62936618151887502</v>
      </c>
      <c r="J5959">
        <v>0.65273365603025901</v>
      </c>
      <c r="K5959">
        <v>0.54511930699265598</v>
      </c>
      <c r="L5959">
        <v>892.52640553276797</v>
      </c>
      <c r="M5959">
        <v>16.841830938214098</v>
      </c>
      <c r="O5959">
        <v>52.264389837731201</v>
      </c>
      <c r="P5959">
        <v>-3.3048475151034797E-2</v>
      </c>
      <c r="Q5959">
        <v>0.589795751093108</v>
      </c>
      <c r="R5959">
        <v>0.97607707414813405</v>
      </c>
      <c r="S5959" t="s">
        <v>12244</v>
      </c>
      <c r="T5959" t="s">
        <v>12568</v>
      </c>
      <c r="U5959" t="s">
        <v>12568</v>
      </c>
      <c r="V5959" t="s">
        <v>12568</v>
      </c>
      <c r="W5959" t="s">
        <v>18474</v>
      </c>
      <c r="X5959">
        <v>22</v>
      </c>
      <c r="Y5959" t="s">
        <v>24554</v>
      </c>
      <c r="Z5959" t="s">
        <v>30829</v>
      </c>
      <c r="AA5959">
        <v>0.77493174466219017</v>
      </c>
      <c r="AB5959" t="str">
        <f>HYPERLINK("Melting_Curves/meltCurve_Q9ULH7_4_MKL2.pdf", "Melting_Curves/meltCurve_Q9ULH7_4_MKL2.pdf")</f>
        <v>Melting_Curves/meltCurve_Q9ULH7_4_MKL2.pdf</v>
      </c>
    </row>
    <row r="5960" spans="1:28" x14ac:dyDescent="0.25">
      <c r="A5960" t="s">
        <v>5964</v>
      </c>
      <c r="B5960">
        <v>0.99352677808782597</v>
      </c>
      <c r="C5960">
        <v>0.96991068593129004</v>
      </c>
      <c r="D5960">
        <v>0.95697151663659696</v>
      </c>
      <c r="E5960">
        <v>0.75084236644116398</v>
      </c>
      <c r="F5960">
        <v>0.64151974104578402</v>
      </c>
      <c r="G5960">
        <v>0.46698109128917598</v>
      </c>
      <c r="H5960">
        <v>0.41982068379072601</v>
      </c>
      <c r="I5960">
        <v>0.38590256818322799</v>
      </c>
      <c r="J5960">
        <v>0.41474243783565601</v>
      </c>
      <c r="K5960">
        <v>0.255967607621088</v>
      </c>
      <c r="L5960">
        <v>748.82123206518997</v>
      </c>
      <c r="M5960">
        <v>14.270450201347</v>
      </c>
      <c r="N5960">
        <v>56.5184544244837</v>
      </c>
      <c r="O5960">
        <v>51.475388298351703</v>
      </c>
      <c r="P5960">
        <v>-4.7138976621344503E-2</v>
      </c>
      <c r="Q5960">
        <v>0.31993758842536701</v>
      </c>
      <c r="R5960">
        <v>0.97941355395791396</v>
      </c>
      <c r="S5960" t="s">
        <v>12245</v>
      </c>
      <c r="T5960" t="s">
        <v>12568</v>
      </c>
      <c r="U5960" t="s">
        <v>12568</v>
      </c>
      <c r="V5960" t="s">
        <v>12568</v>
      </c>
      <c r="W5960" t="s">
        <v>18475</v>
      </c>
      <c r="X5960">
        <v>7</v>
      </c>
      <c r="Y5960" t="s">
        <v>24555</v>
      </c>
      <c r="Z5960" t="s">
        <v>30830</v>
      </c>
      <c r="AA5960">
        <v>0.61875227558710011</v>
      </c>
      <c r="AB5960" t="str">
        <f>HYPERLINK("Melting_Curves/meltCurve_Q9ULJ3_2_ZBTB21.pdf", "Melting_Curves/meltCurve_Q9ULJ3_2_ZBTB21.pdf")</f>
        <v>Melting_Curves/meltCurve_Q9ULJ3_2_ZBTB21.pdf</v>
      </c>
    </row>
    <row r="5961" spans="1:28" x14ac:dyDescent="0.25">
      <c r="A5961" t="s">
        <v>5965</v>
      </c>
      <c r="B5961">
        <v>0.99352677808782597</v>
      </c>
      <c r="C5961">
        <v>0.98599700333474505</v>
      </c>
      <c r="D5961">
        <v>1.0090664253997801</v>
      </c>
      <c r="E5961">
        <v>0.87147840330365001</v>
      </c>
      <c r="F5961">
        <v>0.78618771920365405</v>
      </c>
      <c r="G5961">
        <v>0.54443406431825803</v>
      </c>
      <c r="H5961">
        <v>0.266191058939098</v>
      </c>
      <c r="I5961">
        <v>0.18084020053034</v>
      </c>
      <c r="J5961">
        <v>0.12327455592741</v>
      </c>
      <c r="K5961">
        <v>9.0739131899253103E-2</v>
      </c>
      <c r="L5961">
        <v>908.59643081541105</v>
      </c>
      <c r="M5961">
        <v>15.9268579965643</v>
      </c>
      <c r="N5961">
        <v>57.324764121652699</v>
      </c>
      <c r="O5961">
        <v>56.171431362411603</v>
      </c>
      <c r="P5961">
        <v>-6.8267887913715394E-2</v>
      </c>
      <c r="Q5961">
        <v>3.6998050440506199E-2</v>
      </c>
      <c r="R5961">
        <v>0.99743497971620199</v>
      </c>
      <c r="S5961" t="s">
        <v>12246</v>
      </c>
      <c r="T5961" t="s">
        <v>12568</v>
      </c>
      <c r="U5961" t="s">
        <v>12568</v>
      </c>
      <c r="V5961" t="s">
        <v>12568</v>
      </c>
      <c r="W5961" t="s">
        <v>18476</v>
      </c>
      <c r="X5961">
        <v>10</v>
      </c>
      <c r="Y5961" t="s">
        <v>24556</v>
      </c>
      <c r="Z5961" t="s">
        <v>30831</v>
      </c>
      <c r="AA5961">
        <v>0.59881864479457236</v>
      </c>
      <c r="AB5961" t="str">
        <f>HYPERLINK("Melting_Curves/meltCurve_Q9ULJ6_ZMIZ1.pdf", "Melting_Curves/meltCurve_Q9ULJ6_ZMIZ1.pdf")</f>
        <v>Melting_Curves/meltCurve_Q9ULJ6_ZMIZ1.pdf</v>
      </c>
    </row>
    <row r="5962" spans="1:28" x14ac:dyDescent="0.25">
      <c r="A5962" t="s">
        <v>5966</v>
      </c>
      <c r="B5962">
        <v>0.99352677808782597</v>
      </c>
      <c r="C5962">
        <v>0.91158081000500901</v>
      </c>
      <c r="D5962">
        <v>0.82011166573796102</v>
      </c>
      <c r="E5962">
        <v>0.59583979210653504</v>
      </c>
      <c r="F5962">
        <v>0.53937086287976699</v>
      </c>
      <c r="G5962">
        <v>0.40180329194499498</v>
      </c>
      <c r="H5962">
        <v>0.35194125749037503</v>
      </c>
      <c r="I5962">
        <v>0.34825242184296001</v>
      </c>
      <c r="J5962">
        <v>0.32983591691824998</v>
      </c>
      <c r="K5962">
        <v>0.29585727783300497</v>
      </c>
      <c r="L5962">
        <v>644.16903393858797</v>
      </c>
      <c r="M5962">
        <v>13.0079737639079</v>
      </c>
      <c r="N5962">
        <v>53.2695134430491</v>
      </c>
      <c r="O5962">
        <v>48.3945558853504</v>
      </c>
      <c r="P5962">
        <v>-4.7059410329426801E-2</v>
      </c>
      <c r="Q5962">
        <v>0.29980856684926099</v>
      </c>
      <c r="R5962">
        <v>0.99466092777700699</v>
      </c>
      <c r="S5962" t="s">
        <v>12247</v>
      </c>
      <c r="T5962" t="s">
        <v>12568</v>
      </c>
      <c r="U5962" t="s">
        <v>12568</v>
      </c>
      <c r="V5962" t="s">
        <v>12568</v>
      </c>
      <c r="W5962" t="s">
        <v>18477</v>
      </c>
      <c r="X5962">
        <v>12</v>
      </c>
      <c r="Y5962" t="s">
        <v>24557</v>
      </c>
      <c r="Z5962" t="s">
        <v>30832</v>
      </c>
      <c r="AA5962">
        <v>0.54383894273197864</v>
      </c>
      <c r="AB5962" t="str">
        <f>HYPERLINK("Melting_Curves/meltCurve_Q9ULJ7_ANKRD50.pdf", "Melting_Curves/meltCurve_Q9ULJ7_ANKRD50.pdf")</f>
        <v>Melting_Curves/meltCurve_Q9ULJ7_ANKRD50.pdf</v>
      </c>
    </row>
    <row r="5963" spans="1:28" x14ac:dyDescent="0.25">
      <c r="A5963" t="s">
        <v>5967</v>
      </c>
      <c r="B5963">
        <v>0.99352677808782597</v>
      </c>
      <c r="C5963">
        <v>1.01480742695616</v>
      </c>
      <c r="D5963">
        <v>0.91989051270446498</v>
      </c>
      <c r="E5963">
        <v>0.77936520082885996</v>
      </c>
      <c r="F5963">
        <v>0.72410173060624405</v>
      </c>
      <c r="G5963">
        <v>0.57542059649237898</v>
      </c>
      <c r="H5963">
        <v>0.59499049968019102</v>
      </c>
      <c r="I5963">
        <v>0.57178858141905398</v>
      </c>
      <c r="J5963">
        <v>0.60080301695736504</v>
      </c>
      <c r="K5963">
        <v>0.52666961361432796</v>
      </c>
      <c r="L5963">
        <v>882.03786592594702</v>
      </c>
      <c r="M5963">
        <v>17.492815379827899</v>
      </c>
      <c r="O5963">
        <v>49.777753343072398</v>
      </c>
      <c r="P5963">
        <v>-3.8718266480710403E-2</v>
      </c>
      <c r="Q5963">
        <v>0.55931583030892995</v>
      </c>
      <c r="R5963">
        <v>0.97855359552964805</v>
      </c>
      <c r="S5963" t="s">
        <v>12248</v>
      </c>
      <c r="T5963" t="s">
        <v>12568</v>
      </c>
      <c r="U5963" t="s">
        <v>12568</v>
      </c>
      <c r="V5963" t="s">
        <v>12568</v>
      </c>
      <c r="W5963" t="s">
        <v>18478</v>
      </c>
      <c r="X5963">
        <v>6</v>
      </c>
      <c r="Y5963" t="s">
        <v>24558</v>
      </c>
      <c r="Z5963" t="s">
        <v>30833</v>
      </c>
      <c r="AA5963">
        <v>0.72030371426297757</v>
      </c>
      <c r="AB5963" t="str">
        <f>HYPERLINK("Melting_Curves/meltCurve_Q9ULJ8_4_PPP1R9A.pdf", "Melting_Curves/meltCurve_Q9ULJ8_4_PPP1R9A.pdf")</f>
        <v>Melting_Curves/meltCurve_Q9ULJ8_4_PPP1R9A.pdf</v>
      </c>
    </row>
    <row r="5964" spans="1:28" x14ac:dyDescent="0.25">
      <c r="A5964" t="s">
        <v>5968</v>
      </c>
      <c r="B5964">
        <v>0.99352677808782597</v>
      </c>
      <c r="C5964">
        <v>1.0890672801649799</v>
      </c>
      <c r="D5964">
        <v>0.81695655377080201</v>
      </c>
      <c r="E5964">
        <v>0.42569789776091899</v>
      </c>
      <c r="F5964">
        <v>0.36999761341410897</v>
      </c>
      <c r="G5964">
        <v>0.208506145875517</v>
      </c>
      <c r="H5964">
        <v>9.0185056939997593E-2</v>
      </c>
      <c r="I5964">
        <v>5.9079076982250997E-2</v>
      </c>
      <c r="J5964">
        <v>7.0655371017339E-2</v>
      </c>
      <c r="K5964">
        <v>8.7348906615831098E-2</v>
      </c>
      <c r="L5964">
        <v>915.82985688916597</v>
      </c>
      <c r="M5964">
        <v>18.442860550093201</v>
      </c>
      <c r="N5964">
        <v>50.123481024479403</v>
      </c>
      <c r="O5964">
        <v>49.084914404727002</v>
      </c>
      <c r="P5964">
        <v>-8.6539863455629806E-2</v>
      </c>
      <c r="Q5964">
        <v>7.8752158838296393E-2</v>
      </c>
      <c r="R5964">
        <v>0.97551684798513205</v>
      </c>
      <c r="S5964" t="s">
        <v>12249</v>
      </c>
      <c r="T5964" t="s">
        <v>12568</v>
      </c>
      <c r="U5964" t="s">
        <v>12568</v>
      </c>
      <c r="V5964" t="s">
        <v>12568</v>
      </c>
      <c r="W5964" t="s">
        <v>18479</v>
      </c>
      <c r="X5964">
        <v>1</v>
      </c>
      <c r="Y5964" t="s">
        <v>24559</v>
      </c>
      <c r="Z5964" t="s">
        <v>30834</v>
      </c>
      <c r="AA5964">
        <v>0.39038152392663472</v>
      </c>
      <c r="AB5964" t="str">
        <f>HYPERLINK("Melting_Curves/meltCurve_Q9ULK4_4_MED23.pdf", "Melting_Curves/meltCurve_Q9ULK4_4_MED23.pdf")</f>
        <v>Melting_Curves/meltCurve_Q9ULK4_4_MED23.pdf</v>
      </c>
    </row>
    <row r="5965" spans="1:28" x14ac:dyDescent="0.25">
      <c r="A5965" t="s">
        <v>5969</v>
      </c>
      <c r="B5965">
        <v>0.99352677808782597</v>
      </c>
      <c r="C5965">
        <v>0.91063727120698201</v>
      </c>
      <c r="D5965">
        <v>0.84808498337781402</v>
      </c>
      <c r="E5965">
        <v>0.53731077555844498</v>
      </c>
      <c r="F5965">
        <v>0.47512107039941898</v>
      </c>
      <c r="G5965">
        <v>0.40072843854004297</v>
      </c>
      <c r="H5965">
        <v>0.35786550574338699</v>
      </c>
      <c r="I5965">
        <v>0.36826124757620199</v>
      </c>
      <c r="J5965">
        <v>0.37464656629757398</v>
      </c>
      <c r="K5965">
        <v>0.32093575697732302</v>
      </c>
      <c r="L5965">
        <v>900.90890899999397</v>
      </c>
      <c r="M5965">
        <v>18.680013830727599</v>
      </c>
      <c r="N5965">
        <v>51.6065513661041</v>
      </c>
      <c r="O5965">
        <v>47.6859754006977</v>
      </c>
      <c r="P5965">
        <v>-6.3385467428777098E-2</v>
      </c>
      <c r="Q5965">
        <v>0.35279084306139602</v>
      </c>
      <c r="R5965">
        <v>0.99036914177723001</v>
      </c>
      <c r="S5965" t="s">
        <v>12250</v>
      </c>
      <c r="T5965" t="s">
        <v>12568</v>
      </c>
      <c r="U5965" t="s">
        <v>12568</v>
      </c>
      <c r="V5965" t="s">
        <v>12568</v>
      </c>
      <c r="W5965" t="s">
        <v>18480</v>
      </c>
      <c r="X5965">
        <v>13</v>
      </c>
      <c r="Y5965" t="s">
        <v>24560</v>
      </c>
      <c r="Z5965" t="s">
        <v>30835</v>
      </c>
      <c r="AA5965">
        <v>0.5408728033075515</v>
      </c>
      <c r="AB5965" t="str">
        <f>HYPERLINK("Melting_Curves/meltCurve_Q9ULL5_3_PRR12.pdf", "Melting_Curves/meltCurve_Q9ULL5_3_PRR12.pdf")</f>
        <v>Melting_Curves/meltCurve_Q9ULL5_3_PRR12.pdf</v>
      </c>
    </row>
    <row r="5966" spans="1:28" x14ac:dyDescent="0.25">
      <c r="A5966" t="s">
        <v>5970</v>
      </c>
      <c r="B5966">
        <v>0.99352677808782597</v>
      </c>
      <c r="C5966">
        <v>0.86891247550518103</v>
      </c>
      <c r="D5966">
        <v>0.92296296049527804</v>
      </c>
      <c r="E5966">
        <v>0.21448438003898601</v>
      </c>
      <c r="F5966">
        <v>0.17671600724950101</v>
      </c>
      <c r="G5966">
        <v>9.7987774529730495E-2</v>
      </c>
      <c r="H5966">
        <v>7.4419864171851993E-2</v>
      </c>
      <c r="I5966">
        <v>7.3175860971319895E-2</v>
      </c>
      <c r="J5966">
        <v>5.5169891640657602E-2</v>
      </c>
      <c r="K5966">
        <v>4.1859160096443401E-2</v>
      </c>
      <c r="L5966">
        <v>2157.4824853498899</v>
      </c>
      <c r="M5966">
        <v>44.7612408856127</v>
      </c>
      <c r="N5966">
        <v>48.391111797221399</v>
      </c>
      <c r="O5966">
        <v>48.103882908080301</v>
      </c>
      <c r="P5966">
        <v>-0.21376282264392199</v>
      </c>
      <c r="Q5966">
        <v>8.1097131616242601E-2</v>
      </c>
      <c r="R5966">
        <v>0.98215440873750104</v>
      </c>
      <c r="S5966" t="s">
        <v>12251</v>
      </c>
      <c r="T5966" t="s">
        <v>12568</v>
      </c>
      <c r="U5966" t="s">
        <v>12568</v>
      </c>
      <c r="V5966" t="s">
        <v>12568</v>
      </c>
      <c r="W5966" t="s">
        <v>18481</v>
      </c>
      <c r="X5966">
        <v>8</v>
      </c>
      <c r="Y5966" t="s">
        <v>24561</v>
      </c>
      <c r="Z5966" t="s">
        <v>30836</v>
      </c>
      <c r="AA5966">
        <v>0.33470091971052329</v>
      </c>
      <c r="AB5966" t="str">
        <f>HYPERLINK("Melting_Curves/meltCurve_Q9ULP9_2_TBC1D24.pdf", "Melting_Curves/meltCurve_Q9ULP9_2_TBC1D24.pdf")</f>
        <v>Melting_Curves/meltCurve_Q9ULP9_2_TBC1D24.pdf</v>
      </c>
    </row>
    <row r="5967" spans="1:28" x14ac:dyDescent="0.25">
      <c r="A5967" t="s">
        <v>5971</v>
      </c>
      <c r="B5967">
        <v>0.99352677808782597</v>
      </c>
      <c r="C5967">
        <v>0.84951354863126805</v>
      </c>
      <c r="D5967">
        <v>0.85069403646526298</v>
      </c>
      <c r="E5967">
        <v>1.0983279373003401</v>
      </c>
      <c r="F5967">
        <v>0.95982662383720196</v>
      </c>
      <c r="G5967">
        <v>1.0461960083214601</v>
      </c>
      <c r="H5967">
        <v>0.94320359349105298</v>
      </c>
      <c r="I5967">
        <v>1.01756071671728</v>
      </c>
      <c r="J5967">
        <v>1.15848257674744</v>
      </c>
      <c r="K5967">
        <v>0.91665731832668096</v>
      </c>
      <c r="L5967">
        <v>15000</v>
      </c>
      <c r="M5967">
        <v>234.24612857064699</v>
      </c>
      <c r="O5967">
        <v>64.030545483399393</v>
      </c>
      <c r="P5967">
        <v>3.43567283685541E-2</v>
      </c>
      <c r="Q5967">
        <v>1.03756527310171</v>
      </c>
      <c r="R5967">
        <v>4.1112038317047102E-3</v>
      </c>
      <c r="S5967" t="s">
        <v>12252</v>
      </c>
      <c r="T5967" t="s">
        <v>12568</v>
      </c>
      <c r="U5967" t="s">
        <v>12568</v>
      </c>
      <c r="V5967" t="s">
        <v>12568</v>
      </c>
      <c r="W5967" t="s">
        <v>18482</v>
      </c>
      <c r="X5967">
        <v>8</v>
      </c>
      <c r="Y5967" t="s">
        <v>24562</v>
      </c>
      <c r="Z5967" t="s">
        <v>30837</v>
      </c>
      <c r="AA5967">
        <v>1.0074641570033609</v>
      </c>
      <c r="AB5967" t="str">
        <f>HYPERLINK("Melting_Curves/meltCurve_Q9ULR0_ISY1.pdf", "Melting_Curves/meltCurve_Q9ULR0_ISY1.pdf")</f>
        <v>Melting_Curves/meltCurve_Q9ULR0_ISY1.pdf</v>
      </c>
    </row>
    <row r="5968" spans="1:28" x14ac:dyDescent="0.25">
      <c r="A5968" t="s">
        <v>5972</v>
      </c>
      <c r="B5968">
        <v>0.99352677808782597</v>
      </c>
      <c r="C5968">
        <v>1.06257900764518</v>
      </c>
      <c r="D5968">
        <v>0.87413942179594095</v>
      </c>
      <c r="E5968">
        <v>0.74615675471642295</v>
      </c>
      <c r="F5968">
        <v>0.74238159739655296</v>
      </c>
      <c r="G5968">
        <v>0.29816471588190901</v>
      </c>
      <c r="H5968">
        <v>0.20451264641995401</v>
      </c>
      <c r="I5968">
        <v>0.19503646099649499</v>
      </c>
      <c r="J5968">
        <v>9.4558210241169893E-2</v>
      </c>
      <c r="K5968">
        <v>8.4041001572045401E-2</v>
      </c>
      <c r="L5968">
        <v>814.32289421497103</v>
      </c>
      <c r="M5968">
        <v>14.938178233024001</v>
      </c>
      <c r="N5968">
        <v>54.9254950750869</v>
      </c>
      <c r="O5968">
        <v>53.563933204840403</v>
      </c>
      <c r="P5968">
        <v>-6.6027389321233601E-2</v>
      </c>
      <c r="Q5968">
        <v>5.3077685519588198E-2</v>
      </c>
      <c r="R5968">
        <v>0.97296172532642999</v>
      </c>
      <c r="S5968" t="s">
        <v>12253</v>
      </c>
      <c r="T5968" t="s">
        <v>12568</v>
      </c>
      <c r="U5968" t="s">
        <v>12568</v>
      </c>
      <c r="V5968" t="s">
        <v>12568</v>
      </c>
      <c r="W5968" t="s">
        <v>18483</v>
      </c>
      <c r="X5968">
        <v>6</v>
      </c>
      <c r="Y5968" t="s">
        <v>24563</v>
      </c>
      <c r="Z5968" t="s">
        <v>30838</v>
      </c>
      <c r="AA5968">
        <v>0.53011327370069439</v>
      </c>
      <c r="AB5968" t="str">
        <f>HYPERLINK("Melting_Curves/meltCurve_Q9ULR3_PPM1H.pdf", "Melting_Curves/meltCurve_Q9ULR3_PPM1H.pdf")</f>
        <v>Melting_Curves/meltCurve_Q9ULR3_PPM1H.pdf</v>
      </c>
    </row>
    <row r="5969" spans="1:28" x14ac:dyDescent="0.25">
      <c r="A5969" t="s">
        <v>5973</v>
      </c>
      <c r="B5969">
        <v>0.99352677808782597</v>
      </c>
      <c r="C5969">
        <v>0.97186919463378296</v>
      </c>
      <c r="D5969">
        <v>0.81046329010998597</v>
      </c>
      <c r="E5969">
        <v>0.50293774679741599</v>
      </c>
      <c r="F5969">
        <v>0.41682515516194901</v>
      </c>
      <c r="G5969">
        <v>0.245144726812208</v>
      </c>
      <c r="H5969">
        <v>0.15668109900337401</v>
      </c>
      <c r="I5969">
        <v>0.14007008909858501</v>
      </c>
      <c r="J5969">
        <v>0.124031787156857</v>
      </c>
      <c r="K5969">
        <v>0.102285257498211</v>
      </c>
      <c r="L5969">
        <v>742.55451769874298</v>
      </c>
      <c r="M5969">
        <v>14.8340074335654</v>
      </c>
      <c r="N5969">
        <v>50.855894238968702</v>
      </c>
      <c r="O5969">
        <v>49.174280882237397</v>
      </c>
      <c r="P5969">
        <v>-6.75894449074467E-2</v>
      </c>
      <c r="Q5969">
        <v>0.10386680777479899</v>
      </c>
      <c r="R5969">
        <v>0.99413628198790405</v>
      </c>
      <c r="S5969" t="s">
        <v>12254</v>
      </c>
      <c r="T5969" t="s">
        <v>12568</v>
      </c>
      <c r="U5969" t="s">
        <v>12568</v>
      </c>
      <c r="V5969" t="s">
        <v>12568</v>
      </c>
      <c r="W5969" t="s">
        <v>18484</v>
      </c>
      <c r="X5969">
        <v>41</v>
      </c>
      <c r="Y5969" t="s">
        <v>24564</v>
      </c>
      <c r="Z5969" t="s">
        <v>30839</v>
      </c>
      <c r="AA5969">
        <v>0.42604960476659409</v>
      </c>
      <c r="AB5969" t="str">
        <f>HYPERLINK("Melting_Curves/meltCurve_Q9ULT8_HECTD1.pdf", "Melting_Curves/meltCurve_Q9ULT8_HECTD1.pdf")</f>
        <v>Melting_Curves/meltCurve_Q9ULT8_HECTD1.pdf</v>
      </c>
    </row>
    <row r="5970" spans="1:28" x14ac:dyDescent="0.25">
      <c r="A5970" t="s">
        <v>5974</v>
      </c>
      <c r="B5970">
        <v>0.99352677808782597</v>
      </c>
      <c r="C5970">
        <v>0.97713993587745795</v>
      </c>
      <c r="D5970">
        <v>0.99956546050924</v>
      </c>
      <c r="E5970">
        <v>0.256357218434214</v>
      </c>
      <c r="F5970">
        <v>0.185426690212177</v>
      </c>
      <c r="G5970">
        <v>0.115319046724375</v>
      </c>
      <c r="H5970">
        <v>7.3700282386630997E-2</v>
      </c>
      <c r="I5970">
        <v>6.7458483844658093E-2</v>
      </c>
      <c r="J5970">
        <v>5.7573434718189501E-2</v>
      </c>
      <c r="K5970">
        <v>4.9200353889303002E-2</v>
      </c>
      <c r="L5970">
        <v>2964.6273452323098</v>
      </c>
      <c r="M5970">
        <v>60.728304812217601</v>
      </c>
      <c r="N5970">
        <v>48.976124031827901</v>
      </c>
      <c r="O5970">
        <v>48.765033371066401</v>
      </c>
      <c r="P5970">
        <v>-0.28359778887301001</v>
      </c>
      <c r="Q5970">
        <v>8.9080485473698803E-2</v>
      </c>
      <c r="R5970">
        <v>0.99214274574705397</v>
      </c>
      <c r="S5970" t="s">
        <v>12255</v>
      </c>
      <c r="T5970" t="s">
        <v>12568</v>
      </c>
      <c r="U5970" t="s">
        <v>12568</v>
      </c>
      <c r="V5970" t="s">
        <v>12568</v>
      </c>
      <c r="W5970" t="s">
        <v>18485</v>
      </c>
      <c r="X5970">
        <v>5</v>
      </c>
      <c r="Y5970" t="s">
        <v>24565</v>
      </c>
      <c r="Z5970" t="s">
        <v>30840</v>
      </c>
      <c r="AA5970">
        <v>0.35815390787025941</v>
      </c>
      <c r="AB5970" t="str">
        <f>HYPERLINK("Melting_Curves/meltCurve_Q9ULV0_MYO5B.pdf", "Melting_Curves/meltCurve_Q9ULV0_MYO5B.pdf")</f>
        <v>Melting_Curves/meltCurve_Q9ULV0_MYO5B.pdf</v>
      </c>
    </row>
    <row r="5971" spans="1:28" x14ac:dyDescent="0.25">
      <c r="A5971" t="s">
        <v>5975</v>
      </c>
      <c r="B5971">
        <v>0.99352677808782597</v>
      </c>
      <c r="C5971">
        <v>1.0135463813188501</v>
      </c>
      <c r="D5971">
        <v>1.0038622432669999</v>
      </c>
      <c r="E5971">
        <v>0.95691050024173496</v>
      </c>
      <c r="F5971">
        <v>0.84351182399535896</v>
      </c>
      <c r="G5971">
        <v>0.742419719003103</v>
      </c>
      <c r="H5971">
        <v>0.706051745096127</v>
      </c>
      <c r="I5971">
        <v>0.66893011719228201</v>
      </c>
      <c r="J5971">
        <v>0.76865246743717297</v>
      </c>
      <c r="K5971">
        <v>0.65225132887442605</v>
      </c>
      <c r="L5971">
        <v>1491.42366544314</v>
      </c>
      <c r="M5971">
        <v>28.134228333648799</v>
      </c>
      <c r="O5971">
        <v>52.745331268304497</v>
      </c>
      <c r="P5971">
        <v>-4.0344729835188303E-2</v>
      </c>
      <c r="Q5971">
        <v>0.69745338041279503</v>
      </c>
      <c r="R5971">
        <v>0.95609037457987101</v>
      </c>
      <c r="S5971" t="s">
        <v>12256</v>
      </c>
      <c r="T5971" t="s">
        <v>12568</v>
      </c>
      <c r="U5971" t="s">
        <v>12568</v>
      </c>
      <c r="V5971" t="s">
        <v>12568</v>
      </c>
      <c r="W5971" t="s">
        <v>18486</v>
      </c>
      <c r="X5971">
        <v>13</v>
      </c>
      <c r="Y5971" t="s">
        <v>24566</v>
      </c>
      <c r="Z5971" t="s">
        <v>30841</v>
      </c>
      <c r="AA5971">
        <v>0.83089160321288325</v>
      </c>
      <c r="AB5971" t="str">
        <f>HYPERLINK("Melting_Curves/meltCurve_Q9ULV3_5_CIZ1.pdf", "Melting_Curves/meltCurve_Q9ULV3_5_CIZ1.pdf")</f>
        <v>Melting_Curves/meltCurve_Q9ULV3_5_CIZ1.pdf</v>
      </c>
    </row>
    <row r="5972" spans="1:28" x14ac:dyDescent="0.25">
      <c r="A5972" t="s">
        <v>5976</v>
      </c>
      <c r="B5972">
        <v>0.99352677808782597</v>
      </c>
      <c r="C5972">
        <v>1.00328514464465</v>
      </c>
      <c r="D5972">
        <v>0.99737246790881096</v>
      </c>
      <c r="E5972">
        <v>0.79494327618773397</v>
      </c>
      <c r="F5972">
        <v>0.69481818429327202</v>
      </c>
      <c r="G5972">
        <v>0.26402412845925399</v>
      </c>
      <c r="H5972">
        <v>0.10593270847358199</v>
      </c>
      <c r="I5972">
        <v>9.2957687223846994E-2</v>
      </c>
      <c r="J5972">
        <v>7.4587574204213705E-2</v>
      </c>
      <c r="K5972">
        <v>6.1692911077959801E-2</v>
      </c>
      <c r="L5972">
        <v>1171.53723537568</v>
      </c>
      <c r="M5972">
        <v>21.632481027676299</v>
      </c>
      <c r="N5972">
        <v>54.418664347499003</v>
      </c>
      <c r="O5972">
        <v>53.699986015427399</v>
      </c>
      <c r="P5972">
        <v>-9.5726801128840106E-2</v>
      </c>
      <c r="Q5972">
        <v>4.9502616657612498E-2</v>
      </c>
      <c r="R5972">
        <v>0.99366067199544195</v>
      </c>
      <c r="S5972" t="s">
        <v>12257</v>
      </c>
      <c r="T5972" t="s">
        <v>12568</v>
      </c>
      <c r="U5972" t="s">
        <v>12568</v>
      </c>
      <c r="V5972" t="s">
        <v>12568</v>
      </c>
      <c r="W5972" t="s">
        <v>18487</v>
      </c>
      <c r="X5972">
        <v>26</v>
      </c>
      <c r="Y5972" t="s">
        <v>24567</v>
      </c>
      <c r="Z5972" t="s">
        <v>30842</v>
      </c>
      <c r="AA5972">
        <v>0.50935499130948858</v>
      </c>
      <c r="AB5972" t="str">
        <f>HYPERLINK("Melting_Curves/meltCurve_Q9ULV4_CORO1C.pdf", "Melting_Curves/meltCurve_Q9ULV4_CORO1C.pdf")</f>
        <v>Melting_Curves/meltCurve_Q9ULV4_CORO1C.pdf</v>
      </c>
    </row>
    <row r="5973" spans="1:28" x14ac:dyDescent="0.25">
      <c r="A5973" t="s">
        <v>5977</v>
      </c>
      <c r="B5973">
        <v>0.99352677808782597</v>
      </c>
      <c r="C5973">
        <v>0.96298452227726505</v>
      </c>
      <c r="D5973">
        <v>0.99415104057541503</v>
      </c>
      <c r="E5973">
        <v>0.90135581887837701</v>
      </c>
      <c r="F5973">
        <v>0.82591301210141799</v>
      </c>
      <c r="G5973">
        <v>0.747604485288063</v>
      </c>
      <c r="H5973">
        <v>0.66210627207216499</v>
      </c>
      <c r="I5973">
        <v>0.66977216200365997</v>
      </c>
      <c r="J5973">
        <v>0.68177926880852502</v>
      </c>
      <c r="K5973">
        <v>0.56789644835134401</v>
      </c>
      <c r="L5973">
        <v>667.48715821797998</v>
      </c>
      <c r="M5973">
        <v>12.1938087672425</v>
      </c>
      <c r="O5973">
        <v>53.330035270607901</v>
      </c>
      <c r="P5973">
        <v>-2.3409268524676799E-2</v>
      </c>
      <c r="Q5973">
        <v>0.59056784638889404</v>
      </c>
      <c r="R5973">
        <v>0.96598284125401102</v>
      </c>
      <c r="S5973" t="s">
        <v>12258</v>
      </c>
      <c r="T5973" t="s">
        <v>12568</v>
      </c>
      <c r="U5973" t="s">
        <v>12568</v>
      </c>
      <c r="V5973" t="s">
        <v>12568</v>
      </c>
      <c r="W5973" t="s">
        <v>18488</v>
      </c>
      <c r="X5973">
        <v>33</v>
      </c>
      <c r="Y5973" t="s">
        <v>24568</v>
      </c>
      <c r="Z5973" t="s">
        <v>30843</v>
      </c>
      <c r="AA5973">
        <v>0.80151227642867118</v>
      </c>
      <c r="AB5973" t="str">
        <f>HYPERLINK("Melting_Curves/meltCurve_Q9ULW0_TPX2.pdf", "Melting_Curves/meltCurve_Q9ULW0_TPX2.pdf")</f>
        <v>Melting_Curves/meltCurve_Q9ULW0_TPX2.pdf</v>
      </c>
    </row>
    <row r="5974" spans="1:28" x14ac:dyDescent="0.25">
      <c r="A5974" t="s">
        <v>5978</v>
      </c>
      <c r="B5974">
        <v>0.99352677808782597</v>
      </c>
      <c r="C5974">
        <v>0.92533140513572598</v>
      </c>
      <c r="D5974">
        <v>0.73383473613027494</v>
      </c>
      <c r="E5974">
        <v>0.51195923216035799</v>
      </c>
      <c r="F5974">
        <v>0.36267875527937998</v>
      </c>
      <c r="G5974">
        <v>0.31354934989247601</v>
      </c>
      <c r="H5974">
        <v>0.20364721020575099</v>
      </c>
      <c r="I5974">
        <v>0.18909980800113499</v>
      </c>
      <c r="J5974">
        <v>0.19397394672853599</v>
      </c>
      <c r="K5974">
        <v>0.17657471015943299</v>
      </c>
      <c r="L5974">
        <v>709.58000965046006</v>
      </c>
      <c r="M5974">
        <v>14.552078504916301</v>
      </c>
      <c r="N5974">
        <v>50.258221853657197</v>
      </c>
      <c r="O5974">
        <v>47.868356465884702</v>
      </c>
      <c r="P5974">
        <v>-6.2643172521634302E-2</v>
      </c>
      <c r="Q5974">
        <v>0.17584720189177</v>
      </c>
      <c r="R5974">
        <v>0.99480188915204004</v>
      </c>
      <c r="S5974" t="s">
        <v>12259</v>
      </c>
      <c r="T5974" t="s">
        <v>12568</v>
      </c>
      <c r="U5974" t="s">
        <v>12568</v>
      </c>
      <c r="V5974" t="s">
        <v>12568</v>
      </c>
      <c r="W5974" t="s">
        <v>18489</v>
      </c>
      <c r="X5974">
        <v>1</v>
      </c>
      <c r="Y5974" t="s">
        <v>24569</v>
      </c>
      <c r="Z5974" t="s">
        <v>30844</v>
      </c>
      <c r="AA5974">
        <v>0.43827841517568389</v>
      </c>
      <c r="AB5974" t="str">
        <f>HYPERLINK("Melting_Curves/meltCurve_Q9ULW8_PADI3.pdf", "Melting_Curves/meltCurve_Q9ULW8_PADI3.pdf")</f>
        <v>Melting_Curves/meltCurve_Q9ULW8_PADI3.pdf</v>
      </c>
    </row>
    <row r="5975" spans="1:28" x14ac:dyDescent="0.25">
      <c r="A5975" t="s">
        <v>5979</v>
      </c>
      <c r="B5975">
        <v>0.99352677808782597</v>
      </c>
      <c r="C5975">
        <v>0.84560559942960001</v>
      </c>
      <c r="D5975">
        <v>0.88686057203683499</v>
      </c>
      <c r="E5975">
        <v>0.33866191813779201</v>
      </c>
      <c r="F5975">
        <v>0.28152477153351002</v>
      </c>
      <c r="G5975">
        <v>0.16108877107591499</v>
      </c>
      <c r="H5975">
        <v>9.6348308927982199E-2</v>
      </c>
      <c r="I5975">
        <v>8.7096945926925406E-2</v>
      </c>
      <c r="J5975">
        <v>6.9909784425586402E-2</v>
      </c>
      <c r="K5975">
        <v>6.44491808167591E-2</v>
      </c>
      <c r="L5975">
        <v>1005.6702093203101</v>
      </c>
      <c r="M5975">
        <v>20.639892822006299</v>
      </c>
      <c r="N5975">
        <v>49.156716416343301</v>
      </c>
      <c r="O5975">
        <v>48.274131004262003</v>
      </c>
      <c r="P5975">
        <v>-9.8023569629660898E-2</v>
      </c>
      <c r="Q5975">
        <v>8.2967111582200007E-2</v>
      </c>
      <c r="R5975">
        <v>0.97532997469793503</v>
      </c>
      <c r="S5975" t="s">
        <v>12260</v>
      </c>
      <c r="T5975" t="s">
        <v>12568</v>
      </c>
      <c r="U5975" t="s">
        <v>12568</v>
      </c>
      <c r="V5975" t="s">
        <v>12568</v>
      </c>
      <c r="W5975" t="s">
        <v>18490</v>
      </c>
      <c r="X5975">
        <v>7</v>
      </c>
      <c r="Y5975" t="s">
        <v>24570</v>
      </c>
      <c r="Z5975" t="s">
        <v>30845</v>
      </c>
      <c r="AA5975">
        <v>0.36173167143731039</v>
      </c>
      <c r="AB5975" t="str">
        <f>HYPERLINK("Melting_Curves/meltCurve_Q9ULX3_NOB1.pdf", "Melting_Curves/meltCurve_Q9ULX3_NOB1.pdf")</f>
        <v>Melting_Curves/meltCurve_Q9ULX3_NOB1.pdf</v>
      </c>
    </row>
    <row r="5976" spans="1:28" x14ac:dyDescent="0.25">
      <c r="A5976" t="s">
        <v>5980</v>
      </c>
      <c r="B5976">
        <v>0.99352677808782597</v>
      </c>
      <c r="C5976">
        <v>0.95720145826298297</v>
      </c>
      <c r="D5976">
        <v>1.0190768018563101</v>
      </c>
      <c r="E5976">
        <v>0.77280049328323197</v>
      </c>
      <c r="F5976">
        <v>0.59787320512098596</v>
      </c>
      <c r="G5976">
        <v>0.40942060956618898</v>
      </c>
      <c r="H5976">
        <v>0.201780418585113</v>
      </c>
      <c r="I5976">
        <v>0.18012251415802899</v>
      </c>
      <c r="J5976">
        <v>0.19706128300241399</v>
      </c>
      <c r="K5976">
        <v>0.155168399717208</v>
      </c>
      <c r="L5976">
        <v>915.96266068334501</v>
      </c>
      <c r="M5976">
        <v>17.113325207727001</v>
      </c>
      <c r="N5976">
        <v>54.609837301714897</v>
      </c>
      <c r="O5976">
        <v>52.808548052837402</v>
      </c>
      <c r="P5976">
        <v>-6.9330817702524694E-2</v>
      </c>
      <c r="Q5976">
        <v>0.14428334699729001</v>
      </c>
      <c r="R5976">
        <v>0.99113215952995004</v>
      </c>
      <c r="S5976" t="s">
        <v>12261</v>
      </c>
      <c r="T5976" t="s">
        <v>12568</v>
      </c>
      <c r="U5976" t="s">
        <v>12568</v>
      </c>
      <c r="V5976" t="s">
        <v>12568</v>
      </c>
      <c r="W5976" t="s">
        <v>18491</v>
      </c>
      <c r="X5976">
        <v>2</v>
      </c>
      <c r="Y5976" t="s">
        <v>24571</v>
      </c>
      <c r="Z5976" t="s">
        <v>30846</v>
      </c>
      <c r="AA5976">
        <v>0.54497994110769798</v>
      </c>
      <c r="AB5976" t="str">
        <f>HYPERLINK("Melting_Curves/meltCurve_Q9ULX6_AKAP8L.pdf", "Melting_Curves/meltCurve_Q9ULX6_AKAP8L.pdf")</f>
        <v>Melting_Curves/meltCurve_Q9ULX6_AKAP8L.pdf</v>
      </c>
    </row>
    <row r="5977" spans="1:28" x14ac:dyDescent="0.25">
      <c r="A5977" t="s">
        <v>5981</v>
      </c>
      <c r="B5977">
        <v>0.99352677808782597</v>
      </c>
      <c r="C5977">
        <v>1.02857161920595</v>
      </c>
      <c r="D5977">
        <v>0.98347359484475705</v>
      </c>
      <c r="E5977">
        <v>0.58594334693112804</v>
      </c>
      <c r="F5977">
        <v>0.53228743824927105</v>
      </c>
      <c r="G5977">
        <v>0.348983834693675</v>
      </c>
      <c r="H5977">
        <v>0.29439798255171101</v>
      </c>
      <c r="I5977">
        <v>0.32044815240089602</v>
      </c>
      <c r="J5977">
        <v>0.29772904947747703</v>
      </c>
      <c r="K5977">
        <v>0.28586845964921798</v>
      </c>
      <c r="L5977">
        <v>1140.48581916222</v>
      </c>
      <c r="M5977">
        <v>22.732665834204902</v>
      </c>
      <c r="N5977">
        <v>52.297257440337802</v>
      </c>
      <c r="O5977">
        <v>49.786078596875797</v>
      </c>
      <c r="P5977">
        <v>-7.9711917050314995E-2</v>
      </c>
      <c r="Q5977">
        <v>0.30171568184749498</v>
      </c>
      <c r="R5977">
        <v>0.98030105152887903</v>
      </c>
      <c r="S5977" t="s">
        <v>12262</v>
      </c>
      <c r="T5977" t="s">
        <v>12568</v>
      </c>
      <c r="U5977" t="s">
        <v>12568</v>
      </c>
      <c r="V5977" t="s">
        <v>12568</v>
      </c>
      <c r="W5977" t="s">
        <v>18492</v>
      </c>
      <c r="X5977">
        <v>1</v>
      </c>
      <c r="Y5977" t="s">
        <v>24572</v>
      </c>
      <c r="Z5977" t="s">
        <v>30847</v>
      </c>
      <c r="AA5977">
        <v>0.54597854466150741</v>
      </c>
      <c r="AB5977" t="str">
        <f>HYPERLINK("Melting_Curves/meltCurve_Q9ULX9_2_MAFF.pdf", "Melting_Curves/meltCurve_Q9ULX9_2_MAFF.pdf")</f>
        <v>Melting_Curves/meltCurve_Q9ULX9_2_MAFF.pdf</v>
      </c>
    </row>
    <row r="5978" spans="1:28" x14ac:dyDescent="0.25">
      <c r="A5978" t="s">
        <v>5982</v>
      </c>
      <c r="B5978">
        <v>0.99352677808782597</v>
      </c>
      <c r="C5978">
        <v>0.96932546657632301</v>
      </c>
      <c r="D5978">
        <v>0.97010520174483506</v>
      </c>
      <c r="E5978">
        <v>0.77051660482353701</v>
      </c>
      <c r="F5978">
        <v>0.63546804365095599</v>
      </c>
      <c r="G5978">
        <v>0.49788006004385699</v>
      </c>
      <c r="H5978">
        <v>0.31160601873425697</v>
      </c>
      <c r="I5978">
        <v>0.20220799174726001</v>
      </c>
      <c r="J5978">
        <v>0.14999192435685599</v>
      </c>
      <c r="K5978">
        <v>0.113888733419535</v>
      </c>
      <c r="L5978">
        <v>614.22899312205004</v>
      </c>
      <c r="M5978">
        <v>10.921649853890001</v>
      </c>
      <c r="N5978">
        <v>56.312565400582002</v>
      </c>
      <c r="O5978">
        <v>54.452706750478796</v>
      </c>
      <c r="P5978">
        <v>-4.9807735906052697E-2</v>
      </c>
      <c r="Q5978">
        <v>7.0270926885652903E-3</v>
      </c>
      <c r="R5978">
        <v>0.99535397845301199</v>
      </c>
      <c r="S5978" t="s">
        <v>12263</v>
      </c>
      <c r="T5978" t="s">
        <v>12568</v>
      </c>
      <c r="U5978" t="s">
        <v>12568</v>
      </c>
      <c r="V5978" t="s">
        <v>12568</v>
      </c>
      <c r="W5978" t="s">
        <v>18493</v>
      </c>
      <c r="X5978">
        <v>12</v>
      </c>
      <c r="Y5978" t="s">
        <v>24573</v>
      </c>
      <c r="Z5978" t="s">
        <v>30848</v>
      </c>
      <c r="AA5978">
        <v>0.5643384232113553</v>
      </c>
      <c r="AB5978" t="str">
        <f>HYPERLINK("Melting_Curves/meltCurve_Q9ULZ3_PYCARD.pdf", "Melting_Curves/meltCurve_Q9ULZ3_PYCARD.pdf")</f>
        <v>Melting_Curves/meltCurve_Q9ULZ3_PYCARD.pdf</v>
      </c>
    </row>
    <row r="5979" spans="1:28" x14ac:dyDescent="0.25">
      <c r="A5979" t="s">
        <v>5983</v>
      </c>
      <c r="B5979">
        <v>0.99352677808782597</v>
      </c>
      <c r="C5979">
        <v>0.94199164543997105</v>
      </c>
      <c r="D5979">
        <v>0.949289008009504</v>
      </c>
      <c r="E5979">
        <v>0.82392219499333996</v>
      </c>
      <c r="F5979">
        <v>0.68524735732643205</v>
      </c>
      <c r="G5979">
        <v>0.29419884344542802</v>
      </c>
      <c r="H5979">
        <v>0.124784707479847</v>
      </c>
      <c r="I5979">
        <v>9.5372791868509596E-2</v>
      </c>
      <c r="J5979">
        <v>9.4992171654418506E-2</v>
      </c>
      <c r="K5979">
        <v>7.4112122558308804E-2</v>
      </c>
      <c r="L5979">
        <v>1111.91157770276</v>
      </c>
      <c r="M5979">
        <v>20.4983302238901</v>
      </c>
      <c r="N5979">
        <v>54.572963676364999</v>
      </c>
      <c r="O5979">
        <v>53.735666821545003</v>
      </c>
      <c r="P5979">
        <v>-8.9826915759917497E-2</v>
      </c>
      <c r="Q5979">
        <v>5.8115142706049901E-2</v>
      </c>
      <c r="R5979">
        <v>0.99444772266815795</v>
      </c>
      <c r="S5979" t="s">
        <v>12264</v>
      </c>
      <c r="T5979" t="s">
        <v>12568</v>
      </c>
      <c r="U5979" t="s">
        <v>12568</v>
      </c>
      <c r="V5979" t="s">
        <v>12568</v>
      </c>
      <c r="W5979" t="s">
        <v>18494</v>
      </c>
      <c r="X5979">
        <v>2</v>
      </c>
      <c r="Y5979" t="s">
        <v>24574</v>
      </c>
      <c r="Z5979" t="s">
        <v>30849</v>
      </c>
      <c r="AA5979">
        <v>0.51757964981881466</v>
      </c>
      <c r="AB5979" t="str">
        <f>HYPERLINK("Melting_Curves/meltCurve_Q9UM13_ANAPC10.pdf", "Melting_Curves/meltCurve_Q9UM13_ANAPC10.pdf")</f>
        <v>Melting_Curves/meltCurve_Q9UM13_ANAPC10.pdf</v>
      </c>
    </row>
    <row r="5980" spans="1:28" x14ac:dyDescent="0.25">
      <c r="A5980" t="s">
        <v>5984</v>
      </c>
      <c r="B5980">
        <v>0.99352677808782597</v>
      </c>
      <c r="C5980">
        <v>1.07284785521252</v>
      </c>
      <c r="D5980">
        <v>1.0842826247492099</v>
      </c>
      <c r="E5980">
        <v>1.0750664849917899</v>
      </c>
      <c r="F5980">
        <v>0.88750897047376998</v>
      </c>
      <c r="G5980">
        <v>0.85015644214121999</v>
      </c>
      <c r="H5980">
        <v>0.82211425918693504</v>
      </c>
      <c r="I5980">
        <v>0.78994010610126097</v>
      </c>
      <c r="J5980">
        <v>0.83158890159700904</v>
      </c>
      <c r="K5980">
        <v>0.50216455793509696</v>
      </c>
      <c r="L5980">
        <v>636.30000816618099</v>
      </c>
      <c r="M5980">
        <v>8.6922820827825191</v>
      </c>
      <c r="O5980">
        <v>69.6380171837815</v>
      </c>
      <c r="P5980">
        <v>-3.1231075932676201E-2</v>
      </c>
      <c r="Q5980">
        <v>0</v>
      </c>
      <c r="R5980">
        <v>0.77834067343951396</v>
      </c>
      <c r="S5980" t="s">
        <v>12265</v>
      </c>
      <c r="T5980" t="s">
        <v>12568</v>
      </c>
      <c r="U5980" t="s">
        <v>12568</v>
      </c>
      <c r="V5980" t="s">
        <v>12568</v>
      </c>
      <c r="W5980" t="s">
        <v>18495</v>
      </c>
      <c r="X5980">
        <v>6</v>
      </c>
      <c r="Y5980" t="s">
        <v>24575</v>
      </c>
      <c r="Z5980" t="s">
        <v>30850</v>
      </c>
      <c r="AA5980">
        <v>0.89294166951283682</v>
      </c>
      <c r="AB5980" t="str">
        <f>HYPERLINK("Melting_Curves/meltCurve_Q9UM22_EPDR1.pdf", "Melting_Curves/meltCurve_Q9UM22_EPDR1.pdf")</f>
        <v>Melting_Curves/meltCurve_Q9UM22_EPDR1.pdf</v>
      </c>
    </row>
    <row r="5981" spans="1:28" x14ac:dyDescent="0.25">
      <c r="A5981" t="s">
        <v>5985</v>
      </c>
      <c r="B5981">
        <v>0.99352677808782597</v>
      </c>
      <c r="C5981">
        <v>1.1402648962041799</v>
      </c>
      <c r="D5981">
        <v>0.66324617050730705</v>
      </c>
      <c r="E5981">
        <v>0.26290454055694501</v>
      </c>
      <c r="F5981">
        <v>0.20274074623011901</v>
      </c>
      <c r="G5981">
        <v>0.117027966651038</v>
      </c>
      <c r="H5981">
        <v>9.5375128163817297E-2</v>
      </c>
      <c r="I5981">
        <v>0.114101624416434</v>
      </c>
      <c r="J5981">
        <v>7.0198585019648194E-2</v>
      </c>
      <c r="K5981">
        <v>5.70703608167209E-2</v>
      </c>
      <c r="L5981">
        <v>1459.6467877063899</v>
      </c>
      <c r="M5981">
        <v>30.931207183968802</v>
      </c>
      <c r="N5981">
        <v>47.552133374590397</v>
      </c>
      <c r="O5981">
        <v>46.994169277511403</v>
      </c>
      <c r="P5981">
        <v>-0.14728660354329101</v>
      </c>
      <c r="Q5981">
        <v>0.104907661180088</v>
      </c>
      <c r="R5981">
        <v>0.97023623667898296</v>
      </c>
      <c r="S5981" t="s">
        <v>12266</v>
      </c>
      <c r="T5981" t="s">
        <v>12568</v>
      </c>
      <c r="U5981" t="s">
        <v>12568</v>
      </c>
      <c r="V5981" t="s">
        <v>12568</v>
      </c>
      <c r="W5981" t="s">
        <v>18496</v>
      </c>
      <c r="X5981">
        <v>23</v>
      </c>
      <c r="Y5981" t="s">
        <v>22078</v>
      </c>
      <c r="Z5981" t="s">
        <v>30851</v>
      </c>
      <c r="AA5981">
        <v>0.32446292930551057</v>
      </c>
      <c r="AB5981" t="str">
        <f>HYPERLINK("Melting_Curves/meltCurve_Q9UM54_6_MYO6.pdf", "Melting_Curves/meltCurve_Q9UM54_6_MYO6.pdf")</f>
        <v>Melting_Curves/meltCurve_Q9UM54_6_MYO6.pdf</v>
      </c>
    </row>
    <row r="5982" spans="1:28" x14ac:dyDescent="0.25">
      <c r="A5982" t="s">
        <v>5986</v>
      </c>
      <c r="B5982">
        <v>0.99352677808782597</v>
      </c>
      <c r="C5982">
        <v>0.96690417028264097</v>
      </c>
      <c r="D5982">
        <v>0.81923311279320699</v>
      </c>
      <c r="E5982">
        <v>0.49528958594665201</v>
      </c>
      <c r="F5982">
        <v>0.38112655606495899</v>
      </c>
      <c r="G5982">
        <v>0.310627081554739</v>
      </c>
      <c r="H5982">
        <v>0.23430164467482401</v>
      </c>
      <c r="I5982">
        <v>0.249786796617676</v>
      </c>
      <c r="J5982">
        <v>0.19737388641893999</v>
      </c>
      <c r="K5982">
        <v>0.157391743677156</v>
      </c>
      <c r="L5982">
        <v>867.90020829120397</v>
      </c>
      <c r="M5982">
        <v>17.718323091608099</v>
      </c>
      <c r="N5982">
        <v>50.497062950029303</v>
      </c>
      <c r="O5982">
        <v>48.3720296364815</v>
      </c>
      <c r="P5982">
        <v>-7.2708867164226101E-2</v>
      </c>
      <c r="Q5982">
        <v>0.20604433290551799</v>
      </c>
      <c r="R5982">
        <v>0.99128955035069199</v>
      </c>
      <c r="S5982" t="s">
        <v>12267</v>
      </c>
      <c r="T5982" t="s">
        <v>12568</v>
      </c>
      <c r="U5982" t="s">
        <v>12568</v>
      </c>
      <c r="V5982" t="s">
        <v>12568</v>
      </c>
      <c r="W5982" t="s">
        <v>18497</v>
      </c>
      <c r="X5982">
        <v>2</v>
      </c>
      <c r="Y5982" t="s">
        <v>24576</v>
      </c>
      <c r="Z5982" t="s">
        <v>30852</v>
      </c>
      <c r="AA5982">
        <v>0.45798183629519051</v>
      </c>
      <c r="AB5982" t="str">
        <f>HYPERLINK("Melting_Curves/meltCurve_Q9UM82_SPATA2.pdf", "Melting_Curves/meltCurve_Q9UM82_SPATA2.pdf")</f>
        <v>Melting_Curves/meltCurve_Q9UM82_SPATA2.pdf</v>
      </c>
    </row>
    <row r="5983" spans="1:28" x14ac:dyDescent="0.25">
      <c r="A5983" t="s">
        <v>5987</v>
      </c>
      <c r="B5983">
        <v>0.99352677808782597</v>
      </c>
      <c r="C5983">
        <v>0.85960267817378899</v>
      </c>
      <c r="D5983">
        <v>0.80079458067049203</v>
      </c>
      <c r="E5983">
        <v>0.65884399182245401</v>
      </c>
      <c r="F5983">
        <v>0.58309902576991801</v>
      </c>
      <c r="G5983">
        <v>0.51437634204688898</v>
      </c>
      <c r="H5983">
        <v>0.45432214839822899</v>
      </c>
      <c r="I5983">
        <v>0.45369174596001199</v>
      </c>
      <c r="J5983">
        <v>0.44386472697441298</v>
      </c>
      <c r="K5983">
        <v>0.40511474010703402</v>
      </c>
      <c r="L5983">
        <v>530.75864480068503</v>
      </c>
      <c r="M5983">
        <v>10.8721179633198</v>
      </c>
      <c r="N5983">
        <v>57.436587598999502</v>
      </c>
      <c r="O5983">
        <v>47.253825354768303</v>
      </c>
      <c r="P5983">
        <v>-3.4399366020403201E-2</v>
      </c>
      <c r="Q5983">
        <v>0.40216683827514199</v>
      </c>
      <c r="R5983">
        <v>0.99034070006945696</v>
      </c>
      <c r="S5983" t="s">
        <v>12268</v>
      </c>
      <c r="T5983" t="s">
        <v>12568</v>
      </c>
      <c r="U5983" t="s">
        <v>12568</v>
      </c>
      <c r="V5983" t="s">
        <v>12568</v>
      </c>
      <c r="W5983" t="s">
        <v>18498</v>
      </c>
      <c r="X5983">
        <v>11</v>
      </c>
      <c r="Y5983" t="s">
        <v>24577</v>
      </c>
      <c r="Z5983" t="s">
        <v>30853</v>
      </c>
      <c r="AA5983">
        <v>0.60400322415053287</v>
      </c>
      <c r="AB5983" t="str">
        <f>HYPERLINK("Melting_Curves/meltCurve_Q9UMN6_WBP7.pdf", "Melting_Curves/meltCurve_Q9UMN6_WBP7.pdf")</f>
        <v>Melting_Curves/meltCurve_Q9UMN6_WBP7.pdf</v>
      </c>
    </row>
    <row r="5984" spans="1:28" x14ac:dyDescent="0.25">
      <c r="A5984" t="s">
        <v>5988</v>
      </c>
      <c r="B5984">
        <v>0.99352677808782597</v>
      </c>
      <c r="C5984">
        <v>0.97370714217304599</v>
      </c>
      <c r="D5984">
        <v>1.04442744227826</v>
      </c>
      <c r="E5984">
        <v>1.04610184819938</v>
      </c>
      <c r="F5984">
        <v>0.93780628878799899</v>
      </c>
      <c r="G5984">
        <v>0.86428339086791095</v>
      </c>
      <c r="H5984">
        <v>0.70719668373816003</v>
      </c>
      <c r="I5984">
        <v>0.78179145240022496</v>
      </c>
      <c r="J5984">
        <v>0.81175172446087895</v>
      </c>
      <c r="K5984">
        <v>0.65364950913617403</v>
      </c>
      <c r="L5984">
        <v>1756.7894742861799</v>
      </c>
      <c r="M5984">
        <v>31.158074400159599</v>
      </c>
      <c r="O5984">
        <v>56.152393704521899</v>
      </c>
      <c r="P5984">
        <v>-3.6960454215730298E-2</v>
      </c>
      <c r="Q5984">
        <v>0.73356423534814297</v>
      </c>
      <c r="R5984">
        <v>0.86806918162455704</v>
      </c>
      <c r="S5984" t="s">
        <v>12269</v>
      </c>
      <c r="T5984" t="s">
        <v>12568</v>
      </c>
      <c r="U5984" t="s">
        <v>12568</v>
      </c>
      <c r="V5984" t="s">
        <v>12568</v>
      </c>
      <c r="W5984" t="s">
        <v>18499</v>
      </c>
      <c r="X5984">
        <v>7</v>
      </c>
      <c r="Y5984" t="s">
        <v>24578</v>
      </c>
      <c r="Z5984" t="s">
        <v>30854</v>
      </c>
      <c r="AA5984">
        <v>0.88072482781934414</v>
      </c>
      <c r="AB5984" t="str">
        <f>HYPERLINK("Melting_Curves/meltCurve_Q9UMS0_3_NFU1.pdf", "Melting_Curves/meltCurve_Q9UMS0_3_NFU1.pdf")</f>
        <v>Melting_Curves/meltCurve_Q9UMS0_3_NFU1.pdf</v>
      </c>
    </row>
    <row r="5985" spans="1:28" x14ac:dyDescent="0.25">
      <c r="A5985" t="s">
        <v>5989</v>
      </c>
      <c r="B5985">
        <v>0.99352677808782597</v>
      </c>
      <c r="C5985">
        <v>0.97779403040778001</v>
      </c>
      <c r="D5985">
        <v>0.93492711903968895</v>
      </c>
      <c r="E5985">
        <v>1.02995444403574</v>
      </c>
      <c r="F5985">
        <v>0.87182871099583203</v>
      </c>
      <c r="G5985">
        <v>0.52630823782573699</v>
      </c>
      <c r="H5985">
        <v>0.205416563579046</v>
      </c>
      <c r="I5985">
        <v>0.15015706015414901</v>
      </c>
      <c r="J5985">
        <v>9.2687231126048694E-2</v>
      </c>
      <c r="K5985">
        <v>7.1826024779868602E-2</v>
      </c>
      <c r="L5985">
        <v>1507.46423796157</v>
      </c>
      <c r="M5985">
        <v>26.503876240407699</v>
      </c>
      <c r="N5985">
        <v>57.2527149390312</v>
      </c>
      <c r="O5985">
        <v>56.556287959297897</v>
      </c>
      <c r="P5985">
        <v>-0.107809328623759</v>
      </c>
      <c r="Q5985">
        <v>7.9797935466694905E-2</v>
      </c>
      <c r="R5985">
        <v>0.99463780030438498</v>
      </c>
      <c r="S5985" t="s">
        <v>12270</v>
      </c>
      <c r="T5985" t="s">
        <v>12568</v>
      </c>
      <c r="U5985" t="s">
        <v>12568</v>
      </c>
      <c r="V5985" t="s">
        <v>12568</v>
      </c>
      <c r="W5985" t="s">
        <v>18500</v>
      </c>
      <c r="X5985">
        <v>10</v>
      </c>
      <c r="Y5985" t="s">
        <v>24579</v>
      </c>
      <c r="Z5985" t="s">
        <v>30855</v>
      </c>
      <c r="AA5985">
        <v>0.60505016795597366</v>
      </c>
      <c r="AB5985" t="str">
        <f>HYPERLINK("Melting_Curves/meltCurve_Q9UMS4_PRPF19.pdf", "Melting_Curves/meltCurve_Q9UMS4_PRPF19.pdf")</f>
        <v>Melting_Curves/meltCurve_Q9UMS4_PRPF19.pdf</v>
      </c>
    </row>
    <row r="5986" spans="1:28" x14ac:dyDescent="0.25">
      <c r="A5986" t="s">
        <v>5990</v>
      </c>
      <c r="B5986">
        <v>0.99352677808782597</v>
      </c>
      <c r="C5986">
        <v>0.90193272409962499</v>
      </c>
      <c r="D5986">
        <v>0.97167598326105797</v>
      </c>
      <c r="E5986">
        <v>0.56407751275880602</v>
      </c>
      <c r="F5986">
        <v>0.55603687334478102</v>
      </c>
      <c r="G5986">
        <v>0.39376503545281299</v>
      </c>
      <c r="H5986">
        <v>0.333492595343447</v>
      </c>
      <c r="I5986">
        <v>0.38259812768414297</v>
      </c>
      <c r="J5986">
        <v>0.32058786489256202</v>
      </c>
      <c r="K5986">
        <v>0.28188789656669699</v>
      </c>
      <c r="L5986">
        <v>886.47981986327795</v>
      </c>
      <c r="M5986">
        <v>17.762400684481499</v>
      </c>
      <c r="N5986">
        <v>52.967894580505103</v>
      </c>
      <c r="O5986">
        <v>49.287969716311402</v>
      </c>
      <c r="P5986">
        <v>-6.1193743240722603E-2</v>
      </c>
      <c r="Q5986">
        <v>0.32082181910200502</v>
      </c>
      <c r="R5986">
        <v>0.95978736480303795</v>
      </c>
      <c r="S5986" t="s">
        <v>12271</v>
      </c>
      <c r="T5986" t="s">
        <v>12568</v>
      </c>
      <c r="U5986" t="s">
        <v>12568</v>
      </c>
      <c r="V5986" t="s">
        <v>12568</v>
      </c>
      <c r="W5986" t="s">
        <v>18501</v>
      </c>
      <c r="X5986">
        <v>5</v>
      </c>
      <c r="Y5986" t="s">
        <v>24580</v>
      </c>
      <c r="Z5986" t="s">
        <v>30856</v>
      </c>
      <c r="AA5986">
        <v>0.55701766650818274</v>
      </c>
      <c r="AB5986" t="str">
        <f>HYPERLINK("Melting_Curves/meltCurve_Q9UMS6_SYNPO2.pdf", "Melting_Curves/meltCurve_Q9UMS6_SYNPO2.pdf")</f>
        <v>Melting_Curves/meltCurve_Q9UMS6_SYNPO2.pdf</v>
      </c>
    </row>
    <row r="5987" spans="1:28" x14ac:dyDescent="0.25">
      <c r="A5987" t="s">
        <v>5991</v>
      </c>
      <c r="B5987">
        <v>0.99352677808782597</v>
      </c>
      <c r="C5987">
        <v>0.98845601404055605</v>
      </c>
      <c r="D5987">
        <v>0.96131233487498002</v>
      </c>
      <c r="E5987">
        <v>0.84689678343656905</v>
      </c>
      <c r="F5987">
        <v>0.77340590579924495</v>
      </c>
      <c r="G5987">
        <v>0.59102937626434005</v>
      </c>
      <c r="H5987">
        <v>0.52427494011712295</v>
      </c>
      <c r="I5987">
        <v>0.53264081480697001</v>
      </c>
      <c r="J5987">
        <v>0.60637986937773503</v>
      </c>
      <c r="K5987">
        <v>0.43992371754030501</v>
      </c>
      <c r="L5987">
        <v>901.82261088681003</v>
      </c>
      <c r="M5987">
        <v>17.071821131600402</v>
      </c>
      <c r="O5987">
        <v>52.116368040297303</v>
      </c>
      <c r="P5987">
        <v>-4.0805596322028598E-2</v>
      </c>
      <c r="Q5987">
        <v>0.50174965386080495</v>
      </c>
      <c r="R5987">
        <v>0.96203185451797102</v>
      </c>
      <c r="S5987" t="s">
        <v>12272</v>
      </c>
      <c r="T5987" t="s">
        <v>12568</v>
      </c>
      <c r="U5987" t="s">
        <v>12568</v>
      </c>
      <c r="V5987" t="s">
        <v>12568</v>
      </c>
      <c r="W5987" t="s">
        <v>18502</v>
      </c>
      <c r="X5987">
        <v>11</v>
      </c>
      <c r="Y5987" t="s">
        <v>24581</v>
      </c>
      <c r="Z5987" t="s">
        <v>30857</v>
      </c>
      <c r="AA5987">
        <v>0.72365982504176751</v>
      </c>
      <c r="AB5987" t="str">
        <f>HYPERLINK("Melting_Curves/meltCurve_Q9UMX0_UBQLN1.pdf", "Melting_Curves/meltCurve_Q9UMX0_UBQLN1.pdf")</f>
        <v>Melting_Curves/meltCurve_Q9UMX0_UBQLN1.pdf</v>
      </c>
    </row>
    <row r="5988" spans="1:28" x14ac:dyDescent="0.25">
      <c r="A5988" t="s">
        <v>5992</v>
      </c>
      <c r="B5988">
        <v>0.99352677808782597</v>
      </c>
      <c r="C5988">
        <v>0.96108106136994198</v>
      </c>
      <c r="D5988">
        <v>0.92207953807853504</v>
      </c>
      <c r="E5988">
        <v>0.45448692101513699</v>
      </c>
      <c r="F5988">
        <v>0.39408740393188801</v>
      </c>
      <c r="G5988">
        <v>0.180324931078679</v>
      </c>
      <c r="H5988">
        <v>9.7041403288234795E-2</v>
      </c>
      <c r="I5988">
        <v>8.0269140179741696E-2</v>
      </c>
      <c r="J5988">
        <v>7.8976478729482005E-2</v>
      </c>
      <c r="K5988">
        <v>4.9090793689707597E-2</v>
      </c>
      <c r="L5988">
        <v>903.99610308621402</v>
      </c>
      <c r="M5988">
        <v>17.9961357266927</v>
      </c>
      <c r="N5988">
        <v>50.625392343451203</v>
      </c>
      <c r="O5988">
        <v>49.624817356020799</v>
      </c>
      <c r="P5988">
        <v>-8.4760365528128295E-2</v>
      </c>
      <c r="Q5988">
        <v>6.5129965423537606E-2</v>
      </c>
      <c r="R5988">
        <v>0.98583633475458499</v>
      </c>
      <c r="S5988" t="s">
        <v>12273</v>
      </c>
      <c r="T5988" t="s">
        <v>12568</v>
      </c>
      <c r="U5988" t="s">
        <v>12568</v>
      </c>
      <c r="V5988" t="s">
        <v>12568</v>
      </c>
      <c r="W5988" t="s">
        <v>18503</v>
      </c>
      <c r="X5988">
        <v>4</v>
      </c>
      <c r="Y5988" t="s">
        <v>24582</v>
      </c>
      <c r="Z5988" t="s">
        <v>30858</v>
      </c>
      <c r="AA5988">
        <v>0.3999097307015485</v>
      </c>
      <c r="AB5988" t="str">
        <f>HYPERLINK("Melting_Curves/meltCurve_Q9UMX1_SUFU.pdf", "Melting_Curves/meltCurve_Q9UMX1_SUFU.pdf")</f>
        <v>Melting_Curves/meltCurve_Q9UMX1_SUFU.pdf</v>
      </c>
    </row>
    <row r="5989" spans="1:28" x14ac:dyDescent="0.25">
      <c r="A5989" t="s">
        <v>5993</v>
      </c>
      <c r="B5989">
        <v>0.99352677808782597</v>
      </c>
      <c r="C5989">
        <v>0.99770993566105204</v>
      </c>
      <c r="D5989">
        <v>1.0128307214946299</v>
      </c>
      <c r="E5989">
        <v>0.93971624433582501</v>
      </c>
      <c r="F5989">
        <v>0.84949594800093797</v>
      </c>
      <c r="G5989">
        <v>0.76484824302895604</v>
      </c>
      <c r="H5989">
        <v>0.64041092429177005</v>
      </c>
      <c r="I5989">
        <v>0.72573540286674398</v>
      </c>
      <c r="J5989">
        <v>0.75395566406817704</v>
      </c>
      <c r="K5989">
        <v>0.66482345238606599</v>
      </c>
      <c r="L5989">
        <v>1339.56734970352</v>
      </c>
      <c r="M5989">
        <v>25.239477738559099</v>
      </c>
      <c r="O5989">
        <v>52.744475604361298</v>
      </c>
      <c r="P5989">
        <v>-3.6273267428613899E-2</v>
      </c>
      <c r="Q5989">
        <v>0.696794091568261</v>
      </c>
      <c r="R5989">
        <v>0.94427473332575595</v>
      </c>
      <c r="S5989" t="s">
        <v>12274</v>
      </c>
      <c r="T5989" t="s">
        <v>12568</v>
      </c>
      <c r="U5989" t="s">
        <v>12568</v>
      </c>
      <c r="V5989" t="s">
        <v>12568</v>
      </c>
      <c r="W5989" t="s">
        <v>18504</v>
      </c>
      <c r="X5989">
        <v>9</v>
      </c>
      <c r="Y5989" t="s">
        <v>24583</v>
      </c>
      <c r="Z5989" t="s">
        <v>30859</v>
      </c>
      <c r="AA5989">
        <v>0.8316777411601961</v>
      </c>
      <c r="AB5989" t="str">
        <f>HYPERLINK("Melting_Curves/meltCurve_Q9UMX5_NENF.pdf", "Melting_Curves/meltCurve_Q9UMX5_NENF.pdf")</f>
        <v>Melting_Curves/meltCurve_Q9UMX5_NENF.pdf</v>
      </c>
    </row>
    <row r="5990" spans="1:28" x14ac:dyDescent="0.25">
      <c r="A5990" t="s">
        <v>5994</v>
      </c>
      <c r="B5990">
        <v>0.99352677808782597</v>
      </c>
      <c r="C5990">
        <v>0.92588456683577103</v>
      </c>
      <c r="D5990">
        <v>0.93834263170956</v>
      </c>
      <c r="E5990">
        <v>0.85972344715474003</v>
      </c>
      <c r="F5990">
        <v>0.83361015174419895</v>
      </c>
      <c r="G5990">
        <v>0.73561630419909896</v>
      </c>
      <c r="H5990">
        <v>0.706534113119338</v>
      </c>
      <c r="I5990">
        <v>0.785337569073845</v>
      </c>
      <c r="J5990">
        <v>0.74212608164444105</v>
      </c>
      <c r="K5990">
        <v>0.71494714611423105</v>
      </c>
      <c r="L5990">
        <v>580.33121622535896</v>
      </c>
      <c r="M5990">
        <v>11.645766196591399</v>
      </c>
      <c r="O5990">
        <v>48.430626592732501</v>
      </c>
      <c r="P5990">
        <v>-1.70469048265613E-2</v>
      </c>
      <c r="Q5990">
        <v>0.71650854355562299</v>
      </c>
      <c r="R5990">
        <v>0.91979538999572596</v>
      </c>
      <c r="S5990" t="s">
        <v>12275</v>
      </c>
      <c r="T5990" t="s">
        <v>12568</v>
      </c>
      <c r="U5990" t="s">
        <v>12568</v>
      </c>
      <c r="V5990" t="s">
        <v>12568</v>
      </c>
      <c r="W5990" t="s">
        <v>18505</v>
      </c>
      <c r="X5990">
        <v>6</v>
      </c>
      <c r="Y5990" t="s">
        <v>24584</v>
      </c>
      <c r="Z5990" t="s">
        <v>30860</v>
      </c>
      <c r="AA5990">
        <v>0.81980477248331396</v>
      </c>
      <c r="AB5990" t="str">
        <f>HYPERLINK("Melting_Curves/meltCurve_Q9UMY1_NOL7.pdf", "Melting_Curves/meltCurve_Q9UMY1_NOL7.pdf")</f>
        <v>Melting_Curves/meltCurve_Q9UMY1_NOL7.pdf</v>
      </c>
    </row>
    <row r="5991" spans="1:28" x14ac:dyDescent="0.25">
      <c r="A5991" t="s">
        <v>5995</v>
      </c>
      <c r="B5991">
        <v>0.99352677808782597</v>
      </c>
      <c r="C5991">
        <v>0.95995459843351105</v>
      </c>
      <c r="D5991">
        <v>1.0063730832665401</v>
      </c>
      <c r="E5991">
        <v>0.75718687694721198</v>
      </c>
      <c r="F5991">
        <v>0.66578575508619997</v>
      </c>
      <c r="G5991">
        <v>0.36108970321939998</v>
      </c>
      <c r="H5991">
        <v>0.175564388738432</v>
      </c>
      <c r="I5991">
        <v>0.15717540324437099</v>
      </c>
      <c r="J5991">
        <v>0.13505353731567099</v>
      </c>
      <c r="K5991">
        <v>0.11371377989647199</v>
      </c>
      <c r="L5991">
        <v>911.91640560729502</v>
      </c>
      <c r="M5991">
        <v>16.857675922081899</v>
      </c>
      <c r="N5991">
        <v>54.738100596255002</v>
      </c>
      <c r="O5991">
        <v>53.351001641668198</v>
      </c>
      <c r="P5991">
        <v>-7.1902272691938204E-2</v>
      </c>
      <c r="Q5991">
        <v>8.9835794291479601E-2</v>
      </c>
      <c r="R5991">
        <v>0.99239715715465404</v>
      </c>
      <c r="S5991" t="s">
        <v>12276</v>
      </c>
      <c r="T5991" t="s">
        <v>12568</v>
      </c>
      <c r="U5991" t="s">
        <v>12568</v>
      </c>
      <c r="V5991" t="s">
        <v>12568</v>
      </c>
      <c r="W5991" t="s">
        <v>18506</v>
      </c>
      <c r="X5991">
        <v>15</v>
      </c>
      <c r="Y5991" t="s">
        <v>24585</v>
      </c>
      <c r="Z5991" t="s">
        <v>30861</v>
      </c>
      <c r="AA5991">
        <v>0.53341270564243648</v>
      </c>
      <c r="AB5991" t="str">
        <f>HYPERLINK("Melting_Curves/meltCurve_Q9UMY4_2_SNX12.pdf", "Melting_Curves/meltCurve_Q9UMY4_2_SNX12.pdf")</f>
        <v>Melting_Curves/meltCurve_Q9UMY4_2_SNX12.pdf</v>
      </c>
    </row>
    <row r="5992" spans="1:28" x14ac:dyDescent="0.25">
      <c r="A5992" t="s">
        <v>5996</v>
      </c>
      <c r="B5992">
        <v>0.99352677808782597</v>
      </c>
      <c r="C5992">
        <v>0.99781655580084805</v>
      </c>
      <c r="D5992">
        <v>0.938764769026327</v>
      </c>
      <c r="E5992">
        <v>0.72923881116704203</v>
      </c>
      <c r="F5992">
        <v>0.628106067273837</v>
      </c>
      <c r="G5992">
        <v>0.47246870226939602</v>
      </c>
      <c r="H5992">
        <v>0.41030008558673497</v>
      </c>
      <c r="I5992">
        <v>0.39570906662490102</v>
      </c>
      <c r="J5992">
        <v>0.44099296320817799</v>
      </c>
      <c r="K5992">
        <v>0.361317533799561</v>
      </c>
      <c r="L5992">
        <v>896.34089242324603</v>
      </c>
      <c r="M5992">
        <v>17.5045696902767</v>
      </c>
      <c r="N5992">
        <v>55.936094615589901</v>
      </c>
      <c r="O5992">
        <v>50.5518315891809</v>
      </c>
      <c r="P5992">
        <v>-5.3137719948787597E-2</v>
      </c>
      <c r="Q5992">
        <v>0.38620344275720297</v>
      </c>
      <c r="R5992">
        <v>0.991849791055601</v>
      </c>
      <c r="S5992" t="s">
        <v>12277</v>
      </c>
      <c r="T5992" t="s">
        <v>12568</v>
      </c>
      <c r="U5992" t="s">
        <v>12568</v>
      </c>
      <c r="V5992" t="s">
        <v>12568</v>
      </c>
      <c r="W5992" t="s">
        <v>18507</v>
      </c>
      <c r="X5992">
        <v>33</v>
      </c>
      <c r="Y5992" t="s">
        <v>24586</v>
      </c>
      <c r="Z5992" t="s">
        <v>30862</v>
      </c>
      <c r="AA5992">
        <v>0.6263196596173739</v>
      </c>
      <c r="AB5992" t="str">
        <f>HYPERLINK("Melting_Curves/meltCurve_Q9UMZ2_SYNRG.pdf", "Melting_Curves/meltCurve_Q9UMZ2_SYNRG.pdf")</f>
        <v>Melting_Curves/meltCurve_Q9UMZ2_SYNRG.pdf</v>
      </c>
    </row>
    <row r="5993" spans="1:28" x14ac:dyDescent="0.25">
      <c r="A5993" t="s">
        <v>5997</v>
      </c>
      <c r="B5993">
        <v>0.99352677808782597</v>
      </c>
      <c r="C5993">
        <v>1.0110412255449299</v>
      </c>
      <c r="D5993">
        <v>0.96452102627785197</v>
      </c>
      <c r="E5993">
        <v>0.86595445113632696</v>
      </c>
      <c r="F5993">
        <v>0.79395465865926995</v>
      </c>
      <c r="G5993">
        <v>0.43952503476312299</v>
      </c>
      <c r="H5993">
        <v>0.156753957504046</v>
      </c>
      <c r="I5993">
        <v>0.120552361927848</v>
      </c>
      <c r="J5993">
        <v>9.4551706579630301E-2</v>
      </c>
      <c r="K5993">
        <v>8.0358546061531505E-2</v>
      </c>
      <c r="L5993">
        <v>1154.09517725516</v>
      </c>
      <c r="M5993">
        <v>20.679692187681201</v>
      </c>
      <c r="N5993">
        <v>56.129325614945998</v>
      </c>
      <c r="O5993">
        <v>55.294134948731603</v>
      </c>
      <c r="P5993">
        <v>-8.8283882724702306E-2</v>
      </c>
      <c r="Q5993">
        <v>5.5799905669075001E-2</v>
      </c>
      <c r="R5993">
        <v>0.99566071361237796</v>
      </c>
      <c r="S5993" t="s">
        <v>12278</v>
      </c>
      <c r="T5993" t="s">
        <v>12568</v>
      </c>
      <c r="U5993" t="s">
        <v>12568</v>
      </c>
      <c r="V5993" t="s">
        <v>12568</v>
      </c>
      <c r="W5993" t="s">
        <v>18508</v>
      </c>
      <c r="X5993">
        <v>4</v>
      </c>
      <c r="Y5993" t="s">
        <v>24587</v>
      </c>
      <c r="Z5993" t="s">
        <v>30863</v>
      </c>
      <c r="AA5993">
        <v>0.56502438858604676</v>
      </c>
      <c r="AB5993" t="str">
        <f>HYPERLINK("Melting_Curves/meltCurve_Q9UN36_2_NDRG2.pdf", "Melting_Curves/meltCurve_Q9UN36_2_NDRG2.pdf")</f>
        <v>Melting_Curves/meltCurve_Q9UN36_2_NDRG2.pdf</v>
      </c>
    </row>
    <row r="5994" spans="1:28" x14ac:dyDescent="0.25">
      <c r="A5994" t="s">
        <v>5998</v>
      </c>
      <c r="B5994">
        <v>0.99352677808782597</v>
      </c>
      <c r="C5994">
        <v>0.757373706331672</v>
      </c>
      <c r="D5994">
        <v>0.45544613934940498</v>
      </c>
      <c r="E5994">
        <v>0.19091997488236501</v>
      </c>
      <c r="F5994">
        <v>0.143025926054239</v>
      </c>
      <c r="G5994">
        <v>9.8826911338617193E-2</v>
      </c>
      <c r="H5994">
        <v>6.72017855339649E-2</v>
      </c>
      <c r="I5994">
        <v>6.6296336078932802E-2</v>
      </c>
      <c r="J5994">
        <v>5.9964957141732902E-2</v>
      </c>
      <c r="K5994">
        <v>5.1010075771776402E-2</v>
      </c>
      <c r="L5994">
        <v>925.64898394604904</v>
      </c>
      <c r="M5994">
        <v>20.435216246646</v>
      </c>
      <c r="N5994">
        <v>45.6284737126294</v>
      </c>
      <c r="O5994">
        <v>44.869678178867098</v>
      </c>
      <c r="P5994">
        <v>-0.106002432857527</v>
      </c>
      <c r="Q5994">
        <v>6.9028141677814805E-2</v>
      </c>
      <c r="R5994">
        <v>0.99544244145668004</v>
      </c>
      <c r="S5994" t="s">
        <v>12279</v>
      </c>
      <c r="T5994" t="s">
        <v>12568</v>
      </c>
      <c r="U5994" t="s">
        <v>12568</v>
      </c>
      <c r="V5994" t="s">
        <v>12568</v>
      </c>
      <c r="W5994" t="s">
        <v>18509</v>
      </c>
      <c r="X5994">
        <v>14</v>
      </c>
      <c r="Y5994" t="s">
        <v>24588</v>
      </c>
      <c r="Z5994" t="s">
        <v>30864</v>
      </c>
      <c r="AA5994">
        <v>0.2479240941420908</v>
      </c>
      <c r="AB5994" t="str">
        <f>HYPERLINK("Melting_Curves/meltCurve_Q9UN37_VPS4A.pdf", "Melting_Curves/meltCurve_Q9UN37_VPS4A.pdf")</f>
        <v>Melting_Curves/meltCurve_Q9UN37_VPS4A.pdf</v>
      </c>
    </row>
    <row r="5995" spans="1:28" x14ac:dyDescent="0.25">
      <c r="A5995" t="s">
        <v>5999</v>
      </c>
      <c r="B5995">
        <v>0.99352677808782597</v>
      </c>
      <c r="C5995">
        <v>0.93922342309542695</v>
      </c>
      <c r="D5995">
        <v>0.88531184215960301</v>
      </c>
      <c r="E5995">
        <v>0.61941062036984995</v>
      </c>
      <c r="F5995">
        <v>0.667761836085081</v>
      </c>
      <c r="G5995">
        <v>0.47059314129886798</v>
      </c>
      <c r="H5995">
        <v>0.43487907734208803</v>
      </c>
      <c r="I5995">
        <v>0.43410677319630198</v>
      </c>
      <c r="J5995">
        <v>0.552539063265306</v>
      </c>
      <c r="K5995">
        <v>0.437420994448046</v>
      </c>
      <c r="L5995">
        <v>796.94353824875395</v>
      </c>
      <c r="M5995">
        <v>16.269572313657601</v>
      </c>
      <c r="N5995">
        <v>57.550105758342703</v>
      </c>
      <c r="O5995">
        <v>48.2615808465181</v>
      </c>
      <c r="P5995">
        <v>-4.5882918790225498E-2</v>
      </c>
      <c r="Q5995">
        <v>0.45561700712137998</v>
      </c>
      <c r="R5995">
        <v>0.94144985775592205</v>
      </c>
      <c r="S5995" t="s">
        <v>12280</v>
      </c>
      <c r="T5995" t="s">
        <v>12568</v>
      </c>
      <c r="U5995" t="s">
        <v>12568</v>
      </c>
      <c r="V5995" t="s">
        <v>12568</v>
      </c>
      <c r="W5995" t="s">
        <v>18510</v>
      </c>
      <c r="X5995">
        <v>3</v>
      </c>
      <c r="Y5995" t="s">
        <v>24589</v>
      </c>
      <c r="Z5995" t="s">
        <v>30865</v>
      </c>
      <c r="AA5995">
        <v>0.63014509646895289</v>
      </c>
      <c r="AB5995" t="str">
        <f>HYPERLINK("Melting_Curves/meltCurve_Q9UN79_SOX13.pdf", "Melting_Curves/meltCurve_Q9UN79_SOX13.pdf")</f>
        <v>Melting_Curves/meltCurve_Q9UN79_SOX13.pdf</v>
      </c>
    </row>
    <row r="5996" spans="1:28" x14ac:dyDescent="0.25">
      <c r="A5996" t="s">
        <v>6000</v>
      </c>
      <c r="B5996">
        <v>0.99352677808782597</v>
      </c>
      <c r="C5996">
        <v>0.93814274961615196</v>
      </c>
      <c r="D5996">
        <v>0.91416143655509996</v>
      </c>
      <c r="E5996">
        <v>0.63874539072264103</v>
      </c>
      <c r="F5996">
        <v>0.55484334924675804</v>
      </c>
      <c r="G5996">
        <v>0.37223079082539301</v>
      </c>
      <c r="H5996">
        <v>0.30425390071316</v>
      </c>
      <c r="I5996">
        <v>0.31243250499949499</v>
      </c>
      <c r="J5996">
        <v>0.31559422363477202</v>
      </c>
      <c r="K5996">
        <v>0.290471464330741</v>
      </c>
      <c r="L5996">
        <v>824.68011797281497</v>
      </c>
      <c r="M5996">
        <v>16.302028630312499</v>
      </c>
      <c r="N5996">
        <v>53.3564768575567</v>
      </c>
      <c r="O5996">
        <v>49.8447317039833</v>
      </c>
      <c r="P5996">
        <v>-5.8430208041735501E-2</v>
      </c>
      <c r="Q5996">
        <v>0.285432345313261</v>
      </c>
      <c r="R5996">
        <v>0.99260648830081999</v>
      </c>
      <c r="S5996" t="s">
        <v>12281</v>
      </c>
      <c r="T5996" t="s">
        <v>12568</v>
      </c>
      <c r="U5996" t="s">
        <v>12568</v>
      </c>
      <c r="V5996" t="s">
        <v>12568</v>
      </c>
      <c r="W5996" t="s">
        <v>18511</v>
      </c>
      <c r="X5996">
        <v>12</v>
      </c>
      <c r="Y5996" t="s">
        <v>24590</v>
      </c>
      <c r="Z5996" t="s">
        <v>30866</v>
      </c>
      <c r="AA5996">
        <v>0.5520893862765085</v>
      </c>
      <c r="AB5996" t="str">
        <f>HYPERLINK("Melting_Curves/meltCurve_Q9UN86_2_G3BP2.pdf", "Melting_Curves/meltCurve_Q9UN86_2_G3BP2.pdf")</f>
        <v>Melting_Curves/meltCurve_Q9UN86_2_G3BP2.pdf</v>
      </c>
    </row>
    <row r="5997" spans="1:28" x14ac:dyDescent="0.25">
      <c r="A5997" t="s">
        <v>6001</v>
      </c>
      <c r="B5997">
        <v>0.99352677808782597</v>
      </c>
      <c r="C5997">
        <v>0.88995996671083899</v>
      </c>
      <c r="D5997">
        <v>0.717070253151878</v>
      </c>
      <c r="E5997">
        <v>0.21710801538667501</v>
      </c>
      <c r="F5997">
        <v>0.16568818455908099</v>
      </c>
      <c r="G5997">
        <v>0.10191594235258999</v>
      </c>
      <c r="H5997">
        <v>6.4959197176664596E-2</v>
      </c>
      <c r="I5997">
        <v>6.8144617575534305E-2</v>
      </c>
      <c r="J5997">
        <v>5.3803652586008797E-2</v>
      </c>
      <c r="K5997">
        <v>6.2407397662312798E-2</v>
      </c>
      <c r="L5997">
        <v>1171.07528922441</v>
      </c>
      <c r="M5997">
        <v>24.782347884608999</v>
      </c>
      <c r="N5997">
        <v>47.536536512093797</v>
      </c>
      <c r="O5997">
        <v>46.949959137643603</v>
      </c>
      <c r="P5997">
        <v>-0.12293874020140599</v>
      </c>
      <c r="Q5997">
        <v>6.8387359803780606E-2</v>
      </c>
      <c r="R5997">
        <v>0.99492825206980096</v>
      </c>
      <c r="S5997" t="s">
        <v>12282</v>
      </c>
      <c r="T5997" t="s">
        <v>12568</v>
      </c>
      <c r="U5997" t="s">
        <v>12568</v>
      </c>
      <c r="V5997" t="s">
        <v>12568</v>
      </c>
      <c r="W5997" t="s">
        <v>18512</v>
      </c>
      <c r="X5997">
        <v>4</v>
      </c>
      <c r="Y5997" t="s">
        <v>24591</v>
      </c>
      <c r="Z5997" t="s">
        <v>30867</v>
      </c>
      <c r="AA5997">
        <v>0.30210586127018102</v>
      </c>
      <c r="AB5997" t="str">
        <f>HYPERLINK("Melting_Curves/meltCurve_Q9UNA1_2_ARHGAP26.pdf", "Melting_Curves/meltCurve_Q9UNA1_2_ARHGAP26.pdf")</f>
        <v>Melting_Curves/meltCurve_Q9UNA1_2_ARHGAP26.pdf</v>
      </c>
    </row>
    <row r="5998" spans="1:28" x14ac:dyDescent="0.25">
      <c r="A5998" t="s">
        <v>6002</v>
      </c>
      <c r="B5998">
        <v>0.99352677808782597</v>
      </c>
      <c r="C5998">
        <v>0.95438617395652503</v>
      </c>
      <c r="D5998">
        <v>0.74892634372128597</v>
      </c>
      <c r="E5998">
        <v>0.35156895233804802</v>
      </c>
      <c r="F5998">
        <v>0.279623397347257</v>
      </c>
      <c r="G5998">
        <v>0.18243959734989901</v>
      </c>
      <c r="H5998">
        <v>0.12842568499077101</v>
      </c>
      <c r="I5998">
        <v>0.120486871302477</v>
      </c>
      <c r="J5998">
        <v>0.113547044338407</v>
      </c>
      <c r="K5998">
        <v>8.5585847278521102E-2</v>
      </c>
      <c r="L5998">
        <v>971.36549875841501</v>
      </c>
      <c r="M5998">
        <v>20.212541290562601</v>
      </c>
      <c r="N5998">
        <v>48.701083013041398</v>
      </c>
      <c r="O5998">
        <v>47.594578628817501</v>
      </c>
      <c r="P5998">
        <v>-9.3730724114770195E-2</v>
      </c>
      <c r="Q5998">
        <v>0.117194619056314</v>
      </c>
      <c r="R5998">
        <v>0.99433641711618603</v>
      </c>
      <c r="S5998" t="s">
        <v>12283</v>
      </c>
      <c r="T5998" t="s">
        <v>12568</v>
      </c>
      <c r="U5998" t="s">
        <v>12568</v>
      </c>
      <c r="V5998" t="s">
        <v>12568</v>
      </c>
      <c r="W5998" t="s">
        <v>18513</v>
      </c>
      <c r="X5998">
        <v>17</v>
      </c>
      <c r="Y5998" t="s">
        <v>24592</v>
      </c>
      <c r="Z5998" t="s">
        <v>30868</v>
      </c>
      <c r="AA5998">
        <v>0.36655732823741982</v>
      </c>
      <c r="AB5998" t="str">
        <f>HYPERLINK("Melting_Curves/meltCurve_Q9UNE7_STUB1.pdf", "Melting_Curves/meltCurve_Q9UNE7_STUB1.pdf")</f>
        <v>Melting_Curves/meltCurve_Q9UNE7_STUB1.pdf</v>
      </c>
    </row>
    <row r="5999" spans="1:28" x14ac:dyDescent="0.25">
      <c r="A5999" t="s">
        <v>6003</v>
      </c>
      <c r="B5999">
        <v>0.99352677808782597</v>
      </c>
      <c r="C5999">
        <v>0.94023182423310603</v>
      </c>
      <c r="D5999">
        <v>0.86531872626499795</v>
      </c>
      <c r="E5999">
        <v>0.40493413325051603</v>
      </c>
      <c r="F5999">
        <v>0.32698350587355002</v>
      </c>
      <c r="G5999">
        <v>0.217873401575961</v>
      </c>
      <c r="H5999">
        <v>0.15739394074695701</v>
      </c>
      <c r="I5999">
        <v>0.15892554720729599</v>
      </c>
      <c r="J5999">
        <v>0.13916108311207101</v>
      </c>
      <c r="K5999">
        <v>0.102602833182189</v>
      </c>
      <c r="L5999">
        <v>1047.9507764980201</v>
      </c>
      <c r="M5999">
        <v>21.463566082068098</v>
      </c>
      <c r="N5999">
        <v>49.619224206505301</v>
      </c>
      <c r="O5999">
        <v>48.406744292358397</v>
      </c>
      <c r="P5999">
        <v>-9.4731142611669095E-2</v>
      </c>
      <c r="Q5999">
        <v>0.145433202544519</v>
      </c>
      <c r="R5999">
        <v>0.989730091461966</v>
      </c>
      <c r="S5999" t="s">
        <v>12284</v>
      </c>
      <c r="T5999" t="s">
        <v>12568</v>
      </c>
      <c r="U5999" t="s">
        <v>12568</v>
      </c>
      <c r="V5999" t="s">
        <v>12568</v>
      </c>
      <c r="W5999" t="s">
        <v>18514</v>
      </c>
      <c r="X5999">
        <v>21</v>
      </c>
      <c r="Y5999" t="s">
        <v>24593</v>
      </c>
      <c r="Z5999" t="s">
        <v>30869</v>
      </c>
      <c r="AA5999">
        <v>0.40717903378538028</v>
      </c>
      <c r="AB5999" t="str">
        <f>HYPERLINK("Melting_Curves/meltCurve_Q9UNF0_PACSIN2.pdf", "Melting_Curves/meltCurve_Q9UNF0_PACSIN2.pdf")</f>
        <v>Melting_Curves/meltCurve_Q9UNF0_PACSIN2.pdf</v>
      </c>
    </row>
    <row r="6000" spans="1:28" x14ac:dyDescent="0.25">
      <c r="A6000" t="s">
        <v>6004</v>
      </c>
      <c r="B6000">
        <v>0.99352677808782597</v>
      </c>
      <c r="C6000">
        <v>0.891105931767597</v>
      </c>
      <c r="D6000">
        <v>0.64662974649764204</v>
      </c>
      <c r="E6000">
        <v>0.41012246465273899</v>
      </c>
      <c r="F6000">
        <v>0.36357158455712502</v>
      </c>
      <c r="G6000">
        <v>0.29038904028415502</v>
      </c>
      <c r="H6000">
        <v>0.231395023759007</v>
      </c>
      <c r="I6000">
        <v>0.24261770895770499</v>
      </c>
      <c r="J6000">
        <v>0.246580294546449</v>
      </c>
      <c r="K6000">
        <v>0.208528945763685</v>
      </c>
      <c r="L6000">
        <v>819.504879566878</v>
      </c>
      <c r="M6000">
        <v>17.5200099856274</v>
      </c>
      <c r="N6000">
        <v>48.548747696777603</v>
      </c>
      <c r="O6000">
        <v>46.178751765078502</v>
      </c>
      <c r="P6000">
        <v>-7.2435883756717306E-2</v>
      </c>
      <c r="Q6000">
        <v>0.236344321297844</v>
      </c>
      <c r="R6000">
        <v>0.99238272577580799</v>
      </c>
      <c r="S6000" t="s">
        <v>12285</v>
      </c>
      <c r="T6000" t="s">
        <v>12568</v>
      </c>
      <c r="U6000" t="s">
        <v>12568</v>
      </c>
      <c r="V6000" t="s">
        <v>12568</v>
      </c>
      <c r="W6000" t="s">
        <v>18515</v>
      </c>
      <c r="X6000">
        <v>20</v>
      </c>
      <c r="Y6000" t="s">
        <v>24594</v>
      </c>
      <c r="Z6000" t="s">
        <v>30870</v>
      </c>
      <c r="AA6000">
        <v>0.42393453910034601</v>
      </c>
      <c r="AB6000" t="str">
        <f>HYPERLINK("Melting_Curves/meltCurve_Q9UNF1_MAGED2.pdf", "Melting_Curves/meltCurve_Q9UNF1_MAGED2.pdf")</f>
        <v>Melting_Curves/meltCurve_Q9UNF1_MAGED2.pdf</v>
      </c>
    </row>
    <row r="6001" spans="1:28" x14ac:dyDescent="0.25">
      <c r="A6001" t="s">
        <v>6005</v>
      </c>
      <c r="B6001">
        <v>0.99352677808782597</v>
      </c>
      <c r="C6001">
        <v>1.0164455170526301</v>
      </c>
      <c r="D6001">
        <v>0.575862765753413</v>
      </c>
      <c r="E6001">
        <v>0.23128961517422</v>
      </c>
      <c r="F6001">
        <v>0.16348885619989401</v>
      </c>
      <c r="G6001">
        <v>9.5579592339075897E-2</v>
      </c>
      <c r="H6001">
        <v>5.7636491951674203E-2</v>
      </c>
      <c r="I6001">
        <v>5.9012799965247401E-2</v>
      </c>
      <c r="J6001">
        <v>4.2523695712987301E-2</v>
      </c>
      <c r="K6001">
        <v>3.3111432227041701E-2</v>
      </c>
      <c r="L6001">
        <v>1235.0214981090601</v>
      </c>
      <c r="M6001">
        <v>26.427653835483401</v>
      </c>
      <c r="N6001">
        <v>46.9899776111614</v>
      </c>
      <c r="O6001">
        <v>46.467043150819002</v>
      </c>
      <c r="P6001">
        <v>-0.13259077362793401</v>
      </c>
      <c r="Q6001">
        <v>6.7486591265812704E-2</v>
      </c>
      <c r="R6001">
        <v>0.98655831475678102</v>
      </c>
      <c r="S6001" t="s">
        <v>12286</v>
      </c>
      <c r="T6001" t="s">
        <v>12568</v>
      </c>
      <c r="U6001" t="s">
        <v>12568</v>
      </c>
      <c r="V6001" t="s">
        <v>12568</v>
      </c>
      <c r="W6001" t="s">
        <v>18516</v>
      </c>
      <c r="X6001">
        <v>25</v>
      </c>
      <c r="Y6001" t="s">
        <v>24595</v>
      </c>
      <c r="Z6001" t="s">
        <v>30871</v>
      </c>
      <c r="AA6001">
        <v>0.28415142402851451</v>
      </c>
      <c r="AB6001" t="str">
        <f>HYPERLINK("Melting_Curves/meltCurve_Q9UNH7_SNX6.pdf", "Melting_Curves/meltCurve_Q9UNH7_SNX6.pdf")</f>
        <v>Melting_Curves/meltCurve_Q9UNH7_SNX6.pdf</v>
      </c>
    </row>
    <row r="6002" spans="1:28" x14ac:dyDescent="0.25">
      <c r="A6002" t="s">
        <v>6006</v>
      </c>
      <c r="B6002">
        <v>0.99352677808782597</v>
      </c>
      <c r="C6002">
        <v>0.94036986378205301</v>
      </c>
      <c r="D6002">
        <v>0.98173670833062399</v>
      </c>
      <c r="E6002">
        <v>0.75380277555028397</v>
      </c>
      <c r="F6002">
        <v>0.68445216556669197</v>
      </c>
      <c r="G6002">
        <v>0.26987996107752199</v>
      </c>
      <c r="H6002">
        <v>0.16261254696716201</v>
      </c>
      <c r="I6002">
        <v>0.13655194463499401</v>
      </c>
      <c r="J6002">
        <v>0.10308736897425599</v>
      </c>
      <c r="K6002">
        <v>0.133438012191544</v>
      </c>
      <c r="L6002">
        <v>1037.4416711512899</v>
      </c>
      <c r="M6002">
        <v>19.325558608207999</v>
      </c>
      <c r="N6002">
        <v>54.265999091419502</v>
      </c>
      <c r="O6002">
        <v>53.117482239469801</v>
      </c>
      <c r="P6002">
        <v>-8.2424876114665299E-2</v>
      </c>
      <c r="Q6002">
        <v>9.3834627942051899E-2</v>
      </c>
      <c r="R6002">
        <v>0.98679457947550897</v>
      </c>
      <c r="S6002" t="s">
        <v>12287</v>
      </c>
      <c r="T6002" t="s">
        <v>12568</v>
      </c>
      <c r="U6002" t="s">
        <v>12568</v>
      </c>
      <c r="V6002" t="s">
        <v>12568</v>
      </c>
      <c r="W6002" t="s">
        <v>18517</v>
      </c>
      <c r="X6002">
        <v>6</v>
      </c>
      <c r="Y6002" t="s">
        <v>24596</v>
      </c>
      <c r="Z6002" t="s">
        <v>30872</v>
      </c>
      <c r="AA6002">
        <v>0.52019858963098298</v>
      </c>
      <c r="AB6002" t="str">
        <f>HYPERLINK("Melting_Curves/meltCurve_Q9UNI6_DUSP12.pdf", "Melting_Curves/meltCurve_Q9UNI6_DUSP12.pdf")</f>
        <v>Melting_Curves/meltCurve_Q9UNI6_DUSP12.pdf</v>
      </c>
    </row>
    <row r="6003" spans="1:28" x14ac:dyDescent="0.25">
      <c r="A6003" t="s">
        <v>6007</v>
      </c>
      <c r="B6003">
        <v>0.99352677808782597</v>
      </c>
      <c r="C6003">
        <v>0.93060383112309097</v>
      </c>
      <c r="D6003">
        <v>0.92965812177581097</v>
      </c>
      <c r="E6003">
        <v>0.83091216231661302</v>
      </c>
      <c r="F6003">
        <v>0.75498312623990205</v>
      </c>
      <c r="G6003">
        <v>0.68512686869863304</v>
      </c>
      <c r="H6003">
        <v>0.66230411572930403</v>
      </c>
      <c r="I6003">
        <v>0.71320992211101597</v>
      </c>
      <c r="J6003">
        <v>0.61547524079507598</v>
      </c>
      <c r="K6003">
        <v>0.58967253143032095</v>
      </c>
      <c r="L6003">
        <v>532.339805485478</v>
      </c>
      <c r="M6003">
        <v>10.353809381054401</v>
      </c>
      <c r="O6003">
        <v>49.607798480193402</v>
      </c>
      <c r="P6003">
        <v>-2.1029372419810601E-2</v>
      </c>
      <c r="Q6003">
        <v>0.59714272309739802</v>
      </c>
      <c r="R6003">
        <v>0.95746277560915605</v>
      </c>
      <c r="S6003" t="s">
        <v>12288</v>
      </c>
      <c r="T6003" t="s">
        <v>12568</v>
      </c>
      <c r="U6003" t="s">
        <v>12568</v>
      </c>
      <c r="V6003" t="s">
        <v>12568</v>
      </c>
      <c r="W6003" t="s">
        <v>18518</v>
      </c>
      <c r="X6003">
        <v>6</v>
      </c>
      <c r="Y6003" t="s">
        <v>24597</v>
      </c>
      <c r="Z6003" t="s">
        <v>30873</v>
      </c>
      <c r="AA6003">
        <v>0.76592438666103912</v>
      </c>
      <c r="AB6003" t="str">
        <f>HYPERLINK("Melting_Curves/meltCurve_Q9UNK0_STX8.pdf", "Melting_Curves/meltCurve_Q9UNK0_STX8.pdf")</f>
        <v>Melting_Curves/meltCurve_Q9UNK0_STX8.pdf</v>
      </c>
    </row>
    <row r="6004" spans="1:28" x14ac:dyDescent="0.25">
      <c r="A6004" t="s">
        <v>6008</v>
      </c>
      <c r="B6004">
        <v>0.99352677808782597</v>
      </c>
      <c r="C6004">
        <v>1.0207372447796901</v>
      </c>
      <c r="D6004">
        <v>0.81902943920163296</v>
      </c>
      <c r="E6004">
        <v>1.07939505995441</v>
      </c>
      <c r="F6004">
        <v>0.80374570513130295</v>
      </c>
      <c r="G6004">
        <v>0.38936750255626001</v>
      </c>
      <c r="H6004">
        <v>0.156093516886124</v>
      </c>
      <c r="I6004">
        <v>0.12420900798461799</v>
      </c>
      <c r="J6004">
        <v>0.110712345275899</v>
      </c>
      <c r="K6004">
        <v>7.7784272253421397E-2</v>
      </c>
      <c r="L6004">
        <v>1716.2749346795099</v>
      </c>
      <c r="M6004">
        <v>30.885389810976299</v>
      </c>
      <c r="N6004">
        <v>55.967493000278402</v>
      </c>
      <c r="O6004">
        <v>55.337751120470003</v>
      </c>
      <c r="P6004">
        <v>-0.12576457045376699</v>
      </c>
      <c r="Q6004">
        <v>9.8669223487442503E-2</v>
      </c>
      <c r="R6004">
        <v>0.97151778907583997</v>
      </c>
      <c r="S6004" t="s">
        <v>12289</v>
      </c>
      <c r="T6004" t="s">
        <v>12568</v>
      </c>
      <c r="U6004" t="s">
        <v>12568</v>
      </c>
      <c r="V6004" t="s">
        <v>12568</v>
      </c>
      <c r="W6004" t="s">
        <v>18519</v>
      </c>
      <c r="X6004">
        <v>19</v>
      </c>
      <c r="Y6004" t="s">
        <v>24598</v>
      </c>
      <c r="Z6004" t="s">
        <v>30874</v>
      </c>
      <c r="AA6004">
        <v>0.57211793528572819</v>
      </c>
      <c r="AB6004" t="str">
        <f>HYPERLINK("Melting_Curves/meltCurve_Q9UNM6_PSMD13.pdf", "Melting_Curves/meltCurve_Q9UNM6_PSMD13.pdf")</f>
        <v>Melting_Curves/meltCurve_Q9UNM6_PSMD13.pdf</v>
      </c>
    </row>
    <row r="6005" spans="1:28" x14ac:dyDescent="0.25">
      <c r="A6005" t="s">
        <v>6009</v>
      </c>
      <c r="B6005">
        <v>0.99352677808782597</v>
      </c>
      <c r="C6005">
        <v>0.99168812713417398</v>
      </c>
      <c r="D6005">
        <v>1.00771109544747</v>
      </c>
      <c r="E6005">
        <v>0.96858054313142605</v>
      </c>
      <c r="F6005">
        <v>0.88157922823036095</v>
      </c>
      <c r="G6005">
        <v>0.77575230162480702</v>
      </c>
      <c r="H6005">
        <v>0.449080512951401</v>
      </c>
      <c r="I6005">
        <v>0.16664247220245301</v>
      </c>
      <c r="J6005">
        <v>0.12476965869352299</v>
      </c>
      <c r="K6005">
        <v>0.104682847644487</v>
      </c>
      <c r="L6005">
        <v>1306.1880054656301</v>
      </c>
      <c r="M6005">
        <v>21.847558917313201</v>
      </c>
      <c r="N6005">
        <v>60.018089723830002</v>
      </c>
      <c r="O6005">
        <v>59.292328036290499</v>
      </c>
      <c r="P6005">
        <v>-8.8395579120890994E-2</v>
      </c>
      <c r="Q6005">
        <v>4.04313203832284E-2</v>
      </c>
      <c r="R6005">
        <v>0.99275420083695498</v>
      </c>
      <c r="S6005" t="s">
        <v>12290</v>
      </c>
      <c r="T6005" t="s">
        <v>12568</v>
      </c>
      <c r="U6005" t="s">
        <v>12568</v>
      </c>
      <c r="V6005" t="s">
        <v>12568</v>
      </c>
      <c r="W6005" t="s">
        <v>18520</v>
      </c>
      <c r="X6005">
        <v>22</v>
      </c>
      <c r="Y6005" t="s">
        <v>24599</v>
      </c>
      <c r="Z6005" t="s">
        <v>30875</v>
      </c>
      <c r="AA6005">
        <v>0.68141667989358579</v>
      </c>
      <c r="AB6005" t="str">
        <f>HYPERLINK("Melting_Curves/meltCurve_Q9UNN5_FAF1.pdf", "Melting_Curves/meltCurve_Q9UNN5_FAF1.pdf")</f>
        <v>Melting_Curves/meltCurve_Q9UNN5_FAF1.pdf</v>
      </c>
    </row>
    <row r="6006" spans="1:28" x14ac:dyDescent="0.25">
      <c r="A6006" t="s">
        <v>6010</v>
      </c>
      <c r="B6006">
        <v>0.99352677808782597</v>
      </c>
      <c r="C6006">
        <v>0.90111022859491197</v>
      </c>
      <c r="D6006">
        <v>0.944303387635828</v>
      </c>
      <c r="E6006">
        <v>0.92687346577531105</v>
      </c>
      <c r="F6006">
        <v>0.75121941630571798</v>
      </c>
      <c r="G6006">
        <v>0.75009953023098197</v>
      </c>
      <c r="H6006">
        <v>0.70868536937082505</v>
      </c>
      <c r="I6006">
        <v>0.69090228644357699</v>
      </c>
      <c r="J6006">
        <v>0.77105881429829004</v>
      </c>
      <c r="K6006">
        <v>0.45442464014690798</v>
      </c>
      <c r="L6006">
        <v>281.15336447855998</v>
      </c>
      <c r="M6006">
        <v>3.6978628401435301</v>
      </c>
      <c r="O6006">
        <v>60.804509876818699</v>
      </c>
      <c r="P6006">
        <v>-1.5454502459729401E-2</v>
      </c>
      <c r="Q6006">
        <v>0</v>
      </c>
      <c r="R6006">
        <v>0.77283190773372901</v>
      </c>
      <c r="S6006" t="s">
        <v>12291</v>
      </c>
      <c r="T6006" t="s">
        <v>12568</v>
      </c>
      <c r="U6006" t="s">
        <v>12568</v>
      </c>
      <c r="V6006" t="s">
        <v>12568</v>
      </c>
      <c r="W6006" t="s">
        <v>18521</v>
      </c>
      <c r="X6006">
        <v>4</v>
      </c>
      <c r="Y6006" t="s">
        <v>24600</v>
      </c>
      <c r="Z6006" t="s">
        <v>30876</v>
      </c>
      <c r="AA6006">
        <v>0.79349189751301041</v>
      </c>
      <c r="AB6006" t="str">
        <f>HYPERLINK("Melting_Curves/meltCurve_Q9UNN8_PROCR.pdf", "Melting_Curves/meltCurve_Q9UNN8_PROCR.pdf")</f>
        <v>Melting_Curves/meltCurve_Q9UNN8_PROCR.pdf</v>
      </c>
    </row>
    <row r="6007" spans="1:28" x14ac:dyDescent="0.25">
      <c r="A6007" t="s">
        <v>6011</v>
      </c>
      <c r="B6007">
        <v>0.99352677808782597</v>
      </c>
      <c r="C6007">
        <v>0.93242389208104504</v>
      </c>
      <c r="D6007">
        <v>0.97349916298610595</v>
      </c>
      <c r="E6007">
        <v>0.83336086498722395</v>
      </c>
      <c r="F6007">
        <v>0.73362325572157605</v>
      </c>
      <c r="G6007">
        <v>0.61349750115523005</v>
      </c>
      <c r="H6007">
        <v>0.36972099480175502</v>
      </c>
      <c r="I6007">
        <v>0.29372714432700398</v>
      </c>
      <c r="J6007">
        <v>0.27017562128668599</v>
      </c>
      <c r="K6007">
        <v>0.21734255453870099</v>
      </c>
      <c r="L6007">
        <v>642.09151362818102</v>
      </c>
      <c r="M6007">
        <v>11.220055849318101</v>
      </c>
      <c r="N6007">
        <v>58.490791960844803</v>
      </c>
      <c r="O6007">
        <v>55.499570393646501</v>
      </c>
      <c r="P6007">
        <v>-4.5115559306046403E-2</v>
      </c>
      <c r="Q6007">
        <v>0.107629456014376</v>
      </c>
      <c r="R6007">
        <v>0.99086928434777499</v>
      </c>
      <c r="S6007" t="s">
        <v>12292</v>
      </c>
      <c r="T6007" t="s">
        <v>12568</v>
      </c>
      <c r="U6007" t="s">
        <v>12568</v>
      </c>
      <c r="V6007" t="s">
        <v>12568</v>
      </c>
      <c r="W6007" t="s">
        <v>18522</v>
      </c>
      <c r="X6007">
        <v>9</v>
      </c>
      <c r="Y6007" t="s">
        <v>24601</v>
      </c>
      <c r="Z6007" t="s">
        <v>30877</v>
      </c>
      <c r="AA6007">
        <v>0.63402338420856696</v>
      </c>
      <c r="AB6007" t="str">
        <f>HYPERLINK("Melting_Curves/meltCurve_Q9UNP9_PPIE.pdf", "Melting_Curves/meltCurve_Q9UNP9_PPIE.pdf")</f>
        <v>Melting_Curves/meltCurve_Q9UNP9_PPIE.pdf</v>
      </c>
    </row>
    <row r="6008" spans="1:28" x14ac:dyDescent="0.25">
      <c r="A6008" t="s">
        <v>6012</v>
      </c>
      <c r="B6008">
        <v>0.99352677808782597</v>
      </c>
      <c r="C6008">
        <v>1.06497486504044</v>
      </c>
      <c r="D6008">
        <v>1.0980332505803001</v>
      </c>
      <c r="E6008">
        <v>0.81470084276566701</v>
      </c>
      <c r="F6008">
        <v>0.65774466964331901</v>
      </c>
      <c r="G6008">
        <v>0.38580194464045098</v>
      </c>
      <c r="H6008">
        <v>0.16329649774676799</v>
      </c>
      <c r="I6008">
        <v>0.12330343276339099</v>
      </c>
      <c r="J6008">
        <v>0.103705253497673</v>
      </c>
      <c r="K6008">
        <v>8.6457749064817596E-2</v>
      </c>
      <c r="L6008">
        <v>1052.29013738299</v>
      </c>
      <c r="M6008">
        <v>19.285234292561</v>
      </c>
      <c r="N6008">
        <v>55.022768678396297</v>
      </c>
      <c r="O6008">
        <v>53.988015584841001</v>
      </c>
      <c r="P6008">
        <v>-8.2681513741266796E-2</v>
      </c>
      <c r="Q6008">
        <v>7.4184318239528702E-2</v>
      </c>
      <c r="R6008">
        <v>0.98532706279885596</v>
      </c>
      <c r="S6008" t="s">
        <v>12293</v>
      </c>
      <c r="T6008" t="s">
        <v>12568</v>
      </c>
      <c r="U6008" t="s">
        <v>12568</v>
      </c>
      <c r="V6008" t="s">
        <v>12568</v>
      </c>
      <c r="W6008" t="s">
        <v>18523</v>
      </c>
      <c r="X6008">
        <v>5</v>
      </c>
      <c r="Y6008" t="s">
        <v>24602</v>
      </c>
      <c r="Z6008" t="s">
        <v>30878</v>
      </c>
      <c r="AA6008">
        <v>0.5368189306548129</v>
      </c>
      <c r="AB6008" t="str">
        <f>HYPERLINK("Melting_Curves/meltCurve_Q9UNQ2_DIMT1.pdf", "Melting_Curves/meltCurve_Q9UNQ2_DIMT1.pdf")</f>
        <v>Melting_Curves/meltCurve_Q9UNQ2_DIMT1.pdf</v>
      </c>
    </row>
    <row r="6009" spans="1:28" x14ac:dyDescent="0.25">
      <c r="A6009" t="s">
        <v>6013</v>
      </c>
      <c r="B6009">
        <v>0.99352677808782597</v>
      </c>
      <c r="C6009">
        <v>0.75428781711743897</v>
      </c>
      <c r="D6009">
        <v>0.49272667886209398</v>
      </c>
      <c r="E6009">
        <v>0.31389836882009697</v>
      </c>
      <c r="F6009">
        <v>0.26410213582733799</v>
      </c>
      <c r="G6009">
        <v>0.19249553287798499</v>
      </c>
      <c r="H6009">
        <v>0.15222047655320101</v>
      </c>
      <c r="I6009">
        <v>0.149510896266176</v>
      </c>
      <c r="J6009">
        <v>0.138424847717595</v>
      </c>
      <c r="K6009">
        <v>0.106825964529958</v>
      </c>
      <c r="L6009">
        <v>758.31020948706396</v>
      </c>
      <c r="M6009">
        <v>16.679162168437902</v>
      </c>
      <c r="N6009">
        <v>46.413219435606997</v>
      </c>
      <c r="O6009">
        <v>44.8260645247599</v>
      </c>
      <c r="P6009">
        <v>-7.9590303006251695E-2</v>
      </c>
      <c r="Q6009">
        <v>0.14444567615718101</v>
      </c>
      <c r="R6009">
        <v>0.98584207677184399</v>
      </c>
      <c r="S6009" t="s">
        <v>12294</v>
      </c>
      <c r="T6009" t="s">
        <v>12568</v>
      </c>
      <c r="U6009" t="s">
        <v>12568</v>
      </c>
      <c r="V6009" t="s">
        <v>12568</v>
      </c>
      <c r="W6009" t="s">
        <v>18524</v>
      </c>
      <c r="X6009">
        <v>11</v>
      </c>
      <c r="Y6009" t="s">
        <v>24603</v>
      </c>
      <c r="Z6009" t="s">
        <v>30879</v>
      </c>
      <c r="AA6009">
        <v>0.3211325977266235</v>
      </c>
      <c r="AB6009" t="str">
        <f>HYPERLINK("Melting_Curves/meltCurve_Q9UNS1_2_TIMELESS.pdf", "Melting_Curves/meltCurve_Q9UNS1_2_TIMELESS.pdf")</f>
        <v>Melting_Curves/meltCurve_Q9UNS1_2_TIMELESS.pdf</v>
      </c>
    </row>
    <row r="6010" spans="1:28" x14ac:dyDescent="0.25">
      <c r="A6010" t="s">
        <v>6014</v>
      </c>
      <c r="B6010">
        <v>0.99352677808782597</v>
      </c>
      <c r="C6010">
        <v>1.0356406086379499</v>
      </c>
      <c r="D6010">
        <v>0.884308751298712</v>
      </c>
      <c r="E6010">
        <v>1.02796273824708</v>
      </c>
      <c r="F6010">
        <v>0.83699082827950699</v>
      </c>
      <c r="G6010">
        <v>0.64099736240443395</v>
      </c>
      <c r="H6010">
        <v>0.61934051941652901</v>
      </c>
      <c r="I6010">
        <v>0.35780727262838402</v>
      </c>
      <c r="J6010">
        <v>0.134719120857415</v>
      </c>
      <c r="K6010">
        <v>9.1089080743894102E-2</v>
      </c>
      <c r="L6010">
        <v>863.40757549433101</v>
      </c>
      <c r="M6010">
        <v>14.1907907678381</v>
      </c>
      <c r="N6010">
        <v>60.842809306998902</v>
      </c>
      <c r="O6010">
        <v>59.672825375002297</v>
      </c>
      <c r="P6010">
        <v>-5.9459946061360902E-2</v>
      </c>
      <c r="Q6010">
        <v>0</v>
      </c>
      <c r="R6010">
        <v>0.95466583729680798</v>
      </c>
      <c r="S6010" t="s">
        <v>12295</v>
      </c>
      <c r="T6010" t="s">
        <v>12568</v>
      </c>
      <c r="U6010" t="s">
        <v>12568</v>
      </c>
      <c r="V6010" t="s">
        <v>12568</v>
      </c>
      <c r="W6010" t="s">
        <v>18525</v>
      </c>
      <c r="X6010">
        <v>15</v>
      </c>
      <c r="Y6010" t="s">
        <v>24604</v>
      </c>
      <c r="Z6010" t="s">
        <v>30880</v>
      </c>
      <c r="AA6010">
        <v>0.696786028848985</v>
      </c>
      <c r="AB6010" t="str">
        <f>HYPERLINK("Melting_Curves/meltCurve_Q9UNS2_COPS3.pdf", "Melting_Curves/meltCurve_Q9UNS2_COPS3.pdf")</f>
        <v>Melting_Curves/meltCurve_Q9UNS2_COPS3.pdf</v>
      </c>
    </row>
    <row r="6011" spans="1:28" x14ac:dyDescent="0.25">
      <c r="A6011" t="s">
        <v>6015</v>
      </c>
      <c r="B6011">
        <v>0.99352677808782597</v>
      </c>
      <c r="C6011">
        <v>0.83518894909485097</v>
      </c>
      <c r="D6011">
        <v>0.59810708704924098</v>
      </c>
      <c r="E6011">
        <v>0.21756613091240501</v>
      </c>
      <c r="F6011">
        <v>0.15649956192721301</v>
      </c>
      <c r="G6011">
        <v>9.9091284798890206E-2</v>
      </c>
      <c r="H6011">
        <v>5.6188854408233999E-2</v>
      </c>
      <c r="I6011">
        <v>4.2371645896002598E-2</v>
      </c>
      <c r="J6011">
        <v>3.5653677831992199E-2</v>
      </c>
      <c r="K6011">
        <v>2.7931137598470698E-2</v>
      </c>
      <c r="L6011">
        <v>905.04370765268595</v>
      </c>
      <c r="M6011">
        <v>19.407273385755701</v>
      </c>
      <c r="N6011">
        <v>46.856849599915698</v>
      </c>
      <c r="O6011">
        <v>46.147581776973098</v>
      </c>
      <c r="P6011">
        <v>-0.100510820079555</v>
      </c>
      <c r="Q6011">
        <v>4.4036498621137399E-2</v>
      </c>
      <c r="R6011">
        <v>0.99643109980034805</v>
      </c>
      <c r="S6011" t="s">
        <v>12296</v>
      </c>
      <c r="T6011" t="s">
        <v>12568</v>
      </c>
      <c r="U6011" t="s">
        <v>12568</v>
      </c>
      <c r="V6011" t="s">
        <v>12568</v>
      </c>
      <c r="W6011" t="s">
        <v>18526</v>
      </c>
      <c r="X6011">
        <v>4</v>
      </c>
      <c r="Y6011" t="s">
        <v>24605</v>
      </c>
      <c r="Z6011" t="s">
        <v>30881</v>
      </c>
      <c r="AA6011">
        <v>0.27065790420745289</v>
      </c>
      <c r="AB6011" t="str">
        <f>HYPERLINK("Melting_Curves/meltCurve_Q9UNT1_RABL2B.pdf", "Melting_Curves/meltCurve_Q9UNT1_RABL2B.pdf")</f>
        <v>Melting_Curves/meltCurve_Q9UNT1_RABL2B.pdf</v>
      </c>
    </row>
    <row r="6012" spans="1:28" x14ac:dyDescent="0.25">
      <c r="A6012" t="s">
        <v>6016</v>
      </c>
      <c r="B6012">
        <v>0.99352677808782597</v>
      </c>
      <c r="C6012">
        <v>0.96862659251601602</v>
      </c>
      <c r="D6012">
        <v>0.96152782066282605</v>
      </c>
      <c r="E6012">
        <v>0.86078121955491105</v>
      </c>
      <c r="F6012">
        <v>0.74025690032299496</v>
      </c>
      <c r="G6012">
        <v>0.62837906832748502</v>
      </c>
      <c r="H6012">
        <v>0.49971983187132002</v>
      </c>
      <c r="I6012">
        <v>0.37529872954365001</v>
      </c>
      <c r="J6012">
        <v>0.27398707391696803</v>
      </c>
      <c r="K6012">
        <v>0.110886603662327</v>
      </c>
      <c r="L6012">
        <v>586.792910418936</v>
      </c>
      <c r="M6012">
        <v>9.7987001962923408</v>
      </c>
      <c r="N6012">
        <v>59.884757621275703</v>
      </c>
      <c r="O6012">
        <v>57.550406678484897</v>
      </c>
      <c r="P6012">
        <v>-4.2588104998127603E-2</v>
      </c>
      <c r="Q6012">
        <v>0</v>
      </c>
      <c r="R6012">
        <v>0.98644811646630803</v>
      </c>
      <c r="S6012" t="s">
        <v>12297</v>
      </c>
      <c r="T6012" t="s">
        <v>12568</v>
      </c>
      <c r="U6012" t="s">
        <v>12568</v>
      </c>
      <c r="V6012" t="s">
        <v>12568</v>
      </c>
      <c r="W6012" t="s">
        <v>18527</v>
      </c>
      <c r="X6012">
        <v>10</v>
      </c>
      <c r="Y6012" t="s">
        <v>24606</v>
      </c>
      <c r="Z6012" t="s">
        <v>30882</v>
      </c>
      <c r="AA6012">
        <v>0.65887833183341793</v>
      </c>
      <c r="AB6012" t="str">
        <f>HYPERLINK("Melting_Curves/meltCurve_Q9UNW1_MINPP1.pdf", "Melting_Curves/meltCurve_Q9UNW1_MINPP1.pdf")</f>
        <v>Melting_Curves/meltCurve_Q9UNW1_MINPP1.pdf</v>
      </c>
    </row>
    <row r="6013" spans="1:28" x14ac:dyDescent="0.25">
      <c r="A6013" t="s">
        <v>6017</v>
      </c>
      <c r="B6013">
        <v>0.99352677808782597</v>
      </c>
      <c r="C6013">
        <v>0.85809806951479495</v>
      </c>
      <c r="D6013">
        <v>0.90713186128323398</v>
      </c>
      <c r="E6013">
        <v>0.76196370015439796</v>
      </c>
      <c r="F6013">
        <v>0.75417113249934298</v>
      </c>
      <c r="G6013">
        <v>0.63824949678651999</v>
      </c>
      <c r="H6013">
        <v>0.49168617361602501</v>
      </c>
      <c r="I6013">
        <v>0.61670436674310802</v>
      </c>
      <c r="J6013">
        <v>0.42952636441451802</v>
      </c>
      <c r="K6013">
        <v>0.439980362813299</v>
      </c>
      <c r="L6013">
        <v>351.66095707955202</v>
      </c>
      <c r="M6013">
        <v>6.0749055200484596</v>
      </c>
      <c r="N6013">
        <v>64.988415394101494</v>
      </c>
      <c r="O6013">
        <v>52.553398275778001</v>
      </c>
      <c r="P6013">
        <v>-2.1957221018447898E-2</v>
      </c>
      <c r="Q6013">
        <v>0.242547797715506</v>
      </c>
      <c r="R6013">
        <v>0.92699557583791103</v>
      </c>
      <c r="S6013" t="s">
        <v>12298</v>
      </c>
      <c r="T6013" t="s">
        <v>12568</v>
      </c>
      <c r="U6013" t="s">
        <v>12568</v>
      </c>
      <c r="V6013" t="s">
        <v>12568</v>
      </c>
      <c r="W6013" t="s">
        <v>18528</v>
      </c>
      <c r="X6013">
        <v>6</v>
      </c>
      <c r="Y6013" t="s">
        <v>24607</v>
      </c>
      <c r="Z6013" t="s">
        <v>30883</v>
      </c>
      <c r="AA6013">
        <v>0.68917103791766621</v>
      </c>
      <c r="AB6013" t="str">
        <f>HYPERLINK("Melting_Curves/meltCurve_Q9UNY4_TTF2.pdf", "Melting_Curves/meltCurve_Q9UNY4_TTF2.pdf")</f>
        <v>Melting_Curves/meltCurve_Q9UNY4_TTF2.pdf</v>
      </c>
    </row>
    <row r="6014" spans="1:28" x14ac:dyDescent="0.25">
      <c r="A6014" t="s">
        <v>6018</v>
      </c>
      <c r="B6014">
        <v>0.99352677808782597</v>
      </c>
      <c r="C6014">
        <v>0.95682090100862704</v>
      </c>
      <c r="D6014">
        <v>0.98512101937080199</v>
      </c>
      <c r="E6014">
        <v>0.95952621156629703</v>
      </c>
      <c r="F6014">
        <v>0.86193921949767605</v>
      </c>
      <c r="G6014">
        <v>0.77350861245160496</v>
      </c>
      <c r="H6014">
        <v>0.54107373040101203</v>
      </c>
      <c r="I6014">
        <v>0.39669910103960299</v>
      </c>
      <c r="J6014">
        <v>0.35087432696927101</v>
      </c>
      <c r="K6014">
        <v>0.26070408844517901</v>
      </c>
      <c r="L6014">
        <v>819.58915214729302</v>
      </c>
      <c r="M6014">
        <v>13.5578797028833</v>
      </c>
      <c r="N6014">
        <v>62.075506874907802</v>
      </c>
      <c r="O6014">
        <v>59.181462220113701</v>
      </c>
      <c r="P6014">
        <v>-4.8726964112501402E-2</v>
      </c>
      <c r="Q6014">
        <v>0.149335863286682</v>
      </c>
      <c r="R6014">
        <v>0.99369413898812897</v>
      </c>
      <c r="S6014" t="s">
        <v>12299</v>
      </c>
      <c r="T6014" t="s">
        <v>12568</v>
      </c>
      <c r="U6014" t="s">
        <v>12568</v>
      </c>
      <c r="V6014" t="s">
        <v>12568</v>
      </c>
      <c r="W6014" t="s">
        <v>18529</v>
      </c>
      <c r="X6014">
        <v>33</v>
      </c>
      <c r="Y6014" t="s">
        <v>24608</v>
      </c>
      <c r="Z6014" t="s">
        <v>30884</v>
      </c>
      <c r="AA6014">
        <v>0.73177896773135975</v>
      </c>
      <c r="AB6014" t="str">
        <f>HYPERLINK("Melting_Curves/meltCurve_Q9UNZ2_NSFL1C.pdf", "Melting_Curves/meltCurve_Q9UNZ2_NSFL1C.pdf")</f>
        <v>Melting_Curves/meltCurve_Q9UNZ2_NSFL1C.pdf</v>
      </c>
    </row>
    <row r="6015" spans="1:28" x14ac:dyDescent="0.25">
      <c r="A6015" t="s">
        <v>6019</v>
      </c>
      <c r="B6015">
        <v>0.99352677808782597</v>
      </c>
      <c r="C6015">
        <v>0.85265630362117295</v>
      </c>
      <c r="D6015">
        <v>0.99452209153928395</v>
      </c>
      <c r="E6015">
        <v>0.98427664706805595</v>
      </c>
      <c r="F6015">
        <v>1.0009415653695599</v>
      </c>
      <c r="G6015">
        <v>0.88118520126623701</v>
      </c>
      <c r="H6015">
        <v>0.84553752493343104</v>
      </c>
      <c r="I6015">
        <v>0.84060865488477998</v>
      </c>
      <c r="J6015">
        <v>0.874178677462215</v>
      </c>
      <c r="K6015">
        <v>0.81903889590007795</v>
      </c>
      <c r="L6015">
        <v>228.13300755384401</v>
      </c>
      <c r="M6015">
        <v>1.72513297578777</v>
      </c>
      <c r="Q6015">
        <v>0</v>
      </c>
      <c r="R6015">
        <v>0.48741668113987402</v>
      </c>
      <c r="S6015" t="s">
        <v>12300</v>
      </c>
      <c r="T6015" t="s">
        <v>12568</v>
      </c>
      <c r="U6015" t="s">
        <v>12568</v>
      </c>
      <c r="V6015" t="s">
        <v>12568</v>
      </c>
      <c r="W6015" t="s">
        <v>18530</v>
      </c>
      <c r="X6015">
        <v>3</v>
      </c>
      <c r="Y6015" t="s">
        <v>24609</v>
      </c>
      <c r="Z6015" t="s">
        <v>30885</v>
      </c>
      <c r="AA6015">
        <v>0.91298703262459191</v>
      </c>
      <c r="AB6015" t="str">
        <f>HYPERLINK("Melting_Curves/meltCurve_Q9UNZ5_C19orf53.pdf", "Melting_Curves/meltCurve_Q9UNZ5_C19orf53.pdf")</f>
        <v>Melting_Curves/meltCurve_Q9UNZ5_C19orf53.pdf</v>
      </c>
    </row>
    <row r="6016" spans="1:28" x14ac:dyDescent="0.25">
      <c r="A6016" t="s">
        <v>6020</v>
      </c>
      <c r="B6016">
        <v>0.99352677808782597</v>
      </c>
      <c r="C6016">
        <v>0.91598065308274701</v>
      </c>
      <c r="D6016">
        <v>0.63795514598334202</v>
      </c>
      <c r="E6016">
        <v>0.26199712427217597</v>
      </c>
      <c r="F6016">
        <v>0.219294441703834</v>
      </c>
      <c r="G6016">
        <v>0.12126886241274901</v>
      </c>
      <c r="H6016">
        <v>9.1924697123964602E-2</v>
      </c>
      <c r="I6016">
        <v>8.51349680017459E-2</v>
      </c>
      <c r="J6016">
        <v>7.1139123263547405E-2</v>
      </c>
      <c r="K6016">
        <v>5.9533668314704503E-2</v>
      </c>
      <c r="L6016">
        <v>982.22587241180202</v>
      </c>
      <c r="M6016">
        <v>20.8775197654065</v>
      </c>
      <c r="N6016">
        <v>47.463877430564601</v>
      </c>
      <c r="O6016">
        <v>46.621794588785598</v>
      </c>
      <c r="P6016">
        <v>-0.102577407646392</v>
      </c>
      <c r="Q6016">
        <v>8.37586961099646E-2</v>
      </c>
      <c r="R6016">
        <v>0.99509045200375601</v>
      </c>
      <c r="S6016" t="s">
        <v>12301</v>
      </c>
      <c r="T6016" t="s">
        <v>12568</v>
      </c>
      <c r="U6016" t="s">
        <v>12568</v>
      </c>
      <c r="V6016" t="s">
        <v>12568</v>
      </c>
      <c r="W6016" t="s">
        <v>18531</v>
      </c>
      <c r="X6016">
        <v>10</v>
      </c>
      <c r="Y6016" t="s">
        <v>24610</v>
      </c>
      <c r="Z6016" t="s">
        <v>30886</v>
      </c>
      <c r="AA6016">
        <v>0.31116162937710312</v>
      </c>
      <c r="AB6016" t="str">
        <f>HYPERLINK("Melting_Curves/meltCurve_Q9UP83_COG5.pdf", "Melting_Curves/meltCurve_Q9UP83_COG5.pdf")</f>
        <v>Melting_Curves/meltCurve_Q9UP83_COG5.pdf</v>
      </c>
    </row>
    <row r="6017" spans="1:28" x14ac:dyDescent="0.25">
      <c r="A6017" t="s">
        <v>6021</v>
      </c>
      <c r="B6017">
        <v>0.99352677808782597</v>
      </c>
      <c r="C6017">
        <v>0.98157387817102804</v>
      </c>
      <c r="D6017">
        <v>0.865085069932779</v>
      </c>
      <c r="E6017">
        <v>0.59067965656257404</v>
      </c>
      <c r="F6017">
        <v>0.49085147615401498</v>
      </c>
      <c r="G6017">
        <v>0.33476621265293099</v>
      </c>
      <c r="H6017">
        <v>0.149696066632173</v>
      </c>
      <c r="I6017">
        <v>0.12715761416629101</v>
      </c>
      <c r="J6017">
        <v>0.104291338634616</v>
      </c>
      <c r="K6017">
        <v>8.78310758117683E-2</v>
      </c>
      <c r="L6017">
        <v>660.77809630459899</v>
      </c>
      <c r="M6017">
        <v>12.682653864364401</v>
      </c>
      <c r="N6017">
        <v>52.537419209161698</v>
      </c>
      <c r="O6017">
        <v>50.8565504092008</v>
      </c>
      <c r="P6017">
        <v>-5.9239257669529199E-2</v>
      </c>
      <c r="Q6017">
        <v>5.0003729774418998E-2</v>
      </c>
      <c r="R6017">
        <v>0.99295524532799995</v>
      </c>
      <c r="S6017" t="s">
        <v>12302</v>
      </c>
      <c r="T6017" t="s">
        <v>12568</v>
      </c>
      <c r="U6017" t="s">
        <v>12568</v>
      </c>
      <c r="V6017" t="s">
        <v>12568</v>
      </c>
      <c r="W6017" t="s">
        <v>18532</v>
      </c>
      <c r="X6017">
        <v>5</v>
      </c>
      <c r="Y6017" t="s">
        <v>24611</v>
      </c>
      <c r="Z6017" t="s">
        <v>30887</v>
      </c>
      <c r="AA6017">
        <v>0.4600716002663956</v>
      </c>
      <c r="AB6017" t="str">
        <f>HYPERLINK("Melting_Curves/meltCurve_Q9UPM8_AP4E1.pdf", "Melting_Curves/meltCurve_Q9UPM8_AP4E1.pdf")</f>
        <v>Melting_Curves/meltCurve_Q9UPM8_AP4E1.pdf</v>
      </c>
    </row>
    <row r="6018" spans="1:28" x14ac:dyDescent="0.25">
      <c r="A6018" t="s">
        <v>6022</v>
      </c>
      <c r="B6018">
        <v>0.99352677808782597</v>
      </c>
      <c r="C6018">
        <v>0.95239497352029501</v>
      </c>
      <c r="D6018">
        <v>1.0138234736473499</v>
      </c>
      <c r="E6018">
        <v>0.94266731134372295</v>
      </c>
      <c r="F6018">
        <v>0.88180745704198804</v>
      </c>
      <c r="G6018">
        <v>0.82242257825002396</v>
      </c>
      <c r="H6018">
        <v>0.71455249297771095</v>
      </c>
      <c r="I6018">
        <v>0.81359698815478898</v>
      </c>
      <c r="J6018">
        <v>0.74196048993777097</v>
      </c>
      <c r="K6018">
        <v>0.67413353848179003</v>
      </c>
      <c r="L6018">
        <v>725.13559555655195</v>
      </c>
      <c r="M6018">
        <v>13.133717983952801</v>
      </c>
      <c r="O6018">
        <v>53.978837799042601</v>
      </c>
      <c r="P6018">
        <v>-1.8357563413776101E-2</v>
      </c>
      <c r="Q6018">
        <v>0.69825714187433197</v>
      </c>
      <c r="R6018">
        <v>0.901377022818315</v>
      </c>
      <c r="S6018" t="s">
        <v>12303</v>
      </c>
      <c r="T6018" t="s">
        <v>12568</v>
      </c>
      <c r="U6018" t="s">
        <v>12568</v>
      </c>
      <c r="V6018" t="s">
        <v>12568</v>
      </c>
      <c r="W6018" t="s">
        <v>18533</v>
      </c>
      <c r="X6018">
        <v>20</v>
      </c>
      <c r="Y6018" t="s">
        <v>24612</v>
      </c>
      <c r="Z6018" t="s">
        <v>30888</v>
      </c>
      <c r="AA6018">
        <v>0.8577204543977609</v>
      </c>
      <c r="AB6018" t="str">
        <f>HYPERLINK("Melting_Curves/meltCurve_Q9UPN4_3_AZI1.pdf", "Melting_Curves/meltCurve_Q9UPN4_3_AZI1.pdf")</f>
        <v>Melting_Curves/meltCurve_Q9UPN4_3_AZI1.pdf</v>
      </c>
    </row>
    <row r="6019" spans="1:28" x14ac:dyDescent="0.25">
      <c r="A6019" t="s">
        <v>6023</v>
      </c>
      <c r="B6019">
        <v>0.99352677808782597</v>
      </c>
      <c r="C6019">
        <v>0.96948750933898897</v>
      </c>
      <c r="D6019">
        <v>1.0091249392530901</v>
      </c>
      <c r="E6019">
        <v>0.70127951123933596</v>
      </c>
      <c r="F6019">
        <v>0.63701221102249395</v>
      </c>
      <c r="G6019">
        <v>0.49472025555728399</v>
      </c>
      <c r="H6019">
        <v>0.446053716712002</v>
      </c>
      <c r="I6019">
        <v>0.47359306212066399</v>
      </c>
      <c r="J6019">
        <v>0.42636408961050898</v>
      </c>
      <c r="K6019">
        <v>0.39671235571097502</v>
      </c>
      <c r="L6019">
        <v>1022.75156897569</v>
      </c>
      <c r="M6019">
        <v>20.129285848150801</v>
      </c>
      <c r="N6019">
        <v>56.312535624129097</v>
      </c>
      <c r="O6019">
        <v>50.3156624311708</v>
      </c>
      <c r="P6019">
        <v>-5.7002581849596501E-2</v>
      </c>
      <c r="Q6019">
        <v>0.43007798516409601</v>
      </c>
      <c r="R6019">
        <v>0.97745412972352197</v>
      </c>
      <c r="S6019" t="s">
        <v>12304</v>
      </c>
      <c r="T6019" t="s">
        <v>12568</v>
      </c>
      <c r="U6019" t="s">
        <v>12568</v>
      </c>
      <c r="V6019" t="s">
        <v>12568</v>
      </c>
      <c r="W6019" t="s">
        <v>18534</v>
      </c>
      <c r="X6019">
        <v>17</v>
      </c>
      <c r="Y6019" t="s">
        <v>24613</v>
      </c>
      <c r="Z6019" t="s">
        <v>30889</v>
      </c>
      <c r="AA6019">
        <v>0.64324279353016789</v>
      </c>
      <c r="AB6019" t="str">
        <f>HYPERLINK("Melting_Curves/meltCurve_Q9UPN6_SCAF8.pdf", "Melting_Curves/meltCurve_Q9UPN6_SCAF8.pdf")</f>
        <v>Melting_Curves/meltCurve_Q9UPN6_SCAF8.pdf</v>
      </c>
    </row>
    <row r="6020" spans="1:28" x14ac:dyDescent="0.25">
      <c r="A6020" t="s">
        <v>6024</v>
      </c>
      <c r="B6020">
        <v>0.99352677808782597</v>
      </c>
      <c r="C6020">
        <v>1.00414896658454</v>
      </c>
      <c r="D6020">
        <v>0.92588158946328802</v>
      </c>
      <c r="E6020">
        <v>0.96136060993913997</v>
      </c>
      <c r="F6020">
        <v>0.81949946982215405</v>
      </c>
      <c r="G6020">
        <v>0.60579121598423302</v>
      </c>
      <c r="H6020">
        <v>0.35943408937810001</v>
      </c>
      <c r="I6020">
        <v>0.27373891935025002</v>
      </c>
      <c r="J6020">
        <v>0.25248436975112198</v>
      </c>
      <c r="K6020">
        <v>0.20706316946647901</v>
      </c>
      <c r="L6020">
        <v>1029.49725263449</v>
      </c>
      <c r="M6020">
        <v>18.0710740974116</v>
      </c>
      <c r="N6020">
        <v>58.452265741822202</v>
      </c>
      <c r="O6020">
        <v>56.285477978381003</v>
      </c>
      <c r="P6020">
        <v>-6.5509976228023598E-2</v>
      </c>
      <c r="Q6020">
        <v>0.18387142013244001</v>
      </c>
      <c r="R6020">
        <v>0.99455006175123495</v>
      </c>
      <c r="S6020" t="s">
        <v>12305</v>
      </c>
      <c r="T6020" t="s">
        <v>12568</v>
      </c>
      <c r="U6020" t="s">
        <v>12568</v>
      </c>
      <c r="V6020" t="s">
        <v>12568</v>
      </c>
      <c r="W6020" t="s">
        <v>18535</v>
      </c>
      <c r="X6020">
        <v>7</v>
      </c>
      <c r="Y6020" t="s">
        <v>24614</v>
      </c>
      <c r="Z6020" t="s">
        <v>30890</v>
      </c>
      <c r="AA6020">
        <v>0.65669467180869845</v>
      </c>
      <c r="AB6020" t="str">
        <f>HYPERLINK("Melting_Curves/meltCurve_Q9UPN7_PPP6R1.pdf", "Melting_Curves/meltCurve_Q9UPN7_PPP6R1.pdf")</f>
        <v>Melting_Curves/meltCurve_Q9UPN7_PPP6R1.pdf</v>
      </c>
    </row>
    <row r="6021" spans="1:28" x14ac:dyDescent="0.25">
      <c r="A6021" t="s">
        <v>6025</v>
      </c>
      <c r="B6021">
        <v>0.99352677808782597</v>
      </c>
      <c r="C6021">
        <v>0.91311184205446605</v>
      </c>
      <c r="D6021">
        <v>0.85764896895329801</v>
      </c>
      <c r="E6021">
        <v>0.601648470062494</v>
      </c>
      <c r="F6021">
        <v>0.54053305134652696</v>
      </c>
      <c r="G6021">
        <v>0.343603802939831</v>
      </c>
      <c r="H6021">
        <v>0.20948887401278801</v>
      </c>
      <c r="I6021">
        <v>0.186901513466357</v>
      </c>
      <c r="J6021">
        <v>0.177799534302475</v>
      </c>
      <c r="K6021">
        <v>0.15111553125935501</v>
      </c>
      <c r="L6021">
        <v>606.53615640331202</v>
      </c>
      <c r="M6021">
        <v>11.691289057510399</v>
      </c>
      <c r="N6021">
        <v>52.949144768847802</v>
      </c>
      <c r="O6021">
        <v>50.431230813139997</v>
      </c>
      <c r="P6021">
        <v>-5.1873600868799503E-2</v>
      </c>
      <c r="Q6021">
        <v>0.105196089041907</v>
      </c>
      <c r="R6021">
        <v>0.99358352463460997</v>
      </c>
      <c r="S6021" t="s">
        <v>12306</v>
      </c>
      <c r="T6021" t="s">
        <v>12568</v>
      </c>
      <c r="U6021" t="s">
        <v>12568</v>
      </c>
      <c r="V6021" t="s">
        <v>12568</v>
      </c>
      <c r="W6021" t="s">
        <v>18536</v>
      </c>
      <c r="X6021">
        <v>14</v>
      </c>
      <c r="Y6021" t="s">
        <v>24615</v>
      </c>
      <c r="Z6021" t="s">
        <v>30891</v>
      </c>
      <c r="AA6021">
        <v>0.48806568114791432</v>
      </c>
      <c r="AB6021" t="str">
        <f>HYPERLINK("Melting_Curves/meltCurve_Q9UPN9_TRIM33.pdf", "Melting_Curves/meltCurve_Q9UPN9_TRIM33.pdf")</f>
        <v>Melting_Curves/meltCurve_Q9UPN9_TRIM33.pdf</v>
      </c>
    </row>
    <row r="6022" spans="1:28" x14ac:dyDescent="0.25">
      <c r="A6022" t="s">
        <v>6026</v>
      </c>
      <c r="B6022">
        <v>0.99352677808782597</v>
      </c>
      <c r="C6022">
        <v>0.90520887470867095</v>
      </c>
      <c r="D6022">
        <v>0.87821392035772206</v>
      </c>
      <c r="E6022">
        <v>0.85809043921599004</v>
      </c>
      <c r="F6022">
        <v>0.78184664468351195</v>
      </c>
      <c r="G6022">
        <v>0.63059601464057602</v>
      </c>
      <c r="H6022">
        <v>0.29248386968219298</v>
      </c>
      <c r="I6022">
        <v>0.21956972446741199</v>
      </c>
      <c r="J6022">
        <v>0.21580514399873499</v>
      </c>
      <c r="K6022">
        <v>0.13968270540348901</v>
      </c>
      <c r="L6022">
        <v>665.16739333284602</v>
      </c>
      <c r="M6022">
        <v>11.4431710433409</v>
      </c>
      <c r="N6022">
        <v>58.127872894221497</v>
      </c>
      <c r="O6022">
        <v>56.437673382746603</v>
      </c>
      <c r="P6022">
        <v>-5.0704102176590597E-2</v>
      </c>
      <c r="Q6022">
        <v>0</v>
      </c>
      <c r="R6022">
        <v>0.973633406923327</v>
      </c>
      <c r="S6022" t="s">
        <v>12307</v>
      </c>
      <c r="T6022" t="s">
        <v>12568</v>
      </c>
      <c r="U6022" t="s">
        <v>12568</v>
      </c>
      <c r="V6022" t="s">
        <v>12568</v>
      </c>
      <c r="W6022" t="s">
        <v>18537</v>
      </c>
      <c r="X6022">
        <v>15</v>
      </c>
      <c r="Y6022" t="s">
        <v>24615</v>
      </c>
      <c r="Z6022" t="s">
        <v>30892</v>
      </c>
      <c r="AA6022">
        <v>0.61581381234187016</v>
      </c>
      <c r="AB6022" t="str">
        <f>HYPERLINK("Melting_Curves/meltCurve_Q9UPN9_2_TRIM33.pdf", "Melting_Curves/meltCurve_Q9UPN9_2_TRIM33.pdf")</f>
        <v>Melting_Curves/meltCurve_Q9UPN9_2_TRIM33.pdf</v>
      </c>
    </row>
    <row r="6023" spans="1:28" x14ac:dyDescent="0.25">
      <c r="A6023" t="s">
        <v>6027</v>
      </c>
      <c r="B6023">
        <v>0.99352677808782597</v>
      </c>
      <c r="C6023">
        <v>0.92133419431288199</v>
      </c>
      <c r="D6023">
        <v>0.96002051232789798</v>
      </c>
      <c r="E6023">
        <v>0.97885801677632001</v>
      </c>
      <c r="F6023">
        <v>0.89267354050786196</v>
      </c>
      <c r="G6023">
        <v>0.72798115930998697</v>
      </c>
      <c r="H6023">
        <v>0.69823463955769705</v>
      </c>
      <c r="I6023">
        <v>0.72308768925840805</v>
      </c>
      <c r="J6023">
        <v>0.63970402092596901</v>
      </c>
      <c r="K6023">
        <v>0.64242264126517301</v>
      </c>
      <c r="L6023">
        <v>1363.42865332673</v>
      </c>
      <c r="M6023">
        <v>25.046599005396502</v>
      </c>
      <c r="O6023">
        <v>54.092233138184802</v>
      </c>
      <c r="P6023">
        <v>-3.8862647655761799E-2</v>
      </c>
      <c r="Q6023">
        <v>0.66428348149076399</v>
      </c>
      <c r="R6023">
        <v>0.93545128473852501</v>
      </c>
      <c r="S6023" t="s">
        <v>12308</v>
      </c>
      <c r="T6023" t="s">
        <v>12568</v>
      </c>
      <c r="U6023" t="s">
        <v>12568</v>
      </c>
      <c r="V6023" t="s">
        <v>12568</v>
      </c>
      <c r="W6023" t="s">
        <v>18538</v>
      </c>
      <c r="X6023">
        <v>5</v>
      </c>
      <c r="Y6023" t="s">
        <v>24616</v>
      </c>
      <c r="Z6023" t="s">
        <v>30893</v>
      </c>
      <c r="AA6023">
        <v>0.82892504869498518</v>
      </c>
      <c r="AB6023" t="str">
        <f>HYPERLINK("Melting_Curves/meltCurve_Q9UPP1_4_PHF8.pdf", "Melting_Curves/meltCurve_Q9UPP1_4_PHF8.pdf")</f>
        <v>Melting_Curves/meltCurve_Q9UPP1_4_PHF8.pdf</v>
      </c>
    </row>
    <row r="6024" spans="1:28" x14ac:dyDescent="0.25">
      <c r="A6024" t="s">
        <v>6028</v>
      </c>
      <c r="B6024">
        <v>0.99352677808782597</v>
      </c>
      <c r="C6024">
        <v>0.92786035356421304</v>
      </c>
      <c r="D6024">
        <v>0.95595262011306403</v>
      </c>
      <c r="E6024">
        <v>0.99364710607533002</v>
      </c>
      <c r="F6024">
        <v>0.89293175315463202</v>
      </c>
      <c r="G6024">
        <v>0.831070656776417</v>
      </c>
      <c r="H6024">
        <v>0.80246002683537698</v>
      </c>
      <c r="I6024">
        <v>0.81223419739010105</v>
      </c>
      <c r="J6024">
        <v>0.85537618234833601</v>
      </c>
      <c r="K6024">
        <v>0.70812393643580696</v>
      </c>
      <c r="L6024">
        <v>292.76158587962698</v>
      </c>
      <c r="M6024">
        <v>3.9647826837655802</v>
      </c>
      <c r="O6024">
        <v>60.448920661040802</v>
      </c>
      <c r="P6024">
        <v>-9.1911510186304599E-3</v>
      </c>
      <c r="Q6024">
        <v>0.44678512748206201</v>
      </c>
      <c r="R6024">
        <v>0.78244647574911896</v>
      </c>
      <c r="S6024" t="s">
        <v>12309</v>
      </c>
      <c r="T6024" t="s">
        <v>12568</v>
      </c>
      <c r="U6024" t="s">
        <v>12568</v>
      </c>
      <c r="V6024" t="s">
        <v>12568</v>
      </c>
      <c r="W6024" t="s">
        <v>18539</v>
      </c>
      <c r="X6024">
        <v>6</v>
      </c>
      <c r="Y6024" t="s">
        <v>24617</v>
      </c>
      <c r="Z6024" t="s">
        <v>30894</v>
      </c>
      <c r="AA6024">
        <v>0.88019992306765582</v>
      </c>
      <c r="AB6024" t="str">
        <f>HYPERLINK("Melting_Curves/meltCurve_Q9UPP5_2_KIAA1107.pdf", "Melting_Curves/meltCurve_Q9UPP5_2_KIAA1107.pdf")</f>
        <v>Melting_Curves/meltCurve_Q9UPP5_2_KIAA1107.pdf</v>
      </c>
    </row>
    <row r="6025" spans="1:28" x14ac:dyDescent="0.25">
      <c r="A6025" t="s">
        <v>6029</v>
      </c>
      <c r="B6025">
        <v>0.99352677808782597</v>
      </c>
      <c r="C6025">
        <v>0.96038301024290895</v>
      </c>
      <c r="D6025">
        <v>0.98747305932655205</v>
      </c>
      <c r="E6025">
        <v>0.83458035717547696</v>
      </c>
      <c r="F6025">
        <v>0.72950862022182905</v>
      </c>
      <c r="G6025">
        <v>0.60164534150609705</v>
      </c>
      <c r="H6025">
        <v>0.53600697556906995</v>
      </c>
      <c r="I6025">
        <v>0.54067043916802504</v>
      </c>
      <c r="J6025">
        <v>0.56446047801861898</v>
      </c>
      <c r="K6025">
        <v>0.47662286001502002</v>
      </c>
      <c r="L6025">
        <v>927.28915141588004</v>
      </c>
      <c r="M6025">
        <v>17.761751221213402</v>
      </c>
      <c r="O6025">
        <v>51.558780378489601</v>
      </c>
      <c r="P6025">
        <v>-4.1970676934502398E-2</v>
      </c>
      <c r="Q6025">
        <v>0.51269555831200597</v>
      </c>
      <c r="R6025">
        <v>0.985272304907163</v>
      </c>
      <c r="S6025" t="s">
        <v>12310</v>
      </c>
      <c r="T6025" t="s">
        <v>12568</v>
      </c>
      <c r="U6025" t="s">
        <v>12568</v>
      </c>
      <c r="V6025" t="s">
        <v>12568</v>
      </c>
      <c r="W6025" t="s">
        <v>18540</v>
      </c>
      <c r="X6025">
        <v>43</v>
      </c>
      <c r="Y6025" t="s">
        <v>24618</v>
      </c>
      <c r="Z6025" t="s">
        <v>30895</v>
      </c>
      <c r="AA6025">
        <v>0.71924927532539773</v>
      </c>
      <c r="AB6025" t="str">
        <f>HYPERLINK("Melting_Curves/meltCurve_Q9UPQ0_10_LIMCH1.pdf", "Melting_Curves/meltCurve_Q9UPQ0_10_LIMCH1.pdf")</f>
        <v>Melting_Curves/meltCurve_Q9UPQ0_10_LIMCH1.pdf</v>
      </c>
    </row>
    <row r="6026" spans="1:28" x14ac:dyDescent="0.25">
      <c r="A6026" t="s">
        <v>6030</v>
      </c>
      <c r="B6026">
        <v>0.99352677808782597</v>
      </c>
      <c r="C6026">
        <v>0.99939736949554503</v>
      </c>
      <c r="D6026">
        <v>1.0391088139581801</v>
      </c>
      <c r="E6026">
        <v>0.80974245166959502</v>
      </c>
      <c r="F6026">
        <v>0.74497533272604799</v>
      </c>
      <c r="G6026">
        <v>0.48909028906531699</v>
      </c>
      <c r="H6026">
        <v>0.354761648002621</v>
      </c>
      <c r="I6026">
        <v>0.33177177941553598</v>
      </c>
      <c r="J6026">
        <v>0.34745250381707099</v>
      </c>
      <c r="K6026">
        <v>0.31361789113081801</v>
      </c>
      <c r="L6026">
        <v>1022.97553262656</v>
      </c>
      <c r="M6026">
        <v>18.978628117336701</v>
      </c>
      <c r="N6026">
        <v>56.750442867084899</v>
      </c>
      <c r="O6026">
        <v>53.3137042657197</v>
      </c>
      <c r="P6026">
        <v>-6.1661460967369797E-2</v>
      </c>
      <c r="Q6026">
        <v>0.30716398512478599</v>
      </c>
      <c r="R6026">
        <v>0.98763257838262897</v>
      </c>
      <c r="S6026" t="s">
        <v>12311</v>
      </c>
      <c r="T6026" t="s">
        <v>12568</v>
      </c>
      <c r="U6026" t="s">
        <v>12568</v>
      </c>
      <c r="V6026" t="s">
        <v>12568</v>
      </c>
      <c r="W6026" t="s">
        <v>18541</v>
      </c>
      <c r="X6026">
        <v>44</v>
      </c>
      <c r="Y6026" t="s">
        <v>24618</v>
      </c>
      <c r="Z6026" t="s">
        <v>30896</v>
      </c>
      <c r="AA6026">
        <v>0.6384623427906565</v>
      </c>
      <c r="AB6026" t="str">
        <f>HYPERLINK("Melting_Curves/meltCurve_Q9UPQ0_4_LIMCH1.pdf", "Melting_Curves/meltCurve_Q9UPQ0_4_LIMCH1.pdf")</f>
        <v>Melting_Curves/meltCurve_Q9UPQ0_4_LIMCH1.pdf</v>
      </c>
    </row>
    <row r="6027" spans="1:28" x14ac:dyDescent="0.25">
      <c r="A6027" t="s">
        <v>6031</v>
      </c>
      <c r="B6027">
        <v>0.99352677808782597</v>
      </c>
      <c r="C6027">
        <v>0.92262696597976801</v>
      </c>
      <c r="D6027">
        <v>0.74788846985039104</v>
      </c>
      <c r="E6027">
        <v>0.41618357311735499</v>
      </c>
      <c r="F6027">
        <v>0.31647503930590498</v>
      </c>
      <c r="G6027">
        <v>0.19884449771814999</v>
      </c>
      <c r="H6027">
        <v>0.13927714980919401</v>
      </c>
      <c r="I6027">
        <v>0.13466849376672099</v>
      </c>
      <c r="J6027">
        <v>0.10160496803284801</v>
      </c>
      <c r="K6027">
        <v>7.6090430753027502E-2</v>
      </c>
      <c r="L6027">
        <v>782.23820328422198</v>
      </c>
      <c r="M6027">
        <v>16.0804441875176</v>
      </c>
      <c r="N6027">
        <v>49.333935035126999</v>
      </c>
      <c r="O6027">
        <v>47.911655686747501</v>
      </c>
      <c r="P6027">
        <v>-7.5477795323241503E-2</v>
      </c>
      <c r="Q6027">
        <v>0.100525329003005</v>
      </c>
      <c r="R6027">
        <v>0.99594828725038398</v>
      </c>
      <c r="S6027" t="s">
        <v>12312</v>
      </c>
      <c r="T6027" t="s">
        <v>12568</v>
      </c>
      <c r="U6027" t="s">
        <v>12568</v>
      </c>
      <c r="V6027" t="s">
        <v>12568</v>
      </c>
      <c r="W6027" t="s">
        <v>18542</v>
      </c>
      <c r="X6027">
        <v>39</v>
      </c>
      <c r="Y6027" t="s">
        <v>24618</v>
      </c>
      <c r="Z6027" t="s">
        <v>30897</v>
      </c>
      <c r="AA6027">
        <v>0.37939475097398451</v>
      </c>
      <c r="AB6027" t="str">
        <f>HYPERLINK("Melting_Curves/meltCurve_Q9UPQ0_6_LIMCH1.pdf", "Melting_Curves/meltCurve_Q9UPQ0_6_LIMCH1.pdf")</f>
        <v>Melting_Curves/meltCurve_Q9UPQ0_6_LIMCH1.pdf</v>
      </c>
    </row>
    <row r="6028" spans="1:28" x14ac:dyDescent="0.25">
      <c r="A6028" t="s">
        <v>6032</v>
      </c>
      <c r="B6028">
        <v>0.99352677808782597</v>
      </c>
      <c r="C6028">
        <v>1.0073116233185799</v>
      </c>
      <c r="D6028">
        <v>0.90199308836824599</v>
      </c>
      <c r="E6028">
        <v>0.81090680613780797</v>
      </c>
      <c r="F6028">
        <v>0.715778322675655</v>
      </c>
      <c r="G6028">
        <v>0.412838378161905</v>
      </c>
      <c r="H6028">
        <v>0.25151099412538502</v>
      </c>
      <c r="I6028">
        <v>0.210830380426999</v>
      </c>
      <c r="J6028">
        <v>0.188070527240531</v>
      </c>
      <c r="K6028">
        <v>0.179375180351181</v>
      </c>
      <c r="L6028">
        <v>854.88606233004396</v>
      </c>
      <c r="M6028">
        <v>15.674014635500701</v>
      </c>
      <c r="N6028">
        <v>55.683751067651698</v>
      </c>
      <c r="O6028">
        <v>53.676949340522398</v>
      </c>
      <c r="P6028">
        <v>-6.2971668623357804E-2</v>
      </c>
      <c r="Q6028">
        <v>0.137466692196897</v>
      </c>
      <c r="R6028">
        <v>0.99338652634818103</v>
      </c>
      <c r="S6028" t="s">
        <v>12313</v>
      </c>
      <c r="T6028" t="s">
        <v>12568</v>
      </c>
      <c r="U6028" t="s">
        <v>12568</v>
      </c>
      <c r="V6028" t="s">
        <v>12568</v>
      </c>
      <c r="W6028" t="s">
        <v>18543</v>
      </c>
      <c r="X6028">
        <v>4</v>
      </c>
      <c r="Y6028" t="s">
        <v>24619</v>
      </c>
      <c r="Z6028" t="s">
        <v>30898</v>
      </c>
      <c r="AA6028">
        <v>0.57183585021406647</v>
      </c>
      <c r="AB6028" t="str">
        <f>HYPERLINK("Melting_Curves/meltCurve_Q9UPQ3_AGAP1.pdf", "Melting_Curves/meltCurve_Q9UPQ3_AGAP1.pdf")</f>
        <v>Melting_Curves/meltCurve_Q9UPQ3_AGAP1.pdf</v>
      </c>
    </row>
    <row r="6029" spans="1:28" x14ac:dyDescent="0.25">
      <c r="A6029" t="s">
        <v>6033</v>
      </c>
      <c r="B6029">
        <v>0.99352677808782597</v>
      </c>
      <c r="C6029">
        <v>0.98214561819473301</v>
      </c>
      <c r="D6029">
        <v>0.96731624400653404</v>
      </c>
      <c r="E6029">
        <v>0.932737161526767</v>
      </c>
      <c r="F6029">
        <v>0.86025998695357997</v>
      </c>
      <c r="G6029">
        <v>0.78495490353393604</v>
      </c>
      <c r="H6029">
        <v>0.78090835840891903</v>
      </c>
      <c r="I6029">
        <v>0.84062858114134598</v>
      </c>
      <c r="J6029">
        <v>0.93288443194519199</v>
      </c>
      <c r="K6029">
        <v>0.78338752285351299</v>
      </c>
      <c r="L6029">
        <v>1700.9289014362701</v>
      </c>
      <c r="M6029">
        <v>33.666304559831701</v>
      </c>
      <c r="O6029">
        <v>50.345929908669099</v>
      </c>
      <c r="P6029">
        <v>-2.92640916142928E-2</v>
      </c>
      <c r="Q6029">
        <v>0.82495000434416998</v>
      </c>
      <c r="R6029">
        <v>0.71932027848511404</v>
      </c>
      <c r="S6029" t="s">
        <v>12314</v>
      </c>
      <c r="T6029" t="s">
        <v>12568</v>
      </c>
      <c r="U6029" t="s">
        <v>12568</v>
      </c>
      <c r="V6029" t="s">
        <v>12568</v>
      </c>
      <c r="W6029" t="s">
        <v>18544</v>
      </c>
      <c r="X6029">
        <v>9</v>
      </c>
      <c r="Y6029" t="s">
        <v>24620</v>
      </c>
      <c r="Z6029" t="s">
        <v>30899</v>
      </c>
      <c r="AA6029">
        <v>0.8872183863007802</v>
      </c>
      <c r="AB6029" t="str">
        <f>HYPERLINK("Melting_Curves/meltCurve_Q9UPQ9_1_TNRC6B.pdf", "Melting_Curves/meltCurve_Q9UPQ9_1_TNRC6B.pdf")</f>
        <v>Melting_Curves/meltCurve_Q9UPQ9_1_TNRC6B.pdf</v>
      </c>
    </row>
    <row r="6030" spans="1:28" x14ac:dyDescent="0.25">
      <c r="A6030" t="s">
        <v>6034</v>
      </c>
      <c r="B6030">
        <v>0.99352677808782597</v>
      </c>
      <c r="C6030">
        <v>0.99934726356365799</v>
      </c>
      <c r="D6030">
        <v>0.97716478350853397</v>
      </c>
      <c r="E6030">
        <v>0.69817052883900999</v>
      </c>
      <c r="F6030">
        <v>0.561408966645771</v>
      </c>
      <c r="G6030">
        <v>0.51963005003446106</v>
      </c>
      <c r="H6030">
        <v>0.38026987006179302</v>
      </c>
      <c r="I6030">
        <v>0.38988350053979898</v>
      </c>
      <c r="J6030">
        <v>0.42372920443247403</v>
      </c>
      <c r="K6030">
        <v>0.37862622834079501</v>
      </c>
      <c r="L6030">
        <v>1056.62905786598</v>
      </c>
      <c r="M6030">
        <v>20.907924959698299</v>
      </c>
      <c r="N6030">
        <v>54.724259938657703</v>
      </c>
      <c r="O6030">
        <v>50.081748739483302</v>
      </c>
      <c r="P6030">
        <v>-6.2725347573457199E-2</v>
      </c>
      <c r="Q6030">
        <v>0.39902036656391998</v>
      </c>
      <c r="R6030">
        <v>0.98321571265474295</v>
      </c>
      <c r="S6030" t="s">
        <v>12315</v>
      </c>
      <c r="T6030" t="s">
        <v>12568</v>
      </c>
      <c r="U6030" t="s">
        <v>12568</v>
      </c>
      <c r="V6030" t="s">
        <v>12568</v>
      </c>
      <c r="W6030" t="s">
        <v>18545</v>
      </c>
      <c r="X6030">
        <v>3</v>
      </c>
      <c r="Y6030" t="s">
        <v>24621</v>
      </c>
      <c r="Z6030" t="s">
        <v>30900</v>
      </c>
      <c r="AA6030">
        <v>0.61777965658509404</v>
      </c>
      <c r="AB6030" t="str">
        <f>HYPERLINK("Melting_Curves/meltCurve_Q9UPR0_PLCL2.pdf", "Melting_Curves/meltCurve_Q9UPR0_PLCL2.pdf")</f>
        <v>Melting_Curves/meltCurve_Q9UPR0_PLCL2.pdf</v>
      </c>
    </row>
    <row r="6031" spans="1:28" x14ac:dyDescent="0.25">
      <c r="A6031" t="s">
        <v>6035</v>
      </c>
      <c r="B6031">
        <v>0.99352677808782597</v>
      </c>
      <c r="C6031">
        <v>1.0074257731032701</v>
      </c>
      <c r="D6031">
        <v>0.93898749798588299</v>
      </c>
      <c r="E6031">
        <v>0.44502867583486699</v>
      </c>
      <c r="F6031">
        <v>0.381808453333289</v>
      </c>
      <c r="G6031">
        <v>0.16389844362796099</v>
      </c>
      <c r="H6031">
        <v>0.121367759312104</v>
      </c>
      <c r="I6031">
        <v>0.126604405834637</v>
      </c>
      <c r="J6031">
        <v>8.0583664433149196E-2</v>
      </c>
      <c r="K6031">
        <v>5.3129717438071003E-2</v>
      </c>
      <c r="L6031">
        <v>1049.9708445111501</v>
      </c>
      <c r="M6031">
        <v>21.025109401675898</v>
      </c>
      <c r="N6031">
        <v>50.440125066627402</v>
      </c>
      <c r="O6031">
        <v>49.493719756290901</v>
      </c>
      <c r="P6031">
        <v>-9.61916681484703E-2</v>
      </c>
      <c r="Q6031">
        <v>9.4272243396990196E-2</v>
      </c>
      <c r="R6031">
        <v>0.98302424058084203</v>
      </c>
      <c r="S6031" t="s">
        <v>12316</v>
      </c>
      <c r="T6031" t="s">
        <v>12568</v>
      </c>
      <c r="U6031" t="s">
        <v>12568</v>
      </c>
      <c r="V6031" t="s">
        <v>12568</v>
      </c>
      <c r="W6031" t="s">
        <v>18546</v>
      </c>
      <c r="X6031">
        <v>2</v>
      </c>
      <c r="Y6031" t="s">
        <v>24622</v>
      </c>
      <c r="Z6031" t="s">
        <v>30901</v>
      </c>
      <c r="AA6031">
        <v>0.40576885171363469</v>
      </c>
      <c r="AB6031" t="str">
        <f>HYPERLINK("Melting_Curves/meltCurve_Q9UPR3_SMG5.pdf", "Melting_Curves/meltCurve_Q9UPR3_SMG5.pdf")</f>
        <v>Melting_Curves/meltCurve_Q9UPR3_SMG5.pdf</v>
      </c>
    </row>
    <row r="6032" spans="1:28" x14ac:dyDescent="0.25">
      <c r="A6032" t="s">
        <v>6036</v>
      </c>
      <c r="B6032">
        <v>0.99352677808782597</v>
      </c>
      <c r="C6032">
        <v>0.83024252744828697</v>
      </c>
      <c r="D6032">
        <v>0.77312638668834099</v>
      </c>
      <c r="E6032">
        <v>0.702828742333101</v>
      </c>
      <c r="F6032">
        <v>0.46636200016963297</v>
      </c>
      <c r="G6032">
        <v>0.47638511410137802</v>
      </c>
      <c r="H6032">
        <v>0.38938349477470302</v>
      </c>
      <c r="I6032">
        <v>0.35434872698074099</v>
      </c>
      <c r="J6032">
        <v>0.34384101076858598</v>
      </c>
      <c r="K6032">
        <v>0.33407925125597498</v>
      </c>
      <c r="L6032">
        <v>502.526792637315</v>
      </c>
      <c r="M6032">
        <v>10.1265443176885</v>
      </c>
      <c r="N6032">
        <v>54.460969301853297</v>
      </c>
      <c r="O6032">
        <v>47.806132089696</v>
      </c>
      <c r="P6032">
        <v>-3.7268591730890498E-2</v>
      </c>
      <c r="Q6032">
        <v>0.29656488910113199</v>
      </c>
      <c r="R6032">
        <v>0.96881993881050898</v>
      </c>
      <c r="S6032" t="s">
        <v>12317</v>
      </c>
      <c r="T6032" t="s">
        <v>12568</v>
      </c>
      <c r="U6032" t="s">
        <v>12568</v>
      </c>
      <c r="V6032" t="s">
        <v>12568</v>
      </c>
      <c r="W6032" t="s">
        <v>18547</v>
      </c>
      <c r="X6032">
        <v>1</v>
      </c>
      <c r="Y6032" t="s">
        <v>24623</v>
      </c>
      <c r="Z6032" t="s">
        <v>30902</v>
      </c>
      <c r="AA6032">
        <v>0.55443681899828712</v>
      </c>
      <c r="AB6032" t="str">
        <f>HYPERLINK("Melting_Curves/meltCurve_Q9UPS6_SETD1B.pdf", "Melting_Curves/meltCurve_Q9UPS6_SETD1B.pdf")</f>
        <v>Melting_Curves/meltCurve_Q9UPS6_SETD1B.pdf</v>
      </c>
    </row>
    <row r="6033" spans="1:28" x14ac:dyDescent="0.25">
      <c r="A6033" t="s">
        <v>6037</v>
      </c>
      <c r="B6033">
        <v>0.99352677808782597</v>
      </c>
      <c r="C6033">
        <v>0.94170981625788497</v>
      </c>
      <c r="D6033">
        <v>0.70729796908415399</v>
      </c>
      <c r="E6033">
        <v>0.32707211712404999</v>
      </c>
      <c r="F6033">
        <v>0.22989368090742299</v>
      </c>
      <c r="G6033">
        <v>0.13269829353905599</v>
      </c>
      <c r="H6033">
        <v>9.8189024962969898E-2</v>
      </c>
      <c r="I6033">
        <v>8.3117921552767399E-2</v>
      </c>
      <c r="J6033">
        <v>6.8016391101262202E-2</v>
      </c>
      <c r="K6033">
        <v>7.3249302466990407E-2</v>
      </c>
      <c r="L6033">
        <v>961.62454819482502</v>
      </c>
      <c r="M6033">
        <v>20.111677785364801</v>
      </c>
      <c r="N6033">
        <v>48.246328159703502</v>
      </c>
      <c r="O6033">
        <v>47.3490154306321</v>
      </c>
      <c r="P6033">
        <v>-9.7440049188040903E-2</v>
      </c>
      <c r="Q6033">
        <v>8.2414529626428201E-2</v>
      </c>
      <c r="R6033">
        <v>0.997323367042528</v>
      </c>
      <c r="S6033" t="s">
        <v>12318</v>
      </c>
      <c r="T6033" t="s">
        <v>12568</v>
      </c>
      <c r="U6033" t="s">
        <v>12568</v>
      </c>
      <c r="V6033" t="s">
        <v>12568</v>
      </c>
      <c r="W6033" t="s">
        <v>18548</v>
      </c>
      <c r="X6033">
        <v>1</v>
      </c>
      <c r="Y6033" t="s">
        <v>24624</v>
      </c>
      <c r="Z6033" t="s">
        <v>30903</v>
      </c>
      <c r="AA6033">
        <v>0.33436113734463202</v>
      </c>
      <c r="AB6033" t="str">
        <f>HYPERLINK("Melting_Curves/meltCurve_Q9UPS8_ANKRD26.pdf", "Melting_Curves/meltCurve_Q9UPS8_ANKRD26.pdf")</f>
        <v>Melting_Curves/meltCurve_Q9UPS8_ANKRD26.pdf</v>
      </c>
    </row>
    <row r="6034" spans="1:28" x14ac:dyDescent="0.25">
      <c r="A6034" t="s">
        <v>6038</v>
      </c>
      <c r="B6034">
        <v>0.99352677808782597</v>
      </c>
      <c r="C6034">
        <v>0.94390006220714895</v>
      </c>
      <c r="D6034">
        <v>0.87542338550058696</v>
      </c>
      <c r="E6034">
        <v>0.32144461485160902</v>
      </c>
      <c r="F6034">
        <v>0.213288638665345</v>
      </c>
      <c r="G6034">
        <v>0.12470213750093399</v>
      </c>
      <c r="H6034">
        <v>8.3228015011784603E-2</v>
      </c>
      <c r="I6034">
        <v>7.9867812065975097E-2</v>
      </c>
      <c r="J6034">
        <v>6.9388425982838106E-2</v>
      </c>
      <c r="K6034">
        <v>5.2872674537806502E-2</v>
      </c>
      <c r="L6034">
        <v>1385.4465366638699</v>
      </c>
      <c r="M6034">
        <v>28.545143009152198</v>
      </c>
      <c r="N6034">
        <v>48.8492673710155</v>
      </c>
      <c r="O6034">
        <v>48.298946144398698</v>
      </c>
      <c r="P6034">
        <v>-0.13536958052494399</v>
      </c>
      <c r="Q6034">
        <v>8.3815156841436506E-2</v>
      </c>
      <c r="R6034">
        <v>0.993835610458074</v>
      </c>
      <c r="S6034" t="s">
        <v>12319</v>
      </c>
      <c r="T6034" t="s">
        <v>12568</v>
      </c>
      <c r="U6034" t="s">
        <v>12568</v>
      </c>
      <c r="V6034" t="s">
        <v>12568</v>
      </c>
      <c r="W6034" t="s">
        <v>18549</v>
      </c>
      <c r="X6034">
        <v>19</v>
      </c>
      <c r="Y6034" t="s">
        <v>24625</v>
      </c>
      <c r="Z6034" t="s">
        <v>30904</v>
      </c>
      <c r="AA6034">
        <v>0.35062494004173378</v>
      </c>
      <c r="AB6034" t="str">
        <f>HYPERLINK("Melting_Curves/meltCurve_Q9UPT5_6_EXOC7.pdf", "Melting_Curves/meltCurve_Q9UPT5_6_EXOC7.pdf")</f>
        <v>Melting_Curves/meltCurve_Q9UPT5_6_EXOC7.pdf</v>
      </c>
    </row>
    <row r="6035" spans="1:28" x14ac:dyDescent="0.25">
      <c r="A6035" t="s">
        <v>6039</v>
      </c>
      <c r="B6035">
        <v>0.99352677808782597</v>
      </c>
      <c r="C6035">
        <v>0.95199253871443701</v>
      </c>
      <c r="D6035">
        <v>0.98312026300237199</v>
      </c>
      <c r="E6035">
        <v>0.98740347816431795</v>
      </c>
      <c r="F6035">
        <v>0.98009898251168304</v>
      </c>
      <c r="G6035">
        <v>0.90063201813556304</v>
      </c>
      <c r="H6035">
        <v>0.965088969319289</v>
      </c>
      <c r="I6035">
        <v>1.0158201412835099</v>
      </c>
      <c r="J6035">
        <v>1.0488766031777099</v>
      </c>
      <c r="K6035">
        <v>0.83689944356159196</v>
      </c>
      <c r="L6035">
        <v>139.54205032895101</v>
      </c>
      <c r="M6035">
        <v>1.0000000000000001E-5</v>
      </c>
      <c r="O6035">
        <v>58.158031332269601</v>
      </c>
      <c r="P6035">
        <v>-1.4005635202335299E-3</v>
      </c>
      <c r="Q6035">
        <v>0.55504771452697399</v>
      </c>
      <c r="R6035">
        <v>4.1754591246820599E-2</v>
      </c>
      <c r="S6035" t="s">
        <v>12320</v>
      </c>
      <c r="T6035" t="s">
        <v>12568</v>
      </c>
      <c r="U6035" t="s">
        <v>12568</v>
      </c>
      <c r="V6035" t="s">
        <v>12568</v>
      </c>
      <c r="W6035" t="s">
        <v>18550</v>
      </c>
      <c r="X6035">
        <v>19</v>
      </c>
      <c r="Y6035" t="s">
        <v>24626</v>
      </c>
      <c r="Z6035" t="s">
        <v>30905</v>
      </c>
      <c r="AA6035">
        <v>0.96719243025906443</v>
      </c>
      <c r="AB6035" t="str">
        <f>HYPERLINK("Melting_Curves/meltCurve_Q9UPT8_ZC3H4.pdf", "Melting_Curves/meltCurve_Q9UPT8_ZC3H4.pdf")</f>
        <v>Melting_Curves/meltCurve_Q9UPT8_ZC3H4.pdf</v>
      </c>
    </row>
    <row r="6036" spans="1:28" x14ac:dyDescent="0.25">
      <c r="A6036" t="s">
        <v>6040</v>
      </c>
      <c r="B6036">
        <v>0.99352677808782597</v>
      </c>
      <c r="C6036">
        <v>0.91134869493181003</v>
      </c>
      <c r="D6036">
        <v>0.81748676019419997</v>
      </c>
      <c r="E6036">
        <v>0.41348514674947501</v>
      </c>
      <c r="F6036">
        <v>0.354360009802341</v>
      </c>
      <c r="G6036">
        <v>0.17816152786753101</v>
      </c>
      <c r="H6036">
        <v>0.13840152667431399</v>
      </c>
      <c r="I6036">
        <v>0.13755136830342199</v>
      </c>
      <c r="J6036">
        <v>9.6445906688650204E-2</v>
      </c>
      <c r="K6036">
        <v>7.8698446507926498E-2</v>
      </c>
      <c r="L6036">
        <v>817.56918495023501</v>
      </c>
      <c r="M6036">
        <v>16.660183178999301</v>
      </c>
      <c r="N6036">
        <v>49.726908632371902</v>
      </c>
      <c r="O6036">
        <v>48.382564184533599</v>
      </c>
      <c r="P6036">
        <v>-7.7625261525820596E-2</v>
      </c>
      <c r="Q6036">
        <v>9.8339312187356101E-2</v>
      </c>
      <c r="R6036">
        <v>0.991003344645495</v>
      </c>
      <c r="S6036" t="s">
        <v>12321</v>
      </c>
      <c r="T6036" t="s">
        <v>12568</v>
      </c>
      <c r="U6036" t="s">
        <v>12568</v>
      </c>
      <c r="V6036" t="s">
        <v>12568</v>
      </c>
      <c r="W6036" t="s">
        <v>18551</v>
      </c>
      <c r="X6036">
        <v>5</v>
      </c>
      <c r="Y6036" t="s">
        <v>24627</v>
      </c>
      <c r="Z6036" t="s">
        <v>30906</v>
      </c>
      <c r="AA6036">
        <v>0.38919827156617343</v>
      </c>
      <c r="AB6036" t="str">
        <f>HYPERLINK("Melting_Curves/meltCurve_Q9UPT9_2_USP22.pdf", "Melting_Curves/meltCurve_Q9UPT9_2_USP22.pdf")</f>
        <v>Melting_Curves/meltCurve_Q9UPT9_2_USP22.pdf</v>
      </c>
    </row>
    <row r="6037" spans="1:28" x14ac:dyDescent="0.25">
      <c r="A6037" t="s">
        <v>6041</v>
      </c>
      <c r="B6037">
        <v>0.99352677808782597</v>
      </c>
      <c r="C6037">
        <v>1.08497781553206</v>
      </c>
      <c r="D6037">
        <v>0.88632059731782098</v>
      </c>
      <c r="E6037">
        <v>0.47934992526912501</v>
      </c>
      <c r="F6037">
        <v>0.43549085908547802</v>
      </c>
      <c r="G6037">
        <v>0.22164230839816801</v>
      </c>
      <c r="H6037">
        <v>0.17201050448313199</v>
      </c>
      <c r="I6037">
        <v>0.14855989469161299</v>
      </c>
      <c r="J6037">
        <v>0.122003225501435</v>
      </c>
      <c r="K6037">
        <v>0.110705200774014</v>
      </c>
      <c r="L6037">
        <v>959.91168570457205</v>
      </c>
      <c r="M6037">
        <v>19.170907816686299</v>
      </c>
      <c r="N6037">
        <v>50.894855072861702</v>
      </c>
      <c r="O6037">
        <v>49.536009018778003</v>
      </c>
      <c r="P6037">
        <v>-8.3852939811372706E-2</v>
      </c>
      <c r="Q6037">
        <v>0.133357908845846</v>
      </c>
      <c r="R6037">
        <v>0.97688216982782805</v>
      </c>
      <c r="S6037" t="s">
        <v>12322</v>
      </c>
      <c r="T6037" t="s">
        <v>12568</v>
      </c>
      <c r="U6037" t="s">
        <v>12568</v>
      </c>
      <c r="V6037" t="s">
        <v>12568</v>
      </c>
      <c r="W6037" t="s">
        <v>18552</v>
      </c>
      <c r="X6037">
        <v>22</v>
      </c>
      <c r="Y6037" t="s">
        <v>24628</v>
      </c>
      <c r="Z6037" t="s">
        <v>30907</v>
      </c>
      <c r="AA6037">
        <v>0.43738908248388908</v>
      </c>
      <c r="AB6037" t="str">
        <f>HYPERLINK("Melting_Curves/meltCurve_Q9UPU5_USP24.pdf", "Melting_Curves/meltCurve_Q9UPU5_USP24.pdf")</f>
        <v>Melting_Curves/meltCurve_Q9UPU5_USP24.pdf</v>
      </c>
    </row>
    <row r="6038" spans="1:28" x14ac:dyDescent="0.25">
      <c r="A6038" t="s">
        <v>6042</v>
      </c>
      <c r="B6038">
        <v>0.99352677808782597</v>
      </c>
      <c r="C6038">
        <v>0.91773191787945796</v>
      </c>
      <c r="D6038">
        <v>0.79459733379978603</v>
      </c>
      <c r="E6038">
        <v>0.76211087708522796</v>
      </c>
      <c r="F6038">
        <v>0.63708286882684995</v>
      </c>
      <c r="G6038">
        <v>0.47814243047396099</v>
      </c>
      <c r="H6038">
        <v>0.55458496103595301</v>
      </c>
      <c r="I6038">
        <v>0.455983315170023</v>
      </c>
      <c r="J6038">
        <v>0.46483434176171201</v>
      </c>
      <c r="K6038">
        <v>0.22356252029473</v>
      </c>
      <c r="L6038">
        <v>330.68724430574599</v>
      </c>
      <c r="M6038">
        <v>5.6567453640546299</v>
      </c>
      <c r="N6038">
        <v>60.022377011628102</v>
      </c>
      <c r="O6038">
        <v>52.382459484991003</v>
      </c>
      <c r="P6038">
        <v>-2.5248305796316699E-2</v>
      </c>
      <c r="Q6038">
        <v>6.8502345611291399E-2</v>
      </c>
      <c r="R6038">
        <v>0.91865423084923903</v>
      </c>
      <c r="S6038" t="s">
        <v>12323</v>
      </c>
      <c r="T6038" t="s">
        <v>12568</v>
      </c>
      <c r="U6038" t="s">
        <v>12568</v>
      </c>
      <c r="V6038" t="s">
        <v>12568</v>
      </c>
      <c r="W6038" t="s">
        <v>18553</v>
      </c>
      <c r="X6038">
        <v>5</v>
      </c>
      <c r="Y6038" t="s">
        <v>24629</v>
      </c>
      <c r="Z6038" t="s">
        <v>30908</v>
      </c>
      <c r="AA6038">
        <v>0.62543211352436778</v>
      </c>
      <c r="AB6038" t="str">
        <f>HYPERLINK("Melting_Curves/meltCurve_Q9UPU7_TBC1D2B.pdf", "Melting_Curves/meltCurve_Q9UPU7_TBC1D2B.pdf")</f>
        <v>Melting_Curves/meltCurve_Q9UPU7_TBC1D2B.pdf</v>
      </c>
    </row>
    <row r="6039" spans="1:28" x14ac:dyDescent="0.25">
      <c r="A6039" t="s">
        <v>6043</v>
      </c>
      <c r="B6039">
        <v>0.99352677808782597</v>
      </c>
      <c r="C6039">
        <v>0.90874800446816995</v>
      </c>
      <c r="D6039">
        <v>0.83670746846756905</v>
      </c>
      <c r="E6039">
        <v>0.574126981187431</v>
      </c>
      <c r="F6039">
        <v>0.50070229562783697</v>
      </c>
      <c r="G6039">
        <v>0.413999180206228</v>
      </c>
      <c r="H6039">
        <v>0.29520799493116001</v>
      </c>
      <c r="I6039">
        <v>0.29319745564382699</v>
      </c>
      <c r="J6039">
        <v>0.20924740165349501</v>
      </c>
      <c r="K6039">
        <v>0.123255596462374</v>
      </c>
      <c r="L6039">
        <v>501.11846073829201</v>
      </c>
      <c r="M6039">
        <v>9.6414517227758907</v>
      </c>
      <c r="N6039">
        <v>53.422417196390597</v>
      </c>
      <c r="O6039">
        <v>49.887111842838998</v>
      </c>
      <c r="P6039">
        <v>-4.27878972224882E-2</v>
      </c>
      <c r="Q6039">
        <v>0.114916772102203</v>
      </c>
      <c r="R6039">
        <v>0.98193500579543702</v>
      </c>
      <c r="S6039" t="s">
        <v>12324</v>
      </c>
      <c r="T6039" t="s">
        <v>12568</v>
      </c>
      <c r="U6039" t="s">
        <v>12568</v>
      </c>
      <c r="V6039" t="s">
        <v>12568</v>
      </c>
      <c r="W6039" t="s">
        <v>18554</v>
      </c>
      <c r="X6039">
        <v>3</v>
      </c>
      <c r="Y6039" t="s">
        <v>24630</v>
      </c>
      <c r="Z6039" t="s">
        <v>30909</v>
      </c>
      <c r="AA6039">
        <v>0.50324677005057739</v>
      </c>
      <c r="AB6039" t="str">
        <f>HYPERLINK("Melting_Curves/meltCurve_Q9UPW5_AGTPBP1.pdf", "Melting_Curves/meltCurve_Q9UPW5_AGTPBP1.pdf")</f>
        <v>Melting_Curves/meltCurve_Q9UPW5_AGTPBP1.pdf</v>
      </c>
    </row>
    <row r="6040" spans="1:28" x14ac:dyDescent="0.25">
      <c r="A6040" t="s">
        <v>6044</v>
      </c>
      <c r="B6040">
        <v>0.99352677808782597</v>
      </c>
      <c r="C6040">
        <v>0.96314011378866105</v>
      </c>
      <c r="D6040">
        <v>0.89914662511745203</v>
      </c>
      <c r="E6040">
        <v>0.61042725968566303</v>
      </c>
      <c r="F6040">
        <v>0.523096110385602</v>
      </c>
      <c r="G6040">
        <v>0.40699787801061099</v>
      </c>
      <c r="H6040">
        <v>0.35602814232108199</v>
      </c>
      <c r="I6040">
        <v>0.36574671282667898</v>
      </c>
      <c r="J6040">
        <v>0.33968709760844601</v>
      </c>
      <c r="K6040">
        <v>0.29315141380516402</v>
      </c>
      <c r="L6040">
        <v>867.47455804309504</v>
      </c>
      <c r="M6040">
        <v>17.4277287608069</v>
      </c>
      <c r="N6040">
        <v>53.032501998112799</v>
      </c>
      <c r="O6040">
        <v>49.134031733416798</v>
      </c>
      <c r="P6040">
        <v>-5.95437997712812E-2</v>
      </c>
      <c r="Q6040">
        <v>0.32854970080625701</v>
      </c>
      <c r="R6040">
        <v>0.99236608597607401</v>
      </c>
      <c r="S6040" t="s">
        <v>12325</v>
      </c>
      <c r="T6040" t="s">
        <v>12568</v>
      </c>
      <c r="U6040" t="s">
        <v>12568</v>
      </c>
      <c r="V6040" t="s">
        <v>12568</v>
      </c>
      <c r="W6040" t="s">
        <v>18555</v>
      </c>
      <c r="X6040">
        <v>14</v>
      </c>
      <c r="Y6040" t="s">
        <v>24631</v>
      </c>
      <c r="Z6040" t="s">
        <v>30910</v>
      </c>
      <c r="AA6040">
        <v>0.55955948685295576</v>
      </c>
      <c r="AB6040" t="str">
        <f>HYPERLINK("Melting_Curves/meltCurve_Q9UPX8_3_SHANK2.pdf", "Melting_Curves/meltCurve_Q9UPX8_3_SHANK2.pdf")</f>
        <v>Melting_Curves/meltCurve_Q9UPX8_3_SHANK2.pdf</v>
      </c>
    </row>
    <row r="6041" spans="1:28" x14ac:dyDescent="0.25">
      <c r="A6041" t="s">
        <v>6045</v>
      </c>
      <c r="B6041">
        <v>0.99352677808782597</v>
      </c>
      <c r="C6041">
        <v>0.78981092840557898</v>
      </c>
      <c r="D6041">
        <v>0.84234323364250896</v>
      </c>
      <c r="E6041">
        <v>0.40643428146521499</v>
      </c>
      <c r="F6041">
        <v>0.38878744031782198</v>
      </c>
      <c r="G6041">
        <v>0.21327092929788</v>
      </c>
      <c r="H6041">
        <v>0.14738109019354301</v>
      </c>
      <c r="I6041">
        <v>0.17478664689807999</v>
      </c>
      <c r="J6041">
        <v>0.145251333901906</v>
      </c>
      <c r="K6041">
        <v>0.12080753617791901</v>
      </c>
      <c r="L6041">
        <v>687.85501669760197</v>
      </c>
      <c r="M6041">
        <v>14.086909595691999</v>
      </c>
      <c r="N6041">
        <v>49.796841354446698</v>
      </c>
      <c r="O6041">
        <v>47.876967575804002</v>
      </c>
      <c r="P6041">
        <v>-6.4760361605691305E-2</v>
      </c>
      <c r="Q6041">
        <v>0.11971368252108</v>
      </c>
      <c r="R6041">
        <v>0.96739483724763498</v>
      </c>
      <c r="S6041" t="s">
        <v>12326</v>
      </c>
      <c r="T6041" t="s">
        <v>12568</v>
      </c>
      <c r="U6041" t="s">
        <v>12568</v>
      </c>
      <c r="V6041" t="s">
        <v>12568</v>
      </c>
      <c r="W6041" t="s">
        <v>18556</v>
      </c>
      <c r="X6041">
        <v>1</v>
      </c>
      <c r="Y6041" t="s">
        <v>24632</v>
      </c>
      <c r="Z6041" t="s">
        <v>30911</v>
      </c>
      <c r="AA6041">
        <v>0.40339019440833412</v>
      </c>
      <c r="AB6041" t="str">
        <f>HYPERLINK("Melting_Curves/meltCurve_Q9UPY3_2_DICER1.pdf", "Melting_Curves/meltCurve_Q9UPY3_2_DICER1.pdf")</f>
        <v>Melting_Curves/meltCurve_Q9UPY3_2_DICER1.pdf</v>
      </c>
    </row>
    <row r="6042" spans="1:28" x14ac:dyDescent="0.25">
      <c r="A6042" t="s">
        <v>6046</v>
      </c>
      <c r="B6042">
        <v>0.99352677808782597</v>
      </c>
      <c r="C6042">
        <v>1.01787616530909</v>
      </c>
      <c r="D6042">
        <v>1.0738858436879599</v>
      </c>
      <c r="E6042">
        <v>1.06632545672968</v>
      </c>
      <c r="F6042">
        <v>0.97413706988751902</v>
      </c>
      <c r="G6042">
        <v>0.90401963812814601</v>
      </c>
      <c r="H6042">
        <v>0.682447072508653</v>
      </c>
      <c r="I6042">
        <v>0.73141441685678299</v>
      </c>
      <c r="J6042">
        <v>0.74583802392109599</v>
      </c>
      <c r="K6042">
        <v>0.67918275391108296</v>
      </c>
      <c r="L6042">
        <v>14290.199520378301</v>
      </c>
      <c r="M6042">
        <v>250</v>
      </c>
      <c r="O6042">
        <v>57.1571575040375</v>
      </c>
      <c r="P6042">
        <v>-0.31741380044957401</v>
      </c>
      <c r="Q6042">
        <v>0.70972055857869099</v>
      </c>
      <c r="R6042">
        <v>0.93835062705357897</v>
      </c>
      <c r="S6042" t="s">
        <v>12327</v>
      </c>
      <c r="T6042" t="s">
        <v>12568</v>
      </c>
      <c r="U6042" t="s">
        <v>12568</v>
      </c>
      <c r="V6042" t="s">
        <v>12568</v>
      </c>
      <c r="W6042" t="s">
        <v>18557</v>
      </c>
      <c r="X6042">
        <v>1</v>
      </c>
      <c r="Y6042" t="s">
        <v>24633</v>
      </c>
      <c r="Z6042" t="s">
        <v>30912</v>
      </c>
      <c r="AA6042">
        <v>0.87579724105626888</v>
      </c>
      <c r="AB6042" t="str">
        <f>HYPERLINK("Melting_Curves/meltCurve_Q9UPY5_SLC7A11.pdf", "Melting_Curves/meltCurve_Q9UPY5_SLC7A11.pdf")</f>
        <v>Melting_Curves/meltCurve_Q9UPY5_SLC7A11.pdf</v>
      </c>
    </row>
    <row r="6043" spans="1:28" x14ac:dyDescent="0.25">
      <c r="A6043" t="s">
        <v>6047</v>
      </c>
      <c r="B6043">
        <v>0.99352677808782597</v>
      </c>
      <c r="C6043">
        <v>0.97521969186287405</v>
      </c>
      <c r="D6043">
        <v>1.00686008885789</v>
      </c>
      <c r="E6043">
        <v>0.74888114332399602</v>
      </c>
      <c r="F6043">
        <v>0.66774392432976903</v>
      </c>
      <c r="G6043">
        <v>0.39160593210247502</v>
      </c>
      <c r="H6043">
        <v>0.308828019094748</v>
      </c>
      <c r="I6043">
        <v>0.31914563860906697</v>
      </c>
      <c r="J6043">
        <v>0.32852023015357101</v>
      </c>
      <c r="K6043">
        <v>0.289909595330482</v>
      </c>
      <c r="L6043">
        <v>1030.4698157494199</v>
      </c>
      <c r="M6043">
        <v>19.6257359745528</v>
      </c>
      <c r="N6043">
        <v>54.952677643560797</v>
      </c>
      <c r="O6043">
        <v>51.970006069146898</v>
      </c>
      <c r="P6043">
        <v>-6.6908443616210095E-2</v>
      </c>
      <c r="Q6043">
        <v>0.29131596922384001</v>
      </c>
      <c r="R6043">
        <v>0.98720593919911603</v>
      </c>
      <c r="S6043" t="s">
        <v>12328</v>
      </c>
      <c r="T6043" t="s">
        <v>12568</v>
      </c>
      <c r="U6043" t="s">
        <v>12568</v>
      </c>
      <c r="V6043" t="s">
        <v>12568</v>
      </c>
      <c r="W6043" t="s">
        <v>18558</v>
      </c>
      <c r="X6043">
        <v>13</v>
      </c>
      <c r="Y6043" t="s">
        <v>24634</v>
      </c>
      <c r="Z6043" t="s">
        <v>30913</v>
      </c>
      <c r="AA6043">
        <v>0.59685322613663672</v>
      </c>
      <c r="AB6043" t="str">
        <f>HYPERLINK("Melting_Curves/meltCurve_Q9UPY8_MAPRE3.pdf", "Melting_Curves/meltCurve_Q9UPY8_MAPRE3.pdf")</f>
        <v>Melting_Curves/meltCurve_Q9UPY8_MAPRE3.pdf</v>
      </c>
    </row>
    <row r="6044" spans="1:28" x14ac:dyDescent="0.25">
      <c r="A6044" t="s">
        <v>6048</v>
      </c>
      <c r="B6044">
        <v>0.99352677808782597</v>
      </c>
      <c r="C6044">
        <v>1.0220116638547201</v>
      </c>
      <c r="D6044">
        <v>1.0457397583828001</v>
      </c>
      <c r="E6044">
        <v>0.53425673719031697</v>
      </c>
      <c r="F6044">
        <v>0.40756767322128701</v>
      </c>
      <c r="G6044">
        <v>0.25911638231466899</v>
      </c>
      <c r="H6044">
        <v>0.15077435279681201</v>
      </c>
      <c r="I6044">
        <v>0.13442557007171901</v>
      </c>
      <c r="J6044">
        <v>0.140531312669988</v>
      </c>
      <c r="K6044">
        <v>0.105284030384087</v>
      </c>
      <c r="L6044">
        <v>1197.63311610148</v>
      </c>
      <c r="M6044">
        <v>23.691423135847899</v>
      </c>
      <c r="N6044">
        <v>51.280751063889099</v>
      </c>
      <c r="O6044">
        <v>50.195303038022899</v>
      </c>
      <c r="P6044">
        <v>-0.101119683507838</v>
      </c>
      <c r="Q6044">
        <v>0.143040306831098</v>
      </c>
      <c r="R6044">
        <v>0.97714015552764899</v>
      </c>
      <c r="S6044" t="s">
        <v>12329</v>
      </c>
      <c r="T6044" t="s">
        <v>12568</v>
      </c>
      <c r="U6044" t="s">
        <v>12568</v>
      </c>
      <c r="V6044" t="s">
        <v>12568</v>
      </c>
      <c r="W6044" t="s">
        <v>18559</v>
      </c>
      <c r="X6044">
        <v>5</v>
      </c>
      <c r="Y6044" t="s">
        <v>24635</v>
      </c>
      <c r="Z6044" t="s">
        <v>30914</v>
      </c>
      <c r="AA6044">
        <v>0.45301196441102942</v>
      </c>
      <c r="AB6044" t="str">
        <f>HYPERLINK("Melting_Curves/meltCurve_Q9UPZ3_2_HPS5.pdf", "Melting_Curves/meltCurve_Q9UPZ3_2_HPS5.pdf")</f>
        <v>Melting_Curves/meltCurve_Q9UPZ3_2_HPS5.pdf</v>
      </c>
    </row>
    <row r="6045" spans="1:28" x14ac:dyDescent="0.25">
      <c r="A6045" t="s">
        <v>6049</v>
      </c>
      <c r="B6045">
        <v>0.99352677808782597</v>
      </c>
      <c r="C6045">
        <v>1.1271284301581199</v>
      </c>
      <c r="D6045">
        <v>0.90560332649330799</v>
      </c>
      <c r="E6045">
        <v>0.98404679727792999</v>
      </c>
      <c r="F6045">
        <v>0.84682055964010305</v>
      </c>
      <c r="G6045">
        <v>0.75472031915028404</v>
      </c>
      <c r="H6045">
        <v>1.28555653757779</v>
      </c>
      <c r="I6045">
        <v>1.2389586106244701</v>
      </c>
      <c r="J6045">
        <v>1.3704702182445001</v>
      </c>
      <c r="K6045">
        <v>0.65077524506926099</v>
      </c>
      <c r="S6045" t="s">
        <v>12330</v>
      </c>
      <c r="T6045" t="s">
        <v>12568</v>
      </c>
      <c r="U6045" t="s">
        <v>12569</v>
      </c>
      <c r="V6045" t="s">
        <v>12568</v>
      </c>
      <c r="W6045" t="s">
        <v>18560</v>
      </c>
      <c r="X6045">
        <v>2</v>
      </c>
      <c r="Y6045" t="s">
        <v>24636</v>
      </c>
      <c r="Z6045" t="s">
        <v>30915</v>
      </c>
      <c r="AB6045" t="str">
        <f>HYPERLINK("Melting_Curves/meltCurve_Q9UPZ6_THSD7A.pdf", "Melting_Curves/meltCurve_Q9UPZ6_THSD7A.pdf")</f>
        <v>Melting_Curves/meltCurve_Q9UPZ6_THSD7A.pdf</v>
      </c>
    </row>
    <row r="6046" spans="1:28" x14ac:dyDescent="0.25">
      <c r="A6046" t="s">
        <v>6050</v>
      </c>
      <c r="B6046">
        <v>0.99352677808782597</v>
      </c>
      <c r="C6046">
        <v>0.95445049099864798</v>
      </c>
      <c r="D6046">
        <v>0.96832308246446896</v>
      </c>
      <c r="E6046">
        <v>0.48266248905416098</v>
      </c>
      <c r="F6046">
        <v>0.39776664450601201</v>
      </c>
      <c r="G6046">
        <v>0.12689103776073299</v>
      </c>
      <c r="H6046">
        <v>8.1321307291276998E-2</v>
      </c>
      <c r="I6046">
        <v>7.9560347935742695E-2</v>
      </c>
      <c r="J6046">
        <v>7.0377045935010402E-2</v>
      </c>
      <c r="K6046">
        <v>6.6873762229912301E-2</v>
      </c>
      <c r="L6046">
        <v>1035.46241987553</v>
      </c>
      <c r="M6046">
        <v>20.536135675078899</v>
      </c>
      <c r="N6046">
        <v>50.768920764049199</v>
      </c>
      <c r="O6046">
        <v>49.950676380953396</v>
      </c>
      <c r="P6046">
        <v>-9.6046987705293602E-2</v>
      </c>
      <c r="Q6046">
        <v>6.5555188909174805E-2</v>
      </c>
      <c r="R6046">
        <v>0.98492344558686595</v>
      </c>
      <c r="S6046" t="s">
        <v>12331</v>
      </c>
      <c r="T6046" t="s">
        <v>12568</v>
      </c>
      <c r="U6046" t="s">
        <v>12568</v>
      </c>
      <c r="V6046" t="s">
        <v>12568</v>
      </c>
      <c r="W6046" t="s">
        <v>18561</v>
      </c>
      <c r="X6046">
        <v>6</v>
      </c>
      <c r="Y6046" t="s">
        <v>24637</v>
      </c>
      <c r="Z6046" t="s">
        <v>30916</v>
      </c>
      <c r="AA6046">
        <v>0.40251147604042009</v>
      </c>
      <c r="AB6046" t="str">
        <f>HYPERLINK("Melting_Curves/meltCurve_Q9UQ13_2_SHOC2.pdf", "Melting_Curves/meltCurve_Q9UQ13_2_SHOC2.pdf")</f>
        <v>Melting_Curves/meltCurve_Q9UQ13_2_SHOC2.pdf</v>
      </c>
    </row>
    <row r="6047" spans="1:28" x14ac:dyDescent="0.25">
      <c r="A6047" t="s">
        <v>6051</v>
      </c>
      <c r="B6047">
        <v>0.99352677808782597</v>
      </c>
      <c r="C6047">
        <v>0.983268915704539</v>
      </c>
      <c r="D6047">
        <v>0.987201482505906</v>
      </c>
      <c r="E6047">
        <v>1.0311388933257699</v>
      </c>
      <c r="F6047">
        <v>0.94424678155979902</v>
      </c>
      <c r="G6047">
        <v>0.90908575714131901</v>
      </c>
      <c r="H6047">
        <v>0.85358680560854705</v>
      </c>
      <c r="I6047">
        <v>0.90698210694415504</v>
      </c>
      <c r="J6047">
        <v>0.99765963333970697</v>
      </c>
      <c r="K6047">
        <v>0.86117938704010499</v>
      </c>
      <c r="L6047">
        <v>13230.4415719018</v>
      </c>
      <c r="M6047">
        <v>250</v>
      </c>
      <c r="O6047">
        <v>52.918400678934802</v>
      </c>
      <c r="P6047">
        <v>-0.111375843548634</v>
      </c>
      <c r="Q6047">
        <v>0.90569873312188598</v>
      </c>
      <c r="R6047">
        <v>0.56838537608205697</v>
      </c>
      <c r="S6047" t="s">
        <v>12332</v>
      </c>
      <c r="T6047" t="s">
        <v>12568</v>
      </c>
      <c r="U6047" t="s">
        <v>12568</v>
      </c>
      <c r="V6047" t="s">
        <v>12568</v>
      </c>
      <c r="W6047" t="s">
        <v>18562</v>
      </c>
      <c r="X6047">
        <v>57</v>
      </c>
      <c r="Y6047" t="s">
        <v>24638</v>
      </c>
      <c r="Z6047" t="s">
        <v>30917</v>
      </c>
      <c r="AA6047">
        <v>0.94632545590311667</v>
      </c>
      <c r="AB6047" t="str">
        <f>HYPERLINK("Melting_Curves/meltCurve_Q9UQ35_SRRM2.pdf", "Melting_Curves/meltCurve_Q9UQ35_SRRM2.pdf")</f>
        <v>Melting_Curves/meltCurve_Q9UQ35_SRRM2.pdf</v>
      </c>
    </row>
    <row r="6048" spans="1:28" x14ac:dyDescent="0.25">
      <c r="A6048" t="s">
        <v>6052</v>
      </c>
      <c r="B6048">
        <v>0.99352677808782597</v>
      </c>
      <c r="C6048">
        <v>1.0075589583900499</v>
      </c>
      <c r="D6048">
        <v>0.68188727068266097</v>
      </c>
      <c r="E6048">
        <v>0.299503912088385</v>
      </c>
      <c r="F6048">
        <v>0.22454339624653999</v>
      </c>
      <c r="G6048">
        <v>0.14473408570767199</v>
      </c>
      <c r="H6048">
        <v>9.9540605856067596E-2</v>
      </c>
      <c r="I6048">
        <v>8.95616130997684E-2</v>
      </c>
      <c r="J6048">
        <v>8.08880120011643E-2</v>
      </c>
      <c r="K6048">
        <v>6.1805910940780799E-2</v>
      </c>
      <c r="L6048">
        <v>1097.8900041699101</v>
      </c>
      <c r="M6048">
        <v>23.093303160696699</v>
      </c>
      <c r="N6048">
        <v>47.982783640584202</v>
      </c>
      <c r="O6048">
        <v>47.189299621514998</v>
      </c>
      <c r="P6048">
        <v>-0.11064071978653101</v>
      </c>
      <c r="Q6048">
        <v>9.5675161094202293E-2</v>
      </c>
      <c r="R6048">
        <v>0.99054517582063295</v>
      </c>
      <c r="S6048" t="s">
        <v>12333</v>
      </c>
      <c r="T6048" t="s">
        <v>12568</v>
      </c>
      <c r="U6048" t="s">
        <v>12568</v>
      </c>
      <c r="V6048" t="s">
        <v>12568</v>
      </c>
      <c r="W6048" t="s">
        <v>18563</v>
      </c>
      <c r="X6048">
        <v>28</v>
      </c>
      <c r="Y6048" t="s">
        <v>24639</v>
      </c>
      <c r="Z6048" t="s">
        <v>30918</v>
      </c>
      <c r="AA6048">
        <v>0.33252128954527921</v>
      </c>
      <c r="AB6048" t="str">
        <f>HYPERLINK("Melting_Curves/meltCurve_Q9UQ80_PA2G4.pdf", "Melting_Curves/meltCurve_Q9UQ80_PA2G4.pdf")</f>
        <v>Melting_Curves/meltCurve_Q9UQ80_PA2G4.pdf</v>
      </c>
    </row>
    <row r="6049" spans="1:28" x14ac:dyDescent="0.25">
      <c r="A6049" t="s">
        <v>6053</v>
      </c>
      <c r="B6049">
        <v>0.99352677808782597</v>
      </c>
      <c r="C6049">
        <v>0.88291233100099598</v>
      </c>
      <c r="D6049">
        <v>1.04683081574189</v>
      </c>
      <c r="E6049">
        <v>0.83078008498500699</v>
      </c>
      <c r="F6049">
        <v>0.78081243824728996</v>
      </c>
      <c r="G6049">
        <v>0.67209238901038504</v>
      </c>
      <c r="H6049">
        <v>0.67198751301349302</v>
      </c>
      <c r="I6049">
        <v>0.74750622373994002</v>
      </c>
      <c r="J6049">
        <v>0.656723024472885</v>
      </c>
      <c r="K6049">
        <v>0.59212210121422404</v>
      </c>
      <c r="L6049">
        <v>1139.8235902874901</v>
      </c>
      <c r="M6049">
        <v>22.398756170408198</v>
      </c>
      <c r="O6049">
        <v>50.487397753095401</v>
      </c>
      <c r="P6049">
        <v>-3.7584977374532397E-2</v>
      </c>
      <c r="Q6049">
        <v>0.66113685196018501</v>
      </c>
      <c r="R6049">
        <v>0.843839909643327</v>
      </c>
      <c r="S6049" t="s">
        <v>12334</v>
      </c>
      <c r="T6049" t="s">
        <v>12568</v>
      </c>
      <c r="U6049" t="s">
        <v>12568</v>
      </c>
      <c r="V6049" t="s">
        <v>12568</v>
      </c>
      <c r="W6049" t="s">
        <v>18564</v>
      </c>
      <c r="X6049">
        <v>1</v>
      </c>
      <c r="Y6049" t="s">
        <v>24640</v>
      </c>
      <c r="Z6049" t="s">
        <v>30919</v>
      </c>
      <c r="AA6049">
        <v>0.78790953403720865</v>
      </c>
      <c r="AB6049" t="str">
        <f>HYPERLINK("Melting_Curves/meltCurve_Q9UQ84_4_EXO1.pdf", "Melting_Curves/meltCurve_Q9UQ84_4_EXO1.pdf")</f>
        <v>Melting_Curves/meltCurve_Q9UQ84_4_EXO1.pdf</v>
      </c>
    </row>
    <row r="6050" spans="1:28" x14ac:dyDescent="0.25">
      <c r="A6050" t="s">
        <v>6054</v>
      </c>
      <c r="B6050">
        <v>0.99352677808782597</v>
      </c>
      <c r="C6050">
        <v>0.95819130370808303</v>
      </c>
      <c r="D6050">
        <v>0.98011306073839</v>
      </c>
      <c r="E6050">
        <v>0.71690683872179495</v>
      </c>
      <c r="F6050">
        <v>0.61153648741075095</v>
      </c>
      <c r="G6050">
        <v>0.44067458403149801</v>
      </c>
      <c r="H6050">
        <v>0.33805744257564202</v>
      </c>
      <c r="I6050">
        <v>0.348895092995543</v>
      </c>
      <c r="J6050">
        <v>0.292028826453266</v>
      </c>
      <c r="K6050">
        <v>0.25928349264312001</v>
      </c>
      <c r="L6050">
        <v>797.28302670180005</v>
      </c>
      <c r="M6050">
        <v>15.230173016632801</v>
      </c>
      <c r="N6050">
        <v>55.167204140809503</v>
      </c>
      <c r="O6050">
        <v>51.471324274211902</v>
      </c>
      <c r="P6050">
        <v>-5.3980302517324497E-2</v>
      </c>
      <c r="Q6050">
        <v>0.270350528681085</v>
      </c>
      <c r="R6050">
        <v>0.99019887964267195</v>
      </c>
      <c r="S6050" t="s">
        <v>12335</v>
      </c>
      <c r="T6050" t="s">
        <v>12568</v>
      </c>
      <c r="U6050" t="s">
        <v>12568</v>
      </c>
      <c r="V6050" t="s">
        <v>12568</v>
      </c>
      <c r="W6050" t="s">
        <v>18565</v>
      </c>
      <c r="X6050">
        <v>12</v>
      </c>
      <c r="Y6050" t="s">
        <v>24641</v>
      </c>
      <c r="Z6050" t="s">
        <v>30920</v>
      </c>
      <c r="AA6050">
        <v>0.58644442744420855</v>
      </c>
      <c r="AB6050" t="str">
        <f>HYPERLINK("Melting_Curves/meltCurve_Q9UQB8_3_BAIAP2.pdf", "Melting_Curves/meltCurve_Q9UQB8_3_BAIAP2.pdf")</f>
        <v>Melting_Curves/meltCurve_Q9UQB8_3_BAIAP2.pdf</v>
      </c>
    </row>
    <row r="6051" spans="1:28" x14ac:dyDescent="0.25">
      <c r="A6051" t="s">
        <v>6055</v>
      </c>
      <c r="B6051">
        <v>0.99352677808782597</v>
      </c>
      <c r="C6051">
        <v>0.98217893251362198</v>
      </c>
      <c r="D6051">
        <v>1.13773637800727</v>
      </c>
      <c r="E6051">
        <v>0.85464538102252396</v>
      </c>
      <c r="F6051">
        <v>0.853580058103654</v>
      </c>
      <c r="G6051">
        <v>0.71674712330061197</v>
      </c>
      <c r="H6051">
        <v>0.64532108910890695</v>
      </c>
      <c r="I6051">
        <v>0.66931809116420105</v>
      </c>
      <c r="J6051">
        <v>0.67021324048412201</v>
      </c>
      <c r="K6051">
        <v>0.59120980205655005</v>
      </c>
      <c r="L6051">
        <v>1097.94536297885</v>
      </c>
      <c r="M6051">
        <v>20.569581049176399</v>
      </c>
      <c r="O6051">
        <v>52.880310590175299</v>
      </c>
      <c r="P6051">
        <v>-3.5599445702263303E-2</v>
      </c>
      <c r="Q6051">
        <v>0.63393410838316699</v>
      </c>
      <c r="R6051">
        <v>0.890489915350137</v>
      </c>
      <c r="S6051" t="s">
        <v>12336</v>
      </c>
      <c r="T6051" t="s">
        <v>12568</v>
      </c>
      <c r="U6051" t="s">
        <v>12568</v>
      </c>
      <c r="V6051" t="s">
        <v>12568</v>
      </c>
      <c r="W6051" t="s">
        <v>18566</v>
      </c>
      <c r="X6051">
        <v>3</v>
      </c>
      <c r="Y6051" t="s">
        <v>24642</v>
      </c>
      <c r="Z6051" t="s">
        <v>30921</v>
      </c>
      <c r="AA6051">
        <v>0.80194904211224938</v>
      </c>
      <c r="AB6051" t="str">
        <f>HYPERLINK("Melting_Curves/meltCurve_Q9UQC2_2_GAB2.pdf", "Melting_Curves/meltCurve_Q9UQC2_2_GAB2.pdf")</f>
        <v>Melting_Curves/meltCurve_Q9UQC2_2_GAB2.pdf</v>
      </c>
    </row>
    <row r="6052" spans="1:28" x14ac:dyDescent="0.25">
      <c r="A6052" t="s">
        <v>6056</v>
      </c>
      <c r="B6052">
        <v>0.99352677808782597</v>
      </c>
      <c r="C6052">
        <v>0.85999976925683397</v>
      </c>
      <c r="D6052">
        <v>0.75783177826728698</v>
      </c>
      <c r="E6052">
        <v>0.63529888776743804</v>
      </c>
      <c r="F6052">
        <v>0.53952341022394601</v>
      </c>
      <c r="G6052">
        <v>0.33874355556476798</v>
      </c>
      <c r="H6052">
        <v>0.20868227542145801</v>
      </c>
      <c r="I6052">
        <v>0.220581326467406</v>
      </c>
      <c r="J6052">
        <v>0.178308760170619</v>
      </c>
      <c r="K6052">
        <v>0.164105798615443</v>
      </c>
      <c r="L6052">
        <v>491.57564117278798</v>
      </c>
      <c r="M6052">
        <v>9.4611028941871496</v>
      </c>
      <c r="N6052">
        <v>52.863705655260802</v>
      </c>
      <c r="O6052">
        <v>49.795068065284298</v>
      </c>
      <c r="P6052">
        <v>-4.3970976482921503E-2</v>
      </c>
      <c r="Q6052">
        <v>7.48549676477787E-2</v>
      </c>
      <c r="R6052">
        <v>0.98938577887887902</v>
      </c>
      <c r="S6052" t="s">
        <v>12337</v>
      </c>
      <c r="T6052" t="s">
        <v>12568</v>
      </c>
      <c r="U6052" t="s">
        <v>12568</v>
      </c>
      <c r="V6052" t="s">
        <v>12568</v>
      </c>
      <c r="W6052" t="s">
        <v>18567</v>
      </c>
      <c r="X6052">
        <v>30</v>
      </c>
      <c r="Y6052" t="s">
        <v>24643</v>
      </c>
      <c r="Z6052" t="s">
        <v>30922</v>
      </c>
      <c r="AA6052">
        <v>0.4810058717432979</v>
      </c>
      <c r="AB6052" t="str">
        <f>HYPERLINK("Melting_Curves/meltCurve_Q9UQE7_SMC3.pdf", "Melting_Curves/meltCurve_Q9UQE7_SMC3.pdf")</f>
        <v>Melting_Curves/meltCurve_Q9UQE7_SMC3.pdf</v>
      </c>
    </row>
    <row r="6053" spans="1:28" x14ac:dyDescent="0.25">
      <c r="A6053" t="s">
        <v>6057</v>
      </c>
      <c r="B6053">
        <v>0.99352677808782597</v>
      </c>
      <c r="C6053">
        <v>0.95074605685532099</v>
      </c>
      <c r="D6053">
        <v>1.03883439356999</v>
      </c>
      <c r="E6053">
        <v>1.01979586182618</v>
      </c>
      <c r="F6053">
        <v>1.00519606229306</v>
      </c>
      <c r="G6053">
        <v>0.90077661665450603</v>
      </c>
      <c r="H6053">
        <v>0.83137775820513304</v>
      </c>
      <c r="I6053">
        <v>0.83514676520462405</v>
      </c>
      <c r="J6053">
        <v>0.92131696442748201</v>
      </c>
      <c r="K6053">
        <v>0.71926002805419798</v>
      </c>
      <c r="L6053">
        <v>5101.0970364537197</v>
      </c>
      <c r="M6053">
        <v>89.783063345543297</v>
      </c>
      <c r="O6053">
        <v>56.787635429772102</v>
      </c>
      <c r="P6053">
        <v>-6.8509614758230003E-2</v>
      </c>
      <c r="Q6053">
        <v>0.82667115286540405</v>
      </c>
      <c r="R6053">
        <v>0.73247602798117395</v>
      </c>
      <c r="S6053" t="s">
        <v>12338</v>
      </c>
      <c r="T6053" t="s">
        <v>12568</v>
      </c>
      <c r="U6053" t="s">
        <v>12568</v>
      </c>
      <c r="V6053" t="s">
        <v>12568</v>
      </c>
      <c r="W6053" t="s">
        <v>18568</v>
      </c>
      <c r="X6053">
        <v>10</v>
      </c>
      <c r="Y6053" t="s">
        <v>24644</v>
      </c>
      <c r="Z6053" t="s">
        <v>30923</v>
      </c>
      <c r="AA6053">
        <v>0.92396082431682192</v>
      </c>
      <c r="AB6053" t="str">
        <f>HYPERLINK("Melting_Curves/meltCurve_Q9UQN3_CHMP2B.pdf", "Melting_Curves/meltCurve_Q9UQN3_CHMP2B.pdf")</f>
        <v>Melting_Curves/meltCurve_Q9UQN3_CHMP2B.pdf</v>
      </c>
    </row>
    <row r="6054" spans="1:28" x14ac:dyDescent="0.25">
      <c r="A6054" t="s">
        <v>6058</v>
      </c>
      <c r="B6054">
        <v>0.99352677808782597</v>
      </c>
      <c r="C6054">
        <v>0.64884113036183599</v>
      </c>
      <c r="D6054">
        <v>0.569749828058424</v>
      </c>
      <c r="E6054">
        <v>0.29282907743366698</v>
      </c>
      <c r="F6054">
        <v>0.26127777118759798</v>
      </c>
      <c r="G6054">
        <v>0.16250349683520801</v>
      </c>
      <c r="H6054">
        <v>0.13049855768177199</v>
      </c>
      <c r="I6054">
        <v>0.145146911565184</v>
      </c>
      <c r="J6054">
        <v>0.12969415871113599</v>
      </c>
      <c r="K6054">
        <v>9.6497149250620806E-2</v>
      </c>
      <c r="L6054">
        <v>646.91881675925902</v>
      </c>
      <c r="M6054">
        <v>14.178967895233599</v>
      </c>
      <c r="N6054">
        <v>46.491717310191099</v>
      </c>
      <c r="O6054">
        <v>44.746467209694003</v>
      </c>
      <c r="P6054">
        <v>-7.00289935365844E-2</v>
      </c>
      <c r="Q6054">
        <v>0.11611182235923601</v>
      </c>
      <c r="R6054">
        <v>0.97089505495058404</v>
      </c>
      <c r="S6054" t="s">
        <v>12339</v>
      </c>
      <c r="T6054" t="s">
        <v>12568</v>
      </c>
      <c r="U6054" t="s">
        <v>12568</v>
      </c>
      <c r="V6054" t="s">
        <v>12568</v>
      </c>
      <c r="W6054" t="s">
        <v>18569</v>
      </c>
      <c r="X6054">
        <v>6</v>
      </c>
      <c r="Y6054" t="s">
        <v>24645</v>
      </c>
      <c r="Z6054" t="s">
        <v>30924</v>
      </c>
      <c r="AA6054">
        <v>0.31183621646780491</v>
      </c>
      <c r="AB6054" t="str">
        <f>HYPERLINK("Melting_Curves/meltCurve_Q9UQR0_SCML2.pdf", "Melting_Curves/meltCurve_Q9UQR0_SCML2.pdf")</f>
        <v>Melting_Curves/meltCurve_Q9UQR0_SCML2.pdf</v>
      </c>
    </row>
    <row r="6055" spans="1:28" x14ac:dyDescent="0.25">
      <c r="A6055" t="s">
        <v>6059</v>
      </c>
      <c r="B6055">
        <v>0.99352677808782597</v>
      </c>
      <c r="C6055">
        <v>0.98703128058771805</v>
      </c>
      <c r="D6055">
        <v>0.94751804110257898</v>
      </c>
      <c r="E6055">
        <v>0.84730963739314602</v>
      </c>
      <c r="F6055">
        <v>0.76353877222008404</v>
      </c>
      <c r="G6055">
        <v>0.60469593235424601</v>
      </c>
      <c r="H6055">
        <v>0.53044375367823804</v>
      </c>
      <c r="I6055">
        <v>0.54195230209741396</v>
      </c>
      <c r="J6055">
        <v>0.58629997842005199</v>
      </c>
      <c r="K6055">
        <v>0.54198995132023398</v>
      </c>
      <c r="L6055">
        <v>961.68074911491203</v>
      </c>
      <c r="M6055">
        <v>18.431690480093799</v>
      </c>
      <c r="O6055">
        <v>51.572863980431201</v>
      </c>
      <c r="P6055">
        <v>-4.1387429440329103E-2</v>
      </c>
      <c r="Q6055">
        <v>0.53680377685077896</v>
      </c>
      <c r="R6055">
        <v>0.98687490745938</v>
      </c>
      <c r="S6055" t="s">
        <v>12340</v>
      </c>
      <c r="T6055" t="s">
        <v>12568</v>
      </c>
      <c r="U6055" t="s">
        <v>12568</v>
      </c>
      <c r="V6055" t="s">
        <v>12568</v>
      </c>
      <c r="W6055" t="s">
        <v>18570</v>
      </c>
      <c r="X6055">
        <v>9</v>
      </c>
      <c r="Y6055" t="s">
        <v>24646</v>
      </c>
      <c r="Z6055" t="s">
        <v>30925</v>
      </c>
      <c r="AA6055">
        <v>0.73217586804850554</v>
      </c>
      <c r="AB6055" t="str">
        <f>HYPERLINK("Melting_Curves/meltCurve_Q9UQR1_ZNF148.pdf", "Melting_Curves/meltCurve_Q9UQR1_ZNF148.pdf")</f>
        <v>Melting_Curves/meltCurve_Q9UQR1_ZNF148.pdf</v>
      </c>
    </row>
    <row r="6056" spans="1:28" x14ac:dyDescent="0.25">
      <c r="A6056" t="s">
        <v>6060</v>
      </c>
      <c r="B6056">
        <v>0.99352677808782597</v>
      </c>
      <c r="C6056">
        <v>0.93358265673086005</v>
      </c>
      <c r="D6056">
        <v>0.94391478227673398</v>
      </c>
      <c r="E6056">
        <v>0.27324849958385999</v>
      </c>
      <c r="F6056">
        <v>0.219235160181359</v>
      </c>
      <c r="G6056">
        <v>0.119064876389627</v>
      </c>
      <c r="H6056">
        <v>9.07913687340762E-2</v>
      </c>
      <c r="I6056">
        <v>8.3839861822218698E-2</v>
      </c>
      <c r="J6056">
        <v>7.3190954987494602E-2</v>
      </c>
      <c r="K6056">
        <v>6.5930526191129907E-2</v>
      </c>
      <c r="L6056">
        <v>2053.0877112101498</v>
      </c>
      <c r="M6056">
        <v>42.328507858062601</v>
      </c>
      <c r="N6056">
        <v>48.763540423897602</v>
      </c>
      <c r="O6056">
        <v>48.395792951060898</v>
      </c>
      <c r="P6056">
        <v>-0.19657945551973299</v>
      </c>
      <c r="Q6056">
        <v>0.100974656451691</v>
      </c>
      <c r="R6056">
        <v>0.98855861617353502</v>
      </c>
      <c r="S6056" t="s">
        <v>12341</v>
      </c>
      <c r="T6056" t="s">
        <v>12568</v>
      </c>
      <c r="U6056" t="s">
        <v>12568</v>
      </c>
      <c r="V6056" t="s">
        <v>12568</v>
      </c>
      <c r="W6056" t="s">
        <v>18571</v>
      </c>
      <c r="X6056">
        <v>12</v>
      </c>
      <c r="Y6056" t="s">
        <v>24647</v>
      </c>
      <c r="Z6056" t="s">
        <v>30926</v>
      </c>
      <c r="AA6056">
        <v>0.35850078867265261</v>
      </c>
      <c r="AB6056" t="str">
        <f>HYPERLINK("Melting_Curves/meltCurve_Q9Y217_MTMR6.pdf", "Melting_Curves/meltCurve_Q9Y217_MTMR6.pdf")</f>
        <v>Melting_Curves/meltCurve_Q9Y217_MTMR6.pdf</v>
      </c>
    </row>
    <row r="6057" spans="1:28" x14ac:dyDescent="0.25">
      <c r="A6057" t="s">
        <v>6061</v>
      </c>
      <c r="B6057">
        <v>0.99352677808782597</v>
      </c>
      <c r="C6057">
        <v>1.0394364568702501</v>
      </c>
      <c r="D6057">
        <v>0.89395633502346405</v>
      </c>
      <c r="E6057">
        <v>0.32875256698906202</v>
      </c>
      <c r="F6057">
        <v>0.24560385612541899</v>
      </c>
      <c r="G6057">
        <v>0.143800875473308</v>
      </c>
      <c r="H6057">
        <v>9.4207172145250498E-2</v>
      </c>
      <c r="I6057">
        <v>8.7232921903286895E-2</v>
      </c>
      <c r="J6057">
        <v>6.7702252509552294E-2</v>
      </c>
      <c r="K6057">
        <v>5.2807536235941997E-2</v>
      </c>
      <c r="L6057">
        <v>1504.58225564757</v>
      </c>
      <c r="M6057">
        <v>30.907356584535499</v>
      </c>
      <c r="N6057">
        <v>49.019858355685002</v>
      </c>
      <c r="O6057">
        <v>48.4779693042044</v>
      </c>
      <c r="P6057">
        <v>-0.14403395514872699</v>
      </c>
      <c r="Q6057">
        <v>9.63403942294348E-2</v>
      </c>
      <c r="R6057">
        <v>0.98927656171504696</v>
      </c>
      <c r="S6057" t="s">
        <v>12342</v>
      </c>
      <c r="T6057" t="s">
        <v>12568</v>
      </c>
      <c r="U6057" t="s">
        <v>12568</v>
      </c>
      <c r="V6057" t="s">
        <v>12568</v>
      </c>
      <c r="W6057" t="s">
        <v>18572</v>
      </c>
      <c r="X6057">
        <v>19</v>
      </c>
      <c r="Y6057" t="s">
        <v>24648</v>
      </c>
      <c r="Z6057" t="s">
        <v>30927</v>
      </c>
      <c r="AA6057">
        <v>0.36296498126413967</v>
      </c>
      <c r="AB6057" t="str">
        <f>HYPERLINK("Melting_Curves/meltCurve_Q9Y223_GNE.pdf", "Melting_Curves/meltCurve_Q9Y223_GNE.pdf")</f>
        <v>Melting_Curves/meltCurve_Q9Y223_GNE.pdf</v>
      </c>
    </row>
    <row r="6058" spans="1:28" x14ac:dyDescent="0.25">
      <c r="A6058" t="s">
        <v>6062</v>
      </c>
      <c r="B6058">
        <v>0.99352677808782597</v>
      </c>
      <c r="C6058">
        <v>0.97813684642359999</v>
      </c>
      <c r="D6058">
        <v>0.91048112865222197</v>
      </c>
      <c r="E6058">
        <v>0.60229179159064195</v>
      </c>
      <c r="F6058">
        <v>0.49716262450207699</v>
      </c>
      <c r="G6058">
        <v>0.48685940764924801</v>
      </c>
      <c r="H6058">
        <v>0.34351812186700997</v>
      </c>
      <c r="I6058">
        <v>0.19451628817740699</v>
      </c>
      <c r="J6058">
        <v>0.116876751999777</v>
      </c>
      <c r="K6058">
        <v>8.5284375091617196E-2</v>
      </c>
      <c r="L6058">
        <v>502.46406477045099</v>
      </c>
      <c r="M6058">
        <v>9.2098690828226601</v>
      </c>
      <c r="N6058">
        <v>54.557134272427803</v>
      </c>
      <c r="O6058">
        <v>52.169856139768399</v>
      </c>
      <c r="P6058">
        <v>-4.41634245690114E-2</v>
      </c>
      <c r="Q6058">
        <v>0</v>
      </c>
      <c r="R6058">
        <v>0.96676158145859203</v>
      </c>
      <c r="S6058" t="s">
        <v>12343</v>
      </c>
      <c r="T6058" t="s">
        <v>12568</v>
      </c>
      <c r="U6058" t="s">
        <v>12568</v>
      </c>
      <c r="V6058" t="s">
        <v>12568</v>
      </c>
      <c r="W6058" t="s">
        <v>18573</v>
      </c>
      <c r="X6058">
        <v>14</v>
      </c>
      <c r="Y6058" t="s">
        <v>24649</v>
      </c>
      <c r="Z6058" t="s">
        <v>30928</v>
      </c>
      <c r="AA6058">
        <v>0.51417708749097446</v>
      </c>
      <c r="AB6058" t="str">
        <f>HYPERLINK("Melting_Curves/meltCurve_Q9Y224_C14orf166.pdf", "Melting_Curves/meltCurve_Q9Y224_C14orf166.pdf")</f>
        <v>Melting_Curves/meltCurve_Q9Y224_C14orf166.pdf</v>
      </c>
    </row>
    <row r="6059" spans="1:28" x14ac:dyDescent="0.25">
      <c r="A6059" t="s">
        <v>6063</v>
      </c>
      <c r="B6059">
        <v>0.99352677808782597</v>
      </c>
      <c r="C6059">
        <v>0.95511594676159595</v>
      </c>
      <c r="D6059">
        <v>0.79703136070652003</v>
      </c>
      <c r="E6059">
        <v>1.28553068729175</v>
      </c>
      <c r="F6059">
        <v>1.0563310972405699</v>
      </c>
      <c r="G6059">
        <v>0.74479414879557204</v>
      </c>
      <c r="H6059">
        <v>0.25264063993864799</v>
      </c>
      <c r="I6059">
        <v>0.154243144213077</v>
      </c>
      <c r="J6059">
        <v>0.109791701639833</v>
      </c>
      <c r="K6059">
        <v>9.3107479549503602E-2</v>
      </c>
      <c r="L6059">
        <v>2376.0310087768898</v>
      </c>
      <c r="M6059">
        <v>40.688739575434901</v>
      </c>
      <c r="N6059">
        <v>58.755741105163402</v>
      </c>
      <c r="O6059">
        <v>58.254780380491198</v>
      </c>
      <c r="P6059">
        <v>-0.15532988576922099</v>
      </c>
      <c r="Q6059">
        <v>0.11044775482355899</v>
      </c>
      <c r="R6059">
        <v>0.92769204406491002</v>
      </c>
      <c r="S6059" t="s">
        <v>12344</v>
      </c>
      <c r="T6059" t="s">
        <v>12568</v>
      </c>
      <c r="U6059" t="s">
        <v>12568</v>
      </c>
      <c r="V6059" t="s">
        <v>12568</v>
      </c>
      <c r="W6059" t="s">
        <v>18574</v>
      </c>
      <c r="X6059">
        <v>26</v>
      </c>
      <c r="Y6059" t="s">
        <v>24650</v>
      </c>
      <c r="Z6059" t="s">
        <v>30929</v>
      </c>
      <c r="AA6059">
        <v>0.65929384967921767</v>
      </c>
      <c r="AB6059" t="str">
        <f>HYPERLINK("Melting_Curves/meltCurve_Q9Y230_RUVBL2.pdf", "Melting_Curves/meltCurve_Q9Y230_RUVBL2.pdf")</f>
        <v>Melting_Curves/meltCurve_Q9Y230_RUVBL2.pdf</v>
      </c>
    </row>
    <row r="6060" spans="1:28" x14ac:dyDescent="0.25">
      <c r="A6060" t="s">
        <v>6064</v>
      </c>
      <c r="B6060">
        <v>0.99352677808782597</v>
      </c>
      <c r="C6060">
        <v>0.89061006945415699</v>
      </c>
      <c r="D6060">
        <v>0.92183672233444203</v>
      </c>
      <c r="E6060">
        <v>0.929861663399419</v>
      </c>
      <c r="F6060">
        <v>0.92150047612403896</v>
      </c>
      <c r="G6060">
        <v>0.76347192513568796</v>
      </c>
      <c r="H6060">
        <v>0.64834643398316905</v>
      </c>
      <c r="I6060">
        <v>0.68801738677540303</v>
      </c>
      <c r="J6060">
        <v>0.64408628344006902</v>
      </c>
      <c r="K6060">
        <v>0.58020345225272896</v>
      </c>
      <c r="L6060">
        <v>385.37622898063302</v>
      </c>
      <c r="M6060">
        <v>6.0281644507095304</v>
      </c>
      <c r="O6060">
        <v>57.9603795079611</v>
      </c>
      <c r="P6060">
        <v>-1.7295917653710802E-2</v>
      </c>
      <c r="Q6060">
        <v>0.33691557712931502</v>
      </c>
      <c r="R6060">
        <v>0.90877427247098497</v>
      </c>
      <c r="S6060" t="s">
        <v>12345</v>
      </c>
      <c r="T6060" t="s">
        <v>12568</v>
      </c>
      <c r="U6060" t="s">
        <v>12568</v>
      </c>
      <c r="V6060" t="s">
        <v>12568</v>
      </c>
      <c r="W6060" t="s">
        <v>18575</v>
      </c>
      <c r="X6060">
        <v>5</v>
      </c>
      <c r="Y6060" t="s">
        <v>24651</v>
      </c>
      <c r="Z6060" t="s">
        <v>30930</v>
      </c>
      <c r="AA6060">
        <v>0.8062553080224818</v>
      </c>
      <c r="AB6060" t="str">
        <f>HYPERLINK("Melting_Curves/meltCurve_Q9Y232_2_CDYL.pdf", "Melting_Curves/meltCurve_Q9Y232_2_CDYL.pdf")</f>
        <v>Melting_Curves/meltCurve_Q9Y232_2_CDYL.pdf</v>
      </c>
    </row>
    <row r="6061" spans="1:28" x14ac:dyDescent="0.25">
      <c r="A6061" t="s">
        <v>6065</v>
      </c>
      <c r="B6061">
        <v>0.99352677808782597</v>
      </c>
      <c r="C6061">
        <v>0.81492539584599699</v>
      </c>
      <c r="D6061">
        <v>0.921187595312007</v>
      </c>
      <c r="E6061">
        <v>0.93115828476991103</v>
      </c>
      <c r="F6061">
        <v>0.83628561987338701</v>
      </c>
      <c r="G6061">
        <v>0.81246760459261103</v>
      </c>
      <c r="H6061">
        <v>0.60370404093692798</v>
      </c>
      <c r="I6061">
        <v>0.548154153721777</v>
      </c>
      <c r="J6061">
        <v>0.52703740615313099</v>
      </c>
      <c r="K6061">
        <v>0.475513852016405</v>
      </c>
      <c r="L6061">
        <v>370.09486048168901</v>
      </c>
      <c r="M6061">
        <v>5.4382475422634098</v>
      </c>
      <c r="N6061">
        <v>68.054043455682802</v>
      </c>
      <c r="O6061">
        <v>60.501962015435303</v>
      </c>
      <c r="P6061">
        <v>-2.25743479007307E-2</v>
      </c>
      <c r="Q6061">
        <v>0</v>
      </c>
      <c r="R6061">
        <v>0.896507597952511</v>
      </c>
      <c r="S6061" t="s">
        <v>12346</v>
      </c>
      <c r="T6061" t="s">
        <v>12568</v>
      </c>
      <c r="U6061" t="s">
        <v>12568</v>
      </c>
      <c r="V6061" t="s">
        <v>12568</v>
      </c>
      <c r="W6061" t="s">
        <v>18576</v>
      </c>
      <c r="X6061">
        <v>7</v>
      </c>
      <c r="Y6061" t="s">
        <v>24652</v>
      </c>
      <c r="Z6061" t="s">
        <v>30931</v>
      </c>
      <c r="AA6061">
        <v>0.7612691316716852</v>
      </c>
      <c r="AB6061" t="str">
        <f>HYPERLINK("Melting_Curves/meltCurve_Q9Y237_PIN4.pdf", "Melting_Curves/meltCurve_Q9Y237_PIN4.pdf")</f>
        <v>Melting_Curves/meltCurve_Q9Y237_PIN4.pdf</v>
      </c>
    </row>
    <row r="6062" spans="1:28" x14ac:dyDescent="0.25">
      <c r="A6062" t="s">
        <v>6066</v>
      </c>
      <c r="B6062">
        <v>0.99352677808782597</v>
      </c>
      <c r="C6062">
        <v>0.97581975516221797</v>
      </c>
      <c r="D6062">
        <v>0.99961749461455196</v>
      </c>
      <c r="E6062">
        <v>0.800715467753365</v>
      </c>
      <c r="F6062">
        <v>0.76339755774360296</v>
      </c>
      <c r="G6062">
        <v>0.45565229203448099</v>
      </c>
      <c r="H6062">
        <v>0.180760843205897</v>
      </c>
      <c r="I6062">
        <v>0.15513910018836999</v>
      </c>
      <c r="J6062">
        <v>0.10986977022484</v>
      </c>
      <c r="K6062">
        <v>9.2932045556934503E-2</v>
      </c>
      <c r="L6062">
        <v>926.31693390894497</v>
      </c>
      <c r="M6062">
        <v>16.6226114303659</v>
      </c>
      <c r="N6062">
        <v>56.072569486558102</v>
      </c>
      <c r="O6062">
        <v>54.938539262109799</v>
      </c>
      <c r="P6062">
        <v>-7.1957150690935501E-2</v>
      </c>
      <c r="Q6062">
        <v>4.8776692363443903E-2</v>
      </c>
      <c r="R6062">
        <v>0.99121012780983397</v>
      </c>
      <c r="S6062" t="s">
        <v>12347</v>
      </c>
      <c r="T6062" t="s">
        <v>12568</v>
      </c>
      <c r="U6062" t="s">
        <v>12568</v>
      </c>
      <c r="V6062" t="s">
        <v>12568</v>
      </c>
      <c r="W6062" t="s">
        <v>18577</v>
      </c>
      <c r="X6062">
        <v>11</v>
      </c>
      <c r="Y6062" t="s">
        <v>24653</v>
      </c>
      <c r="Z6062" t="s">
        <v>30932</v>
      </c>
      <c r="AA6062">
        <v>0.5630301002754865</v>
      </c>
      <c r="AB6062" t="str">
        <f>HYPERLINK("Melting_Curves/meltCurve_Q9Y243_2_AKT3.pdf", "Melting_Curves/meltCurve_Q9Y243_2_AKT3.pdf")</f>
        <v>Melting_Curves/meltCurve_Q9Y243_2_AKT3.pdf</v>
      </c>
    </row>
    <row r="6063" spans="1:28" x14ac:dyDescent="0.25">
      <c r="A6063" t="s">
        <v>6067</v>
      </c>
      <c r="B6063">
        <v>0.99352677808782597</v>
      </c>
      <c r="C6063">
        <v>0.99689565769388699</v>
      </c>
      <c r="D6063">
        <v>0.85717772070110398</v>
      </c>
      <c r="E6063">
        <v>0.86103832659009005</v>
      </c>
      <c r="F6063">
        <v>0.66402692468306102</v>
      </c>
      <c r="G6063">
        <v>0.52039174127372001</v>
      </c>
      <c r="H6063">
        <v>0.42455544015763702</v>
      </c>
      <c r="I6063">
        <v>0.33139988606166398</v>
      </c>
      <c r="J6063">
        <v>0.31890334989518299</v>
      </c>
      <c r="K6063">
        <v>0.34434219052064402</v>
      </c>
      <c r="L6063">
        <v>689.79623052548197</v>
      </c>
      <c r="M6063">
        <v>12.7811919744129</v>
      </c>
      <c r="N6063">
        <v>57.6077606986848</v>
      </c>
      <c r="O6063">
        <v>52.699649421508902</v>
      </c>
      <c r="P6063">
        <v>-4.3848902551956101E-2</v>
      </c>
      <c r="Q6063">
        <v>0.27694200288753201</v>
      </c>
      <c r="R6063">
        <v>0.98408949132461399</v>
      </c>
      <c r="S6063" t="s">
        <v>12348</v>
      </c>
      <c r="T6063" t="s">
        <v>12568</v>
      </c>
      <c r="U6063" t="s">
        <v>12568</v>
      </c>
      <c r="V6063" t="s">
        <v>12568</v>
      </c>
      <c r="W6063" t="s">
        <v>18578</v>
      </c>
      <c r="X6063">
        <v>3</v>
      </c>
      <c r="Y6063" t="s">
        <v>24654</v>
      </c>
      <c r="Z6063" t="s">
        <v>30933</v>
      </c>
      <c r="AA6063">
        <v>0.63144793397567178</v>
      </c>
      <c r="AB6063" t="str">
        <f>HYPERLINK("Melting_Curves/meltCurve_Q9Y244_POMP.pdf", "Melting_Curves/meltCurve_Q9Y244_POMP.pdf")</f>
        <v>Melting_Curves/meltCurve_Q9Y244_POMP.pdf</v>
      </c>
    </row>
    <row r="6064" spans="1:28" x14ac:dyDescent="0.25">
      <c r="A6064" t="s">
        <v>6068</v>
      </c>
      <c r="B6064">
        <v>0.99352677808782597</v>
      </c>
      <c r="C6064">
        <v>1.0083206235250901</v>
      </c>
      <c r="D6064">
        <v>0.96480674521390297</v>
      </c>
      <c r="E6064">
        <v>0.41781801175071998</v>
      </c>
      <c r="F6064">
        <v>0.31839046767115198</v>
      </c>
      <c r="G6064">
        <v>0.15374248420183101</v>
      </c>
      <c r="H6064">
        <v>0.10688902871691799</v>
      </c>
      <c r="I6064">
        <v>0.103551200938993</v>
      </c>
      <c r="J6064">
        <v>9.0343528966366896E-2</v>
      </c>
      <c r="K6064">
        <v>6.3880256278720196E-2</v>
      </c>
      <c r="L6064">
        <v>1326.43198188223</v>
      </c>
      <c r="M6064">
        <v>26.796702948124501</v>
      </c>
      <c r="N6064">
        <v>49.935128935038698</v>
      </c>
      <c r="O6064">
        <v>49.226613648204697</v>
      </c>
      <c r="P6064">
        <v>-0.121915176887641</v>
      </c>
      <c r="Q6064">
        <v>0.10415696460490299</v>
      </c>
      <c r="R6064">
        <v>0.98641145359030602</v>
      </c>
      <c r="S6064" t="s">
        <v>12349</v>
      </c>
      <c r="T6064" t="s">
        <v>12568</v>
      </c>
      <c r="U6064" t="s">
        <v>12568</v>
      </c>
      <c r="V6064" t="s">
        <v>12568</v>
      </c>
      <c r="W6064" t="s">
        <v>18579</v>
      </c>
      <c r="X6064">
        <v>6</v>
      </c>
      <c r="Y6064" t="s">
        <v>24655</v>
      </c>
      <c r="Z6064" t="s">
        <v>30934</v>
      </c>
      <c r="AA6064">
        <v>0.39475390984730457</v>
      </c>
      <c r="AB6064" t="str">
        <f>HYPERLINK("Melting_Curves/meltCurve_Q9Y248_GINS2.pdf", "Melting_Curves/meltCurve_Q9Y248_GINS2.pdf")</f>
        <v>Melting_Curves/meltCurve_Q9Y248_GINS2.pdf</v>
      </c>
    </row>
    <row r="6065" spans="1:28" x14ac:dyDescent="0.25">
      <c r="A6065" t="s">
        <v>6069</v>
      </c>
      <c r="B6065">
        <v>0.99352677808782597</v>
      </c>
      <c r="C6065">
        <v>0.95809976437217503</v>
      </c>
      <c r="D6065">
        <v>0.94042886510524604</v>
      </c>
      <c r="E6065">
        <v>0.91832060120566505</v>
      </c>
      <c r="F6065">
        <v>0.95357259081752199</v>
      </c>
      <c r="G6065">
        <v>0.88923695042284101</v>
      </c>
      <c r="H6065">
        <v>0.60906359350045602</v>
      </c>
      <c r="I6065">
        <v>0.32248544293928399</v>
      </c>
      <c r="J6065">
        <v>0.24220465961776599</v>
      </c>
      <c r="K6065">
        <v>0.214211590360946</v>
      </c>
      <c r="L6065">
        <v>1710.0262465902599</v>
      </c>
      <c r="M6065">
        <v>28.058556886281501</v>
      </c>
      <c r="N6065">
        <v>61.938189608140199</v>
      </c>
      <c r="O6065">
        <v>60.637862434529303</v>
      </c>
      <c r="P6065">
        <v>-9.4723284204294197E-2</v>
      </c>
      <c r="Q6065">
        <v>0.18117407085627099</v>
      </c>
      <c r="R6065">
        <v>0.98481396330791804</v>
      </c>
      <c r="S6065" t="s">
        <v>12350</v>
      </c>
      <c r="T6065" t="s">
        <v>12568</v>
      </c>
      <c r="U6065" t="s">
        <v>12568</v>
      </c>
      <c r="V6065" t="s">
        <v>12568</v>
      </c>
      <c r="W6065" t="s">
        <v>18580</v>
      </c>
      <c r="X6065">
        <v>4</v>
      </c>
      <c r="Y6065" t="s">
        <v>24656</v>
      </c>
      <c r="Z6065" t="s">
        <v>30935</v>
      </c>
      <c r="AA6065">
        <v>0.75768549205403979</v>
      </c>
      <c r="AB6065" t="str">
        <f>HYPERLINK("Melting_Curves/meltCurve_Q9Y259_CHKB.pdf", "Melting_Curves/meltCurve_Q9Y259_CHKB.pdf")</f>
        <v>Melting_Curves/meltCurve_Q9Y259_CHKB.pdf</v>
      </c>
    </row>
    <row r="6066" spans="1:28" x14ac:dyDescent="0.25">
      <c r="A6066" t="s">
        <v>6070</v>
      </c>
      <c r="B6066">
        <v>0.99352677808782597</v>
      </c>
      <c r="C6066">
        <v>0.99526431824616601</v>
      </c>
      <c r="D6066">
        <v>1.04452770967094</v>
      </c>
      <c r="E6066">
        <v>0.71456744957649998</v>
      </c>
      <c r="F6066">
        <v>0.55563630401769204</v>
      </c>
      <c r="G6066">
        <v>0.18032193042785599</v>
      </c>
      <c r="H6066">
        <v>0.101266138352738</v>
      </c>
      <c r="I6066">
        <v>0.103551607037174</v>
      </c>
      <c r="J6066">
        <v>7.6219735994041804E-2</v>
      </c>
      <c r="K6066">
        <v>5.7463103494409903E-2</v>
      </c>
      <c r="L6066">
        <v>1161.8588372142699</v>
      </c>
      <c r="M6066">
        <v>22.044083994809501</v>
      </c>
      <c r="N6066">
        <v>53.028849205863303</v>
      </c>
      <c r="O6066">
        <v>52.278162671884402</v>
      </c>
      <c r="P6066">
        <v>-9.8802717532102693E-2</v>
      </c>
      <c r="Q6066">
        <v>6.2767090367202294E-2</v>
      </c>
      <c r="R6066">
        <v>0.99043401169252698</v>
      </c>
      <c r="S6066" t="s">
        <v>12351</v>
      </c>
      <c r="T6066" t="s">
        <v>12568</v>
      </c>
      <c r="U6066" t="s">
        <v>12568</v>
      </c>
      <c r="V6066" t="s">
        <v>12568</v>
      </c>
      <c r="W6066" t="s">
        <v>18581</v>
      </c>
      <c r="X6066">
        <v>20</v>
      </c>
      <c r="Y6066" t="s">
        <v>24657</v>
      </c>
      <c r="Z6066" t="s">
        <v>30936</v>
      </c>
      <c r="AA6066">
        <v>0.47059352717630337</v>
      </c>
      <c r="AB6066" t="str">
        <f>HYPERLINK("Melting_Curves/meltCurve_Q9Y262_EIF3L.pdf", "Melting_Curves/meltCurve_Q9Y262_EIF3L.pdf")</f>
        <v>Melting_Curves/meltCurve_Q9Y262_EIF3L.pdf</v>
      </c>
    </row>
    <row r="6067" spans="1:28" x14ac:dyDescent="0.25">
      <c r="A6067" t="s">
        <v>6071</v>
      </c>
      <c r="B6067">
        <v>0.99352677808782597</v>
      </c>
      <c r="C6067">
        <v>0.94755308235123403</v>
      </c>
      <c r="D6067">
        <v>0.96657053309819196</v>
      </c>
      <c r="E6067">
        <v>0.47845336911710801</v>
      </c>
      <c r="F6067">
        <v>0.38781955325050599</v>
      </c>
      <c r="G6067">
        <v>0.17769912401725199</v>
      </c>
      <c r="H6067">
        <v>8.3395150590564293E-2</v>
      </c>
      <c r="I6067">
        <v>8.6532321626640901E-2</v>
      </c>
      <c r="J6067">
        <v>7.0981463488386506E-2</v>
      </c>
      <c r="K6067">
        <v>5.7130376895302898E-2</v>
      </c>
      <c r="L6067">
        <v>982.24534752317697</v>
      </c>
      <c r="M6067">
        <v>19.4834062036931</v>
      </c>
      <c r="N6067">
        <v>50.796311703067197</v>
      </c>
      <c r="O6067">
        <v>49.892368509916501</v>
      </c>
      <c r="P6067">
        <v>-9.0979957700716596E-2</v>
      </c>
      <c r="Q6067">
        <v>6.8121518676799303E-2</v>
      </c>
      <c r="R6067">
        <v>0.98479573743432103</v>
      </c>
      <c r="S6067" t="s">
        <v>12352</v>
      </c>
      <c r="T6067" t="s">
        <v>12568</v>
      </c>
      <c r="U6067" t="s">
        <v>12568</v>
      </c>
      <c r="V6067" t="s">
        <v>12568</v>
      </c>
      <c r="W6067" t="s">
        <v>18582</v>
      </c>
      <c r="X6067">
        <v>28</v>
      </c>
      <c r="Y6067" t="s">
        <v>24658</v>
      </c>
      <c r="Z6067" t="s">
        <v>30937</v>
      </c>
      <c r="AA6067">
        <v>0.40524160694428968</v>
      </c>
      <c r="AB6067" t="str">
        <f>HYPERLINK("Melting_Curves/meltCurve_Q9Y263_PLAA.pdf", "Melting_Curves/meltCurve_Q9Y263_PLAA.pdf")</f>
        <v>Melting_Curves/meltCurve_Q9Y263_PLAA.pdf</v>
      </c>
    </row>
    <row r="6068" spans="1:28" x14ac:dyDescent="0.25">
      <c r="A6068" t="s">
        <v>6072</v>
      </c>
      <c r="B6068">
        <v>0.99352677808782597</v>
      </c>
      <c r="C6068">
        <v>0.96847441280211999</v>
      </c>
      <c r="D6068">
        <v>0.84882401031107602</v>
      </c>
      <c r="E6068">
        <v>1.4558341036323299</v>
      </c>
      <c r="F6068">
        <v>0.96796963405516101</v>
      </c>
      <c r="G6068">
        <v>0.876300649480516</v>
      </c>
      <c r="H6068">
        <v>0.31729760390949202</v>
      </c>
      <c r="I6068">
        <v>0.20126798296958101</v>
      </c>
      <c r="J6068">
        <v>0.13831794743561299</v>
      </c>
      <c r="K6068">
        <v>0.10170414863147099</v>
      </c>
      <c r="L6068">
        <v>2567.7395533542199</v>
      </c>
      <c r="M6068">
        <v>43.306611292297099</v>
      </c>
      <c r="N6068">
        <v>59.706959696293403</v>
      </c>
      <c r="O6068">
        <v>59.1660805703957</v>
      </c>
      <c r="P6068">
        <v>-0.15921242354719001</v>
      </c>
      <c r="Q6068">
        <v>0.129928611908986</v>
      </c>
      <c r="R6068">
        <v>0.87766809605370899</v>
      </c>
      <c r="S6068" t="s">
        <v>12353</v>
      </c>
      <c r="T6068" t="s">
        <v>12568</v>
      </c>
      <c r="U6068" t="s">
        <v>12568</v>
      </c>
      <c r="V6068" t="s">
        <v>12568</v>
      </c>
      <c r="W6068" t="s">
        <v>18583</v>
      </c>
      <c r="X6068">
        <v>28</v>
      </c>
      <c r="Y6068" t="s">
        <v>24659</v>
      </c>
      <c r="Z6068" t="s">
        <v>30938</v>
      </c>
      <c r="AA6068">
        <v>0.69240647179078607</v>
      </c>
      <c r="AB6068" t="str">
        <f>HYPERLINK("Melting_Curves/meltCurve_Q9Y265_RUVBL1.pdf", "Melting_Curves/meltCurve_Q9Y265_RUVBL1.pdf")</f>
        <v>Melting_Curves/meltCurve_Q9Y265_RUVBL1.pdf</v>
      </c>
    </row>
    <row r="6069" spans="1:28" x14ac:dyDescent="0.25">
      <c r="A6069" t="s">
        <v>6073</v>
      </c>
      <c r="B6069">
        <v>0.99352677808782597</v>
      </c>
      <c r="C6069">
        <v>0.87541086403402602</v>
      </c>
      <c r="D6069">
        <v>1.0226005570108401</v>
      </c>
      <c r="E6069">
        <v>0.72205542086361496</v>
      </c>
      <c r="F6069">
        <v>0.65508838603424302</v>
      </c>
      <c r="G6069">
        <v>0.24744427413488301</v>
      </c>
      <c r="H6069">
        <v>0.1608192121665</v>
      </c>
      <c r="I6069">
        <v>0.143386963091376</v>
      </c>
      <c r="J6069">
        <v>0.12876672222791299</v>
      </c>
      <c r="K6069">
        <v>0.100497139703278</v>
      </c>
      <c r="L6069">
        <v>1002.52735691086</v>
      </c>
      <c r="M6069">
        <v>18.802042144424401</v>
      </c>
      <c r="N6069">
        <v>53.909927654565003</v>
      </c>
      <c r="O6069">
        <v>52.727956797731103</v>
      </c>
      <c r="P6069">
        <v>-8.0862538894779595E-2</v>
      </c>
      <c r="Q6069">
        <v>9.2962509562790202E-2</v>
      </c>
      <c r="R6069">
        <v>0.97478623579484003</v>
      </c>
      <c r="S6069" t="s">
        <v>12354</v>
      </c>
      <c r="T6069" t="s">
        <v>12568</v>
      </c>
      <c r="U6069" t="s">
        <v>12568</v>
      </c>
      <c r="V6069" t="s">
        <v>12568</v>
      </c>
      <c r="W6069" t="s">
        <v>18584</v>
      </c>
      <c r="X6069">
        <v>28</v>
      </c>
      <c r="Y6069" t="s">
        <v>24660</v>
      </c>
      <c r="Z6069" t="s">
        <v>30939</v>
      </c>
      <c r="AA6069">
        <v>0.50945911321235515</v>
      </c>
      <c r="AB6069" t="str">
        <f>HYPERLINK("Melting_Curves/meltCurve_Q9Y266_NUDC.pdf", "Melting_Curves/meltCurve_Q9Y266_NUDC.pdf")</f>
        <v>Melting_Curves/meltCurve_Q9Y266_NUDC.pdf</v>
      </c>
    </row>
    <row r="6070" spans="1:28" x14ac:dyDescent="0.25">
      <c r="A6070" t="s">
        <v>6074</v>
      </c>
      <c r="B6070">
        <v>0.99352677808782597</v>
      </c>
      <c r="C6070">
        <v>0.95646487806068603</v>
      </c>
      <c r="D6070">
        <v>0.99960132205265895</v>
      </c>
      <c r="E6070">
        <v>0.90290559907328105</v>
      </c>
      <c r="F6070">
        <v>0.832054440939623</v>
      </c>
      <c r="G6070">
        <v>0.64366898221336999</v>
      </c>
      <c r="H6070">
        <v>0.28721239220523997</v>
      </c>
      <c r="I6070">
        <v>0.18145336356186401</v>
      </c>
      <c r="J6070">
        <v>0.12502012622855499</v>
      </c>
      <c r="K6070">
        <v>9.9870344512460005E-2</v>
      </c>
      <c r="L6070">
        <v>1027.1897608689201</v>
      </c>
      <c r="M6070">
        <v>17.7140644485705</v>
      </c>
      <c r="N6070">
        <v>58.263795819418398</v>
      </c>
      <c r="O6070">
        <v>57.263383290589701</v>
      </c>
      <c r="P6070">
        <v>-7.4221529612967393E-2</v>
      </c>
      <c r="Q6070">
        <v>4.0321310457161898E-2</v>
      </c>
      <c r="R6070">
        <v>0.993872354745437</v>
      </c>
      <c r="S6070" t="s">
        <v>12355</v>
      </c>
      <c r="T6070" t="s">
        <v>12568</v>
      </c>
      <c r="U6070" t="s">
        <v>12568</v>
      </c>
      <c r="V6070" t="s">
        <v>12568</v>
      </c>
      <c r="W6070" t="s">
        <v>18585</v>
      </c>
      <c r="X6070">
        <v>14</v>
      </c>
      <c r="Y6070" t="s">
        <v>24661</v>
      </c>
      <c r="Z6070" t="s">
        <v>30940</v>
      </c>
      <c r="AA6070">
        <v>0.62774208009264731</v>
      </c>
      <c r="AB6070" t="str">
        <f>HYPERLINK("Melting_Curves/meltCurve_Q9Y281_CFL2.pdf", "Melting_Curves/meltCurve_Q9Y281_CFL2.pdf")</f>
        <v>Melting_Curves/meltCurve_Q9Y281_CFL2.pdf</v>
      </c>
    </row>
    <row r="6071" spans="1:28" x14ac:dyDescent="0.25">
      <c r="A6071" t="s">
        <v>6075</v>
      </c>
      <c r="B6071">
        <v>0.99352677808782597</v>
      </c>
      <c r="C6071">
        <v>0.88015618889359504</v>
      </c>
      <c r="D6071">
        <v>0.79145585158596599</v>
      </c>
      <c r="E6071">
        <v>0.40350136922509</v>
      </c>
      <c r="F6071">
        <v>0.30805725161873698</v>
      </c>
      <c r="G6071">
        <v>0.18863765877799199</v>
      </c>
      <c r="H6071">
        <v>0.14210292497094301</v>
      </c>
      <c r="I6071">
        <v>0.11942036230691901</v>
      </c>
      <c r="J6071">
        <v>0.100058099047416</v>
      </c>
      <c r="K6071">
        <v>7.7777006410444605E-2</v>
      </c>
      <c r="L6071">
        <v>798.133051344156</v>
      </c>
      <c r="M6071">
        <v>16.394217665119999</v>
      </c>
      <c r="N6071">
        <v>49.329884626941798</v>
      </c>
      <c r="O6071">
        <v>47.976747689100598</v>
      </c>
      <c r="P6071">
        <v>-7.7179911451918604E-2</v>
      </c>
      <c r="Q6071">
        <v>9.6613889894228894E-2</v>
      </c>
      <c r="R6071">
        <v>0.99367919736215604</v>
      </c>
      <c r="S6071" t="s">
        <v>12356</v>
      </c>
      <c r="T6071" t="s">
        <v>12568</v>
      </c>
      <c r="U6071" t="s">
        <v>12568</v>
      </c>
      <c r="V6071" t="s">
        <v>12568</v>
      </c>
      <c r="W6071" t="s">
        <v>18586</v>
      </c>
      <c r="X6071">
        <v>7</v>
      </c>
      <c r="Y6071" t="s">
        <v>24662</v>
      </c>
      <c r="Z6071" t="s">
        <v>30941</v>
      </c>
      <c r="AA6071">
        <v>0.37709405608328239</v>
      </c>
      <c r="AB6071" t="str">
        <f>HYPERLINK("Melting_Curves/meltCurve_Q9Y285_FARSA.pdf", "Melting_Curves/meltCurve_Q9Y285_FARSA.pdf")</f>
        <v>Melting_Curves/meltCurve_Q9Y285_FARSA.pdf</v>
      </c>
    </row>
    <row r="6072" spans="1:28" x14ac:dyDescent="0.25">
      <c r="A6072" t="s">
        <v>6076</v>
      </c>
      <c r="B6072">
        <v>0.99352677808782597</v>
      </c>
      <c r="C6072">
        <v>1.0507781521156201</v>
      </c>
      <c r="D6072">
        <v>1.1464994121047101</v>
      </c>
      <c r="E6072">
        <v>1.1021962418168401</v>
      </c>
      <c r="F6072">
        <v>0.91591078140457804</v>
      </c>
      <c r="G6072">
        <v>1.00582808547679</v>
      </c>
      <c r="H6072">
        <v>0.42066873826853002</v>
      </c>
      <c r="I6072">
        <v>0.216822898187846</v>
      </c>
      <c r="J6072">
        <v>0.15119723979555999</v>
      </c>
      <c r="K6072">
        <v>8.95441982135049E-2</v>
      </c>
      <c r="L6072">
        <v>3485.7076462945502</v>
      </c>
      <c r="M6072">
        <v>57.799873614582602</v>
      </c>
      <c r="N6072">
        <v>60.647774915202298</v>
      </c>
      <c r="O6072">
        <v>60.2344309446297</v>
      </c>
      <c r="P6072">
        <v>-0.206591149408583</v>
      </c>
      <c r="Q6072">
        <v>0.13882895706786</v>
      </c>
      <c r="R6072">
        <v>0.97179203875203302</v>
      </c>
      <c r="S6072" t="s">
        <v>12357</v>
      </c>
      <c r="T6072" t="s">
        <v>12568</v>
      </c>
      <c r="U6072" t="s">
        <v>12568</v>
      </c>
      <c r="V6072" t="s">
        <v>12568</v>
      </c>
      <c r="W6072" t="s">
        <v>18587</v>
      </c>
      <c r="X6072">
        <v>2</v>
      </c>
      <c r="Y6072" t="s">
        <v>24663</v>
      </c>
      <c r="Z6072" t="s">
        <v>30942</v>
      </c>
      <c r="AA6072">
        <v>0.72343886482320807</v>
      </c>
      <c r="AB6072" t="str">
        <f>HYPERLINK("Melting_Curves/meltCurve_Q9Y294_ASF1A.pdf", "Melting_Curves/meltCurve_Q9Y294_ASF1A.pdf")</f>
        <v>Melting_Curves/meltCurve_Q9Y294_ASF1A.pdf</v>
      </c>
    </row>
    <row r="6073" spans="1:28" x14ac:dyDescent="0.25">
      <c r="A6073" t="s">
        <v>6077</v>
      </c>
      <c r="B6073">
        <v>0.99352677808782597</v>
      </c>
      <c r="C6073">
        <v>0.98564953797242305</v>
      </c>
      <c r="D6073">
        <v>0.97404575145130801</v>
      </c>
      <c r="E6073">
        <v>0.55476718319507601</v>
      </c>
      <c r="F6073">
        <v>0.46102195887457398</v>
      </c>
      <c r="G6073">
        <v>0.15779391472848101</v>
      </c>
      <c r="H6073">
        <v>9.6216462138994999E-2</v>
      </c>
      <c r="I6073">
        <v>8.6848237735054901E-2</v>
      </c>
      <c r="J6073">
        <v>6.5204507303885606E-2</v>
      </c>
      <c r="K6073">
        <v>5.2303817939402503E-2</v>
      </c>
      <c r="L6073">
        <v>961.40307107954504</v>
      </c>
      <c r="M6073">
        <v>18.733562245743801</v>
      </c>
      <c r="N6073">
        <v>51.632671453921802</v>
      </c>
      <c r="O6073">
        <v>50.745764446659699</v>
      </c>
      <c r="P6073">
        <v>-8.7343360240489804E-2</v>
      </c>
      <c r="Q6073">
        <v>5.3651676681967998E-2</v>
      </c>
      <c r="R6073">
        <v>0.987872698432949</v>
      </c>
      <c r="S6073" t="s">
        <v>12358</v>
      </c>
      <c r="T6073" t="s">
        <v>12568</v>
      </c>
      <c r="U6073" t="s">
        <v>12568</v>
      </c>
      <c r="V6073" t="s">
        <v>12568</v>
      </c>
      <c r="W6073" t="s">
        <v>18588</v>
      </c>
      <c r="X6073">
        <v>13</v>
      </c>
      <c r="Y6073" t="s">
        <v>24664</v>
      </c>
      <c r="Z6073" t="s">
        <v>30943</v>
      </c>
      <c r="AA6073">
        <v>0.42552528572696657</v>
      </c>
      <c r="AB6073" t="str">
        <f>HYPERLINK("Melting_Curves/meltCurve_Q9Y295_DRG1.pdf", "Melting_Curves/meltCurve_Q9Y295_DRG1.pdf")</f>
        <v>Melting_Curves/meltCurve_Q9Y295_DRG1.pdf</v>
      </c>
    </row>
    <row r="6074" spans="1:28" x14ac:dyDescent="0.25">
      <c r="A6074" t="s">
        <v>6078</v>
      </c>
      <c r="B6074">
        <v>0.99352677808782597</v>
      </c>
      <c r="C6074">
        <v>0.99684315496916998</v>
      </c>
      <c r="D6074">
        <v>0.92465079420149299</v>
      </c>
      <c r="E6074">
        <v>0.51706338843439104</v>
      </c>
      <c r="F6074">
        <v>0.410620247660681</v>
      </c>
      <c r="G6074">
        <v>0.19400131496467399</v>
      </c>
      <c r="H6074">
        <v>8.2687151937390194E-2</v>
      </c>
      <c r="I6074">
        <v>6.7880406165171603E-2</v>
      </c>
      <c r="J6074">
        <v>4.7273934362531099E-2</v>
      </c>
      <c r="K6074">
        <v>2.8516091592816002E-2</v>
      </c>
      <c r="L6074">
        <v>869.72307855914903</v>
      </c>
      <c r="M6074">
        <v>17.054621377711101</v>
      </c>
      <c r="N6074">
        <v>51.212651567584501</v>
      </c>
      <c r="O6074">
        <v>50.310678871024699</v>
      </c>
      <c r="P6074">
        <v>-8.1806362480314601E-2</v>
      </c>
      <c r="Q6074">
        <v>3.4752654814975401E-2</v>
      </c>
      <c r="R6074">
        <v>0.99096927633967702</v>
      </c>
      <c r="S6074" t="s">
        <v>12359</v>
      </c>
      <c r="T6074" t="s">
        <v>12568</v>
      </c>
      <c r="U6074" t="s">
        <v>12568</v>
      </c>
      <c r="V6074" t="s">
        <v>12568</v>
      </c>
      <c r="W6074" t="s">
        <v>18589</v>
      </c>
      <c r="X6074">
        <v>6</v>
      </c>
      <c r="Y6074" t="s">
        <v>24665</v>
      </c>
      <c r="Z6074" t="s">
        <v>30944</v>
      </c>
      <c r="AA6074">
        <v>0.40646635636319028</v>
      </c>
      <c r="AB6074" t="str">
        <f>HYPERLINK("Melting_Curves/meltCurve_Q9Y296_TRAPPC4.pdf", "Melting_Curves/meltCurve_Q9Y296_TRAPPC4.pdf")</f>
        <v>Melting_Curves/meltCurve_Q9Y296_TRAPPC4.pdf</v>
      </c>
    </row>
    <row r="6075" spans="1:28" x14ac:dyDescent="0.25">
      <c r="A6075" t="s">
        <v>6079</v>
      </c>
      <c r="B6075">
        <v>0.99352677808782597</v>
      </c>
      <c r="C6075">
        <v>0.98677472321515902</v>
      </c>
      <c r="D6075">
        <v>0.86231259543418504</v>
      </c>
      <c r="E6075">
        <v>0.83272542651471604</v>
      </c>
      <c r="F6075">
        <v>0.67565176627074297</v>
      </c>
      <c r="G6075">
        <v>0.20221232702636799</v>
      </c>
      <c r="H6075">
        <v>0.10908439446191499</v>
      </c>
      <c r="I6075">
        <v>9.2845431880623899E-2</v>
      </c>
      <c r="J6075">
        <v>7.3374499300117899E-2</v>
      </c>
      <c r="K6075">
        <v>6.1166742978324203E-2</v>
      </c>
      <c r="L6075">
        <v>1263.8678204556199</v>
      </c>
      <c r="M6075">
        <v>23.477971561743299</v>
      </c>
      <c r="N6075">
        <v>54.100496873471499</v>
      </c>
      <c r="O6075">
        <v>53.446084170848401</v>
      </c>
      <c r="P6075">
        <v>-0.103784360193548</v>
      </c>
      <c r="Q6075">
        <v>5.49827061212496E-2</v>
      </c>
      <c r="R6075">
        <v>0.98503324921575297</v>
      </c>
      <c r="S6075" t="s">
        <v>12360</v>
      </c>
      <c r="T6075" t="s">
        <v>12568</v>
      </c>
      <c r="U6075" t="s">
        <v>12568</v>
      </c>
      <c r="V6075" t="s">
        <v>12568</v>
      </c>
      <c r="W6075" t="s">
        <v>18590</v>
      </c>
      <c r="X6075">
        <v>34</v>
      </c>
      <c r="Y6075" t="s">
        <v>24666</v>
      </c>
      <c r="Z6075" t="s">
        <v>30945</v>
      </c>
      <c r="AA6075">
        <v>0.50049205115072637</v>
      </c>
      <c r="AB6075" t="str">
        <f>HYPERLINK("Melting_Curves/meltCurve_Q9Y2A7_NCKAP1.pdf", "Melting_Curves/meltCurve_Q9Y2A7_NCKAP1.pdf")</f>
        <v>Melting_Curves/meltCurve_Q9Y2A7_NCKAP1.pdf</v>
      </c>
    </row>
    <row r="6076" spans="1:28" x14ac:dyDescent="0.25">
      <c r="A6076" t="s">
        <v>6080</v>
      </c>
      <c r="B6076">
        <v>0.99352677808782597</v>
      </c>
      <c r="C6076">
        <v>0.95298506955720297</v>
      </c>
      <c r="D6076">
        <v>0.97620603942301598</v>
      </c>
      <c r="E6076">
        <v>0.89543838145271604</v>
      </c>
      <c r="F6076">
        <v>0.88425014266044</v>
      </c>
      <c r="G6076">
        <v>0.821328376527375</v>
      </c>
      <c r="H6076">
        <v>0.69818455649523703</v>
      </c>
      <c r="I6076">
        <v>0.77533677600106499</v>
      </c>
      <c r="J6076">
        <v>0.76946994889658205</v>
      </c>
      <c r="K6076">
        <v>0.65289259989539505</v>
      </c>
      <c r="L6076">
        <v>468.193934325729</v>
      </c>
      <c r="M6076">
        <v>8.2490206699128503</v>
      </c>
      <c r="O6076">
        <v>53.715033089117298</v>
      </c>
      <c r="P6076">
        <v>-1.4108984951498101E-2</v>
      </c>
      <c r="Q6076">
        <v>0.63287694718448695</v>
      </c>
      <c r="R6076">
        <v>0.89903558673994399</v>
      </c>
      <c r="S6076" t="s">
        <v>12361</v>
      </c>
      <c r="T6076" t="s">
        <v>12568</v>
      </c>
      <c r="U6076" t="s">
        <v>12568</v>
      </c>
      <c r="V6076" t="s">
        <v>12568</v>
      </c>
      <c r="W6076" t="s">
        <v>18591</v>
      </c>
      <c r="X6076">
        <v>16</v>
      </c>
      <c r="Y6076" t="s">
        <v>24667</v>
      </c>
      <c r="Z6076" t="s">
        <v>30946</v>
      </c>
      <c r="AA6076">
        <v>0.84328001711806211</v>
      </c>
      <c r="AB6076" t="str">
        <f>HYPERLINK("Melting_Curves/meltCurve_Q9Y2B0_CNPY2.pdf", "Melting_Curves/meltCurve_Q9Y2B0_CNPY2.pdf")</f>
        <v>Melting_Curves/meltCurve_Q9Y2B0_CNPY2.pdf</v>
      </c>
    </row>
    <row r="6077" spans="1:28" x14ac:dyDescent="0.25">
      <c r="A6077" t="s">
        <v>6081</v>
      </c>
      <c r="B6077">
        <v>0.99352677808782597</v>
      </c>
      <c r="C6077">
        <v>0.97876691987141196</v>
      </c>
      <c r="D6077">
        <v>1.0351021834655101</v>
      </c>
      <c r="E6077">
        <v>0.79626017682716599</v>
      </c>
      <c r="F6077">
        <v>0.73613730251078502</v>
      </c>
      <c r="G6077">
        <v>0.57579303651992897</v>
      </c>
      <c r="H6077">
        <v>0.29974952735895399</v>
      </c>
      <c r="I6077">
        <v>0.28353265486628598</v>
      </c>
      <c r="J6077">
        <v>0.18359292920022399</v>
      </c>
      <c r="K6077">
        <v>0.19968320221642799</v>
      </c>
      <c r="L6077">
        <v>756.07282217079296</v>
      </c>
      <c r="M6077">
        <v>13.422156916773099</v>
      </c>
      <c r="N6077">
        <v>57.4660911565216</v>
      </c>
      <c r="O6077">
        <v>55.123868462635102</v>
      </c>
      <c r="P6077">
        <v>-5.3788543862001603E-2</v>
      </c>
      <c r="Q6077">
        <v>0.116514203245694</v>
      </c>
      <c r="R6077">
        <v>0.98386127335640305</v>
      </c>
      <c r="S6077" t="s">
        <v>12362</v>
      </c>
      <c r="T6077" t="s">
        <v>12568</v>
      </c>
      <c r="U6077" t="s">
        <v>12568</v>
      </c>
      <c r="V6077" t="s">
        <v>12568</v>
      </c>
      <c r="W6077" t="s">
        <v>18592</v>
      </c>
      <c r="X6077">
        <v>1</v>
      </c>
      <c r="Y6077" t="s">
        <v>24668</v>
      </c>
      <c r="Z6077" t="s">
        <v>30947</v>
      </c>
      <c r="AA6077">
        <v>0.61371438947401269</v>
      </c>
      <c r="AB6077" t="str">
        <f>HYPERLINK("Melting_Curves/meltCurve_Q9Y2D0_CA5B.pdf", "Melting_Curves/meltCurve_Q9Y2D0_CA5B.pdf")</f>
        <v>Melting_Curves/meltCurve_Q9Y2D0_CA5B.pdf</v>
      </c>
    </row>
    <row r="6078" spans="1:28" x14ac:dyDescent="0.25">
      <c r="A6078" t="s">
        <v>6082</v>
      </c>
      <c r="B6078">
        <v>0.99352677808782597</v>
      </c>
      <c r="C6078">
        <v>0.94997521593452405</v>
      </c>
      <c r="D6078">
        <v>0.75459818895917796</v>
      </c>
      <c r="E6078">
        <v>0.29474559999987099</v>
      </c>
      <c r="F6078">
        <v>0.233267225402604</v>
      </c>
      <c r="G6078">
        <v>9.4145763512523198E-2</v>
      </c>
      <c r="H6078">
        <v>6.19092302431676E-2</v>
      </c>
      <c r="I6078">
        <v>5.6261025288081898E-2</v>
      </c>
      <c r="J6078">
        <v>4.2400660334427201E-2</v>
      </c>
      <c r="K6078">
        <v>3.8473975459556699E-2</v>
      </c>
      <c r="L6078">
        <v>1030.62896054201</v>
      </c>
      <c r="M6078">
        <v>21.424561696132699</v>
      </c>
      <c r="N6078">
        <v>48.362278981900403</v>
      </c>
      <c r="O6078">
        <v>47.6918028251594</v>
      </c>
      <c r="P6078">
        <v>-0.106262086356309</v>
      </c>
      <c r="Q6078">
        <v>5.3851385863032702E-2</v>
      </c>
      <c r="R6078">
        <v>0.994475458998752</v>
      </c>
      <c r="S6078" t="s">
        <v>12363</v>
      </c>
      <c r="T6078" t="s">
        <v>12568</v>
      </c>
      <c r="U6078" t="s">
        <v>12568</v>
      </c>
      <c r="V6078" t="s">
        <v>12568</v>
      </c>
      <c r="W6078" t="s">
        <v>18593</v>
      </c>
      <c r="X6078">
        <v>6</v>
      </c>
      <c r="Y6078" t="s">
        <v>24669</v>
      </c>
      <c r="Z6078" t="s">
        <v>30948</v>
      </c>
      <c r="AA6078">
        <v>0.32106930217222412</v>
      </c>
      <c r="AB6078" t="str">
        <f>HYPERLINK("Melting_Curves/meltCurve_Q9Y2D4_EXOC6B.pdf", "Melting_Curves/meltCurve_Q9Y2D4_EXOC6B.pdf")</f>
        <v>Melting_Curves/meltCurve_Q9Y2D4_EXOC6B.pdf</v>
      </c>
    </row>
    <row r="6079" spans="1:28" x14ac:dyDescent="0.25">
      <c r="A6079" t="s">
        <v>6083</v>
      </c>
      <c r="B6079">
        <v>0.99352677808782597</v>
      </c>
      <c r="C6079">
        <v>0.96867470960567004</v>
      </c>
      <c r="D6079">
        <v>0.949893558236511</v>
      </c>
      <c r="E6079">
        <v>0.92487353234467795</v>
      </c>
      <c r="F6079">
        <v>0.862561954528966</v>
      </c>
      <c r="G6079">
        <v>0.73843274309294105</v>
      </c>
      <c r="H6079">
        <v>0.75672295119757405</v>
      </c>
      <c r="I6079">
        <v>0.84453756699090998</v>
      </c>
      <c r="J6079">
        <v>0.86472737583430803</v>
      </c>
      <c r="K6079">
        <v>0.74787187890831197</v>
      </c>
      <c r="L6079">
        <v>1225.5041914091</v>
      </c>
      <c r="M6079">
        <v>24.201947939009202</v>
      </c>
      <c r="O6079">
        <v>50.294678998119302</v>
      </c>
      <c r="P6079">
        <v>-2.5156791017669801E-2</v>
      </c>
      <c r="Q6079">
        <v>0.79088734828415896</v>
      </c>
      <c r="R6079">
        <v>0.77244472893559601</v>
      </c>
      <c r="S6079" t="s">
        <v>12364</v>
      </c>
      <c r="T6079" t="s">
        <v>12568</v>
      </c>
      <c r="U6079" t="s">
        <v>12568</v>
      </c>
      <c r="V6079" t="s">
        <v>12568</v>
      </c>
      <c r="W6079" t="s">
        <v>18594</v>
      </c>
      <c r="X6079">
        <v>15</v>
      </c>
      <c r="Y6079" t="s">
        <v>24670</v>
      </c>
      <c r="Z6079" t="s">
        <v>30949</v>
      </c>
      <c r="AA6079">
        <v>0.8670352895990926</v>
      </c>
      <c r="AB6079" t="str">
        <f>HYPERLINK("Melting_Curves/meltCurve_Q9Y2D5_6_AKAP2.pdf", "Melting_Curves/meltCurve_Q9Y2D5_6_AKAP2.pdf")</f>
        <v>Melting_Curves/meltCurve_Q9Y2D5_6_AKAP2.pdf</v>
      </c>
    </row>
    <row r="6080" spans="1:28" x14ac:dyDescent="0.25">
      <c r="A6080" t="s">
        <v>6084</v>
      </c>
      <c r="B6080">
        <v>0.99352677808782597</v>
      </c>
      <c r="C6080">
        <v>0.94955742456249803</v>
      </c>
      <c r="D6080">
        <v>0.88401918581530703</v>
      </c>
      <c r="E6080">
        <v>0.77953581212086498</v>
      </c>
      <c r="F6080">
        <v>0.64616860206666704</v>
      </c>
      <c r="G6080">
        <v>0.40708018003801399</v>
      </c>
      <c r="H6080">
        <v>0.43766688347548699</v>
      </c>
      <c r="I6080">
        <v>0.41527175748762002</v>
      </c>
      <c r="J6080">
        <v>0.400068941456518</v>
      </c>
      <c r="K6080">
        <v>0.266996295147861</v>
      </c>
      <c r="L6080">
        <v>684.13245491815803</v>
      </c>
      <c r="M6080">
        <v>13.098517923452899</v>
      </c>
      <c r="N6080">
        <v>56.537276383397398</v>
      </c>
      <c r="O6080">
        <v>51.057372586868802</v>
      </c>
      <c r="P6080">
        <v>-4.3896935628345297E-2</v>
      </c>
      <c r="Q6080">
        <v>0.315685091002531</v>
      </c>
      <c r="R6080">
        <v>0.971205692950183</v>
      </c>
      <c r="S6080" t="s">
        <v>12365</v>
      </c>
      <c r="T6080" t="s">
        <v>12568</v>
      </c>
      <c r="U6080" t="s">
        <v>12568</v>
      </c>
      <c r="V6080" t="s">
        <v>12568</v>
      </c>
      <c r="W6080" t="s">
        <v>18595</v>
      </c>
      <c r="X6080">
        <v>4</v>
      </c>
      <c r="Y6080" t="s">
        <v>24671</v>
      </c>
      <c r="Z6080" t="s">
        <v>30950</v>
      </c>
      <c r="AA6080">
        <v>0.61305482831014702</v>
      </c>
      <c r="AB6080" t="str">
        <f>HYPERLINK("Melting_Curves/meltCurve_Q9Y2E4_DIP2C.pdf", "Melting_Curves/meltCurve_Q9Y2E4_DIP2C.pdf")</f>
        <v>Melting_Curves/meltCurve_Q9Y2E4_DIP2C.pdf</v>
      </c>
    </row>
    <row r="6081" spans="1:28" x14ac:dyDescent="0.25">
      <c r="A6081" t="s">
        <v>6085</v>
      </c>
      <c r="B6081">
        <v>0.99352677808782597</v>
      </c>
      <c r="C6081">
        <v>0.99440672581235201</v>
      </c>
      <c r="D6081">
        <v>0.954103232351736</v>
      </c>
      <c r="E6081">
        <v>0.89165190655626003</v>
      </c>
      <c r="F6081">
        <v>0.79351299890082005</v>
      </c>
      <c r="G6081">
        <v>0.67361423187437797</v>
      </c>
      <c r="H6081">
        <v>0.69171518777218699</v>
      </c>
      <c r="I6081">
        <v>0.74039093562127301</v>
      </c>
      <c r="J6081">
        <v>0.78694563553469798</v>
      </c>
      <c r="K6081">
        <v>0.76069661416603795</v>
      </c>
      <c r="L6081">
        <v>1572.8802952307501</v>
      </c>
      <c r="M6081">
        <v>31.161285783061299</v>
      </c>
      <c r="O6081">
        <v>50.268954352656301</v>
      </c>
      <c r="P6081">
        <v>-4.1615193571625103E-2</v>
      </c>
      <c r="Q6081">
        <v>0.73146930285397305</v>
      </c>
      <c r="R6081">
        <v>0.91471808372910701</v>
      </c>
      <c r="S6081" t="s">
        <v>12366</v>
      </c>
      <c r="T6081" t="s">
        <v>12568</v>
      </c>
      <c r="U6081" t="s">
        <v>12568</v>
      </c>
      <c r="V6081" t="s">
        <v>12568</v>
      </c>
      <c r="W6081" t="s">
        <v>18596</v>
      </c>
      <c r="X6081">
        <v>3</v>
      </c>
      <c r="Y6081" t="s">
        <v>24672</v>
      </c>
      <c r="Z6081" t="s">
        <v>30951</v>
      </c>
      <c r="AA6081">
        <v>0.82678597915331742</v>
      </c>
      <c r="AB6081" t="str">
        <f>HYPERLINK("Melting_Curves/meltCurve_Q9Y2F5_KIAA0947.pdf", "Melting_Curves/meltCurve_Q9Y2F5_KIAA0947.pdf")</f>
        <v>Melting_Curves/meltCurve_Q9Y2F5_KIAA0947.pdf</v>
      </c>
    </row>
    <row r="6082" spans="1:28" x14ac:dyDescent="0.25">
      <c r="A6082" t="s">
        <v>6086</v>
      </c>
      <c r="B6082">
        <v>0.99352677808782597</v>
      </c>
      <c r="C6082">
        <v>0.93233878038476203</v>
      </c>
      <c r="D6082">
        <v>0.965611444426698</v>
      </c>
      <c r="E6082">
        <v>0.89752404260176</v>
      </c>
      <c r="F6082">
        <v>0.83230707901887102</v>
      </c>
      <c r="G6082">
        <v>0.691044578671697</v>
      </c>
      <c r="H6082">
        <v>0.49709566922881299</v>
      </c>
      <c r="I6082">
        <v>0.34528474859223701</v>
      </c>
      <c r="J6082">
        <v>0.25066409282637397</v>
      </c>
      <c r="K6082">
        <v>0.215354846537922</v>
      </c>
      <c r="L6082">
        <v>653.84748187718799</v>
      </c>
      <c r="M6082">
        <v>10.761442227928701</v>
      </c>
      <c r="N6082">
        <v>60.758350805367101</v>
      </c>
      <c r="O6082">
        <v>58.7730777123463</v>
      </c>
      <c r="P6082">
        <v>-4.5792177843257398E-2</v>
      </c>
      <c r="Q6082">
        <v>0</v>
      </c>
      <c r="R6082">
        <v>0.99405482287731906</v>
      </c>
      <c r="S6082" t="s">
        <v>12367</v>
      </c>
      <c r="T6082" t="s">
        <v>12568</v>
      </c>
      <c r="U6082" t="s">
        <v>12568</v>
      </c>
      <c r="V6082" t="s">
        <v>12568</v>
      </c>
      <c r="W6082" t="s">
        <v>18597</v>
      </c>
      <c r="X6082">
        <v>10</v>
      </c>
      <c r="Y6082" t="s">
        <v>24673</v>
      </c>
      <c r="Z6082" t="s">
        <v>30952</v>
      </c>
      <c r="AA6082">
        <v>0.68525864978880768</v>
      </c>
      <c r="AB6082" t="str">
        <f>HYPERLINK("Melting_Curves/meltCurve_Q9Y2G2_5_CARD8.pdf", "Melting_Curves/meltCurve_Q9Y2G2_5_CARD8.pdf")</f>
        <v>Melting_Curves/meltCurve_Q9Y2G2_5_CARD8.pdf</v>
      </c>
    </row>
    <row r="6083" spans="1:28" x14ac:dyDescent="0.25">
      <c r="A6083" t="s">
        <v>6087</v>
      </c>
      <c r="B6083">
        <v>0.99352677808782597</v>
      </c>
      <c r="C6083">
        <v>0.86885599542640202</v>
      </c>
      <c r="D6083">
        <v>0.87758528817894299</v>
      </c>
      <c r="E6083">
        <v>0.33457955231470898</v>
      </c>
      <c r="F6083">
        <v>0.30836736556754402</v>
      </c>
      <c r="G6083">
        <v>0.22726924652449201</v>
      </c>
      <c r="H6083">
        <v>0.18095025166247899</v>
      </c>
      <c r="I6083">
        <v>0.14906088711100501</v>
      </c>
      <c r="J6083">
        <v>0.133706539528128</v>
      </c>
      <c r="K6083">
        <v>9.4654090488639694E-2</v>
      </c>
      <c r="L6083">
        <v>1138.1051267759301</v>
      </c>
      <c r="M6083">
        <v>23.564255632005398</v>
      </c>
      <c r="N6083">
        <v>49.057928569232701</v>
      </c>
      <c r="O6083">
        <v>47.954154332416103</v>
      </c>
      <c r="P6083">
        <v>-0.104063986712155</v>
      </c>
      <c r="Q6083">
        <v>0.15291793978176399</v>
      </c>
      <c r="R6083">
        <v>0.97182017922290997</v>
      </c>
      <c r="S6083" t="s">
        <v>12368</v>
      </c>
      <c r="T6083" t="s">
        <v>12568</v>
      </c>
      <c r="U6083" t="s">
        <v>12568</v>
      </c>
      <c r="V6083" t="s">
        <v>12568</v>
      </c>
      <c r="W6083" t="s">
        <v>18598</v>
      </c>
      <c r="X6083">
        <v>4</v>
      </c>
      <c r="Y6083" t="s">
        <v>24674</v>
      </c>
      <c r="Z6083" t="s">
        <v>30953</v>
      </c>
      <c r="AA6083">
        <v>0.39569759380175751</v>
      </c>
      <c r="AB6083" t="str">
        <f>HYPERLINK("Melting_Curves/meltCurve_Q9Y2G5_POFUT2.pdf", "Melting_Curves/meltCurve_Q9Y2G5_POFUT2.pdf")</f>
        <v>Melting_Curves/meltCurve_Q9Y2G5_POFUT2.pdf</v>
      </c>
    </row>
    <row r="6084" spans="1:28" x14ac:dyDescent="0.25">
      <c r="A6084" t="s">
        <v>6088</v>
      </c>
      <c r="B6084">
        <v>0.99352677808782597</v>
      </c>
      <c r="C6084">
        <v>1.0102469921008801</v>
      </c>
      <c r="D6084">
        <v>1.0201342343983399</v>
      </c>
      <c r="E6084">
        <v>0.92188496045506696</v>
      </c>
      <c r="F6084">
        <v>0.804247309464585</v>
      </c>
      <c r="G6084">
        <v>0.58810044794412797</v>
      </c>
      <c r="H6084">
        <v>0.39890133255622301</v>
      </c>
      <c r="I6084">
        <v>0.30304726043390401</v>
      </c>
      <c r="J6084">
        <v>0.26884579222727201</v>
      </c>
      <c r="K6084">
        <v>0.18169122396586901</v>
      </c>
      <c r="L6084">
        <v>880.654041377765</v>
      </c>
      <c r="M6084">
        <v>15.376459965904701</v>
      </c>
      <c r="N6084">
        <v>58.750052840384299</v>
      </c>
      <c r="O6084">
        <v>56.330397407259703</v>
      </c>
      <c r="P6084">
        <v>-5.7306688983573599E-2</v>
      </c>
      <c r="Q6084">
        <v>0.16032359157919199</v>
      </c>
      <c r="R6084">
        <v>0.99672581141107996</v>
      </c>
      <c r="S6084" t="s">
        <v>12369</v>
      </c>
      <c r="T6084" t="s">
        <v>12568</v>
      </c>
      <c r="U6084" t="s">
        <v>12568</v>
      </c>
      <c r="V6084" t="s">
        <v>12568</v>
      </c>
      <c r="W6084" t="s">
        <v>18599</v>
      </c>
      <c r="X6084">
        <v>8</v>
      </c>
      <c r="Y6084" t="s">
        <v>24675</v>
      </c>
      <c r="Z6084" t="s">
        <v>30954</v>
      </c>
      <c r="AA6084">
        <v>0.65639556353376738</v>
      </c>
      <c r="AB6084" t="str">
        <f>HYPERLINK("Melting_Curves/meltCurve_Q9Y2H0_3_DLGAP4.pdf", "Melting_Curves/meltCurve_Q9Y2H0_3_DLGAP4.pdf")</f>
        <v>Melting_Curves/meltCurve_Q9Y2H0_3_DLGAP4.pdf</v>
      </c>
    </row>
    <row r="6085" spans="1:28" x14ac:dyDescent="0.25">
      <c r="A6085" t="s">
        <v>6089</v>
      </c>
      <c r="B6085">
        <v>0.99352677808782597</v>
      </c>
      <c r="C6085">
        <v>0.88947603393516605</v>
      </c>
      <c r="D6085">
        <v>0.68924401073559705</v>
      </c>
      <c r="E6085">
        <v>0.14214759579179501</v>
      </c>
      <c r="F6085">
        <v>0.10115015271481</v>
      </c>
      <c r="G6085">
        <v>5.5016184268145099E-2</v>
      </c>
      <c r="H6085">
        <v>4.4792711499024203E-2</v>
      </c>
      <c r="I6085">
        <v>5.8357482168284701E-2</v>
      </c>
      <c r="J6085">
        <v>3.00653433864605E-2</v>
      </c>
      <c r="K6085">
        <v>2.35053518091442E-2</v>
      </c>
      <c r="L6085">
        <v>1382.1257371658901</v>
      </c>
      <c r="M6085">
        <v>29.441789880416898</v>
      </c>
      <c r="N6085">
        <v>47.083024009576299</v>
      </c>
      <c r="O6085">
        <v>46.729384060820301</v>
      </c>
      <c r="P6085">
        <v>-0.15097174217984799</v>
      </c>
      <c r="Q6085">
        <v>4.15303353512671E-2</v>
      </c>
      <c r="R6085">
        <v>0.99524598938924702</v>
      </c>
      <c r="S6085" t="s">
        <v>12370</v>
      </c>
      <c r="T6085" t="s">
        <v>12568</v>
      </c>
      <c r="U6085" t="s">
        <v>12568</v>
      </c>
      <c r="V6085" t="s">
        <v>12568</v>
      </c>
      <c r="W6085" t="s">
        <v>18600</v>
      </c>
      <c r="X6085">
        <v>10</v>
      </c>
      <c r="Y6085" t="s">
        <v>24676</v>
      </c>
      <c r="Z6085" t="s">
        <v>30955</v>
      </c>
      <c r="AA6085">
        <v>0.26938452369693711</v>
      </c>
      <c r="AB6085" t="str">
        <f>HYPERLINK("Melting_Curves/meltCurve_Q9Y2H1_STK38L.pdf", "Melting_Curves/meltCurve_Q9Y2H1_STK38L.pdf")</f>
        <v>Melting_Curves/meltCurve_Q9Y2H1_STK38L.pdf</v>
      </c>
    </row>
    <row r="6086" spans="1:28" x14ac:dyDescent="0.25">
      <c r="A6086" t="s">
        <v>6090</v>
      </c>
      <c r="B6086">
        <v>0.99352677808782597</v>
      </c>
      <c r="C6086">
        <v>0.92986703707380103</v>
      </c>
      <c r="D6086">
        <v>0.87273411966072401</v>
      </c>
      <c r="E6086">
        <v>0.73547416694564305</v>
      </c>
      <c r="F6086">
        <v>0.90648524637279804</v>
      </c>
      <c r="G6086">
        <v>0.83471864487746295</v>
      </c>
      <c r="H6086">
        <v>0.55724062065232605</v>
      </c>
      <c r="I6086">
        <v>0.32563765100349601</v>
      </c>
      <c r="J6086">
        <v>0.10370431317882101</v>
      </c>
      <c r="K6086">
        <v>6.8082624805957101E-2</v>
      </c>
      <c r="L6086">
        <v>1158.33529629861</v>
      </c>
      <c r="M6086">
        <v>18.8954922649061</v>
      </c>
      <c r="N6086">
        <v>61.302205652683497</v>
      </c>
      <c r="O6086">
        <v>60.6279610297671</v>
      </c>
      <c r="P6086">
        <v>-7.7918908481209595E-2</v>
      </c>
      <c r="Q6086">
        <v>0</v>
      </c>
      <c r="R6086">
        <v>0.91641782008690797</v>
      </c>
      <c r="S6086" t="s">
        <v>12371</v>
      </c>
      <c r="T6086" t="s">
        <v>12568</v>
      </c>
      <c r="U6086" t="s">
        <v>12568</v>
      </c>
      <c r="V6086" t="s">
        <v>12568</v>
      </c>
      <c r="W6086" t="s">
        <v>18601</v>
      </c>
      <c r="X6086">
        <v>4</v>
      </c>
      <c r="Y6086" t="s">
        <v>24677</v>
      </c>
      <c r="Z6086" t="s">
        <v>30956</v>
      </c>
      <c r="AA6086">
        <v>0.71484865226623595</v>
      </c>
      <c r="AB6086" t="str">
        <f>HYPERLINK("Melting_Curves/meltCurve_Q9Y2H2_INPP5F.pdf", "Melting_Curves/meltCurve_Q9Y2H2_INPP5F.pdf")</f>
        <v>Melting_Curves/meltCurve_Q9Y2H2_INPP5F.pdf</v>
      </c>
    </row>
    <row r="6087" spans="1:28" x14ac:dyDescent="0.25">
      <c r="A6087" t="s">
        <v>6091</v>
      </c>
      <c r="B6087">
        <v>0.99352677808782597</v>
      </c>
      <c r="C6087">
        <v>0.948966727653346</v>
      </c>
      <c r="D6087">
        <v>0.96361085460974305</v>
      </c>
      <c r="E6087">
        <v>0.71417075114157702</v>
      </c>
      <c r="F6087">
        <v>0.62923658058927701</v>
      </c>
      <c r="G6087">
        <v>0.51476852455528399</v>
      </c>
      <c r="H6087">
        <v>0.42238130651266698</v>
      </c>
      <c r="I6087">
        <v>0.432599389880505</v>
      </c>
      <c r="J6087">
        <v>0.47144085906219801</v>
      </c>
      <c r="K6087">
        <v>0.40005310634262797</v>
      </c>
      <c r="L6087">
        <v>884.40535845436204</v>
      </c>
      <c r="M6087">
        <v>17.405425227124599</v>
      </c>
      <c r="N6087">
        <v>56.8525398610103</v>
      </c>
      <c r="O6087">
        <v>50.1555322896779</v>
      </c>
      <c r="P6087">
        <v>-5.0206981158524101E-2</v>
      </c>
      <c r="Q6087">
        <v>0.421325947550728</v>
      </c>
      <c r="R6087">
        <v>0.98455439301064096</v>
      </c>
      <c r="S6087" t="s">
        <v>12372</v>
      </c>
      <c r="T6087" t="s">
        <v>12568</v>
      </c>
      <c r="U6087" t="s">
        <v>12568</v>
      </c>
      <c r="V6087" t="s">
        <v>12568</v>
      </c>
      <c r="W6087" t="s">
        <v>18602</v>
      </c>
      <c r="X6087">
        <v>16</v>
      </c>
      <c r="Y6087" t="s">
        <v>24678</v>
      </c>
      <c r="Z6087" t="s">
        <v>30957</v>
      </c>
      <c r="AA6087">
        <v>0.64026517800758254</v>
      </c>
      <c r="AB6087" t="str">
        <f>HYPERLINK("Melting_Curves/meltCurve_Q9Y2H5_PLEKHA6.pdf", "Melting_Curves/meltCurve_Q9Y2H5_PLEKHA6.pdf")</f>
        <v>Melting_Curves/meltCurve_Q9Y2H5_PLEKHA6.pdf</v>
      </c>
    </row>
    <row r="6088" spans="1:28" x14ac:dyDescent="0.25">
      <c r="A6088" t="s">
        <v>6092</v>
      </c>
      <c r="B6088">
        <v>0.99352677808782597</v>
      </c>
      <c r="C6088">
        <v>0.97517562948428205</v>
      </c>
      <c r="D6088">
        <v>0.98885742934445597</v>
      </c>
      <c r="E6088">
        <v>0.35386162823624601</v>
      </c>
      <c r="F6088">
        <v>0.28391067290412098</v>
      </c>
      <c r="G6088">
        <v>0.20097648321085099</v>
      </c>
      <c r="H6088">
        <v>0.13467079542386501</v>
      </c>
      <c r="I6088">
        <v>0.13012669001717</v>
      </c>
      <c r="J6088">
        <v>9.7831744009432106E-2</v>
      </c>
      <c r="K6088">
        <v>8.0415433472498202E-2</v>
      </c>
      <c r="L6088">
        <v>2058.4953317438099</v>
      </c>
      <c r="M6088">
        <v>42.099849658969703</v>
      </c>
      <c r="N6088">
        <v>49.296093848923903</v>
      </c>
      <c r="O6088">
        <v>48.785615046825001</v>
      </c>
      <c r="P6088">
        <v>-0.18448858858179901</v>
      </c>
      <c r="Q6088">
        <v>0.14485451853735001</v>
      </c>
      <c r="R6088">
        <v>0.98246395171179401</v>
      </c>
      <c r="S6088" t="s">
        <v>12373</v>
      </c>
      <c r="T6088" t="s">
        <v>12568</v>
      </c>
      <c r="U6088" t="s">
        <v>12568</v>
      </c>
      <c r="V6088" t="s">
        <v>12568</v>
      </c>
      <c r="W6088" t="s">
        <v>18603</v>
      </c>
      <c r="X6088">
        <v>6</v>
      </c>
      <c r="Y6088" t="s">
        <v>24679</v>
      </c>
      <c r="Z6088" t="s">
        <v>30958</v>
      </c>
      <c r="AA6088">
        <v>0.40103004828409899</v>
      </c>
      <c r="AB6088" t="str">
        <f>HYPERLINK("Melting_Curves/meltCurve_Q9Y2I1_NISCH.pdf", "Melting_Curves/meltCurve_Q9Y2I1_NISCH.pdf")</f>
        <v>Melting_Curves/meltCurve_Q9Y2I1_NISCH.pdf</v>
      </c>
    </row>
    <row r="6089" spans="1:28" x14ac:dyDescent="0.25">
      <c r="A6089" t="s">
        <v>6093</v>
      </c>
      <c r="B6089">
        <v>0.99352677808782597</v>
      </c>
      <c r="C6089">
        <v>0.92681869982865595</v>
      </c>
      <c r="D6089">
        <v>0.86805822054845605</v>
      </c>
      <c r="E6089">
        <v>0.65520457653170305</v>
      </c>
      <c r="F6089">
        <v>0.56597647691332797</v>
      </c>
      <c r="G6089">
        <v>0.31760492416990899</v>
      </c>
      <c r="H6089">
        <v>0.20888567372858199</v>
      </c>
      <c r="I6089">
        <v>0.196252432880301</v>
      </c>
      <c r="J6089">
        <v>0.17270713057041301</v>
      </c>
      <c r="K6089">
        <v>0.13236895238340601</v>
      </c>
      <c r="L6089">
        <v>647.26719164755195</v>
      </c>
      <c r="M6089">
        <v>12.3488650865841</v>
      </c>
      <c r="N6089">
        <v>53.3590714175972</v>
      </c>
      <c r="O6089">
        <v>51.097464476765502</v>
      </c>
      <c r="P6089">
        <v>-5.4501587770278997E-2</v>
      </c>
      <c r="Q6089">
        <v>9.8121827589473395E-2</v>
      </c>
      <c r="R6089">
        <v>0.995207575121551</v>
      </c>
      <c r="S6089" t="s">
        <v>12374</v>
      </c>
      <c r="T6089" t="s">
        <v>12568</v>
      </c>
      <c r="U6089" t="s">
        <v>12568</v>
      </c>
      <c r="V6089" t="s">
        <v>12568</v>
      </c>
      <c r="W6089" t="s">
        <v>18604</v>
      </c>
      <c r="X6089">
        <v>4</v>
      </c>
      <c r="Y6089" t="s">
        <v>24680</v>
      </c>
      <c r="Z6089" t="s">
        <v>30959</v>
      </c>
      <c r="AA6089">
        <v>0.49724176716515978</v>
      </c>
      <c r="AB6089" t="str">
        <f>HYPERLINK("Melting_Curves/meltCurve_Q9Y2I8_WDR37.pdf", "Melting_Curves/meltCurve_Q9Y2I8_WDR37.pdf")</f>
        <v>Melting_Curves/meltCurve_Q9Y2I8_WDR37.pdf</v>
      </c>
    </row>
    <row r="6090" spans="1:28" x14ac:dyDescent="0.25">
      <c r="A6090" t="s">
        <v>6094</v>
      </c>
      <c r="B6090">
        <v>0.99352677808782597</v>
      </c>
      <c r="C6090">
        <v>0.98996116910245202</v>
      </c>
      <c r="D6090">
        <v>0.94216085078616096</v>
      </c>
      <c r="E6090">
        <v>0.91198743720207198</v>
      </c>
      <c r="F6090">
        <v>0.76338963299051199</v>
      </c>
      <c r="G6090">
        <v>0.60882758920051305</v>
      </c>
      <c r="H6090">
        <v>0.54086077809139799</v>
      </c>
      <c r="I6090">
        <v>0.546422890828684</v>
      </c>
      <c r="J6090">
        <v>0.59612329614889104</v>
      </c>
      <c r="K6090">
        <v>0.50426433305237905</v>
      </c>
      <c r="L6090">
        <v>1181.1829183235</v>
      </c>
      <c r="M6090">
        <v>22.3458815372597</v>
      </c>
      <c r="O6090">
        <v>52.441221741431001</v>
      </c>
      <c r="P6090">
        <v>-4.9300013060810798E-2</v>
      </c>
      <c r="Q6090">
        <v>0.53722144174309905</v>
      </c>
      <c r="R6090">
        <v>0.98206765716967703</v>
      </c>
      <c r="S6090" t="s">
        <v>12375</v>
      </c>
      <c r="T6090" t="s">
        <v>12568</v>
      </c>
      <c r="U6090" t="s">
        <v>12568</v>
      </c>
      <c r="V6090" t="s">
        <v>12568</v>
      </c>
      <c r="W6090" t="s">
        <v>18605</v>
      </c>
      <c r="X6090">
        <v>7</v>
      </c>
      <c r="Y6090" t="s">
        <v>24681</v>
      </c>
      <c r="Z6090" t="s">
        <v>30960</v>
      </c>
      <c r="AA6090">
        <v>0.74082355402461342</v>
      </c>
      <c r="AB6090" t="str">
        <f>HYPERLINK("Melting_Curves/meltCurve_Q9Y2J4_2_AMOTL2.pdf", "Melting_Curves/meltCurve_Q9Y2J4_2_AMOTL2.pdf")</f>
        <v>Melting_Curves/meltCurve_Q9Y2J4_2_AMOTL2.pdf</v>
      </c>
    </row>
    <row r="6091" spans="1:28" x14ac:dyDescent="0.25">
      <c r="A6091" t="s">
        <v>6095</v>
      </c>
      <c r="B6091">
        <v>0.99352677808782597</v>
      </c>
      <c r="C6091">
        <v>0.88138841463682605</v>
      </c>
      <c r="D6091">
        <v>0.89223208167436896</v>
      </c>
      <c r="E6091">
        <v>1.06100213130829</v>
      </c>
      <c r="F6091">
        <v>1.04883995065598</v>
      </c>
      <c r="G6091">
        <v>0.88426759997110405</v>
      </c>
      <c r="H6091">
        <v>0.92430670183576902</v>
      </c>
      <c r="I6091">
        <v>0.92577573800034496</v>
      </c>
      <c r="J6091">
        <v>1.04683290854574</v>
      </c>
      <c r="K6091">
        <v>0.83401667469430596</v>
      </c>
      <c r="L6091">
        <v>90.0076542547869</v>
      </c>
      <c r="M6091">
        <v>1.0000000000000001E-5</v>
      </c>
      <c r="Q6091">
        <v>0.68669287863184802</v>
      </c>
      <c r="R6091">
        <v>1.62840464873538E-2</v>
      </c>
      <c r="S6091" t="s">
        <v>12376</v>
      </c>
      <c r="T6091" t="s">
        <v>12568</v>
      </c>
      <c r="U6091" t="s">
        <v>12568</v>
      </c>
      <c r="V6091" t="s">
        <v>12568</v>
      </c>
      <c r="W6091" t="s">
        <v>18606</v>
      </c>
      <c r="X6091">
        <v>1</v>
      </c>
      <c r="Y6091" t="s">
        <v>24682</v>
      </c>
      <c r="Z6091" t="s">
        <v>30961</v>
      </c>
      <c r="AA6091">
        <v>0.94969882261563288</v>
      </c>
      <c r="AB6091" t="str">
        <f>HYPERLINK("Melting_Curves/meltCurve_Q9Y2K1_2_ZBTB1.pdf", "Melting_Curves/meltCurve_Q9Y2K1_2_ZBTB1.pdf")</f>
        <v>Melting_Curves/meltCurve_Q9Y2K1_2_ZBTB1.pdf</v>
      </c>
    </row>
    <row r="6092" spans="1:28" x14ac:dyDescent="0.25">
      <c r="A6092" t="s">
        <v>6096</v>
      </c>
      <c r="B6092">
        <v>0.99352677808782597</v>
      </c>
      <c r="C6092">
        <v>0.82101373181326298</v>
      </c>
      <c r="D6092">
        <v>0.817217606565526</v>
      </c>
      <c r="E6092">
        <v>0.52928187879118105</v>
      </c>
      <c r="F6092">
        <v>0.49555826326839503</v>
      </c>
      <c r="G6092">
        <v>0.36970908243717199</v>
      </c>
      <c r="H6092">
        <v>0.300885501200436</v>
      </c>
      <c r="I6092">
        <v>0.30036597441726298</v>
      </c>
      <c r="J6092">
        <v>0.29782629275873301</v>
      </c>
      <c r="K6092">
        <v>0.23563175099412501</v>
      </c>
      <c r="L6092">
        <v>574.10114091488299</v>
      </c>
      <c r="M6092">
        <v>11.696682811038301</v>
      </c>
      <c r="N6092">
        <v>52.029596034069797</v>
      </c>
      <c r="O6092">
        <v>47.713584716058399</v>
      </c>
      <c r="P6092">
        <v>-4.6452773731612003E-2</v>
      </c>
      <c r="Q6092">
        <v>0.242233516937951</v>
      </c>
      <c r="R6092">
        <v>0.97906443384417996</v>
      </c>
      <c r="S6092" t="s">
        <v>12377</v>
      </c>
      <c r="T6092" t="s">
        <v>12568</v>
      </c>
      <c r="U6092" t="s">
        <v>12568</v>
      </c>
      <c r="V6092" t="s">
        <v>12568</v>
      </c>
      <c r="W6092" t="s">
        <v>18607</v>
      </c>
      <c r="X6092">
        <v>6</v>
      </c>
      <c r="Y6092" t="s">
        <v>24683</v>
      </c>
      <c r="Z6092" t="s">
        <v>30962</v>
      </c>
      <c r="AA6092">
        <v>0.50054129676006442</v>
      </c>
      <c r="AB6092" t="str">
        <f>HYPERLINK("Melting_Curves/meltCurve_Q9Y2K7_KDM2A.pdf", "Melting_Curves/meltCurve_Q9Y2K7_KDM2A.pdf")</f>
        <v>Melting_Curves/meltCurve_Q9Y2K7_KDM2A.pdf</v>
      </c>
    </row>
    <row r="6093" spans="1:28" x14ac:dyDescent="0.25">
      <c r="A6093" t="s">
        <v>6097</v>
      </c>
      <c r="B6093">
        <v>0.99352677808782597</v>
      </c>
      <c r="C6093">
        <v>0.98472899363968502</v>
      </c>
      <c r="D6093">
        <v>0.88930839051452304</v>
      </c>
      <c r="E6093">
        <v>0.35691242648690102</v>
      </c>
      <c r="F6093">
        <v>0.277920037574096</v>
      </c>
      <c r="G6093">
        <v>0.18028572922337699</v>
      </c>
      <c r="H6093">
        <v>0.13536456355999199</v>
      </c>
      <c r="I6093">
        <v>0.12515638361841</v>
      </c>
      <c r="J6093">
        <v>0.1089379040481</v>
      </c>
      <c r="K6093">
        <v>8.1255350759290704E-2</v>
      </c>
      <c r="L6093">
        <v>1376.63347063175</v>
      </c>
      <c r="M6093">
        <v>28.296072137817301</v>
      </c>
      <c r="N6093">
        <v>49.172707734257699</v>
      </c>
      <c r="O6093">
        <v>48.409987021730302</v>
      </c>
      <c r="P6093">
        <v>-0.12718136065456701</v>
      </c>
      <c r="Q6093">
        <v>0.12966031074215301</v>
      </c>
      <c r="R6093">
        <v>0.99045881813481296</v>
      </c>
      <c r="S6093" t="s">
        <v>12378</v>
      </c>
      <c r="T6093" t="s">
        <v>12568</v>
      </c>
      <c r="U6093" t="s">
        <v>12568</v>
      </c>
      <c r="V6093" t="s">
        <v>12568</v>
      </c>
      <c r="W6093" t="s">
        <v>18608</v>
      </c>
      <c r="X6093">
        <v>23</v>
      </c>
      <c r="Y6093" t="s">
        <v>24684</v>
      </c>
      <c r="Z6093" t="s">
        <v>30963</v>
      </c>
      <c r="AA6093">
        <v>0.38659170265401149</v>
      </c>
      <c r="AB6093" t="str">
        <f>HYPERLINK("Melting_Curves/meltCurve_Q9Y2L1_DIS3.pdf", "Melting_Curves/meltCurve_Q9Y2L1_DIS3.pdf")</f>
        <v>Melting_Curves/meltCurve_Q9Y2L1_DIS3.pdf</v>
      </c>
    </row>
    <row r="6094" spans="1:28" x14ac:dyDescent="0.25">
      <c r="A6094" t="s">
        <v>6098</v>
      </c>
      <c r="B6094">
        <v>0.99352677808782597</v>
      </c>
      <c r="C6094">
        <v>0.90773685867505705</v>
      </c>
      <c r="D6094">
        <v>0.81767081852387402</v>
      </c>
      <c r="E6094">
        <v>0.449507687928621</v>
      </c>
      <c r="F6094">
        <v>0.45677539234222603</v>
      </c>
      <c r="G6094">
        <v>0.22222519370931201</v>
      </c>
      <c r="H6094">
        <v>0.17457697955601201</v>
      </c>
      <c r="I6094">
        <v>0.14944704028519101</v>
      </c>
      <c r="J6094">
        <v>0.13110655059856</v>
      </c>
      <c r="K6094">
        <v>0.108580580905574</v>
      </c>
      <c r="L6094">
        <v>684.49993294837896</v>
      </c>
      <c r="M6094">
        <v>13.751434623629899</v>
      </c>
      <c r="N6094">
        <v>50.6477131365681</v>
      </c>
      <c r="O6094">
        <v>48.759390962605899</v>
      </c>
      <c r="P6094">
        <v>-6.3090384025861201E-2</v>
      </c>
      <c r="Q6094">
        <v>0.10531165881026</v>
      </c>
      <c r="R6094">
        <v>0.98428405439867095</v>
      </c>
      <c r="S6094" t="s">
        <v>12379</v>
      </c>
      <c r="T6094" t="s">
        <v>12568</v>
      </c>
      <c r="U6094" t="s">
        <v>12568</v>
      </c>
      <c r="V6094" t="s">
        <v>12568</v>
      </c>
      <c r="W6094" t="s">
        <v>18609</v>
      </c>
      <c r="X6094">
        <v>5</v>
      </c>
      <c r="Y6094" t="s">
        <v>24685</v>
      </c>
      <c r="Z6094" t="s">
        <v>30964</v>
      </c>
      <c r="AA6094">
        <v>0.42192165849539848</v>
      </c>
      <c r="AB6094" t="str">
        <f>HYPERLINK("Melting_Curves/meltCurve_Q9Y2L9_2_LRCH1.pdf", "Melting_Curves/meltCurve_Q9Y2L9_2_LRCH1.pdf")</f>
        <v>Melting_Curves/meltCurve_Q9Y2L9_2_LRCH1.pdf</v>
      </c>
    </row>
    <row r="6095" spans="1:28" x14ac:dyDescent="0.25">
      <c r="A6095" t="s">
        <v>6099</v>
      </c>
      <c r="B6095">
        <v>0.99352677808782597</v>
      </c>
      <c r="C6095">
        <v>0.94900612821651398</v>
      </c>
      <c r="D6095">
        <v>0.93959202152929999</v>
      </c>
      <c r="E6095">
        <v>0.25712662940646103</v>
      </c>
      <c r="F6095">
        <v>0.18552893033918999</v>
      </c>
      <c r="G6095">
        <v>8.3699702171145599E-2</v>
      </c>
      <c r="H6095">
        <v>5.45816916982877E-2</v>
      </c>
      <c r="I6095">
        <v>5.44694539238346E-2</v>
      </c>
      <c r="J6095">
        <v>4.5999511479816499E-2</v>
      </c>
      <c r="K6095">
        <v>3.8248161285500397E-2</v>
      </c>
      <c r="L6095">
        <v>2016.5355686058299</v>
      </c>
      <c r="M6095">
        <v>41.543332456232399</v>
      </c>
      <c r="N6095">
        <v>48.714189925505501</v>
      </c>
      <c r="O6095">
        <v>48.4284752841765</v>
      </c>
      <c r="P6095">
        <v>-0.19969752260471699</v>
      </c>
      <c r="Q6095">
        <v>6.8825087694058998E-2</v>
      </c>
      <c r="R6095">
        <v>0.99149965610396895</v>
      </c>
      <c r="S6095" t="s">
        <v>12380</v>
      </c>
      <c r="T6095" t="s">
        <v>12568</v>
      </c>
      <c r="U6095" t="s">
        <v>12568</v>
      </c>
      <c r="V6095" t="s">
        <v>12568</v>
      </c>
      <c r="W6095" t="s">
        <v>18610</v>
      </c>
      <c r="X6095">
        <v>7</v>
      </c>
      <c r="Y6095" t="s">
        <v>24686</v>
      </c>
      <c r="Z6095" t="s">
        <v>30965</v>
      </c>
      <c r="AA6095">
        <v>0.3368146967547877</v>
      </c>
      <c r="AB6095" t="str">
        <f>HYPERLINK("Melting_Curves/meltCurve_Q9Y2Q3_GSTK1.pdf", "Melting_Curves/meltCurve_Q9Y2Q3_GSTK1.pdf")</f>
        <v>Melting_Curves/meltCurve_Q9Y2Q3_GSTK1.pdf</v>
      </c>
    </row>
    <row r="6096" spans="1:28" x14ac:dyDescent="0.25">
      <c r="A6096" t="s">
        <v>6100</v>
      </c>
      <c r="B6096">
        <v>0.99352677808782597</v>
      </c>
      <c r="C6096">
        <v>0.99426131800186401</v>
      </c>
      <c r="D6096">
        <v>1.02071343284139</v>
      </c>
      <c r="E6096">
        <v>0.63936119843875205</v>
      </c>
      <c r="F6096">
        <v>0.53424678794507097</v>
      </c>
      <c r="G6096">
        <v>0.36852903454705999</v>
      </c>
      <c r="H6096">
        <v>0.28278334929994198</v>
      </c>
      <c r="I6096">
        <v>0.24873110048085501</v>
      </c>
      <c r="J6096">
        <v>0.149036076346756</v>
      </c>
      <c r="K6096">
        <v>6.23655383727868E-2</v>
      </c>
      <c r="L6096">
        <v>718.10419881328301</v>
      </c>
      <c r="M6096">
        <v>13.5495373006425</v>
      </c>
      <c r="N6096">
        <v>53.966338300773799</v>
      </c>
      <c r="O6096">
        <v>51.883968488882701</v>
      </c>
      <c r="P6096">
        <v>-5.8253816444582801E-2</v>
      </c>
      <c r="Q6096">
        <v>0.107870697091224</v>
      </c>
      <c r="R6096">
        <v>0.970629801813233</v>
      </c>
      <c r="S6096" t="s">
        <v>12381</v>
      </c>
      <c r="T6096" t="s">
        <v>12568</v>
      </c>
      <c r="U6096" t="s">
        <v>12568</v>
      </c>
      <c r="V6096" t="s">
        <v>12568</v>
      </c>
      <c r="W6096" t="s">
        <v>18611</v>
      </c>
      <c r="X6096">
        <v>3</v>
      </c>
      <c r="Y6096" t="s">
        <v>24687</v>
      </c>
      <c r="Z6096" t="s">
        <v>30966</v>
      </c>
      <c r="AA6096">
        <v>0.51639252374994138</v>
      </c>
      <c r="AB6096" t="str">
        <f>HYPERLINK("Melting_Curves/meltCurve_Q9Y2Q5_LAMTOR2.pdf", "Melting_Curves/meltCurve_Q9Y2Q5_LAMTOR2.pdf")</f>
        <v>Melting_Curves/meltCurve_Q9Y2Q5_LAMTOR2.pdf</v>
      </c>
    </row>
    <row r="6097" spans="1:28" x14ac:dyDescent="0.25">
      <c r="A6097" t="s">
        <v>6101</v>
      </c>
      <c r="B6097">
        <v>0.99352677808782597</v>
      </c>
      <c r="C6097">
        <v>1.0868458644985299</v>
      </c>
      <c r="D6097">
        <v>1.26966655861414</v>
      </c>
      <c r="E6097">
        <v>1.1719848003408999</v>
      </c>
      <c r="F6097">
        <v>1.2610308358112601</v>
      </c>
      <c r="G6097">
        <v>0.97454273333032804</v>
      </c>
      <c r="H6097">
        <v>0.477676186824599</v>
      </c>
      <c r="I6097">
        <v>0.307311331908388</v>
      </c>
      <c r="J6097">
        <v>0.22278388243429301</v>
      </c>
      <c r="K6097">
        <v>0.15925267509619601</v>
      </c>
      <c r="L6097">
        <v>2889.4056305174699</v>
      </c>
      <c r="M6097">
        <v>47.917463594476999</v>
      </c>
      <c r="N6097">
        <v>60.979978740791601</v>
      </c>
      <c r="O6097">
        <v>60.194892548670801</v>
      </c>
      <c r="P6097">
        <v>-0.157804736038402</v>
      </c>
      <c r="Q6097">
        <v>0.20705072046494799</v>
      </c>
      <c r="R6097">
        <v>0.89800908698797299</v>
      </c>
      <c r="S6097" t="s">
        <v>12382</v>
      </c>
      <c r="T6097" t="s">
        <v>12568</v>
      </c>
      <c r="U6097" t="s">
        <v>12568</v>
      </c>
      <c r="V6097" t="s">
        <v>12568</v>
      </c>
      <c r="W6097" t="s">
        <v>18612</v>
      </c>
      <c r="X6097">
        <v>5</v>
      </c>
      <c r="Y6097" t="s">
        <v>24688</v>
      </c>
      <c r="Z6097" t="s">
        <v>30967</v>
      </c>
      <c r="AA6097">
        <v>0.7458394398724455</v>
      </c>
      <c r="AB6097" t="str">
        <f>HYPERLINK("Melting_Curves/meltCurve_Q9Y2Q9_MRPS28.pdf", "Melting_Curves/meltCurve_Q9Y2Q9_MRPS28.pdf")</f>
        <v>Melting_Curves/meltCurve_Q9Y2Q9_MRPS28.pdf</v>
      </c>
    </row>
    <row r="6098" spans="1:28" x14ac:dyDescent="0.25">
      <c r="A6098" t="s">
        <v>6102</v>
      </c>
      <c r="B6098">
        <v>0.99352677808782597</v>
      </c>
      <c r="C6098">
        <v>0.94766590494334701</v>
      </c>
      <c r="D6098">
        <v>0.82168602034538696</v>
      </c>
      <c r="E6098">
        <v>1.0055699801721001</v>
      </c>
      <c r="F6098">
        <v>0.84522068023549801</v>
      </c>
      <c r="G6098">
        <v>0.76662664939819503</v>
      </c>
      <c r="H6098">
        <v>0.75787533458076395</v>
      </c>
      <c r="I6098">
        <v>0.13182026539814901</v>
      </c>
      <c r="J6098">
        <v>6.5811838706849701E-2</v>
      </c>
      <c r="K6098">
        <v>5.6011613151375803E-2</v>
      </c>
      <c r="L6098">
        <v>4271.4533749679404</v>
      </c>
      <c r="M6098">
        <v>69.0002843420625</v>
      </c>
      <c r="N6098">
        <v>62.007181394704801</v>
      </c>
      <c r="O6098">
        <v>61.852929624636403</v>
      </c>
      <c r="P6098">
        <v>-0.26388270409882503</v>
      </c>
      <c r="Q6098">
        <v>5.3805960344362302E-2</v>
      </c>
      <c r="R6098">
        <v>0.91918331213290105</v>
      </c>
      <c r="S6098" t="s">
        <v>12383</v>
      </c>
      <c r="T6098" t="s">
        <v>12568</v>
      </c>
      <c r="U6098" t="s">
        <v>12568</v>
      </c>
      <c r="V6098" t="s">
        <v>12568</v>
      </c>
      <c r="W6098" t="s">
        <v>18613</v>
      </c>
      <c r="X6098">
        <v>2</v>
      </c>
      <c r="Y6098" t="s">
        <v>24689</v>
      </c>
      <c r="Z6098" t="s">
        <v>30968</v>
      </c>
      <c r="AA6098">
        <v>0.74602136904810468</v>
      </c>
      <c r="AB6098" t="str">
        <f>HYPERLINK("Melting_Curves/meltCurve_Q9Y2R4_DDX52.pdf", "Melting_Curves/meltCurve_Q9Y2R4_DDX52.pdf")</f>
        <v>Melting_Curves/meltCurve_Q9Y2R4_DDX52.pdf</v>
      </c>
    </row>
    <row r="6099" spans="1:28" x14ac:dyDescent="0.25">
      <c r="A6099" t="s">
        <v>6103</v>
      </c>
      <c r="B6099">
        <v>0.99352677808782597</v>
      </c>
      <c r="C6099">
        <v>0.86576825430730098</v>
      </c>
      <c r="D6099">
        <v>0.82010118271956201</v>
      </c>
      <c r="E6099">
        <v>0.57659240419605695</v>
      </c>
      <c r="F6099">
        <v>0.50854023768414403</v>
      </c>
      <c r="G6099">
        <v>0.37482605567094901</v>
      </c>
      <c r="H6099">
        <v>0.26694686044385002</v>
      </c>
      <c r="I6099">
        <v>0.29377258097869502</v>
      </c>
      <c r="J6099">
        <v>0.293199686999491</v>
      </c>
      <c r="K6099">
        <v>0.249411456115156</v>
      </c>
      <c r="L6099">
        <v>608.81860464778197</v>
      </c>
      <c r="M6099">
        <v>12.2456549431769</v>
      </c>
      <c r="N6099">
        <v>52.470447602092896</v>
      </c>
      <c r="O6099">
        <v>48.447025731327599</v>
      </c>
      <c r="P6099">
        <v>-4.82234571017921E-2</v>
      </c>
      <c r="Q6099">
        <v>0.23703134383049401</v>
      </c>
      <c r="R6099">
        <v>0.98942295455976303</v>
      </c>
      <c r="S6099" t="s">
        <v>12384</v>
      </c>
      <c r="T6099" t="s">
        <v>12568</v>
      </c>
      <c r="U6099" t="s">
        <v>12568</v>
      </c>
      <c r="V6099" t="s">
        <v>12568</v>
      </c>
      <c r="W6099" t="s">
        <v>18614</v>
      </c>
      <c r="X6099">
        <v>3</v>
      </c>
      <c r="Y6099" t="s">
        <v>24690</v>
      </c>
      <c r="Z6099" t="s">
        <v>30969</v>
      </c>
      <c r="AA6099">
        <v>0.51015522332882979</v>
      </c>
      <c r="AB6099" t="str">
        <f>HYPERLINK("Melting_Curves/meltCurve_Q9Y2S0_POLR1D.pdf", "Melting_Curves/meltCurve_Q9Y2S0_POLR1D.pdf")</f>
        <v>Melting_Curves/meltCurve_Q9Y2S0_POLR1D.pdf</v>
      </c>
    </row>
    <row r="6100" spans="1:28" x14ac:dyDescent="0.25">
      <c r="A6100" t="s">
        <v>6104</v>
      </c>
      <c r="B6100">
        <v>0.99352677808782597</v>
      </c>
      <c r="C6100">
        <v>1.0064437878988901</v>
      </c>
      <c r="D6100">
        <v>0.92865970123291097</v>
      </c>
      <c r="E6100">
        <v>0.40885953943995201</v>
      </c>
      <c r="F6100">
        <v>0.30711986385108597</v>
      </c>
      <c r="G6100">
        <v>0.19268804435002701</v>
      </c>
      <c r="H6100">
        <v>0.171338820350418</v>
      </c>
      <c r="I6100">
        <v>0.164114563150943</v>
      </c>
      <c r="J6100">
        <v>0.16174861241438099</v>
      </c>
      <c r="K6100">
        <v>0.13239445020929799</v>
      </c>
      <c r="L6100">
        <v>1531.27698523088</v>
      </c>
      <c r="M6100">
        <v>31.313054303729899</v>
      </c>
      <c r="N6100">
        <v>49.561265964530598</v>
      </c>
      <c r="O6100">
        <v>48.704019449569898</v>
      </c>
      <c r="P6100">
        <v>-0.13336040715580699</v>
      </c>
      <c r="Q6100">
        <v>0.17029429636076099</v>
      </c>
      <c r="R6100">
        <v>0.99271195526035105</v>
      </c>
      <c r="S6100" t="s">
        <v>12385</v>
      </c>
      <c r="T6100" t="s">
        <v>12568</v>
      </c>
      <c r="U6100" t="s">
        <v>12568</v>
      </c>
      <c r="V6100" t="s">
        <v>12568</v>
      </c>
      <c r="W6100" t="s">
        <v>18615</v>
      </c>
      <c r="X6100">
        <v>5</v>
      </c>
      <c r="Y6100" t="s">
        <v>24691</v>
      </c>
      <c r="Z6100" t="s">
        <v>30970</v>
      </c>
      <c r="AA6100">
        <v>0.4211230426498826</v>
      </c>
      <c r="AB6100" t="str">
        <f>HYPERLINK("Melting_Curves/meltCurve_Q9Y2S2_2_CRYL1.pdf", "Melting_Curves/meltCurve_Q9Y2S2_2_CRYL1.pdf")</f>
        <v>Melting_Curves/meltCurve_Q9Y2S2_2_CRYL1.pdf</v>
      </c>
    </row>
    <row r="6101" spans="1:28" x14ac:dyDescent="0.25">
      <c r="A6101" t="s">
        <v>6105</v>
      </c>
      <c r="B6101">
        <v>0.99352677808782597</v>
      </c>
      <c r="C6101">
        <v>0.93080045250464405</v>
      </c>
      <c r="D6101">
        <v>1.0334636358813201</v>
      </c>
      <c r="E6101">
        <v>0.97771940106266597</v>
      </c>
      <c r="F6101">
        <v>1.02126774332352</v>
      </c>
      <c r="G6101">
        <v>1.1532199378085499</v>
      </c>
      <c r="H6101">
        <v>0.974601944001106</v>
      </c>
      <c r="I6101">
        <v>1.1760951229004299</v>
      </c>
      <c r="J6101">
        <v>1.1730904668551101</v>
      </c>
      <c r="K6101">
        <v>1.1122857866384399</v>
      </c>
      <c r="L6101">
        <v>811.64065498600996</v>
      </c>
      <c r="M6101">
        <v>13.9605646431725</v>
      </c>
      <c r="O6101">
        <v>56.984163921044299</v>
      </c>
      <c r="P6101">
        <v>9.4497044695994008E-3</v>
      </c>
      <c r="Q6101">
        <v>1.1542663870472001</v>
      </c>
      <c r="R6101">
        <v>0.512636273081995</v>
      </c>
      <c r="S6101" t="s">
        <v>12386</v>
      </c>
      <c r="T6101" t="s">
        <v>12568</v>
      </c>
      <c r="U6101" t="s">
        <v>12568</v>
      </c>
      <c r="V6101" t="s">
        <v>12568</v>
      </c>
      <c r="W6101" t="s">
        <v>18616</v>
      </c>
      <c r="X6101">
        <v>6</v>
      </c>
      <c r="Y6101" t="s">
        <v>24692</v>
      </c>
      <c r="Z6101" t="s">
        <v>30971</v>
      </c>
      <c r="AA6101">
        <v>1.05898514972886</v>
      </c>
      <c r="AB6101" t="str">
        <f>HYPERLINK("Melting_Curves/meltCurve_Q9Y2S6_TMA7.pdf", "Melting_Curves/meltCurve_Q9Y2S6_TMA7.pdf")</f>
        <v>Melting_Curves/meltCurve_Q9Y2S6_TMA7.pdf</v>
      </c>
    </row>
    <row r="6102" spans="1:28" x14ac:dyDescent="0.25">
      <c r="A6102" t="s">
        <v>6106</v>
      </c>
      <c r="B6102">
        <v>0.99352677808782597</v>
      </c>
      <c r="C6102">
        <v>0.93754858413894804</v>
      </c>
      <c r="D6102">
        <v>0.94583235690672796</v>
      </c>
      <c r="E6102">
        <v>0.50760603882741995</v>
      </c>
      <c r="F6102">
        <v>0.439154961499644</v>
      </c>
      <c r="G6102">
        <v>0.20052480996910099</v>
      </c>
      <c r="H6102">
        <v>0.172157613518955</v>
      </c>
      <c r="I6102">
        <v>0.137402177980851</v>
      </c>
      <c r="J6102">
        <v>0.122784299825601</v>
      </c>
      <c r="K6102">
        <v>8.6844816550891907E-2</v>
      </c>
      <c r="L6102">
        <v>900.69456881409496</v>
      </c>
      <c r="M6102">
        <v>17.841445740884499</v>
      </c>
      <c r="N6102">
        <v>51.205292827229599</v>
      </c>
      <c r="O6102">
        <v>49.8618693187613</v>
      </c>
      <c r="P6102">
        <v>-7.9510074500404496E-2</v>
      </c>
      <c r="Q6102">
        <v>0.111211401457309</v>
      </c>
      <c r="R6102">
        <v>0.98436887789866601</v>
      </c>
      <c r="S6102" t="s">
        <v>12387</v>
      </c>
      <c r="T6102" t="s">
        <v>12568</v>
      </c>
      <c r="U6102" t="s">
        <v>12568</v>
      </c>
      <c r="V6102" t="s">
        <v>12568</v>
      </c>
      <c r="W6102" t="s">
        <v>18617</v>
      </c>
      <c r="X6102">
        <v>11</v>
      </c>
      <c r="Y6102" t="s">
        <v>24693</v>
      </c>
      <c r="Z6102" t="s">
        <v>30972</v>
      </c>
      <c r="AA6102">
        <v>0.43710685758638862</v>
      </c>
      <c r="AB6102" t="str">
        <f>HYPERLINK("Melting_Curves/meltCurve_Q9Y2S7_POLDIP2.pdf", "Melting_Curves/meltCurve_Q9Y2S7_POLDIP2.pdf")</f>
        <v>Melting_Curves/meltCurve_Q9Y2S7_POLDIP2.pdf</v>
      </c>
    </row>
    <row r="6103" spans="1:28" x14ac:dyDescent="0.25">
      <c r="A6103" t="s">
        <v>6107</v>
      </c>
      <c r="B6103">
        <v>0.99352677808782597</v>
      </c>
      <c r="C6103">
        <v>0.97153549748062895</v>
      </c>
      <c r="D6103">
        <v>0.91291611915090198</v>
      </c>
      <c r="E6103">
        <v>0.49181097785126998</v>
      </c>
      <c r="F6103">
        <v>0.40524612089511902</v>
      </c>
      <c r="G6103">
        <v>0.22775041932291101</v>
      </c>
      <c r="H6103">
        <v>0.14456551398131201</v>
      </c>
      <c r="I6103">
        <v>0.136311974550896</v>
      </c>
      <c r="J6103">
        <v>0.108369060799116</v>
      </c>
      <c r="K6103">
        <v>8.27207379811601E-2</v>
      </c>
      <c r="L6103">
        <v>892.35948385445295</v>
      </c>
      <c r="M6103">
        <v>17.7616005734554</v>
      </c>
      <c r="N6103">
        <v>50.925836619703297</v>
      </c>
      <c r="O6103">
        <v>49.6170375609071</v>
      </c>
      <c r="P6103">
        <v>-7.9989539552477798E-2</v>
      </c>
      <c r="Q6103">
        <v>0.106242841772252</v>
      </c>
      <c r="R6103">
        <v>0.98925198935818004</v>
      </c>
      <c r="S6103" t="s">
        <v>12388</v>
      </c>
      <c r="T6103" t="s">
        <v>12568</v>
      </c>
      <c r="U6103" t="s">
        <v>12568</v>
      </c>
      <c r="V6103" t="s">
        <v>12568</v>
      </c>
      <c r="W6103" t="s">
        <v>18618</v>
      </c>
      <c r="X6103">
        <v>9</v>
      </c>
      <c r="Y6103" t="s">
        <v>24694</v>
      </c>
      <c r="Z6103" t="s">
        <v>30973</v>
      </c>
      <c r="AA6103">
        <v>0.42691908509241622</v>
      </c>
      <c r="AB6103" t="str">
        <f>HYPERLINK("Melting_Curves/meltCurve_Q9Y2T2_AP3M1.pdf", "Melting_Curves/meltCurve_Q9Y2T2_AP3M1.pdf")</f>
        <v>Melting_Curves/meltCurve_Q9Y2T2_AP3M1.pdf</v>
      </c>
    </row>
    <row r="6104" spans="1:28" x14ac:dyDescent="0.25">
      <c r="A6104" t="s">
        <v>6108</v>
      </c>
      <c r="B6104">
        <v>0.99352677808782597</v>
      </c>
      <c r="C6104">
        <v>1.08633811014168</v>
      </c>
      <c r="D6104">
        <v>1.0214453301890301</v>
      </c>
      <c r="E6104">
        <v>0.87053952496392595</v>
      </c>
      <c r="F6104">
        <v>0.70771318813556505</v>
      </c>
      <c r="G6104">
        <v>0.62756908604209904</v>
      </c>
      <c r="H6104">
        <v>0.75962726996457397</v>
      </c>
      <c r="I6104">
        <v>0.549355501415416</v>
      </c>
      <c r="J6104">
        <v>0.59741908739664595</v>
      </c>
      <c r="K6104">
        <v>0.25674399250800201</v>
      </c>
      <c r="L6104">
        <v>430.03504791976599</v>
      </c>
      <c r="M6104">
        <v>6.5463886395211199</v>
      </c>
      <c r="N6104">
        <v>65.690424349314497</v>
      </c>
      <c r="O6104">
        <v>60.369251834967102</v>
      </c>
      <c r="P6104">
        <v>-2.7173946101838101E-2</v>
      </c>
      <c r="Q6104">
        <v>0</v>
      </c>
      <c r="R6104">
        <v>0.82704031623177299</v>
      </c>
      <c r="S6104" t="s">
        <v>12389</v>
      </c>
      <c r="T6104" t="s">
        <v>12568</v>
      </c>
      <c r="U6104" t="s">
        <v>12568</v>
      </c>
      <c r="V6104" t="s">
        <v>12568</v>
      </c>
      <c r="W6104" t="s">
        <v>18619</v>
      </c>
      <c r="X6104">
        <v>5</v>
      </c>
      <c r="Y6104" t="s">
        <v>24695</v>
      </c>
      <c r="Z6104" t="s">
        <v>30974</v>
      </c>
      <c r="AA6104">
        <v>0.74807873807394221</v>
      </c>
      <c r="AB6104" t="str">
        <f>HYPERLINK("Melting_Curves/meltCurve_Q9Y2T3_GDA.pdf", "Melting_Curves/meltCurve_Q9Y2T3_GDA.pdf")</f>
        <v>Melting_Curves/meltCurve_Q9Y2T3_GDA.pdf</v>
      </c>
    </row>
    <row r="6105" spans="1:28" x14ac:dyDescent="0.25">
      <c r="A6105" t="s">
        <v>6109</v>
      </c>
      <c r="B6105">
        <v>0.99352677808782597</v>
      </c>
      <c r="C6105">
        <v>1.16261675505164</v>
      </c>
      <c r="D6105">
        <v>1.0143264046112299</v>
      </c>
      <c r="E6105">
        <v>1.1239330099837599</v>
      </c>
      <c r="F6105">
        <v>0.90420970112141696</v>
      </c>
      <c r="G6105">
        <v>0.66578354349884294</v>
      </c>
      <c r="H6105">
        <v>0.88533125541574098</v>
      </c>
      <c r="I6105">
        <v>0.73035337356897501</v>
      </c>
      <c r="J6105">
        <v>0.73957571356975405</v>
      </c>
      <c r="K6105">
        <v>0.61440289499997303</v>
      </c>
      <c r="L6105">
        <v>13282.5774743945</v>
      </c>
      <c r="M6105">
        <v>250</v>
      </c>
      <c r="O6105">
        <v>53.126932155817599</v>
      </c>
      <c r="P6105">
        <v>-0.32105980685485302</v>
      </c>
      <c r="Q6105">
        <v>0.72708935262005803</v>
      </c>
      <c r="R6105">
        <v>0.74581883104498303</v>
      </c>
      <c r="S6105" t="s">
        <v>12390</v>
      </c>
      <c r="T6105" t="s">
        <v>12568</v>
      </c>
      <c r="U6105" t="s">
        <v>12568</v>
      </c>
      <c r="V6105" t="s">
        <v>12568</v>
      </c>
      <c r="W6105" t="s">
        <v>18620</v>
      </c>
      <c r="X6105">
        <v>4</v>
      </c>
      <c r="Y6105" t="s">
        <v>24696</v>
      </c>
      <c r="Z6105" t="s">
        <v>30975</v>
      </c>
      <c r="AA6105">
        <v>0.8465615120728246</v>
      </c>
      <c r="AB6105" t="str">
        <f>HYPERLINK("Melting_Curves/meltCurve_Q9Y2T7_YBX2.pdf", "Melting_Curves/meltCurve_Q9Y2T7_YBX2.pdf")</f>
        <v>Melting_Curves/meltCurve_Q9Y2T7_YBX2.pdf</v>
      </c>
    </row>
    <row r="6106" spans="1:28" x14ac:dyDescent="0.25">
      <c r="A6106" t="s">
        <v>6110</v>
      </c>
      <c r="B6106">
        <v>0.99352677808782597</v>
      </c>
      <c r="C6106">
        <v>0.95633614158885505</v>
      </c>
      <c r="D6106">
        <v>0.92036980471041097</v>
      </c>
      <c r="E6106">
        <v>0.59362874661597598</v>
      </c>
      <c r="F6106">
        <v>0.49305611282525902</v>
      </c>
      <c r="G6106">
        <v>0.25137905568325802</v>
      </c>
      <c r="H6106">
        <v>0.14848793046773201</v>
      </c>
      <c r="I6106">
        <v>0.11753921857297001</v>
      </c>
      <c r="J6106">
        <v>0.105156815189798</v>
      </c>
      <c r="K6106">
        <v>9.5826391227215299E-2</v>
      </c>
      <c r="L6106">
        <v>790.54081293263698</v>
      </c>
      <c r="M6106">
        <v>15.3023115982104</v>
      </c>
      <c r="N6106">
        <v>52.224598356991699</v>
      </c>
      <c r="O6106">
        <v>50.803363201133998</v>
      </c>
      <c r="P6106">
        <v>-6.9581740958785901E-2</v>
      </c>
      <c r="Q6106">
        <v>7.6046506435838199E-2</v>
      </c>
      <c r="R6106">
        <v>0.99425520527540401</v>
      </c>
      <c r="S6106" t="s">
        <v>12391</v>
      </c>
      <c r="T6106" t="s">
        <v>12568</v>
      </c>
      <c r="U6106" t="s">
        <v>12568</v>
      </c>
      <c r="V6106" t="s">
        <v>12568</v>
      </c>
      <c r="W6106" t="s">
        <v>18621</v>
      </c>
      <c r="X6106">
        <v>7</v>
      </c>
      <c r="Y6106" t="s">
        <v>24697</v>
      </c>
      <c r="Z6106" t="s">
        <v>30976</v>
      </c>
      <c r="AA6106">
        <v>0.45545050605127552</v>
      </c>
      <c r="AB6106" t="str">
        <f>HYPERLINK("Melting_Curves/meltCurve_Q9Y2U5_MAP3K2.pdf", "Melting_Curves/meltCurve_Q9Y2U5_MAP3K2.pdf")</f>
        <v>Melting_Curves/meltCurve_Q9Y2U5_MAP3K2.pdf</v>
      </c>
    </row>
    <row r="6107" spans="1:28" x14ac:dyDescent="0.25">
      <c r="A6107" t="s">
        <v>6111</v>
      </c>
      <c r="B6107">
        <v>0.99352677808782597</v>
      </c>
      <c r="C6107">
        <v>0.92060725734467697</v>
      </c>
      <c r="D6107">
        <v>1.02520320603728</v>
      </c>
      <c r="E6107">
        <v>0.97642987292675698</v>
      </c>
      <c r="F6107">
        <v>0.97066595411969903</v>
      </c>
      <c r="G6107">
        <v>0.87152744021996198</v>
      </c>
      <c r="H6107">
        <v>0.863247312279389</v>
      </c>
      <c r="I6107">
        <v>0.968209270727038</v>
      </c>
      <c r="J6107">
        <v>0.91783039823550405</v>
      </c>
      <c r="K6107">
        <v>0.85642352120109499</v>
      </c>
      <c r="L6107">
        <v>10698.6822469986</v>
      </c>
      <c r="M6107">
        <v>200.92030448855601</v>
      </c>
      <c r="O6107">
        <v>53.2431292682082</v>
      </c>
      <c r="P6107">
        <v>-9.8635786052029203E-2</v>
      </c>
      <c r="Q6107">
        <v>0.89544757591905</v>
      </c>
      <c r="R6107">
        <v>0.47716660938095101</v>
      </c>
      <c r="S6107" t="s">
        <v>12392</v>
      </c>
      <c r="T6107" t="s">
        <v>12568</v>
      </c>
      <c r="U6107" t="s">
        <v>12568</v>
      </c>
      <c r="V6107" t="s">
        <v>12568</v>
      </c>
      <c r="W6107" t="s">
        <v>18622</v>
      </c>
      <c r="X6107">
        <v>5</v>
      </c>
      <c r="Y6107" t="s">
        <v>24698</v>
      </c>
      <c r="Z6107" t="s">
        <v>30977</v>
      </c>
      <c r="AA6107">
        <v>0.94163440576158097</v>
      </c>
      <c r="AB6107" t="str">
        <f>HYPERLINK("Melting_Curves/meltCurve_Q9Y2U8_LEMD3.pdf", "Melting_Curves/meltCurve_Q9Y2U8_LEMD3.pdf")</f>
        <v>Melting_Curves/meltCurve_Q9Y2U8_LEMD3.pdf</v>
      </c>
    </row>
    <row r="6108" spans="1:28" x14ac:dyDescent="0.25">
      <c r="A6108" t="s">
        <v>6112</v>
      </c>
      <c r="B6108">
        <v>0.99352677808782597</v>
      </c>
      <c r="C6108">
        <v>0.93476850481011398</v>
      </c>
      <c r="D6108">
        <v>1.00592219049192</v>
      </c>
      <c r="E6108">
        <v>0.96205702748579003</v>
      </c>
      <c r="F6108">
        <v>0.94188860958310805</v>
      </c>
      <c r="G6108">
        <v>0.97298102387347696</v>
      </c>
      <c r="H6108">
        <v>0.83160301666249603</v>
      </c>
      <c r="I6108">
        <v>0.92447444849882199</v>
      </c>
      <c r="J6108">
        <v>0.890789361397332</v>
      </c>
      <c r="K6108">
        <v>0.80476162883878899</v>
      </c>
      <c r="L6108">
        <v>295.21952146779802</v>
      </c>
      <c r="M6108">
        <v>2.5980678242411499</v>
      </c>
      <c r="Q6108">
        <v>0</v>
      </c>
      <c r="R6108">
        <v>0.63931248307937305</v>
      </c>
      <c r="S6108" t="s">
        <v>12393</v>
      </c>
      <c r="T6108" t="s">
        <v>12568</v>
      </c>
      <c r="U6108" t="s">
        <v>12568</v>
      </c>
      <c r="V6108" t="s">
        <v>12568</v>
      </c>
      <c r="W6108" t="s">
        <v>18623</v>
      </c>
      <c r="X6108">
        <v>8</v>
      </c>
      <c r="Y6108" t="s">
        <v>24699</v>
      </c>
      <c r="Z6108" t="s">
        <v>30978</v>
      </c>
      <c r="AA6108">
        <v>0.93141583431918151</v>
      </c>
      <c r="AB6108" t="str">
        <f>HYPERLINK("Melting_Curves/meltCurve_Q9Y2V2_CARHSP1.pdf", "Melting_Curves/meltCurve_Q9Y2V2_CARHSP1.pdf")</f>
        <v>Melting_Curves/meltCurve_Q9Y2V2_CARHSP1.pdf</v>
      </c>
    </row>
    <row r="6109" spans="1:28" x14ac:dyDescent="0.25">
      <c r="A6109" t="s">
        <v>6113</v>
      </c>
      <c r="B6109">
        <v>0.99352677808782597</v>
      </c>
      <c r="C6109">
        <v>0.92886643090700605</v>
      </c>
      <c r="D6109">
        <v>0.64671507367146897</v>
      </c>
      <c r="E6109">
        <v>0.310935402783793</v>
      </c>
      <c r="F6109">
        <v>0.24054901131155401</v>
      </c>
      <c r="G6109">
        <v>0.14487518782373099</v>
      </c>
      <c r="H6109">
        <v>0.102396115919296</v>
      </c>
      <c r="I6109">
        <v>9.8763857485763495E-2</v>
      </c>
      <c r="J6109">
        <v>7.4832904935142594E-2</v>
      </c>
      <c r="K6109">
        <v>6.02816912953354E-2</v>
      </c>
      <c r="L6109">
        <v>900.729332380806</v>
      </c>
      <c r="M6109">
        <v>19.009728902735901</v>
      </c>
      <c r="N6109">
        <v>47.869673427642802</v>
      </c>
      <c r="O6109">
        <v>46.8675379605872</v>
      </c>
      <c r="P6109">
        <v>-9.2487594573522902E-2</v>
      </c>
      <c r="Q6109">
        <v>8.7942001321226301E-2</v>
      </c>
      <c r="R6109">
        <v>0.994285958897274</v>
      </c>
      <c r="S6109" t="s">
        <v>12394</v>
      </c>
      <c r="T6109" t="s">
        <v>12568</v>
      </c>
      <c r="U6109" t="s">
        <v>12568</v>
      </c>
      <c r="V6109" t="s">
        <v>12568</v>
      </c>
      <c r="W6109" t="s">
        <v>18624</v>
      </c>
      <c r="X6109">
        <v>8</v>
      </c>
      <c r="Y6109" t="s">
        <v>24700</v>
      </c>
      <c r="Z6109" t="s">
        <v>30979</v>
      </c>
      <c r="AA6109">
        <v>0.32709063658592041</v>
      </c>
      <c r="AB6109" t="str">
        <f>HYPERLINK("Melting_Curves/meltCurve_Q9Y2V7_COG6.pdf", "Melting_Curves/meltCurve_Q9Y2V7_COG6.pdf")</f>
        <v>Melting_Curves/meltCurve_Q9Y2V7_COG6.pdf</v>
      </c>
    </row>
    <row r="6110" spans="1:28" x14ac:dyDescent="0.25">
      <c r="A6110" t="s">
        <v>6114</v>
      </c>
      <c r="B6110">
        <v>0.99352677808782597</v>
      </c>
      <c r="C6110">
        <v>0.96373560581085904</v>
      </c>
      <c r="D6110">
        <v>0.95710959155654995</v>
      </c>
      <c r="E6110">
        <v>0.833453013894767</v>
      </c>
      <c r="F6110">
        <v>0.75727135803902301</v>
      </c>
      <c r="G6110">
        <v>0.64387332581378198</v>
      </c>
      <c r="H6110">
        <v>0.62819307123430901</v>
      </c>
      <c r="I6110">
        <v>0.64155953197698701</v>
      </c>
      <c r="J6110">
        <v>0.75934713552938304</v>
      </c>
      <c r="K6110">
        <v>0.61394274997318599</v>
      </c>
      <c r="L6110">
        <v>1088.7504000655299</v>
      </c>
      <c r="M6110">
        <v>21.6846832403062</v>
      </c>
      <c r="O6110">
        <v>49.7871266210716</v>
      </c>
      <c r="P6110">
        <v>-3.7750940081699699E-2</v>
      </c>
      <c r="Q6110">
        <v>0.65330986746209696</v>
      </c>
      <c r="R6110">
        <v>0.92032602747221304</v>
      </c>
      <c r="S6110" t="s">
        <v>12395</v>
      </c>
      <c r="T6110" t="s">
        <v>12568</v>
      </c>
      <c r="U6110" t="s">
        <v>12568</v>
      </c>
      <c r="V6110" t="s">
        <v>12568</v>
      </c>
      <c r="W6110" t="s">
        <v>18625</v>
      </c>
      <c r="X6110">
        <v>26</v>
      </c>
      <c r="Y6110" t="s">
        <v>24701</v>
      </c>
      <c r="Z6110" t="s">
        <v>30980</v>
      </c>
      <c r="AA6110">
        <v>0.77539902382775194</v>
      </c>
      <c r="AB6110" t="str">
        <f>HYPERLINK("Melting_Curves/meltCurve_Q9Y2W1_THRAP3.pdf", "Melting_Curves/meltCurve_Q9Y2W1_THRAP3.pdf")</f>
        <v>Melting_Curves/meltCurve_Q9Y2W1_THRAP3.pdf</v>
      </c>
    </row>
    <row r="6111" spans="1:28" x14ac:dyDescent="0.25">
      <c r="A6111" t="s">
        <v>6115</v>
      </c>
      <c r="B6111">
        <v>0.99352677808782597</v>
      </c>
      <c r="C6111">
        <v>0.77940026721216704</v>
      </c>
      <c r="D6111">
        <v>0.71791838432046096</v>
      </c>
      <c r="E6111">
        <v>0.44134046740033001</v>
      </c>
      <c r="F6111">
        <v>0.39126775138393599</v>
      </c>
      <c r="G6111">
        <v>0.17519547473742</v>
      </c>
      <c r="H6111">
        <v>0.10568646624122099</v>
      </c>
      <c r="I6111">
        <v>9.0859141866864099E-2</v>
      </c>
      <c r="J6111">
        <v>8.0015976170932895E-2</v>
      </c>
      <c r="K6111">
        <v>4.7380842558870102E-2</v>
      </c>
      <c r="L6111">
        <v>535.11924569065502</v>
      </c>
      <c r="M6111">
        <v>10.821053195507799</v>
      </c>
      <c r="N6111">
        <v>49.546768210250399</v>
      </c>
      <c r="O6111">
        <v>47.852679550145197</v>
      </c>
      <c r="P6111">
        <v>-5.5972294766846398E-2</v>
      </c>
      <c r="Q6111">
        <v>1.02767301600299E-2</v>
      </c>
      <c r="R6111">
        <v>0.98652840324325897</v>
      </c>
      <c r="S6111" t="s">
        <v>12396</v>
      </c>
      <c r="T6111" t="s">
        <v>12568</v>
      </c>
      <c r="U6111" t="s">
        <v>12568</v>
      </c>
      <c r="V6111" t="s">
        <v>12568</v>
      </c>
      <c r="W6111" t="s">
        <v>18626</v>
      </c>
      <c r="X6111">
        <v>1</v>
      </c>
      <c r="Y6111" t="s">
        <v>24702</v>
      </c>
      <c r="Z6111" t="s">
        <v>30981</v>
      </c>
      <c r="AA6111">
        <v>0.36372223507002033</v>
      </c>
      <c r="AB6111" t="str">
        <f>HYPERLINK("Melting_Curves/meltCurve_Q9Y2X0_2_MED16.pdf", "Melting_Curves/meltCurve_Q9Y2X0_2_MED16.pdf")</f>
        <v>Melting_Curves/meltCurve_Q9Y2X0_2_MED16.pdf</v>
      </c>
    </row>
    <row r="6112" spans="1:28" x14ac:dyDescent="0.25">
      <c r="A6112" t="s">
        <v>6116</v>
      </c>
      <c r="B6112">
        <v>0.99352677808782597</v>
      </c>
      <c r="C6112">
        <v>0.94436601108557605</v>
      </c>
      <c r="D6112">
        <v>0.99759945614072698</v>
      </c>
      <c r="E6112">
        <v>0.64381634902849205</v>
      </c>
      <c r="F6112">
        <v>0.52432171608442502</v>
      </c>
      <c r="G6112">
        <v>0.40340642614714001</v>
      </c>
      <c r="H6112">
        <v>0.31629499551234103</v>
      </c>
      <c r="I6112">
        <v>0.33228025904377201</v>
      </c>
      <c r="J6112">
        <v>0.34398222848099103</v>
      </c>
      <c r="K6112">
        <v>0.27559631086160202</v>
      </c>
      <c r="L6112">
        <v>1071.0771334557101</v>
      </c>
      <c r="M6112">
        <v>21.202011508007999</v>
      </c>
      <c r="N6112">
        <v>53.026784003524902</v>
      </c>
      <c r="O6112">
        <v>50.074748082697297</v>
      </c>
      <c r="P6112">
        <v>-7.2335520843839901E-2</v>
      </c>
      <c r="Q6112">
        <v>0.31665175725754202</v>
      </c>
      <c r="R6112">
        <v>0.98249177945395105</v>
      </c>
      <c r="S6112" t="s">
        <v>12397</v>
      </c>
      <c r="T6112" t="s">
        <v>12568</v>
      </c>
      <c r="U6112" t="s">
        <v>12568</v>
      </c>
      <c r="V6112" t="s">
        <v>12568</v>
      </c>
      <c r="W6112" t="s">
        <v>18627</v>
      </c>
      <c r="X6112">
        <v>5</v>
      </c>
      <c r="Y6112" t="s">
        <v>24703</v>
      </c>
      <c r="Z6112" t="s">
        <v>30982</v>
      </c>
      <c r="AA6112">
        <v>0.5647160626619131</v>
      </c>
      <c r="AB6112" t="str">
        <f>HYPERLINK("Melting_Curves/meltCurve_Q9Y2X3_NOP58.pdf", "Melting_Curves/meltCurve_Q9Y2X3_NOP58.pdf")</f>
        <v>Melting_Curves/meltCurve_Q9Y2X3_NOP58.pdf</v>
      </c>
    </row>
    <row r="6113" spans="1:28" x14ac:dyDescent="0.25">
      <c r="A6113" t="s">
        <v>6117</v>
      </c>
      <c r="B6113">
        <v>0.99352677808782597</v>
      </c>
      <c r="C6113">
        <v>0.90417429160157903</v>
      </c>
      <c r="D6113">
        <v>0.82479864685793303</v>
      </c>
      <c r="E6113">
        <v>0.513343038981808</v>
      </c>
      <c r="F6113">
        <v>0.43934357344854502</v>
      </c>
      <c r="G6113">
        <v>0.33170889927894598</v>
      </c>
      <c r="H6113">
        <v>0.242271753197708</v>
      </c>
      <c r="I6113">
        <v>0.24902589545539899</v>
      </c>
      <c r="J6113">
        <v>0.22708615368406301</v>
      </c>
      <c r="K6113">
        <v>0.16057338974010599</v>
      </c>
      <c r="L6113">
        <v>688.90216118531703</v>
      </c>
      <c r="M6113">
        <v>13.9275861803763</v>
      </c>
      <c r="N6113">
        <v>51.2662831073173</v>
      </c>
      <c r="O6113">
        <v>48.476887720053803</v>
      </c>
      <c r="P6113">
        <v>-5.7925071705362603E-2</v>
      </c>
      <c r="Q6113">
        <v>0.19364402428279701</v>
      </c>
      <c r="R6113">
        <v>0.99008640727267405</v>
      </c>
      <c r="S6113" t="s">
        <v>12398</v>
      </c>
      <c r="T6113" t="s">
        <v>12568</v>
      </c>
      <c r="U6113" t="s">
        <v>12568</v>
      </c>
      <c r="V6113" t="s">
        <v>12568</v>
      </c>
      <c r="W6113" t="s">
        <v>18628</v>
      </c>
      <c r="X6113">
        <v>12</v>
      </c>
      <c r="Y6113" t="s">
        <v>24704</v>
      </c>
      <c r="Z6113" t="s">
        <v>30983</v>
      </c>
      <c r="AA6113">
        <v>0.47037115849330757</v>
      </c>
      <c r="AB6113" t="str">
        <f>HYPERLINK("Melting_Curves/meltCurve_Q9Y2X7_GIT1.pdf", "Melting_Curves/meltCurve_Q9Y2X7_GIT1.pdf")</f>
        <v>Melting_Curves/meltCurve_Q9Y2X7_GIT1.pdf</v>
      </c>
    </row>
    <row r="6114" spans="1:28" x14ac:dyDescent="0.25">
      <c r="A6114" t="s">
        <v>6118</v>
      </c>
      <c r="B6114">
        <v>0.99352677808782597</v>
      </c>
      <c r="C6114">
        <v>1.0296804260128201</v>
      </c>
      <c r="D6114">
        <v>1.0109936230194101</v>
      </c>
      <c r="E6114">
        <v>1.2640397322927399</v>
      </c>
      <c r="F6114">
        <v>1.0942540403959</v>
      </c>
      <c r="G6114">
        <v>1.07637869046487</v>
      </c>
      <c r="H6114">
        <v>0.75608297789297596</v>
      </c>
      <c r="I6114">
        <v>0.68942192409860303</v>
      </c>
      <c r="J6114">
        <v>0.74419010116645001</v>
      </c>
      <c r="K6114">
        <v>0.58918840608048295</v>
      </c>
      <c r="L6114">
        <v>10998.9150453903</v>
      </c>
      <c r="M6114">
        <v>181.402152831021</v>
      </c>
      <c r="O6114">
        <v>60.6254012057964</v>
      </c>
      <c r="P6114">
        <v>-0.24367084461133401</v>
      </c>
      <c r="Q6114">
        <v>0.674256507575688</v>
      </c>
      <c r="R6114">
        <v>0.76653103987360505</v>
      </c>
      <c r="S6114" t="s">
        <v>12399</v>
      </c>
      <c r="T6114" t="s">
        <v>12568</v>
      </c>
      <c r="U6114" t="s">
        <v>12568</v>
      </c>
      <c r="V6114" t="s">
        <v>12568</v>
      </c>
      <c r="W6114" t="s">
        <v>18629</v>
      </c>
      <c r="X6114">
        <v>1</v>
      </c>
      <c r="Y6114" t="s">
        <v>24705</v>
      </c>
      <c r="Z6114" t="s">
        <v>30984</v>
      </c>
      <c r="AA6114">
        <v>0.89835537560025569</v>
      </c>
      <c r="AB6114" t="str">
        <f>HYPERLINK("Melting_Curves/meltCurve_Q9Y2Y1_POLR3K.pdf", "Melting_Curves/meltCurve_Q9Y2Y1_POLR3K.pdf")</f>
        <v>Melting_Curves/meltCurve_Q9Y2Y1_POLR3K.pdf</v>
      </c>
    </row>
    <row r="6115" spans="1:28" x14ac:dyDescent="0.25">
      <c r="A6115" t="s">
        <v>6119</v>
      </c>
      <c r="B6115">
        <v>0.99352677808782597</v>
      </c>
      <c r="C6115">
        <v>1.0338413484018201</v>
      </c>
      <c r="D6115">
        <v>0.90431362246153801</v>
      </c>
      <c r="E6115">
        <v>0.83384720911214005</v>
      </c>
      <c r="F6115">
        <v>0.78541001098143703</v>
      </c>
      <c r="G6115">
        <v>0.760725324515103</v>
      </c>
      <c r="H6115">
        <v>0.64664694496943298</v>
      </c>
      <c r="I6115">
        <v>0.65893539352614205</v>
      </c>
      <c r="J6115">
        <v>0.67447397984032798</v>
      </c>
      <c r="K6115">
        <v>0.61314801623765003</v>
      </c>
      <c r="L6115">
        <v>611.38463889845195</v>
      </c>
      <c r="M6115">
        <v>11.762969984608301</v>
      </c>
      <c r="O6115">
        <v>50.541431703982298</v>
      </c>
      <c r="P6115">
        <v>-2.21059858449024E-2</v>
      </c>
      <c r="Q6115">
        <v>0.62017167961235997</v>
      </c>
      <c r="R6115">
        <v>0.95375085568824303</v>
      </c>
      <c r="S6115" t="s">
        <v>12400</v>
      </c>
      <c r="T6115" t="s">
        <v>12568</v>
      </c>
      <c r="U6115" t="s">
        <v>12568</v>
      </c>
      <c r="V6115" t="s">
        <v>12568</v>
      </c>
      <c r="W6115" t="s">
        <v>18630</v>
      </c>
      <c r="X6115">
        <v>4</v>
      </c>
      <c r="Y6115" t="s">
        <v>24706</v>
      </c>
      <c r="Z6115" t="s">
        <v>30985</v>
      </c>
      <c r="AA6115">
        <v>0.78373461945763689</v>
      </c>
      <c r="AB6115" t="str">
        <f>HYPERLINK("Melting_Curves/meltCurve_Q9Y2Y9_KLF13.pdf", "Melting_Curves/meltCurve_Q9Y2Y9_KLF13.pdf")</f>
        <v>Melting_Curves/meltCurve_Q9Y2Y9_KLF13.pdf</v>
      </c>
    </row>
    <row r="6116" spans="1:28" x14ac:dyDescent="0.25">
      <c r="A6116" t="s">
        <v>6120</v>
      </c>
      <c r="B6116">
        <v>0.99352677808782597</v>
      </c>
      <c r="C6116">
        <v>0.989615109382044</v>
      </c>
      <c r="D6116">
        <v>1.02912672146717</v>
      </c>
      <c r="E6116">
        <v>0.91226673257645197</v>
      </c>
      <c r="F6116">
        <v>0.83065538109024095</v>
      </c>
      <c r="G6116">
        <v>0.66901780465347505</v>
      </c>
      <c r="H6116">
        <v>0.50023749169115705</v>
      </c>
      <c r="I6116">
        <v>0.40903983880274802</v>
      </c>
      <c r="J6116">
        <v>0.32134880937232602</v>
      </c>
      <c r="K6116">
        <v>0.208501627723225</v>
      </c>
      <c r="L6116">
        <v>669.01568340433403</v>
      </c>
      <c r="M6116">
        <v>11.0631987553116</v>
      </c>
      <c r="N6116">
        <v>61.193855885811701</v>
      </c>
      <c r="O6116">
        <v>58.597162510526303</v>
      </c>
      <c r="P6116">
        <v>-4.4328091747454001E-2</v>
      </c>
      <c r="Q6116">
        <v>6.11596229853128E-2</v>
      </c>
      <c r="R6116">
        <v>0.99423042535467798</v>
      </c>
      <c r="S6116" t="s">
        <v>12401</v>
      </c>
      <c r="T6116" t="s">
        <v>12568</v>
      </c>
      <c r="U6116" t="s">
        <v>12568</v>
      </c>
      <c r="V6116" t="s">
        <v>12568</v>
      </c>
      <c r="W6116" t="s">
        <v>18631</v>
      </c>
      <c r="X6116">
        <v>26</v>
      </c>
      <c r="Y6116" t="s">
        <v>24707</v>
      </c>
      <c r="Z6116" t="s">
        <v>30986</v>
      </c>
      <c r="AA6116">
        <v>0.69861018988444057</v>
      </c>
      <c r="AB6116" t="str">
        <f>HYPERLINK("Melting_Curves/meltCurve_Q9Y2Z0_SUGT1.pdf", "Melting_Curves/meltCurve_Q9Y2Z0_SUGT1.pdf")</f>
        <v>Melting_Curves/meltCurve_Q9Y2Z0_SUGT1.pdf</v>
      </c>
    </row>
    <row r="6117" spans="1:28" x14ac:dyDescent="0.25">
      <c r="A6117" t="s">
        <v>6121</v>
      </c>
      <c r="B6117">
        <v>0.99352677808782597</v>
      </c>
      <c r="C6117">
        <v>0.89166930856739701</v>
      </c>
      <c r="D6117">
        <v>0.76315616902289896</v>
      </c>
      <c r="E6117">
        <v>0.32578187469985997</v>
      </c>
      <c r="F6117">
        <v>0.25252399453834901</v>
      </c>
      <c r="G6117">
        <v>0.16288118218772801</v>
      </c>
      <c r="H6117">
        <v>8.8447416257923794E-2</v>
      </c>
      <c r="I6117">
        <v>0.105423581834512</v>
      </c>
      <c r="J6117">
        <v>9.4133414008357494E-2</v>
      </c>
      <c r="K6117">
        <v>5.1326247880996601E-2</v>
      </c>
      <c r="L6117">
        <v>921.621721898651</v>
      </c>
      <c r="M6117">
        <v>19.185605563414001</v>
      </c>
      <c r="N6117">
        <v>48.517974114553503</v>
      </c>
      <c r="O6117">
        <v>47.524388191964903</v>
      </c>
      <c r="P6117">
        <v>-9.2190646611304994E-2</v>
      </c>
      <c r="Q6117">
        <v>8.6578531388006502E-2</v>
      </c>
      <c r="R6117">
        <v>0.99241686911194205</v>
      </c>
      <c r="S6117" t="s">
        <v>12402</v>
      </c>
      <c r="T6117" t="s">
        <v>12568</v>
      </c>
      <c r="U6117" t="s">
        <v>12568</v>
      </c>
      <c r="V6117" t="s">
        <v>12568</v>
      </c>
      <c r="W6117" t="s">
        <v>18632</v>
      </c>
      <c r="X6117">
        <v>8</v>
      </c>
      <c r="Y6117" t="s">
        <v>24708</v>
      </c>
      <c r="Z6117" t="s">
        <v>30987</v>
      </c>
      <c r="AA6117">
        <v>0.34545028670456102</v>
      </c>
      <c r="AB6117" t="str">
        <f>HYPERLINK("Melting_Curves/meltCurve_Q9Y2Z4_YARS2.pdf", "Melting_Curves/meltCurve_Q9Y2Z4_YARS2.pdf")</f>
        <v>Melting_Curves/meltCurve_Q9Y2Z4_YARS2.pdf</v>
      </c>
    </row>
    <row r="6118" spans="1:28" x14ac:dyDescent="0.25">
      <c r="A6118" t="s">
        <v>6122</v>
      </c>
      <c r="B6118">
        <v>0.99352677808782597</v>
      </c>
      <c r="C6118">
        <v>1.0184781127028499</v>
      </c>
      <c r="D6118">
        <v>0.74163060120366098</v>
      </c>
      <c r="E6118">
        <v>0.51554889677095805</v>
      </c>
      <c r="F6118">
        <v>0.42260199922240799</v>
      </c>
      <c r="G6118">
        <v>0.25174141643347098</v>
      </c>
      <c r="H6118">
        <v>0.11832977482098</v>
      </c>
      <c r="I6118">
        <v>8.7899955388415094E-2</v>
      </c>
      <c r="J6118">
        <v>7.4410744647029403E-2</v>
      </c>
      <c r="K6118">
        <v>6.6048340516501894E-2</v>
      </c>
      <c r="L6118">
        <v>663.70683803477198</v>
      </c>
      <c r="M6118">
        <v>13.110704925753501</v>
      </c>
      <c r="N6118">
        <v>50.954645515518202</v>
      </c>
      <c r="O6118">
        <v>49.488982167278003</v>
      </c>
      <c r="P6118">
        <v>-6.35348369770911E-2</v>
      </c>
      <c r="Q6118">
        <v>4.0864063730540301E-2</v>
      </c>
      <c r="R6118">
        <v>0.985337117880701</v>
      </c>
      <c r="S6118" t="s">
        <v>12403</v>
      </c>
      <c r="T6118" t="s">
        <v>12568</v>
      </c>
      <c r="U6118" t="s">
        <v>12568</v>
      </c>
      <c r="V6118" t="s">
        <v>12568</v>
      </c>
      <c r="W6118" t="s">
        <v>18633</v>
      </c>
      <c r="X6118">
        <v>7</v>
      </c>
      <c r="Y6118" t="s">
        <v>24709</v>
      </c>
      <c r="Z6118" t="s">
        <v>30988</v>
      </c>
      <c r="AA6118">
        <v>0.40845570063285641</v>
      </c>
      <c r="AB6118" t="str">
        <f>HYPERLINK("Melting_Curves/meltCurve_Q9Y303_AMDHD2.pdf", "Melting_Curves/meltCurve_Q9Y303_AMDHD2.pdf")</f>
        <v>Melting_Curves/meltCurve_Q9Y303_AMDHD2.pdf</v>
      </c>
    </row>
    <row r="6119" spans="1:28" x14ac:dyDescent="0.25">
      <c r="A6119" t="s">
        <v>6123</v>
      </c>
      <c r="B6119">
        <v>0.99352677808782597</v>
      </c>
      <c r="C6119">
        <v>0.81377530040830204</v>
      </c>
      <c r="D6119">
        <v>0.930115728075533</v>
      </c>
      <c r="E6119">
        <v>0.709383775183549</v>
      </c>
      <c r="F6119">
        <v>0.65562582861553098</v>
      </c>
      <c r="G6119">
        <v>0.50491984647983501</v>
      </c>
      <c r="H6119">
        <v>0.43852171992300298</v>
      </c>
      <c r="I6119">
        <v>0.30559405018430102</v>
      </c>
      <c r="J6119">
        <v>0.31353262534899901</v>
      </c>
      <c r="K6119">
        <v>9.9980472197446296E-2</v>
      </c>
      <c r="L6119">
        <v>426.55563766162498</v>
      </c>
      <c r="M6119">
        <v>7.4469839172269001</v>
      </c>
      <c r="N6119">
        <v>57.278966259114299</v>
      </c>
      <c r="O6119">
        <v>53.5842981547977</v>
      </c>
      <c r="P6119">
        <v>-3.4795528946591998E-2</v>
      </c>
      <c r="Q6119">
        <v>0</v>
      </c>
      <c r="R6119">
        <v>0.95247958421491596</v>
      </c>
      <c r="S6119" t="s">
        <v>12404</v>
      </c>
      <c r="T6119" t="s">
        <v>12568</v>
      </c>
      <c r="U6119" t="s">
        <v>12568</v>
      </c>
      <c r="V6119" t="s">
        <v>12568</v>
      </c>
      <c r="W6119" t="s">
        <v>18634</v>
      </c>
      <c r="X6119">
        <v>7</v>
      </c>
      <c r="Y6119" t="s">
        <v>24709</v>
      </c>
      <c r="Z6119" t="s">
        <v>30989</v>
      </c>
      <c r="AA6119">
        <v>0.58362409757231903</v>
      </c>
      <c r="AB6119" t="str">
        <f>HYPERLINK("Melting_Curves/meltCurve_Q9Y303_2_AMDHD2.pdf", "Melting_Curves/meltCurve_Q9Y303_2_AMDHD2.pdf")</f>
        <v>Melting_Curves/meltCurve_Q9Y303_2_AMDHD2.pdf</v>
      </c>
    </row>
    <row r="6120" spans="1:28" x14ac:dyDescent="0.25">
      <c r="A6120" t="s">
        <v>6124</v>
      </c>
      <c r="B6120">
        <v>0.99352677808782597</v>
      </c>
      <c r="C6120">
        <v>0.84722544625142204</v>
      </c>
      <c r="D6120">
        <v>0.88958032724117497</v>
      </c>
      <c r="E6120">
        <v>0.27591045483900001</v>
      </c>
      <c r="F6120">
        <v>0.193106669121729</v>
      </c>
      <c r="G6120">
        <v>0.121612663409307</v>
      </c>
      <c r="H6120">
        <v>7.8842029778379702E-2</v>
      </c>
      <c r="I6120">
        <v>7.8655090612890902E-2</v>
      </c>
      <c r="J6120">
        <v>5.7994657774481602E-2</v>
      </c>
      <c r="K6120">
        <v>4.6076831640046299E-2</v>
      </c>
      <c r="L6120">
        <v>1479.27826047441</v>
      </c>
      <c r="M6120">
        <v>30.6242351353612</v>
      </c>
      <c r="N6120">
        <v>48.579646668281299</v>
      </c>
      <c r="O6120">
        <v>48.099601887152403</v>
      </c>
      <c r="P6120">
        <v>-0.14648462484184799</v>
      </c>
      <c r="Q6120">
        <v>7.9708002977631406E-2</v>
      </c>
      <c r="R6120">
        <v>0.97897918409505003</v>
      </c>
      <c r="S6120" t="s">
        <v>12405</v>
      </c>
      <c r="T6120" t="s">
        <v>12568</v>
      </c>
      <c r="U6120" t="s">
        <v>12568</v>
      </c>
      <c r="V6120" t="s">
        <v>12568</v>
      </c>
      <c r="W6120" t="s">
        <v>18635</v>
      </c>
      <c r="X6120">
        <v>6</v>
      </c>
      <c r="Y6120" t="s">
        <v>24710</v>
      </c>
      <c r="Z6120" t="s">
        <v>30990</v>
      </c>
      <c r="AA6120">
        <v>0.33977341227937508</v>
      </c>
      <c r="AB6120" t="str">
        <f>HYPERLINK("Melting_Curves/meltCurve_Q9Y305_ACOT9.pdf", "Melting_Curves/meltCurve_Q9Y305_ACOT9.pdf")</f>
        <v>Melting_Curves/meltCurve_Q9Y305_ACOT9.pdf</v>
      </c>
    </row>
    <row r="6121" spans="1:28" x14ac:dyDescent="0.25">
      <c r="A6121" t="s">
        <v>6125</v>
      </c>
      <c r="B6121">
        <v>0.99352677808782597</v>
      </c>
      <c r="C6121">
        <v>0.89386259976022397</v>
      </c>
      <c r="D6121">
        <v>0.86765181634085597</v>
      </c>
      <c r="E6121">
        <v>0.94810169834813995</v>
      </c>
      <c r="F6121">
        <v>1.0238563200678401</v>
      </c>
      <c r="G6121">
        <v>0.51411457505543801</v>
      </c>
      <c r="H6121">
        <v>0.36389872217164698</v>
      </c>
      <c r="I6121">
        <v>0.39258212764092199</v>
      </c>
      <c r="J6121">
        <v>0.22983445700274299</v>
      </c>
      <c r="K6121">
        <v>0.17146354096495101</v>
      </c>
      <c r="L6121">
        <v>3843.0703232935498</v>
      </c>
      <c r="M6121">
        <v>68.161039241541303</v>
      </c>
      <c r="N6121">
        <v>57.099855147502097</v>
      </c>
      <c r="O6121">
        <v>56.333741842745802</v>
      </c>
      <c r="P6121">
        <v>-0.215459068175893</v>
      </c>
      <c r="Q6121">
        <v>0.28770967214362703</v>
      </c>
      <c r="R6121">
        <v>0.93595080808688302</v>
      </c>
      <c r="S6121" t="s">
        <v>12406</v>
      </c>
      <c r="T6121" t="s">
        <v>12568</v>
      </c>
      <c r="U6121" t="s">
        <v>12568</v>
      </c>
      <c r="V6121" t="s">
        <v>12568</v>
      </c>
      <c r="W6121" t="s">
        <v>18636</v>
      </c>
      <c r="X6121">
        <v>4</v>
      </c>
      <c r="Y6121" t="s">
        <v>24711</v>
      </c>
      <c r="Z6121" t="s">
        <v>30991</v>
      </c>
      <c r="AA6121">
        <v>0.6776234965129545</v>
      </c>
      <c r="AB6121" t="str">
        <f>HYPERLINK("Melting_Curves/meltCurve_Q9Y312_AAR2.pdf", "Melting_Curves/meltCurve_Q9Y312_AAR2.pdf")</f>
        <v>Melting_Curves/meltCurve_Q9Y312_AAR2.pdf</v>
      </c>
    </row>
    <row r="6122" spans="1:28" x14ac:dyDescent="0.25">
      <c r="A6122" t="s">
        <v>6126</v>
      </c>
      <c r="B6122">
        <v>0.99352677808782597</v>
      </c>
      <c r="C6122">
        <v>0.92325437080667705</v>
      </c>
      <c r="D6122">
        <v>0.91281052115437999</v>
      </c>
      <c r="E6122">
        <v>0.30325663541572501</v>
      </c>
      <c r="F6122">
        <v>0.217806829072028</v>
      </c>
      <c r="G6122">
        <v>0.143919223554106</v>
      </c>
      <c r="H6122">
        <v>9.8986118433956605E-2</v>
      </c>
      <c r="I6122">
        <v>0.10085535469646301</v>
      </c>
      <c r="J6122">
        <v>8.7556493166556906E-2</v>
      </c>
      <c r="K6122">
        <v>8.1216740249514793E-2</v>
      </c>
      <c r="L6122">
        <v>1713.7534361840701</v>
      </c>
      <c r="M6122">
        <v>35.366341400633203</v>
      </c>
      <c r="N6122">
        <v>48.800738315217103</v>
      </c>
      <c r="O6122">
        <v>48.303042671901601</v>
      </c>
      <c r="P6122">
        <v>-0.162873147136192</v>
      </c>
      <c r="Q6122">
        <v>0.110200091732223</v>
      </c>
      <c r="R6122">
        <v>0.99030445847097204</v>
      </c>
      <c r="S6122" t="s">
        <v>12407</v>
      </c>
      <c r="T6122" t="s">
        <v>12568</v>
      </c>
      <c r="U6122" t="s">
        <v>12568</v>
      </c>
      <c r="V6122" t="s">
        <v>12568</v>
      </c>
      <c r="W6122" t="s">
        <v>18637</v>
      </c>
      <c r="X6122">
        <v>11</v>
      </c>
      <c r="Y6122" t="s">
        <v>24712</v>
      </c>
      <c r="Z6122" t="s">
        <v>30992</v>
      </c>
      <c r="AA6122">
        <v>0.36487664873333669</v>
      </c>
      <c r="AB6122" t="str">
        <f>HYPERLINK("Melting_Curves/meltCurve_Q9Y314_NOSIP.pdf", "Melting_Curves/meltCurve_Q9Y314_NOSIP.pdf")</f>
        <v>Melting_Curves/meltCurve_Q9Y314_NOSIP.pdf</v>
      </c>
    </row>
    <row r="6123" spans="1:28" x14ac:dyDescent="0.25">
      <c r="A6123" t="s">
        <v>6127</v>
      </c>
      <c r="B6123">
        <v>0.99352677808782597</v>
      </c>
      <c r="C6123">
        <v>0.98546911662733505</v>
      </c>
      <c r="D6123">
        <v>0.82905100254293995</v>
      </c>
      <c r="E6123">
        <v>1.97634610157518</v>
      </c>
      <c r="F6123">
        <v>1.4181442762977301</v>
      </c>
      <c r="G6123">
        <v>1.76027331714441</v>
      </c>
      <c r="H6123">
        <v>1.5458100914077599</v>
      </c>
      <c r="I6123">
        <v>0.84609603477231698</v>
      </c>
      <c r="J6123">
        <v>0.24712291143333301</v>
      </c>
      <c r="K6123">
        <v>0.19769283826074399</v>
      </c>
      <c r="L6123">
        <v>8257.3243815405294</v>
      </c>
      <c r="M6123">
        <v>127.587622890399</v>
      </c>
      <c r="N6123">
        <v>65.008947212035693</v>
      </c>
      <c r="O6123">
        <v>64.702954640369398</v>
      </c>
      <c r="P6123">
        <v>-0.385973068494807</v>
      </c>
      <c r="Q6123">
        <v>0.21705265824773101</v>
      </c>
      <c r="R6123">
        <v>0.36492414355670899</v>
      </c>
      <c r="S6123" t="s">
        <v>12408</v>
      </c>
      <c r="T6123" t="s">
        <v>12568</v>
      </c>
      <c r="U6123" t="s">
        <v>12568</v>
      </c>
      <c r="V6123" t="s">
        <v>12568</v>
      </c>
      <c r="W6123" t="s">
        <v>18638</v>
      </c>
      <c r="X6123">
        <v>10</v>
      </c>
      <c r="Y6123" t="s">
        <v>24713</v>
      </c>
      <c r="Z6123" t="s">
        <v>30993</v>
      </c>
      <c r="AA6123">
        <v>0.86251188955543368</v>
      </c>
      <c r="AB6123" t="str">
        <f>HYPERLINK("Melting_Curves/meltCurve_Q9Y315_DERA.pdf", "Melting_Curves/meltCurve_Q9Y315_DERA.pdf")</f>
        <v>Melting_Curves/meltCurve_Q9Y315_DERA.pdf</v>
      </c>
    </row>
    <row r="6124" spans="1:28" x14ac:dyDescent="0.25">
      <c r="A6124" t="s">
        <v>6128</v>
      </c>
      <c r="B6124">
        <v>0.99352677808782597</v>
      </c>
      <c r="C6124">
        <v>0.98150791440303298</v>
      </c>
      <c r="D6124">
        <v>0.96403419446590399</v>
      </c>
      <c r="E6124">
        <v>0.65981269971595902</v>
      </c>
      <c r="F6124">
        <v>0.62711959048349997</v>
      </c>
      <c r="G6124">
        <v>0.27584480385871601</v>
      </c>
      <c r="H6124">
        <v>0.20885088560693801</v>
      </c>
      <c r="I6124">
        <v>0.21893038597475201</v>
      </c>
      <c r="J6124">
        <v>0.177308956443604</v>
      </c>
      <c r="K6124">
        <v>0.136530036349958</v>
      </c>
      <c r="L6124">
        <v>857.65140045815099</v>
      </c>
      <c r="M6124">
        <v>16.323269930416501</v>
      </c>
      <c r="N6124">
        <v>53.626768443734598</v>
      </c>
      <c r="O6124">
        <v>51.772057486144597</v>
      </c>
      <c r="P6124">
        <v>-6.7741743237690805E-2</v>
      </c>
      <c r="Q6124">
        <v>0.14064396396590201</v>
      </c>
      <c r="R6124">
        <v>0.98292330121066696</v>
      </c>
      <c r="S6124" t="s">
        <v>12409</v>
      </c>
      <c r="T6124" t="s">
        <v>12568</v>
      </c>
      <c r="U6124" t="s">
        <v>12568</v>
      </c>
      <c r="V6124" t="s">
        <v>12568</v>
      </c>
      <c r="W6124" t="s">
        <v>18639</v>
      </c>
      <c r="X6124">
        <v>10</v>
      </c>
      <c r="Y6124" t="s">
        <v>24714</v>
      </c>
      <c r="Z6124" t="s">
        <v>30994</v>
      </c>
      <c r="AA6124">
        <v>0.51649012355987967</v>
      </c>
      <c r="AB6124" t="str">
        <f>HYPERLINK("Melting_Curves/meltCurve_Q9Y316_MEMO1.pdf", "Melting_Curves/meltCurve_Q9Y316_MEMO1.pdf")</f>
        <v>Melting_Curves/meltCurve_Q9Y316_MEMO1.pdf</v>
      </c>
    </row>
    <row r="6125" spans="1:28" x14ac:dyDescent="0.25">
      <c r="A6125" t="s">
        <v>6129</v>
      </c>
      <c r="B6125">
        <v>0.99352677808782597</v>
      </c>
      <c r="C6125">
        <v>1.0109648279441801</v>
      </c>
      <c r="D6125">
        <v>1.02849866353613</v>
      </c>
      <c r="E6125">
        <v>1.07760178124419</v>
      </c>
      <c r="F6125">
        <v>0.93507573408960398</v>
      </c>
      <c r="G6125">
        <v>0.749387913525419</v>
      </c>
      <c r="H6125">
        <v>0.68601338951396695</v>
      </c>
      <c r="I6125">
        <v>0.62885850745402705</v>
      </c>
      <c r="J6125">
        <v>0.52324159490785904</v>
      </c>
      <c r="K6125">
        <v>0.27178326151822901</v>
      </c>
      <c r="L6125">
        <v>716.45541882294299</v>
      </c>
      <c r="M6125">
        <v>10.8761003156841</v>
      </c>
      <c r="N6125">
        <v>65.874284999734698</v>
      </c>
      <c r="O6125">
        <v>63.764670175036201</v>
      </c>
      <c r="P6125">
        <v>-4.2656601189183699E-2</v>
      </c>
      <c r="Q6125">
        <v>0</v>
      </c>
      <c r="R6125">
        <v>0.94377747151435998</v>
      </c>
      <c r="S6125" t="s">
        <v>12410</v>
      </c>
      <c r="T6125" t="s">
        <v>12568</v>
      </c>
      <c r="U6125" t="s">
        <v>12568</v>
      </c>
      <c r="V6125" t="s">
        <v>12568</v>
      </c>
      <c r="W6125" t="s">
        <v>18640</v>
      </c>
      <c r="X6125">
        <v>4</v>
      </c>
      <c r="Y6125" t="s">
        <v>24715</v>
      </c>
      <c r="Z6125" t="s">
        <v>30995</v>
      </c>
      <c r="AA6125">
        <v>0.80407260610601072</v>
      </c>
      <c r="AB6125" t="str">
        <f>HYPERLINK("Melting_Curves/meltCurve_Q9Y333_LSM2.pdf", "Melting_Curves/meltCurve_Q9Y333_LSM2.pdf")</f>
        <v>Melting_Curves/meltCurve_Q9Y333_LSM2.pdf</v>
      </c>
    </row>
    <row r="6126" spans="1:28" x14ac:dyDescent="0.25">
      <c r="A6126" t="s">
        <v>6130</v>
      </c>
      <c r="B6126">
        <v>0.99352677808782597</v>
      </c>
      <c r="C6126">
        <v>0.88620647942057895</v>
      </c>
      <c r="D6126">
        <v>0.74713954235434799</v>
      </c>
      <c r="E6126">
        <v>0.23982853123180101</v>
      </c>
      <c r="F6126">
        <v>0.181823443303295</v>
      </c>
      <c r="G6126">
        <v>0.10976562009968099</v>
      </c>
      <c r="H6126">
        <v>7.8744561230658899E-2</v>
      </c>
      <c r="I6126">
        <v>7.8574173703635897E-2</v>
      </c>
      <c r="J6126">
        <v>7.7517976489015705E-2</v>
      </c>
      <c r="K6126">
        <v>6.8068307123103397E-2</v>
      </c>
      <c r="L6126">
        <v>1174.5357887867301</v>
      </c>
      <c r="M6126">
        <v>24.756497343745401</v>
      </c>
      <c r="N6126">
        <v>47.7816139363376</v>
      </c>
      <c r="O6126">
        <v>47.137228363710101</v>
      </c>
      <c r="P6126">
        <v>-0.12075278054132001</v>
      </c>
      <c r="Q6126">
        <v>8.0343075261944993E-2</v>
      </c>
      <c r="R6126">
        <v>0.99387767889948697</v>
      </c>
      <c r="S6126" t="s">
        <v>12411</v>
      </c>
      <c r="T6126" t="s">
        <v>12568</v>
      </c>
      <c r="U6126" t="s">
        <v>12568</v>
      </c>
      <c r="V6126" t="s">
        <v>12568</v>
      </c>
      <c r="W6126" t="s">
        <v>18641</v>
      </c>
      <c r="X6126">
        <v>9</v>
      </c>
      <c r="Y6126" t="s">
        <v>24716</v>
      </c>
      <c r="Z6126" t="s">
        <v>30996</v>
      </c>
      <c r="AA6126">
        <v>0.3168579991992807</v>
      </c>
      <c r="AB6126" t="str">
        <f>HYPERLINK("Melting_Curves/meltCurve_Q9Y371_SH3GLB1.pdf", "Melting_Curves/meltCurve_Q9Y371_SH3GLB1.pdf")</f>
        <v>Melting_Curves/meltCurve_Q9Y371_SH3GLB1.pdf</v>
      </c>
    </row>
    <row r="6127" spans="1:28" x14ac:dyDescent="0.25">
      <c r="A6127" t="s">
        <v>6131</v>
      </c>
      <c r="B6127">
        <v>0.99352677808782597</v>
      </c>
      <c r="C6127">
        <v>0.96977132415686695</v>
      </c>
      <c r="D6127">
        <v>1.02652151114041</v>
      </c>
      <c r="E6127">
        <v>0.99782319156486099</v>
      </c>
      <c r="F6127">
        <v>0.90159923635141703</v>
      </c>
      <c r="G6127">
        <v>0.86209171245906602</v>
      </c>
      <c r="H6127">
        <v>0.43694254098370799</v>
      </c>
      <c r="I6127">
        <v>0.123331392637719</v>
      </c>
      <c r="J6127">
        <v>7.5905440851984099E-2</v>
      </c>
      <c r="K6127">
        <v>6.21874480257757E-2</v>
      </c>
      <c r="L6127">
        <v>1917.64669295618</v>
      </c>
      <c r="M6127">
        <v>31.859831695966299</v>
      </c>
      <c r="N6127">
        <v>60.325837552976402</v>
      </c>
      <c r="O6127">
        <v>59.954461627390799</v>
      </c>
      <c r="P6127">
        <v>-0.12825588869665</v>
      </c>
      <c r="Q6127">
        <v>3.4587059171743401E-2</v>
      </c>
      <c r="R6127">
        <v>0.99300547490036195</v>
      </c>
      <c r="S6127" t="s">
        <v>12412</v>
      </c>
      <c r="T6127" t="s">
        <v>12568</v>
      </c>
      <c r="U6127" t="s">
        <v>12568</v>
      </c>
      <c r="V6127" t="s">
        <v>12568</v>
      </c>
      <c r="W6127" t="s">
        <v>18642</v>
      </c>
      <c r="X6127">
        <v>21</v>
      </c>
      <c r="Y6127" t="s">
        <v>24717</v>
      </c>
      <c r="Z6127" t="s">
        <v>30997</v>
      </c>
      <c r="AA6127">
        <v>0.68966097709638474</v>
      </c>
      <c r="AB6127" t="str">
        <f>HYPERLINK("Melting_Curves/meltCurve_Q9Y376_CAB39.pdf", "Melting_Curves/meltCurve_Q9Y376_CAB39.pdf")</f>
        <v>Melting_Curves/meltCurve_Q9Y376_CAB39.pdf</v>
      </c>
    </row>
    <row r="6128" spans="1:28" x14ac:dyDescent="0.25">
      <c r="A6128" t="s">
        <v>6132</v>
      </c>
      <c r="B6128">
        <v>0.99352677808782597</v>
      </c>
      <c r="C6128">
        <v>0.99881191990205598</v>
      </c>
      <c r="D6128">
        <v>0.98979323436776401</v>
      </c>
      <c r="E6128">
        <v>0.69820590313570396</v>
      </c>
      <c r="F6128">
        <v>0.52838582211618401</v>
      </c>
      <c r="G6128">
        <v>0.41615611627907301</v>
      </c>
      <c r="H6128">
        <v>0.29666417363645098</v>
      </c>
      <c r="I6128">
        <v>0.28627508797547102</v>
      </c>
      <c r="J6128">
        <v>0.30561319026119899</v>
      </c>
      <c r="K6128">
        <v>0.31520032150522798</v>
      </c>
      <c r="L6128">
        <v>1088.8301335036101</v>
      </c>
      <c r="M6128">
        <v>21.299607105995999</v>
      </c>
      <c r="N6128">
        <v>53.425760313399103</v>
      </c>
      <c r="O6128">
        <v>50.675517288865002</v>
      </c>
      <c r="P6128">
        <v>-7.3492300564522897E-2</v>
      </c>
      <c r="Q6128">
        <v>0.30061314965466701</v>
      </c>
      <c r="R6128">
        <v>0.99171457773705296</v>
      </c>
      <c r="S6128" t="s">
        <v>12413</v>
      </c>
      <c r="T6128" t="s">
        <v>12568</v>
      </c>
      <c r="U6128" t="s">
        <v>12568</v>
      </c>
      <c r="V6128" t="s">
        <v>12568</v>
      </c>
      <c r="W6128" t="s">
        <v>18643</v>
      </c>
      <c r="X6128">
        <v>20</v>
      </c>
      <c r="Y6128" t="s">
        <v>24718</v>
      </c>
      <c r="Z6128" t="s">
        <v>30998</v>
      </c>
      <c r="AA6128">
        <v>0.56846835498563197</v>
      </c>
      <c r="AB6128" t="str">
        <f>HYPERLINK("Melting_Curves/meltCurve_Q9Y383_LUC7L2.pdf", "Melting_Curves/meltCurve_Q9Y383_LUC7L2.pdf")</f>
        <v>Melting_Curves/meltCurve_Q9Y383_LUC7L2.pdf</v>
      </c>
    </row>
    <row r="6129" spans="1:28" x14ac:dyDescent="0.25">
      <c r="A6129" t="s">
        <v>6133</v>
      </c>
      <c r="B6129">
        <v>0.99352677808782597</v>
      </c>
      <c r="C6129">
        <v>1.05546249762531</v>
      </c>
      <c r="D6129">
        <v>0.99269723239574403</v>
      </c>
      <c r="E6129">
        <v>0.87643441366751695</v>
      </c>
      <c r="F6129">
        <v>0.726505193336071</v>
      </c>
      <c r="G6129">
        <v>0.38623078919590598</v>
      </c>
      <c r="H6129">
        <v>0.202773400595992</v>
      </c>
      <c r="I6129">
        <v>0.18905523921630599</v>
      </c>
      <c r="J6129">
        <v>0.169314013168126</v>
      </c>
      <c r="K6129">
        <v>0.110837984312041</v>
      </c>
      <c r="L6129">
        <v>1166.8254935177899</v>
      </c>
      <c r="M6129">
        <v>21.315798593214399</v>
      </c>
      <c r="N6129">
        <v>55.524651534579903</v>
      </c>
      <c r="O6129">
        <v>54.265002115225897</v>
      </c>
      <c r="P6129">
        <v>-8.5432952216450503E-2</v>
      </c>
      <c r="Q6129">
        <v>0.13005356685005101</v>
      </c>
      <c r="R6129">
        <v>0.99564851782102703</v>
      </c>
      <c r="S6129" t="s">
        <v>12414</v>
      </c>
      <c r="T6129" t="s">
        <v>12568</v>
      </c>
      <c r="U6129" t="s">
        <v>12568</v>
      </c>
      <c r="V6129" t="s">
        <v>12568</v>
      </c>
      <c r="W6129" t="s">
        <v>18644</v>
      </c>
      <c r="X6129">
        <v>1</v>
      </c>
      <c r="Y6129" t="s">
        <v>24719</v>
      </c>
      <c r="Z6129" t="s">
        <v>30999</v>
      </c>
      <c r="AA6129">
        <v>0.5680342156634357</v>
      </c>
      <c r="AB6129" t="str">
        <f>HYPERLINK("Melting_Curves/meltCurve_Q9Y385_UBE2J1.pdf", "Melting_Curves/meltCurve_Q9Y385_UBE2J1.pdf")</f>
        <v>Melting_Curves/meltCurve_Q9Y385_UBE2J1.pdf</v>
      </c>
    </row>
    <row r="6130" spans="1:28" x14ac:dyDescent="0.25">
      <c r="A6130" t="s">
        <v>6134</v>
      </c>
      <c r="B6130">
        <v>0.99352677808782597</v>
      </c>
      <c r="C6130">
        <v>0.88249803978547503</v>
      </c>
      <c r="D6130">
        <v>0.90719802828215901</v>
      </c>
      <c r="E6130">
        <v>0.55278531525518404</v>
      </c>
      <c r="F6130">
        <v>0.48562009158009201</v>
      </c>
      <c r="G6130">
        <v>0.32379121939700301</v>
      </c>
      <c r="H6130">
        <v>0.23185473338753601</v>
      </c>
      <c r="I6130">
        <v>0.23931936227436901</v>
      </c>
      <c r="J6130">
        <v>0.25897709716307898</v>
      </c>
      <c r="K6130">
        <v>0.194641448938421</v>
      </c>
      <c r="L6130">
        <v>759.21251179980504</v>
      </c>
      <c r="M6130">
        <v>15.144978829132199</v>
      </c>
      <c r="N6130">
        <v>51.971708137240697</v>
      </c>
      <c r="O6130">
        <v>49.280024695151099</v>
      </c>
      <c r="P6130">
        <v>-6.08800392942805E-2</v>
      </c>
      <c r="Q6130">
        <v>0.20769039160082201</v>
      </c>
      <c r="R6130">
        <v>0.98218980151498303</v>
      </c>
      <c r="S6130" t="s">
        <v>12415</v>
      </c>
      <c r="T6130" t="s">
        <v>12568</v>
      </c>
      <c r="U6130" t="s">
        <v>12568</v>
      </c>
      <c r="V6130" t="s">
        <v>12568</v>
      </c>
      <c r="W6130" t="s">
        <v>18645</v>
      </c>
      <c r="X6130">
        <v>2</v>
      </c>
      <c r="Y6130" t="s">
        <v>24720</v>
      </c>
      <c r="Z6130" t="s">
        <v>31000</v>
      </c>
      <c r="AA6130">
        <v>0.49371699402924257</v>
      </c>
      <c r="AB6130" t="str">
        <f>HYPERLINK("Melting_Curves/meltCurve_Q9Y399_MRPS2.pdf", "Melting_Curves/meltCurve_Q9Y399_MRPS2.pdf")</f>
        <v>Melting_Curves/meltCurve_Q9Y399_MRPS2.pdf</v>
      </c>
    </row>
    <row r="6131" spans="1:28" x14ac:dyDescent="0.25">
      <c r="A6131" t="s">
        <v>6135</v>
      </c>
      <c r="B6131">
        <v>0.99352677808782597</v>
      </c>
      <c r="C6131">
        <v>1.03319307101932</v>
      </c>
      <c r="D6131">
        <v>0.94759025028289401</v>
      </c>
      <c r="E6131">
        <v>0.96357688578766498</v>
      </c>
      <c r="F6131">
        <v>0.85491796920361096</v>
      </c>
      <c r="G6131">
        <v>0.73539464026340196</v>
      </c>
      <c r="H6131">
        <v>0.517966229464072</v>
      </c>
      <c r="I6131">
        <v>0.37156996944266701</v>
      </c>
      <c r="J6131">
        <v>0.27606542569881198</v>
      </c>
      <c r="K6131">
        <v>0.223195561571882</v>
      </c>
      <c r="L6131">
        <v>805.83796570145705</v>
      </c>
      <c r="M6131">
        <v>13.3347630601607</v>
      </c>
      <c r="N6131">
        <v>61.318852116278897</v>
      </c>
      <c r="O6131">
        <v>59.120815999191997</v>
      </c>
      <c r="P6131">
        <v>-5.1447517524615703E-2</v>
      </c>
      <c r="Q6131">
        <v>8.7758039740632607E-2</v>
      </c>
      <c r="R6131">
        <v>0.99527546285625801</v>
      </c>
      <c r="S6131" t="s">
        <v>12416</v>
      </c>
      <c r="T6131" t="s">
        <v>12568</v>
      </c>
      <c r="U6131" t="s">
        <v>12568</v>
      </c>
      <c r="V6131" t="s">
        <v>12568</v>
      </c>
      <c r="W6131" t="s">
        <v>18646</v>
      </c>
      <c r="X6131">
        <v>10</v>
      </c>
      <c r="Y6131" t="s">
        <v>24721</v>
      </c>
      <c r="Z6131" t="s">
        <v>31001</v>
      </c>
      <c r="AA6131">
        <v>0.71149661318426527</v>
      </c>
      <c r="AB6131" t="str">
        <f>HYPERLINK("Melting_Curves/meltCurve_Q9Y3A3_3_MOB4.pdf", "Melting_Curves/meltCurve_Q9Y3A3_3_MOB4.pdf")</f>
        <v>Melting_Curves/meltCurve_Q9Y3A3_3_MOB4.pdf</v>
      </c>
    </row>
    <row r="6132" spans="1:28" x14ac:dyDescent="0.25">
      <c r="A6132" t="s">
        <v>6136</v>
      </c>
      <c r="B6132">
        <v>0.99352677808782597</v>
      </c>
      <c r="C6132">
        <v>0.74541638455817705</v>
      </c>
      <c r="D6132">
        <v>0.98845377443487303</v>
      </c>
      <c r="E6132">
        <v>0.61007968176600802</v>
      </c>
      <c r="F6132">
        <v>0.53377940803287305</v>
      </c>
      <c r="G6132">
        <v>0.186866064242518</v>
      </c>
      <c r="H6132">
        <v>0.107083371063982</v>
      </c>
      <c r="I6132">
        <v>0.10320059631810399</v>
      </c>
      <c r="J6132">
        <v>7.0571982602581296E-2</v>
      </c>
      <c r="K6132">
        <v>5.9374850837893497E-2</v>
      </c>
      <c r="L6132">
        <v>735.36712445435103</v>
      </c>
      <c r="M6132">
        <v>14.0814912006566</v>
      </c>
      <c r="N6132">
        <v>52.359806061920203</v>
      </c>
      <c r="O6132">
        <v>51.202895879059398</v>
      </c>
      <c r="P6132">
        <v>-6.7513623492150801E-2</v>
      </c>
      <c r="Q6132">
        <v>1.8159271140616599E-2</v>
      </c>
      <c r="R6132">
        <v>0.94585861125177495</v>
      </c>
      <c r="S6132" t="s">
        <v>12417</v>
      </c>
      <c r="T6132" t="s">
        <v>12568</v>
      </c>
      <c r="U6132" t="s">
        <v>12568</v>
      </c>
      <c r="V6132" t="s">
        <v>12568</v>
      </c>
      <c r="W6132" t="s">
        <v>18647</v>
      </c>
      <c r="X6132">
        <v>14</v>
      </c>
      <c r="Y6132" t="s">
        <v>24722</v>
      </c>
      <c r="Z6132" t="s">
        <v>31002</v>
      </c>
      <c r="AA6132">
        <v>0.44205860436841798</v>
      </c>
      <c r="AB6132" t="str">
        <f>HYPERLINK("Melting_Curves/meltCurve_Q9Y3A5_SBDS.pdf", "Melting_Curves/meltCurve_Q9Y3A5_SBDS.pdf")</f>
        <v>Melting_Curves/meltCurve_Q9Y3A5_SBDS.pdf</v>
      </c>
    </row>
    <row r="6133" spans="1:28" x14ac:dyDescent="0.25">
      <c r="A6133" t="s">
        <v>6137</v>
      </c>
      <c r="B6133">
        <v>0.99352677808782597</v>
      </c>
      <c r="C6133">
        <v>0.86671022240582396</v>
      </c>
      <c r="D6133">
        <v>0.84664231841278703</v>
      </c>
      <c r="E6133">
        <v>0.500247396461037</v>
      </c>
      <c r="F6133">
        <v>0.41067173309357302</v>
      </c>
      <c r="G6133">
        <v>0.28918107779721502</v>
      </c>
      <c r="H6133">
        <v>0.181235520370295</v>
      </c>
      <c r="I6133">
        <v>0.200013558582125</v>
      </c>
      <c r="J6133">
        <v>0.17752967805666101</v>
      </c>
      <c r="K6133">
        <v>0.13950337559379</v>
      </c>
      <c r="L6133">
        <v>698.55830459758204</v>
      </c>
      <c r="M6133">
        <v>14.0771534370714</v>
      </c>
      <c r="N6133">
        <v>50.879991592844704</v>
      </c>
      <c r="O6133">
        <v>48.654335886853197</v>
      </c>
      <c r="P6133">
        <v>-6.1720766817988E-2</v>
      </c>
      <c r="Q6133">
        <v>0.14681782892395401</v>
      </c>
      <c r="R6133">
        <v>0.98851251676833496</v>
      </c>
      <c r="S6133" t="s">
        <v>12418</v>
      </c>
      <c r="T6133" t="s">
        <v>12568</v>
      </c>
      <c r="U6133" t="s">
        <v>12568</v>
      </c>
      <c r="V6133" t="s">
        <v>12568</v>
      </c>
      <c r="W6133" t="s">
        <v>18648</v>
      </c>
      <c r="X6133">
        <v>2</v>
      </c>
      <c r="Y6133" t="s">
        <v>24723</v>
      </c>
      <c r="Z6133" t="s">
        <v>31003</v>
      </c>
      <c r="AA6133">
        <v>0.44358002338460267</v>
      </c>
      <c r="AB6133" t="str">
        <f>HYPERLINK("Melting_Curves/meltCurve_Q9Y3B4_SF3B14.pdf", "Melting_Curves/meltCurve_Q9Y3B4_SF3B14.pdf")</f>
        <v>Melting_Curves/meltCurve_Q9Y3B4_SF3B14.pdf</v>
      </c>
    </row>
    <row r="6134" spans="1:28" x14ac:dyDescent="0.25">
      <c r="A6134" t="s">
        <v>6138</v>
      </c>
      <c r="B6134">
        <v>0.99352677808782597</v>
      </c>
      <c r="C6134">
        <v>0.93732713476636498</v>
      </c>
      <c r="D6134">
        <v>0.99648130269646595</v>
      </c>
      <c r="E6134">
        <v>1.05141549108327</v>
      </c>
      <c r="F6134">
        <v>0.93116915718065196</v>
      </c>
      <c r="G6134">
        <v>0.78736168266345896</v>
      </c>
      <c r="H6134">
        <v>0.76704480188343305</v>
      </c>
      <c r="I6134">
        <v>0.79855173587545303</v>
      </c>
      <c r="J6134">
        <v>0.90425744330574498</v>
      </c>
      <c r="K6134">
        <v>0.83900259753126905</v>
      </c>
      <c r="L6134">
        <v>13275.7676710576</v>
      </c>
      <c r="M6134">
        <v>250</v>
      </c>
      <c r="O6134">
        <v>53.099673426608597</v>
      </c>
      <c r="P6134">
        <v>-0.21275596177412601</v>
      </c>
      <c r="Q6134">
        <v>0.819243650133337</v>
      </c>
      <c r="R6134">
        <v>0.79014009707291</v>
      </c>
      <c r="S6134" t="s">
        <v>12419</v>
      </c>
      <c r="T6134" t="s">
        <v>12568</v>
      </c>
      <c r="U6134" t="s">
        <v>12568</v>
      </c>
      <c r="V6134" t="s">
        <v>12568</v>
      </c>
      <c r="W6134" t="s">
        <v>18649</v>
      </c>
      <c r="X6134">
        <v>8</v>
      </c>
      <c r="Y6134" t="s">
        <v>24724</v>
      </c>
      <c r="Z6134" t="s">
        <v>31004</v>
      </c>
      <c r="AA6134">
        <v>0.898209270030221</v>
      </c>
      <c r="AB6134" t="str">
        <f>HYPERLINK("Melting_Curves/meltCurve_Q9Y3B9_RRP15.pdf", "Melting_Curves/meltCurve_Q9Y3B9_RRP15.pdf")</f>
        <v>Melting_Curves/meltCurve_Q9Y3B9_RRP15.pdf</v>
      </c>
    </row>
    <row r="6135" spans="1:28" x14ac:dyDescent="0.25">
      <c r="A6135" t="s">
        <v>6139</v>
      </c>
      <c r="B6135">
        <v>0.99352677808782597</v>
      </c>
      <c r="C6135">
        <v>0.97628242581775404</v>
      </c>
      <c r="D6135">
        <v>0.83086940675849896</v>
      </c>
      <c r="E6135">
        <v>0.71171879380011405</v>
      </c>
      <c r="F6135">
        <v>0.75282033161990103</v>
      </c>
      <c r="G6135">
        <v>0.54759550780314503</v>
      </c>
      <c r="H6135">
        <v>0.43966068882996601</v>
      </c>
      <c r="I6135">
        <v>0.49068972506578801</v>
      </c>
      <c r="J6135">
        <v>0.48466169646538598</v>
      </c>
      <c r="K6135">
        <v>0.44334518091492198</v>
      </c>
      <c r="L6135">
        <v>559.68594546694305</v>
      </c>
      <c r="M6135">
        <v>10.866655017773599</v>
      </c>
      <c r="N6135">
        <v>61.378719403877298</v>
      </c>
      <c r="O6135">
        <v>49.852722005975899</v>
      </c>
      <c r="P6135">
        <v>-3.2002068240213601E-2</v>
      </c>
      <c r="Q6135">
        <v>0.41294675928396102</v>
      </c>
      <c r="R6135">
        <v>0.95447421856591996</v>
      </c>
      <c r="S6135" t="s">
        <v>12420</v>
      </c>
      <c r="T6135" t="s">
        <v>12568</v>
      </c>
      <c r="U6135" t="s">
        <v>12568</v>
      </c>
      <c r="V6135" t="s">
        <v>12568</v>
      </c>
      <c r="W6135" t="s">
        <v>18650</v>
      </c>
      <c r="X6135">
        <v>3</v>
      </c>
      <c r="Y6135" t="s">
        <v>24725</v>
      </c>
      <c r="Z6135" t="s">
        <v>31005</v>
      </c>
      <c r="AA6135">
        <v>0.65919970629057889</v>
      </c>
      <c r="AB6135" t="str">
        <f>HYPERLINK("Melting_Curves/meltCurve_Q9Y3C1_NOP16.pdf", "Melting_Curves/meltCurve_Q9Y3C1_NOP16.pdf")</f>
        <v>Melting_Curves/meltCurve_Q9Y3C1_NOP16.pdf</v>
      </c>
    </row>
    <row r="6136" spans="1:28" x14ac:dyDescent="0.25">
      <c r="A6136" t="s">
        <v>6140</v>
      </c>
      <c r="B6136">
        <v>0.99352677808782597</v>
      </c>
      <c r="C6136">
        <v>0.99034679345326304</v>
      </c>
      <c r="D6136">
        <v>0.90917662293900403</v>
      </c>
      <c r="E6136">
        <v>0.56391007177315799</v>
      </c>
      <c r="F6136">
        <v>0.457840373395349</v>
      </c>
      <c r="G6136">
        <v>0.24865969242962699</v>
      </c>
      <c r="H6136">
        <v>0.168910107074388</v>
      </c>
      <c r="I6136">
        <v>0.162003445364576</v>
      </c>
      <c r="J6136">
        <v>0.12046625420528299</v>
      </c>
      <c r="K6136">
        <v>9.6946737051946799E-2</v>
      </c>
      <c r="L6136">
        <v>837.26923092456002</v>
      </c>
      <c r="M6136">
        <v>16.421755190818299</v>
      </c>
      <c r="N6136">
        <v>51.773055671495001</v>
      </c>
      <c r="O6136">
        <v>50.247302157022901</v>
      </c>
      <c r="P6136">
        <v>-7.2678275226147698E-2</v>
      </c>
      <c r="Q6136">
        <v>0.110538888431873</v>
      </c>
      <c r="R6136">
        <v>0.99304553466341405</v>
      </c>
      <c r="S6136" t="s">
        <v>12421</v>
      </c>
      <c r="T6136" t="s">
        <v>12568</v>
      </c>
      <c r="U6136" t="s">
        <v>12568</v>
      </c>
      <c r="V6136" t="s">
        <v>12568</v>
      </c>
      <c r="W6136" t="s">
        <v>18651</v>
      </c>
      <c r="X6136">
        <v>6</v>
      </c>
      <c r="Y6136" t="s">
        <v>24726</v>
      </c>
      <c r="Z6136" t="s">
        <v>31006</v>
      </c>
      <c r="AA6136">
        <v>0.45387460067178759</v>
      </c>
      <c r="AB6136" t="str">
        <f>HYPERLINK("Melting_Curves/meltCurve_Q9Y3C4_TPRKB.pdf", "Melting_Curves/meltCurve_Q9Y3C4_TPRKB.pdf")</f>
        <v>Melting_Curves/meltCurve_Q9Y3C4_TPRKB.pdf</v>
      </c>
    </row>
    <row r="6137" spans="1:28" x14ac:dyDescent="0.25">
      <c r="A6137" t="s">
        <v>6141</v>
      </c>
      <c r="B6137">
        <v>0.99352677808782597</v>
      </c>
      <c r="C6137">
        <v>0.645866037059177</v>
      </c>
      <c r="D6137">
        <v>0.96595344953822204</v>
      </c>
      <c r="E6137">
        <v>0.33591871108190902</v>
      </c>
      <c r="F6137">
        <v>0.28202159630801099</v>
      </c>
      <c r="G6137">
        <v>0.14729029382683301</v>
      </c>
      <c r="H6137">
        <v>8.4292850330726601E-2</v>
      </c>
      <c r="I6137">
        <v>7.5522990915312102E-2</v>
      </c>
      <c r="J6137">
        <v>6.7392488050169994E-2</v>
      </c>
      <c r="K6137">
        <v>4.8693677613233101E-2</v>
      </c>
      <c r="L6137">
        <v>743.940991233413</v>
      </c>
      <c r="M6137">
        <v>15.2100525945988</v>
      </c>
      <c r="N6137">
        <v>49.199419161335797</v>
      </c>
      <c r="O6137">
        <v>48.089047074077101</v>
      </c>
      <c r="P6137">
        <v>-7.5708476250843995E-2</v>
      </c>
      <c r="Q6137">
        <v>4.2633114236169702E-2</v>
      </c>
      <c r="R6137">
        <v>0.89582498815683498</v>
      </c>
      <c r="S6137" t="s">
        <v>12422</v>
      </c>
      <c r="T6137" t="s">
        <v>12568</v>
      </c>
      <c r="U6137" t="s">
        <v>12568</v>
      </c>
      <c r="V6137" t="s">
        <v>12568</v>
      </c>
      <c r="W6137" t="s">
        <v>18652</v>
      </c>
      <c r="X6137">
        <v>7</v>
      </c>
      <c r="Y6137" t="s">
        <v>24727</v>
      </c>
      <c r="Z6137" t="s">
        <v>31007</v>
      </c>
      <c r="AA6137">
        <v>0.35009801906738269</v>
      </c>
      <c r="AB6137" t="str">
        <f>HYPERLINK("Melting_Curves/meltCurve_Q9Y3C6_PPIL1.pdf", "Melting_Curves/meltCurve_Q9Y3C6_PPIL1.pdf")</f>
        <v>Melting_Curves/meltCurve_Q9Y3C6_PPIL1.pdf</v>
      </c>
    </row>
    <row r="6138" spans="1:28" x14ac:dyDescent="0.25">
      <c r="A6138" t="s">
        <v>6142</v>
      </c>
      <c r="B6138">
        <v>0.99352677808782597</v>
      </c>
      <c r="C6138">
        <v>0.88762669326398702</v>
      </c>
      <c r="D6138">
        <v>0.99156864072279405</v>
      </c>
      <c r="E6138">
        <v>0.93513778762445599</v>
      </c>
      <c r="F6138">
        <v>0.83492629502790905</v>
      </c>
      <c r="G6138">
        <v>0.74774700925494098</v>
      </c>
      <c r="H6138">
        <v>0.37693141631680399</v>
      </c>
      <c r="I6138">
        <v>0.162241576383856</v>
      </c>
      <c r="J6138">
        <v>0.10458935096673699</v>
      </c>
      <c r="K6138">
        <v>7.7255595543384806E-2</v>
      </c>
      <c r="L6138">
        <v>1106.3383032786801</v>
      </c>
      <c r="M6138">
        <v>18.634658472713401</v>
      </c>
      <c r="N6138">
        <v>59.369926547839903</v>
      </c>
      <c r="O6138">
        <v>58.698883711611401</v>
      </c>
      <c r="P6138">
        <v>-7.9368884112853297E-2</v>
      </c>
      <c r="Q6138">
        <v>0</v>
      </c>
      <c r="R6138">
        <v>0.98141440282904902</v>
      </c>
      <c r="S6138" t="s">
        <v>12423</v>
      </c>
      <c r="T6138" t="s">
        <v>12568</v>
      </c>
      <c r="U6138" t="s">
        <v>12568</v>
      </c>
      <c r="V6138" t="s">
        <v>12568</v>
      </c>
      <c r="W6138" t="s">
        <v>18653</v>
      </c>
      <c r="X6138">
        <v>9</v>
      </c>
      <c r="Y6138" t="s">
        <v>24728</v>
      </c>
      <c r="Z6138" t="s">
        <v>31008</v>
      </c>
      <c r="AA6138">
        <v>0.655404293113239</v>
      </c>
      <c r="AB6138" t="str">
        <f>HYPERLINK("Melting_Curves/meltCurve_Q9Y3C8_UFC1.pdf", "Melting_Curves/meltCurve_Q9Y3C8_UFC1.pdf")</f>
        <v>Melting_Curves/meltCurve_Q9Y3C8_UFC1.pdf</v>
      </c>
    </row>
    <row r="6139" spans="1:28" x14ac:dyDescent="0.25">
      <c r="A6139" t="s">
        <v>6143</v>
      </c>
      <c r="B6139">
        <v>0.99352677808782597</v>
      </c>
      <c r="C6139">
        <v>1.11103186980772</v>
      </c>
      <c r="D6139">
        <v>1.10099967988381</v>
      </c>
      <c r="E6139">
        <v>0.74742624629198695</v>
      </c>
      <c r="F6139">
        <v>0.61941152558337398</v>
      </c>
      <c r="G6139">
        <v>0.410418573430123</v>
      </c>
      <c r="H6139">
        <v>0.270133808010461</v>
      </c>
      <c r="I6139">
        <v>0.26481403340793802</v>
      </c>
      <c r="J6139">
        <v>0.26552379345808802</v>
      </c>
      <c r="K6139">
        <v>0.19711673405001701</v>
      </c>
      <c r="L6139">
        <v>1079.14346725007</v>
      </c>
      <c r="M6139">
        <v>20.387516397207602</v>
      </c>
      <c r="N6139">
        <v>54.6115968828475</v>
      </c>
      <c r="O6139">
        <v>52.430217328132798</v>
      </c>
      <c r="P6139">
        <v>-7.45689640122386E-2</v>
      </c>
      <c r="Q6139">
        <v>0.23295236753010501</v>
      </c>
      <c r="R6139">
        <v>0.96632437711627495</v>
      </c>
      <c r="S6139" t="s">
        <v>12424</v>
      </c>
      <c r="T6139" t="s">
        <v>12568</v>
      </c>
      <c r="U6139" t="s">
        <v>12568</v>
      </c>
      <c r="V6139" t="s">
        <v>12568</v>
      </c>
      <c r="W6139" t="s">
        <v>18654</v>
      </c>
      <c r="X6139">
        <v>3</v>
      </c>
      <c r="Y6139" t="s">
        <v>24729</v>
      </c>
      <c r="Z6139" t="s">
        <v>31009</v>
      </c>
      <c r="AA6139">
        <v>0.57380315764448053</v>
      </c>
      <c r="AB6139" t="str">
        <f>HYPERLINK("Melting_Curves/meltCurve_Q9Y3D0_FAM96B.pdf", "Melting_Curves/meltCurve_Q9Y3D0_FAM96B.pdf")</f>
        <v>Melting_Curves/meltCurve_Q9Y3D0_FAM96B.pdf</v>
      </c>
    </row>
    <row r="6140" spans="1:28" x14ac:dyDescent="0.25">
      <c r="A6140" t="s">
        <v>6144</v>
      </c>
      <c r="B6140">
        <v>0.99352677808782597</v>
      </c>
      <c r="C6140">
        <v>0.98249106023383403</v>
      </c>
      <c r="D6140">
        <v>0.99622643536216704</v>
      </c>
      <c r="E6140">
        <v>0.76838443177276305</v>
      </c>
      <c r="F6140">
        <v>0.705739649411814</v>
      </c>
      <c r="G6140">
        <v>0.57785624200686503</v>
      </c>
      <c r="H6140">
        <v>0.457793751817964</v>
      </c>
      <c r="I6140">
        <v>0.49088671884297502</v>
      </c>
      <c r="J6140">
        <v>0.53811697590789598</v>
      </c>
      <c r="K6140">
        <v>0.412426912611153</v>
      </c>
      <c r="L6140">
        <v>880.99679842826697</v>
      </c>
      <c r="M6140">
        <v>16.957971317151401</v>
      </c>
      <c r="N6140">
        <v>60.9951178183303</v>
      </c>
      <c r="O6140">
        <v>51.2454732060013</v>
      </c>
      <c r="P6140">
        <v>-4.4714746779234697E-2</v>
      </c>
      <c r="Q6140">
        <v>0.45953786042608502</v>
      </c>
      <c r="R6140">
        <v>0.96919147936104399</v>
      </c>
      <c r="S6140" t="s">
        <v>12425</v>
      </c>
      <c r="T6140" t="s">
        <v>12568</v>
      </c>
      <c r="U6140" t="s">
        <v>12568</v>
      </c>
      <c r="V6140" t="s">
        <v>12568</v>
      </c>
      <c r="W6140" t="s">
        <v>18655</v>
      </c>
      <c r="X6140">
        <v>9</v>
      </c>
      <c r="Y6140" t="s">
        <v>24730</v>
      </c>
      <c r="Z6140" t="s">
        <v>31010</v>
      </c>
      <c r="AA6140">
        <v>0.68480432748015529</v>
      </c>
      <c r="AB6140" t="str">
        <f>HYPERLINK("Melting_Curves/meltCurve_Q9Y3D2_MSRB2.pdf", "Melting_Curves/meltCurve_Q9Y3D2_MSRB2.pdf")</f>
        <v>Melting_Curves/meltCurve_Q9Y3D2_MSRB2.pdf</v>
      </c>
    </row>
    <row r="6141" spans="1:28" x14ac:dyDescent="0.25">
      <c r="A6141" t="s">
        <v>6145</v>
      </c>
      <c r="B6141">
        <v>0.99352677808782597</v>
      </c>
      <c r="C6141">
        <v>1.13122313337036</v>
      </c>
      <c r="D6141">
        <v>1.1298596164132499</v>
      </c>
      <c r="E6141">
        <v>1.3255963951124401</v>
      </c>
      <c r="F6141">
        <v>0.75341476253863204</v>
      </c>
      <c r="G6141">
        <v>0.69230138155433096</v>
      </c>
      <c r="H6141">
        <v>0.54697049303377498</v>
      </c>
      <c r="I6141">
        <v>0.37332780128965798</v>
      </c>
      <c r="J6141">
        <v>0.40631589683047598</v>
      </c>
      <c r="K6141">
        <v>0.186297274672892</v>
      </c>
      <c r="L6141">
        <v>1051.5199217777099</v>
      </c>
      <c r="M6141">
        <v>17.803412455284398</v>
      </c>
      <c r="N6141">
        <v>61.160180202749601</v>
      </c>
      <c r="O6141">
        <v>58.332756821893902</v>
      </c>
      <c r="P6141">
        <v>-5.8871863575508797E-2</v>
      </c>
      <c r="Q6141">
        <v>0.22846652146473601</v>
      </c>
      <c r="R6141">
        <v>0.84148782780771603</v>
      </c>
      <c r="S6141" t="s">
        <v>12426</v>
      </c>
      <c r="T6141" t="s">
        <v>12568</v>
      </c>
      <c r="U6141" t="s">
        <v>12568</v>
      </c>
      <c r="V6141" t="s">
        <v>12568</v>
      </c>
      <c r="W6141" t="s">
        <v>18656</v>
      </c>
      <c r="X6141">
        <v>2</v>
      </c>
      <c r="Y6141" t="s">
        <v>24731</v>
      </c>
      <c r="Z6141" t="s">
        <v>31011</v>
      </c>
      <c r="AA6141">
        <v>0.7268114661097056</v>
      </c>
      <c r="AB6141" t="str">
        <f>HYPERLINK("Melting_Curves/meltCurve_Q9Y3D6_FIS1.pdf", "Melting_Curves/meltCurve_Q9Y3D6_FIS1.pdf")</f>
        <v>Melting_Curves/meltCurve_Q9Y3D6_FIS1.pdf</v>
      </c>
    </row>
    <row r="6142" spans="1:28" x14ac:dyDescent="0.25">
      <c r="A6142" t="s">
        <v>6146</v>
      </c>
      <c r="B6142">
        <v>0.99352677808782597</v>
      </c>
      <c r="C6142">
        <v>0.92105566814638795</v>
      </c>
      <c r="D6142">
        <v>0.77440290848111504</v>
      </c>
      <c r="E6142">
        <v>0.26942920321959102</v>
      </c>
      <c r="F6142">
        <v>0.15931497957354199</v>
      </c>
      <c r="G6142">
        <v>0.108685653813563</v>
      </c>
      <c r="H6142">
        <v>7.2338590329060107E-2</v>
      </c>
      <c r="I6142">
        <v>7.4336542851296802E-2</v>
      </c>
      <c r="J6142">
        <v>6.2960573210234003E-2</v>
      </c>
      <c r="K6142">
        <v>5.0404273009473401E-2</v>
      </c>
      <c r="L6142">
        <v>1242.09145031085</v>
      </c>
      <c r="M6142">
        <v>25.991102048968301</v>
      </c>
      <c r="N6142">
        <v>48.071920266403502</v>
      </c>
      <c r="O6142">
        <v>47.508896344620098</v>
      </c>
      <c r="P6142">
        <v>-0.12707456876388801</v>
      </c>
      <c r="Q6142">
        <v>7.0896997746186699E-2</v>
      </c>
      <c r="R6142">
        <v>0.99719308967417197</v>
      </c>
      <c r="S6142" t="s">
        <v>12427</v>
      </c>
      <c r="T6142" t="s">
        <v>12568</v>
      </c>
      <c r="U6142" t="s">
        <v>12568</v>
      </c>
      <c r="V6142" t="s">
        <v>12568</v>
      </c>
      <c r="W6142" t="s">
        <v>18657</v>
      </c>
      <c r="X6142">
        <v>3</v>
      </c>
      <c r="Y6142" t="s">
        <v>24732</v>
      </c>
      <c r="Z6142" t="s">
        <v>31012</v>
      </c>
      <c r="AA6142">
        <v>0.31968972706408122</v>
      </c>
      <c r="AB6142" t="str">
        <f>HYPERLINK("Melting_Curves/meltCurve_Q9Y3D8_TAF9.pdf", "Melting_Curves/meltCurve_Q9Y3D8_TAF9.pdf")</f>
        <v>Melting_Curves/meltCurve_Q9Y3D8_TAF9.pdf</v>
      </c>
    </row>
    <row r="6143" spans="1:28" x14ac:dyDescent="0.25">
      <c r="A6143" t="s">
        <v>6147</v>
      </c>
      <c r="B6143">
        <v>0.99352677808782597</v>
      </c>
      <c r="C6143">
        <v>1.0199711815855801</v>
      </c>
      <c r="D6143">
        <v>0.98218391450500298</v>
      </c>
      <c r="E6143">
        <v>0.62236754057216803</v>
      </c>
      <c r="F6143">
        <v>0.14054573454329</v>
      </c>
      <c r="G6143">
        <v>0.34846026479215197</v>
      </c>
      <c r="H6143">
        <v>0.202451407301907</v>
      </c>
      <c r="I6143">
        <v>0.20018026760125099</v>
      </c>
      <c r="J6143">
        <v>0.18733721201909301</v>
      </c>
      <c r="K6143">
        <v>0.18657406866010001</v>
      </c>
      <c r="L6143">
        <v>12504.287377225301</v>
      </c>
      <c r="M6143">
        <v>250</v>
      </c>
      <c r="N6143">
        <v>50.127013335725998</v>
      </c>
      <c r="O6143">
        <v>50.013927530862198</v>
      </c>
      <c r="P6143">
        <v>-0.98606897313504704</v>
      </c>
      <c r="Q6143">
        <v>0.21092474943234099</v>
      </c>
      <c r="R6143">
        <v>0.97982045376601401</v>
      </c>
      <c r="S6143" t="s">
        <v>12428</v>
      </c>
      <c r="T6143" t="s">
        <v>12568</v>
      </c>
      <c r="U6143" t="s">
        <v>12568</v>
      </c>
      <c r="V6143" t="s">
        <v>12568</v>
      </c>
      <c r="W6143" t="s">
        <v>18658</v>
      </c>
      <c r="X6143">
        <v>3</v>
      </c>
      <c r="Y6143" t="s">
        <v>24733</v>
      </c>
      <c r="Z6143" t="s">
        <v>31013</v>
      </c>
      <c r="AA6143">
        <v>0.47447017254409951</v>
      </c>
      <c r="AB6143" t="str">
        <f>HYPERLINK("Melting_Curves/meltCurve_Q9Y3D9_MRPS23.pdf", "Melting_Curves/meltCurve_Q9Y3D9_MRPS23.pdf")</f>
        <v>Melting_Curves/meltCurve_Q9Y3D9_MRPS23.pdf</v>
      </c>
    </row>
    <row r="6144" spans="1:28" x14ac:dyDescent="0.25">
      <c r="A6144" t="s">
        <v>6148</v>
      </c>
      <c r="B6144">
        <v>0.99352677808782597</v>
      </c>
      <c r="C6144">
        <v>1.07078832064328</v>
      </c>
      <c r="D6144">
        <v>1.22348802443904</v>
      </c>
      <c r="E6144">
        <v>1.1922793455170899</v>
      </c>
      <c r="F6144">
        <v>0.92095517031796903</v>
      </c>
      <c r="G6144">
        <v>0.89581587316159395</v>
      </c>
      <c r="H6144">
        <v>0.96015687548482997</v>
      </c>
      <c r="I6144">
        <v>1.07325116897717</v>
      </c>
      <c r="J6144">
        <v>1.2157392772664</v>
      </c>
      <c r="K6144">
        <v>1.21012474575296</v>
      </c>
      <c r="L6144">
        <v>15000</v>
      </c>
      <c r="M6144">
        <v>233.729489477149</v>
      </c>
      <c r="O6144">
        <v>64.172055688030298</v>
      </c>
      <c r="P6144">
        <v>0.19389192368188701</v>
      </c>
      <c r="Q6144">
        <v>1.2129375003354099</v>
      </c>
      <c r="R6144">
        <v>0.25993362125165898</v>
      </c>
      <c r="S6144" t="s">
        <v>12429</v>
      </c>
      <c r="T6144" t="s">
        <v>12568</v>
      </c>
      <c r="U6144" t="s">
        <v>12568</v>
      </c>
      <c r="V6144" t="s">
        <v>12568</v>
      </c>
      <c r="W6144" t="s">
        <v>18659</v>
      </c>
      <c r="X6144">
        <v>4</v>
      </c>
      <c r="Y6144" t="s">
        <v>24734</v>
      </c>
      <c r="Z6144" t="s">
        <v>31014</v>
      </c>
      <c r="AA6144">
        <v>1.041305474244417</v>
      </c>
      <c r="AB6144" t="str">
        <f>HYPERLINK("Melting_Curves/meltCurve_Q9Y3E1_HDGFRP3.pdf", "Melting_Curves/meltCurve_Q9Y3E1_HDGFRP3.pdf")</f>
        <v>Melting_Curves/meltCurve_Q9Y3E1_HDGFRP3.pdf</v>
      </c>
    </row>
    <row r="6145" spans="1:28" x14ac:dyDescent="0.25">
      <c r="A6145" t="s">
        <v>6149</v>
      </c>
      <c r="B6145">
        <v>0.99352677808782597</v>
      </c>
      <c r="C6145">
        <v>0.97446460762998499</v>
      </c>
      <c r="D6145">
        <v>0.99584817420404304</v>
      </c>
      <c r="E6145">
        <v>0.91520394723693099</v>
      </c>
      <c r="F6145">
        <v>0.81996179761265697</v>
      </c>
      <c r="G6145">
        <v>0.77548486496858204</v>
      </c>
      <c r="H6145">
        <v>0.66564821496014503</v>
      </c>
      <c r="I6145">
        <v>0.73161352766032794</v>
      </c>
      <c r="J6145">
        <v>0.77654371555152202</v>
      </c>
      <c r="K6145">
        <v>0.66620976442356705</v>
      </c>
      <c r="L6145">
        <v>1116.1774430406699</v>
      </c>
      <c r="M6145">
        <v>21.438699206406099</v>
      </c>
      <c r="O6145">
        <v>51.617032855189997</v>
      </c>
      <c r="P6145">
        <v>-3.01266834203009E-2</v>
      </c>
      <c r="Q6145">
        <v>0.70986829465477497</v>
      </c>
      <c r="R6145">
        <v>0.92734834680706202</v>
      </c>
      <c r="S6145" t="s">
        <v>12430</v>
      </c>
      <c r="T6145" t="s">
        <v>12568</v>
      </c>
      <c r="U6145" t="s">
        <v>12568</v>
      </c>
      <c r="V6145" t="s">
        <v>12568</v>
      </c>
      <c r="W6145" t="s">
        <v>18660</v>
      </c>
      <c r="X6145">
        <v>7</v>
      </c>
      <c r="Y6145" t="s">
        <v>24735</v>
      </c>
      <c r="Z6145" t="s">
        <v>31015</v>
      </c>
      <c r="AA6145">
        <v>0.83007592895428906</v>
      </c>
      <c r="AB6145" t="str">
        <f>HYPERLINK("Melting_Curves/meltCurve_Q9Y3E2_BOLA1.pdf", "Melting_Curves/meltCurve_Q9Y3E2_BOLA1.pdf")</f>
        <v>Melting_Curves/meltCurve_Q9Y3E2_BOLA1.pdf</v>
      </c>
    </row>
    <row r="6146" spans="1:28" x14ac:dyDescent="0.25">
      <c r="A6146" t="s">
        <v>6150</v>
      </c>
      <c r="B6146">
        <v>0.99352677808782597</v>
      </c>
      <c r="C6146">
        <v>0.95737001220893903</v>
      </c>
      <c r="D6146">
        <v>1.0388209826173</v>
      </c>
      <c r="E6146">
        <v>1.05135647996101</v>
      </c>
      <c r="F6146">
        <v>1.0643760192321901</v>
      </c>
      <c r="G6146">
        <v>0.97110914144250704</v>
      </c>
      <c r="H6146">
        <v>0.49727531721794999</v>
      </c>
      <c r="I6146">
        <v>0.26416497639036901</v>
      </c>
      <c r="J6146">
        <v>0.16931346528027799</v>
      </c>
      <c r="K6146">
        <v>0.14257763144149399</v>
      </c>
      <c r="L6146">
        <v>2658.8909864637299</v>
      </c>
      <c r="M6146">
        <v>43.909168862365597</v>
      </c>
      <c r="N6146">
        <v>61.089718024200998</v>
      </c>
      <c r="O6146">
        <v>60.429156268702002</v>
      </c>
      <c r="P6146">
        <v>-0.152643818232124</v>
      </c>
      <c r="Q6146">
        <v>0.159708741471427</v>
      </c>
      <c r="R6146">
        <v>0.99116726399862498</v>
      </c>
      <c r="S6146" t="s">
        <v>12431</v>
      </c>
      <c r="T6146" t="s">
        <v>12568</v>
      </c>
      <c r="U6146" t="s">
        <v>12568</v>
      </c>
      <c r="V6146" t="s">
        <v>12568</v>
      </c>
      <c r="W6146" t="s">
        <v>18661</v>
      </c>
      <c r="X6146">
        <v>9</v>
      </c>
      <c r="Y6146" t="s">
        <v>24736</v>
      </c>
      <c r="Z6146" t="s">
        <v>31016</v>
      </c>
      <c r="AA6146">
        <v>0.73819958779882999</v>
      </c>
      <c r="AB6146" t="str">
        <f>HYPERLINK("Melting_Curves/meltCurve_Q9Y3E7_CHMP3.pdf", "Melting_Curves/meltCurve_Q9Y3E7_CHMP3.pdf")</f>
        <v>Melting_Curves/meltCurve_Q9Y3E7_CHMP3.pdf</v>
      </c>
    </row>
    <row r="6147" spans="1:28" x14ac:dyDescent="0.25">
      <c r="A6147" t="s">
        <v>6151</v>
      </c>
      <c r="B6147">
        <v>0.99352677808782597</v>
      </c>
      <c r="C6147">
        <v>0.72263892853755396</v>
      </c>
      <c r="D6147">
        <v>0.923078287752644</v>
      </c>
      <c r="E6147">
        <v>0.766313114724403</v>
      </c>
      <c r="F6147">
        <v>0.65033764690688101</v>
      </c>
      <c r="G6147">
        <v>0.45828720876754098</v>
      </c>
      <c r="H6147">
        <v>0.18614342075990101</v>
      </c>
      <c r="I6147">
        <v>0.102891839668558</v>
      </c>
      <c r="J6147">
        <v>8.2825756128218894E-2</v>
      </c>
      <c r="K6147">
        <v>5.9689181916692903E-2</v>
      </c>
      <c r="L6147">
        <v>663.99267902604197</v>
      </c>
      <c r="M6147">
        <v>12.0783450596048</v>
      </c>
      <c r="N6147">
        <v>54.973812690612199</v>
      </c>
      <c r="O6147">
        <v>53.531956917251499</v>
      </c>
      <c r="P6147">
        <v>-5.6420432524026197E-2</v>
      </c>
      <c r="Q6147">
        <v>0</v>
      </c>
      <c r="R6147">
        <v>0.94030275918654904</v>
      </c>
      <c r="S6147" t="s">
        <v>12432</v>
      </c>
      <c r="T6147" t="s">
        <v>12568</v>
      </c>
      <c r="U6147" t="s">
        <v>12568</v>
      </c>
      <c r="V6147" t="s">
        <v>12568</v>
      </c>
      <c r="W6147" t="s">
        <v>18662</v>
      </c>
      <c r="X6147">
        <v>21</v>
      </c>
      <c r="Y6147" t="s">
        <v>24737</v>
      </c>
      <c r="Z6147" t="s">
        <v>31017</v>
      </c>
      <c r="AA6147">
        <v>0.52254569935658135</v>
      </c>
      <c r="AB6147" t="str">
        <f>HYPERLINK("Melting_Curves/meltCurve_Q9Y3F4_STRAP.pdf", "Melting_Curves/meltCurve_Q9Y3F4_STRAP.pdf")</f>
        <v>Melting_Curves/meltCurve_Q9Y3F4_STRAP.pdf</v>
      </c>
    </row>
    <row r="6148" spans="1:28" x14ac:dyDescent="0.25">
      <c r="A6148" t="s">
        <v>6152</v>
      </c>
      <c r="B6148">
        <v>0.99352677808782597</v>
      </c>
      <c r="C6148">
        <v>0.94971995453786395</v>
      </c>
      <c r="D6148">
        <v>0.693029702769975</v>
      </c>
      <c r="E6148">
        <v>0.30048891998225502</v>
      </c>
      <c r="F6148">
        <v>0.23547571468159201</v>
      </c>
      <c r="G6148">
        <v>0.13871376007810601</v>
      </c>
      <c r="H6148">
        <v>8.4522537976916404E-2</v>
      </c>
      <c r="I6148">
        <v>7.6814686355490699E-2</v>
      </c>
      <c r="J6148">
        <v>6.5245324986772699E-2</v>
      </c>
      <c r="K6148">
        <v>4.9131854831001201E-2</v>
      </c>
      <c r="L6148">
        <v>964.69212312534899</v>
      </c>
      <c r="M6148">
        <v>20.224933767642302</v>
      </c>
      <c r="N6148">
        <v>48.0900172107429</v>
      </c>
      <c r="O6148">
        <v>47.239168279379101</v>
      </c>
      <c r="P6148">
        <v>-9.8906493732012504E-2</v>
      </c>
      <c r="Q6148">
        <v>7.5968845561428897E-2</v>
      </c>
      <c r="R6148">
        <v>0.99407488989628801</v>
      </c>
      <c r="S6148" t="s">
        <v>12433</v>
      </c>
      <c r="T6148" t="s">
        <v>12568</v>
      </c>
      <c r="U6148" t="s">
        <v>12568</v>
      </c>
      <c r="V6148" t="s">
        <v>12568</v>
      </c>
      <c r="W6148" t="s">
        <v>18663</v>
      </c>
      <c r="X6148">
        <v>22</v>
      </c>
      <c r="Y6148" t="s">
        <v>24738</v>
      </c>
      <c r="Z6148" t="s">
        <v>31018</v>
      </c>
      <c r="AA6148">
        <v>0.32598969622001273</v>
      </c>
      <c r="AB6148" t="str">
        <f>HYPERLINK("Melting_Curves/meltCurve_Q9Y3I0_C22orf28.pdf", "Melting_Curves/meltCurve_Q9Y3I0_C22orf28.pdf")</f>
        <v>Melting_Curves/meltCurve_Q9Y3I0_C22orf28.pdf</v>
      </c>
    </row>
    <row r="6149" spans="1:28" x14ac:dyDescent="0.25">
      <c r="A6149" t="s">
        <v>6153</v>
      </c>
      <c r="B6149">
        <v>0.99352677808782597</v>
      </c>
      <c r="C6149">
        <v>0.94337000930497505</v>
      </c>
      <c r="D6149">
        <v>0.86057483655246902</v>
      </c>
      <c r="E6149">
        <v>0.60822754031238102</v>
      </c>
      <c r="F6149">
        <v>0.48799281208325301</v>
      </c>
      <c r="G6149">
        <v>0.32882233779955899</v>
      </c>
      <c r="H6149">
        <v>0.28053608085459802</v>
      </c>
      <c r="I6149">
        <v>0.28432779672531</v>
      </c>
      <c r="J6149">
        <v>0.24623265428464799</v>
      </c>
      <c r="K6149">
        <v>0.22474884860994901</v>
      </c>
      <c r="L6149">
        <v>767.42624524095197</v>
      </c>
      <c r="M6149">
        <v>15.2831775059693</v>
      </c>
      <c r="N6149">
        <v>52.353603135030603</v>
      </c>
      <c r="O6149">
        <v>49.377615154414499</v>
      </c>
      <c r="P6149">
        <v>-5.9411165608560398E-2</v>
      </c>
      <c r="Q6149">
        <v>0.23227808311732301</v>
      </c>
      <c r="R6149">
        <v>0.99758667481942997</v>
      </c>
      <c r="S6149" t="s">
        <v>12434</v>
      </c>
      <c r="T6149" t="s">
        <v>12568</v>
      </c>
      <c r="U6149" t="s">
        <v>12568</v>
      </c>
      <c r="V6149" t="s">
        <v>12568</v>
      </c>
      <c r="W6149" t="s">
        <v>18664</v>
      </c>
      <c r="X6149">
        <v>5</v>
      </c>
      <c r="Y6149" t="s">
        <v>24739</v>
      </c>
      <c r="Z6149" t="s">
        <v>31019</v>
      </c>
      <c r="AA6149">
        <v>0.5112519330546802</v>
      </c>
      <c r="AB6149" t="str">
        <f>HYPERLINK("Melting_Curves/meltCurve_Q9Y3I1_FBXO7.pdf", "Melting_Curves/meltCurve_Q9Y3I1_FBXO7.pdf")</f>
        <v>Melting_Curves/meltCurve_Q9Y3I1_FBXO7.pdf</v>
      </c>
    </row>
    <row r="6150" spans="1:28" x14ac:dyDescent="0.25">
      <c r="A6150" t="s">
        <v>6154</v>
      </c>
      <c r="B6150">
        <v>0.99352677808782597</v>
      </c>
      <c r="C6150">
        <v>1.0093866829067899</v>
      </c>
      <c r="D6150">
        <v>0.91768540976479496</v>
      </c>
      <c r="E6150">
        <v>0.75721605706230699</v>
      </c>
      <c r="F6150">
        <v>0.66043457316409904</v>
      </c>
      <c r="G6150">
        <v>0.38329517625112097</v>
      </c>
      <c r="H6150">
        <v>0.26358312245305299</v>
      </c>
      <c r="I6150">
        <v>0.21027137790530601</v>
      </c>
      <c r="J6150">
        <v>0.213157550166161</v>
      </c>
      <c r="K6150">
        <v>0.163534629819866</v>
      </c>
      <c r="L6150">
        <v>787.47309506633997</v>
      </c>
      <c r="M6150">
        <v>14.6463496386502</v>
      </c>
      <c r="N6150">
        <v>55.034496838177603</v>
      </c>
      <c r="O6150">
        <v>52.793372289168197</v>
      </c>
      <c r="P6150">
        <v>-5.9426728677789399E-2</v>
      </c>
      <c r="Q6150">
        <v>0.143270903211796</v>
      </c>
      <c r="R6150">
        <v>0.995297361785766</v>
      </c>
      <c r="S6150" t="s">
        <v>12435</v>
      </c>
      <c r="T6150" t="s">
        <v>12568</v>
      </c>
      <c r="U6150" t="s">
        <v>12568</v>
      </c>
      <c r="V6150" t="s">
        <v>12568</v>
      </c>
      <c r="W6150" t="s">
        <v>18665</v>
      </c>
      <c r="X6150">
        <v>25</v>
      </c>
      <c r="Y6150" t="s">
        <v>24740</v>
      </c>
      <c r="Z6150" t="s">
        <v>31020</v>
      </c>
      <c r="AA6150">
        <v>0.5547284059938028</v>
      </c>
      <c r="AB6150" t="str">
        <f>HYPERLINK("Melting_Curves/meltCurve_Q9Y3P9_RABGAP1.pdf", "Melting_Curves/meltCurve_Q9Y3P9_RABGAP1.pdf")</f>
        <v>Melting_Curves/meltCurve_Q9Y3P9_RABGAP1.pdf</v>
      </c>
    </row>
    <row r="6151" spans="1:28" x14ac:dyDescent="0.25">
      <c r="A6151" t="s">
        <v>6155</v>
      </c>
      <c r="B6151">
        <v>0.99352677808782597</v>
      </c>
      <c r="C6151">
        <v>1.02729902851455</v>
      </c>
      <c r="D6151">
        <v>0.95815037785369195</v>
      </c>
      <c r="E6151">
        <v>0.79039328558205701</v>
      </c>
      <c r="F6151">
        <v>0.67946047816908595</v>
      </c>
      <c r="G6151">
        <v>0.54460070757883705</v>
      </c>
      <c r="H6151">
        <v>0.46117149825491</v>
      </c>
      <c r="I6151">
        <v>0.47059633153937103</v>
      </c>
      <c r="J6151">
        <v>0.54881139594901296</v>
      </c>
      <c r="K6151">
        <v>0.41971732713917798</v>
      </c>
      <c r="L6151">
        <v>999.29899045390698</v>
      </c>
      <c r="M6151">
        <v>19.387762494758501</v>
      </c>
      <c r="N6151">
        <v>59.852052876100501</v>
      </c>
      <c r="O6151">
        <v>51.003808553372998</v>
      </c>
      <c r="P6151">
        <v>-5.0737549878324399E-2</v>
      </c>
      <c r="Q6151">
        <v>0.46611413763839399</v>
      </c>
      <c r="R6151">
        <v>0.97715513367393603</v>
      </c>
      <c r="S6151" t="s">
        <v>12436</v>
      </c>
      <c r="T6151" t="s">
        <v>12568</v>
      </c>
      <c r="U6151" t="s">
        <v>12568</v>
      </c>
      <c r="V6151" t="s">
        <v>12568</v>
      </c>
      <c r="W6151" t="s">
        <v>18666</v>
      </c>
      <c r="X6151">
        <v>11</v>
      </c>
      <c r="Y6151" t="s">
        <v>24741</v>
      </c>
      <c r="Z6151" t="s">
        <v>31021</v>
      </c>
      <c r="AA6151">
        <v>0.67936231711617201</v>
      </c>
      <c r="AB6151" t="str">
        <f>HYPERLINK("Melting_Curves/meltCurve_Q9Y3Q8_TSC22D4.pdf", "Melting_Curves/meltCurve_Q9Y3Q8_TSC22D4.pdf")</f>
        <v>Melting_Curves/meltCurve_Q9Y3Q8_TSC22D4.pdf</v>
      </c>
    </row>
    <row r="6152" spans="1:28" x14ac:dyDescent="0.25">
      <c r="A6152" t="s">
        <v>6156</v>
      </c>
      <c r="B6152">
        <v>0.99352677808782597</v>
      </c>
      <c r="C6152">
        <v>0.21797650755978401</v>
      </c>
      <c r="D6152">
        <v>0.55769665658879397</v>
      </c>
      <c r="E6152">
        <v>0.41843379713683798</v>
      </c>
      <c r="F6152">
        <v>0.30340523766375099</v>
      </c>
      <c r="G6152">
        <v>0.14126225297904799</v>
      </c>
      <c r="H6152">
        <v>7.8797489693257505E-2</v>
      </c>
      <c r="I6152">
        <v>8.0948987842310194E-2</v>
      </c>
      <c r="J6152">
        <v>6.3893485647504203E-2</v>
      </c>
      <c r="K6152">
        <v>4.3973009297613497E-2</v>
      </c>
      <c r="L6152">
        <v>354.61152685191098</v>
      </c>
      <c r="M6152">
        <v>7.8282843097736903</v>
      </c>
      <c r="N6152">
        <v>45.2987547043858</v>
      </c>
      <c r="O6152">
        <v>42.628101292445002</v>
      </c>
      <c r="P6152">
        <v>-4.5966651611651997E-2</v>
      </c>
      <c r="Q6152">
        <v>0</v>
      </c>
      <c r="R6152">
        <v>0.70396922086581304</v>
      </c>
      <c r="S6152" t="s">
        <v>12437</v>
      </c>
      <c r="T6152" t="s">
        <v>12568</v>
      </c>
      <c r="U6152" t="s">
        <v>12568</v>
      </c>
      <c r="V6152" t="s">
        <v>12568</v>
      </c>
      <c r="W6152" t="s">
        <v>18667</v>
      </c>
      <c r="X6152">
        <v>3</v>
      </c>
      <c r="Y6152" t="s">
        <v>24742</v>
      </c>
      <c r="Z6152" t="s">
        <v>31022</v>
      </c>
      <c r="AA6152">
        <v>0.27226605861548481</v>
      </c>
      <c r="AB6152" t="str">
        <f>HYPERLINK("Melting_Curves/meltCurve_Q9Y3R5_2_DOPEY2.pdf", "Melting_Curves/meltCurve_Q9Y3R5_2_DOPEY2.pdf")</f>
        <v>Melting_Curves/meltCurve_Q9Y3R5_2_DOPEY2.pdf</v>
      </c>
    </row>
    <row r="6153" spans="1:28" x14ac:dyDescent="0.25">
      <c r="A6153" t="s">
        <v>6157</v>
      </c>
      <c r="B6153">
        <v>0.99352677808782597</v>
      </c>
      <c r="C6153">
        <v>0.96000069137144695</v>
      </c>
      <c r="D6153">
        <v>0.96896076862758995</v>
      </c>
      <c r="E6153">
        <v>0.73987578613042604</v>
      </c>
      <c r="F6153">
        <v>0.68352492411812904</v>
      </c>
      <c r="G6153">
        <v>0.62900951763566604</v>
      </c>
      <c r="H6153">
        <v>0.56864226178718003</v>
      </c>
      <c r="I6153">
        <v>0.56553840260569099</v>
      </c>
      <c r="J6153">
        <v>0.69774397524723697</v>
      </c>
      <c r="K6153">
        <v>0.522721727307488</v>
      </c>
      <c r="L6153">
        <v>1152.24083468348</v>
      </c>
      <c r="M6153">
        <v>23.3330744382964</v>
      </c>
      <c r="O6153">
        <v>49.023885231526897</v>
      </c>
      <c r="P6153">
        <v>-4.84451267482763E-2</v>
      </c>
      <c r="Q6153">
        <v>0.59286544364386695</v>
      </c>
      <c r="R6153">
        <v>0.92777203553408505</v>
      </c>
      <c r="S6153" t="s">
        <v>12438</v>
      </c>
      <c r="T6153" t="s">
        <v>12568</v>
      </c>
      <c r="U6153" t="s">
        <v>12568</v>
      </c>
      <c r="V6153" t="s">
        <v>12568</v>
      </c>
      <c r="W6153" t="s">
        <v>18668</v>
      </c>
      <c r="X6153">
        <v>8</v>
      </c>
      <c r="Y6153" t="s">
        <v>24743</v>
      </c>
      <c r="Z6153" t="s">
        <v>31023</v>
      </c>
      <c r="AA6153">
        <v>0.72435830922900324</v>
      </c>
      <c r="AB6153" t="str">
        <f>HYPERLINK("Melting_Curves/meltCurve_Q9Y3S2_ZNF330.pdf", "Melting_Curves/meltCurve_Q9Y3S2_ZNF330.pdf")</f>
        <v>Melting_Curves/meltCurve_Q9Y3S2_ZNF330.pdf</v>
      </c>
    </row>
    <row r="6154" spans="1:28" x14ac:dyDescent="0.25">
      <c r="A6154" t="s">
        <v>6158</v>
      </c>
      <c r="B6154">
        <v>0.99352677808782597</v>
      </c>
      <c r="C6154">
        <v>0.95769269428949899</v>
      </c>
      <c r="D6154">
        <v>0.98902529888611501</v>
      </c>
      <c r="E6154">
        <v>0.53364810854903399</v>
      </c>
      <c r="F6154">
        <v>0.47386677805295002</v>
      </c>
      <c r="G6154">
        <v>0.177376067372462</v>
      </c>
      <c r="H6154">
        <v>0.10701131605857001</v>
      </c>
      <c r="I6154">
        <v>8.4059454526112104E-2</v>
      </c>
      <c r="J6154">
        <v>7.1923118408573197E-2</v>
      </c>
      <c r="K6154">
        <v>4.4097138684180803E-2</v>
      </c>
      <c r="L6154">
        <v>908.27207582162998</v>
      </c>
      <c r="M6154">
        <v>17.681482771761001</v>
      </c>
      <c r="N6154">
        <v>51.685214662680501</v>
      </c>
      <c r="O6154">
        <v>50.724992452584203</v>
      </c>
      <c r="P6154">
        <v>-8.2674697540931999E-2</v>
      </c>
      <c r="Q6154">
        <v>5.1334897211588099E-2</v>
      </c>
      <c r="R6154">
        <v>0.98223479946663494</v>
      </c>
      <c r="S6154" t="s">
        <v>12439</v>
      </c>
      <c r="T6154" t="s">
        <v>12568</v>
      </c>
      <c r="U6154" t="s">
        <v>12568</v>
      </c>
      <c r="V6154" t="s">
        <v>12568</v>
      </c>
      <c r="W6154" t="s">
        <v>18669</v>
      </c>
      <c r="X6154">
        <v>3</v>
      </c>
      <c r="Y6154" t="s">
        <v>24744</v>
      </c>
      <c r="Z6154" t="s">
        <v>31024</v>
      </c>
      <c r="AA6154">
        <v>0.42725625887266672</v>
      </c>
      <c r="AB6154" t="str">
        <f>HYPERLINK("Melting_Curves/meltCurve_Q9Y3T6_R3HCC1.pdf", "Melting_Curves/meltCurve_Q9Y3T6_R3HCC1.pdf")</f>
        <v>Melting_Curves/meltCurve_Q9Y3T6_R3HCC1.pdf</v>
      </c>
    </row>
    <row r="6155" spans="1:28" x14ac:dyDescent="0.25">
      <c r="A6155" t="s">
        <v>6159</v>
      </c>
      <c r="B6155">
        <v>0.99352677808782597</v>
      </c>
      <c r="C6155">
        <v>0.92752742313218195</v>
      </c>
      <c r="D6155">
        <v>1.1757863211880399</v>
      </c>
      <c r="E6155">
        <v>0.94948739553440098</v>
      </c>
      <c r="F6155">
        <v>0.90561096156721299</v>
      </c>
      <c r="G6155">
        <v>0.76080631512025498</v>
      </c>
      <c r="H6155">
        <v>0.68545501955723598</v>
      </c>
      <c r="I6155">
        <v>0.78387600166528604</v>
      </c>
      <c r="J6155">
        <v>0.74414726637299899</v>
      </c>
      <c r="K6155">
        <v>0.75066908074124605</v>
      </c>
      <c r="L6155">
        <v>2046.71696767508</v>
      </c>
      <c r="M6155">
        <v>38.216647223708399</v>
      </c>
      <c r="O6155">
        <v>53.409632424876897</v>
      </c>
      <c r="P6155">
        <v>-4.6465906182904401E-2</v>
      </c>
      <c r="Q6155">
        <v>0.74024716262529799</v>
      </c>
      <c r="R6155">
        <v>0.78871140391915096</v>
      </c>
      <c r="S6155" t="s">
        <v>12440</v>
      </c>
      <c r="T6155" t="s">
        <v>12568</v>
      </c>
      <c r="U6155" t="s">
        <v>12568</v>
      </c>
      <c r="V6155" t="s">
        <v>12568</v>
      </c>
      <c r="W6155" t="s">
        <v>18670</v>
      </c>
      <c r="X6155">
        <v>3</v>
      </c>
      <c r="Y6155" t="s">
        <v>24745</v>
      </c>
      <c r="Z6155" t="s">
        <v>31025</v>
      </c>
      <c r="AA6155">
        <v>0.85866951055092522</v>
      </c>
      <c r="AB6155" t="str">
        <f>HYPERLINK("Melting_Curves/meltCurve_Q9Y3T9_NOC2L.pdf", "Melting_Curves/meltCurve_Q9Y3T9_NOC2L.pdf")</f>
        <v>Melting_Curves/meltCurve_Q9Y3T9_NOC2L.pdf</v>
      </c>
    </row>
    <row r="6156" spans="1:28" x14ac:dyDescent="0.25">
      <c r="A6156" t="s">
        <v>6160</v>
      </c>
      <c r="B6156">
        <v>0.99352677808782597</v>
      </c>
      <c r="C6156">
        <v>0.99594892757560805</v>
      </c>
      <c r="D6156">
        <v>1.5000572834616599</v>
      </c>
      <c r="E6156">
        <v>0.92089952899952798</v>
      </c>
      <c r="F6156">
        <v>0.76726179166178798</v>
      </c>
      <c r="G6156">
        <v>0.47510150719351602</v>
      </c>
      <c r="H6156">
        <v>0.37372102426314302</v>
      </c>
      <c r="I6156">
        <v>0.32666546778299699</v>
      </c>
      <c r="J6156">
        <v>0.49512445925242998</v>
      </c>
      <c r="K6156">
        <v>0.31809249213263002</v>
      </c>
      <c r="L6156">
        <v>1845.2092075294299</v>
      </c>
      <c r="M6156">
        <v>34.2819264825403</v>
      </c>
      <c r="N6156">
        <v>56.134752202479397</v>
      </c>
      <c r="O6156">
        <v>53.642387294175101</v>
      </c>
      <c r="P6156">
        <v>-9.9372504416862101E-2</v>
      </c>
      <c r="Q6156">
        <v>0.378032859094244</v>
      </c>
      <c r="R6156">
        <v>0.79690210593375399</v>
      </c>
      <c r="S6156" t="s">
        <v>12441</v>
      </c>
      <c r="T6156" t="s">
        <v>12568</v>
      </c>
      <c r="U6156" t="s">
        <v>12568</v>
      </c>
      <c r="V6156" t="s">
        <v>12568</v>
      </c>
      <c r="W6156" t="s">
        <v>18671</v>
      </c>
      <c r="X6156">
        <v>3</v>
      </c>
      <c r="Y6156" t="s">
        <v>24746</v>
      </c>
      <c r="Z6156" t="s">
        <v>31026</v>
      </c>
      <c r="AA6156">
        <v>0.66778661117696303</v>
      </c>
      <c r="AB6156" t="str">
        <f>HYPERLINK("Melting_Curves/meltCurve_Q9Y3U8_RPL36.pdf", "Melting_Curves/meltCurve_Q9Y3U8_RPL36.pdf")</f>
        <v>Melting_Curves/meltCurve_Q9Y3U8_RPL36.pdf</v>
      </c>
    </row>
    <row r="6157" spans="1:28" x14ac:dyDescent="0.25">
      <c r="A6157" t="s">
        <v>6161</v>
      </c>
      <c r="B6157">
        <v>0.99352677808782597</v>
      </c>
      <c r="C6157">
        <v>0.88625246209530295</v>
      </c>
      <c r="D6157">
        <v>1.01365204717011</v>
      </c>
      <c r="E6157">
        <v>0.57343600446026599</v>
      </c>
      <c r="F6157">
        <v>0.59990670823412096</v>
      </c>
      <c r="G6157">
        <v>0.29356516260362697</v>
      </c>
      <c r="H6157">
        <v>0.22410369072848901</v>
      </c>
      <c r="I6157">
        <v>0.21424044015281801</v>
      </c>
      <c r="J6157">
        <v>0.16190749009637501</v>
      </c>
      <c r="K6157">
        <v>0.155815848371952</v>
      </c>
      <c r="L6157">
        <v>768.43002163126198</v>
      </c>
      <c r="M6157">
        <v>14.779263298861199</v>
      </c>
      <c r="N6157">
        <v>53.1870342914643</v>
      </c>
      <c r="O6157">
        <v>51.069722078514999</v>
      </c>
      <c r="P6157">
        <v>-6.2146730636221503E-2</v>
      </c>
      <c r="Q6157">
        <v>0.14110022259843399</v>
      </c>
      <c r="R6157">
        <v>0.95903400532413596</v>
      </c>
      <c r="S6157" t="s">
        <v>12442</v>
      </c>
      <c r="T6157" t="s">
        <v>12568</v>
      </c>
      <c r="U6157" t="s">
        <v>12568</v>
      </c>
      <c r="V6157" t="s">
        <v>12568</v>
      </c>
      <c r="W6157" t="s">
        <v>18672</v>
      </c>
      <c r="X6157">
        <v>1</v>
      </c>
      <c r="Y6157" t="s">
        <v>24747</v>
      </c>
      <c r="Z6157" t="s">
        <v>31027</v>
      </c>
      <c r="AA6157">
        <v>0.50412680854071534</v>
      </c>
      <c r="AB6157" t="str">
        <f>HYPERLINK("Melting_Curves/meltCurve_Q9Y3V2_RWDD3.pdf", "Melting_Curves/meltCurve_Q9Y3V2_RWDD3.pdf")</f>
        <v>Melting_Curves/meltCurve_Q9Y3V2_RWDD3.pdf</v>
      </c>
    </row>
    <row r="6158" spans="1:28" x14ac:dyDescent="0.25">
      <c r="A6158" t="s">
        <v>6162</v>
      </c>
      <c r="B6158">
        <v>0.99352677808782597</v>
      </c>
      <c r="C6158">
        <v>0.95013934391629595</v>
      </c>
      <c r="D6158">
        <v>0.96571142192898196</v>
      </c>
      <c r="E6158">
        <v>0.94562113411794302</v>
      </c>
      <c r="F6158">
        <v>0.86915135452941905</v>
      </c>
      <c r="G6158">
        <v>0.78079559395569798</v>
      </c>
      <c r="H6158">
        <v>0.74968577481120802</v>
      </c>
      <c r="I6158">
        <v>0.81297449609968198</v>
      </c>
      <c r="J6158">
        <v>0.83579406900759801</v>
      </c>
      <c r="K6158">
        <v>0.70751040376798502</v>
      </c>
      <c r="L6158">
        <v>1190.61763239586</v>
      </c>
      <c r="M6158">
        <v>22.865295190619499</v>
      </c>
      <c r="O6158">
        <v>51.6775757103701</v>
      </c>
      <c r="P6158">
        <v>-2.53675997635734E-2</v>
      </c>
      <c r="Q6158">
        <v>0.77067239468003201</v>
      </c>
      <c r="R6158">
        <v>0.84434194398512596</v>
      </c>
      <c r="S6158" t="s">
        <v>12443</v>
      </c>
      <c r="T6158" t="s">
        <v>12568</v>
      </c>
      <c r="U6158" t="s">
        <v>12568</v>
      </c>
      <c r="V6158" t="s">
        <v>12568</v>
      </c>
      <c r="W6158" t="s">
        <v>18673</v>
      </c>
      <c r="X6158">
        <v>18</v>
      </c>
      <c r="Y6158" t="s">
        <v>24748</v>
      </c>
      <c r="Z6158" t="s">
        <v>31028</v>
      </c>
      <c r="AA6158">
        <v>0.86542789980869217</v>
      </c>
      <c r="AB6158" t="str">
        <f>HYPERLINK("Melting_Curves/meltCurve_Q9Y3X0_CCDC9.pdf", "Melting_Curves/meltCurve_Q9Y3X0_CCDC9.pdf")</f>
        <v>Melting_Curves/meltCurve_Q9Y3X0_CCDC9.pdf</v>
      </c>
    </row>
    <row r="6159" spans="1:28" x14ac:dyDescent="0.25">
      <c r="A6159" t="s">
        <v>6163</v>
      </c>
      <c r="B6159">
        <v>0.99352677808782597</v>
      </c>
      <c r="C6159">
        <v>0.91375114634163901</v>
      </c>
      <c r="D6159">
        <v>0.75581373940847296</v>
      </c>
      <c r="E6159">
        <v>0.55826591751294297</v>
      </c>
      <c r="F6159">
        <v>0.46044380688916497</v>
      </c>
      <c r="G6159">
        <v>0.33919347590217003</v>
      </c>
      <c r="H6159">
        <v>0.27026931315150898</v>
      </c>
      <c r="I6159">
        <v>0.17146253468866399</v>
      </c>
      <c r="J6159">
        <v>0.10081414958217599</v>
      </c>
      <c r="K6159">
        <v>7.8584533401509796E-2</v>
      </c>
      <c r="L6159">
        <v>479.61113899754298</v>
      </c>
      <c r="M6159">
        <v>9.2056185159786708</v>
      </c>
      <c r="N6159">
        <v>52.2552806304681</v>
      </c>
      <c r="O6159">
        <v>49.818119503851399</v>
      </c>
      <c r="P6159">
        <v>-4.5602521563902397E-2</v>
      </c>
      <c r="Q6159">
        <v>1.3507512850994699E-2</v>
      </c>
      <c r="R6159">
        <v>0.98974011130827899</v>
      </c>
      <c r="S6159" t="s">
        <v>12444</v>
      </c>
      <c r="T6159" t="s">
        <v>12568</v>
      </c>
      <c r="U6159" t="s">
        <v>12568</v>
      </c>
      <c r="V6159" t="s">
        <v>12568</v>
      </c>
      <c r="W6159" t="s">
        <v>18674</v>
      </c>
      <c r="X6159">
        <v>17</v>
      </c>
      <c r="Y6159" t="s">
        <v>24749</v>
      </c>
      <c r="Z6159" t="s">
        <v>31029</v>
      </c>
      <c r="AA6159">
        <v>0.45175266887101528</v>
      </c>
      <c r="AB6159" t="str">
        <f>HYPERLINK("Melting_Curves/meltCurve_Q9Y3Z3_SAMHD1.pdf", "Melting_Curves/meltCurve_Q9Y3Z3_SAMHD1.pdf")</f>
        <v>Melting_Curves/meltCurve_Q9Y3Z3_SAMHD1.pdf</v>
      </c>
    </row>
    <row r="6160" spans="1:28" x14ac:dyDescent="0.25">
      <c r="A6160" t="s">
        <v>6164</v>
      </c>
      <c r="B6160">
        <v>0.99352677808782597</v>
      </c>
      <c r="C6160">
        <v>0.95782412872773304</v>
      </c>
      <c r="D6160">
        <v>0.972131301544228</v>
      </c>
      <c r="E6160">
        <v>0.820483606025881</v>
      </c>
      <c r="F6160">
        <v>0.74400132028077304</v>
      </c>
      <c r="G6160">
        <v>0.48538230451242798</v>
      </c>
      <c r="H6160">
        <v>0.37404528998337</v>
      </c>
      <c r="I6160">
        <v>0.34353478452541197</v>
      </c>
      <c r="J6160">
        <v>0.43099027224366099</v>
      </c>
      <c r="K6160">
        <v>0.29653351026063002</v>
      </c>
      <c r="L6160">
        <v>943.07574639194604</v>
      </c>
      <c r="M6160">
        <v>17.577093048627901</v>
      </c>
      <c r="N6160">
        <v>57.091713010765503</v>
      </c>
      <c r="O6160">
        <v>52.973658452869799</v>
      </c>
      <c r="P6160">
        <v>-5.5870478689266298E-2</v>
      </c>
      <c r="Q6160">
        <v>0.32650904661574498</v>
      </c>
      <c r="R6160">
        <v>0.97993606283370804</v>
      </c>
      <c r="S6160" t="s">
        <v>12445</v>
      </c>
      <c r="T6160" t="s">
        <v>12568</v>
      </c>
      <c r="U6160" t="s">
        <v>12568</v>
      </c>
      <c r="V6160" t="s">
        <v>12568</v>
      </c>
      <c r="W6160" t="s">
        <v>18675</v>
      </c>
      <c r="X6160">
        <v>2</v>
      </c>
      <c r="Y6160" t="s">
        <v>24750</v>
      </c>
      <c r="Z6160" t="s">
        <v>31030</v>
      </c>
      <c r="AA6160">
        <v>0.64430130003369401</v>
      </c>
      <c r="AB6160" t="str">
        <f>HYPERLINK("Melting_Curves/meltCurve_Q9Y421_FAM32A.pdf", "Melting_Curves/meltCurve_Q9Y421_FAM32A.pdf")</f>
        <v>Melting_Curves/meltCurve_Q9Y421_FAM32A.pdf</v>
      </c>
    </row>
    <row r="6161" spans="1:28" x14ac:dyDescent="0.25">
      <c r="A6161" t="s">
        <v>6165</v>
      </c>
      <c r="B6161">
        <v>0.99352677808782597</v>
      </c>
      <c r="C6161">
        <v>0.88808743263461998</v>
      </c>
      <c r="D6161">
        <v>0.91994043793300595</v>
      </c>
      <c r="E6161">
        <v>0.67193575354095003</v>
      </c>
      <c r="F6161">
        <v>0.62816935725632705</v>
      </c>
      <c r="G6161">
        <v>0.57433348092793901</v>
      </c>
      <c r="H6161">
        <v>0.51335785876482898</v>
      </c>
      <c r="I6161">
        <v>0.59070674266039802</v>
      </c>
      <c r="J6161">
        <v>0.51342057878476699</v>
      </c>
      <c r="K6161">
        <v>0.48869459252343</v>
      </c>
      <c r="L6161">
        <v>752.07073866713097</v>
      </c>
      <c r="M6161">
        <v>15.453766897879801</v>
      </c>
      <c r="O6161">
        <v>47.872768993797202</v>
      </c>
      <c r="P6161">
        <v>-3.9011989907504901E-2</v>
      </c>
      <c r="Q6161">
        <v>0.51663695996133197</v>
      </c>
      <c r="R6161">
        <v>0.95451977244780495</v>
      </c>
      <c r="S6161" t="s">
        <v>12446</v>
      </c>
      <c r="T6161" t="s">
        <v>12568</v>
      </c>
      <c r="U6161" t="s">
        <v>12568</v>
      </c>
      <c r="V6161" t="s">
        <v>12568</v>
      </c>
      <c r="W6161" t="s">
        <v>18676</v>
      </c>
      <c r="X6161">
        <v>10</v>
      </c>
      <c r="Y6161" t="s">
        <v>24751</v>
      </c>
      <c r="Z6161" t="s">
        <v>31031</v>
      </c>
      <c r="AA6161">
        <v>0.6676722093517341</v>
      </c>
      <c r="AB6161" t="str">
        <f>HYPERLINK("Melting_Curves/meltCurve_Q9Y446_PKP3.pdf", "Melting_Curves/meltCurve_Q9Y446_PKP3.pdf")</f>
        <v>Melting_Curves/meltCurve_Q9Y446_PKP3.pdf</v>
      </c>
    </row>
    <row r="6162" spans="1:28" x14ac:dyDescent="0.25">
      <c r="A6162" t="s">
        <v>6166</v>
      </c>
      <c r="B6162">
        <v>0.99352677808782597</v>
      </c>
      <c r="C6162">
        <v>0.95988438420111499</v>
      </c>
      <c r="D6162">
        <v>0.92938698265544695</v>
      </c>
      <c r="E6162">
        <v>0.86446447582656505</v>
      </c>
      <c r="F6162">
        <v>0.76856614787729205</v>
      </c>
      <c r="G6162">
        <v>0.72386208276703201</v>
      </c>
      <c r="H6162">
        <v>0.62938312125860396</v>
      </c>
      <c r="I6162">
        <v>0.64322901318910597</v>
      </c>
      <c r="J6162">
        <v>0.58653873629064601</v>
      </c>
      <c r="K6162">
        <v>0.54476384897882002</v>
      </c>
      <c r="L6162">
        <v>482.366707202881</v>
      </c>
      <c r="M6162">
        <v>8.7327534056256102</v>
      </c>
      <c r="O6162">
        <v>52.569523710808198</v>
      </c>
      <c r="P6162">
        <v>-2.1069314755830199E-2</v>
      </c>
      <c r="Q6162">
        <v>0.49307963489742601</v>
      </c>
      <c r="R6162">
        <v>0.989055119660469</v>
      </c>
      <c r="S6162" t="s">
        <v>12447</v>
      </c>
      <c r="T6162" t="s">
        <v>12568</v>
      </c>
      <c r="U6162" t="s">
        <v>12568</v>
      </c>
      <c r="V6162" t="s">
        <v>12568</v>
      </c>
      <c r="W6162" t="s">
        <v>18677</v>
      </c>
      <c r="X6162">
        <v>7</v>
      </c>
      <c r="Y6162" t="s">
        <v>24752</v>
      </c>
      <c r="Z6162" t="s">
        <v>31032</v>
      </c>
      <c r="AA6162">
        <v>0.7634333232012771</v>
      </c>
      <c r="AB6162" t="str">
        <f>HYPERLINK("Melting_Curves/meltCurve_Q9Y448_KNSTRN.pdf", "Melting_Curves/meltCurve_Q9Y448_KNSTRN.pdf")</f>
        <v>Melting_Curves/meltCurve_Q9Y448_KNSTRN.pdf</v>
      </c>
    </row>
    <row r="6163" spans="1:28" x14ac:dyDescent="0.25">
      <c r="A6163" t="s">
        <v>6167</v>
      </c>
      <c r="B6163">
        <v>0.99352677808782597</v>
      </c>
      <c r="C6163">
        <v>0.95732993629834995</v>
      </c>
      <c r="D6163">
        <v>0.88760527809950096</v>
      </c>
      <c r="E6163">
        <v>0.483130800564461</v>
      </c>
      <c r="F6163">
        <v>0.40798022375655402</v>
      </c>
      <c r="G6163">
        <v>0.33472350192503503</v>
      </c>
      <c r="H6163">
        <v>0.26705482760864901</v>
      </c>
      <c r="I6163">
        <v>0.30082107455416102</v>
      </c>
      <c r="J6163">
        <v>0.26176206858683398</v>
      </c>
      <c r="K6163">
        <v>0.23860140583939199</v>
      </c>
      <c r="L6163">
        <v>1158.28164615836</v>
      </c>
      <c r="M6163">
        <v>23.797117506203101</v>
      </c>
      <c r="N6163">
        <v>50.378547532231302</v>
      </c>
      <c r="O6163">
        <v>48.333365238806202</v>
      </c>
      <c r="P6163">
        <v>-8.9046133544210496E-2</v>
      </c>
      <c r="Q6163">
        <v>0.27657945334619699</v>
      </c>
      <c r="R6163">
        <v>0.98983515811136602</v>
      </c>
      <c r="S6163" t="s">
        <v>12448</v>
      </c>
      <c r="T6163" t="s">
        <v>12568</v>
      </c>
      <c r="U6163" t="s">
        <v>12568</v>
      </c>
      <c r="V6163" t="s">
        <v>12568</v>
      </c>
      <c r="W6163" t="s">
        <v>18678</v>
      </c>
      <c r="X6163">
        <v>12</v>
      </c>
      <c r="Y6163" t="s">
        <v>24753</v>
      </c>
      <c r="Z6163" t="s">
        <v>31033</v>
      </c>
      <c r="AA6163">
        <v>0.49281551521101591</v>
      </c>
      <c r="AB6163" t="str">
        <f>HYPERLINK("Melting_Curves/meltCurve_Q9Y450_4_HBS1L.pdf", "Melting_Curves/meltCurve_Q9Y450_4_HBS1L.pdf")</f>
        <v>Melting_Curves/meltCurve_Q9Y450_4_HBS1L.pdf</v>
      </c>
    </row>
    <row r="6164" spans="1:28" x14ac:dyDescent="0.25">
      <c r="A6164" t="s">
        <v>6168</v>
      </c>
      <c r="B6164">
        <v>0.99352677808782597</v>
      </c>
      <c r="C6164">
        <v>1.0243357651379601</v>
      </c>
      <c r="D6164">
        <v>0.902532132715129</v>
      </c>
      <c r="E6164">
        <v>0.42627940902734202</v>
      </c>
      <c r="F6164">
        <v>0.33752762028876798</v>
      </c>
      <c r="G6164">
        <v>0.19741846046556299</v>
      </c>
      <c r="H6164">
        <v>0.10796258030731599</v>
      </c>
      <c r="I6164">
        <v>9.3725840331524396E-2</v>
      </c>
      <c r="J6164">
        <v>7.9358214892576301E-2</v>
      </c>
      <c r="K6164">
        <v>6.1929615565855897E-2</v>
      </c>
      <c r="L6164">
        <v>1058.93810100223</v>
      </c>
      <c r="M6164">
        <v>21.350266420548301</v>
      </c>
      <c r="N6164">
        <v>50.084709193370401</v>
      </c>
      <c r="O6164">
        <v>49.169380856742201</v>
      </c>
      <c r="P6164">
        <v>-9.8394097014837395E-2</v>
      </c>
      <c r="Q6164">
        <v>9.3621524893241298E-2</v>
      </c>
      <c r="R6164">
        <v>0.98632324640633595</v>
      </c>
      <c r="S6164" t="s">
        <v>12449</v>
      </c>
      <c r="T6164" t="s">
        <v>12568</v>
      </c>
      <c r="U6164" t="s">
        <v>12568</v>
      </c>
      <c r="V6164" t="s">
        <v>12568</v>
      </c>
      <c r="W6164" t="s">
        <v>18679</v>
      </c>
      <c r="X6164">
        <v>127</v>
      </c>
      <c r="Y6164" t="s">
        <v>24754</v>
      </c>
      <c r="Z6164" t="s">
        <v>31034</v>
      </c>
      <c r="AA6164">
        <v>0.39471039822099729</v>
      </c>
      <c r="AB6164" t="str">
        <f>HYPERLINK("Melting_Curves/meltCurve_Q9Y490_TLN1.pdf", "Melting_Curves/meltCurve_Q9Y490_TLN1.pdf")</f>
        <v>Melting_Curves/meltCurve_Q9Y490_TLN1.pdf</v>
      </c>
    </row>
    <row r="6165" spans="1:28" x14ac:dyDescent="0.25">
      <c r="A6165" t="s">
        <v>6169</v>
      </c>
      <c r="B6165">
        <v>0.99352677808782597</v>
      </c>
      <c r="C6165">
        <v>0.89121477151800399</v>
      </c>
      <c r="D6165">
        <v>0.68618240882119996</v>
      </c>
      <c r="E6165">
        <v>0.33214921461299901</v>
      </c>
      <c r="F6165">
        <v>0.27767484371044299</v>
      </c>
      <c r="G6165">
        <v>0.184346745459079</v>
      </c>
      <c r="H6165">
        <v>0.12722444805674801</v>
      </c>
      <c r="I6165">
        <v>0.13213267260224901</v>
      </c>
      <c r="J6165">
        <v>0.10077939803870201</v>
      </c>
      <c r="K6165">
        <v>9.1978562714107107E-2</v>
      </c>
      <c r="L6165">
        <v>840.70602677021998</v>
      </c>
      <c r="M6165">
        <v>17.693548328370198</v>
      </c>
      <c r="N6165">
        <v>48.214765473846803</v>
      </c>
      <c r="O6165">
        <v>46.920379148037199</v>
      </c>
      <c r="P6165">
        <v>-8.3601139810379796E-2</v>
      </c>
      <c r="Q6165">
        <v>0.11326139431148299</v>
      </c>
      <c r="R6165">
        <v>0.99455007050238597</v>
      </c>
      <c r="S6165" t="s">
        <v>12450</v>
      </c>
      <c r="T6165" t="s">
        <v>12568</v>
      </c>
      <c r="U6165" t="s">
        <v>12568</v>
      </c>
      <c r="V6165" t="s">
        <v>12568</v>
      </c>
      <c r="W6165" t="s">
        <v>18680</v>
      </c>
      <c r="X6165">
        <v>10</v>
      </c>
      <c r="Y6165" t="s">
        <v>24755</v>
      </c>
      <c r="Z6165" t="s">
        <v>31035</v>
      </c>
      <c r="AA6165">
        <v>0.35197672197869972</v>
      </c>
      <c r="AB6165" t="str">
        <f>HYPERLINK("Melting_Curves/meltCurve_Q9Y496_KIF3A.pdf", "Melting_Curves/meltCurve_Q9Y496_KIF3A.pdf")</f>
        <v>Melting_Curves/meltCurve_Q9Y496_KIF3A.pdf</v>
      </c>
    </row>
    <row r="6166" spans="1:28" x14ac:dyDescent="0.25">
      <c r="A6166" t="s">
        <v>6170</v>
      </c>
      <c r="B6166">
        <v>0.99352677808782597</v>
      </c>
      <c r="C6166">
        <v>2.4838825512638701E-2</v>
      </c>
      <c r="D6166">
        <v>0.98717199372582898</v>
      </c>
      <c r="E6166">
        <v>0.81949336353390301</v>
      </c>
      <c r="F6166">
        <v>0.78486031628367203</v>
      </c>
      <c r="G6166">
        <v>0.394471607315109</v>
      </c>
      <c r="H6166">
        <v>0.23532647487167899</v>
      </c>
      <c r="I6166">
        <v>0.213041694221379</v>
      </c>
      <c r="J6166">
        <v>0.22634651179274001</v>
      </c>
      <c r="K6166">
        <v>0.20993336807017801</v>
      </c>
      <c r="L6166">
        <v>262.384829659996</v>
      </c>
      <c r="M6166">
        <v>4.8856856090827803</v>
      </c>
      <c r="N6166">
        <v>53.704812488830697</v>
      </c>
      <c r="O6166">
        <v>46.6153365486974</v>
      </c>
      <c r="P6166">
        <v>-2.6375900869353399E-2</v>
      </c>
      <c r="Q6166">
        <v>0</v>
      </c>
      <c r="R6166">
        <v>0.31901471340367099</v>
      </c>
      <c r="S6166" t="s">
        <v>12451</v>
      </c>
      <c r="T6166" t="s">
        <v>12568</v>
      </c>
      <c r="U6166" t="s">
        <v>12568</v>
      </c>
      <c r="V6166" t="s">
        <v>12568</v>
      </c>
      <c r="W6166" t="s">
        <v>18681</v>
      </c>
      <c r="X6166">
        <v>2</v>
      </c>
      <c r="Y6166" t="s">
        <v>24756</v>
      </c>
      <c r="Z6166" t="s">
        <v>31036</v>
      </c>
      <c r="AA6166">
        <v>0.4987641800744384</v>
      </c>
      <c r="AB6166" t="str">
        <f>HYPERLINK("Melting_Curves/meltCurve_Q9Y4B4_RAD54L2.pdf", "Melting_Curves/meltCurve_Q9Y4B4_RAD54L2.pdf")</f>
        <v>Melting_Curves/meltCurve_Q9Y4B4_RAD54L2.pdf</v>
      </c>
    </row>
    <row r="6167" spans="1:28" x14ac:dyDescent="0.25">
      <c r="A6167" t="s">
        <v>6171</v>
      </c>
      <c r="B6167">
        <v>0.99352677808782597</v>
      </c>
      <c r="C6167">
        <v>0.94420795535516699</v>
      </c>
      <c r="D6167">
        <v>0.92408382070366102</v>
      </c>
      <c r="E6167">
        <v>0.79442989894468896</v>
      </c>
      <c r="F6167">
        <v>0.69980343962115199</v>
      </c>
      <c r="G6167">
        <v>0.56340217001486104</v>
      </c>
      <c r="H6167">
        <v>0.50616353459005903</v>
      </c>
      <c r="I6167">
        <v>0.52929898720838198</v>
      </c>
      <c r="J6167">
        <v>0.55632780492199896</v>
      </c>
      <c r="K6167">
        <v>0.47420854057267903</v>
      </c>
      <c r="L6167">
        <v>767.28357711806598</v>
      </c>
      <c r="M6167">
        <v>14.989368202825901</v>
      </c>
      <c r="O6167">
        <v>50.303359039103398</v>
      </c>
      <c r="P6167">
        <v>-3.7768063573955998E-2</v>
      </c>
      <c r="Q6167">
        <v>0.49306255444626701</v>
      </c>
      <c r="R6167">
        <v>0.98427034092856402</v>
      </c>
      <c r="S6167" t="s">
        <v>12452</v>
      </c>
      <c r="T6167" t="s">
        <v>12568</v>
      </c>
      <c r="U6167" t="s">
        <v>12568</v>
      </c>
      <c r="V6167" t="s">
        <v>12568</v>
      </c>
      <c r="W6167" t="s">
        <v>18682</v>
      </c>
      <c r="X6167">
        <v>40</v>
      </c>
      <c r="Y6167" t="s">
        <v>24757</v>
      </c>
      <c r="Z6167" t="s">
        <v>31037</v>
      </c>
      <c r="AA6167">
        <v>0.69378150292502572</v>
      </c>
      <c r="AB6167" t="str">
        <f>HYPERLINK("Melting_Curves/meltCurve_Q9Y4B5_SOGA2.pdf", "Melting_Curves/meltCurve_Q9Y4B5_SOGA2.pdf")</f>
        <v>Melting_Curves/meltCurve_Q9Y4B5_SOGA2.pdf</v>
      </c>
    </row>
    <row r="6168" spans="1:28" x14ac:dyDescent="0.25">
      <c r="A6168" t="s">
        <v>6172</v>
      </c>
      <c r="B6168">
        <v>0.99352677808782597</v>
      </c>
      <c r="C6168">
        <v>0.97275957494519605</v>
      </c>
      <c r="D6168">
        <v>0.88397468811467295</v>
      </c>
      <c r="E6168">
        <v>0.69547459693898295</v>
      </c>
      <c r="F6168">
        <v>0.57960029133612601</v>
      </c>
      <c r="G6168">
        <v>0.34067337756662702</v>
      </c>
      <c r="H6168">
        <v>0.21621483484891901</v>
      </c>
      <c r="I6168">
        <v>0.17908318524197001</v>
      </c>
      <c r="J6168">
        <v>0.16672886634519801</v>
      </c>
      <c r="K6168">
        <v>0.12358674601752</v>
      </c>
      <c r="L6168">
        <v>695.82920874952003</v>
      </c>
      <c r="M6168">
        <v>13.1284297437955</v>
      </c>
      <c r="N6168">
        <v>53.851815581933899</v>
      </c>
      <c r="O6168">
        <v>51.817208796083499</v>
      </c>
      <c r="P6168">
        <v>-5.7421859671592697E-2</v>
      </c>
      <c r="Q6168">
        <v>9.3590107539679002E-2</v>
      </c>
      <c r="R6168">
        <v>0.99778348283231399</v>
      </c>
      <c r="S6168" t="s">
        <v>12453</v>
      </c>
      <c r="T6168" t="s">
        <v>12568</v>
      </c>
      <c r="U6168" t="s">
        <v>12568</v>
      </c>
      <c r="V6168" t="s">
        <v>12568</v>
      </c>
      <c r="W6168" t="s">
        <v>18683</v>
      </c>
      <c r="X6168">
        <v>11</v>
      </c>
      <c r="Y6168" t="s">
        <v>24758</v>
      </c>
      <c r="Z6168" t="s">
        <v>31038</v>
      </c>
      <c r="AA6168">
        <v>0.50964279762117637</v>
      </c>
      <c r="AB6168" t="str">
        <f>HYPERLINK("Melting_Curves/meltCurve_Q9Y4B6_2_VPRBP.pdf", "Melting_Curves/meltCurve_Q9Y4B6_2_VPRBP.pdf")</f>
        <v>Melting_Curves/meltCurve_Q9Y4B6_2_VPRBP.pdf</v>
      </c>
    </row>
    <row r="6169" spans="1:28" x14ac:dyDescent="0.25">
      <c r="A6169" t="s">
        <v>6173</v>
      </c>
      <c r="B6169">
        <v>0.99352677808782597</v>
      </c>
      <c r="C6169">
        <v>0.90798969760091797</v>
      </c>
      <c r="D6169">
        <v>0.94183752504071505</v>
      </c>
      <c r="E6169">
        <v>0.36346945881843101</v>
      </c>
      <c r="F6169">
        <v>0.29852532926173198</v>
      </c>
      <c r="G6169">
        <v>0.19974493419776901</v>
      </c>
      <c r="H6169">
        <v>0.153916522959435</v>
      </c>
      <c r="I6169">
        <v>0.15860018029399001</v>
      </c>
      <c r="J6169">
        <v>0.13808979504121</v>
      </c>
      <c r="K6169">
        <v>0.11826039167329599</v>
      </c>
      <c r="L6169">
        <v>1612.31250381821</v>
      </c>
      <c r="M6169">
        <v>33.118391539459097</v>
      </c>
      <c r="N6169">
        <v>49.266888988458199</v>
      </c>
      <c r="O6169">
        <v>48.506815223263203</v>
      </c>
      <c r="P6169">
        <v>-0.14299548109226001</v>
      </c>
      <c r="Q6169">
        <v>0.162250793684031</v>
      </c>
      <c r="R6169">
        <v>0.98209204308661802</v>
      </c>
      <c r="S6169" t="s">
        <v>12454</v>
      </c>
      <c r="T6169" t="s">
        <v>12568</v>
      </c>
      <c r="U6169" t="s">
        <v>12568</v>
      </c>
      <c r="V6169" t="s">
        <v>12568</v>
      </c>
      <c r="W6169" t="s">
        <v>18684</v>
      </c>
      <c r="X6169">
        <v>12</v>
      </c>
      <c r="Y6169" t="s">
        <v>24759</v>
      </c>
      <c r="Z6169" t="s">
        <v>31039</v>
      </c>
      <c r="AA6169">
        <v>0.40887827404005811</v>
      </c>
      <c r="AB6169" t="str">
        <f>HYPERLINK("Melting_Curves/meltCurve_Q9Y4C1_KDM3A.pdf", "Melting_Curves/meltCurve_Q9Y4C1_KDM3A.pdf")</f>
        <v>Melting_Curves/meltCurve_Q9Y4C1_KDM3A.pdf</v>
      </c>
    </row>
    <row r="6170" spans="1:28" x14ac:dyDescent="0.25">
      <c r="A6170" t="s">
        <v>6174</v>
      </c>
      <c r="B6170">
        <v>0.99352677808782597</v>
      </c>
      <c r="C6170">
        <v>0.80057850883149795</v>
      </c>
      <c r="D6170">
        <v>0.52778798602049903</v>
      </c>
      <c r="E6170">
        <v>0.274843390465625</v>
      </c>
      <c r="F6170">
        <v>0.22784554024433401</v>
      </c>
      <c r="G6170">
        <v>0.131860386417852</v>
      </c>
      <c r="H6170">
        <v>0.10034030364963201</v>
      </c>
      <c r="I6170">
        <v>8.6630351266787295E-2</v>
      </c>
      <c r="J6170">
        <v>8.5000599702740098E-2</v>
      </c>
      <c r="K6170">
        <v>6.4531083809663603E-2</v>
      </c>
      <c r="L6170">
        <v>782.96075122814204</v>
      </c>
      <c r="M6170">
        <v>16.9665614916854</v>
      </c>
      <c r="N6170">
        <v>46.670730090985401</v>
      </c>
      <c r="O6170">
        <v>45.520513804958298</v>
      </c>
      <c r="P6170">
        <v>-8.5112861037366705E-2</v>
      </c>
      <c r="Q6170">
        <v>8.6641129589680496E-2</v>
      </c>
      <c r="R6170">
        <v>0.99269430356197397</v>
      </c>
      <c r="S6170" t="s">
        <v>12455</v>
      </c>
      <c r="T6170" t="s">
        <v>12568</v>
      </c>
      <c r="U6170" t="s">
        <v>12568</v>
      </c>
      <c r="V6170" t="s">
        <v>12568</v>
      </c>
      <c r="W6170" t="s">
        <v>18685</v>
      </c>
      <c r="X6170">
        <v>9</v>
      </c>
      <c r="Y6170" t="s">
        <v>24760</v>
      </c>
      <c r="Z6170" t="s">
        <v>31040</v>
      </c>
      <c r="AA6170">
        <v>0.29401780048002618</v>
      </c>
      <c r="AB6170" t="str">
        <f>HYPERLINK("Melting_Curves/meltCurve_Q9Y4C2_2_FAM115A.pdf", "Melting_Curves/meltCurve_Q9Y4C2_2_FAM115A.pdf")</f>
        <v>Melting_Curves/meltCurve_Q9Y4C2_2_FAM115A.pdf</v>
      </c>
    </row>
    <row r="6171" spans="1:28" x14ac:dyDescent="0.25">
      <c r="A6171" t="s">
        <v>6175</v>
      </c>
      <c r="B6171">
        <v>0.99352677808782597</v>
      </c>
      <c r="C6171">
        <v>1.0057734634076601</v>
      </c>
      <c r="D6171">
        <v>0.88689059563938699</v>
      </c>
      <c r="E6171">
        <v>0.63670677051295799</v>
      </c>
      <c r="F6171">
        <v>0.52318302060666899</v>
      </c>
      <c r="G6171">
        <v>0.27705026246593101</v>
      </c>
      <c r="H6171">
        <v>0.163801636705667</v>
      </c>
      <c r="I6171">
        <v>0.15371403540882</v>
      </c>
      <c r="J6171">
        <v>9.5013207469007502E-2</v>
      </c>
      <c r="K6171">
        <v>5.23991537841638E-2</v>
      </c>
      <c r="L6171">
        <v>723.21872875667304</v>
      </c>
      <c r="M6171">
        <v>13.781007817587099</v>
      </c>
      <c r="N6171">
        <v>52.8658246773294</v>
      </c>
      <c r="O6171">
        <v>51.411358156391401</v>
      </c>
      <c r="P6171">
        <v>-6.3811457159779095E-2</v>
      </c>
      <c r="Q6171">
        <v>4.7915191914049901E-2</v>
      </c>
      <c r="R6171">
        <v>0.99461904545781898</v>
      </c>
      <c r="S6171" t="s">
        <v>12456</v>
      </c>
      <c r="T6171" t="s">
        <v>12568</v>
      </c>
      <c r="U6171" t="s">
        <v>12568</v>
      </c>
      <c r="V6171" t="s">
        <v>12568</v>
      </c>
      <c r="W6171" t="s">
        <v>18686</v>
      </c>
      <c r="X6171">
        <v>3</v>
      </c>
      <c r="Y6171" t="s">
        <v>24761</v>
      </c>
      <c r="Z6171" t="s">
        <v>31041</v>
      </c>
      <c r="AA6171">
        <v>0.46754871452089197</v>
      </c>
      <c r="AB6171" t="str">
        <f>HYPERLINK("Melting_Curves/meltCurve_Q9Y4C4_MFHAS1.pdf", "Melting_Curves/meltCurve_Q9Y4C4_MFHAS1.pdf")</f>
        <v>Melting_Curves/meltCurve_Q9Y4C4_MFHAS1.pdf</v>
      </c>
    </row>
    <row r="6172" spans="1:28" x14ac:dyDescent="0.25">
      <c r="A6172" t="s">
        <v>6176</v>
      </c>
      <c r="B6172">
        <v>0.99352677808782597</v>
      </c>
      <c r="C6172">
        <v>0.97974720864196496</v>
      </c>
      <c r="D6172">
        <v>0.90891651445441801</v>
      </c>
      <c r="E6172">
        <v>1.04255734134752</v>
      </c>
      <c r="F6172">
        <v>0.94304413749091698</v>
      </c>
      <c r="G6172">
        <v>0.73099696708238904</v>
      </c>
      <c r="H6172">
        <v>0.80711256251840802</v>
      </c>
      <c r="I6172">
        <v>0.744342793809883</v>
      </c>
      <c r="J6172">
        <v>0.90088598214975601</v>
      </c>
      <c r="K6172">
        <v>0.69030238229597796</v>
      </c>
      <c r="L6172">
        <v>13307.4290383556</v>
      </c>
      <c r="M6172">
        <v>250</v>
      </c>
      <c r="O6172">
        <v>53.226309816555499</v>
      </c>
      <c r="P6172">
        <v>-0.26452127886892302</v>
      </c>
      <c r="Q6172">
        <v>0.77472813564004295</v>
      </c>
      <c r="R6172">
        <v>0.72449788316664498</v>
      </c>
      <c r="S6172" t="s">
        <v>12457</v>
      </c>
      <c r="T6172" t="s">
        <v>12568</v>
      </c>
      <c r="U6172" t="s">
        <v>12568</v>
      </c>
      <c r="V6172" t="s">
        <v>12568</v>
      </c>
      <c r="W6172" t="s">
        <v>18687</v>
      </c>
      <c r="X6172">
        <v>25</v>
      </c>
      <c r="Y6172" t="s">
        <v>24762</v>
      </c>
      <c r="Z6172" t="s">
        <v>31042</v>
      </c>
      <c r="AA6172">
        <v>0.87409194069580176</v>
      </c>
      <c r="AB6172" t="str">
        <f>HYPERLINK("Melting_Curves/meltCurve_Q9Y4E1_2_FAM21C.pdf", "Melting_Curves/meltCurve_Q9Y4E1_2_FAM21C.pdf")</f>
        <v>Melting_Curves/meltCurve_Q9Y4E1_2_FAM21C.pdf</v>
      </c>
    </row>
    <row r="6173" spans="1:28" x14ac:dyDescent="0.25">
      <c r="A6173" t="s">
        <v>6177</v>
      </c>
      <c r="B6173">
        <v>0.99352677808782597</v>
      </c>
      <c r="C6173">
        <v>1.17495362887913</v>
      </c>
      <c r="D6173">
        <v>1.05345146744277</v>
      </c>
      <c r="E6173">
        <v>0.64321482663808904</v>
      </c>
      <c r="F6173">
        <v>0.43866983297274198</v>
      </c>
      <c r="G6173">
        <v>0.241381031823139</v>
      </c>
      <c r="H6173">
        <v>0.16246646909828599</v>
      </c>
      <c r="I6173">
        <v>0.15614521899530101</v>
      </c>
      <c r="J6173">
        <v>8.4727670017277004E-2</v>
      </c>
      <c r="K6173">
        <v>5.3770280720418603E-2</v>
      </c>
      <c r="L6173">
        <v>1187.81274882259</v>
      </c>
      <c r="M6173">
        <v>23.021390705997199</v>
      </c>
      <c r="N6173">
        <v>52.1669771627611</v>
      </c>
      <c r="O6173">
        <v>51.211460631324599</v>
      </c>
      <c r="P6173">
        <v>-9.9870844128424202E-2</v>
      </c>
      <c r="Q6173">
        <v>0.111359276880795</v>
      </c>
      <c r="R6173">
        <v>0.96621550620225505</v>
      </c>
      <c r="S6173" t="s">
        <v>12458</v>
      </c>
      <c r="T6173" t="s">
        <v>12568</v>
      </c>
      <c r="U6173" t="s">
        <v>12568</v>
      </c>
      <c r="V6173" t="s">
        <v>12568</v>
      </c>
      <c r="W6173" t="s">
        <v>18688</v>
      </c>
      <c r="X6173">
        <v>1</v>
      </c>
      <c r="Y6173" t="s">
        <v>24763</v>
      </c>
      <c r="Z6173" t="s">
        <v>31043</v>
      </c>
      <c r="AA6173">
        <v>0.46431926193797951</v>
      </c>
      <c r="AB6173" t="str">
        <f>HYPERLINK("Melting_Curves/meltCurve_Q9Y4E6_2_WDR7.pdf", "Melting_Curves/meltCurve_Q9Y4E6_2_WDR7.pdf")</f>
        <v>Melting_Curves/meltCurve_Q9Y4E6_2_WDR7.pdf</v>
      </c>
    </row>
    <row r="6174" spans="1:28" x14ac:dyDescent="0.25">
      <c r="A6174" t="s">
        <v>6178</v>
      </c>
      <c r="B6174">
        <v>0.99352677808782597</v>
      </c>
      <c r="C6174">
        <v>0.98219222753567303</v>
      </c>
      <c r="D6174">
        <v>0.91474663361514896</v>
      </c>
      <c r="E6174">
        <v>0.47509478797839499</v>
      </c>
      <c r="F6174">
        <v>0.37917735528858698</v>
      </c>
      <c r="G6174">
        <v>0.214674259993579</v>
      </c>
      <c r="H6174">
        <v>0.129596590722663</v>
      </c>
      <c r="I6174">
        <v>0.107769710855613</v>
      </c>
      <c r="J6174">
        <v>9.7096147027253804E-2</v>
      </c>
      <c r="K6174">
        <v>6.8910502066581406E-2</v>
      </c>
      <c r="L6174">
        <v>936.68222004743905</v>
      </c>
      <c r="M6174">
        <v>18.6961722984076</v>
      </c>
      <c r="N6174">
        <v>50.670520292341102</v>
      </c>
      <c r="O6174">
        <v>49.537607777773601</v>
      </c>
      <c r="P6174">
        <v>-8.5404675635174607E-2</v>
      </c>
      <c r="Q6174">
        <v>9.4881539344197893E-2</v>
      </c>
      <c r="R6174">
        <v>0.98917228652807598</v>
      </c>
      <c r="S6174" t="s">
        <v>12459</v>
      </c>
      <c r="T6174" t="s">
        <v>12568</v>
      </c>
      <c r="U6174" t="s">
        <v>12568</v>
      </c>
      <c r="V6174" t="s">
        <v>12568</v>
      </c>
      <c r="W6174" t="s">
        <v>18689</v>
      </c>
      <c r="X6174">
        <v>27</v>
      </c>
      <c r="Y6174" t="s">
        <v>24764</v>
      </c>
      <c r="Z6174" t="s">
        <v>31044</v>
      </c>
      <c r="AA6174">
        <v>0.4139543710364374</v>
      </c>
      <c r="AB6174" t="str">
        <f>HYPERLINK("Melting_Curves/meltCurve_Q9Y4E8_USP15.pdf", "Melting_Curves/meltCurve_Q9Y4E8_USP15.pdf")</f>
        <v>Melting_Curves/meltCurve_Q9Y4E8_USP15.pdf</v>
      </c>
    </row>
    <row r="6175" spans="1:28" x14ac:dyDescent="0.25">
      <c r="A6175" t="s">
        <v>6179</v>
      </c>
      <c r="B6175">
        <v>0.99352677808782597</v>
      </c>
      <c r="C6175">
        <v>0.93891408711065505</v>
      </c>
      <c r="D6175">
        <v>0.78876532576910796</v>
      </c>
      <c r="E6175">
        <v>0.49496889541657302</v>
      </c>
      <c r="F6175">
        <v>0.40376426660698</v>
      </c>
      <c r="G6175">
        <v>0.19650323871075501</v>
      </c>
      <c r="H6175">
        <v>0.130762247138937</v>
      </c>
      <c r="I6175">
        <v>0.109754385877745</v>
      </c>
      <c r="J6175">
        <v>9.7699913402099298E-2</v>
      </c>
      <c r="K6175">
        <v>8.7020227286425098E-2</v>
      </c>
      <c r="L6175">
        <v>716.10663516844102</v>
      </c>
      <c r="M6175">
        <v>14.329974591460299</v>
      </c>
      <c r="N6175">
        <v>50.522806145278899</v>
      </c>
      <c r="O6175">
        <v>49.0296813470544</v>
      </c>
      <c r="P6175">
        <v>-6.7797612105282901E-2</v>
      </c>
      <c r="Q6175">
        <v>7.2240151229461202E-2</v>
      </c>
      <c r="R6175">
        <v>0.99603984370393905</v>
      </c>
      <c r="S6175" t="s">
        <v>12460</v>
      </c>
      <c r="T6175" t="s">
        <v>12568</v>
      </c>
      <c r="U6175" t="s">
        <v>12568</v>
      </c>
      <c r="V6175" t="s">
        <v>12568</v>
      </c>
      <c r="W6175" t="s">
        <v>18690</v>
      </c>
      <c r="X6175">
        <v>7</v>
      </c>
      <c r="Y6175" t="s">
        <v>24765</v>
      </c>
      <c r="Z6175" t="s">
        <v>31045</v>
      </c>
      <c r="AA6175">
        <v>0.40463960885160649</v>
      </c>
      <c r="AB6175" t="str">
        <f>HYPERLINK("Melting_Curves/meltCurve_Q9Y4F1_FARP1.pdf", "Melting_Curves/meltCurve_Q9Y4F1_FARP1.pdf")</f>
        <v>Melting_Curves/meltCurve_Q9Y4F1_FARP1.pdf</v>
      </c>
    </row>
    <row r="6176" spans="1:28" x14ac:dyDescent="0.25">
      <c r="A6176" t="s">
        <v>6180</v>
      </c>
      <c r="B6176">
        <v>0.99352677808782597</v>
      </c>
      <c r="C6176">
        <v>0.93763362350731405</v>
      </c>
      <c r="D6176">
        <v>0.97003315285826996</v>
      </c>
      <c r="E6176">
        <v>0.84056808825219198</v>
      </c>
      <c r="F6176">
        <v>0.77783195505008795</v>
      </c>
      <c r="G6176">
        <v>0.61972567633104103</v>
      </c>
      <c r="H6176">
        <v>0.59285186968181203</v>
      </c>
      <c r="I6176">
        <v>0.60853525936562902</v>
      </c>
      <c r="J6176">
        <v>0.63324894020690203</v>
      </c>
      <c r="K6176">
        <v>0.53499674717330903</v>
      </c>
      <c r="L6176">
        <v>844.34633805499504</v>
      </c>
      <c r="M6176">
        <v>16.263125780941898</v>
      </c>
      <c r="O6176">
        <v>51.151894125858298</v>
      </c>
      <c r="P6176">
        <v>-3.4092077892237602E-2</v>
      </c>
      <c r="Q6176">
        <v>0.571116627715752</v>
      </c>
      <c r="R6176">
        <v>0.96498747723575895</v>
      </c>
      <c r="S6176" t="s">
        <v>12461</v>
      </c>
      <c r="T6176" t="s">
        <v>12568</v>
      </c>
      <c r="U6176" t="s">
        <v>12568</v>
      </c>
      <c r="V6176" t="s">
        <v>12568</v>
      </c>
      <c r="W6176" t="s">
        <v>18691</v>
      </c>
      <c r="X6176">
        <v>28</v>
      </c>
      <c r="Y6176" t="s">
        <v>24766</v>
      </c>
      <c r="Z6176" t="s">
        <v>31046</v>
      </c>
      <c r="AA6176">
        <v>0.74995805183262165</v>
      </c>
      <c r="AB6176" t="str">
        <f>HYPERLINK("Melting_Curves/meltCurve_Q9Y4F5_CEP170B.pdf", "Melting_Curves/meltCurve_Q9Y4F5_CEP170B.pdf")</f>
        <v>Melting_Curves/meltCurve_Q9Y4F5_CEP170B.pdf</v>
      </c>
    </row>
    <row r="6177" spans="1:28" x14ac:dyDescent="0.25">
      <c r="A6177" t="s">
        <v>6181</v>
      </c>
      <c r="B6177">
        <v>0.99352677808782597</v>
      </c>
      <c r="C6177">
        <v>1.0079828110172899</v>
      </c>
      <c r="D6177">
        <v>0.89612772981177402</v>
      </c>
      <c r="E6177">
        <v>0.50853037308609805</v>
      </c>
      <c r="F6177">
        <v>0.41387415945731798</v>
      </c>
      <c r="G6177">
        <v>0.268357733817077</v>
      </c>
      <c r="H6177">
        <v>0.18276879104427199</v>
      </c>
      <c r="I6177">
        <v>0.17782396389569</v>
      </c>
      <c r="J6177">
        <v>0.163072011150422</v>
      </c>
      <c r="K6177">
        <v>0.13110523975138599</v>
      </c>
      <c r="L6177">
        <v>941.03146465666396</v>
      </c>
      <c r="M6177">
        <v>18.8370281003107</v>
      </c>
      <c r="N6177">
        <v>50.999297733036201</v>
      </c>
      <c r="O6177">
        <v>49.403678738926303</v>
      </c>
      <c r="P6177">
        <v>-8.0089765849296196E-2</v>
      </c>
      <c r="Q6177">
        <v>0.15983231338718201</v>
      </c>
      <c r="R6177">
        <v>0.98992464379920397</v>
      </c>
      <c r="S6177" t="s">
        <v>12462</v>
      </c>
      <c r="T6177" t="s">
        <v>12568</v>
      </c>
      <c r="U6177" t="s">
        <v>12568</v>
      </c>
      <c r="V6177" t="s">
        <v>12568</v>
      </c>
      <c r="W6177" t="s">
        <v>18692</v>
      </c>
      <c r="X6177">
        <v>39</v>
      </c>
      <c r="Y6177" t="s">
        <v>24767</v>
      </c>
      <c r="Z6177" t="s">
        <v>31047</v>
      </c>
      <c r="AA6177">
        <v>0.45180998530030408</v>
      </c>
      <c r="AB6177" t="str">
        <f>HYPERLINK("Melting_Curves/meltCurve_Q9Y4G6_TLN2.pdf", "Melting_Curves/meltCurve_Q9Y4G6_TLN2.pdf")</f>
        <v>Melting_Curves/meltCurve_Q9Y4G6_TLN2.pdf</v>
      </c>
    </row>
    <row r="6178" spans="1:28" x14ac:dyDescent="0.25">
      <c r="A6178" t="s">
        <v>6182</v>
      </c>
      <c r="B6178">
        <v>0.99352677808782597</v>
      </c>
      <c r="C6178">
        <v>1.02141174448574</v>
      </c>
      <c r="D6178">
        <v>0.92314587984470897</v>
      </c>
      <c r="E6178">
        <v>0.495957200066033</v>
      </c>
      <c r="F6178">
        <v>0.334272534630429</v>
      </c>
      <c r="G6178">
        <v>0.12574074856749801</v>
      </c>
      <c r="H6178">
        <v>9.5036811594915296E-2</v>
      </c>
      <c r="I6178">
        <v>6.0558993306822802E-2</v>
      </c>
      <c r="J6178">
        <v>4.4956173134588197E-2</v>
      </c>
      <c r="K6178">
        <v>0</v>
      </c>
      <c r="L6178">
        <v>1041.1242604614999</v>
      </c>
      <c r="M6178">
        <v>20.679259961667601</v>
      </c>
      <c r="N6178">
        <v>50.561599195931301</v>
      </c>
      <c r="O6178">
        <v>49.882582382336203</v>
      </c>
      <c r="P6178">
        <v>-9.9274653186664105E-2</v>
      </c>
      <c r="Q6178">
        <v>4.2144669159033601E-2</v>
      </c>
      <c r="R6178">
        <v>0.99242013925448203</v>
      </c>
      <c r="S6178" t="s">
        <v>12463</v>
      </c>
      <c r="T6178" t="s">
        <v>12568</v>
      </c>
      <c r="U6178" t="s">
        <v>12568</v>
      </c>
      <c r="V6178" t="s">
        <v>12568</v>
      </c>
      <c r="W6178" t="s">
        <v>18693</v>
      </c>
      <c r="X6178">
        <v>3</v>
      </c>
      <c r="Y6178" t="s">
        <v>24768</v>
      </c>
      <c r="Z6178" t="s">
        <v>31048</v>
      </c>
      <c r="AA6178">
        <v>0.38497397341501721</v>
      </c>
      <c r="AB6178" t="str">
        <f>HYPERLINK("Melting_Curves/meltCurve_Q9Y4G8_RAPGEF2.pdf", "Melting_Curves/meltCurve_Q9Y4G8_RAPGEF2.pdf")</f>
        <v>Melting_Curves/meltCurve_Q9Y4G8_RAPGEF2.pdf</v>
      </c>
    </row>
    <row r="6179" spans="1:28" x14ac:dyDescent="0.25">
      <c r="A6179" t="s">
        <v>6183</v>
      </c>
      <c r="B6179">
        <v>0.99352677808782597</v>
      </c>
      <c r="C6179">
        <v>0.91814207422350702</v>
      </c>
      <c r="D6179">
        <v>0.88744248765620704</v>
      </c>
      <c r="E6179">
        <v>0.66062853803690902</v>
      </c>
      <c r="F6179">
        <v>0.595966239230449</v>
      </c>
      <c r="G6179">
        <v>0.48913462255877299</v>
      </c>
      <c r="H6179">
        <v>0.46350385387635401</v>
      </c>
      <c r="I6179">
        <v>0.47737531518249998</v>
      </c>
      <c r="J6179">
        <v>0.51526822888921398</v>
      </c>
      <c r="K6179">
        <v>0.42511258115623801</v>
      </c>
      <c r="L6179">
        <v>813.91786655021895</v>
      </c>
      <c r="M6179">
        <v>16.6438673830861</v>
      </c>
      <c r="N6179">
        <v>57.537772183553997</v>
      </c>
      <c r="O6179">
        <v>48.212383556911298</v>
      </c>
      <c r="P6179">
        <v>-4.6704631213041498E-2</v>
      </c>
      <c r="Q6179">
        <v>0.458878069832651</v>
      </c>
      <c r="R6179">
        <v>0.98228345847320098</v>
      </c>
      <c r="S6179" t="s">
        <v>12464</v>
      </c>
      <c r="T6179" t="s">
        <v>12568</v>
      </c>
      <c r="U6179" t="s">
        <v>12568</v>
      </c>
      <c r="V6179" t="s">
        <v>12568</v>
      </c>
      <c r="W6179" t="s">
        <v>18694</v>
      </c>
      <c r="X6179">
        <v>22</v>
      </c>
      <c r="Y6179" t="s">
        <v>24769</v>
      </c>
      <c r="Z6179" t="s">
        <v>31049</v>
      </c>
      <c r="AA6179">
        <v>0.63041536201013448</v>
      </c>
      <c r="AB6179" t="str">
        <f>HYPERLINK("Melting_Curves/meltCurve_Q9Y4H2_IRS2.pdf", "Melting_Curves/meltCurve_Q9Y4H2_IRS2.pdf")</f>
        <v>Melting_Curves/meltCurve_Q9Y4H2_IRS2.pdf</v>
      </c>
    </row>
    <row r="6180" spans="1:28" x14ac:dyDescent="0.25">
      <c r="A6180" t="s">
        <v>6184</v>
      </c>
      <c r="B6180">
        <v>0.99352677808782597</v>
      </c>
      <c r="C6180">
        <v>0.94255130170768298</v>
      </c>
      <c r="D6180">
        <v>1.24472967725251</v>
      </c>
      <c r="E6180">
        <v>0.94053129153138804</v>
      </c>
      <c r="F6180">
        <v>0.71573398904085495</v>
      </c>
      <c r="G6180">
        <v>0.37335327147112501</v>
      </c>
      <c r="H6180">
        <v>0.11987746742300399</v>
      </c>
      <c r="I6180">
        <v>9.7933773951717706E-2</v>
      </c>
      <c r="J6180">
        <v>7.5081126030786802E-2</v>
      </c>
      <c r="K6180">
        <v>6.0815558795392598E-2</v>
      </c>
      <c r="L6180">
        <v>1392.2354507616999</v>
      </c>
      <c r="M6180">
        <v>25.258596750459901</v>
      </c>
      <c r="N6180">
        <v>55.4109690257335</v>
      </c>
      <c r="O6180">
        <v>54.7772625745882</v>
      </c>
      <c r="P6180">
        <v>-0.108103574842739</v>
      </c>
      <c r="Q6180">
        <v>6.2253297445839698E-2</v>
      </c>
      <c r="R6180">
        <v>0.96387092771369598</v>
      </c>
      <c r="S6180" t="s">
        <v>12465</v>
      </c>
      <c r="T6180" t="s">
        <v>12568</v>
      </c>
      <c r="U6180" t="s">
        <v>12568</v>
      </c>
      <c r="V6180" t="s">
        <v>12568</v>
      </c>
      <c r="W6180" t="s">
        <v>18695</v>
      </c>
      <c r="X6180">
        <v>5</v>
      </c>
      <c r="Y6180" t="s">
        <v>24770</v>
      </c>
      <c r="Z6180" t="s">
        <v>31050</v>
      </c>
      <c r="AA6180">
        <v>0.54337206132575333</v>
      </c>
      <c r="AB6180" t="str">
        <f>HYPERLINK("Melting_Curves/meltCurve_Q9Y4I1_2_MYO5A.pdf", "Melting_Curves/meltCurve_Q9Y4I1_2_MYO5A.pdf")</f>
        <v>Melting_Curves/meltCurve_Q9Y4I1_2_MYO5A.pdf</v>
      </c>
    </row>
    <row r="6181" spans="1:28" x14ac:dyDescent="0.25">
      <c r="A6181" t="s">
        <v>6185</v>
      </c>
      <c r="B6181">
        <v>0.99352677808782597</v>
      </c>
      <c r="C6181">
        <v>0.98506066599959197</v>
      </c>
      <c r="D6181">
        <v>0.83015810104990795</v>
      </c>
      <c r="E6181">
        <v>0.51995692316249298</v>
      </c>
      <c r="F6181">
        <v>0.39454287030062002</v>
      </c>
      <c r="G6181">
        <v>0.24155256311482801</v>
      </c>
      <c r="H6181">
        <v>0.15827415886412699</v>
      </c>
      <c r="I6181">
        <v>0.148496117223821</v>
      </c>
      <c r="J6181">
        <v>0.122306483347123</v>
      </c>
      <c r="K6181">
        <v>7.5109640242882594E-2</v>
      </c>
      <c r="L6181">
        <v>784.52821377920304</v>
      </c>
      <c r="M6181">
        <v>15.637415910326601</v>
      </c>
      <c r="N6181">
        <v>50.913985595034298</v>
      </c>
      <c r="O6181">
        <v>49.370961733117497</v>
      </c>
      <c r="P6181">
        <v>-7.1101172192684095E-2</v>
      </c>
      <c r="Q6181">
        <v>0.102145379820144</v>
      </c>
      <c r="R6181">
        <v>0.99460161790895196</v>
      </c>
      <c r="S6181" t="s">
        <v>12466</v>
      </c>
      <c r="T6181" t="s">
        <v>12568</v>
      </c>
      <c r="U6181" t="s">
        <v>12568</v>
      </c>
      <c r="V6181" t="s">
        <v>12568</v>
      </c>
      <c r="W6181" t="s">
        <v>18696</v>
      </c>
      <c r="X6181">
        <v>5</v>
      </c>
      <c r="Y6181" t="s">
        <v>24771</v>
      </c>
      <c r="Z6181" t="s">
        <v>31051</v>
      </c>
      <c r="AA6181">
        <v>0.42629928608392192</v>
      </c>
      <c r="AB6181" t="str">
        <f>HYPERLINK("Melting_Curves/meltCurve_Q9Y4K3_TRAF6.pdf", "Melting_Curves/meltCurve_Q9Y4K3_TRAF6.pdf")</f>
        <v>Melting_Curves/meltCurve_Q9Y4K3_TRAF6.pdf</v>
      </c>
    </row>
    <row r="6182" spans="1:28" x14ac:dyDescent="0.25">
      <c r="A6182" t="s">
        <v>6186</v>
      </c>
      <c r="B6182">
        <v>0.99352677808782597</v>
      </c>
      <c r="C6182">
        <v>0.93985195835317903</v>
      </c>
      <c r="D6182">
        <v>0.91252694901059295</v>
      </c>
      <c r="E6182">
        <v>0.360573084817159</v>
      </c>
      <c r="F6182">
        <v>0.29222484007577698</v>
      </c>
      <c r="G6182">
        <v>0.16439547098115401</v>
      </c>
      <c r="H6182">
        <v>0.10857346388813</v>
      </c>
      <c r="I6182">
        <v>9.8093822506251996E-2</v>
      </c>
      <c r="J6182">
        <v>8.4111454116438097E-2</v>
      </c>
      <c r="K6182">
        <v>6.39763267001318E-2</v>
      </c>
      <c r="L6182">
        <v>1237.9736695136901</v>
      </c>
      <c r="M6182">
        <v>25.299296013771102</v>
      </c>
      <c r="N6182">
        <v>49.382987613295398</v>
      </c>
      <c r="O6182">
        <v>48.630473040248901</v>
      </c>
      <c r="P6182">
        <v>-0.116674960434322</v>
      </c>
      <c r="Q6182">
        <v>0.10291808552998501</v>
      </c>
      <c r="R6182">
        <v>0.98563584636325297</v>
      </c>
      <c r="S6182" t="s">
        <v>12467</v>
      </c>
      <c r="T6182" t="s">
        <v>12568</v>
      </c>
      <c r="U6182" t="s">
        <v>12568</v>
      </c>
      <c r="V6182" t="s">
        <v>12568</v>
      </c>
      <c r="W6182" t="s">
        <v>18697</v>
      </c>
      <c r="X6182">
        <v>11</v>
      </c>
      <c r="Y6182" t="s">
        <v>24772</v>
      </c>
      <c r="Z6182" t="s">
        <v>31052</v>
      </c>
      <c r="AA6182">
        <v>0.37779627554512579</v>
      </c>
      <c r="AB6182" t="str">
        <f>HYPERLINK("Melting_Curves/meltCurve_Q9Y4K4_MAP4K5.pdf", "Melting_Curves/meltCurve_Q9Y4K4_MAP4K5.pdf")</f>
        <v>Melting_Curves/meltCurve_Q9Y4K4_MAP4K5.pdf</v>
      </c>
    </row>
    <row r="6183" spans="1:28" x14ac:dyDescent="0.25">
      <c r="A6183" t="s">
        <v>6187</v>
      </c>
      <c r="B6183">
        <v>0.99352677808782597</v>
      </c>
      <c r="C6183">
        <v>1.33634076102049</v>
      </c>
      <c r="D6183">
        <v>0.38354267257284402</v>
      </c>
      <c r="E6183">
        <v>0.19122956659247101</v>
      </c>
      <c r="F6183">
        <v>0.119316335375591</v>
      </c>
      <c r="G6183">
        <v>5.9826795075748097E-2</v>
      </c>
      <c r="H6183">
        <v>3.7924227840736402E-2</v>
      </c>
      <c r="I6183">
        <v>3.7513281412254303E-2</v>
      </c>
      <c r="J6183">
        <v>2.9364622182539001E-2</v>
      </c>
      <c r="K6183">
        <v>2.4979279077348801E-2</v>
      </c>
      <c r="L6183">
        <v>11468.688234097401</v>
      </c>
      <c r="M6183">
        <v>250</v>
      </c>
      <c r="N6183">
        <v>45.903066011418701</v>
      </c>
      <c r="O6183">
        <v>45.871815896862401</v>
      </c>
      <c r="P6183">
        <v>-1.2651414781324799</v>
      </c>
      <c r="Q6183">
        <v>7.1450582059653295E-2</v>
      </c>
      <c r="R6183">
        <v>0.93003844286058501</v>
      </c>
      <c r="S6183" t="s">
        <v>12468</v>
      </c>
      <c r="T6183" t="s">
        <v>12568</v>
      </c>
      <c r="U6183" t="s">
        <v>12568</v>
      </c>
      <c r="V6183" t="s">
        <v>12568</v>
      </c>
      <c r="W6183" t="s">
        <v>18698</v>
      </c>
      <c r="X6183">
        <v>4</v>
      </c>
      <c r="Y6183" t="s">
        <v>24773</v>
      </c>
      <c r="Z6183" t="s">
        <v>31053</v>
      </c>
      <c r="AA6183">
        <v>0.25335861974232737</v>
      </c>
      <c r="AB6183" t="str">
        <f>HYPERLINK("Melting_Curves/meltCurve_Q9Y4P1_6_ATG4B.pdf", "Melting_Curves/meltCurve_Q9Y4P1_6_ATG4B.pdf")</f>
        <v>Melting_Curves/meltCurve_Q9Y4P1_6_ATG4B.pdf</v>
      </c>
    </row>
    <row r="6184" spans="1:28" x14ac:dyDescent="0.25">
      <c r="A6184" t="s">
        <v>6188</v>
      </c>
      <c r="B6184">
        <v>0.99352677808782597</v>
      </c>
      <c r="C6184">
        <v>0.93738877483846805</v>
      </c>
      <c r="D6184">
        <v>0.89159586755337406</v>
      </c>
      <c r="E6184">
        <v>0.375271699299978</v>
      </c>
      <c r="F6184">
        <v>0.324057638760049</v>
      </c>
      <c r="G6184">
        <v>0.19643831491644001</v>
      </c>
      <c r="H6184">
        <v>0.13423410748255199</v>
      </c>
      <c r="I6184">
        <v>0.13565291079785799</v>
      </c>
      <c r="J6184">
        <v>0.12538533862958601</v>
      </c>
      <c r="K6184">
        <v>9.7370394234181895E-2</v>
      </c>
      <c r="L6184">
        <v>1150.3122851196299</v>
      </c>
      <c r="M6184">
        <v>23.564532255871001</v>
      </c>
      <c r="N6184">
        <v>49.473138884235397</v>
      </c>
      <c r="O6184">
        <v>48.467953143983799</v>
      </c>
      <c r="P6184">
        <v>-0.105203391111253</v>
      </c>
      <c r="Q6184">
        <v>0.134478186150471</v>
      </c>
      <c r="R6184">
        <v>0.98560767923076897</v>
      </c>
      <c r="S6184" t="s">
        <v>12469</v>
      </c>
      <c r="T6184" t="s">
        <v>12568</v>
      </c>
      <c r="U6184" t="s">
        <v>12568</v>
      </c>
      <c r="V6184" t="s">
        <v>12568</v>
      </c>
      <c r="W6184" t="s">
        <v>18699</v>
      </c>
      <c r="X6184">
        <v>6</v>
      </c>
      <c r="Y6184" t="s">
        <v>24774</v>
      </c>
      <c r="Z6184" t="s">
        <v>31054</v>
      </c>
      <c r="AA6184">
        <v>0.39746894786072873</v>
      </c>
      <c r="AB6184" t="str">
        <f>HYPERLINK("Melting_Curves/meltCurve_Q9Y4P8_4_WIPI2.pdf", "Melting_Curves/meltCurve_Q9Y4P8_4_WIPI2.pdf")</f>
        <v>Melting_Curves/meltCurve_Q9Y4P8_4_WIPI2.pdf</v>
      </c>
    </row>
    <row r="6185" spans="1:28" x14ac:dyDescent="0.25">
      <c r="A6185" t="s">
        <v>6189</v>
      </c>
      <c r="B6185">
        <v>0.99352677808782597</v>
      </c>
      <c r="C6185">
        <v>0.78346627677180603</v>
      </c>
      <c r="D6185">
        <v>0.66386549991913202</v>
      </c>
      <c r="E6185">
        <v>0.35034640450745902</v>
      </c>
      <c r="F6185">
        <v>0.323848985627326</v>
      </c>
      <c r="G6185">
        <v>0.17930408414722401</v>
      </c>
      <c r="H6185">
        <v>0.134527866561998</v>
      </c>
      <c r="I6185">
        <v>8.3933610526458799E-2</v>
      </c>
      <c r="J6185">
        <v>6.4257562390634196E-2</v>
      </c>
      <c r="K6185">
        <v>5.6038032200807199E-2</v>
      </c>
      <c r="L6185">
        <v>593.39711186245495</v>
      </c>
      <c r="M6185">
        <v>12.3753362679261</v>
      </c>
      <c r="N6185">
        <v>48.373053758582301</v>
      </c>
      <c r="O6185">
        <v>46.7495254746268</v>
      </c>
      <c r="P6185">
        <v>-6.2798012199379E-2</v>
      </c>
      <c r="Q6185">
        <v>5.1290636648210999E-2</v>
      </c>
      <c r="R6185">
        <v>0.98709529578159005</v>
      </c>
      <c r="S6185" t="s">
        <v>12470</v>
      </c>
      <c r="T6185" t="s">
        <v>12568</v>
      </c>
      <c r="U6185" t="s">
        <v>12568</v>
      </c>
      <c r="V6185" t="s">
        <v>12568</v>
      </c>
      <c r="W6185" t="s">
        <v>18700</v>
      </c>
      <c r="X6185">
        <v>6</v>
      </c>
      <c r="Y6185" t="s">
        <v>24775</v>
      </c>
      <c r="Z6185" t="s">
        <v>31055</v>
      </c>
      <c r="AA6185">
        <v>0.33795256685173453</v>
      </c>
      <c r="AB6185" t="str">
        <f>HYPERLINK("Melting_Curves/meltCurve_Q9Y4R8_TELO2.pdf", "Melting_Curves/meltCurve_Q9Y4R8_TELO2.pdf")</f>
        <v>Melting_Curves/meltCurve_Q9Y4R8_TELO2.pdf</v>
      </c>
    </row>
    <row r="6186" spans="1:28" x14ac:dyDescent="0.25">
      <c r="A6186" t="s">
        <v>6190</v>
      </c>
      <c r="B6186">
        <v>0.99352677808782597</v>
      </c>
      <c r="C6186">
        <v>1.0109963383251099</v>
      </c>
      <c r="D6186">
        <v>0.97643417826440104</v>
      </c>
      <c r="E6186">
        <v>0.94592694450833703</v>
      </c>
      <c r="F6186">
        <v>0.85385014000266701</v>
      </c>
      <c r="G6186">
        <v>0.66782053397873697</v>
      </c>
      <c r="H6186">
        <v>0.50494136568486703</v>
      </c>
      <c r="I6186">
        <v>0.23694185005521001</v>
      </c>
      <c r="J6186">
        <v>0.13526564791936499</v>
      </c>
      <c r="K6186">
        <v>0.101622956114405</v>
      </c>
      <c r="L6186">
        <v>908.63322044007202</v>
      </c>
      <c r="M6186">
        <v>15.1713535414198</v>
      </c>
      <c r="N6186">
        <v>59.891374949697202</v>
      </c>
      <c r="O6186">
        <v>58.8797288512161</v>
      </c>
      <c r="P6186">
        <v>-6.4422932885660006E-2</v>
      </c>
      <c r="Q6186">
        <v>0</v>
      </c>
      <c r="R6186">
        <v>0.992730730862316</v>
      </c>
      <c r="S6186" t="s">
        <v>12471</v>
      </c>
      <c r="T6186" t="s">
        <v>12568</v>
      </c>
      <c r="U6186" t="s">
        <v>12568</v>
      </c>
      <c r="V6186" t="s">
        <v>12568</v>
      </c>
      <c r="W6186" t="s">
        <v>18701</v>
      </c>
      <c r="X6186">
        <v>12</v>
      </c>
      <c r="Y6186" t="s">
        <v>24776</v>
      </c>
      <c r="Z6186" t="s">
        <v>31056</v>
      </c>
      <c r="AA6186">
        <v>0.67047686890281943</v>
      </c>
      <c r="AB6186" t="str">
        <f>HYPERLINK("Melting_Curves/meltCurve_Q9Y4X5_ARIH1.pdf", "Melting_Curves/meltCurve_Q9Y4X5_ARIH1.pdf")</f>
        <v>Melting_Curves/meltCurve_Q9Y4X5_ARIH1.pdf</v>
      </c>
    </row>
    <row r="6187" spans="1:28" x14ac:dyDescent="0.25">
      <c r="A6187" t="s">
        <v>6191</v>
      </c>
      <c r="B6187">
        <v>0.99352677808782597</v>
      </c>
      <c r="C6187">
        <v>0.97942080218947203</v>
      </c>
      <c r="D6187">
        <v>0.96243211597002598</v>
      </c>
      <c r="E6187">
        <v>1.0677650271016801</v>
      </c>
      <c r="F6187">
        <v>0.97122463128022996</v>
      </c>
      <c r="G6187">
        <v>0.819809564790971</v>
      </c>
      <c r="H6187">
        <v>0.83022737548340197</v>
      </c>
      <c r="I6187">
        <v>0.74514865535768704</v>
      </c>
      <c r="J6187">
        <v>0.63857046587182198</v>
      </c>
      <c r="K6187">
        <v>0.29397150879577899</v>
      </c>
      <c r="L6187">
        <v>1019.72907475268</v>
      </c>
      <c r="M6187">
        <v>15.0331343312375</v>
      </c>
      <c r="N6187">
        <v>67.832102263572594</v>
      </c>
      <c r="O6187">
        <v>66.665761631837796</v>
      </c>
      <c r="P6187">
        <v>-5.6380665814205901E-2</v>
      </c>
      <c r="Q6187">
        <v>0</v>
      </c>
      <c r="R6187">
        <v>0.91290085860236603</v>
      </c>
      <c r="S6187" t="s">
        <v>12472</v>
      </c>
      <c r="T6187" t="s">
        <v>12568</v>
      </c>
      <c r="U6187" t="s">
        <v>12568</v>
      </c>
      <c r="V6187" t="s">
        <v>12568</v>
      </c>
      <c r="W6187" t="s">
        <v>18702</v>
      </c>
      <c r="X6187">
        <v>5</v>
      </c>
      <c r="Y6187" t="s">
        <v>24777</v>
      </c>
      <c r="Z6187" t="s">
        <v>31057</v>
      </c>
      <c r="AA6187">
        <v>0.86902101334989768</v>
      </c>
      <c r="AB6187" t="str">
        <f>HYPERLINK("Melting_Curves/meltCurve_Q9Y4Z0_LSM4.pdf", "Melting_Curves/meltCurve_Q9Y4Z0_LSM4.pdf")</f>
        <v>Melting_Curves/meltCurve_Q9Y4Z0_LSM4.pdf</v>
      </c>
    </row>
    <row r="6188" spans="1:28" x14ac:dyDescent="0.25">
      <c r="A6188" t="s">
        <v>6192</v>
      </c>
      <c r="B6188">
        <v>0.99352677808782597</v>
      </c>
      <c r="C6188">
        <v>1.0108962028141</v>
      </c>
      <c r="D6188">
        <v>1.0430776071173999</v>
      </c>
      <c r="E6188">
        <v>0.93331347360723005</v>
      </c>
      <c r="F6188">
        <v>0.83314393654008301</v>
      </c>
      <c r="G6188">
        <v>0.71780959223768703</v>
      </c>
      <c r="H6188">
        <v>0.58222073918393202</v>
      </c>
      <c r="I6188">
        <v>0.62922858436822404</v>
      </c>
      <c r="J6188">
        <v>0.59201934407767198</v>
      </c>
      <c r="K6188">
        <v>0.46629624852533602</v>
      </c>
      <c r="L6188">
        <v>884.17342521483897</v>
      </c>
      <c r="M6188">
        <v>15.8738772580052</v>
      </c>
      <c r="O6188">
        <v>54.838410182582997</v>
      </c>
      <c r="P6188">
        <v>-3.4981901153890702E-2</v>
      </c>
      <c r="Q6188">
        <v>0.51664067581115203</v>
      </c>
      <c r="R6188">
        <v>0.96157698680238901</v>
      </c>
      <c r="S6188" t="s">
        <v>12473</v>
      </c>
      <c r="T6188" t="s">
        <v>12568</v>
      </c>
      <c r="U6188" t="s">
        <v>12568</v>
      </c>
      <c r="V6188" t="s">
        <v>12568</v>
      </c>
      <c r="W6188" t="s">
        <v>18703</v>
      </c>
      <c r="X6188">
        <v>8</v>
      </c>
      <c r="Y6188" t="s">
        <v>24778</v>
      </c>
      <c r="Z6188" t="s">
        <v>31058</v>
      </c>
      <c r="AA6188">
        <v>0.77794307863918699</v>
      </c>
      <c r="AB6188" t="str">
        <f>HYPERLINK("Melting_Curves/meltCurve_Q9Y508_RNF114.pdf", "Melting_Curves/meltCurve_Q9Y508_RNF114.pdf")</f>
        <v>Melting_Curves/meltCurve_Q9Y508_RNF114.pdf</v>
      </c>
    </row>
    <row r="6189" spans="1:28" x14ac:dyDescent="0.25">
      <c r="A6189" t="s">
        <v>6193</v>
      </c>
      <c r="B6189">
        <v>0.99352677808782597</v>
      </c>
      <c r="C6189">
        <v>0.95495481026515905</v>
      </c>
      <c r="D6189">
        <v>1.0104576442487601</v>
      </c>
      <c r="E6189">
        <v>0.98436684254832596</v>
      </c>
      <c r="F6189">
        <v>0.90470001849497494</v>
      </c>
      <c r="G6189">
        <v>0.81848850278667395</v>
      </c>
      <c r="H6189">
        <v>0.82051029069093195</v>
      </c>
      <c r="I6189">
        <v>0.868395155027607</v>
      </c>
      <c r="J6189">
        <v>0.94679498708145204</v>
      </c>
      <c r="K6189">
        <v>0.77694513657144204</v>
      </c>
      <c r="L6189">
        <v>3016.1920730048</v>
      </c>
      <c r="M6189">
        <v>57.480089517215298</v>
      </c>
      <c r="O6189">
        <v>52.410286369145297</v>
      </c>
      <c r="P6189">
        <v>-4.2153690012955103E-2</v>
      </c>
      <c r="Q6189">
        <v>0.84625731742399501</v>
      </c>
      <c r="R6189">
        <v>0.68967891972130302</v>
      </c>
      <c r="S6189" t="s">
        <v>12474</v>
      </c>
      <c r="T6189" t="s">
        <v>12568</v>
      </c>
      <c r="U6189" t="s">
        <v>12568</v>
      </c>
      <c r="V6189" t="s">
        <v>12568</v>
      </c>
      <c r="W6189" t="s">
        <v>18704</v>
      </c>
      <c r="X6189">
        <v>83</v>
      </c>
      <c r="Y6189" t="s">
        <v>24779</v>
      </c>
      <c r="Z6189" t="s">
        <v>31059</v>
      </c>
      <c r="AA6189">
        <v>0.91045080068722484</v>
      </c>
      <c r="AB6189" t="str">
        <f>HYPERLINK("Melting_Curves/meltCurve_Q9Y520_4_PRRC2C.pdf", "Melting_Curves/meltCurve_Q9Y520_4_PRRC2C.pdf")</f>
        <v>Melting_Curves/meltCurve_Q9Y520_4_PRRC2C.pdf</v>
      </c>
    </row>
    <row r="6190" spans="1:28" x14ac:dyDescent="0.25">
      <c r="A6190" t="s">
        <v>6194</v>
      </c>
      <c r="B6190">
        <v>0.99352677808782597</v>
      </c>
      <c r="C6190">
        <v>0.93636151127609601</v>
      </c>
      <c r="D6190">
        <v>0.87445554393462899</v>
      </c>
      <c r="E6190">
        <v>0.47430099885789401</v>
      </c>
      <c r="F6190">
        <v>0.395855642554647</v>
      </c>
      <c r="G6190">
        <v>0.31564717139424697</v>
      </c>
      <c r="H6190">
        <v>0.251131621961173</v>
      </c>
      <c r="I6190">
        <v>0.228051330909853</v>
      </c>
      <c r="J6190">
        <v>0.25294324615019598</v>
      </c>
      <c r="K6190">
        <v>0.20420533727011</v>
      </c>
      <c r="L6190">
        <v>1011.71905154525</v>
      </c>
      <c r="M6190">
        <v>20.731463186978399</v>
      </c>
      <c r="N6190">
        <v>50.3817686417894</v>
      </c>
      <c r="O6190">
        <v>48.353880506156997</v>
      </c>
      <c r="P6190">
        <v>-8.1561975532295494E-2</v>
      </c>
      <c r="Q6190">
        <v>0.239083789303382</v>
      </c>
      <c r="R6190">
        <v>0.989528396936454</v>
      </c>
      <c r="S6190" t="s">
        <v>12475</v>
      </c>
      <c r="T6190" t="s">
        <v>12568</v>
      </c>
      <c r="U6190" t="s">
        <v>12568</v>
      </c>
      <c r="V6190" t="s">
        <v>12568</v>
      </c>
      <c r="W6190" t="s">
        <v>18705</v>
      </c>
      <c r="X6190">
        <v>4</v>
      </c>
      <c r="Y6190" t="s">
        <v>24780</v>
      </c>
      <c r="Z6190" t="s">
        <v>31060</v>
      </c>
      <c r="AA6190">
        <v>0.47223542574745841</v>
      </c>
      <c r="AB6190" t="str">
        <f>HYPERLINK("Melting_Curves/meltCurve_Q9Y546_LRRC42.pdf", "Melting_Curves/meltCurve_Q9Y546_LRRC42.pdf")</f>
        <v>Melting_Curves/meltCurve_Q9Y546_LRRC42.pdf</v>
      </c>
    </row>
    <row r="6191" spans="1:28" x14ac:dyDescent="0.25">
      <c r="A6191" t="s">
        <v>6195</v>
      </c>
      <c r="B6191">
        <v>0.99352677808782597</v>
      </c>
      <c r="C6191">
        <v>0.44345520688810303</v>
      </c>
      <c r="D6191">
        <v>0.66579383262514302</v>
      </c>
      <c r="E6191">
        <v>0.87540477208559697</v>
      </c>
      <c r="F6191">
        <v>0.75374362478617396</v>
      </c>
      <c r="G6191">
        <v>0.54906270332267404</v>
      </c>
      <c r="H6191">
        <v>0.203481661417864</v>
      </c>
      <c r="I6191">
        <v>0.112513875086202</v>
      </c>
      <c r="J6191">
        <v>8.7985109132449293E-2</v>
      </c>
      <c r="K6191">
        <v>6.7383470269183399E-2</v>
      </c>
      <c r="L6191">
        <v>421.23767183959097</v>
      </c>
      <c r="M6191">
        <v>7.75103195319618</v>
      </c>
      <c r="N6191">
        <v>54.346011446170898</v>
      </c>
      <c r="O6191">
        <v>51.084012778200503</v>
      </c>
      <c r="P6191">
        <v>-3.7981037807067901E-2</v>
      </c>
      <c r="Q6191">
        <v>0</v>
      </c>
      <c r="R6191">
        <v>0.65715964002406302</v>
      </c>
      <c r="S6191" t="s">
        <v>12476</v>
      </c>
      <c r="T6191" t="s">
        <v>12568</v>
      </c>
      <c r="U6191" t="s">
        <v>12568</v>
      </c>
      <c r="V6191" t="s">
        <v>12568</v>
      </c>
      <c r="W6191" t="s">
        <v>18706</v>
      </c>
      <c r="X6191">
        <v>3</v>
      </c>
      <c r="Y6191" t="s">
        <v>24781</v>
      </c>
      <c r="Z6191" t="s">
        <v>31061</v>
      </c>
      <c r="AA6191">
        <v>0.51023556808927806</v>
      </c>
      <c r="AB6191" t="str">
        <f>HYPERLINK("Melting_Curves/meltCurve_Q9Y547_HSPB11.pdf", "Melting_Curves/meltCurve_Q9Y547_HSPB11.pdf")</f>
        <v>Melting_Curves/meltCurve_Q9Y547_HSPB11.pdf</v>
      </c>
    </row>
    <row r="6192" spans="1:28" x14ac:dyDescent="0.25">
      <c r="A6192" t="s">
        <v>6196</v>
      </c>
      <c r="B6192">
        <v>0.99352677808782597</v>
      </c>
      <c r="C6192">
        <v>0.97250876858819801</v>
      </c>
      <c r="D6192">
        <v>1.00032906603322</v>
      </c>
      <c r="E6192">
        <v>0.85020291396696601</v>
      </c>
      <c r="F6192">
        <v>0.75626149821843602</v>
      </c>
      <c r="G6192">
        <v>0.26882208358420101</v>
      </c>
      <c r="H6192">
        <v>0.120145592721649</v>
      </c>
      <c r="I6192">
        <v>0.114625005119113</v>
      </c>
      <c r="J6192">
        <v>8.7066936510227996E-2</v>
      </c>
      <c r="K6192">
        <v>6.9496777790452699E-2</v>
      </c>
      <c r="L6192">
        <v>1454.9556321775899</v>
      </c>
      <c r="M6192">
        <v>26.6816413285034</v>
      </c>
      <c r="N6192">
        <v>54.866256218673399</v>
      </c>
      <c r="O6192">
        <v>54.2266687430755</v>
      </c>
      <c r="P6192">
        <v>-0.11373867960518</v>
      </c>
      <c r="Q6192">
        <v>7.5378433978736697E-2</v>
      </c>
      <c r="R6192">
        <v>0.99370914946102196</v>
      </c>
      <c r="S6192" t="s">
        <v>12477</v>
      </c>
      <c r="T6192" t="s">
        <v>12568</v>
      </c>
      <c r="U6192" t="s">
        <v>12568</v>
      </c>
      <c r="V6192" t="s">
        <v>12568</v>
      </c>
      <c r="W6192" t="s">
        <v>18707</v>
      </c>
      <c r="X6192">
        <v>17</v>
      </c>
      <c r="Y6192" t="s">
        <v>24782</v>
      </c>
      <c r="Z6192" t="s">
        <v>31062</v>
      </c>
      <c r="AA6192">
        <v>0.53081932730202341</v>
      </c>
      <c r="AB6192" t="str">
        <f>HYPERLINK("Melting_Curves/meltCurve_Q9Y570_PPME1.pdf", "Melting_Curves/meltCurve_Q9Y570_PPME1.pdf")</f>
        <v>Melting_Curves/meltCurve_Q9Y570_PPME1.pdf</v>
      </c>
    </row>
    <row r="6193" spans="1:28" x14ac:dyDescent="0.25">
      <c r="A6193" t="s">
        <v>6197</v>
      </c>
      <c r="B6193">
        <v>0.99352677808782597</v>
      </c>
      <c r="C6193">
        <v>0.79580068054605302</v>
      </c>
      <c r="D6193">
        <v>0.5906029471791</v>
      </c>
      <c r="E6193">
        <v>0.27875993274199701</v>
      </c>
      <c r="F6193">
        <v>0.25546675399187502</v>
      </c>
      <c r="G6193">
        <v>0.16211858688306999</v>
      </c>
      <c r="H6193">
        <v>0.12983482679715599</v>
      </c>
      <c r="I6193">
        <v>0.15278900835832299</v>
      </c>
      <c r="J6193">
        <v>9.9766363546936895E-2</v>
      </c>
      <c r="K6193">
        <v>9.9904301595715797E-2</v>
      </c>
      <c r="L6193">
        <v>796.10710815718301</v>
      </c>
      <c r="M6193">
        <v>17.204259829178302</v>
      </c>
      <c r="N6193">
        <v>47.025513479453203</v>
      </c>
      <c r="O6193">
        <v>45.6622156710539</v>
      </c>
      <c r="P6193">
        <v>-8.2874619690194995E-2</v>
      </c>
      <c r="Q6193">
        <v>0.12021425452869999</v>
      </c>
      <c r="R6193">
        <v>0.99134677951840999</v>
      </c>
      <c r="S6193" t="s">
        <v>12478</v>
      </c>
      <c r="T6193" t="s">
        <v>12568</v>
      </c>
      <c r="U6193" t="s">
        <v>12568</v>
      </c>
      <c r="V6193" t="s">
        <v>12568</v>
      </c>
      <c r="W6193" t="s">
        <v>18708</v>
      </c>
      <c r="X6193">
        <v>1</v>
      </c>
      <c r="Y6193" t="s">
        <v>24783</v>
      </c>
      <c r="Z6193" t="s">
        <v>31063</v>
      </c>
      <c r="AA6193">
        <v>0.32291896092992511</v>
      </c>
      <c r="AB6193" t="str">
        <f>HYPERLINK("Melting_Curves/meltCurve_Q9Y575_2_ASB3.pdf", "Melting_Curves/meltCurve_Q9Y575_2_ASB3.pdf")</f>
        <v>Melting_Curves/meltCurve_Q9Y575_2_ASB3.pdf</v>
      </c>
    </row>
    <row r="6194" spans="1:28" x14ac:dyDescent="0.25">
      <c r="A6194" t="s">
        <v>6198</v>
      </c>
      <c r="B6194">
        <v>0.99352677808782597</v>
      </c>
      <c r="C6194">
        <v>0.91076978652429696</v>
      </c>
      <c r="D6194">
        <v>0.95081798302257903</v>
      </c>
      <c r="E6194">
        <v>0.948512483135174</v>
      </c>
      <c r="F6194">
        <v>0.85503723118103403</v>
      </c>
      <c r="G6194">
        <v>0.69783689813274197</v>
      </c>
      <c r="H6194">
        <v>0.486358781885397</v>
      </c>
      <c r="I6194">
        <v>0.54933120483662201</v>
      </c>
      <c r="J6194">
        <v>0.54554102646658298</v>
      </c>
      <c r="K6194">
        <v>0.474379242668589</v>
      </c>
      <c r="L6194">
        <v>1156.5772810337401</v>
      </c>
      <c r="M6194">
        <v>20.905090266352101</v>
      </c>
      <c r="N6194">
        <v>68.938506136784497</v>
      </c>
      <c r="O6194">
        <v>54.826372556879903</v>
      </c>
      <c r="P6194">
        <v>-4.8431328445143099E-2</v>
      </c>
      <c r="Q6194">
        <v>0.49194365868571999</v>
      </c>
      <c r="R6194">
        <v>0.95519469619124397</v>
      </c>
      <c r="S6194" t="s">
        <v>12479</v>
      </c>
      <c r="T6194" t="s">
        <v>12568</v>
      </c>
      <c r="U6194" t="s">
        <v>12568</v>
      </c>
      <c r="V6194" t="s">
        <v>12568</v>
      </c>
      <c r="W6194" t="s">
        <v>18709</v>
      </c>
      <c r="X6194">
        <v>7</v>
      </c>
      <c r="Y6194" t="s">
        <v>24784</v>
      </c>
      <c r="Z6194" t="s">
        <v>31064</v>
      </c>
      <c r="AA6194">
        <v>0.75775462312585184</v>
      </c>
      <c r="AB6194" t="str">
        <f>HYPERLINK("Melting_Curves/meltCurve_Q9Y597_2_KCTD3.pdf", "Melting_Curves/meltCurve_Q9Y597_2_KCTD3.pdf")</f>
        <v>Melting_Curves/meltCurve_Q9Y597_2_KCTD3.pdf</v>
      </c>
    </row>
    <row r="6195" spans="1:28" x14ac:dyDescent="0.25">
      <c r="A6195" t="s">
        <v>6199</v>
      </c>
      <c r="B6195">
        <v>0.99352677808782597</v>
      </c>
      <c r="C6195">
        <v>1.0770225376491001</v>
      </c>
      <c r="D6195">
        <v>0.57932132317479901</v>
      </c>
      <c r="E6195">
        <v>0.29998307860504297</v>
      </c>
      <c r="F6195">
        <v>0.217402213750618</v>
      </c>
      <c r="G6195">
        <v>0.121522662685008</v>
      </c>
      <c r="H6195">
        <v>7.0540430814195795E-2</v>
      </c>
      <c r="I6195">
        <v>6.3155041699940295E-2</v>
      </c>
      <c r="J6195">
        <v>5.5271969776855702E-2</v>
      </c>
      <c r="K6195">
        <v>4.1854571500140499E-2</v>
      </c>
      <c r="L6195">
        <v>1078.50426031445</v>
      </c>
      <c r="M6195">
        <v>22.832316351624002</v>
      </c>
      <c r="N6195">
        <v>47.583974038814603</v>
      </c>
      <c r="O6195">
        <v>46.878010838586697</v>
      </c>
      <c r="P6195">
        <v>-0.11240172372424</v>
      </c>
      <c r="Q6195">
        <v>7.6910779243961197E-2</v>
      </c>
      <c r="R6195">
        <v>0.96934645708207501</v>
      </c>
      <c r="S6195" t="s">
        <v>12480</v>
      </c>
      <c r="T6195" t="s">
        <v>12568</v>
      </c>
      <c r="U6195" t="s">
        <v>12568</v>
      </c>
      <c r="V6195" t="s">
        <v>12568</v>
      </c>
      <c r="W6195" t="s">
        <v>18710</v>
      </c>
      <c r="X6195">
        <v>14</v>
      </c>
      <c r="Y6195" t="s">
        <v>24785</v>
      </c>
      <c r="Z6195" t="s">
        <v>31065</v>
      </c>
      <c r="AA6195">
        <v>0.30956969635727533</v>
      </c>
      <c r="AB6195" t="str">
        <f>HYPERLINK("Melting_Curves/meltCurve_Q9Y5A7_2_NUB1.pdf", "Melting_Curves/meltCurve_Q9Y5A7_2_NUB1.pdf")</f>
        <v>Melting_Curves/meltCurve_Q9Y5A7_2_NUB1.pdf</v>
      </c>
    </row>
    <row r="6196" spans="1:28" x14ac:dyDescent="0.25">
      <c r="A6196" t="s">
        <v>6200</v>
      </c>
      <c r="B6196">
        <v>0.99352677808782597</v>
      </c>
      <c r="C6196">
        <v>0.97460647756843599</v>
      </c>
      <c r="D6196">
        <v>1.10118579186647</v>
      </c>
      <c r="E6196">
        <v>0.95329898177799799</v>
      </c>
      <c r="F6196">
        <v>0.90450664767990396</v>
      </c>
      <c r="G6196">
        <v>0.68720927476532301</v>
      </c>
      <c r="H6196">
        <v>0.62076470770440495</v>
      </c>
      <c r="I6196">
        <v>0.67548097576069999</v>
      </c>
      <c r="J6196">
        <v>0.64181703097103804</v>
      </c>
      <c r="K6196">
        <v>0.58662015126910105</v>
      </c>
      <c r="L6196">
        <v>1892.7307005975099</v>
      </c>
      <c r="M6196">
        <v>34.774612352939002</v>
      </c>
      <c r="O6196">
        <v>54.249469739787799</v>
      </c>
      <c r="P6196">
        <v>-5.9654280754510298E-2</v>
      </c>
      <c r="Q6196">
        <v>0.62775126257018499</v>
      </c>
      <c r="R6196">
        <v>0.94938781376276704</v>
      </c>
      <c r="S6196" t="s">
        <v>12481</v>
      </c>
      <c r="T6196" t="s">
        <v>12568</v>
      </c>
      <c r="U6196" t="s">
        <v>12568</v>
      </c>
      <c r="V6196" t="s">
        <v>12568</v>
      </c>
      <c r="W6196" t="s">
        <v>18711</v>
      </c>
      <c r="X6196">
        <v>8</v>
      </c>
      <c r="Y6196" t="s">
        <v>24786</v>
      </c>
      <c r="Z6196" t="s">
        <v>31066</v>
      </c>
      <c r="AA6196">
        <v>0.80862828958422606</v>
      </c>
      <c r="AB6196" t="str">
        <f>HYPERLINK("Melting_Curves/meltCurve_Q9Y5A9_YTHDF2.pdf", "Melting_Curves/meltCurve_Q9Y5A9_YTHDF2.pdf")</f>
        <v>Melting_Curves/meltCurve_Q9Y5A9_YTHDF2.pdf</v>
      </c>
    </row>
    <row r="6197" spans="1:28" x14ac:dyDescent="0.25">
      <c r="A6197" t="s">
        <v>6201</v>
      </c>
      <c r="B6197">
        <v>0.99352677808782597</v>
      </c>
      <c r="C6197">
        <v>0.98919689424565405</v>
      </c>
      <c r="D6197">
        <v>0.84672973744169999</v>
      </c>
      <c r="E6197">
        <v>0.45967595337405898</v>
      </c>
      <c r="F6197">
        <v>0.39214831397990402</v>
      </c>
      <c r="G6197">
        <v>0.27512382875191399</v>
      </c>
      <c r="H6197">
        <v>0.19523589523176399</v>
      </c>
      <c r="I6197">
        <v>0.19111457884416599</v>
      </c>
      <c r="J6197">
        <v>0.170875967556226</v>
      </c>
      <c r="K6197">
        <v>0.14207701649365501</v>
      </c>
      <c r="L6197">
        <v>923.05297722574699</v>
      </c>
      <c r="M6197">
        <v>18.763874642225499</v>
      </c>
      <c r="N6197">
        <v>50.355098977945403</v>
      </c>
      <c r="O6197">
        <v>48.6445686653244</v>
      </c>
      <c r="P6197">
        <v>-7.9491663668985801E-2</v>
      </c>
      <c r="Q6197">
        <v>0.175719163831623</v>
      </c>
      <c r="R6197">
        <v>0.98913568046837896</v>
      </c>
      <c r="S6197" t="s">
        <v>12482</v>
      </c>
      <c r="T6197" t="s">
        <v>12568</v>
      </c>
      <c r="U6197" t="s">
        <v>12568</v>
      </c>
      <c r="V6197" t="s">
        <v>12568</v>
      </c>
      <c r="W6197" t="s">
        <v>18712</v>
      </c>
      <c r="X6197">
        <v>18</v>
      </c>
      <c r="Y6197" t="s">
        <v>24787</v>
      </c>
      <c r="Z6197" t="s">
        <v>31067</v>
      </c>
      <c r="AA6197">
        <v>0.44140957038887779</v>
      </c>
      <c r="AB6197" t="str">
        <f>HYPERLINK("Melting_Curves/meltCurve_Q9Y5B0_CTDP1.pdf", "Melting_Curves/meltCurve_Q9Y5B0_CTDP1.pdf")</f>
        <v>Melting_Curves/meltCurve_Q9Y5B0_CTDP1.pdf</v>
      </c>
    </row>
    <row r="6198" spans="1:28" x14ac:dyDescent="0.25">
      <c r="A6198" t="s">
        <v>6202</v>
      </c>
      <c r="B6198">
        <v>0.99352677808782597</v>
      </c>
      <c r="C6198">
        <v>0.95731704111745997</v>
      </c>
      <c r="D6198">
        <v>0.97967461754380203</v>
      </c>
      <c r="E6198">
        <v>0.29965344148790801</v>
      </c>
      <c r="F6198">
        <v>0.22229672065865899</v>
      </c>
      <c r="G6198">
        <v>0.117089773859165</v>
      </c>
      <c r="H6198">
        <v>7.4559321428590702E-2</v>
      </c>
      <c r="I6198">
        <v>7.5240196180808405E-2</v>
      </c>
      <c r="J6198">
        <v>4.8222408114507002E-2</v>
      </c>
      <c r="K6198">
        <v>3.5126220431078499E-2</v>
      </c>
      <c r="L6198">
        <v>2115.73738996986</v>
      </c>
      <c r="M6198">
        <v>43.334571528327899</v>
      </c>
      <c r="N6198">
        <v>49.038323996554197</v>
      </c>
      <c r="O6198">
        <v>48.7196913128845</v>
      </c>
      <c r="P6198">
        <v>-0.2031268458754</v>
      </c>
      <c r="Q6198">
        <v>8.6525076269724305E-2</v>
      </c>
      <c r="R6198">
        <v>0.98696420237363502</v>
      </c>
      <c r="S6198" t="s">
        <v>12483</v>
      </c>
      <c r="T6198" t="s">
        <v>12568</v>
      </c>
      <c r="U6198" t="s">
        <v>12568</v>
      </c>
      <c r="V6198" t="s">
        <v>12568</v>
      </c>
      <c r="W6198" t="s">
        <v>18713</v>
      </c>
      <c r="X6198">
        <v>6</v>
      </c>
      <c r="Y6198" t="s">
        <v>24788</v>
      </c>
      <c r="Z6198" t="s">
        <v>31068</v>
      </c>
      <c r="AA6198">
        <v>0.35781294236709821</v>
      </c>
      <c r="AB6198" t="str">
        <f>HYPERLINK("Melting_Curves/meltCurve_Q9Y5B8_2_NME7.pdf", "Melting_Curves/meltCurve_Q9Y5B8_2_NME7.pdf")</f>
        <v>Melting_Curves/meltCurve_Q9Y5B8_2_NME7.pdf</v>
      </c>
    </row>
    <row r="6199" spans="1:28" x14ac:dyDescent="0.25">
      <c r="A6199" t="s">
        <v>6203</v>
      </c>
      <c r="B6199">
        <v>0.99352677808782597</v>
      </c>
      <c r="C6199">
        <v>0.954643529735411</v>
      </c>
      <c r="D6199">
        <v>0.90339968566603102</v>
      </c>
      <c r="E6199">
        <v>0.42672539204778198</v>
      </c>
      <c r="F6199">
        <v>0.34730921349247701</v>
      </c>
      <c r="G6199">
        <v>0.21767583556841699</v>
      </c>
      <c r="H6199">
        <v>0.12522448441825099</v>
      </c>
      <c r="I6199">
        <v>0.10666787845840001</v>
      </c>
      <c r="J6199">
        <v>9.9718312962971498E-2</v>
      </c>
      <c r="K6199">
        <v>7.6043176688172204E-2</v>
      </c>
      <c r="L6199">
        <v>976.94509780844896</v>
      </c>
      <c r="M6199">
        <v>19.725883218614399</v>
      </c>
      <c r="N6199">
        <v>50.124340506907998</v>
      </c>
      <c r="O6199">
        <v>49.025484066016098</v>
      </c>
      <c r="P6199">
        <v>-9.0041949765648194E-2</v>
      </c>
      <c r="Q6199">
        <v>0.104892101873987</v>
      </c>
      <c r="R6199">
        <v>0.98656196298010501</v>
      </c>
      <c r="S6199" t="s">
        <v>12484</v>
      </c>
      <c r="T6199" t="s">
        <v>12568</v>
      </c>
      <c r="U6199" t="s">
        <v>12568</v>
      </c>
      <c r="V6199" t="s">
        <v>12568</v>
      </c>
      <c r="W6199" t="s">
        <v>18714</v>
      </c>
      <c r="X6199">
        <v>15</v>
      </c>
      <c r="Y6199" t="s">
        <v>24789</v>
      </c>
      <c r="Z6199" t="s">
        <v>31069</v>
      </c>
      <c r="AA6199">
        <v>0.40195659151963231</v>
      </c>
      <c r="AB6199" t="str">
        <f>HYPERLINK("Melting_Curves/meltCurve_Q9Y5B9_SUPT16H.pdf", "Melting_Curves/meltCurve_Q9Y5B9_SUPT16H.pdf")</f>
        <v>Melting_Curves/meltCurve_Q9Y5B9_SUPT16H.pdf</v>
      </c>
    </row>
    <row r="6200" spans="1:28" x14ac:dyDescent="0.25">
      <c r="A6200" t="s">
        <v>6204</v>
      </c>
      <c r="B6200">
        <v>0.99352677808782597</v>
      </c>
      <c r="C6200">
        <v>0.94196370390597195</v>
      </c>
      <c r="D6200">
        <v>1.13943480456091</v>
      </c>
      <c r="E6200">
        <v>1.0499542692788399</v>
      </c>
      <c r="F6200">
        <v>0.97817241440701796</v>
      </c>
      <c r="G6200">
        <v>0.97715236494393898</v>
      </c>
      <c r="H6200">
        <v>0.93344442258873705</v>
      </c>
      <c r="I6200">
        <v>1.0940201970738199</v>
      </c>
      <c r="J6200">
        <v>1.00688477941277</v>
      </c>
      <c r="K6200">
        <v>0.99758043596829804</v>
      </c>
      <c r="L6200">
        <v>11084.439545248701</v>
      </c>
      <c r="M6200">
        <v>250</v>
      </c>
      <c r="O6200">
        <v>44.334921148994802</v>
      </c>
      <c r="P6200">
        <v>3.1123003155227699E-2</v>
      </c>
      <c r="Q6200">
        <v>1.0220773740824201</v>
      </c>
      <c r="R6200">
        <v>6.8775496743595704E-2</v>
      </c>
      <c r="S6200" t="s">
        <v>12485</v>
      </c>
      <c r="T6200" t="s">
        <v>12568</v>
      </c>
      <c r="U6200" t="s">
        <v>12568</v>
      </c>
      <c r="V6200" t="s">
        <v>12568</v>
      </c>
      <c r="W6200" t="s">
        <v>18715</v>
      </c>
      <c r="X6200">
        <v>1</v>
      </c>
      <c r="Y6200" t="s">
        <v>24790</v>
      </c>
      <c r="Z6200" t="s">
        <v>31070</v>
      </c>
      <c r="AA6200">
        <v>1.0188834458614231</v>
      </c>
      <c r="AB6200" t="str">
        <f>HYPERLINK("Melting_Curves/meltCurve_Q9Y5J1_UTP18.pdf", "Melting_Curves/meltCurve_Q9Y5J1_UTP18.pdf")</f>
        <v>Melting_Curves/meltCurve_Q9Y5J1_UTP18.pdf</v>
      </c>
    </row>
    <row r="6201" spans="1:28" x14ac:dyDescent="0.25">
      <c r="A6201" t="s">
        <v>6205</v>
      </c>
      <c r="B6201">
        <v>0.99352677808782597</v>
      </c>
      <c r="C6201">
        <v>0.76058999504028602</v>
      </c>
      <c r="D6201">
        <v>0.50867238433593798</v>
      </c>
      <c r="E6201">
        <v>0.21711158209466799</v>
      </c>
      <c r="F6201">
        <v>0.18538761954330199</v>
      </c>
      <c r="G6201">
        <v>0.105322283391525</v>
      </c>
      <c r="H6201">
        <v>7.4867450448827297E-2</v>
      </c>
      <c r="I6201">
        <v>6.9568450601852697E-2</v>
      </c>
      <c r="J6201">
        <v>5.5328390035761399E-2</v>
      </c>
      <c r="K6201">
        <v>4.0936845272234297E-2</v>
      </c>
      <c r="L6201">
        <v>817.881180699575</v>
      </c>
      <c r="M6201">
        <v>17.864454295225102</v>
      </c>
      <c r="N6201">
        <v>46.138541581518098</v>
      </c>
      <c r="O6201">
        <v>45.220479719200497</v>
      </c>
      <c r="P6201">
        <v>-9.2410274872002304E-2</v>
      </c>
      <c r="Q6201">
        <v>6.4371186578508099E-2</v>
      </c>
      <c r="R6201">
        <v>0.99278256265879605</v>
      </c>
      <c r="S6201" t="s">
        <v>12486</v>
      </c>
      <c r="T6201" t="s">
        <v>12568</v>
      </c>
      <c r="U6201" t="s">
        <v>12568</v>
      </c>
      <c r="V6201" t="s">
        <v>12568</v>
      </c>
      <c r="W6201" t="s">
        <v>18716</v>
      </c>
      <c r="X6201">
        <v>1</v>
      </c>
      <c r="Y6201" t="s">
        <v>24791</v>
      </c>
      <c r="Z6201" t="s">
        <v>31071</v>
      </c>
      <c r="AA6201">
        <v>0.26372873742656427</v>
      </c>
      <c r="AB6201" t="str">
        <f>HYPERLINK("Melting_Curves/meltCurve_Q9Y5J5_PHLDA3.pdf", "Melting_Curves/meltCurve_Q9Y5J5_PHLDA3.pdf")</f>
        <v>Melting_Curves/meltCurve_Q9Y5J5_PHLDA3.pdf</v>
      </c>
    </row>
    <row r="6202" spans="1:28" x14ac:dyDescent="0.25">
      <c r="A6202" t="s">
        <v>6206</v>
      </c>
      <c r="B6202">
        <v>0.99352677808782597</v>
      </c>
      <c r="C6202">
        <v>1.1287221833535801</v>
      </c>
      <c r="D6202">
        <v>0.96352905717904203</v>
      </c>
      <c r="E6202">
        <v>0.75211533243234896</v>
      </c>
      <c r="F6202">
        <v>0.61737128194485302</v>
      </c>
      <c r="G6202">
        <v>0.57334857823414798</v>
      </c>
      <c r="H6202">
        <v>0.46444268225855001</v>
      </c>
      <c r="I6202">
        <v>0.372764509595229</v>
      </c>
      <c r="J6202">
        <v>0.386690935520909</v>
      </c>
      <c r="K6202">
        <v>0.29523338041583103</v>
      </c>
      <c r="L6202">
        <v>741.43057592450202</v>
      </c>
      <c r="M6202">
        <v>13.9656972613168</v>
      </c>
      <c r="N6202">
        <v>57.520067896065697</v>
      </c>
      <c r="O6202">
        <v>52.0364295093583</v>
      </c>
      <c r="P6202">
        <v>-4.4995117024458797E-2</v>
      </c>
      <c r="Q6202">
        <v>0.32947924934019501</v>
      </c>
      <c r="R6202">
        <v>0.95035562351082004</v>
      </c>
      <c r="S6202" t="s">
        <v>12487</v>
      </c>
      <c r="T6202" t="s">
        <v>12568</v>
      </c>
      <c r="U6202" t="s">
        <v>12568</v>
      </c>
      <c r="V6202" t="s">
        <v>12568</v>
      </c>
      <c r="W6202" t="s">
        <v>18717</v>
      </c>
      <c r="X6202">
        <v>1</v>
      </c>
      <c r="Y6202" t="s">
        <v>24792</v>
      </c>
      <c r="Z6202" t="s">
        <v>31072</v>
      </c>
      <c r="AA6202">
        <v>0.63784877344637247</v>
      </c>
      <c r="AB6202" t="str">
        <f>HYPERLINK("Melting_Curves/meltCurve_Q9Y5J6_TIMM10B.pdf", "Melting_Curves/meltCurve_Q9Y5J6_TIMM10B.pdf")</f>
        <v>Melting_Curves/meltCurve_Q9Y5J6_TIMM10B.pdf</v>
      </c>
    </row>
    <row r="6203" spans="1:28" x14ac:dyDescent="0.25">
      <c r="A6203" t="s">
        <v>6207</v>
      </c>
      <c r="B6203">
        <v>0.99352677808782597</v>
      </c>
      <c r="C6203">
        <v>0.96494925158364997</v>
      </c>
      <c r="D6203">
        <v>0.97869908320314303</v>
      </c>
      <c r="E6203">
        <v>0.90682019991436302</v>
      </c>
      <c r="F6203">
        <v>0.78643987634764401</v>
      </c>
      <c r="G6203">
        <v>0.70503982632693096</v>
      </c>
      <c r="H6203">
        <v>0.68236667981490695</v>
      </c>
      <c r="I6203">
        <v>0.67076668114246496</v>
      </c>
      <c r="J6203">
        <v>0.68142158217520599</v>
      </c>
      <c r="K6203">
        <v>0.56145702948717902</v>
      </c>
      <c r="L6203">
        <v>763.57118143154196</v>
      </c>
      <c r="M6203">
        <v>14.3978609417877</v>
      </c>
      <c r="O6203">
        <v>52.0420618878046</v>
      </c>
      <c r="P6203">
        <v>-2.6520125893039401E-2</v>
      </c>
      <c r="Q6203">
        <v>0.61661017133052498</v>
      </c>
      <c r="R6203">
        <v>0.95722331806427996</v>
      </c>
      <c r="S6203" t="s">
        <v>12488</v>
      </c>
      <c r="T6203" t="s">
        <v>12568</v>
      </c>
      <c r="U6203" t="s">
        <v>12568</v>
      </c>
      <c r="V6203" t="s">
        <v>12568</v>
      </c>
      <c r="W6203" t="s">
        <v>18718</v>
      </c>
      <c r="X6203">
        <v>5</v>
      </c>
      <c r="Y6203" t="s">
        <v>24793</v>
      </c>
      <c r="Z6203" t="s">
        <v>31073</v>
      </c>
      <c r="AA6203">
        <v>0.79188694746156496</v>
      </c>
      <c r="AB6203" t="str">
        <f>HYPERLINK("Melting_Curves/meltCurve_Q9Y5J7_TIMM9.pdf", "Melting_Curves/meltCurve_Q9Y5J7_TIMM9.pdf")</f>
        <v>Melting_Curves/meltCurve_Q9Y5J7_TIMM9.pdf</v>
      </c>
    </row>
    <row r="6204" spans="1:28" x14ac:dyDescent="0.25">
      <c r="A6204" t="s">
        <v>6208</v>
      </c>
      <c r="B6204">
        <v>0.99352677808782597</v>
      </c>
      <c r="C6204">
        <v>1.08592648243899</v>
      </c>
      <c r="D6204">
        <v>1.06962612149783</v>
      </c>
      <c r="E6204">
        <v>1.118308864247</v>
      </c>
      <c r="F6204">
        <v>0.969319165388838</v>
      </c>
      <c r="G6204">
        <v>0.89224006472876405</v>
      </c>
      <c r="H6204">
        <v>0.84852872811445101</v>
      </c>
      <c r="I6204">
        <v>0.77083724225761496</v>
      </c>
      <c r="J6204">
        <v>0.83069839229321996</v>
      </c>
      <c r="K6204">
        <v>0.74229559718253502</v>
      </c>
      <c r="L6204">
        <v>1539.4870602119699</v>
      </c>
      <c r="M6204">
        <v>26.624797428767501</v>
      </c>
      <c r="O6204">
        <v>57.498316197590903</v>
      </c>
      <c r="P6204">
        <v>-2.5644653360533301E-2</v>
      </c>
      <c r="Q6204">
        <v>0.77847584533333403</v>
      </c>
      <c r="R6204">
        <v>0.80125669253194098</v>
      </c>
      <c r="S6204" t="s">
        <v>12489</v>
      </c>
      <c r="T6204" t="s">
        <v>12568</v>
      </c>
      <c r="U6204" t="s">
        <v>12568</v>
      </c>
      <c r="V6204" t="s">
        <v>12568</v>
      </c>
      <c r="W6204" t="s">
        <v>18719</v>
      </c>
      <c r="X6204">
        <v>4</v>
      </c>
      <c r="Y6204" t="s">
        <v>24794</v>
      </c>
      <c r="Z6204" t="s">
        <v>31074</v>
      </c>
      <c r="AA6204">
        <v>0.91184273721142783</v>
      </c>
      <c r="AB6204" t="str">
        <f>HYPERLINK("Melting_Curves/meltCurve_Q9Y5J9_TIMM8B.pdf", "Melting_Curves/meltCurve_Q9Y5J9_TIMM8B.pdf")</f>
        <v>Melting_Curves/meltCurve_Q9Y5J9_TIMM8B.pdf</v>
      </c>
    </row>
    <row r="6205" spans="1:28" x14ac:dyDescent="0.25">
      <c r="A6205" t="s">
        <v>6209</v>
      </c>
      <c r="B6205">
        <v>0.99352677808782597</v>
      </c>
      <c r="C6205">
        <v>1.0676850830720701</v>
      </c>
      <c r="D6205">
        <v>1.0856472337993199</v>
      </c>
      <c r="E6205">
        <v>0.61124025457897302</v>
      </c>
      <c r="F6205">
        <v>0.50250362445156804</v>
      </c>
      <c r="G6205">
        <v>0.27168897796053199</v>
      </c>
      <c r="H6205">
        <v>0.161308216398037</v>
      </c>
      <c r="I6205">
        <v>0.15302513803235801</v>
      </c>
      <c r="J6205">
        <v>0.13268458914040801</v>
      </c>
      <c r="K6205">
        <v>8.7974126190513896E-2</v>
      </c>
      <c r="L6205">
        <v>1071.3821239233901</v>
      </c>
      <c r="M6205">
        <v>20.6786184594398</v>
      </c>
      <c r="N6205">
        <v>52.537772104075202</v>
      </c>
      <c r="O6205">
        <v>51.333867606334202</v>
      </c>
      <c r="P6205">
        <v>-8.8183843484356206E-2</v>
      </c>
      <c r="Q6205">
        <v>0.12437310585059499</v>
      </c>
      <c r="R6205">
        <v>0.97125704267248902</v>
      </c>
      <c r="S6205" t="s">
        <v>12490</v>
      </c>
      <c r="T6205" t="s">
        <v>12568</v>
      </c>
      <c r="U6205" t="s">
        <v>12568</v>
      </c>
      <c r="V6205" t="s">
        <v>12568</v>
      </c>
      <c r="W6205" t="s">
        <v>18720</v>
      </c>
      <c r="X6205">
        <v>12</v>
      </c>
      <c r="Y6205" t="s">
        <v>24795</v>
      </c>
      <c r="Z6205" t="s">
        <v>31075</v>
      </c>
      <c r="AA6205">
        <v>0.48052286552035173</v>
      </c>
      <c r="AB6205" t="str">
        <f>HYPERLINK("Melting_Curves/meltCurve_Q9Y5K5_2_UCHL5.pdf", "Melting_Curves/meltCurve_Q9Y5K5_2_UCHL5.pdf")</f>
        <v>Melting_Curves/meltCurve_Q9Y5K5_2_UCHL5.pdf</v>
      </c>
    </row>
    <row r="6206" spans="1:28" x14ac:dyDescent="0.25">
      <c r="A6206" t="s">
        <v>6210</v>
      </c>
      <c r="B6206">
        <v>0.99352677808782597</v>
      </c>
      <c r="C6206">
        <v>1.02227627049991</v>
      </c>
      <c r="D6206">
        <v>0.97607187167039799</v>
      </c>
      <c r="E6206">
        <v>0.93360033761075101</v>
      </c>
      <c r="F6206">
        <v>0.76902390067728299</v>
      </c>
      <c r="G6206">
        <v>0.67512260792694001</v>
      </c>
      <c r="H6206">
        <v>0.63872801865836204</v>
      </c>
      <c r="I6206">
        <v>0.57930308578738099</v>
      </c>
      <c r="J6206">
        <v>0.66941032151580404</v>
      </c>
      <c r="K6206">
        <v>0.50037104935526799</v>
      </c>
      <c r="L6206">
        <v>1033.24628225832</v>
      </c>
      <c r="M6206">
        <v>19.416214748683998</v>
      </c>
      <c r="O6206">
        <v>52.660789349976</v>
      </c>
      <c r="P6206">
        <v>-3.86807727994199E-2</v>
      </c>
      <c r="Q6206">
        <v>0.58037435449686703</v>
      </c>
      <c r="R6206">
        <v>0.94820850088737396</v>
      </c>
      <c r="S6206" t="s">
        <v>12491</v>
      </c>
      <c r="T6206" t="s">
        <v>12568</v>
      </c>
      <c r="U6206" t="s">
        <v>12568</v>
      </c>
      <c r="V6206" t="s">
        <v>12568</v>
      </c>
      <c r="W6206" t="s">
        <v>18721</v>
      </c>
      <c r="X6206">
        <v>28</v>
      </c>
      <c r="Y6206" t="s">
        <v>24796</v>
      </c>
      <c r="Z6206" t="s">
        <v>31076</v>
      </c>
      <c r="AA6206">
        <v>0.77128096213736463</v>
      </c>
      <c r="AB6206" t="str">
        <f>HYPERLINK("Melting_Curves/meltCurve_Q9Y5K6_CD2AP.pdf", "Melting_Curves/meltCurve_Q9Y5K6_CD2AP.pdf")</f>
        <v>Melting_Curves/meltCurve_Q9Y5K6_CD2AP.pdf</v>
      </c>
    </row>
    <row r="6207" spans="1:28" x14ac:dyDescent="0.25">
      <c r="A6207" t="s">
        <v>6211</v>
      </c>
      <c r="B6207">
        <v>0.99352677808782597</v>
      </c>
      <c r="C6207">
        <v>1.0041171405959</v>
      </c>
      <c r="D6207">
        <v>0.94376346270635503</v>
      </c>
      <c r="E6207">
        <v>0.87824851772865298</v>
      </c>
      <c r="F6207">
        <v>0.747415341735858</v>
      </c>
      <c r="G6207">
        <v>0.587531102973743</v>
      </c>
      <c r="H6207">
        <v>0.44913426551721702</v>
      </c>
      <c r="I6207">
        <v>0.35131752408061401</v>
      </c>
      <c r="J6207">
        <v>0.29633153708316601</v>
      </c>
      <c r="K6207">
        <v>0.20528064475104299</v>
      </c>
      <c r="L6207">
        <v>606.48906330683803</v>
      </c>
      <c r="M6207">
        <v>10.400683845701399</v>
      </c>
      <c r="N6207">
        <v>59.428080925364597</v>
      </c>
      <c r="O6207">
        <v>56.280289006552003</v>
      </c>
      <c r="P6207">
        <v>-4.2120599936766E-2</v>
      </c>
      <c r="Q6207">
        <v>8.86874872972397E-2</v>
      </c>
      <c r="R6207">
        <v>0.99751848083015104</v>
      </c>
      <c r="S6207" t="s">
        <v>12492</v>
      </c>
      <c r="T6207" t="s">
        <v>12568</v>
      </c>
      <c r="U6207" t="s">
        <v>12568</v>
      </c>
      <c r="V6207" t="s">
        <v>12568</v>
      </c>
      <c r="W6207" t="s">
        <v>18722</v>
      </c>
      <c r="X6207">
        <v>13</v>
      </c>
      <c r="Y6207" t="s">
        <v>24797</v>
      </c>
      <c r="Z6207" t="s">
        <v>31077</v>
      </c>
      <c r="AA6207">
        <v>0.65302580289917145</v>
      </c>
      <c r="AB6207" t="str">
        <f>HYPERLINK("Melting_Curves/meltCurve_Q9Y5K8_ATP6V1D.pdf", "Melting_Curves/meltCurve_Q9Y5K8_ATP6V1D.pdf")</f>
        <v>Melting_Curves/meltCurve_Q9Y5K8_ATP6V1D.pdf</v>
      </c>
    </row>
    <row r="6208" spans="1:28" x14ac:dyDescent="0.25">
      <c r="A6208" t="s">
        <v>6212</v>
      </c>
      <c r="B6208">
        <v>0.99352677808782597</v>
      </c>
      <c r="C6208">
        <v>1.01955947405278</v>
      </c>
      <c r="D6208">
        <v>0.93259371050904405</v>
      </c>
      <c r="E6208">
        <v>0.70651494693092298</v>
      </c>
      <c r="F6208">
        <v>0.56665130945097597</v>
      </c>
      <c r="G6208">
        <v>0.31089357335925299</v>
      </c>
      <c r="H6208">
        <v>0.11935478914528699</v>
      </c>
      <c r="I6208">
        <v>9.0719916592619604E-2</v>
      </c>
      <c r="J6208">
        <v>6.9784674069482494E-2</v>
      </c>
      <c r="K6208">
        <v>5.6010534406223701E-2</v>
      </c>
      <c r="L6208">
        <v>815.18099468150695</v>
      </c>
      <c r="M6208">
        <v>15.2494724462303</v>
      </c>
      <c r="N6208">
        <v>53.605046702975599</v>
      </c>
      <c r="O6208">
        <v>52.562365973766497</v>
      </c>
      <c r="P6208">
        <v>-7.1035016402823004E-2</v>
      </c>
      <c r="Q6208">
        <v>2.07097666710062E-2</v>
      </c>
      <c r="R6208">
        <v>0.99634345871714203</v>
      </c>
      <c r="S6208" t="s">
        <v>12493</v>
      </c>
      <c r="T6208" t="s">
        <v>12568</v>
      </c>
      <c r="U6208" t="s">
        <v>12568</v>
      </c>
      <c r="V6208" t="s">
        <v>12568</v>
      </c>
      <c r="W6208" t="s">
        <v>18723</v>
      </c>
      <c r="X6208">
        <v>27</v>
      </c>
      <c r="Y6208" t="s">
        <v>24798</v>
      </c>
      <c r="Z6208" t="s">
        <v>31078</v>
      </c>
      <c r="AA6208">
        <v>0.48016499206435009</v>
      </c>
      <c r="AB6208" t="str">
        <f>HYPERLINK("Melting_Curves/meltCurve_Q9Y5L0_TNPO3.pdf", "Melting_Curves/meltCurve_Q9Y5L0_TNPO3.pdf")</f>
        <v>Melting_Curves/meltCurve_Q9Y5L0_TNPO3.pdf</v>
      </c>
    </row>
    <row r="6209" spans="1:28" x14ac:dyDescent="0.25">
      <c r="A6209" t="s">
        <v>6213</v>
      </c>
      <c r="B6209">
        <v>0.99352677808782597</v>
      </c>
      <c r="C6209">
        <v>1.0253784176713501</v>
      </c>
      <c r="D6209">
        <v>0.93071810596257298</v>
      </c>
      <c r="E6209">
        <v>0.78732002651739297</v>
      </c>
      <c r="F6209">
        <v>0.70765164383913404</v>
      </c>
      <c r="G6209">
        <v>0.48168760442524999</v>
      </c>
      <c r="H6209">
        <v>0.37952343470833499</v>
      </c>
      <c r="I6209">
        <v>0.36732441326538101</v>
      </c>
      <c r="J6209">
        <v>0.34832698393262401</v>
      </c>
      <c r="K6209">
        <v>0.286966199903813</v>
      </c>
      <c r="L6209">
        <v>777.88805023370401</v>
      </c>
      <c r="M6209">
        <v>14.511329113872</v>
      </c>
      <c r="N6209">
        <v>56.975937726132898</v>
      </c>
      <c r="O6209">
        <v>52.618406674428201</v>
      </c>
      <c r="P6209">
        <v>-4.9089606646630798E-2</v>
      </c>
      <c r="Q6209">
        <v>0.28808160239737801</v>
      </c>
      <c r="R6209">
        <v>0.99227904193447303</v>
      </c>
      <c r="S6209" t="s">
        <v>12494</v>
      </c>
      <c r="T6209" t="s">
        <v>12568</v>
      </c>
      <c r="U6209" t="s">
        <v>12568</v>
      </c>
      <c r="V6209" t="s">
        <v>12568</v>
      </c>
      <c r="W6209" t="s">
        <v>18724</v>
      </c>
      <c r="X6209">
        <v>6</v>
      </c>
      <c r="Y6209" t="s">
        <v>24799</v>
      </c>
      <c r="Z6209" t="s">
        <v>31079</v>
      </c>
      <c r="AA6209">
        <v>0.62650064401504679</v>
      </c>
      <c r="AB6209" t="str">
        <f>HYPERLINK("Melting_Curves/meltCurve_Q9Y5L4_TIMM13.pdf", "Melting_Curves/meltCurve_Q9Y5L4_TIMM13.pdf")</f>
        <v>Melting_Curves/meltCurve_Q9Y5L4_TIMM13.pdf</v>
      </c>
    </row>
    <row r="6210" spans="1:28" x14ac:dyDescent="0.25">
      <c r="A6210" t="s">
        <v>6214</v>
      </c>
      <c r="B6210">
        <v>0.99352677808782597</v>
      </c>
      <c r="C6210">
        <v>0.90866406309053704</v>
      </c>
      <c r="D6210">
        <v>0.91977506960501099</v>
      </c>
      <c r="E6210">
        <v>0.39405536512700701</v>
      </c>
      <c r="F6210">
        <v>0.315521701498096</v>
      </c>
      <c r="G6210">
        <v>0.12964800230826701</v>
      </c>
      <c r="H6210">
        <v>5.87082878271704E-2</v>
      </c>
      <c r="I6210">
        <v>5.7556106120216298E-2</v>
      </c>
      <c r="J6210">
        <v>3.8409657433166502E-2</v>
      </c>
      <c r="K6210">
        <v>3.2999225619191802E-2</v>
      </c>
      <c r="L6210">
        <v>997.36141921654598</v>
      </c>
      <c r="M6210">
        <v>20.115736210099598</v>
      </c>
      <c r="N6210">
        <v>49.817506629367102</v>
      </c>
      <c r="O6210">
        <v>49.098943613688398</v>
      </c>
      <c r="P6210">
        <v>-9.7766040445984595E-2</v>
      </c>
      <c r="Q6210">
        <v>4.55118760468088E-2</v>
      </c>
      <c r="R6210">
        <v>0.98440248664797203</v>
      </c>
      <c r="S6210" t="s">
        <v>12495</v>
      </c>
      <c r="T6210" t="s">
        <v>12568</v>
      </c>
      <c r="U6210" t="s">
        <v>12568</v>
      </c>
      <c r="V6210" t="s">
        <v>12568</v>
      </c>
      <c r="W6210" t="s">
        <v>18725</v>
      </c>
      <c r="X6210">
        <v>2</v>
      </c>
      <c r="Y6210" t="s">
        <v>24800</v>
      </c>
      <c r="Z6210" t="s">
        <v>31080</v>
      </c>
      <c r="AA6210">
        <v>0.36351037737268421</v>
      </c>
      <c r="AB6210" t="str">
        <f>HYPERLINK("Melting_Curves/meltCurve_Q9Y5N5_2_N6AMT1.pdf", "Melting_Curves/meltCurve_Q9Y5N5_2_N6AMT1.pdf")</f>
        <v>Melting_Curves/meltCurve_Q9Y5N5_2_N6AMT1.pdf</v>
      </c>
    </row>
    <row r="6211" spans="1:28" x14ac:dyDescent="0.25">
      <c r="A6211" t="s">
        <v>6215</v>
      </c>
      <c r="B6211">
        <v>0.99352677808782597</v>
      </c>
      <c r="C6211">
        <v>0.72922936492284396</v>
      </c>
      <c r="D6211">
        <v>0.40148880562672701</v>
      </c>
      <c r="E6211">
        <v>0.161612602928108</v>
      </c>
      <c r="F6211">
        <v>0.151760361128018</v>
      </c>
      <c r="G6211">
        <v>8.8778493468223502E-2</v>
      </c>
      <c r="H6211">
        <v>5.1130054737396499E-2</v>
      </c>
      <c r="I6211">
        <v>4.8915796471200299E-2</v>
      </c>
      <c r="J6211">
        <v>4.6434723738163798E-2</v>
      </c>
      <c r="K6211">
        <v>4.86772492082925E-2</v>
      </c>
      <c r="L6211">
        <v>964.953603007536</v>
      </c>
      <c r="M6211">
        <v>21.5001056151131</v>
      </c>
      <c r="N6211">
        <v>45.166942317532303</v>
      </c>
      <c r="O6211">
        <v>44.498489648132399</v>
      </c>
      <c r="P6211">
        <v>-0.113116523087716</v>
      </c>
      <c r="Q6211">
        <v>6.3559835233023096E-2</v>
      </c>
      <c r="R6211">
        <v>0.99207564837745899</v>
      </c>
      <c r="S6211" t="s">
        <v>12496</v>
      </c>
      <c r="T6211" t="s">
        <v>12568</v>
      </c>
      <c r="U6211" t="s">
        <v>12568</v>
      </c>
      <c r="V6211" t="s">
        <v>12568</v>
      </c>
      <c r="W6211" t="s">
        <v>18726</v>
      </c>
      <c r="X6211">
        <v>2</v>
      </c>
      <c r="Y6211" t="s">
        <v>24801</v>
      </c>
      <c r="Z6211" t="s">
        <v>31081</v>
      </c>
      <c r="AA6211">
        <v>0.22948843338994901</v>
      </c>
      <c r="AB6211" t="str">
        <f>HYPERLINK("Melting_Curves/meltCurve_Q9Y5N6_ORC6.pdf", "Melting_Curves/meltCurve_Q9Y5N6_ORC6.pdf")</f>
        <v>Melting_Curves/meltCurve_Q9Y5N6_ORC6.pdf</v>
      </c>
    </row>
    <row r="6212" spans="1:28" x14ac:dyDescent="0.25">
      <c r="A6212" t="s">
        <v>6216</v>
      </c>
      <c r="B6212">
        <v>0.99352677808782597</v>
      </c>
      <c r="C6212">
        <v>0.97662628400384999</v>
      </c>
      <c r="D6212">
        <v>0.90094492003215598</v>
      </c>
      <c r="E6212">
        <v>0.59598324847156203</v>
      </c>
      <c r="F6212">
        <v>0.50037625596017699</v>
      </c>
      <c r="G6212">
        <v>0.233684814604076</v>
      </c>
      <c r="H6212">
        <v>0.13471396322933701</v>
      </c>
      <c r="I6212">
        <v>0.121388373881735</v>
      </c>
      <c r="J6212">
        <v>0.122322790934175</v>
      </c>
      <c r="K6212">
        <v>0.100423197057946</v>
      </c>
      <c r="L6212">
        <v>813.29317407270401</v>
      </c>
      <c r="M6212">
        <v>15.7810107651169</v>
      </c>
      <c r="N6212">
        <v>52.1395213025095</v>
      </c>
      <c r="O6212">
        <v>50.729935621325403</v>
      </c>
      <c r="P6212">
        <v>-7.1285515070275099E-2</v>
      </c>
      <c r="Q6212">
        <v>8.3452914335123904E-2</v>
      </c>
      <c r="R6212">
        <v>0.99391361252935995</v>
      </c>
      <c r="S6212" t="s">
        <v>12497</v>
      </c>
      <c r="T6212" t="s">
        <v>12568</v>
      </c>
      <c r="U6212" t="s">
        <v>12568</v>
      </c>
      <c r="V6212" t="s">
        <v>12568</v>
      </c>
      <c r="W6212" t="s">
        <v>18727</v>
      </c>
      <c r="X6212">
        <v>12</v>
      </c>
      <c r="Y6212" t="s">
        <v>24802</v>
      </c>
      <c r="Z6212" t="s">
        <v>31082</v>
      </c>
      <c r="AA6212">
        <v>0.4550810999380801</v>
      </c>
      <c r="AB6212" t="str">
        <f>HYPERLINK("Melting_Curves/meltCurve_Q9Y5P4_2_COL4A3BP.pdf", "Melting_Curves/meltCurve_Q9Y5P4_2_COL4A3BP.pdf")</f>
        <v>Melting_Curves/meltCurve_Q9Y5P4_2_COL4A3BP.pdf</v>
      </c>
    </row>
    <row r="6213" spans="1:28" x14ac:dyDescent="0.25">
      <c r="A6213" t="s">
        <v>6217</v>
      </c>
      <c r="B6213">
        <v>0.99352677808782597</v>
      </c>
      <c r="C6213">
        <v>1.0078865688482399</v>
      </c>
      <c r="D6213">
        <v>0.92733193642502298</v>
      </c>
      <c r="E6213">
        <v>0.67270977246921904</v>
      </c>
      <c r="F6213">
        <v>0.50644744050282398</v>
      </c>
      <c r="G6213">
        <v>0.41245468298655102</v>
      </c>
      <c r="H6213">
        <v>0.246157371322551</v>
      </c>
      <c r="I6213">
        <v>0.13582729847807201</v>
      </c>
      <c r="J6213">
        <v>0.109116434966926</v>
      </c>
      <c r="K6213">
        <v>8.9557264222615202E-2</v>
      </c>
      <c r="L6213">
        <v>646.20385655510097</v>
      </c>
      <c r="M6213">
        <v>12.059524072412801</v>
      </c>
      <c r="N6213">
        <v>53.963441627213101</v>
      </c>
      <c r="O6213">
        <v>52.174904576692199</v>
      </c>
      <c r="P6213">
        <v>-5.5451383309041702E-2</v>
      </c>
      <c r="Q6213">
        <v>4.0596770664875902E-2</v>
      </c>
      <c r="R6213">
        <v>0.98918582350335704</v>
      </c>
      <c r="S6213" t="s">
        <v>12498</v>
      </c>
      <c r="T6213" t="s">
        <v>12568</v>
      </c>
      <c r="U6213" t="s">
        <v>12568</v>
      </c>
      <c r="V6213" t="s">
        <v>12568</v>
      </c>
      <c r="W6213" t="s">
        <v>18728</v>
      </c>
      <c r="X6213">
        <v>10</v>
      </c>
      <c r="Y6213" t="s">
        <v>24803</v>
      </c>
      <c r="Z6213" t="s">
        <v>31083</v>
      </c>
      <c r="AA6213">
        <v>0.50092829975432196</v>
      </c>
      <c r="AB6213" t="str">
        <f>HYPERLINK("Melting_Curves/meltCurve_Q9Y5P6_GMPPB.pdf", "Melting_Curves/meltCurve_Q9Y5P6_GMPPB.pdf")</f>
        <v>Melting_Curves/meltCurve_Q9Y5P6_GMPPB.pdf</v>
      </c>
    </row>
    <row r="6214" spans="1:28" x14ac:dyDescent="0.25">
      <c r="A6214" t="s">
        <v>6218</v>
      </c>
      <c r="B6214">
        <v>0.99352677808782597</v>
      </c>
      <c r="C6214">
        <v>0.97295017824840402</v>
      </c>
      <c r="D6214">
        <v>0.85701494617954599</v>
      </c>
      <c r="E6214">
        <v>0.45349585867569397</v>
      </c>
      <c r="F6214">
        <v>0.35570833923550299</v>
      </c>
      <c r="G6214">
        <v>0.223475874673423</v>
      </c>
      <c r="H6214">
        <v>9.9807252157551193E-2</v>
      </c>
      <c r="I6214">
        <v>8.4959673184310303E-2</v>
      </c>
      <c r="J6214">
        <v>6.6888178589926503E-2</v>
      </c>
      <c r="K6214">
        <v>6.3000980456579994E-2</v>
      </c>
      <c r="L6214">
        <v>837.78155697626698</v>
      </c>
      <c r="M6214">
        <v>16.785599676846001</v>
      </c>
      <c r="N6214">
        <v>50.351036095300302</v>
      </c>
      <c r="O6214">
        <v>49.218486964326303</v>
      </c>
      <c r="P6214">
        <v>-7.9445899678912496E-2</v>
      </c>
      <c r="Q6214">
        <v>6.82601640779915E-2</v>
      </c>
      <c r="R6214">
        <v>0.99096145091252097</v>
      </c>
      <c r="S6214" t="s">
        <v>12499</v>
      </c>
      <c r="T6214" t="s">
        <v>12568</v>
      </c>
      <c r="U6214" t="s">
        <v>12568</v>
      </c>
      <c r="V6214" t="s">
        <v>12568</v>
      </c>
      <c r="W6214" t="s">
        <v>18729</v>
      </c>
      <c r="X6214">
        <v>11</v>
      </c>
      <c r="Y6214" t="s">
        <v>24804</v>
      </c>
      <c r="Z6214" t="s">
        <v>31084</v>
      </c>
      <c r="AA6214">
        <v>0.39421663566625043</v>
      </c>
      <c r="AB6214" t="str">
        <f>HYPERLINK("Melting_Curves/meltCurve_Q9Y5Q8_GTF3C5.pdf", "Melting_Curves/meltCurve_Q9Y5Q8_GTF3C5.pdf")</f>
        <v>Melting_Curves/meltCurve_Q9Y5Q8_GTF3C5.pdf</v>
      </c>
    </row>
    <row r="6215" spans="1:28" x14ac:dyDescent="0.25">
      <c r="A6215" t="s">
        <v>6219</v>
      </c>
      <c r="B6215">
        <v>0.99352677808782597</v>
      </c>
      <c r="C6215">
        <v>0.94866510443498298</v>
      </c>
      <c r="D6215">
        <v>0.76805770939871698</v>
      </c>
      <c r="E6215">
        <v>0.47836927204479901</v>
      </c>
      <c r="F6215">
        <v>0.42766301142757501</v>
      </c>
      <c r="G6215">
        <v>0.30699568631789498</v>
      </c>
      <c r="H6215">
        <v>0.248608197476061</v>
      </c>
      <c r="I6215">
        <v>0.28535426264253599</v>
      </c>
      <c r="J6215">
        <v>0.21281069456899401</v>
      </c>
      <c r="K6215">
        <v>0.17253643523898299</v>
      </c>
      <c r="L6215">
        <v>761.29253837829503</v>
      </c>
      <c r="M6215">
        <v>15.6537937559567</v>
      </c>
      <c r="N6215">
        <v>50.484637028530798</v>
      </c>
      <c r="O6215">
        <v>47.860150956375698</v>
      </c>
      <c r="P6215">
        <v>-6.39159599108894E-2</v>
      </c>
      <c r="Q6215">
        <v>0.21839593701316701</v>
      </c>
      <c r="R6215">
        <v>0.98679699482280103</v>
      </c>
      <c r="S6215" t="s">
        <v>12500</v>
      </c>
      <c r="T6215" t="s">
        <v>12568</v>
      </c>
      <c r="U6215" t="s">
        <v>12568</v>
      </c>
      <c r="V6215" t="s">
        <v>12568</v>
      </c>
      <c r="W6215" t="s">
        <v>18730</v>
      </c>
      <c r="X6215">
        <v>11</v>
      </c>
      <c r="Y6215" t="s">
        <v>24805</v>
      </c>
      <c r="Z6215" t="s">
        <v>31085</v>
      </c>
      <c r="AA6215">
        <v>0.46133458553023882</v>
      </c>
      <c r="AB6215" t="str">
        <f>HYPERLINK("Melting_Curves/meltCurve_Q9Y5Q9_GTF3C3.pdf", "Melting_Curves/meltCurve_Q9Y5Q9_GTF3C3.pdf")</f>
        <v>Melting_Curves/meltCurve_Q9Y5Q9_GTF3C3.pdf</v>
      </c>
    </row>
    <row r="6216" spans="1:28" x14ac:dyDescent="0.25">
      <c r="A6216" t="s">
        <v>6220</v>
      </c>
      <c r="B6216">
        <v>0.99352677808782597</v>
      </c>
      <c r="C6216">
        <v>0.91701812185343201</v>
      </c>
      <c r="D6216">
        <v>0.76689114974086803</v>
      </c>
      <c r="E6216">
        <v>0.57132385609296099</v>
      </c>
      <c r="F6216">
        <v>0.44961834844470899</v>
      </c>
      <c r="G6216">
        <v>0.286773036603923</v>
      </c>
      <c r="H6216">
        <v>0.17350928812543201</v>
      </c>
      <c r="I6216">
        <v>0.18213407187643399</v>
      </c>
      <c r="J6216">
        <v>0.13344666361794599</v>
      </c>
      <c r="K6216">
        <v>8.7016526258217097E-2</v>
      </c>
      <c r="L6216">
        <v>579.95361887196395</v>
      </c>
      <c r="M6216">
        <v>11.385473682656</v>
      </c>
      <c r="N6216">
        <v>51.617120955078398</v>
      </c>
      <c r="O6216">
        <v>49.442565270819898</v>
      </c>
      <c r="P6216">
        <v>-5.35807538950041E-2</v>
      </c>
      <c r="Q6216">
        <v>6.9555824143566994E-2</v>
      </c>
      <c r="R6216">
        <v>0.99608268399430999</v>
      </c>
      <c r="S6216" t="s">
        <v>12501</v>
      </c>
      <c r="T6216" t="s">
        <v>12568</v>
      </c>
      <c r="U6216" t="s">
        <v>12568</v>
      </c>
      <c r="V6216" t="s">
        <v>12568</v>
      </c>
      <c r="W6216" t="s">
        <v>18731</v>
      </c>
      <c r="X6216">
        <v>5</v>
      </c>
      <c r="Y6216" t="s">
        <v>24806</v>
      </c>
      <c r="Z6216" t="s">
        <v>31086</v>
      </c>
      <c r="AA6216">
        <v>0.44160366359108599</v>
      </c>
      <c r="AB6216" t="str">
        <f>HYPERLINK("Melting_Curves/meltCurve_Q9Y5R8_TRAPPC1.pdf", "Melting_Curves/meltCurve_Q9Y5R8_TRAPPC1.pdf")</f>
        <v>Melting_Curves/meltCurve_Q9Y5R8_TRAPPC1.pdf</v>
      </c>
    </row>
    <row r="6217" spans="1:28" x14ac:dyDescent="0.25">
      <c r="A6217" t="s">
        <v>6221</v>
      </c>
      <c r="B6217">
        <v>0.99352677808782597</v>
      </c>
      <c r="C6217">
        <v>0.92233519294206101</v>
      </c>
      <c r="D6217">
        <v>0.83002358686938404</v>
      </c>
      <c r="E6217">
        <v>0.33392790893363999</v>
      </c>
      <c r="F6217">
        <v>0.27095380582094097</v>
      </c>
      <c r="G6217">
        <v>0.15126938996324399</v>
      </c>
      <c r="H6217">
        <v>0.100145008791112</v>
      </c>
      <c r="I6217">
        <v>9.5389291333894399E-2</v>
      </c>
      <c r="J6217">
        <v>7.5847949253466204E-2</v>
      </c>
      <c r="K6217">
        <v>6.6054687152072994E-2</v>
      </c>
      <c r="L6217">
        <v>1058.55919899579</v>
      </c>
      <c r="M6217">
        <v>21.841621246227199</v>
      </c>
      <c r="N6217">
        <v>48.9139935813172</v>
      </c>
      <c r="O6217">
        <v>48.064458892787101</v>
      </c>
      <c r="P6217">
        <v>-0.103293662451536</v>
      </c>
      <c r="Q6217">
        <v>9.0792944417440194E-2</v>
      </c>
      <c r="R6217">
        <v>0.99062059881748799</v>
      </c>
      <c r="S6217" t="s">
        <v>12502</v>
      </c>
      <c r="T6217" t="s">
        <v>12568</v>
      </c>
      <c r="U6217" t="s">
        <v>12568</v>
      </c>
      <c r="V6217" t="s">
        <v>12568</v>
      </c>
      <c r="W6217" t="s">
        <v>18732</v>
      </c>
      <c r="X6217">
        <v>42</v>
      </c>
      <c r="Y6217" t="s">
        <v>24807</v>
      </c>
      <c r="Z6217" t="s">
        <v>31087</v>
      </c>
      <c r="AA6217">
        <v>0.35801216555776522</v>
      </c>
      <c r="AB6217" t="str">
        <f>HYPERLINK("Melting_Curves/meltCurve_Q9Y5S2_CDC42BPB.pdf", "Melting_Curves/meltCurve_Q9Y5S2_CDC42BPB.pdf")</f>
        <v>Melting_Curves/meltCurve_Q9Y5S2_CDC42BPB.pdf</v>
      </c>
    </row>
    <row r="6218" spans="1:28" x14ac:dyDescent="0.25">
      <c r="A6218" t="s">
        <v>6222</v>
      </c>
      <c r="B6218">
        <v>0.99352677808782597</v>
      </c>
      <c r="C6218">
        <v>1.0034031692871199</v>
      </c>
      <c r="D6218">
        <v>1.0202385539946299</v>
      </c>
      <c r="E6218">
        <v>0.90752261930615397</v>
      </c>
      <c r="F6218">
        <v>0.76378114594254598</v>
      </c>
      <c r="G6218">
        <v>0.63049613649652603</v>
      </c>
      <c r="H6218">
        <v>0.500251022812082</v>
      </c>
      <c r="I6218">
        <v>0.50635041947457304</v>
      </c>
      <c r="J6218">
        <v>0.61025069852204505</v>
      </c>
      <c r="K6218">
        <v>0.51620217858248796</v>
      </c>
      <c r="L6218">
        <v>1324.4821425354901</v>
      </c>
      <c r="M6218">
        <v>24.969579358518398</v>
      </c>
      <c r="O6218">
        <v>52.707117736918299</v>
      </c>
      <c r="P6218">
        <v>-5.5421276362818003E-2</v>
      </c>
      <c r="Q6218">
        <v>0.53206160254633394</v>
      </c>
      <c r="R6218">
        <v>0.97376807384281505</v>
      </c>
      <c r="S6218" t="s">
        <v>12503</v>
      </c>
      <c r="T6218" t="s">
        <v>12568</v>
      </c>
      <c r="U6218" t="s">
        <v>12568</v>
      </c>
      <c r="V6218" t="s">
        <v>12568</v>
      </c>
      <c r="W6218" t="s">
        <v>18733</v>
      </c>
      <c r="X6218">
        <v>5</v>
      </c>
      <c r="Y6218" t="s">
        <v>24808</v>
      </c>
      <c r="Z6218" t="s">
        <v>31088</v>
      </c>
      <c r="AA6218">
        <v>0.739838144426475</v>
      </c>
      <c r="AB6218" t="str">
        <f>HYPERLINK("Melting_Curves/meltCurve_Q9Y5S9_RBM8A.pdf", "Melting_Curves/meltCurve_Q9Y5S9_RBM8A.pdf")</f>
        <v>Melting_Curves/meltCurve_Q9Y5S9_RBM8A.pdf</v>
      </c>
    </row>
    <row r="6219" spans="1:28" x14ac:dyDescent="0.25">
      <c r="A6219" t="s">
        <v>6223</v>
      </c>
      <c r="B6219">
        <v>0.99352677808782597</v>
      </c>
      <c r="C6219">
        <v>0.90083802501669796</v>
      </c>
      <c r="D6219">
        <v>0.84581241152855202</v>
      </c>
      <c r="E6219">
        <v>1.28550014075831</v>
      </c>
      <c r="F6219">
        <v>1.3306682555640901</v>
      </c>
      <c r="G6219">
        <v>1.43286243612252</v>
      </c>
      <c r="H6219">
        <v>1.3171523309476201</v>
      </c>
      <c r="I6219">
        <v>1.55894125408561</v>
      </c>
      <c r="J6219">
        <v>1.5597955388944</v>
      </c>
      <c r="K6219">
        <v>1.38707828150173</v>
      </c>
      <c r="L6219">
        <v>3437.24557039808</v>
      </c>
      <c r="M6219">
        <v>69.327569170025996</v>
      </c>
      <c r="O6219">
        <v>49.538579848870803</v>
      </c>
      <c r="P6219">
        <v>0.15142302708338001</v>
      </c>
      <c r="Q6219">
        <v>1.43280208485789</v>
      </c>
      <c r="R6219">
        <v>0.84930469504808304</v>
      </c>
      <c r="S6219" t="s">
        <v>12504</v>
      </c>
      <c r="T6219" t="s">
        <v>12568</v>
      </c>
      <c r="U6219" t="s">
        <v>12568</v>
      </c>
      <c r="V6219" t="s">
        <v>12568</v>
      </c>
      <c r="W6219" t="s">
        <v>18734</v>
      </c>
      <c r="X6219">
        <v>7</v>
      </c>
      <c r="Y6219" t="s">
        <v>24809</v>
      </c>
      <c r="Z6219" t="s">
        <v>31089</v>
      </c>
      <c r="AA6219">
        <v>1.2941061234894231</v>
      </c>
      <c r="AB6219" t="str">
        <f>HYPERLINK("Melting_Curves/meltCurve_Q9Y5U2_2_TSSC4.pdf", "Melting_Curves/meltCurve_Q9Y5U2_2_TSSC4.pdf")</f>
        <v>Melting_Curves/meltCurve_Q9Y5U2_2_TSSC4.pdf</v>
      </c>
    </row>
    <row r="6220" spans="1:28" x14ac:dyDescent="0.25">
      <c r="A6220" t="s">
        <v>6224</v>
      </c>
      <c r="B6220">
        <v>0.99352677808782597</v>
      </c>
      <c r="C6220">
        <v>1.0717204788583301</v>
      </c>
      <c r="D6220">
        <v>1.14947469407117</v>
      </c>
      <c r="E6220">
        <v>0.95504351688733702</v>
      </c>
      <c r="F6220">
        <v>0.88345157715878997</v>
      </c>
      <c r="G6220">
        <v>0.87898681637843501</v>
      </c>
      <c r="H6220">
        <v>0.80906537976191095</v>
      </c>
      <c r="I6220">
        <v>0.88366169168720698</v>
      </c>
      <c r="J6220">
        <v>0.847728221654101</v>
      </c>
      <c r="K6220">
        <v>0.66745017684177599</v>
      </c>
      <c r="L6220">
        <v>446.91378579235698</v>
      </c>
      <c r="M6220">
        <v>5.4356952252000204</v>
      </c>
      <c r="Q6220">
        <v>0</v>
      </c>
      <c r="R6220">
        <v>0.67470116968386196</v>
      </c>
      <c r="S6220" t="s">
        <v>12505</v>
      </c>
      <c r="T6220" t="s">
        <v>12568</v>
      </c>
      <c r="U6220" t="s">
        <v>12568</v>
      </c>
      <c r="V6220" t="s">
        <v>12568</v>
      </c>
      <c r="W6220" t="s">
        <v>18735</v>
      </c>
      <c r="X6220">
        <v>5</v>
      </c>
      <c r="Y6220" t="s">
        <v>24810</v>
      </c>
      <c r="Z6220" t="s">
        <v>31090</v>
      </c>
      <c r="AA6220">
        <v>0.90881076633648061</v>
      </c>
      <c r="AB6220" t="str">
        <f>HYPERLINK("Melting_Curves/meltCurve_Q9Y5V0_ZNF706.pdf", "Melting_Curves/meltCurve_Q9Y5V0_ZNF706.pdf")</f>
        <v>Melting_Curves/meltCurve_Q9Y5V0_ZNF706.pdf</v>
      </c>
    </row>
    <row r="6221" spans="1:28" x14ac:dyDescent="0.25">
      <c r="A6221" t="s">
        <v>6225</v>
      </c>
      <c r="B6221">
        <v>0.99352677808782597</v>
      </c>
      <c r="C6221">
        <v>0.98657751374182701</v>
      </c>
      <c r="D6221">
        <v>1.03593697488564</v>
      </c>
      <c r="E6221">
        <v>0.95275575156765802</v>
      </c>
      <c r="F6221">
        <v>0.87552348216800302</v>
      </c>
      <c r="G6221">
        <v>0.76263207747419703</v>
      </c>
      <c r="H6221">
        <v>0.61101859240073098</v>
      </c>
      <c r="I6221">
        <v>0.63837856566446205</v>
      </c>
      <c r="J6221">
        <v>0.69632894544828505</v>
      </c>
      <c r="K6221">
        <v>0.63245560221448605</v>
      </c>
      <c r="L6221">
        <v>1343.2972882619199</v>
      </c>
      <c r="M6221">
        <v>24.617398070032198</v>
      </c>
      <c r="O6221">
        <v>54.210736487370603</v>
      </c>
      <c r="P6221">
        <v>-4.0852305001449297E-2</v>
      </c>
      <c r="Q6221">
        <v>0.640156650666873</v>
      </c>
      <c r="R6221">
        <v>0.96580189492661905</v>
      </c>
      <c r="S6221" t="s">
        <v>12506</v>
      </c>
      <c r="T6221" t="s">
        <v>12568</v>
      </c>
      <c r="U6221" t="s">
        <v>12568</v>
      </c>
      <c r="V6221" t="s">
        <v>12568</v>
      </c>
      <c r="W6221" t="s">
        <v>18736</v>
      </c>
      <c r="X6221">
        <v>6</v>
      </c>
      <c r="Y6221" t="s">
        <v>24811</v>
      </c>
      <c r="Z6221" t="s">
        <v>31091</v>
      </c>
      <c r="AA6221">
        <v>0.81830909938275564</v>
      </c>
      <c r="AB6221" t="str">
        <f>HYPERLINK("Melting_Curves/meltCurve_Q9Y5V3_MAGED1.pdf", "Melting_Curves/meltCurve_Q9Y5V3_MAGED1.pdf")</f>
        <v>Melting_Curves/meltCurve_Q9Y5V3_MAGED1.pdf</v>
      </c>
    </row>
    <row r="6222" spans="1:28" x14ac:dyDescent="0.25">
      <c r="A6222" t="s">
        <v>6226</v>
      </c>
      <c r="B6222">
        <v>0.99352677808782597</v>
      </c>
      <c r="C6222">
        <v>0.98854174060573996</v>
      </c>
      <c r="D6222">
        <v>0.95457046307708404</v>
      </c>
      <c r="E6222">
        <v>0.50721225402704595</v>
      </c>
      <c r="F6222">
        <v>0.45577401140109203</v>
      </c>
      <c r="G6222">
        <v>0.38141696416745402</v>
      </c>
      <c r="H6222">
        <v>0.32317349540436002</v>
      </c>
      <c r="I6222">
        <v>0.34055714377565499</v>
      </c>
      <c r="J6222">
        <v>0.35245919225014299</v>
      </c>
      <c r="K6222">
        <v>0.29553851157844202</v>
      </c>
      <c r="L6222">
        <v>1678.6998971844901</v>
      </c>
      <c r="M6222">
        <v>34.437785454180599</v>
      </c>
      <c r="N6222">
        <v>50.478953541317097</v>
      </c>
      <c r="O6222">
        <v>48.582381029809298</v>
      </c>
      <c r="P6222">
        <v>-0.115769960719909</v>
      </c>
      <c r="Q6222">
        <v>0.34672231538308601</v>
      </c>
      <c r="R6222">
        <v>0.98590364599802804</v>
      </c>
      <c r="S6222" t="s">
        <v>12507</v>
      </c>
      <c r="T6222" t="s">
        <v>12568</v>
      </c>
      <c r="U6222" t="s">
        <v>12568</v>
      </c>
      <c r="V6222" t="s">
        <v>12568</v>
      </c>
      <c r="W6222" t="s">
        <v>18737</v>
      </c>
      <c r="X6222">
        <v>2</v>
      </c>
      <c r="Y6222" t="s">
        <v>24812</v>
      </c>
      <c r="Z6222" t="s">
        <v>31092</v>
      </c>
      <c r="AA6222">
        <v>0.54016022957948662</v>
      </c>
      <c r="AB6222" t="str">
        <f>HYPERLINK("Melting_Curves/meltCurve_Q9Y5X1_SNX9.pdf", "Melting_Curves/meltCurve_Q9Y5X1_SNX9.pdf")</f>
        <v>Melting_Curves/meltCurve_Q9Y5X1_SNX9.pdf</v>
      </c>
    </row>
    <row r="6223" spans="1:28" x14ac:dyDescent="0.25">
      <c r="A6223" t="s">
        <v>6227</v>
      </c>
      <c r="B6223">
        <v>0.99352677808782597</v>
      </c>
      <c r="C6223">
        <v>0.97290235068442799</v>
      </c>
      <c r="D6223">
        <v>0.92114340790872595</v>
      </c>
      <c r="E6223">
        <v>0.87361646865739695</v>
      </c>
      <c r="F6223">
        <v>0.73599704395635701</v>
      </c>
      <c r="G6223">
        <v>0.53021081907643797</v>
      </c>
      <c r="H6223">
        <v>0.309351242522036</v>
      </c>
      <c r="I6223">
        <v>0.13653187313493001</v>
      </c>
      <c r="J6223">
        <v>9.9307896438129095E-2</v>
      </c>
      <c r="K6223">
        <v>7.4815439596060698E-2</v>
      </c>
      <c r="L6223">
        <v>794.854558532699</v>
      </c>
      <c r="M6223">
        <v>13.932175373665199</v>
      </c>
      <c r="N6223">
        <v>57.051728923310201</v>
      </c>
      <c r="O6223">
        <v>55.914881896913499</v>
      </c>
      <c r="P6223">
        <v>-6.23002947860807E-2</v>
      </c>
      <c r="Q6223">
        <v>0</v>
      </c>
      <c r="R6223">
        <v>0.99566592531717102</v>
      </c>
      <c r="S6223" t="s">
        <v>12508</v>
      </c>
      <c r="T6223" t="s">
        <v>12568</v>
      </c>
      <c r="U6223" t="s">
        <v>12568</v>
      </c>
      <c r="V6223" t="s">
        <v>12568</v>
      </c>
      <c r="W6223" t="s">
        <v>18738</v>
      </c>
      <c r="X6223">
        <v>10</v>
      </c>
      <c r="Y6223" t="s">
        <v>24813</v>
      </c>
      <c r="Z6223" t="s">
        <v>31093</v>
      </c>
      <c r="AA6223">
        <v>0.58464157643923587</v>
      </c>
      <c r="AB6223" t="str">
        <f>HYPERLINK("Melting_Curves/meltCurve_Q9Y5X2_SNX8.pdf", "Melting_Curves/meltCurve_Q9Y5X2_SNX8.pdf")</f>
        <v>Melting_Curves/meltCurve_Q9Y5X2_SNX8.pdf</v>
      </c>
    </row>
    <row r="6224" spans="1:28" x14ac:dyDescent="0.25">
      <c r="A6224" t="s">
        <v>6228</v>
      </c>
      <c r="B6224">
        <v>0.99352677808782597</v>
      </c>
      <c r="C6224">
        <v>1.09815285289325</v>
      </c>
      <c r="D6224">
        <v>0.71105276225597303</v>
      </c>
      <c r="E6224">
        <v>0.37525040685593097</v>
      </c>
      <c r="F6224">
        <v>0.27942882196865099</v>
      </c>
      <c r="G6224">
        <v>0.168904969722773</v>
      </c>
      <c r="H6224">
        <v>0.110749164791814</v>
      </c>
      <c r="I6224">
        <v>0.107038976118859</v>
      </c>
      <c r="J6224">
        <v>9.0589424873923394E-2</v>
      </c>
      <c r="K6224">
        <v>7.7490957611198799E-2</v>
      </c>
      <c r="L6224">
        <v>1044.8325600155399</v>
      </c>
      <c r="M6224">
        <v>21.6354546528462</v>
      </c>
      <c r="N6224">
        <v>48.836860094305599</v>
      </c>
      <c r="O6224">
        <v>47.885718467250499</v>
      </c>
      <c r="P6224">
        <v>-0.100856085577422</v>
      </c>
      <c r="Q6224">
        <v>0.107122855848766</v>
      </c>
      <c r="R6224">
        <v>0.975628349700709</v>
      </c>
      <c r="S6224" t="s">
        <v>12509</v>
      </c>
      <c r="T6224" t="s">
        <v>12568</v>
      </c>
      <c r="U6224" t="s">
        <v>12568</v>
      </c>
      <c r="V6224" t="s">
        <v>12568</v>
      </c>
      <c r="W6224" t="s">
        <v>18739</v>
      </c>
      <c r="X6224">
        <v>16</v>
      </c>
      <c r="Y6224" t="s">
        <v>24814</v>
      </c>
      <c r="Z6224" t="s">
        <v>31094</v>
      </c>
      <c r="AA6224">
        <v>0.36463129004871692</v>
      </c>
      <c r="AB6224" t="str">
        <f>HYPERLINK("Melting_Curves/meltCurve_Q9Y5X3_SNX5.pdf", "Melting_Curves/meltCurve_Q9Y5X3_SNX5.pdf")</f>
        <v>Melting_Curves/meltCurve_Q9Y5X3_SNX5.pdf</v>
      </c>
    </row>
    <row r="6225" spans="1:28" x14ac:dyDescent="0.25">
      <c r="A6225" t="s">
        <v>6229</v>
      </c>
      <c r="B6225">
        <v>0.99352677808782597</v>
      </c>
      <c r="C6225">
        <v>0.94956931275880296</v>
      </c>
      <c r="D6225">
        <v>1.06040422648137</v>
      </c>
      <c r="E6225">
        <v>1.1457376824997201</v>
      </c>
      <c r="F6225">
        <v>1.00683229244471</v>
      </c>
      <c r="G6225">
        <v>1.1287595040151699</v>
      </c>
      <c r="H6225">
        <v>0.96679787722326005</v>
      </c>
      <c r="I6225">
        <v>1.07349858521087</v>
      </c>
      <c r="J6225">
        <v>1.0190764249292701</v>
      </c>
      <c r="K6225">
        <v>1.0066517147110099</v>
      </c>
      <c r="L6225">
        <v>11137.8970553983</v>
      </c>
      <c r="M6225">
        <v>250</v>
      </c>
      <c r="O6225">
        <v>44.548737336371197</v>
      </c>
      <c r="P6225">
        <v>7.1540766811354101E-2</v>
      </c>
      <c r="Q6225">
        <v>1.0509928130741699</v>
      </c>
      <c r="R6225">
        <v>0.21892491215676901</v>
      </c>
      <c r="S6225" t="s">
        <v>12510</v>
      </c>
      <c r="T6225" t="s">
        <v>12568</v>
      </c>
      <c r="U6225" t="s">
        <v>12568</v>
      </c>
      <c r="V6225" t="s">
        <v>12568</v>
      </c>
      <c r="W6225" t="s">
        <v>18740</v>
      </c>
      <c r="X6225">
        <v>3</v>
      </c>
      <c r="Y6225" t="s">
        <v>24815</v>
      </c>
      <c r="Z6225" t="s">
        <v>31095</v>
      </c>
      <c r="AA6225">
        <v>1.0432522165024121</v>
      </c>
      <c r="AB6225" t="str">
        <f>HYPERLINK("Melting_Curves/meltCurve_Q9Y5Y0_FLVCR1.pdf", "Melting_Curves/meltCurve_Q9Y5Y0_FLVCR1.pdf")</f>
        <v>Melting_Curves/meltCurve_Q9Y5Y0_FLVCR1.pdf</v>
      </c>
    </row>
    <row r="6226" spans="1:28" x14ac:dyDescent="0.25">
      <c r="A6226" t="s">
        <v>6230</v>
      </c>
      <c r="B6226">
        <v>0.99352677808782597</v>
      </c>
      <c r="C6226">
        <v>1.00494776103739</v>
      </c>
      <c r="D6226">
        <v>0.95059902466185797</v>
      </c>
      <c r="E6226">
        <v>0.53995077912098899</v>
      </c>
      <c r="F6226">
        <v>0.420648614890407</v>
      </c>
      <c r="G6226">
        <v>0.273454983461694</v>
      </c>
      <c r="H6226">
        <v>0.199164346363956</v>
      </c>
      <c r="I6226">
        <v>0.174816245856865</v>
      </c>
      <c r="J6226">
        <v>0.134542717635487</v>
      </c>
      <c r="K6226">
        <v>8.4137142126477896E-2</v>
      </c>
      <c r="L6226">
        <v>937.38219323314297</v>
      </c>
      <c r="M6226">
        <v>18.5289692485449</v>
      </c>
      <c r="N6226">
        <v>51.489752153786803</v>
      </c>
      <c r="O6226">
        <v>50.011866358480802</v>
      </c>
      <c r="P6226">
        <v>-7.9818182840824495E-2</v>
      </c>
      <c r="Q6226">
        <v>0.13828329008635901</v>
      </c>
      <c r="R6226">
        <v>0.98535865003072198</v>
      </c>
      <c r="S6226" t="s">
        <v>12511</v>
      </c>
      <c r="T6226" t="s">
        <v>12568</v>
      </c>
      <c r="U6226" t="s">
        <v>12568</v>
      </c>
      <c r="V6226" t="s">
        <v>12568</v>
      </c>
      <c r="W6226" t="s">
        <v>18741</v>
      </c>
      <c r="X6226">
        <v>5</v>
      </c>
      <c r="Y6226" t="s">
        <v>24816</v>
      </c>
      <c r="Z6226" t="s">
        <v>31096</v>
      </c>
      <c r="AA6226">
        <v>0.45629886122038238</v>
      </c>
      <c r="AB6226" t="str">
        <f>HYPERLINK("Melting_Curves/meltCurve_Q9Y5Y2_NUBP2.pdf", "Melting_Curves/meltCurve_Q9Y5Y2_NUBP2.pdf")</f>
        <v>Melting_Curves/meltCurve_Q9Y5Y2_NUBP2.pdf</v>
      </c>
    </row>
    <row r="6227" spans="1:28" x14ac:dyDescent="0.25">
      <c r="A6227" t="s">
        <v>6231</v>
      </c>
      <c r="B6227">
        <v>0.99352677808782597</v>
      </c>
      <c r="C6227">
        <v>0.94732304389147903</v>
      </c>
      <c r="D6227">
        <v>1.03870521403247</v>
      </c>
      <c r="E6227">
        <v>0.95042886917809499</v>
      </c>
      <c r="F6227">
        <v>0.88318854342203901</v>
      </c>
      <c r="G6227">
        <v>0.81695503800323299</v>
      </c>
      <c r="H6227">
        <v>0.73455649903581699</v>
      </c>
      <c r="I6227">
        <v>0.83957580864146897</v>
      </c>
      <c r="J6227">
        <v>0.86239349224626605</v>
      </c>
      <c r="K6227">
        <v>0.79542862167508299</v>
      </c>
      <c r="L6227">
        <v>1786.9460649442101</v>
      </c>
      <c r="M6227">
        <v>34.344889839719599</v>
      </c>
      <c r="O6227">
        <v>51.854009732763899</v>
      </c>
      <c r="P6227">
        <v>-3.1725674359908002E-2</v>
      </c>
      <c r="Q6227">
        <v>0.80840266377415304</v>
      </c>
      <c r="R6227">
        <v>0.82400634681336205</v>
      </c>
      <c r="S6227" t="s">
        <v>12512</v>
      </c>
      <c r="T6227" t="s">
        <v>12568</v>
      </c>
      <c r="U6227" t="s">
        <v>12568</v>
      </c>
      <c r="V6227" t="s">
        <v>12568</v>
      </c>
      <c r="W6227" t="s">
        <v>18742</v>
      </c>
      <c r="X6227">
        <v>11</v>
      </c>
      <c r="Y6227" t="s">
        <v>24817</v>
      </c>
      <c r="Z6227" t="s">
        <v>31097</v>
      </c>
      <c r="AA6227">
        <v>0.8861650258231748</v>
      </c>
      <c r="AB6227" t="str">
        <f>HYPERLINK("Melting_Curves/meltCurve_Q9Y5Z4_HEBP2.pdf", "Melting_Curves/meltCurve_Q9Y5Z4_HEBP2.pdf")</f>
        <v>Melting_Curves/meltCurve_Q9Y5Z4_HEBP2.pdf</v>
      </c>
    </row>
    <row r="6228" spans="1:28" x14ac:dyDescent="0.25">
      <c r="A6228" t="s">
        <v>6232</v>
      </c>
      <c r="B6228">
        <v>0.99352677808782597</v>
      </c>
      <c r="C6228">
        <v>0.85194554170815595</v>
      </c>
      <c r="D6228">
        <v>0.89253001998190395</v>
      </c>
      <c r="E6228">
        <v>0.54044160378519202</v>
      </c>
      <c r="F6228">
        <v>0.52312598448355296</v>
      </c>
      <c r="G6228">
        <v>0.311930813567805</v>
      </c>
      <c r="H6228">
        <v>0.32165204152666199</v>
      </c>
      <c r="I6228">
        <v>0.283115829254805</v>
      </c>
      <c r="J6228">
        <v>0.203255608341432</v>
      </c>
      <c r="K6228">
        <v>0.15130458505734801</v>
      </c>
      <c r="L6228">
        <v>579.94737414862004</v>
      </c>
      <c r="M6228">
        <v>11.4141542905599</v>
      </c>
      <c r="N6228">
        <v>52.647092095041998</v>
      </c>
      <c r="O6228">
        <v>49.324935489376699</v>
      </c>
      <c r="P6228">
        <v>-4.8360756901340202E-2</v>
      </c>
      <c r="Q6228">
        <v>0.16430337500652201</v>
      </c>
      <c r="R6228">
        <v>0.96672065564441201</v>
      </c>
      <c r="S6228" t="s">
        <v>12513</v>
      </c>
      <c r="T6228" t="s">
        <v>12568</v>
      </c>
      <c r="U6228" t="s">
        <v>12568</v>
      </c>
      <c r="V6228" t="s">
        <v>12568</v>
      </c>
      <c r="W6228" t="s">
        <v>18743</v>
      </c>
      <c r="X6228">
        <v>4</v>
      </c>
      <c r="Y6228" t="s">
        <v>24818</v>
      </c>
      <c r="Z6228" t="s">
        <v>31098</v>
      </c>
      <c r="AA6228">
        <v>0.49503736722513059</v>
      </c>
      <c r="AB6228" t="str">
        <f>HYPERLINK("Melting_Curves/meltCurve_Q9Y5Z7_HCFC2.pdf", "Melting_Curves/meltCurve_Q9Y5Z7_HCFC2.pdf")</f>
        <v>Melting_Curves/meltCurve_Q9Y5Z7_HCFC2.pdf</v>
      </c>
    </row>
    <row r="6229" spans="1:28" x14ac:dyDescent="0.25">
      <c r="A6229" t="s">
        <v>6233</v>
      </c>
      <c r="B6229">
        <v>0.99352677808782597</v>
      </c>
      <c r="C6229">
        <v>0.98014539336048001</v>
      </c>
      <c r="D6229">
        <v>0.95854105399482803</v>
      </c>
      <c r="E6229">
        <v>0.60133041351688199</v>
      </c>
      <c r="F6229">
        <v>0.49279553654538499</v>
      </c>
      <c r="G6229">
        <v>0.415085879008676</v>
      </c>
      <c r="H6229">
        <v>0.30280650293130301</v>
      </c>
      <c r="I6229">
        <v>0.297048385007946</v>
      </c>
      <c r="J6229">
        <v>0.33569051564814301</v>
      </c>
      <c r="K6229">
        <v>0.29481649885790301</v>
      </c>
      <c r="L6229">
        <v>1074.0287786716999</v>
      </c>
      <c r="M6229">
        <v>21.502921461183</v>
      </c>
      <c r="N6229">
        <v>52.3642740350694</v>
      </c>
      <c r="O6229">
        <v>49.5220768144491</v>
      </c>
      <c r="P6229">
        <v>-7.4401264171146397E-2</v>
      </c>
      <c r="Q6229">
        <v>0.31462066487620399</v>
      </c>
      <c r="R6229">
        <v>0.98621679878214497</v>
      </c>
      <c r="S6229" t="s">
        <v>12514</v>
      </c>
      <c r="T6229" t="s">
        <v>12568</v>
      </c>
      <c r="U6229" t="s">
        <v>12568</v>
      </c>
      <c r="V6229" t="s">
        <v>12568</v>
      </c>
      <c r="W6229" t="s">
        <v>18744</v>
      </c>
      <c r="X6229">
        <v>2</v>
      </c>
      <c r="Y6229" t="s">
        <v>24819</v>
      </c>
      <c r="Z6229" t="s">
        <v>31099</v>
      </c>
      <c r="AA6229">
        <v>0.55016820595406979</v>
      </c>
      <c r="AB6229" t="str">
        <f>HYPERLINK("Melting_Curves/meltCurve_Q9Y605_MRFAP1.pdf", "Melting_Curves/meltCurve_Q9Y605_MRFAP1.pdf")</f>
        <v>Melting_Curves/meltCurve_Q9Y605_MRFAP1.pdf</v>
      </c>
    </row>
    <row r="6230" spans="1:28" x14ac:dyDescent="0.25">
      <c r="A6230" t="s">
        <v>6234</v>
      </c>
      <c r="B6230">
        <v>0.99352677808782597</v>
      </c>
      <c r="C6230">
        <v>0.95702304134712102</v>
      </c>
      <c r="D6230">
        <v>0.85236364255070096</v>
      </c>
      <c r="E6230">
        <v>1.1625509482269401</v>
      </c>
      <c r="F6230">
        <v>1.0724551142248</v>
      </c>
      <c r="G6230">
        <v>0.96179836474500802</v>
      </c>
      <c r="H6230">
        <v>0.91344217002795203</v>
      </c>
      <c r="I6230">
        <v>1.01765742215538</v>
      </c>
      <c r="J6230">
        <v>1.09990636566869</v>
      </c>
      <c r="K6230">
        <v>0.90359270718945395</v>
      </c>
      <c r="L6230">
        <v>15000</v>
      </c>
      <c r="M6230">
        <v>212.04782179216801</v>
      </c>
      <c r="Q6230">
        <v>0</v>
      </c>
      <c r="R6230">
        <v>0.106169295803725</v>
      </c>
      <c r="S6230" t="s">
        <v>12515</v>
      </c>
      <c r="T6230" t="s">
        <v>12568</v>
      </c>
      <c r="U6230" t="s">
        <v>12568</v>
      </c>
      <c r="V6230" t="s">
        <v>12568</v>
      </c>
      <c r="W6230" t="s">
        <v>18745</v>
      </c>
      <c r="X6230">
        <v>21</v>
      </c>
      <c r="Y6230" t="s">
        <v>24820</v>
      </c>
      <c r="Z6230" t="s">
        <v>31100</v>
      </c>
      <c r="AA6230">
        <v>0.99890664108924299</v>
      </c>
      <c r="AB6230" t="str">
        <f>HYPERLINK("Melting_Curves/meltCurve_Q9Y608_4_LRRFIP2.pdf", "Melting_Curves/meltCurve_Q9Y608_4_LRRFIP2.pdf")</f>
        <v>Melting_Curves/meltCurve_Q9Y608_4_LRRFIP2.pdf</v>
      </c>
    </row>
    <row r="6231" spans="1:28" x14ac:dyDescent="0.25">
      <c r="A6231" t="s">
        <v>6235</v>
      </c>
      <c r="B6231">
        <v>0.99352677808782597</v>
      </c>
      <c r="C6231">
        <v>0.92164486880141405</v>
      </c>
      <c r="D6231">
        <v>0.77381832088198399</v>
      </c>
      <c r="E6231">
        <v>0.410862832276845</v>
      </c>
      <c r="F6231">
        <v>0.34136845986520797</v>
      </c>
      <c r="G6231">
        <v>0.23232968129254999</v>
      </c>
      <c r="H6231">
        <v>0.19368769336651201</v>
      </c>
      <c r="I6231">
        <v>0.18697740236063801</v>
      </c>
      <c r="J6231">
        <v>0.163627524522935</v>
      </c>
      <c r="K6231">
        <v>0.136047849397197</v>
      </c>
      <c r="L6231">
        <v>869.96104082786599</v>
      </c>
      <c r="M6231">
        <v>18.0297619592728</v>
      </c>
      <c r="N6231">
        <v>49.359397407379902</v>
      </c>
      <c r="O6231">
        <v>47.669552731572203</v>
      </c>
      <c r="P6231">
        <v>-7.8823872436678002E-2</v>
      </c>
      <c r="Q6231">
        <v>0.166419486570659</v>
      </c>
      <c r="R6231">
        <v>0.99445505628330799</v>
      </c>
      <c r="S6231" t="s">
        <v>12516</v>
      </c>
      <c r="T6231" t="s">
        <v>12568</v>
      </c>
      <c r="U6231" t="s">
        <v>12568</v>
      </c>
      <c r="V6231" t="s">
        <v>12568</v>
      </c>
      <c r="W6231" t="s">
        <v>18746</v>
      </c>
      <c r="X6231">
        <v>22</v>
      </c>
      <c r="Y6231" t="s">
        <v>24821</v>
      </c>
      <c r="Z6231" t="s">
        <v>31101</v>
      </c>
      <c r="AA6231">
        <v>0.41032675797281881</v>
      </c>
      <c r="AB6231" t="str">
        <f>HYPERLINK("Melting_Curves/meltCurve_Q9Y613_FHOD1.pdf", "Melting_Curves/meltCurve_Q9Y613_FHOD1.pdf")</f>
        <v>Melting_Curves/meltCurve_Q9Y613_FHOD1.pdf</v>
      </c>
    </row>
    <row r="6232" spans="1:28" x14ac:dyDescent="0.25">
      <c r="A6232" t="s">
        <v>6236</v>
      </c>
      <c r="B6232">
        <v>0.99352677808782597</v>
      </c>
      <c r="C6232">
        <v>0.979700902496905</v>
      </c>
      <c r="D6232">
        <v>0.92800305387791304</v>
      </c>
      <c r="E6232">
        <v>0.90343809369092598</v>
      </c>
      <c r="F6232">
        <v>0.80989140288295003</v>
      </c>
      <c r="G6232">
        <v>0.64015390869522903</v>
      </c>
      <c r="H6232">
        <v>0.40046813296832601</v>
      </c>
      <c r="I6232">
        <v>0.20045959892315601</v>
      </c>
      <c r="J6232">
        <v>0.109692998810047</v>
      </c>
      <c r="K6232">
        <v>8.7250115548957397E-2</v>
      </c>
      <c r="L6232">
        <v>858.12197383519299</v>
      </c>
      <c r="M6232">
        <v>14.608607297414901</v>
      </c>
      <c r="N6232">
        <v>58.7408477787395</v>
      </c>
      <c r="O6232">
        <v>57.673061692461303</v>
      </c>
      <c r="P6232">
        <v>-6.3332186342460503E-2</v>
      </c>
      <c r="Q6232">
        <v>0</v>
      </c>
      <c r="R6232">
        <v>0.99339815011627397</v>
      </c>
      <c r="S6232" t="s">
        <v>12517</v>
      </c>
      <c r="T6232" t="s">
        <v>12568</v>
      </c>
      <c r="U6232" t="s">
        <v>12568</v>
      </c>
      <c r="V6232" t="s">
        <v>12568</v>
      </c>
      <c r="W6232" t="s">
        <v>18747</v>
      </c>
      <c r="X6232">
        <v>21</v>
      </c>
      <c r="Y6232" t="s">
        <v>24822</v>
      </c>
      <c r="Z6232" t="s">
        <v>31102</v>
      </c>
      <c r="AA6232">
        <v>0.63590529963272691</v>
      </c>
      <c r="AB6232" t="str">
        <f>HYPERLINK("Melting_Curves/meltCurve_Q9Y617_PSAT1.pdf", "Melting_Curves/meltCurve_Q9Y617_PSAT1.pdf")</f>
        <v>Melting_Curves/meltCurve_Q9Y617_PSAT1.pdf</v>
      </c>
    </row>
    <row r="6233" spans="1:28" x14ac:dyDescent="0.25">
      <c r="A6233" t="s">
        <v>6237</v>
      </c>
      <c r="B6233">
        <v>0.99352677808782597</v>
      </c>
      <c r="C6233">
        <v>0.83582004567291102</v>
      </c>
      <c r="D6233">
        <v>0.81317685926970096</v>
      </c>
      <c r="E6233">
        <v>0.60046862728664796</v>
      </c>
      <c r="F6233">
        <v>0.55940105080805702</v>
      </c>
      <c r="G6233">
        <v>0.50766313473275004</v>
      </c>
      <c r="H6233">
        <v>0.44148646224753402</v>
      </c>
      <c r="I6233">
        <v>0.45501946808897398</v>
      </c>
      <c r="J6233">
        <v>0.50802739503661098</v>
      </c>
      <c r="K6233">
        <v>0.413628889710626</v>
      </c>
      <c r="L6233">
        <v>633.50391139684803</v>
      </c>
      <c r="M6233">
        <v>13.384291508339899</v>
      </c>
      <c r="N6233">
        <v>56.431550583535099</v>
      </c>
      <c r="O6233">
        <v>46.312744032621403</v>
      </c>
      <c r="P6233">
        <v>-4.0304571092476302E-2</v>
      </c>
      <c r="Q6233">
        <v>0.442235436314876</v>
      </c>
      <c r="R6233">
        <v>0.96716214228719</v>
      </c>
      <c r="S6233" t="s">
        <v>12518</v>
      </c>
      <c r="T6233" t="s">
        <v>12568</v>
      </c>
      <c r="U6233" t="s">
        <v>12568</v>
      </c>
      <c r="V6233" t="s">
        <v>12568</v>
      </c>
      <c r="W6233" t="s">
        <v>18748</v>
      </c>
      <c r="X6233">
        <v>2</v>
      </c>
      <c r="Y6233" t="s">
        <v>24823</v>
      </c>
      <c r="Z6233" t="s">
        <v>31103</v>
      </c>
      <c r="AA6233">
        <v>0.59717924290391722</v>
      </c>
      <c r="AB6233" t="str">
        <f>HYPERLINK("Melting_Curves/meltCurve_Q9Y620_RAD54B.pdf", "Melting_Curves/meltCurve_Q9Y620_RAD54B.pdf")</f>
        <v>Melting_Curves/meltCurve_Q9Y620_RAD54B.pdf</v>
      </c>
    </row>
    <row r="6234" spans="1:28" x14ac:dyDescent="0.25">
      <c r="A6234" t="s">
        <v>6238</v>
      </c>
      <c r="B6234">
        <v>0.99352677808782597</v>
      </c>
      <c r="C6234">
        <v>0.89738895966666599</v>
      </c>
      <c r="D6234">
        <v>0.93460789173437697</v>
      </c>
      <c r="E6234">
        <v>0.32548867339423698</v>
      </c>
      <c r="F6234">
        <v>0.30427978351750501</v>
      </c>
      <c r="G6234">
        <v>0.153669686269053</v>
      </c>
      <c r="H6234">
        <v>0.117965249507912</v>
      </c>
      <c r="I6234">
        <v>0.15043358929570799</v>
      </c>
      <c r="J6234">
        <v>8.3154741295808396E-2</v>
      </c>
      <c r="K6234">
        <v>7.7750199733845504E-2</v>
      </c>
      <c r="L6234">
        <v>1469.76031807145</v>
      </c>
      <c r="M6234">
        <v>30.207384812094801</v>
      </c>
      <c r="N6234">
        <v>49.129038083549197</v>
      </c>
      <c r="O6234">
        <v>48.443915315950598</v>
      </c>
      <c r="P6234">
        <v>-0.13620614378506701</v>
      </c>
      <c r="Q6234">
        <v>0.12626430071627501</v>
      </c>
      <c r="R6234">
        <v>0.97394110618838103</v>
      </c>
      <c r="S6234" t="s">
        <v>12519</v>
      </c>
      <c r="T6234" t="s">
        <v>12568</v>
      </c>
      <c r="U6234" t="s">
        <v>12568</v>
      </c>
      <c r="V6234" t="s">
        <v>12568</v>
      </c>
      <c r="W6234" t="s">
        <v>18749</v>
      </c>
      <c r="X6234">
        <v>4</v>
      </c>
      <c r="Y6234" t="s">
        <v>24824</v>
      </c>
      <c r="Z6234" t="s">
        <v>31104</v>
      </c>
      <c r="AA6234">
        <v>0.38357844772532801</v>
      </c>
      <c r="AB6234" t="str">
        <f>HYPERLINK("Melting_Curves/meltCurve_Q9Y657_SPIN1.pdf", "Melting_Curves/meltCurve_Q9Y657_SPIN1.pdf")</f>
        <v>Melting_Curves/meltCurve_Q9Y657_SPIN1.pdf</v>
      </c>
    </row>
    <row r="6235" spans="1:28" x14ac:dyDescent="0.25">
      <c r="A6235" t="s">
        <v>6239</v>
      </c>
      <c r="B6235">
        <v>0.99352677808782597</v>
      </c>
      <c r="C6235">
        <v>0.79011062247484698</v>
      </c>
      <c r="D6235">
        <v>0.91144054392472196</v>
      </c>
      <c r="E6235">
        <v>0.81929861661718495</v>
      </c>
      <c r="F6235">
        <v>0.675719353250685</v>
      </c>
      <c r="G6235">
        <v>0.37900792508476799</v>
      </c>
      <c r="H6235">
        <v>0.183739298506611</v>
      </c>
      <c r="I6235">
        <v>0.14997703219144801</v>
      </c>
      <c r="J6235">
        <v>0.12912663710271899</v>
      </c>
      <c r="K6235">
        <v>9.7618320621581295E-2</v>
      </c>
      <c r="L6235">
        <v>721.39622067216101</v>
      </c>
      <c r="M6235">
        <v>13.13315623093</v>
      </c>
      <c r="N6235">
        <v>55.142608892157902</v>
      </c>
      <c r="O6235">
        <v>53.702661671756402</v>
      </c>
      <c r="P6235">
        <v>-5.9634802952042001E-2</v>
      </c>
      <c r="Q6235">
        <v>2.4757291793640401E-2</v>
      </c>
      <c r="R6235">
        <v>0.96421273369528204</v>
      </c>
      <c r="S6235" t="s">
        <v>12520</v>
      </c>
      <c r="T6235" t="s">
        <v>12568</v>
      </c>
      <c r="U6235" t="s">
        <v>12568</v>
      </c>
      <c r="V6235" t="s">
        <v>12568</v>
      </c>
      <c r="W6235" t="s">
        <v>18750</v>
      </c>
      <c r="X6235">
        <v>33</v>
      </c>
      <c r="Y6235" t="s">
        <v>24825</v>
      </c>
      <c r="Z6235" t="s">
        <v>31105</v>
      </c>
      <c r="AA6235">
        <v>0.53157600857838461</v>
      </c>
      <c r="AB6235" t="str">
        <f>HYPERLINK("Melting_Curves/meltCurve_Q9Y678_COPG1.pdf", "Melting_Curves/meltCurve_Q9Y678_COPG1.pdf")</f>
        <v>Melting_Curves/meltCurve_Q9Y678_COPG1.pdf</v>
      </c>
    </row>
    <row r="6236" spans="1:28" x14ac:dyDescent="0.25">
      <c r="A6236" t="s">
        <v>6240</v>
      </c>
      <c r="B6236">
        <v>0.99352677808782597</v>
      </c>
      <c r="C6236">
        <v>1.0008793494927499</v>
      </c>
      <c r="D6236">
        <v>0.97914359118066496</v>
      </c>
      <c r="E6236">
        <v>0.83118169834423905</v>
      </c>
      <c r="F6236">
        <v>0.73864684193582697</v>
      </c>
      <c r="G6236">
        <v>0.63515548305186498</v>
      </c>
      <c r="H6236">
        <v>0.53618160096163603</v>
      </c>
      <c r="I6236">
        <v>0.549839571305205</v>
      </c>
      <c r="J6236">
        <v>0.54598087463814804</v>
      </c>
      <c r="K6236">
        <v>0.42398196425429302</v>
      </c>
      <c r="L6236">
        <v>728.10743658063598</v>
      </c>
      <c r="M6236">
        <v>13.620660848669299</v>
      </c>
      <c r="N6236">
        <v>66.741580387195796</v>
      </c>
      <c r="O6236">
        <v>52.3433239333568</v>
      </c>
      <c r="P6236">
        <v>-3.46937613497212E-2</v>
      </c>
      <c r="Q6236">
        <v>0.46677497579101301</v>
      </c>
      <c r="R6236">
        <v>0.97772435153663995</v>
      </c>
      <c r="S6236" t="s">
        <v>12521</v>
      </c>
      <c r="T6236" t="s">
        <v>12568</v>
      </c>
      <c r="U6236" t="s">
        <v>12568</v>
      </c>
      <c r="V6236" t="s">
        <v>12568</v>
      </c>
      <c r="W6236" t="s">
        <v>18751</v>
      </c>
      <c r="X6236">
        <v>10</v>
      </c>
      <c r="Y6236" t="s">
        <v>24826</v>
      </c>
      <c r="Z6236" t="s">
        <v>31106</v>
      </c>
      <c r="AA6236">
        <v>0.7186453718460093</v>
      </c>
      <c r="AB6236" t="str">
        <f>HYPERLINK("Melting_Curves/meltCurve_Q9Y680_3_FKBP7.pdf", "Melting_Curves/meltCurve_Q9Y680_3_FKBP7.pdf")</f>
        <v>Melting_Curves/meltCurve_Q9Y680_3_FKBP7.pdf</v>
      </c>
    </row>
    <row r="6237" spans="1:28" x14ac:dyDescent="0.25">
      <c r="A6237" t="s">
        <v>6241</v>
      </c>
      <c r="B6237">
        <v>0.99352677808782597</v>
      </c>
      <c r="C6237">
        <v>1.13336412447739</v>
      </c>
      <c r="D6237">
        <v>1.0171419385643199</v>
      </c>
      <c r="E6237">
        <v>0.76082308360053696</v>
      </c>
      <c r="F6237">
        <v>0.50736107806868502</v>
      </c>
      <c r="G6237">
        <v>0.30132040628496898</v>
      </c>
      <c r="H6237">
        <v>0.286822394846872</v>
      </c>
      <c r="I6237">
        <v>0.30704706431559398</v>
      </c>
      <c r="J6237">
        <v>0.19157833437209701</v>
      </c>
      <c r="K6237">
        <v>0.178691421523762</v>
      </c>
      <c r="L6237">
        <v>1351.5146565653099</v>
      </c>
      <c r="M6237">
        <v>26.1157102478093</v>
      </c>
      <c r="N6237">
        <v>53.0444033235921</v>
      </c>
      <c r="O6237">
        <v>51.450439888878599</v>
      </c>
      <c r="P6237">
        <v>-9.7013538398379104E-2</v>
      </c>
      <c r="Q6237">
        <v>0.23550490993974099</v>
      </c>
      <c r="R6237">
        <v>0.97412681604201101</v>
      </c>
      <c r="S6237" t="s">
        <v>12522</v>
      </c>
      <c r="T6237" t="s">
        <v>12568</v>
      </c>
      <c r="U6237" t="s">
        <v>12568</v>
      </c>
      <c r="V6237" t="s">
        <v>12568</v>
      </c>
      <c r="W6237" t="s">
        <v>18752</v>
      </c>
      <c r="X6237">
        <v>4</v>
      </c>
      <c r="Y6237" t="s">
        <v>24827</v>
      </c>
      <c r="Z6237" t="s">
        <v>31107</v>
      </c>
      <c r="AA6237">
        <v>0.54135343008070591</v>
      </c>
      <c r="AB6237" t="str">
        <f>HYPERLINK("Melting_Curves/meltCurve_Q9Y692_2_GMEB1.pdf", "Melting_Curves/meltCurve_Q9Y692_2_GMEB1.pdf")</f>
        <v>Melting_Curves/meltCurve_Q9Y692_2_GMEB1.pdf</v>
      </c>
    </row>
    <row r="6238" spans="1:28" x14ac:dyDescent="0.25">
      <c r="A6238" t="s">
        <v>6242</v>
      </c>
      <c r="B6238">
        <v>0.99352677808782597</v>
      </c>
      <c r="C6238">
        <v>0.96935840552079999</v>
      </c>
      <c r="D6238">
        <v>1.02064202673506</v>
      </c>
      <c r="E6238">
        <v>0.68307031244329997</v>
      </c>
      <c r="F6238">
        <v>0.60447170296312303</v>
      </c>
      <c r="G6238">
        <v>0.232452758888995</v>
      </c>
      <c r="H6238">
        <v>0.127191501134028</v>
      </c>
      <c r="I6238">
        <v>0.117350651765466</v>
      </c>
      <c r="J6238">
        <v>0.10986054075413999</v>
      </c>
      <c r="K6238">
        <v>8.3071236595215897E-2</v>
      </c>
      <c r="L6238">
        <v>995.93944080336996</v>
      </c>
      <c r="M6238">
        <v>18.823273633615099</v>
      </c>
      <c r="N6238">
        <v>53.372588388783797</v>
      </c>
      <c r="O6238">
        <v>52.323682457283901</v>
      </c>
      <c r="P6238">
        <v>-8.3171003721110304E-2</v>
      </c>
      <c r="Q6238">
        <v>7.52653864893639E-2</v>
      </c>
      <c r="R6238">
        <v>0.98619175628594702</v>
      </c>
      <c r="S6238" t="s">
        <v>12523</v>
      </c>
      <c r="T6238" t="s">
        <v>12568</v>
      </c>
      <c r="U6238" t="s">
        <v>12568</v>
      </c>
      <c r="V6238" t="s">
        <v>12568</v>
      </c>
      <c r="W6238" t="s">
        <v>18753</v>
      </c>
      <c r="X6238">
        <v>12</v>
      </c>
      <c r="Y6238" t="s">
        <v>24828</v>
      </c>
      <c r="Z6238" t="s">
        <v>31108</v>
      </c>
      <c r="AA6238">
        <v>0.48730792188616417</v>
      </c>
      <c r="AB6238" t="str">
        <f>HYPERLINK("Melting_Curves/meltCurve_Q9Y696_CLIC4.pdf", "Melting_Curves/meltCurve_Q9Y696_CLIC4.pdf")</f>
        <v>Melting_Curves/meltCurve_Q9Y696_CLIC4.pdf</v>
      </c>
    </row>
    <row r="6239" spans="1:28" x14ac:dyDescent="0.25">
      <c r="A6239" t="s">
        <v>6243</v>
      </c>
      <c r="B6239">
        <v>0.99352677808782597</v>
      </c>
      <c r="C6239">
        <v>0.85638048575368597</v>
      </c>
      <c r="D6239">
        <v>0.77228847020984104</v>
      </c>
      <c r="E6239">
        <v>0.46717981504237799</v>
      </c>
      <c r="F6239">
        <v>0.37829529611393098</v>
      </c>
      <c r="G6239">
        <v>0.23960302486909901</v>
      </c>
      <c r="H6239">
        <v>0.16118248931736201</v>
      </c>
      <c r="I6239">
        <v>0.130727229113902</v>
      </c>
      <c r="J6239">
        <v>0.10433885173854</v>
      </c>
      <c r="K6239">
        <v>6.58551935587494E-2</v>
      </c>
      <c r="L6239">
        <v>606.70225591430301</v>
      </c>
      <c r="M6239">
        <v>12.2180395051722</v>
      </c>
      <c r="N6239">
        <v>50.228636818356001</v>
      </c>
      <c r="O6239">
        <v>48.382242134707901</v>
      </c>
      <c r="P6239">
        <v>-5.9043452772850398E-2</v>
      </c>
      <c r="Q6239">
        <v>6.4985001023918104E-2</v>
      </c>
      <c r="R6239">
        <v>0.99389673441535697</v>
      </c>
      <c r="S6239" t="s">
        <v>12524</v>
      </c>
      <c r="T6239" t="s">
        <v>12568</v>
      </c>
      <c r="U6239" t="s">
        <v>12568</v>
      </c>
      <c r="V6239" t="s">
        <v>12568</v>
      </c>
      <c r="W6239" t="s">
        <v>18754</v>
      </c>
      <c r="X6239">
        <v>7</v>
      </c>
      <c r="Y6239" t="s">
        <v>24829</v>
      </c>
      <c r="Z6239" t="s">
        <v>31109</v>
      </c>
      <c r="AA6239">
        <v>0.39802823288575639</v>
      </c>
      <c r="AB6239" t="str">
        <f>HYPERLINK("Melting_Curves/meltCurve_Q9Y697_2_NFS1.pdf", "Melting_Curves/meltCurve_Q9Y697_2_NFS1.pdf")</f>
        <v>Melting_Curves/meltCurve_Q9Y697_2_NFS1.pdf</v>
      </c>
    </row>
    <row r="6240" spans="1:28" x14ac:dyDescent="0.25">
      <c r="A6240" t="s">
        <v>6244</v>
      </c>
      <c r="B6240">
        <v>0.99352677808782597</v>
      </c>
      <c r="C6240">
        <v>0.57354089396226304</v>
      </c>
      <c r="D6240">
        <v>1.0805791786236301</v>
      </c>
      <c r="E6240">
        <v>0.85901175309538502</v>
      </c>
      <c r="F6240">
        <v>0.74406353971880801</v>
      </c>
      <c r="G6240">
        <v>0.54473520689451005</v>
      </c>
      <c r="H6240">
        <v>0.22745770359783901</v>
      </c>
      <c r="I6240">
        <v>0.13130937852331301</v>
      </c>
      <c r="J6240">
        <v>0.10890165290532999</v>
      </c>
      <c r="K6240">
        <v>7.23136425268808E-2</v>
      </c>
      <c r="L6240">
        <v>836.51798558895405</v>
      </c>
      <c r="M6240">
        <v>14.7123335957031</v>
      </c>
      <c r="N6240">
        <v>56.858280184931601</v>
      </c>
      <c r="O6240">
        <v>55.838807294914098</v>
      </c>
      <c r="P6240">
        <v>-6.5876841728776697E-2</v>
      </c>
      <c r="Q6240">
        <v>0</v>
      </c>
      <c r="R6240">
        <v>0.85235769086018598</v>
      </c>
      <c r="S6240" t="s">
        <v>12525</v>
      </c>
      <c r="T6240" t="s">
        <v>12568</v>
      </c>
      <c r="U6240" t="s">
        <v>12568</v>
      </c>
      <c r="V6240" t="s">
        <v>12568</v>
      </c>
      <c r="W6240" t="s">
        <v>18755</v>
      </c>
      <c r="X6240">
        <v>7</v>
      </c>
      <c r="Y6240" t="s">
        <v>24830</v>
      </c>
      <c r="Z6240" t="s">
        <v>31110</v>
      </c>
      <c r="AA6240">
        <v>0.57824695132554604</v>
      </c>
      <c r="AB6240" t="str">
        <f>HYPERLINK("Melting_Curves/meltCurve_Q9Y6A4_C16orf80.pdf", "Melting_Curves/meltCurve_Q9Y6A4_C16orf80.pdf")</f>
        <v>Melting_Curves/meltCurve_Q9Y6A4_C16orf80.pdf</v>
      </c>
    </row>
    <row r="6241" spans="1:28" x14ac:dyDescent="0.25">
      <c r="A6241" t="s">
        <v>6245</v>
      </c>
      <c r="B6241">
        <v>0.99352677808782597</v>
      </c>
      <c r="C6241">
        <v>0.98796946439915401</v>
      </c>
      <c r="D6241">
        <v>0.99261163508138806</v>
      </c>
      <c r="E6241">
        <v>0.92502264293447101</v>
      </c>
      <c r="F6241">
        <v>0.86804191506621498</v>
      </c>
      <c r="G6241">
        <v>0.73745433018208295</v>
      </c>
      <c r="H6241">
        <v>0.72253669540175003</v>
      </c>
      <c r="I6241">
        <v>0.73743003188372203</v>
      </c>
      <c r="J6241">
        <v>0.91159900071352296</v>
      </c>
      <c r="K6241">
        <v>0.68921101594952905</v>
      </c>
      <c r="L6241">
        <v>1556.3702053027</v>
      </c>
      <c r="M6241">
        <v>29.986409406273498</v>
      </c>
      <c r="O6241">
        <v>51.673343216062598</v>
      </c>
      <c r="P6241">
        <v>-3.5001043319988302E-2</v>
      </c>
      <c r="Q6241">
        <v>0.75874288453597705</v>
      </c>
      <c r="R6241">
        <v>0.76184762831476105</v>
      </c>
      <c r="S6241" t="s">
        <v>12526</v>
      </c>
      <c r="T6241" t="s">
        <v>12568</v>
      </c>
      <c r="U6241" t="s">
        <v>12568</v>
      </c>
      <c r="V6241" t="s">
        <v>12568</v>
      </c>
      <c r="W6241" t="s">
        <v>18756</v>
      </c>
      <c r="X6241">
        <v>32</v>
      </c>
      <c r="Y6241" t="s">
        <v>24831</v>
      </c>
      <c r="Z6241" t="s">
        <v>31111</v>
      </c>
      <c r="AA6241">
        <v>0.85600230765278718</v>
      </c>
      <c r="AB6241" t="str">
        <f>HYPERLINK("Melting_Curves/meltCurve_Q9Y6A5_TACC3.pdf", "Melting_Curves/meltCurve_Q9Y6A5_TACC3.pdf")</f>
        <v>Melting_Curves/meltCurve_Q9Y6A5_TACC3.pdf</v>
      </c>
    </row>
    <row r="6242" spans="1:28" x14ac:dyDescent="0.25">
      <c r="A6242" t="s">
        <v>6246</v>
      </c>
      <c r="B6242">
        <v>0.99352677808782597</v>
      </c>
      <c r="C6242">
        <v>1.0193795181449601</v>
      </c>
      <c r="D6242">
        <v>0.91984140790270297</v>
      </c>
      <c r="E6242">
        <v>0.77617118864042101</v>
      </c>
      <c r="F6242">
        <v>0.73092408383456098</v>
      </c>
      <c r="G6242">
        <v>0.86358116906844296</v>
      </c>
      <c r="H6242">
        <v>0.66580273818658398</v>
      </c>
      <c r="I6242">
        <v>0.71527916032285799</v>
      </c>
      <c r="J6242">
        <v>0.62436146277983795</v>
      </c>
      <c r="K6242">
        <v>0.66277662778184698</v>
      </c>
      <c r="L6242">
        <v>599.03260970411998</v>
      </c>
      <c r="M6242">
        <v>11.942340513782201</v>
      </c>
      <c r="O6242">
        <v>48.815987588938803</v>
      </c>
      <c r="P6242">
        <v>-2.0719253272696199E-2</v>
      </c>
      <c r="Q6242">
        <v>0.66131182521373599</v>
      </c>
      <c r="R6242">
        <v>0.82204102008758995</v>
      </c>
      <c r="S6242" t="s">
        <v>12527</v>
      </c>
      <c r="T6242" t="s">
        <v>12568</v>
      </c>
      <c r="U6242" t="s">
        <v>12568</v>
      </c>
      <c r="V6242" t="s">
        <v>12568</v>
      </c>
      <c r="W6242" t="s">
        <v>18757</v>
      </c>
      <c r="X6242">
        <v>1</v>
      </c>
      <c r="Y6242" t="s">
        <v>24832</v>
      </c>
      <c r="Z6242" t="s">
        <v>31112</v>
      </c>
      <c r="AA6242">
        <v>0.78771904694659589</v>
      </c>
      <c r="AB6242" t="str">
        <f>HYPERLINK("Melting_Curves/meltCurve_Q9Y6B2_2_EID1.pdf", "Melting_Curves/meltCurve_Q9Y6B2_2_EID1.pdf")</f>
        <v>Melting_Curves/meltCurve_Q9Y6B2_2_EID1.pdf</v>
      </c>
    </row>
    <row r="6243" spans="1:28" x14ac:dyDescent="0.25">
      <c r="A6243" t="s">
        <v>6247</v>
      </c>
      <c r="B6243">
        <v>0.99352677808782597</v>
      </c>
      <c r="C6243">
        <v>1.2753150627771499</v>
      </c>
      <c r="D6243">
        <v>1.2925221325883101</v>
      </c>
      <c r="E6243">
        <v>0.95130539193538699</v>
      </c>
      <c r="F6243">
        <v>0.28976915668374498</v>
      </c>
      <c r="G6243">
        <v>0.44462689701710101</v>
      </c>
      <c r="H6243">
        <v>0.19118529890149</v>
      </c>
      <c r="I6243">
        <v>0.139388108662024</v>
      </c>
      <c r="J6243">
        <v>0.101023321796413</v>
      </c>
      <c r="K6243">
        <v>6.4955517506304003E-2</v>
      </c>
      <c r="L6243">
        <v>4061.5151913702298</v>
      </c>
      <c r="M6243">
        <v>78.536208959030901</v>
      </c>
      <c r="N6243">
        <v>52.026698360618902</v>
      </c>
      <c r="O6243">
        <v>51.681691678266603</v>
      </c>
      <c r="P6243">
        <v>-0.30864256835403298</v>
      </c>
      <c r="Q6243">
        <v>0.18757638986306699</v>
      </c>
      <c r="R6243">
        <v>0.88756703723083497</v>
      </c>
      <c r="S6243" t="s">
        <v>12528</v>
      </c>
      <c r="T6243" t="s">
        <v>12568</v>
      </c>
      <c r="U6243" t="s">
        <v>12568</v>
      </c>
      <c r="V6243" t="s">
        <v>12568</v>
      </c>
      <c r="W6243" t="s">
        <v>18758</v>
      </c>
      <c r="X6243">
        <v>6</v>
      </c>
      <c r="Y6243" t="s">
        <v>24833</v>
      </c>
      <c r="Z6243" t="s">
        <v>31113</v>
      </c>
      <c r="AA6243">
        <v>0.50558170947519054</v>
      </c>
      <c r="AB6243" t="str">
        <f>HYPERLINK("Melting_Curves/meltCurve_Q9Y6B6_SAR1B.pdf", "Melting_Curves/meltCurve_Q9Y6B6_SAR1B.pdf")</f>
        <v>Melting_Curves/meltCurve_Q9Y6B6_SAR1B.pdf</v>
      </c>
    </row>
    <row r="6244" spans="1:28" x14ac:dyDescent="0.25">
      <c r="A6244" t="s">
        <v>6248</v>
      </c>
      <c r="B6244">
        <v>0.99352677808782597</v>
      </c>
      <c r="C6244">
        <v>1.01572938232114</v>
      </c>
      <c r="D6244">
        <v>0.87474637731344795</v>
      </c>
      <c r="E6244">
        <v>0.39593268787258201</v>
      </c>
      <c r="F6244">
        <v>0.29572378852577103</v>
      </c>
      <c r="G6244">
        <v>0.182556792523414</v>
      </c>
      <c r="H6244">
        <v>9.9726075956329902E-2</v>
      </c>
      <c r="I6244">
        <v>0.11240771746849799</v>
      </c>
      <c r="J6244">
        <v>0.111672849260897</v>
      </c>
      <c r="K6244">
        <v>6.1735124638663701E-2</v>
      </c>
      <c r="L6244">
        <v>1174.16456024947</v>
      </c>
      <c r="M6244">
        <v>23.944668437014801</v>
      </c>
      <c r="N6244">
        <v>49.544913453519797</v>
      </c>
      <c r="O6244">
        <v>48.698409308215297</v>
      </c>
      <c r="P6244">
        <v>-0.109537308521979</v>
      </c>
      <c r="Q6244">
        <v>0.10891129164701401</v>
      </c>
      <c r="R6244">
        <v>0.98991623547501495</v>
      </c>
      <c r="S6244" t="s">
        <v>12529</v>
      </c>
      <c r="T6244" t="s">
        <v>12568</v>
      </c>
      <c r="U6244" t="s">
        <v>12568</v>
      </c>
      <c r="V6244" t="s">
        <v>12568</v>
      </c>
      <c r="W6244" t="s">
        <v>18759</v>
      </c>
      <c r="X6244">
        <v>2</v>
      </c>
      <c r="Y6244" t="s">
        <v>24834</v>
      </c>
      <c r="Z6244" t="s">
        <v>31114</v>
      </c>
      <c r="AA6244">
        <v>0.3859557257710497</v>
      </c>
      <c r="AB6244" t="str">
        <f>HYPERLINK("Melting_Curves/meltCurve_Q9Y6B7_AP4B1.pdf", "Melting_Curves/meltCurve_Q9Y6B7_AP4B1.pdf")</f>
        <v>Melting_Curves/meltCurve_Q9Y6B7_AP4B1.pdf</v>
      </c>
    </row>
    <row r="6245" spans="1:28" x14ac:dyDescent="0.25">
      <c r="A6245" t="s">
        <v>6249</v>
      </c>
      <c r="B6245">
        <v>0.99352677808782597</v>
      </c>
      <c r="C6245">
        <v>0.99555609893084296</v>
      </c>
      <c r="D6245">
        <v>0.840590366766643</v>
      </c>
      <c r="E6245">
        <v>0.364076488337362</v>
      </c>
      <c r="F6245">
        <v>0.28287014214482697</v>
      </c>
      <c r="G6245">
        <v>0.15863432387144399</v>
      </c>
      <c r="H6245">
        <v>9.0587536141514297E-2</v>
      </c>
      <c r="I6245">
        <v>7.9164115144619102E-2</v>
      </c>
      <c r="J6245">
        <v>6.3872790605827304E-2</v>
      </c>
      <c r="K6245">
        <v>5.0085326326796999E-2</v>
      </c>
      <c r="L6245">
        <v>1077.0308931448101</v>
      </c>
      <c r="M6245">
        <v>22.036014585349999</v>
      </c>
      <c r="N6245">
        <v>49.268041365234197</v>
      </c>
      <c r="O6245">
        <v>48.4787813336293</v>
      </c>
      <c r="P6245">
        <v>-0.10450005552630701</v>
      </c>
      <c r="Q6245">
        <v>8.0428749730819593E-2</v>
      </c>
      <c r="R6245">
        <v>0.99075658554336199</v>
      </c>
      <c r="S6245" t="s">
        <v>12530</v>
      </c>
      <c r="T6245" t="s">
        <v>12568</v>
      </c>
      <c r="U6245" t="s">
        <v>12568</v>
      </c>
      <c r="V6245" t="s">
        <v>12568</v>
      </c>
      <c r="W6245" t="s">
        <v>18760</v>
      </c>
      <c r="X6245">
        <v>24</v>
      </c>
      <c r="Y6245" t="s">
        <v>24835</v>
      </c>
      <c r="Z6245" t="s">
        <v>31115</v>
      </c>
      <c r="AA6245">
        <v>0.36306571788989239</v>
      </c>
      <c r="AB6245" t="str">
        <f>HYPERLINK("Melting_Curves/meltCurve_Q9Y6D5_ARFGEF2.pdf", "Melting_Curves/meltCurve_Q9Y6D5_ARFGEF2.pdf")</f>
        <v>Melting_Curves/meltCurve_Q9Y6D5_ARFGEF2.pdf</v>
      </c>
    </row>
    <row r="6246" spans="1:28" x14ac:dyDescent="0.25">
      <c r="A6246" t="s">
        <v>6250</v>
      </c>
      <c r="B6246">
        <v>0.99352677808782597</v>
      </c>
      <c r="C6246">
        <v>1.0044030071433201</v>
      </c>
      <c r="D6246">
        <v>0.81641810354765498</v>
      </c>
      <c r="E6246">
        <v>0.41841841946390301</v>
      </c>
      <c r="F6246">
        <v>0.32334566865282799</v>
      </c>
      <c r="G6246">
        <v>0.19582040592406799</v>
      </c>
      <c r="H6246">
        <v>9.6734201291905603E-2</v>
      </c>
      <c r="I6246">
        <v>9.1159340993719196E-2</v>
      </c>
      <c r="J6246">
        <v>7.5074702372598195E-2</v>
      </c>
      <c r="K6246">
        <v>6.3884810681734003E-2</v>
      </c>
      <c r="L6246">
        <v>913.557915238394</v>
      </c>
      <c r="M6246">
        <v>18.5365421429618</v>
      </c>
      <c r="N6246">
        <v>49.7624371505607</v>
      </c>
      <c r="O6246">
        <v>48.721315933585103</v>
      </c>
      <c r="P6246">
        <v>-8.7358074246822598E-2</v>
      </c>
      <c r="Q6246">
        <v>8.1594986538598493E-2</v>
      </c>
      <c r="R6246">
        <v>0.99087941073647601</v>
      </c>
      <c r="S6246" t="s">
        <v>12531</v>
      </c>
      <c r="T6246" t="s">
        <v>12568</v>
      </c>
      <c r="U6246" t="s">
        <v>12568</v>
      </c>
      <c r="V6246" t="s">
        <v>12568</v>
      </c>
      <c r="W6246" t="s">
        <v>18761</v>
      </c>
      <c r="X6246">
        <v>25</v>
      </c>
      <c r="Y6246" t="s">
        <v>24836</v>
      </c>
      <c r="Z6246" t="s">
        <v>31116</v>
      </c>
      <c r="AA6246">
        <v>0.38075166093810842</v>
      </c>
      <c r="AB6246" t="str">
        <f>HYPERLINK("Melting_Curves/meltCurve_Q9Y6D6_ARFGEF1.pdf", "Melting_Curves/meltCurve_Q9Y6D6_ARFGEF1.pdf")</f>
        <v>Melting_Curves/meltCurve_Q9Y6D6_ARFGEF1.pdf</v>
      </c>
    </row>
    <row r="6247" spans="1:28" x14ac:dyDescent="0.25">
      <c r="A6247" t="s">
        <v>6251</v>
      </c>
      <c r="B6247">
        <v>0.99352677808782597</v>
      </c>
      <c r="C6247">
        <v>1.04506802535754</v>
      </c>
      <c r="D6247">
        <v>0.92889010385388904</v>
      </c>
      <c r="E6247">
        <v>0.46131393404252402</v>
      </c>
      <c r="F6247">
        <v>0.351886855012775</v>
      </c>
      <c r="G6247">
        <v>0.24685005303975399</v>
      </c>
      <c r="H6247">
        <v>0.15436431520254801</v>
      </c>
      <c r="I6247">
        <v>0.14769039276290999</v>
      </c>
      <c r="J6247">
        <v>0.13859041383061901</v>
      </c>
      <c r="K6247">
        <v>0.106452408122036</v>
      </c>
      <c r="L6247">
        <v>1191.5890476960401</v>
      </c>
      <c r="M6247">
        <v>24.0536570612745</v>
      </c>
      <c r="N6247">
        <v>50.292535469735398</v>
      </c>
      <c r="O6247">
        <v>49.200197636505401</v>
      </c>
      <c r="P6247">
        <v>-0.10372795061389201</v>
      </c>
      <c r="Q6247">
        <v>0.15133808084608899</v>
      </c>
      <c r="R6247">
        <v>0.98505369524422304</v>
      </c>
      <c r="S6247" t="s">
        <v>12532</v>
      </c>
      <c r="T6247" t="s">
        <v>12568</v>
      </c>
      <c r="U6247" t="s">
        <v>12568</v>
      </c>
      <c r="V6247" t="s">
        <v>12568</v>
      </c>
      <c r="W6247" t="s">
        <v>18762</v>
      </c>
      <c r="X6247">
        <v>18</v>
      </c>
      <c r="Y6247" t="s">
        <v>24837</v>
      </c>
      <c r="Z6247" t="s">
        <v>31117</v>
      </c>
      <c r="AA6247">
        <v>0.4293457321449744</v>
      </c>
      <c r="AB6247" t="str">
        <f>HYPERLINK("Melting_Curves/meltCurve_Q9Y6D9_MAD1L1.pdf", "Melting_Curves/meltCurve_Q9Y6D9_MAD1L1.pdf")</f>
        <v>Melting_Curves/meltCurve_Q9Y6D9_MAD1L1.pdf</v>
      </c>
    </row>
    <row r="6248" spans="1:28" x14ac:dyDescent="0.25">
      <c r="A6248" t="s">
        <v>6252</v>
      </c>
      <c r="B6248">
        <v>0.99352677808782597</v>
      </c>
      <c r="C6248">
        <v>0.92541432313046901</v>
      </c>
      <c r="D6248">
        <v>0.88388346184268196</v>
      </c>
      <c r="E6248">
        <v>0.416017588117847</v>
      </c>
      <c r="F6248">
        <v>0.312199260469189</v>
      </c>
      <c r="G6248">
        <v>0.19147291006422201</v>
      </c>
      <c r="H6248">
        <v>0.11837231444417699</v>
      </c>
      <c r="I6248">
        <v>0.102056963054524</v>
      </c>
      <c r="J6248">
        <v>8.87259068044981E-2</v>
      </c>
      <c r="K6248">
        <v>6.6638828489322496E-2</v>
      </c>
      <c r="L6248">
        <v>979.90704839095395</v>
      </c>
      <c r="M6248">
        <v>19.885063718960701</v>
      </c>
      <c r="N6248">
        <v>49.805207385697699</v>
      </c>
      <c r="O6248">
        <v>48.788287251258197</v>
      </c>
      <c r="P6248">
        <v>-9.2236257600250796E-2</v>
      </c>
      <c r="Q6248">
        <v>9.4818142384744702E-2</v>
      </c>
      <c r="R6248">
        <v>0.98985128848842097</v>
      </c>
      <c r="S6248" t="s">
        <v>12533</v>
      </c>
      <c r="T6248" t="s">
        <v>12568</v>
      </c>
      <c r="U6248" t="s">
        <v>12568</v>
      </c>
      <c r="V6248" t="s">
        <v>12568</v>
      </c>
      <c r="W6248" t="s">
        <v>18763</v>
      </c>
      <c r="X6248">
        <v>20</v>
      </c>
      <c r="Y6248" t="s">
        <v>24838</v>
      </c>
      <c r="Z6248" t="s">
        <v>31118</v>
      </c>
      <c r="AA6248">
        <v>0.38757480372370912</v>
      </c>
      <c r="AB6248" t="str">
        <f>HYPERLINK("Melting_Curves/meltCurve_Q9Y6E0_2_STK24.pdf", "Melting_Curves/meltCurve_Q9Y6E0_2_STK24.pdf")</f>
        <v>Melting_Curves/meltCurve_Q9Y6E0_2_STK24.pdf</v>
      </c>
    </row>
    <row r="6249" spans="1:28" x14ac:dyDescent="0.25">
      <c r="A6249" t="s">
        <v>6253</v>
      </c>
      <c r="B6249">
        <v>0.99352677808782597</v>
      </c>
      <c r="C6249">
        <v>0.946578628078663</v>
      </c>
      <c r="D6249">
        <v>0.89035270817717505</v>
      </c>
      <c r="E6249">
        <v>1.1319907250112899</v>
      </c>
      <c r="F6249">
        <v>0.95446382392777895</v>
      </c>
      <c r="G6249">
        <v>0.77246925103582598</v>
      </c>
      <c r="H6249">
        <v>0.38288163406655401</v>
      </c>
      <c r="I6249">
        <v>0.33719285948327699</v>
      </c>
      <c r="J6249">
        <v>0.308497028149262</v>
      </c>
      <c r="K6249">
        <v>0.24558408572278501</v>
      </c>
      <c r="L6249">
        <v>2078.0340089122301</v>
      </c>
      <c r="M6249">
        <v>35.7194553114036</v>
      </c>
      <c r="N6249">
        <v>59.556992948366997</v>
      </c>
      <c r="O6249">
        <v>57.995090644398502</v>
      </c>
      <c r="P6249">
        <v>-0.110628361657799</v>
      </c>
      <c r="Q6249">
        <v>0.281525337054291</v>
      </c>
      <c r="R6249">
        <v>0.96475179854379001</v>
      </c>
      <c r="S6249" t="s">
        <v>12534</v>
      </c>
      <c r="T6249" t="s">
        <v>12568</v>
      </c>
      <c r="U6249" t="s">
        <v>12568</v>
      </c>
      <c r="V6249" t="s">
        <v>12568</v>
      </c>
      <c r="W6249" t="s">
        <v>18764</v>
      </c>
      <c r="X6249">
        <v>15</v>
      </c>
      <c r="Y6249" t="s">
        <v>24839</v>
      </c>
      <c r="Z6249" t="s">
        <v>31119</v>
      </c>
      <c r="AA6249">
        <v>0.72032497033300424</v>
      </c>
      <c r="AB6249" t="str">
        <f>HYPERLINK("Melting_Curves/meltCurve_Q9Y6G9_DYNC1LI1.pdf", "Melting_Curves/meltCurve_Q9Y6G9_DYNC1LI1.pdf")</f>
        <v>Melting_Curves/meltCurve_Q9Y6G9_DYNC1LI1.pdf</v>
      </c>
    </row>
    <row r="6250" spans="1:28" x14ac:dyDescent="0.25">
      <c r="A6250" t="s">
        <v>6254</v>
      </c>
      <c r="B6250">
        <v>0.99352677808782597</v>
      </c>
      <c r="C6250">
        <v>1.0472024969270901</v>
      </c>
      <c r="D6250">
        <v>1.0355700526232301</v>
      </c>
      <c r="E6250">
        <v>1.05537411735666</v>
      </c>
      <c r="F6250">
        <v>0.87551150013550505</v>
      </c>
      <c r="G6250">
        <v>0.768931654374297</v>
      </c>
      <c r="H6250">
        <v>0.87912948236274102</v>
      </c>
      <c r="I6250">
        <v>0.85379305722320897</v>
      </c>
      <c r="J6250">
        <v>0.99851932092111695</v>
      </c>
      <c r="K6250">
        <v>0.78853289350282996</v>
      </c>
      <c r="L6250">
        <v>13146.711047897399</v>
      </c>
      <c r="M6250">
        <v>250</v>
      </c>
      <c r="O6250">
        <v>52.583479326374302</v>
      </c>
      <c r="P6250">
        <v>-0.169039450748176</v>
      </c>
      <c r="Q6250">
        <v>0.85778108167690204</v>
      </c>
      <c r="R6250">
        <v>0.62897140535795404</v>
      </c>
      <c r="S6250" t="s">
        <v>12535</v>
      </c>
      <c r="T6250" t="s">
        <v>12568</v>
      </c>
      <c r="U6250" t="s">
        <v>12568</v>
      </c>
      <c r="V6250" t="s">
        <v>12568</v>
      </c>
      <c r="W6250" t="s">
        <v>18765</v>
      </c>
      <c r="X6250">
        <v>5</v>
      </c>
      <c r="Y6250" t="s">
        <v>24840</v>
      </c>
      <c r="Z6250" t="s">
        <v>31120</v>
      </c>
      <c r="AA6250">
        <v>0.91746378579954047</v>
      </c>
      <c r="AB6250" t="str">
        <f>HYPERLINK("Melting_Curves/meltCurve_Q9Y6H1_CHCHD2.pdf", "Melting_Curves/meltCurve_Q9Y6H1_CHCHD2.pdf")</f>
        <v>Melting_Curves/meltCurve_Q9Y6H1_CHCHD2.pdf</v>
      </c>
    </row>
    <row r="6251" spans="1:28" x14ac:dyDescent="0.25">
      <c r="A6251" t="s">
        <v>6255</v>
      </c>
      <c r="B6251">
        <v>0.99352677808782597</v>
      </c>
      <c r="C6251">
        <v>0.97985983476748095</v>
      </c>
      <c r="D6251">
        <v>1.0281748145609799</v>
      </c>
      <c r="E6251">
        <v>0.87910414907719503</v>
      </c>
      <c r="F6251">
        <v>0.78187979546818798</v>
      </c>
      <c r="G6251">
        <v>0.50402375918026299</v>
      </c>
      <c r="H6251">
        <v>0.31312429487509402</v>
      </c>
      <c r="I6251">
        <v>0.26135908860964502</v>
      </c>
      <c r="J6251">
        <v>0.24885148136017099</v>
      </c>
      <c r="K6251">
        <v>0.18653352338794099</v>
      </c>
      <c r="L6251">
        <v>1021.51314038395</v>
      </c>
      <c r="M6251">
        <v>18.366271894353201</v>
      </c>
      <c r="N6251">
        <v>57.099398505498002</v>
      </c>
      <c r="O6251">
        <v>54.972194182736303</v>
      </c>
      <c r="P6251">
        <v>-6.7706525308403404E-2</v>
      </c>
      <c r="Q6251">
        <v>0.18942604046207201</v>
      </c>
      <c r="R6251">
        <v>0.99572512659281898</v>
      </c>
      <c r="S6251" t="s">
        <v>12536</v>
      </c>
      <c r="T6251" t="s">
        <v>12568</v>
      </c>
      <c r="U6251" t="s">
        <v>12568</v>
      </c>
      <c r="V6251" t="s">
        <v>12568</v>
      </c>
      <c r="W6251" t="s">
        <v>18766</v>
      </c>
      <c r="X6251">
        <v>13</v>
      </c>
      <c r="Y6251" t="s">
        <v>24841</v>
      </c>
      <c r="Z6251" t="s">
        <v>31121</v>
      </c>
      <c r="AA6251">
        <v>0.62332156898300961</v>
      </c>
      <c r="AB6251" t="str">
        <f>HYPERLINK("Melting_Curves/meltCurve_Q9Y6I3_EPN1.pdf", "Melting_Curves/meltCurve_Q9Y6I3_EPN1.pdf")</f>
        <v>Melting_Curves/meltCurve_Q9Y6I3_EPN1.pdf</v>
      </c>
    </row>
    <row r="6252" spans="1:28" x14ac:dyDescent="0.25">
      <c r="A6252" t="s">
        <v>6256</v>
      </c>
      <c r="B6252">
        <v>0.99352677808782597</v>
      </c>
      <c r="C6252">
        <v>0.99270803009406505</v>
      </c>
      <c r="D6252">
        <v>1.0383471196820899</v>
      </c>
      <c r="E6252">
        <v>1.0619955541594599</v>
      </c>
      <c r="F6252">
        <v>0.99220154907826297</v>
      </c>
      <c r="G6252">
        <v>0.89931853643245596</v>
      </c>
      <c r="H6252">
        <v>0.90598851546134795</v>
      </c>
      <c r="I6252">
        <v>1.0885707647757601</v>
      </c>
      <c r="J6252">
        <v>0.97862310123555496</v>
      </c>
      <c r="K6252">
        <v>0.95038547444082599</v>
      </c>
      <c r="L6252">
        <v>13317.032813367299</v>
      </c>
      <c r="M6252">
        <v>250</v>
      </c>
      <c r="O6252">
        <v>53.264722459554299</v>
      </c>
      <c r="P6252">
        <v>-4.1564471118028197E-2</v>
      </c>
      <c r="Q6252">
        <v>0.96457727975779695</v>
      </c>
      <c r="R6252">
        <v>0.156761482422975</v>
      </c>
      <c r="S6252" t="s">
        <v>12537</v>
      </c>
      <c r="T6252" t="s">
        <v>12568</v>
      </c>
      <c r="U6252" t="s">
        <v>12568</v>
      </c>
      <c r="V6252" t="s">
        <v>12568</v>
      </c>
      <c r="W6252" t="s">
        <v>18767</v>
      </c>
      <c r="X6252">
        <v>2</v>
      </c>
      <c r="Y6252" t="s">
        <v>24842</v>
      </c>
      <c r="Z6252" t="s">
        <v>31122</v>
      </c>
      <c r="AA6252">
        <v>0.98024703462591789</v>
      </c>
      <c r="AB6252" t="str">
        <f>HYPERLINK("Melting_Curves/meltCurve_Q9Y6I9_TEX264.pdf", "Melting_Curves/meltCurve_Q9Y6I9_TEX264.pdf")</f>
        <v>Melting_Curves/meltCurve_Q9Y6I9_TEX264.pdf</v>
      </c>
    </row>
    <row r="6253" spans="1:28" x14ac:dyDescent="0.25">
      <c r="A6253" t="s">
        <v>6257</v>
      </c>
      <c r="B6253">
        <v>0.99352677808782597</v>
      </c>
      <c r="C6253">
        <v>0.93702485077890896</v>
      </c>
      <c r="D6253">
        <v>0.89469461519956395</v>
      </c>
      <c r="E6253">
        <v>0.57413246283362596</v>
      </c>
      <c r="F6253">
        <v>0.479345601505344</v>
      </c>
      <c r="G6253">
        <v>0.21939160760701501</v>
      </c>
      <c r="H6253">
        <v>0.157080752779649</v>
      </c>
      <c r="I6253">
        <v>0.14354637635839201</v>
      </c>
      <c r="J6253">
        <v>0.114832481733126</v>
      </c>
      <c r="K6253">
        <v>8.6158911075813305E-2</v>
      </c>
      <c r="L6253">
        <v>770.61128868047899</v>
      </c>
      <c r="M6253">
        <v>15.043969712135</v>
      </c>
      <c r="N6253">
        <v>51.852039081266199</v>
      </c>
      <c r="O6253">
        <v>50.344394982018301</v>
      </c>
      <c r="P6253">
        <v>-6.8489433460346E-2</v>
      </c>
      <c r="Q6253">
        <v>8.3296547835907397E-2</v>
      </c>
      <c r="R6253">
        <v>0.99346245803628797</v>
      </c>
      <c r="S6253" t="s">
        <v>12538</v>
      </c>
      <c r="T6253" t="s">
        <v>12568</v>
      </c>
      <c r="U6253" t="s">
        <v>12568</v>
      </c>
      <c r="V6253" t="s">
        <v>12568</v>
      </c>
      <c r="W6253" t="s">
        <v>18768</v>
      </c>
      <c r="X6253">
        <v>3</v>
      </c>
      <c r="Y6253" t="s">
        <v>24843</v>
      </c>
      <c r="Z6253" t="s">
        <v>31123</v>
      </c>
      <c r="AA6253">
        <v>0.44719394479266272</v>
      </c>
      <c r="AB6253" t="str">
        <f>HYPERLINK("Melting_Curves/meltCurve_Q9Y6J9_TAF6L.pdf", "Melting_Curves/meltCurve_Q9Y6J9_TAF6L.pdf")</f>
        <v>Melting_Curves/meltCurve_Q9Y6J9_TAF6L.pdf</v>
      </c>
    </row>
    <row r="6254" spans="1:28" x14ac:dyDescent="0.25">
      <c r="A6254" t="s">
        <v>6258</v>
      </c>
      <c r="B6254">
        <v>0.99352677808782597</v>
      </c>
      <c r="C6254">
        <v>0.76700685400973201</v>
      </c>
      <c r="D6254">
        <v>0.94481993647703699</v>
      </c>
      <c r="E6254">
        <v>0.806667544998663</v>
      </c>
      <c r="F6254">
        <v>0.87113268247394404</v>
      </c>
      <c r="G6254">
        <v>0.84503792443555603</v>
      </c>
      <c r="H6254">
        <v>1.06805796978592</v>
      </c>
      <c r="I6254">
        <v>0.917542439701033</v>
      </c>
      <c r="J6254">
        <v>0.80797208116742403</v>
      </c>
      <c r="K6254">
        <v>0.82119085724485497</v>
      </c>
      <c r="L6254">
        <v>10117.2368185829</v>
      </c>
      <c r="M6254">
        <v>250</v>
      </c>
      <c r="O6254">
        <v>40.466351848492202</v>
      </c>
      <c r="P6254">
        <v>-0.19744996620232599</v>
      </c>
      <c r="Q6254">
        <v>0.87215870528386896</v>
      </c>
      <c r="R6254">
        <v>0.16212104414560999</v>
      </c>
      <c r="S6254" t="s">
        <v>12539</v>
      </c>
      <c r="T6254" t="s">
        <v>12568</v>
      </c>
      <c r="U6254" t="s">
        <v>12568</v>
      </c>
      <c r="V6254" t="s">
        <v>12568</v>
      </c>
      <c r="W6254" t="s">
        <v>18769</v>
      </c>
      <c r="X6254">
        <v>2</v>
      </c>
      <c r="Y6254" t="s">
        <v>24844</v>
      </c>
      <c r="Z6254" t="s">
        <v>31124</v>
      </c>
      <c r="AA6254">
        <v>0.87420089448675087</v>
      </c>
      <c r="AB6254" t="str">
        <f>HYPERLINK("Melting_Curves/meltCurve_Q9Y6K1_3_DNMT3A.pdf", "Melting_Curves/meltCurve_Q9Y6K1_3_DNMT3A.pdf")</f>
        <v>Melting_Curves/meltCurve_Q9Y6K1_3_DNMT3A.pdf</v>
      </c>
    </row>
    <row r="6255" spans="1:28" x14ac:dyDescent="0.25">
      <c r="A6255" t="s">
        <v>6259</v>
      </c>
      <c r="B6255">
        <v>0.99352677808782597</v>
      </c>
      <c r="C6255">
        <v>0.92415520108776905</v>
      </c>
      <c r="D6255">
        <v>0.91074892389697504</v>
      </c>
      <c r="E6255">
        <v>0.26395687135136198</v>
      </c>
      <c r="F6255">
        <v>0.199675656721226</v>
      </c>
      <c r="G6255">
        <v>0.113856756623039</v>
      </c>
      <c r="H6255">
        <v>6.9878647285188805E-2</v>
      </c>
      <c r="I6255">
        <v>6.2635660949452096E-2</v>
      </c>
      <c r="J6255">
        <v>4.9344760116907402E-2</v>
      </c>
      <c r="K6255">
        <v>4.53280859049471E-2</v>
      </c>
      <c r="L6255">
        <v>1759.4164831698699</v>
      </c>
      <c r="M6255">
        <v>36.349504909110401</v>
      </c>
      <c r="N6255">
        <v>48.631841100903699</v>
      </c>
      <c r="O6255">
        <v>48.256966095133201</v>
      </c>
      <c r="P6255">
        <v>-0.173495761811613</v>
      </c>
      <c r="Q6255">
        <v>7.8683053657009006E-2</v>
      </c>
      <c r="R6255">
        <v>0.98861486695475398</v>
      </c>
      <c r="S6255" t="s">
        <v>12540</v>
      </c>
      <c r="T6255" t="s">
        <v>12568</v>
      </c>
      <c r="U6255" t="s">
        <v>12568</v>
      </c>
      <c r="V6255" t="s">
        <v>12568</v>
      </c>
      <c r="W6255" t="s">
        <v>18770</v>
      </c>
      <c r="X6255">
        <v>22</v>
      </c>
      <c r="Y6255" t="s">
        <v>24845</v>
      </c>
      <c r="Z6255" t="s">
        <v>31125</v>
      </c>
      <c r="AA6255">
        <v>0.34048914631256788</v>
      </c>
      <c r="AB6255" t="str">
        <f>HYPERLINK("Melting_Curves/meltCurve_Q9Y6K5_OAS3.pdf", "Melting_Curves/meltCurve_Q9Y6K5_OAS3.pdf")</f>
        <v>Melting_Curves/meltCurve_Q9Y6K5_OAS3.pdf</v>
      </c>
    </row>
    <row r="6256" spans="1:28" x14ac:dyDescent="0.25">
      <c r="A6256" t="s">
        <v>6260</v>
      </c>
      <c r="B6256">
        <v>0.99352677808782597</v>
      </c>
      <c r="C6256">
        <v>0.84676657112170695</v>
      </c>
      <c r="D6256">
        <v>0.78534313562380498</v>
      </c>
      <c r="E6256">
        <v>0.94490332350165196</v>
      </c>
      <c r="F6256">
        <v>0.90559367166259996</v>
      </c>
      <c r="G6256">
        <v>0.88994594076381806</v>
      </c>
      <c r="H6256">
        <v>0.884607982595908</v>
      </c>
      <c r="I6256">
        <v>0.99998555663251898</v>
      </c>
      <c r="J6256">
        <v>1.0975994457481699</v>
      </c>
      <c r="K6256">
        <v>0.89805041258326501</v>
      </c>
      <c r="L6256">
        <v>10098.8077184662</v>
      </c>
      <c r="M6256">
        <v>250</v>
      </c>
      <c r="O6256">
        <v>40.392644976306798</v>
      </c>
      <c r="P6256">
        <v>-0.12846190441149299</v>
      </c>
      <c r="Q6256">
        <v>0.91697734074105597</v>
      </c>
      <c r="R6256">
        <v>7.5241741753491298E-2</v>
      </c>
      <c r="S6256" t="s">
        <v>12541</v>
      </c>
      <c r="T6256" t="s">
        <v>12568</v>
      </c>
      <c r="U6256" t="s">
        <v>12568</v>
      </c>
      <c r="V6256" t="s">
        <v>12568</v>
      </c>
      <c r="W6256" t="s">
        <v>18771</v>
      </c>
      <c r="X6256">
        <v>24</v>
      </c>
      <c r="Y6256" t="s">
        <v>18997</v>
      </c>
      <c r="Z6256" t="s">
        <v>31126</v>
      </c>
      <c r="AA6256">
        <v>0.91811230750802364</v>
      </c>
      <c r="AB6256" t="str">
        <f>HYPERLINK("Melting_Curves/meltCurve_Q9Y6K9_IKBKG.pdf", "Melting_Curves/meltCurve_Q9Y6K9_IKBKG.pdf")</f>
        <v>Melting_Curves/meltCurve_Q9Y6K9_IKBKG.pdf</v>
      </c>
    </row>
    <row r="6257" spans="1:28" x14ac:dyDescent="0.25">
      <c r="A6257" t="s">
        <v>6261</v>
      </c>
      <c r="B6257">
        <v>0.99352677808782597</v>
      </c>
      <c r="C6257">
        <v>1.0466477060247501</v>
      </c>
      <c r="D6257">
        <v>1.05573957526731</v>
      </c>
      <c r="E6257">
        <v>0.99924352692950902</v>
      </c>
      <c r="F6257">
        <v>0.90403228372489397</v>
      </c>
      <c r="G6257">
        <v>0.886383600849456</v>
      </c>
      <c r="H6257">
        <v>0.72374057219352095</v>
      </c>
      <c r="I6257">
        <v>0.78630406219992799</v>
      </c>
      <c r="J6257">
        <v>0.78598961477768103</v>
      </c>
      <c r="K6257">
        <v>0.73367985506758404</v>
      </c>
      <c r="L6257">
        <v>1266.9557438188101</v>
      </c>
      <c r="M6257">
        <v>22.733359011234899</v>
      </c>
      <c r="O6257">
        <v>55.305264594665402</v>
      </c>
      <c r="P6257">
        <v>-2.5607268722679901E-2</v>
      </c>
      <c r="Q6257">
        <v>0.75081748410594096</v>
      </c>
      <c r="R6257">
        <v>0.90503738607685102</v>
      </c>
      <c r="S6257" t="s">
        <v>12542</v>
      </c>
      <c r="T6257" t="s">
        <v>12568</v>
      </c>
      <c r="U6257" t="s">
        <v>12568</v>
      </c>
      <c r="V6257" t="s">
        <v>12568</v>
      </c>
      <c r="W6257" t="s">
        <v>18772</v>
      </c>
      <c r="X6257">
        <v>5</v>
      </c>
      <c r="Y6257" t="s">
        <v>24846</v>
      </c>
      <c r="Z6257" t="s">
        <v>31127</v>
      </c>
      <c r="AA6257">
        <v>0.88416126812946993</v>
      </c>
      <c r="AB6257" t="str">
        <f>HYPERLINK("Melting_Curves/meltCurve_Q9Y6M5_SLC30A1.pdf", "Melting_Curves/meltCurve_Q9Y6M5_SLC30A1.pdf")</f>
        <v>Melting_Curves/meltCurve_Q9Y6M5_SLC30A1.pdf</v>
      </c>
    </row>
    <row r="6258" spans="1:28" x14ac:dyDescent="0.25">
      <c r="A6258" t="s">
        <v>6262</v>
      </c>
      <c r="B6258">
        <v>0.99352677808782597</v>
      </c>
      <c r="C6258">
        <v>0.93576780351511701</v>
      </c>
      <c r="D6258">
        <v>0.91196640230105797</v>
      </c>
      <c r="E6258">
        <v>0.77137515331148998</v>
      </c>
      <c r="F6258">
        <v>0.76133429043144996</v>
      </c>
      <c r="G6258">
        <v>0.62358265693291903</v>
      </c>
      <c r="H6258">
        <v>0.61608345587295998</v>
      </c>
      <c r="I6258">
        <v>0.60687670789319903</v>
      </c>
      <c r="J6258">
        <v>0.65177665168991405</v>
      </c>
      <c r="K6258">
        <v>0.52775314768564696</v>
      </c>
      <c r="L6258">
        <v>588.84084664781801</v>
      </c>
      <c r="M6258">
        <v>11.647060067845199</v>
      </c>
      <c r="O6258">
        <v>49.135630143701398</v>
      </c>
      <c r="P6258">
        <v>-2.5772575589120699E-2</v>
      </c>
      <c r="Q6258">
        <v>0.56520907230293405</v>
      </c>
      <c r="R6258">
        <v>0.95432874913430898</v>
      </c>
      <c r="S6258" t="s">
        <v>12543</v>
      </c>
      <c r="T6258" t="s">
        <v>12568</v>
      </c>
      <c r="U6258" t="s">
        <v>12568</v>
      </c>
      <c r="V6258" t="s">
        <v>12568</v>
      </c>
      <c r="W6258" t="s">
        <v>18773</v>
      </c>
      <c r="X6258">
        <v>10</v>
      </c>
      <c r="Y6258" t="s">
        <v>24847</v>
      </c>
      <c r="Z6258" t="s">
        <v>31128</v>
      </c>
      <c r="AA6258">
        <v>0.73343157232002409</v>
      </c>
      <c r="AB6258" t="str">
        <f>HYPERLINK("Melting_Curves/meltCurve_Q9Y6N7_5_ROBO1.pdf", "Melting_Curves/meltCurve_Q9Y6N7_5_ROBO1.pdf")</f>
        <v>Melting_Curves/meltCurve_Q9Y6N7_5_ROBO1.pdf</v>
      </c>
    </row>
    <row r="6259" spans="1:28" x14ac:dyDescent="0.25">
      <c r="A6259" t="s">
        <v>6263</v>
      </c>
      <c r="B6259">
        <v>0.99352677808782597</v>
      </c>
      <c r="C6259">
        <v>0.45356490928271398</v>
      </c>
      <c r="D6259">
        <v>0.94675278830784704</v>
      </c>
      <c r="E6259">
        <v>0.59898981063155798</v>
      </c>
      <c r="F6259">
        <v>0.58664871023209197</v>
      </c>
      <c r="G6259">
        <v>0.46705755338621002</v>
      </c>
      <c r="H6259">
        <v>0.42936746066500397</v>
      </c>
      <c r="I6259">
        <v>0.52901738475469695</v>
      </c>
      <c r="J6259">
        <v>0.40970888536271399</v>
      </c>
      <c r="K6259">
        <v>0.36690126184264299</v>
      </c>
      <c r="L6259">
        <v>261.670512923552</v>
      </c>
      <c r="M6259">
        <v>5.2187415497070297</v>
      </c>
      <c r="N6259">
        <v>58.151090152371097</v>
      </c>
      <c r="O6259">
        <v>44.187603415854603</v>
      </c>
      <c r="P6259">
        <v>-2.2072958610419802E-2</v>
      </c>
      <c r="Q6259">
        <v>0.25635673263724201</v>
      </c>
      <c r="R6259">
        <v>0.54290316383206005</v>
      </c>
      <c r="S6259" t="s">
        <v>12544</v>
      </c>
      <c r="T6259" t="s">
        <v>12568</v>
      </c>
      <c r="U6259" t="s">
        <v>12568</v>
      </c>
      <c r="V6259" t="s">
        <v>12568</v>
      </c>
      <c r="W6259" t="s">
        <v>18774</v>
      </c>
      <c r="X6259">
        <v>4</v>
      </c>
      <c r="Y6259" t="s">
        <v>24848</v>
      </c>
      <c r="Z6259" t="s">
        <v>31129</v>
      </c>
      <c r="AA6259">
        <v>0.57181395281858083</v>
      </c>
      <c r="AB6259" t="str">
        <f>HYPERLINK("Melting_Curves/meltCurve_Q9Y6N9_5_USH1C.pdf", "Melting_Curves/meltCurve_Q9Y6N9_5_USH1C.pdf")</f>
        <v>Melting_Curves/meltCurve_Q9Y6N9_5_USH1C.pdf</v>
      </c>
    </row>
    <row r="6260" spans="1:28" x14ac:dyDescent="0.25">
      <c r="A6260" t="s">
        <v>6264</v>
      </c>
      <c r="B6260">
        <v>0.99352677808782597</v>
      </c>
      <c r="C6260">
        <v>0.98615618201309396</v>
      </c>
      <c r="D6260">
        <v>1.02635488420821</v>
      </c>
      <c r="E6260">
        <v>0.81611144359356602</v>
      </c>
      <c r="F6260">
        <v>0.69395570320004696</v>
      </c>
      <c r="G6260">
        <v>0.51405788948813702</v>
      </c>
      <c r="H6260">
        <v>0.46286532096093502</v>
      </c>
      <c r="I6260">
        <v>0.46993141142872402</v>
      </c>
      <c r="J6260">
        <v>0.51975583249477697</v>
      </c>
      <c r="K6260">
        <v>0.435930233570888</v>
      </c>
      <c r="L6260">
        <v>1243.23505711896</v>
      </c>
      <c r="M6260">
        <v>23.941353944524199</v>
      </c>
      <c r="N6260">
        <v>58.513362179599397</v>
      </c>
      <c r="O6260">
        <v>51.5701499413505</v>
      </c>
      <c r="P6260">
        <v>-6.1954251162306802E-2</v>
      </c>
      <c r="Q6260">
        <v>0.46620601134765099</v>
      </c>
      <c r="R6260">
        <v>0.98455005487826197</v>
      </c>
      <c r="S6260" t="s">
        <v>12545</v>
      </c>
      <c r="T6260" t="s">
        <v>12568</v>
      </c>
      <c r="U6260" t="s">
        <v>12568</v>
      </c>
      <c r="V6260" t="s">
        <v>12568</v>
      </c>
      <c r="W6260" t="s">
        <v>18775</v>
      </c>
      <c r="X6260">
        <v>20</v>
      </c>
      <c r="Y6260" t="s">
        <v>24849</v>
      </c>
      <c r="Z6260" t="s">
        <v>31130</v>
      </c>
      <c r="AA6260">
        <v>0.68373977964502886</v>
      </c>
      <c r="AB6260" t="str">
        <f>HYPERLINK("Melting_Curves/meltCurve_Q9Y6Q9_5_NCOA3.pdf", "Melting_Curves/meltCurve_Q9Y6Q9_5_NCOA3.pdf")</f>
        <v>Melting_Curves/meltCurve_Q9Y6Q9_5_NCOA3.pdf</v>
      </c>
    </row>
    <row r="6261" spans="1:28" x14ac:dyDescent="0.25">
      <c r="A6261" t="s">
        <v>6265</v>
      </c>
      <c r="B6261">
        <v>0.99352677808782597</v>
      </c>
      <c r="C6261">
        <v>0.88500405815799799</v>
      </c>
      <c r="D6261">
        <v>0.93149752341918302</v>
      </c>
      <c r="E6261">
        <v>0.51803931507357504</v>
      </c>
      <c r="F6261">
        <v>0.44721573187483898</v>
      </c>
      <c r="G6261">
        <v>0.26421072127811401</v>
      </c>
      <c r="H6261">
        <v>0.197141855143532</v>
      </c>
      <c r="I6261">
        <v>0.20072055513751999</v>
      </c>
      <c r="J6261">
        <v>0.177391421975724</v>
      </c>
      <c r="K6261">
        <v>0.14715666581214401</v>
      </c>
      <c r="L6261">
        <v>833.51091039762605</v>
      </c>
      <c r="M6261">
        <v>16.623463279216999</v>
      </c>
      <c r="N6261">
        <v>51.348932645351098</v>
      </c>
      <c r="O6261">
        <v>49.431883492646797</v>
      </c>
      <c r="P6261">
        <v>-7.0468828194703806E-2</v>
      </c>
      <c r="Q6261">
        <v>0.161866154450058</v>
      </c>
      <c r="R6261">
        <v>0.98111323427158703</v>
      </c>
      <c r="S6261" t="s">
        <v>12546</v>
      </c>
      <c r="T6261" t="s">
        <v>12568</v>
      </c>
      <c r="U6261" t="s">
        <v>12568</v>
      </c>
      <c r="V6261" t="s">
        <v>12568</v>
      </c>
      <c r="W6261" t="s">
        <v>18776</v>
      </c>
      <c r="X6261">
        <v>8</v>
      </c>
      <c r="Y6261" t="s">
        <v>24850</v>
      </c>
      <c r="Z6261" t="s">
        <v>31131</v>
      </c>
      <c r="AA6261">
        <v>0.46171649927137148</v>
      </c>
      <c r="AB6261" t="str">
        <f>HYPERLINK("Melting_Curves/meltCurve_Q9Y6R0_NUMBL.pdf", "Melting_Curves/meltCurve_Q9Y6R0_NUMBL.pdf")</f>
        <v>Melting_Curves/meltCurve_Q9Y6R0_NUMBL.pdf</v>
      </c>
    </row>
    <row r="6262" spans="1:28" x14ac:dyDescent="0.25">
      <c r="A6262" t="s">
        <v>6266</v>
      </c>
      <c r="B6262">
        <v>0.99352677808782597</v>
      </c>
      <c r="C6262">
        <v>0.95454393650508595</v>
      </c>
      <c r="D6262">
        <v>0.88649929616208101</v>
      </c>
      <c r="E6262">
        <v>1.1314851699812101</v>
      </c>
      <c r="F6262">
        <v>1.07307224375662</v>
      </c>
      <c r="G6262">
        <v>1.0461137598774499</v>
      </c>
      <c r="H6262">
        <v>0.92614557883099802</v>
      </c>
      <c r="I6262">
        <v>0.44422069371346301</v>
      </c>
      <c r="J6262">
        <v>0.36473394852477897</v>
      </c>
      <c r="K6262">
        <v>0.30079548100494202</v>
      </c>
      <c r="L6262">
        <v>4704.0687007871202</v>
      </c>
      <c r="M6262">
        <v>75.045714940398398</v>
      </c>
      <c r="N6262">
        <v>63.591202384321598</v>
      </c>
      <c r="O6262">
        <v>62.638227299026298</v>
      </c>
      <c r="P6262">
        <v>-0.201019352495373</v>
      </c>
      <c r="Q6262">
        <v>0.32886259388210398</v>
      </c>
      <c r="R6262">
        <v>0.95352474415411903</v>
      </c>
      <c r="S6262" t="s">
        <v>12547</v>
      </c>
      <c r="T6262" t="s">
        <v>12568</v>
      </c>
      <c r="U6262" t="s">
        <v>12568</v>
      </c>
      <c r="V6262" t="s">
        <v>12568</v>
      </c>
      <c r="W6262" t="s">
        <v>18777</v>
      </c>
      <c r="X6262">
        <v>2</v>
      </c>
      <c r="Y6262" t="s">
        <v>24851</v>
      </c>
      <c r="Z6262" t="s">
        <v>31132</v>
      </c>
      <c r="AA6262">
        <v>0.83711483355223704</v>
      </c>
      <c r="AB6262" t="str">
        <f>HYPERLINK("Melting_Curves/meltCurve_Q9Y6V0_2_PCLO.pdf", "Melting_Curves/meltCurve_Q9Y6V0_2_PCLO.pdf")</f>
        <v>Melting_Curves/meltCurve_Q9Y6V0_2_PCLO.pdf</v>
      </c>
    </row>
    <row r="6263" spans="1:28" x14ac:dyDescent="0.25">
      <c r="A6263" t="s">
        <v>6267</v>
      </c>
      <c r="B6263">
        <v>0.99352677808782597</v>
      </c>
      <c r="C6263">
        <v>1.0460668341944599</v>
      </c>
      <c r="D6263">
        <v>0.94051594584370601</v>
      </c>
      <c r="E6263">
        <v>0.326065689188685</v>
      </c>
      <c r="F6263">
        <v>0.283494525025694</v>
      </c>
      <c r="G6263">
        <v>0.16213884551044599</v>
      </c>
      <c r="H6263">
        <v>0.10416324055479299</v>
      </c>
      <c r="I6263">
        <v>0.105094674162278</v>
      </c>
      <c r="J6263">
        <v>8.3604438880668694E-2</v>
      </c>
      <c r="K6263">
        <v>6.7034729022206294E-2</v>
      </c>
      <c r="L6263">
        <v>1731.9140335603799</v>
      </c>
      <c r="M6263">
        <v>35.534023797935703</v>
      </c>
      <c r="N6263">
        <v>49.115826668071001</v>
      </c>
      <c r="O6263">
        <v>48.586006224530202</v>
      </c>
      <c r="P6263">
        <v>-0.16105650196756</v>
      </c>
      <c r="Q6263">
        <v>0.119146622692255</v>
      </c>
      <c r="R6263">
        <v>0.98299753771923704</v>
      </c>
      <c r="S6263" t="s">
        <v>12548</v>
      </c>
      <c r="T6263" t="s">
        <v>12568</v>
      </c>
      <c r="U6263" t="s">
        <v>12568</v>
      </c>
      <c r="V6263" t="s">
        <v>12568</v>
      </c>
      <c r="W6263" t="s">
        <v>18778</v>
      </c>
      <c r="X6263">
        <v>3</v>
      </c>
      <c r="Y6263" t="s">
        <v>24852</v>
      </c>
      <c r="Z6263" t="s">
        <v>31133</v>
      </c>
      <c r="AA6263">
        <v>0.37953645694725441</v>
      </c>
      <c r="AB6263" t="str">
        <f>HYPERLINK("Melting_Curves/meltCurve_Q9Y6V7_DDX49.pdf", "Melting_Curves/meltCurve_Q9Y6V7_DDX49.pdf")</f>
        <v>Melting_Curves/meltCurve_Q9Y6V7_DDX49.pdf</v>
      </c>
    </row>
    <row r="6264" spans="1:28" x14ac:dyDescent="0.25">
      <c r="A6264" t="s">
        <v>6268</v>
      </c>
      <c r="B6264">
        <v>0.99352677808782597</v>
      </c>
      <c r="C6264">
        <v>0.97070570905403697</v>
      </c>
      <c r="D6264">
        <v>0.93036740950784902</v>
      </c>
      <c r="E6264">
        <v>0.41379550640364399</v>
      </c>
      <c r="F6264">
        <v>0.34694361147628699</v>
      </c>
      <c r="G6264">
        <v>0.26958875002285998</v>
      </c>
      <c r="H6264">
        <v>0.193096282634072</v>
      </c>
      <c r="I6264">
        <v>0.19168650816655899</v>
      </c>
      <c r="J6264">
        <v>0.15172671561919299</v>
      </c>
      <c r="K6264">
        <v>0.119168714452901</v>
      </c>
      <c r="L6264">
        <v>1321.0395532905</v>
      </c>
      <c r="M6264">
        <v>26.996022171637701</v>
      </c>
      <c r="N6264">
        <v>49.791109608155701</v>
      </c>
      <c r="O6264">
        <v>48.668462756462901</v>
      </c>
      <c r="P6264">
        <v>-0.112917064338544</v>
      </c>
      <c r="Q6264">
        <v>0.18574018389042399</v>
      </c>
      <c r="R6264">
        <v>0.98098990411888998</v>
      </c>
      <c r="S6264" t="s">
        <v>12549</v>
      </c>
      <c r="T6264" t="s">
        <v>12568</v>
      </c>
      <c r="U6264" t="s">
        <v>12568</v>
      </c>
      <c r="V6264" t="s">
        <v>12568</v>
      </c>
      <c r="W6264" t="s">
        <v>18779</v>
      </c>
      <c r="X6264">
        <v>7</v>
      </c>
      <c r="Y6264" t="s">
        <v>24853</v>
      </c>
      <c r="Z6264" t="s">
        <v>31134</v>
      </c>
      <c r="AA6264">
        <v>0.43439863173627252</v>
      </c>
      <c r="AB6264" t="str">
        <f>HYPERLINK("Melting_Curves/meltCurve_Q9Y6W3_CAPN7.pdf", "Melting_Curves/meltCurve_Q9Y6W3_CAPN7.pdf")</f>
        <v>Melting_Curves/meltCurve_Q9Y6W3_CAPN7.pdf</v>
      </c>
    </row>
    <row r="6265" spans="1:28" x14ac:dyDescent="0.25">
      <c r="A6265" t="s">
        <v>6269</v>
      </c>
      <c r="B6265">
        <v>0.99352677808782597</v>
      </c>
      <c r="C6265">
        <v>1.0325357274270499</v>
      </c>
      <c r="D6265">
        <v>0.88526573299711697</v>
      </c>
      <c r="E6265">
        <v>1.07420865669391</v>
      </c>
      <c r="F6265">
        <v>0.89795163099158404</v>
      </c>
      <c r="G6265">
        <v>0.667401002424861</v>
      </c>
      <c r="H6265">
        <v>0.62270850064043803</v>
      </c>
      <c r="I6265">
        <v>0.57166472881146901</v>
      </c>
      <c r="J6265">
        <v>0.57810217780739903</v>
      </c>
      <c r="K6265">
        <v>0.27641042014037698</v>
      </c>
      <c r="L6265">
        <v>553.69840499533905</v>
      </c>
      <c r="M6265">
        <v>8.4578324857417702</v>
      </c>
      <c r="N6265">
        <v>65.465755205852204</v>
      </c>
      <c r="O6265">
        <v>62.1134238349415</v>
      </c>
      <c r="P6265">
        <v>-3.4073148482168698E-2</v>
      </c>
      <c r="Q6265">
        <v>0</v>
      </c>
      <c r="R6265">
        <v>0.88536391368332701</v>
      </c>
      <c r="S6265" t="s">
        <v>12550</v>
      </c>
      <c r="T6265" t="s">
        <v>12568</v>
      </c>
      <c r="U6265" t="s">
        <v>12568</v>
      </c>
      <c r="V6265" t="s">
        <v>12568</v>
      </c>
      <c r="W6265" t="s">
        <v>18780</v>
      </c>
      <c r="X6265">
        <v>13</v>
      </c>
      <c r="Y6265" t="s">
        <v>24854</v>
      </c>
      <c r="Z6265" t="s">
        <v>31135</v>
      </c>
      <c r="AA6265">
        <v>0.77238043261529687</v>
      </c>
      <c r="AB6265" t="str">
        <f>HYPERLINK("Melting_Curves/meltCurve_Q9Y6W5_WASF2.pdf", "Melting_Curves/meltCurve_Q9Y6W5_WASF2.pdf")</f>
        <v>Melting_Curves/meltCurve_Q9Y6W5_WASF2.pdf</v>
      </c>
    </row>
    <row r="6266" spans="1:28" x14ac:dyDescent="0.25">
      <c r="A6266" t="s">
        <v>6270</v>
      </c>
      <c r="B6266">
        <v>0.99352677808782597</v>
      </c>
      <c r="C6266">
        <v>0.87957366899822798</v>
      </c>
      <c r="D6266">
        <v>0.79175535739588199</v>
      </c>
      <c r="E6266">
        <v>0.47633352862554501</v>
      </c>
      <c r="F6266">
        <v>0.47303356922102002</v>
      </c>
      <c r="G6266">
        <v>0.32846849689879598</v>
      </c>
      <c r="H6266">
        <v>0.234686099063038</v>
      </c>
      <c r="I6266">
        <v>0.228375589511258</v>
      </c>
      <c r="J6266">
        <v>0.22603890154897199</v>
      </c>
      <c r="K6266">
        <v>0.165093121574381</v>
      </c>
      <c r="L6266">
        <v>614.79739732589701</v>
      </c>
      <c r="M6266">
        <v>12.4657136658287</v>
      </c>
      <c r="N6266">
        <v>51.125682625698602</v>
      </c>
      <c r="O6266">
        <v>48.1014341873219</v>
      </c>
      <c r="P6266">
        <v>-5.3258167285236899E-2</v>
      </c>
      <c r="Q6266">
        <v>0.178141681614817</v>
      </c>
      <c r="R6266">
        <v>0.98424253850171695</v>
      </c>
      <c r="S6266" t="s">
        <v>12551</v>
      </c>
      <c r="T6266" t="s">
        <v>12568</v>
      </c>
      <c r="U6266" t="s">
        <v>12568</v>
      </c>
      <c r="V6266" t="s">
        <v>12568</v>
      </c>
      <c r="W6266" t="s">
        <v>18781</v>
      </c>
      <c r="X6266">
        <v>6</v>
      </c>
      <c r="Y6266" t="s">
        <v>24855</v>
      </c>
      <c r="Z6266" t="s">
        <v>31136</v>
      </c>
      <c r="AA6266">
        <v>0.46124541536542207</v>
      </c>
      <c r="AB6266" t="str">
        <f>HYPERLINK("Melting_Curves/meltCurve_Q9Y6X8_ZHX2.pdf", "Melting_Curves/meltCurve_Q9Y6X8_ZHX2.pdf")</f>
        <v>Melting_Curves/meltCurve_Q9Y6X8_ZHX2.pdf</v>
      </c>
    </row>
    <row r="6267" spans="1:28" x14ac:dyDescent="0.25">
      <c r="A6267" t="s">
        <v>6271</v>
      </c>
      <c r="B6267">
        <v>0.99352677808782597</v>
      </c>
      <c r="C6267">
        <v>0.84281120252196395</v>
      </c>
      <c r="D6267">
        <v>0.67052390226284397</v>
      </c>
      <c r="E6267">
        <v>0.30447584348526802</v>
      </c>
      <c r="F6267">
        <v>0.26803171639907403</v>
      </c>
      <c r="G6267">
        <v>0.198982262296588</v>
      </c>
      <c r="H6267">
        <v>0.16075776915370399</v>
      </c>
      <c r="I6267">
        <v>0.16613402219995099</v>
      </c>
      <c r="J6267">
        <v>0.15150734591883799</v>
      </c>
      <c r="K6267">
        <v>0.120908052641835</v>
      </c>
      <c r="L6267">
        <v>879.30917853278004</v>
      </c>
      <c r="M6267">
        <v>18.788838539321102</v>
      </c>
      <c r="N6267">
        <v>47.7100305879556</v>
      </c>
      <c r="O6267">
        <v>46.279074832572</v>
      </c>
      <c r="P6267">
        <v>-8.6209585841197603E-2</v>
      </c>
      <c r="Q6267">
        <v>0.150658800115717</v>
      </c>
      <c r="R6267">
        <v>0.99308332134541599</v>
      </c>
      <c r="S6267" t="s">
        <v>12552</v>
      </c>
      <c r="T6267" t="s">
        <v>12568</v>
      </c>
      <c r="U6267" t="s">
        <v>12568</v>
      </c>
      <c r="V6267" t="s">
        <v>12568</v>
      </c>
      <c r="W6267" t="s">
        <v>18782</v>
      </c>
      <c r="X6267">
        <v>9</v>
      </c>
      <c r="Y6267" t="s">
        <v>24856</v>
      </c>
      <c r="Z6267" t="s">
        <v>31137</v>
      </c>
      <c r="AA6267">
        <v>0.35756959443778469</v>
      </c>
      <c r="AB6267" t="str">
        <f>HYPERLINK("Melting_Curves/meltCurve_Q9Y6X9_MORC2.pdf", "Melting_Curves/meltCurve_Q9Y6X9_MORC2.pdf")</f>
        <v>Melting_Curves/meltCurve_Q9Y6X9_MORC2.pdf</v>
      </c>
    </row>
    <row r="6268" spans="1:28" x14ac:dyDescent="0.25">
      <c r="A6268" t="s">
        <v>6272</v>
      </c>
      <c r="B6268">
        <v>0.99352677808782597</v>
      </c>
      <c r="C6268">
        <v>0.96236262967464004</v>
      </c>
      <c r="D6268">
        <v>0.90883361527283002</v>
      </c>
      <c r="E6268">
        <v>0.47068681436115101</v>
      </c>
      <c r="F6268">
        <v>0.38081401134827197</v>
      </c>
      <c r="G6268">
        <v>0.23295192087073399</v>
      </c>
      <c r="H6268">
        <v>0.13737456407933499</v>
      </c>
      <c r="I6268">
        <v>0.141035595150594</v>
      </c>
      <c r="J6268">
        <v>0.113851841742991</v>
      </c>
      <c r="K6268">
        <v>9.0175646286188904E-2</v>
      </c>
      <c r="L6268">
        <v>931.13069645215398</v>
      </c>
      <c r="M6268">
        <v>18.665075250148199</v>
      </c>
      <c r="N6268">
        <v>50.6054756244841</v>
      </c>
      <c r="O6268">
        <v>49.324201939792097</v>
      </c>
      <c r="P6268">
        <v>-8.3586091295254697E-2</v>
      </c>
      <c r="Q6268">
        <v>0.116501515267334</v>
      </c>
      <c r="R6268">
        <v>0.98866109459904805</v>
      </c>
      <c r="S6268" t="s">
        <v>12553</v>
      </c>
      <c r="T6268" t="s">
        <v>12568</v>
      </c>
      <c r="U6268" t="s">
        <v>12568</v>
      </c>
      <c r="V6268" t="s">
        <v>12568</v>
      </c>
      <c r="W6268" t="s">
        <v>18783</v>
      </c>
      <c r="X6268">
        <v>5</v>
      </c>
      <c r="Y6268" t="s">
        <v>24857</v>
      </c>
      <c r="Z6268" t="s">
        <v>31138</v>
      </c>
      <c r="AA6268">
        <v>0.42172569469076282</v>
      </c>
      <c r="AB6268" t="str">
        <f>HYPERLINK("Melting_Curves/meltCurve_Q9Y6Y0_IVNS1ABP.pdf", "Melting_Curves/meltCurve_Q9Y6Y0_IVNS1ABP.pdf")</f>
        <v>Melting_Curves/meltCurve_Q9Y6Y0_IVNS1ABP.pdf</v>
      </c>
    </row>
    <row r="6269" spans="1:28" x14ac:dyDescent="0.25">
      <c r="A6269" t="s">
        <v>6273</v>
      </c>
      <c r="B6269">
        <v>0.99352677808782597</v>
      </c>
      <c r="C6269">
        <v>0.96643822799072598</v>
      </c>
      <c r="D6269">
        <v>0.70854997498532801</v>
      </c>
      <c r="E6269">
        <v>1.0689213215861999</v>
      </c>
      <c r="F6269">
        <v>0.76320173357749199</v>
      </c>
      <c r="G6269">
        <v>0.352378652419222</v>
      </c>
      <c r="H6269">
        <v>0.11229630286749</v>
      </c>
      <c r="I6269">
        <v>8.6090841358851797E-2</v>
      </c>
      <c r="J6269">
        <v>7.0468089078472906E-2</v>
      </c>
      <c r="K6269">
        <v>4.8382227229952099E-2</v>
      </c>
      <c r="L6269">
        <v>1616.15725448991</v>
      </c>
      <c r="M6269">
        <v>29.201392886551002</v>
      </c>
      <c r="N6269">
        <v>55.585357097621497</v>
      </c>
      <c r="O6269">
        <v>55.087616565680598</v>
      </c>
      <c r="P6269">
        <v>-0.124669781727672</v>
      </c>
      <c r="Q6269">
        <v>5.9262684600114503E-2</v>
      </c>
      <c r="R6269">
        <v>0.93971893355560898</v>
      </c>
      <c r="S6269" t="s">
        <v>12554</v>
      </c>
      <c r="T6269" t="s">
        <v>12568</v>
      </c>
      <c r="U6269" t="s">
        <v>12568</v>
      </c>
      <c r="V6269" t="s">
        <v>12568</v>
      </c>
      <c r="W6269" t="s">
        <v>18784</v>
      </c>
      <c r="X6269">
        <v>10</v>
      </c>
      <c r="Y6269" t="s">
        <v>24858</v>
      </c>
      <c r="Z6269" t="s">
        <v>31139</v>
      </c>
      <c r="AA6269">
        <v>0.54703407594839082</v>
      </c>
      <c r="AB6269" t="str">
        <f>HYPERLINK("Melting_Curves/meltCurve_R4GMR5_PSMD8.pdf", "Melting_Curves/meltCurve_R4GMR5_PSMD8.pdf")</f>
        <v>Melting_Curves/meltCurve_R4GMR5_PSMD8.pdf</v>
      </c>
    </row>
    <row r="6270" spans="1:28" x14ac:dyDescent="0.25">
      <c r="A6270" t="s">
        <v>6274</v>
      </c>
      <c r="B6270">
        <v>0.99352677808782597</v>
      </c>
      <c r="C6270">
        <v>0.97932204847878201</v>
      </c>
      <c r="D6270">
        <v>0.94855481140754805</v>
      </c>
      <c r="E6270">
        <v>0.911957845404469</v>
      </c>
      <c r="F6270">
        <v>0.84104078561965401</v>
      </c>
      <c r="G6270">
        <v>0.74944975568847005</v>
      </c>
      <c r="H6270">
        <v>0.64318638207307499</v>
      </c>
      <c r="I6270">
        <v>0.68781022775717005</v>
      </c>
      <c r="J6270">
        <v>0.622483954682438</v>
      </c>
      <c r="K6270">
        <v>0.58027225630990897</v>
      </c>
      <c r="L6270">
        <v>596.51166294503696</v>
      </c>
      <c r="M6270">
        <v>10.6836825824002</v>
      </c>
      <c r="O6270">
        <v>53.984345353184899</v>
      </c>
      <c r="P6270">
        <v>-2.2191860362144999E-2</v>
      </c>
      <c r="Q6270">
        <v>0.55162987847463496</v>
      </c>
      <c r="R6270">
        <v>0.98204899130086898</v>
      </c>
      <c r="S6270" t="s">
        <v>12555</v>
      </c>
      <c r="T6270" t="s">
        <v>12568</v>
      </c>
      <c r="U6270" t="s">
        <v>12568</v>
      </c>
      <c r="V6270" t="s">
        <v>12568</v>
      </c>
      <c r="W6270" t="s">
        <v>18785</v>
      </c>
      <c r="X6270">
        <v>4</v>
      </c>
      <c r="Y6270" t="s">
        <v>24859</v>
      </c>
      <c r="Z6270" t="s">
        <v>31140</v>
      </c>
      <c r="AA6270">
        <v>0.79802193191769699</v>
      </c>
      <c r="AB6270" t="str">
        <f>HYPERLINK("Melting_Curves/meltCurve_R4GMU8_LAMTOR5.pdf", "Melting_Curves/meltCurve_R4GMU8_LAMTOR5.pdf")</f>
        <v>Melting_Curves/meltCurve_R4GMU8_LAMTOR5.pdf</v>
      </c>
    </row>
    <row r="6271" spans="1:28" x14ac:dyDescent="0.25">
      <c r="A6271" t="s">
        <v>6275</v>
      </c>
      <c r="B6271">
        <v>0.99352677808782597</v>
      </c>
      <c r="C6271">
        <v>0.89578913563336304</v>
      </c>
      <c r="D6271">
        <v>0.92188136192882797</v>
      </c>
      <c r="E6271">
        <v>0.57417104520484596</v>
      </c>
      <c r="F6271">
        <v>0.47995026020371601</v>
      </c>
      <c r="G6271">
        <v>0.24247909875484699</v>
      </c>
      <c r="H6271">
        <v>0.15146015832561299</v>
      </c>
      <c r="I6271">
        <v>0.13195137765255099</v>
      </c>
      <c r="J6271">
        <v>0.11166416626711501</v>
      </c>
      <c r="K6271">
        <v>8.3762338951419602E-2</v>
      </c>
      <c r="L6271">
        <v>741.62804914286903</v>
      </c>
      <c r="M6271">
        <v>14.4184946839658</v>
      </c>
      <c r="N6271">
        <v>51.997279927934002</v>
      </c>
      <c r="O6271">
        <v>50.476833673275202</v>
      </c>
      <c r="P6271">
        <v>-6.6271968565292799E-2</v>
      </c>
      <c r="Q6271">
        <v>7.2079378795125798E-2</v>
      </c>
      <c r="R6271">
        <v>0.98968575669888303</v>
      </c>
      <c r="S6271" t="s">
        <v>12556</v>
      </c>
      <c r="T6271" t="s">
        <v>12568</v>
      </c>
      <c r="U6271" t="s">
        <v>12568</v>
      </c>
      <c r="V6271" t="s">
        <v>12568</v>
      </c>
      <c r="W6271" t="s">
        <v>18786</v>
      </c>
      <c r="X6271">
        <v>9</v>
      </c>
      <c r="Y6271" t="s">
        <v>24860</v>
      </c>
      <c r="Z6271" t="s">
        <v>31141</v>
      </c>
      <c r="AA6271">
        <v>0.44830501325068972</v>
      </c>
      <c r="AB6271" t="str">
        <f>HYPERLINK("Melting_Curves/meltCurve_R4GMX3_BMI1.pdf", "Melting_Curves/meltCurve_R4GMX3_BMI1.pdf")</f>
        <v>Melting_Curves/meltCurve_R4GMX3_BMI1.pdf</v>
      </c>
    </row>
    <row r="6272" spans="1:28" x14ac:dyDescent="0.25">
      <c r="A6272" t="s">
        <v>6276</v>
      </c>
      <c r="B6272">
        <v>0.99352677808782597</v>
      </c>
      <c r="C6272">
        <v>0.97138897788288303</v>
      </c>
      <c r="D6272">
        <v>1.0854007201790199</v>
      </c>
      <c r="E6272">
        <v>0.80851328113642795</v>
      </c>
      <c r="F6272">
        <v>0.71861810771819701</v>
      </c>
      <c r="G6272">
        <v>0.428657256169239</v>
      </c>
      <c r="H6272">
        <v>0.39474868199704999</v>
      </c>
      <c r="I6272">
        <v>0.36284478654609398</v>
      </c>
      <c r="J6272">
        <v>0.34594834200073199</v>
      </c>
      <c r="K6272">
        <v>0.31136421834081701</v>
      </c>
      <c r="L6272">
        <v>1171.2225213695101</v>
      </c>
      <c r="M6272">
        <v>22.017248392896501</v>
      </c>
      <c r="N6272">
        <v>55.996039408672999</v>
      </c>
      <c r="O6272">
        <v>52.762679127291698</v>
      </c>
      <c r="P6272">
        <v>-6.9506727069791094E-2</v>
      </c>
      <c r="Q6272">
        <v>0.33374427091606002</v>
      </c>
      <c r="R6272">
        <v>0.97710016220057805</v>
      </c>
      <c r="S6272" t="s">
        <v>12557</v>
      </c>
      <c r="T6272" t="s">
        <v>12568</v>
      </c>
      <c r="U6272" t="s">
        <v>12568</v>
      </c>
      <c r="V6272" t="s">
        <v>12568</v>
      </c>
      <c r="W6272" t="s">
        <v>18787</v>
      </c>
      <c r="X6272">
        <v>12</v>
      </c>
      <c r="Y6272" t="s">
        <v>24861</v>
      </c>
      <c r="Z6272" t="s">
        <v>31142</v>
      </c>
      <c r="AA6272">
        <v>0.63454467123101943</v>
      </c>
      <c r="AB6272" t="str">
        <f>HYPERLINK("Melting_Curves/meltCurve_R4GN55_YTHDF3.pdf", "Melting_Curves/meltCurve_R4GN55_YTHDF3.pdf")</f>
        <v>Melting_Curves/meltCurve_R4GN55_YTHDF3.pdf</v>
      </c>
    </row>
    <row r="6273" spans="1:28" x14ac:dyDescent="0.25">
      <c r="A6273" t="s">
        <v>6277</v>
      </c>
      <c r="B6273">
        <v>0.99352677808782597</v>
      </c>
      <c r="C6273">
        <v>0.95222246605088701</v>
      </c>
      <c r="D6273">
        <v>0.85201597149142605</v>
      </c>
      <c r="E6273">
        <v>0.56009903042819897</v>
      </c>
      <c r="F6273">
        <v>0.46351439338575201</v>
      </c>
      <c r="G6273">
        <v>0.31107544687794902</v>
      </c>
      <c r="H6273">
        <v>0.259045535612351</v>
      </c>
      <c r="I6273">
        <v>0.19836889286732201</v>
      </c>
      <c r="J6273">
        <v>0.234326305459442</v>
      </c>
      <c r="K6273">
        <v>0.15465496555726699</v>
      </c>
      <c r="L6273">
        <v>739.46579031770705</v>
      </c>
      <c r="M6273">
        <v>14.7232295473077</v>
      </c>
      <c r="N6273">
        <v>51.821012838156001</v>
      </c>
      <c r="O6273">
        <v>49.325192870513099</v>
      </c>
      <c r="P6273">
        <v>-6.1023426900374197E-2</v>
      </c>
      <c r="Q6273">
        <v>0.182335562285113</v>
      </c>
      <c r="R6273">
        <v>0.993035144450931</v>
      </c>
      <c r="S6273" t="s">
        <v>12558</v>
      </c>
      <c r="T6273" t="s">
        <v>12568</v>
      </c>
      <c r="U6273" t="s">
        <v>12568</v>
      </c>
      <c r="V6273" t="s">
        <v>12568</v>
      </c>
      <c r="W6273" t="s">
        <v>18788</v>
      </c>
      <c r="X6273">
        <v>2</v>
      </c>
      <c r="Y6273" t="s">
        <v>24862</v>
      </c>
      <c r="Z6273" t="s">
        <v>31143</v>
      </c>
      <c r="AA6273">
        <v>0.48100274925549458</v>
      </c>
      <c r="AB6273" t="str">
        <f>HYPERLINK("Melting_Curves/meltCurve_R4GN62_PARD3B.pdf", "Melting_Curves/meltCurve_R4GN62_PARD3B.pdf")</f>
        <v>Melting_Curves/meltCurve_R4GN62_PARD3B.pdf</v>
      </c>
    </row>
    <row r="6274" spans="1:28" x14ac:dyDescent="0.25">
      <c r="A6274" t="s">
        <v>6278</v>
      </c>
      <c r="B6274">
        <v>0.99352677808782597</v>
      </c>
      <c r="C6274">
        <v>0.96360140256702198</v>
      </c>
      <c r="D6274">
        <v>0.99712747470284002</v>
      </c>
      <c r="E6274">
        <v>1.0194780883874299</v>
      </c>
      <c r="F6274">
        <v>1.01959139937406</v>
      </c>
      <c r="G6274">
        <v>1.0278916521917401</v>
      </c>
      <c r="H6274">
        <v>1.10582873822318</v>
      </c>
      <c r="I6274">
        <v>1.1286968490372999</v>
      </c>
      <c r="J6274">
        <v>1.0305758553179101</v>
      </c>
      <c r="K6274">
        <v>1.07721003179999</v>
      </c>
      <c r="L6274">
        <v>14291.421338231001</v>
      </c>
      <c r="M6274">
        <v>250</v>
      </c>
      <c r="O6274">
        <v>57.162038523704098</v>
      </c>
      <c r="P6274">
        <v>9.3569405148289E-2</v>
      </c>
      <c r="Q6274">
        <v>1.08557786996008</v>
      </c>
      <c r="R6274">
        <v>0.69199962067512799</v>
      </c>
      <c r="S6274" t="s">
        <v>12559</v>
      </c>
      <c r="T6274" t="s">
        <v>12568</v>
      </c>
      <c r="U6274" t="s">
        <v>12568</v>
      </c>
      <c r="V6274" t="s">
        <v>12568</v>
      </c>
      <c r="W6274" t="s">
        <v>18789</v>
      </c>
      <c r="X6274">
        <v>10</v>
      </c>
      <c r="Y6274" t="s">
        <v>24863</v>
      </c>
      <c r="Z6274" t="s">
        <v>31144</v>
      </c>
      <c r="AA6274">
        <v>1.03660252473958</v>
      </c>
      <c r="AB6274" t="str">
        <f>HYPERLINK("Melting_Curves/meltCurve_R4GN98_S100A6.pdf", "Melting_Curves/meltCurve_R4GN98_S100A6.pdf")</f>
        <v>Melting_Curves/meltCurve_R4GN98_S100A6.pdf</v>
      </c>
    </row>
    <row r="6275" spans="1:28" x14ac:dyDescent="0.25">
      <c r="A6275" t="s">
        <v>6279</v>
      </c>
      <c r="B6275">
        <v>0.99352677808782597</v>
      </c>
      <c r="C6275">
        <v>0.99532825501514999</v>
      </c>
      <c r="D6275">
        <v>0.94184517765808795</v>
      </c>
      <c r="E6275">
        <v>0.85025482181191003</v>
      </c>
      <c r="F6275">
        <v>0.79654258859705995</v>
      </c>
      <c r="G6275">
        <v>0.70301419749237803</v>
      </c>
      <c r="H6275">
        <v>0.65219489324895497</v>
      </c>
      <c r="I6275">
        <v>0.71697648899068001</v>
      </c>
      <c r="J6275">
        <v>0.82023927053218504</v>
      </c>
      <c r="K6275">
        <v>0.68902283573552203</v>
      </c>
      <c r="L6275">
        <v>1053.44380680943</v>
      </c>
      <c r="M6275">
        <v>21.204758373460098</v>
      </c>
      <c r="O6275">
        <v>49.244108921928301</v>
      </c>
      <c r="P6275">
        <v>-3.0709721398606199E-2</v>
      </c>
      <c r="Q6275">
        <v>0.71473700708280996</v>
      </c>
      <c r="R6275">
        <v>0.87862115975579202</v>
      </c>
      <c r="S6275" t="s">
        <v>12560</v>
      </c>
      <c r="T6275" t="s">
        <v>12568</v>
      </c>
      <c r="U6275" t="s">
        <v>12568</v>
      </c>
      <c r="V6275" t="s">
        <v>12568</v>
      </c>
      <c r="W6275" t="s">
        <v>18790</v>
      </c>
      <c r="X6275">
        <v>2</v>
      </c>
      <c r="Y6275" t="s">
        <v>24864</v>
      </c>
      <c r="Z6275" t="s">
        <v>31145</v>
      </c>
      <c r="AA6275">
        <v>0.81031863443296437</v>
      </c>
      <c r="AB6275" t="str">
        <f>HYPERLINK("Melting_Curves/meltCurve_R4GNA2_ANKRD30A.pdf", "Melting_Curves/meltCurve_R4GNA2_ANKRD30A.pdf")</f>
        <v>Melting_Curves/meltCurve_R4GNA2_ANKRD30A.pdf</v>
      </c>
    </row>
    <row r="6276" spans="1:28" x14ac:dyDescent="0.25">
      <c r="A6276" t="s">
        <v>6280</v>
      </c>
      <c r="B6276">
        <v>0.99352677808782597</v>
      </c>
      <c r="C6276">
        <v>1.0699908600781101</v>
      </c>
      <c r="D6276">
        <v>0.90370896336788997</v>
      </c>
      <c r="E6276">
        <v>0.50774716726375702</v>
      </c>
      <c r="F6276">
        <v>0.36576222124983898</v>
      </c>
      <c r="G6276">
        <v>0.20915274286079399</v>
      </c>
      <c r="H6276">
        <v>0.11382307863161201</v>
      </c>
      <c r="I6276">
        <v>0.10251777602570999</v>
      </c>
      <c r="J6276">
        <v>8.0187845880725597E-2</v>
      </c>
      <c r="K6276">
        <v>2.0367341696604601E-2</v>
      </c>
      <c r="L6276">
        <v>966.37234988821797</v>
      </c>
      <c r="M6276">
        <v>19.158501377961301</v>
      </c>
      <c r="N6276">
        <v>50.861299385092501</v>
      </c>
      <c r="O6276">
        <v>49.901002471925302</v>
      </c>
      <c r="P6276">
        <v>-8.8957678654769196E-2</v>
      </c>
      <c r="Q6276">
        <v>7.3224772237350799E-2</v>
      </c>
      <c r="R6276">
        <v>0.98541685651672195</v>
      </c>
      <c r="S6276" t="s">
        <v>12561</v>
      </c>
      <c r="T6276" t="s">
        <v>12568</v>
      </c>
      <c r="U6276" t="s">
        <v>12568</v>
      </c>
      <c r="V6276" t="s">
        <v>12568</v>
      </c>
      <c r="W6276" t="s">
        <v>18791</v>
      </c>
      <c r="X6276">
        <v>1</v>
      </c>
      <c r="Y6276" t="s">
        <v>24865</v>
      </c>
      <c r="Z6276" t="s">
        <v>31146</v>
      </c>
      <c r="AA6276">
        <v>0.40975356533208768</v>
      </c>
      <c r="AB6276" t="str">
        <f>HYPERLINK("Melting_Curves/meltCurve_R4GNB1_AASDH.pdf", "Melting_Curves/meltCurve_R4GNB1_AASDH.pdf")</f>
        <v>Melting_Curves/meltCurve_R4GNB1_AASDH.pdf</v>
      </c>
    </row>
    <row r="6277" spans="1:28" x14ac:dyDescent="0.25">
      <c r="A6277" t="s">
        <v>6281</v>
      </c>
      <c r="B6277">
        <v>0.99352677808782597</v>
      </c>
      <c r="C6277">
        <v>0.98649303861895499</v>
      </c>
      <c r="D6277">
        <v>0.84550441378865804</v>
      </c>
      <c r="E6277">
        <v>0.57815475302280295</v>
      </c>
      <c r="F6277">
        <v>0.45185471703962199</v>
      </c>
      <c r="G6277">
        <v>0.29004221439945199</v>
      </c>
      <c r="H6277">
        <v>0.184076516670278</v>
      </c>
      <c r="I6277">
        <v>0.17574969511871499</v>
      </c>
      <c r="J6277">
        <v>0.16092054033158801</v>
      </c>
      <c r="K6277">
        <v>0.111484032693492</v>
      </c>
      <c r="L6277">
        <v>743.08985408903004</v>
      </c>
      <c r="M6277">
        <v>14.619573882845801</v>
      </c>
      <c r="N6277">
        <v>51.832113472900303</v>
      </c>
      <c r="O6277">
        <v>49.905809898296198</v>
      </c>
      <c r="P6277">
        <v>-6.4214729742376894E-2</v>
      </c>
      <c r="Q6277">
        <v>0.123276743449829</v>
      </c>
      <c r="R6277">
        <v>0.995615708632407</v>
      </c>
      <c r="S6277" t="s">
        <v>12562</v>
      </c>
      <c r="T6277" t="s">
        <v>12568</v>
      </c>
      <c r="U6277" t="s">
        <v>12568</v>
      </c>
      <c r="V6277" t="s">
        <v>12568</v>
      </c>
      <c r="W6277" t="s">
        <v>18792</v>
      </c>
      <c r="X6277">
        <v>12</v>
      </c>
      <c r="Y6277" t="s">
        <v>24866</v>
      </c>
      <c r="Z6277" t="s">
        <v>31147</v>
      </c>
      <c r="AA6277">
        <v>0.46098273962498593</v>
      </c>
      <c r="AB6277" t="str">
        <f>HYPERLINK("Melting_Curves/meltCurve_R4GNB2_DENND4C.pdf", "Melting_Curves/meltCurve_R4GNB2_DENND4C.pdf")</f>
        <v>Melting_Curves/meltCurve_R4GNB2_DENND4C.pdf</v>
      </c>
    </row>
    <row r="6278" spans="1:28" x14ac:dyDescent="0.25">
      <c r="A6278" t="s">
        <v>6282</v>
      </c>
      <c r="B6278">
        <v>0.99352677808782597</v>
      </c>
      <c r="C6278">
        <v>1.3308322956957499</v>
      </c>
      <c r="D6278">
        <v>1.3343297414578299</v>
      </c>
      <c r="E6278">
        <v>0.60558929320918997</v>
      </c>
      <c r="F6278">
        <v>0.58920525049991401</v>
      </c>
      <c r="G6278">
        <v>0.203816894746842</v>
      </c>
      <c r="H6278">
        <v>0.74593624651454704</v>
      </c>
      <c r="I6278">
        <v>0.19200828713159801</v>
      </c>
      <c r="J6278">
        <v>0.20041520900427101</v>
      </c>
      <c r="K6278">
        <v>0.14058414809268899</v>
      </c>
      <c r="L6278">
        <v>1605.3744173227401</v>
      </c>
      <c r="M6278">
        <v>31.532205273019802</v>
      </c>
      <c r="N6278">
        <v>52.466807315391399</v>
      </c>
      <c r="O6278">
        <v>50.7087609720475</v>
      </c>
      <c r="P6278">
        <v>-0.108265783190405</v>
      </c>
      <c r="Q6278">
        <v>0.30356992679115502</v>
      </c>
      <c r="R6278">
        <v>0.72390989687489604</v>
      </c>
      <c r="S6278" t="s">
        <v>12563</v>
      </c>
      <c r="T6278" t="s">
        <v>12568</v>
      </c>
      <c r="U6278" t="s">
        <v>12568</v>
      </c>
      <c r="V6278" t="s">
        <v>12568</v>
      </c>
      <c r="W6278" t="s">
        <v>18793</v>
      </c>
      <c r="X6278">
        <v>6</v>
      </c>
      <c r="Y6278" t="s">
        <v>24867</v>
      </c>
      <c r="Z6278" t="s">
        <v>31148</v>
      </c>
      <c r="AA6278">
        <v>0.56084621788291911</v>
      </c>
      <c r="AB6278" t="str">
        <f>HYPERLINK("Melting_Curves/meltCurve_R4GND1_UBE2E3.pdf", "Melting_Curves/meltCurve_R4GND1_UBE2E3.pdf")</f>
        <v>Melting_Curves/meltCurve_R4GND1_UBE2E3.pdf</v>
      </c>
    </row>
    <row r="6279" spans="1:28" x14ac:dyDescent="0.25">
      <c r="A6279" t="s">
        <v>6283</v>
      </c>
      <c r="B6279">
        <v>0.99352677808782597</v>
      </c>
      <c r="C6279">
        <v>0.70009818647265598</v>
      </c>
      <c r="D6279">
        <v>0.61431794825218</v>
      </c>
      <c r="E6279">
        <v>0.311280906512718</v>
      </c>
      <c r="F6279">
        <v>0.25889157010056202</v>
      </c>
      <c r="G6279">
        <v>0.17578300685277601</v>
      </c>
      <c r="H6279">
        <v>0.13434536309547501</v>
      </c>
      <c r="I6279">
        <v>0.120021706209732</v>
      </c>
      <c r="J6279">
        <v>8.16180615808903E-2</v>
      </c>
      <c r="K6279">
        <v>7.1485067345287506E-2</v>
      </c>
      <c r="L6279">
        <v>621.00610318247197</v>
      </c>
      <c r="M6279">
        <v>13.3384056303102</v>
      </c>
      <c r="N6279">
        <v>47.2131921059432</v>
      </c>
      <c r="O6279">
        <v>45.548598247478601</v>
      </c>
      <c r="P6279">
        <v>-6.7032839590227905E-2</v>
      </c>
      <c r="Q6279">
        <v>8.4519094153713697E-2</v>
      </c>
      <c r="R6279">
        <v>0.98003454791911204</v>
      </c>
      <c r="S6279" t="s">
        <v>12564</v>
      </c>
      <c r="T6279" t="s">
        <v>12568</v>
      </c>
      <c r="U6279" t="s">
        <v>12568</v>
      </c>
      <c r="V6279" t="s">
        <v>12568</v>
      </c>
      <c r="W6279" t="s">
        <v>18794</v>
      </c>
      <c r="X6279">
        <v>3</v>
      </c>
      <c r="Y6279" t="s">
        <v>24868</v>
      </c>
      <c r="Z6279" t="s">
        <v>31149</v>
      </c>
      <c r="AA6279">
        <v>0.31713514388967567</v>
      </c>
      <c r="AB6279" t="str">
        <f>HYPERLINK("Melting_Curves/meltCurve_R4GND3_PHLDA1.pdf", "Melting_Curves/meltCurve_R4GND3_PHLDA1.pdf")</f>
        <v>Melting_Curves/meltCurve_R4GND3_PHLDA1.pdf</v>
      </c>
    </row>
    <row r="6280" spans="1:28" x14ac:dyDescent="0.25">
      <c r="A6280" t="s">
        <v>6284</v>
      </c>
      <c r="B6280">
        <v>0.99352677808782597</v>
      </c>
      <c r="C6280">
        <v>0.98764940010914204</v>
      </c>
      <c r="D6280">
        <v>0.93677123121810901</v>
      </c>
      <c r="E6280">
        <v>0.83710808456986696</v>
      </c>
      <c r="F6280">
        <v>0.720906499179649</v>
      </c>
      <c r="G6280">
        <v>0.59604650103211498</v>
      </c>
      <c r="H6280">
        <v>0.462118245008176</v>
      </c>
      <c r="I6280">
        <v>0.44996330433268</v>
      </c>
      <c r="J6280">
        <v>0.46569321047963103</v>
      </c>
      <c r="K6280">
        <v>0.41347530599516502</v>
      </c>
      <c r="L6280">
        <v>755.23549922646896</v>
      </c>
      <c r="M6280">
        <v>14.120813050936301</v>
      </c>
      <c r="N6280">
        <v>60.492484048055999</v>
      </c>
      <c r="O6280">
        <v>52.445488367480699</v>
      </c>
      <c r="P6280">
        <v>-4.0215628012906499E-2</v>
      </c>
      <c r="Q6280">
        <v>0.402624086882094</v>
      </c>
      <c r="R6280">
        <v>0.995407243320799</v>
      </c>
      <c r="S6280" t="s">
        <v>12565</v>
      </c>
      <c r="T6280" t="s">
        <v>12568</v>
      </c>
      <c r="U6280" t="s">
        <v>12568</v>
      </c>
      <c r="V6280" t="s">
        <v>12568</v>
      </c>
      <c r="W6280" t="s">
        <v>18795</v>
      </c>
      <c r="X6280">
        <v>1</v>
      </c>
      <c r="Y6280" t="s">
        <v>24869</v>
      </c>
      <c r="Z6280" t="s">
        <v>31150</v>
      </c>
      <c r="AA6280">
        <v>0.68471406075653751</v>
      </c>
      <c r="AB6280" t="str">
        <f>HYPERLINK("Melting_Curves/meltCurve_R4GNG2_AMFR.pdf", "Melting_Curves/meltCurve_R4GNG2_AMFR.pdf")</f>
        <v>Melting_Curves/meltCurve_R4GNG2_AMFR.pdf</v>
      </c>
    </row>
    <row r="6281" spans="1:28" x14ac:dyDescent="0.25">
      <c r="A6281" t="s">
        <v>6285</v>
      </c>
      <c r="B6281">
        <v>0.99352677808782597</v>
      </c>
      <c r="C6281">
        <v>0.92739451303651199</v>
      </c>
      <c r="D6281">
        <v>0.74382914715674997</v>
      </c>
      <c r="E6281">
        <v>0.69878223450337695</v>
      </c>
      <c r="F6281">
        <v>0.53015098234460001</v>
      </c>
      <c r="G6281">
        <v>0.29877472896148499</v>
      </c>
      <c r="H6281">
        <v>0.13902575968633099</v>
      </c>
      <c r="I6281">
        <v>0.123894623754709</v>
      </c>
      <c r="J6281">
        <v>0.105043552410163</v>
      </c>
      <c r="K6281">
        <v>7.3854959803809794E-2</v>
      </c>
      <c r="L6281">
        <v>573.80988749267203</v>
      </c>
      <c r="M6281">
        <v>10.8616734216734</v>
      </c>
      <c r="N6281">
        <v>52.828862988605202</v>
      </c>
      <c r="O6281">
        <v>51.132747282414201</v>
      </c>
      <c r="P6281">
        <v>-5.3124081501983597E-2</v>
      </c>
      <c r="Q6281">
        <v>0</v>
      </c>
      <c r="R6281">
        <v>0.98657000255007399</v>
      </c>
      <c r="S6281" t="s">
        <v>12566</v>
      </c>
      <c r="T6281" t="s">
        <v>12568</v>
      </c>
      <c r="U6281" t="s">
        <v>12568</v>
      </c>
      <c r="V6281" t="s">
        <v>12568</v>
      </c>
      <c r="W6281" t="s">
        <v>18796</v>
      </c>
      <c r="X6281">
        <v>28</v>
      </c>
      <c r="Y6281" t="s">
        <v>24870</v>
      </c>
      <c r="Z6281" t="s">
        <v>31151</v>
      </c>
      <c r="AA6281">
        <v>0.45978010306457329</v>
      </c>
      <c r="AB6281" t="str">
        <f>HYPERLINK("Melting_Curves/meltCurve_R4GNH3_PSMC3.pdf", "Melting_Curves/meltCurve_R4GNH3_PSMC3.pdf")</f>
        <v>Melting_Curves/meltCurve_R4GNH3_PSMC3.pdf</v>
      </c>
    </row>
    <row r="6282" spans="1:28" x14ac:dyDescent="0.25">
      <c r="A6282" t="s">
        <v>6286</v>
      </c>
      <c r="B6282">
        <v>0.99352677808782597</v>
      </c>
      <c r="C6282">
        <v>0.96075445667786197</v>
      </c>
      <c r="D6282">
        <v>0.80608871514950997</v>
      </c>
      <c r="E6282">
        <v>0.470094549349104</v>
      </c>
      <c r="F6282">
        <v>0.48716381166870198</v>
      </c>
      <c r="G6282">
        <v>0.31268886279036401</v>
      </c>
      <c r="H6282">
        <v>0.411616124654205</v>
      </c>
      <c r="I6282">
        <v>0.29141828617606302</v>
      </c>
      <c r="J6282">
        <v>0.23836225363840399</v>
      </c>
      <c r="K6282">
        <v>0.22168855902571399</v>
      </c>
      <c r="L6282">
        <v>815.33182690031799</v>
      </c>
      <c r="M6282">
        <v>16.819331141504499</v>
      </c>
      <c r="N6282">
        <v>50.937508048598602</v>
      </c>
      <c r="O6282">
        <v>47.806154290526301</v>
      </c>
      <c r="P6282">
        <v>-6.3490881674666405E-2</v>
      </c>
      <c r="Q6282">
        <v>0.27819721698922301</v>
      </c>
      <c r="R6282">
        <v>0.95994705791020496</v>
      </c>
      <c r="S6282" t="s">
        <v>12567</v>
      </c>
      <c r="T6282" t="s">
        <v>12568</v>
      </c>
      <c r="U6282" t="s">
        <v>12568</v>
      </c>
      <c r="V6282" t="s">
        <v>12568</v>
      </c>
      <c r="W6282" t="s">
        <v>18797</v>
      </c>
      <c r="X6282">
        <v>1</v>
      </c>
      <c r="Y6282" t="s">
        <v>24871</v>
      </c>
      <c r="Z6282" t="s">
        <v>31152</v>
      </c>
      <c r="AA6282">
        <v>0.49663490184609532</v>
      </c>
      <c r="AB6282" t="str">
        <f>HYPERLINK("Melting_Curves/meltCurve_R4GNH4_FBXO44.pdf", "Melting_Curves/meltCurve_R4GNH4_FBXO44.pdf")</f>
        <v>Melting_Curves/meltCurve_R4GNH4_FBXO44.pdf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2017-09-14T13:06:23Z</dcterms:created>
  <dcterms:modified xsi:type="dcterms:W3CDTF">2018-08-20T14:04:20Z</dcterms:modified>
</cp:coreProperties>
</file>